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calcChain.xml><?xml version="1.0" encoding="utf-8"?>
<styleSheet xmlns="http://schemas.openxmlformats.org/spreadsheetml/2006/main">
  <fonts count="6">
    <font>
      <name val="Calibri"/>
    </font>
    <font>
      <b/>
      <sz val="14"/>
      <color rgb="FFFF0000"/>
      <name val="Arial"/>
    </font>
    <font>
      <sz val="10"/>
      <name val="Arial"/>
    </font>
    <font>
      <sz val="13"/>
      <name val="Arial"/>
    </font>
    <font>
      <b/>
      <name val="Calibri"/>
    </font>
    <font>
      <b/>
      <color rgb="FFFF0000"/>
      <name val="Calibri"/>
    </font>
  </fonts>
  <fills count="84">
    <fill>
      <patternFill patternType="none"/>
    </fill>
    <fill>
      <patternFill patternType="gray125"/>
    </fill>
    <fill>
      <patternFill patternType="solid">
        <fgColor rgb="FFFFDE9B"/>
      </patternFill>
    </fill>
    <fill>
      <patternFill patternType="solid">
        <fgColor rgb="FFFFC8C8"/>
      </patternFill>
    </fill>
    <fill>
      <patternFill patternType="solid">
        <fgColor rgb="FFFFE6D2"/>
      </patternFill>
    </fill>
    <fill>
      <patternFill patternType="solid">
        <fgColor rgb="FFFF7573"/>
      </patternFill>
    </fill>
    <fill>
      <patternFill patternType="solid">
        <fgColor rgb="FFFF7873"/>
      </patternFill>
    </fill>
    <fill>
      <patternFill patternType="solid">
        <fgColor rgb="FF73FFD5"/>
      </patternFill>
    </fill>
    <fill>
      <patternFill patternType="solid">
        <fgColor rgb="FFFF9473"/>
      </patternFill>
    </fill>
    <fill>
      <patternFill patternType="solid">
        <fgColor rgb="FFFF7F73"/>
      </patternFill>
    </fill>
    <fill>
      <patternFill patternType="solid">
        <fgColor rgb="FFFF9173"/>
      </patternFill>
    </fill>
    <fill>
      <patternFill patternType="solid">
        <fgColor rgb="FFFFE573"/>
      </patternFill>
    </fill>
    <fill>
      <patternFill patternType="solid">
        <fgColor rgb="FF73FF7C"/>
      </patternFill>
    </fill>
    <fill>
      <patternFill patternType="solid">
        <fgColor rgb="FFB0FF73"/>
      </patternFill>
    </fill>
    <fill>
      <patternFill patternType="solid">
        <fgColor rgb="FFB7FF73"/>
      </patternFill>
    </fill>
    <fill>
      <patternFill patternType="solid">
        <fgColor rgb="FFFAFF73"/>
      </patternFill>
    </fill>
    <fill>
      <patternFill patternType="solid">
        <fgColor rgb="FFFFBE73"/>
      </patternFill>
    </fill>
    <fill>
      <patternFill patternType="solid">
        <fgColor rgb="FFFF7A73"/>
      </patternFill>
    </fill>
    <fill>
      <patternFill patternType="solid">
        <fgColor rgb="FFFF0000"/>
      </patternFill>
    </fill>
    <fill>
      <patternFill patternType="solid">
        <fgColor rgb="FF9FFF73"/>
      </patternFill>
    </fill>
    <fill>
      <patternFill patternType="solid">
        <fgColor rgb="FFFFA673"/>
      </patternFill>
    </fill>
    <fill>
      <patternFill patternType="solid">
        <fgColor rgb="FFFFFA73"/>
      </patternFill>
    </fill>
    <fill>
      <patternFill patternType="solid">
        <fgColor rgb="FFDCFF73"/>
      </patternFill>
    </fill>
    <fill>
      <patternFill patternType="solid">
        <fgColor rgb="FFDAFF73"/>
      </patternFill>
    </fill>
    <fill>
      <patternFill patternType="solid">
        <fgColor rgb="FFD7FF73"/>
      </patternFill>
    </fill>
    <fill>
      <patternFill patternType="solid">
        <fgColor rgb="FFFFB473"/>
      </patternFill>
    </fill>
    <fill>
      <patternFill patternType="solid">
        <fgColor rgb="FFD5FF73"/>
      </patternFill>
    </fill>
    <fill>
      <patternFill patternType="solid">
        <fgColor rgb="FFFF9873"/>
      </patternFill>
    </fill>
    <fill>
      <patternFill patternType="solid">
        <fgColor rgb="FFFFA973"/>
      </patternFill>
    </fill>
    <fill>
      <patternFill patternType="solid">
        <fgColor rgb="FFFFAD73"/>
      </patternFill>
    </fill>
    <fill>
      <patternFill patternType="solid">
        <fgColor rgb="FFFFAB73"/>
      </patternFill>
    </fill>
    <fill>
      <patternFill patternType="solid">
        <fgColor rgb="FFFFB273"/>
      </patternFill>
    </fill>
    <fill>
      <patternFill patternType="solid">
        <fgColor rgb="FF73FFD3"/>
      </patternFill>
    </fill>
    <fill>
      <patternFill patternType="solid">
        <fgColor rgb="FFFF8173"/>
      </patternFill>
    </fill>
    <fill>
      <patternFill patternType="solid">
        <fgColor rgb="FFFFDE73"/>
      </patternFill>
    </fill>
    <fill>
      <patternFill patternType="solid">
        <fgColor rgb="FFFFFF73"/>
      </patternFill>
    </fill>
    <fill>
      <patternFill patternType="solid">
        <fgColor rgb="FFFFEA73"/>
      </patternFill>
    </fill>
    <fill>
      <patternFill patternType="solid">
        <fgColor rgb="FFFFD773"/>
      </patternFill>
    </fill>
    <fill>
      <patternFill patternType="solid">
        <fgColor rgb="FFFFC773"/>
      </patternFill>
    </fill>
    <fill>
      <patternFill patternType="solid">
        <fgColor rgb="FFFFE173"/>
      </patternFill>
    </fill>
    <fill>
      <patternFill patternType="solid">
        <fgColor rgb="FFFFE373"/>
      </patternFill>
    </fill>
    <fill>
      <patternFill patternType="solid">
        <fgColor rgb="FFFF8F73"/>
      </patternFill>
    </fill>
    <fill>
      <patternFill patternType="solid">
        <fgColor rgb="FFA6FF73"/>
      </patternFill>
    </fill>
    <fill>
      <patternFill patternType="solid">
        <fgColor rgb="FFDEFF73"/>
      </patternFill>
    </fill>
    <fill>
      <patternFill patternType="solid">
        <fgColor rgb="FF9BFF73"/>
      </patternFill>
    </fill>
    <fill>
      <patternFill patternType="solid">
        <fgColor rgb="FFF6FF73"/>
      </patternFill>
    </fill>
    <fill>
      <patternFill patternType="solid">
        <fgColor rgb="FFE3FF73"/>
      </patternFill>
    </fill>
    <fill>
      <patternFill patternType="solid">
        <fgColor rgb="FF7CFF73"/>
      </patternFill>
    </fill>
    <fill>
      <patternFill patternType="solid">
        <fgColor rgb="FFFFA273"/>
      </patternFill>
    </fill>
    <fill>
      <patternFill patternType="solid">
        <fgColor rgb="FFFFDC73"/>
      </patternFill>
    </fill>
    <fill>
      <patternFill patternType="solid">
        <fgColor rgb="FFE8FF73"/>
      </patternFill>
    </fill>
    <fill>
      <patternFill patternType="solid">
        <fgColor rgb="FFFFF373"/>
      </patternFill>
    </fill>
    <fill>
      <patternFill patternType="solid">
        <fgColor rgb="FFFFF673"/>
      </patternFill>
    </fill>
    <fill>
      <patternFill patternType="solid">
        <fgColor rgb="FFFFB073"/>
      </patternFill>
    </fill>
    <fill>
      <patternFill patternType="solid">
        <fgColor rgb="FFFFFD73"/>
      </patternFill>
    </fill>
    <fill>
      <patternFill patternType="solid">
        <fgColor rgb="FFFFE873"/>
      </patternFill>
    </fill>
    <fill>
      <patternFill patternType="solid">
        <fgColor rgb="FF98FF73"/>
      </patternFill>
    </fill>
    <fill>
      <patternFill patternType="solid">
        <fgColor rgb="FF73FF96"/>
      </patternFill>
    </fill>
    <fill>
      <patternFill patternType="solid">
        <fgColor rgb="FFF8FF73"/>
      </patternFill>
    </fill>
    <fill>
      <patternFill patternType="solid">
        <fgColor rgb="FFFF9673"/>
      </patternFill>
    </fill>
    <fill>
      <patternFill patternType="solid">
        <fgColor rgb="FFFF9F73"/>
      </patternFill>
    </fill>
    <fill>
      <patternFill patternType="solid">
        <fgColor rgb="FFFFDA73"/>
      </patternFill>
    </fill>
    <fill>
      <patternFill patternType="solid">
        <fgColor rgb="FFA2FF73"/>
      </patternFill>
    </fill>
    <fill>
      <patternFill patternType="solid">
        <fgColor rgb="FFFFEC73"/>
      </patternFill>
    </fill>
    <fill>
      <patternFill patternType="solid">
        <fgColor rgb="FFFFF173"/>
      </patternFill>
    </fill>
    <fill>
      <patternFill patternType="solid">
        <fgColor rgb="FFFFB773"/>
      </patternFill>
    </fill>
    <fill>
      <patternFill patternType="solid">
        <fgColor rgb="FFBBFF73"/>
      </patternFill>
    </fill>
    <fill>
      <patternFill patternType="solid">
        <fgColor rgb="FF8FFF73"/>
      </patternFill>
    </fill>
    <fill>
      <patternFill patternType="solid">
        <fgColor rgb="FF81FF73"/>
      </patternFill>
    </fill>
    <fill>
      <patternFill patternType="solid">
        <fgColor rgb="FF73FF81"/>
      </patternFill>
    </fill>
    <fill>
      <patternFill patternType="solid">
        <fgColor rgb="FFFDFF73"/>
      </patternFill>
    </fill>
    <fill>
      <patternFill patternType="solid">
        <fgColor rgb="FFFFEF73"/>
      </patternFill>
    </fill>
    <fill>
      <patternFill patternType="solid">
        <fgColor rgb="FFFF9D73"/>
      </patternFill>
    </fill>
    <fill>
      <patternFill patternType="solid">
        <fgColor rgb="FFABFF73"/>
      </patternFill>
    </fill>
    <fill>
      <patternFill patternType="solid">
        <fgColor rgb="FFC7FF73"/>
      </patternFill>
    </fill>
    <fill>
      <patternFill patternType="solid">
        <fgColor rgb="FFA9FF73"/>
      </patternFill>
    </fill>
    <fill>
      <patternFill patternType="solid">
        <fgColor rgb="FFFFC573"/>
      </patternFill>
    </fill>
    <fill>
      <patternFill patternType="solid">
        <fgColor rgb="FF73FF9B"/>
      </patternFill>
    </fill>
    <fill>
      <patternFill patternType="solid">
        <fgColor rgb="FFECFF73"/>
      </patternFill>
    </fill>
    <fill>
      <patternFill patternType="solid">
        <fgColor rgb="FFFFCE73"/>
      </patternFill>
    </fill>
    <fill>
      <patternFill patternType="solid">
        <fgColor rgb="FFFFC273"/>
      </patternFill>
    </fill>
    <fill>
      <patternFill patternType="solid">
        <fgColor rgb="FF73FF86"/>
      </patternFill>
    </fill>
    <fill>
      <patternFill patternType="solid">
        <fgColor rgb="FF91FF73"/>
      </patternFill>
    </fill>
    <fill>
      <patternFill patternType="solid">
        <fgColor rgb="FF9B73FF"/>
      </patternFill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6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3" borderId="1" xfId="0" applyFont="1" applyFill="1" applyBorder="1"/>
    <xf numFmtId="0" fontId="4" fillId="4" borderId="2" xfId="0" applyFont="1" applyFill="1" applyBorder="1" applyAlignment="1">
      <alignment horizontal="center" vertical="center" wrapText="1"/>
    </xf>
    <xf numFmtId="0" fontId="0" fillId="5" borderId="2" xfId="0" applyFill="1" applyBorder="1"/>
    <xf numFmtId="0" fontId="0" fillId="6" borderId="2" xfId="0" applyFill="1" applyBorder="1"/>
    <xf numFmtId="0" fontId="0" fillId="0" borderId="2" xfId="0" applyBorder="1" applyAlignment="1">
      <alignment horizontal="center" vertical="center"/>
    </xf>
    <xf numFmtId="0" fontId="0" fillId="7" borderId="2" xfId="0" applyFill="1" applyBorder="1"/>
    <xf numFmtId="0" fontId="0" fillId="8" borderId="2" xfId="0" applyFill="1" applyBorder="1"/>
    <xf numFmtId="0" fontId="0" fillId="9" borderId="2" xfId="0" applyFill="1" applyBorder="1"/>
    <xf numFmtId="0" fontId="5" fillId="0" borderId="2" xfId="0" applyFont="1" applyBorder="1"/>
    <xf numFmtId="0" fontId="0" fillId="10" borderId="2" xfId="0" applyFill="1" applyBorder="1"/>
    <xf numFmtId="0" fontId="0" fillId="11" borderId="2" xfId="0" applyFill="1" applyBorder="1"/>
    <xf numFmtId="0" fontId="0" fillId="12" borderId="2" xfId="0" applyFill="1" applyBorder="1"/>
    <xf numFmtId="0" fontId="0" fillId="13" borderId="2" xfId="0" applyFill="1" applyBorder="1"/>
    <xf numFmtId="0" fontId="0" fillId="14" borderId="2" xfId="0" applyFill="1" applyBorder="1"/>
    <xf numFmtId="0" fontId="0" fillId="15" borderId="2" xfId="0" applyFill="1" applyBorder="1"/>
    <xf numFmtId="0" fontId="0" fillId="16" borderId="2" xfId="0" applyFill="1" applyBorder="1"/>
    <xf numFmtId="0" fontId="0" fillId="17" borderId="2" xfId="0" applyFill="1" applyBorder="1"/>
    <xf numFmtId="0" fontId="0" fillId="18" borderId="0" xfId="0" applyFill="1" applyAlignment="1">
      <alignment horizontal="center" vertical="center" wrapText="1"/>
    </xf>
    <xf numFmtId="0" fontId="0" fillId="19" borderId="2" xfId="0" applyFill="1" applyBorder="1"/>
    <xf numFmtId="0" fontId="0" fillId="20" borderId="2" xfId="0" applyFill="1" applyBorder="1"/>
    <xf numFmtId="0" fontId="0" fillId="21" borderId="2" xfId="0" applyFill="1" applyBorder="1"/>
    <xf numFmtId="0" fontId="0" fillId="22" borderId="2" xfId="0" applyFill="1" applyBorder="1"/>
    <xf numFmtId="0" fontId="0" fillId="23" borderId="2" xfId="0" applyFill="1" applyBorder="1"/>
    <xf numFmtId="0" fontId="0" fillId="24" borderId="2" xfId="0" applyFill="1" applyBorder="1"/>
    <xf numFmtId="0" fontId="0" fillId="25" borderId="2" xfId="0" applyFill="1" applyBorder="1"/>
    <xf numFmtId="0" fontId="0" fillId="26" borderId="2" xfId="0" applyFill="1" applyBorder="1"/>
    <xf numFmtId="0" fontId="0" fillId="27" borderId="2" xfId="0" applyFill="1" applyBorder="1"/>
    <xf numFmtId="0" fontId="0" fillId="28" borderId="2" xfId="0" applyFill="1" applyBorder="1"/>
    <xf numFmtId="0" fontId="0" fillId="29" borderId="2" xfId="0" applyFill="1" applyBorder="1"/>
    <xf numFmtId="0" fontId="0" fillId="30" borderId="2" xfId="0" applyFill="1" applyBorder="1"/>
    <xf numFmtId="0" fontId="0" fillId="31" borderId="2" xfId="0" applyFill="1" applyBorder="1"/>
    <xf numFmtId="0" fontId="0" fillId="32" borderId="2" xfId="0" applyFill="1" applyBorder="1"/>
    <xf numFmtId="0" fontId="0" fillId="33" borderId="2" xfId="0" applyFill="1" applyBorder="1"/>
    <xf numFmtId="0" fontId="0" fillId="34" borderId="2" xfId="0" applyFill="1" applyBorder="1"/>
    <xf numFmtId="0" fontId="0" fillId="35" borderId="2" xfId="0" applyFill="1" applyBorder="1"/>
    <xf numFmtId="0" fontId="0" fillId="36" borderId="2" xfId="0" applyFill="1" applyBorder="1"/>
    <xf numFmtId="0" fontId="0" fillId="37" borderId="2" xfId="0" applyFill="1" applyBorder="1"/>
    <xf numFmtId="0" fontId="0" fillId="38" borderId="2" xfId="0" applyFill="1" applyBorder="1"/>
    <xf numFmtId="0" fontId="0" fillId="39" borderId="2" xfId="0" applyFill="1" applyBorder="1"/>
    <xf numFmtId="0" fontId="0" fillId="40" borderId="2" xfId="0" applyFill="1" applyBorder="1"/>
    <xf numFmtId="0" fontId="0" fillId="41" borderId="2" xfId="0" applyFill="1" applyBorder="1"/>
    <xf numFmtId="0" fontId="0" fillId="42" borderId="2" xfId="0" applyFill="1" applyBorder="1"/>
    <xf numFmtId="0" fontId="0" fillId="43" borderId="2" xfId="0" applyFill="1" applyBorder="1"/>
    <xf numFmtId="0" fontId="0" fillId="44" borderId="2" xfId="0" applyFill="1" applyBorder="1"/>
    <xf numFmtId="0" fontId="0" fillId="45" borderId="2" xfId="0" applyFill="1" applyBorder="1"/>
    <xf numFmtId="0" fontId="0" fillId="46" borderId="2" xfId="0" applyFill="1" applyBorder="1"/>
    <xf numFmtId="0" fontId="0" fillId="47" borderId="2" xfId="0" applyFill="1" applyBorder="1"/>
    <xf numFmtId="0" fontId="0" fillId="48" borderId="2" xfId="0" applyFill="1" applyBorder="1"/>
    <xf numFmtId="0" fontId="0" fillId="49" borderId="2" xfId="0" applyFill="1" applyBorder="1"/>
    <xf numFmtId="0" fontId="0" fillId="50" borderId="2" xfId="0" applyFill="1" applyBorder="1"/>
    <xf numFmtId="0" fontId="0" fillId="51" borderId="2" xfId="0" applyFill="1" applyBorder="1"/>
    <xf numFmtId="0" fontId="0" fillId="52" borderId="2" xfId="0" applyFill="1" applyBorder="1"/>
    <xf numFmtId="0" fontId="0" fillId="53" borderId="2" xfId="0" applyFill="1" applyBorder="1"/>
    <xf numFmtId="0" fontId="0" fillId="54" borderId="2" xfId="0" applyFill="1" applyBorder="1"/>
    <xf numFmtId="0" fontId="0" fillId="55" borderId="2" xfId="0" applyFill="1" applyBorder="1"/>
    <xf numFmtId="0" fontId="0" fillId="56" borderId="2" xfId="0" applyFill="1" applyBorder="1"/>
    <xf numFmtId="0" fontId="0" fillId="57" borderId="2" xfId="0" applyFill="1" applyBorder="1"/>
    <xf numFmtId="0" fontId="0" fillId="58" borderId="2" xfId="0" applyFill="1" applyBorder="1"/>
    <xf numFmtId="0" fontId="0" fillId="59" borderId="2" xfId="0" applyFill="1" applyBorder="1"/>
    <xf numFmtId="0" fontId="0" fillId="60" borderId="2" xfId="0" applyFill="1" applyBorder="1"/>
    <xf numFmtId="0" fontId="0" fillId="61" borderId="2" xfId="0" applyFill="1" applyBorder="1"/>
    <xf numFmtId="0" fontId="0" fillId="62" borderId="2" xfId="0" applyFill="1" applyBorder="1"/>
    <xf numFmtId="0" fontId="0" fillId="63" borderId="2" xfId="0" applyFill="1" applyBorder="1"/>
    <xf numFmtId="0" fontId="0" fillId="64" borderId="2" xfId="0" applyFill="1" applyBorder="1"/>
    <xf numFmtId="0" fontId="0" fillId="65" borderId="2" xfId="0" applyFill="1" applyBorder="1"/>
    <xf numFmtId="0" fontId="0" fillId="66" borderId="2" xfId="0" applyFill="1" applyBorder="1"/>
    <xf numFmtId="0" fontId="0" fillId="67" borderId="2" xfId="0" applyFill="1" applyBorder="1"/>
    <xf numFmtId="0" fontId="0" fillId="68" borderId="2" xfId="0" applyFill="1" applyBorder="1"/>
    <xf numFmtId="0" fontId="0" fillId="69" borderId="2" xfId="0" applyFill="1" applyBorder="1"/>
    <xf numFmtId="0" fontId="0" fillId="70" borderId="2" xfId="0" applyFill="1" applyBorder="1"/>
    <xf numFmtId="0" fontId="0" fillId="71" borderId="2" xfId="0" applyFill="1" applyBorder="1"/>
    <xf numFmtId="0" fontId="0" fillId="72" borderId="2" xfId="0" applyFill="1" applyBorder="1"/>
    <xf numFmtId="0" fontId="0" fillId="73" borderId="2" xfId="0" applyFill="1" applyBorder="1"/>
    <xf numFmtId="0" fontId="0" fillId="74" borderId="2" xfId="0" applyFill="1" applyBorder="1"/>
    <xf numFmtId="0" fontId="0" fillId="75" borderId="2" xfId="0" applyFill="1" applyBorder="1"/>
    <xf numFmtId="0" fontId="0" fillId="76" borderId="2" xfId="0" applyFill="1" applyBorder="1"/>
    <xf numFmtId="0" fontId="0" fillId="77" borderId="2" xfId="0" applyFill="1" applyBorder="1"/>
    <xf numFmtId="0" fontId="0" fillId="78" borderId="2" xfId="0" applyFill="1" applyBorder="1"/>
    <xf numFmtId="0" fontId="0" fillId="79" borderId="2" xfId="0" applyFill="1" applyBorder="1"/>
    <xf numFmtId="0" fontId="0" fillId="80" borderId="2" xfId="0" applyFill="1" applyBorder="1"/>
    <xf numFmtId="0" fontId="0" fillId="81" borderId="2" xfId="0" applyFill="1" applyBorder="1"/>
    <xf numFmtId="0" fontId="0" fillId="82" borderId="2" xfId="0" applyFill="1" applyBorder="1"/>
    <xf numFmtId="0" fontId="0" fillId="83" borderId="2" xfId="0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sharedStrings.xml><?xml version="1.0" encoding="utf-8"?>
<sst xmlns="http://schemas.openxmlformats.org/spreadsheetml/2006/main" count="142406" uniqueCount="1914">
  <si>
    <t>CS2</t>
  </si>
  <si>
    <t>t1010</t>
  </si>
  <si>
    <t>FUNCTION</t>
  </si>
  <si>
    <t/>
  </si>
  <si>
    <t>Location</t>
  </si>
  <si>
    <t>OP Code</t>
  </si>
  <si>
    <t>PreInit</t>
  </si>
  <si>
    <t>byte</t>
  </si>
  <si>
    <t>string</t>
  </si>
  <si>
    <t>FC_Change_MapColor</t>
  </si>
  <si>
    <t>Init</t>
  </si>
  <si>
    <t>short</t>
  </si>
  <si>
    <t>pointer</t>
  </si>
  <si>
    <t>float</t>
  </si>
  <si>
    <t>Init_Replay</t>
  </si>
  <si>
    <t>int</t>
  </si>
  <si>
    <t/>
  </si>
  <si>
    <t>Init_Replay</t>
  </si>
  <si>
    <t>SB_06_TALK_00</t>
  </si>
  <si>
    <t>SB_06_TALK_01</t>
  </si>
  <si>
    <t>SB_06_TALK_02</t>
  </si>
  <si>
    <t>SB_06_TALK_04</t>
  </si>
  <si>
    <t>SB_06_TALK_05</t>
  </si>
  <si>
    <t>SB_06_TALK_06</t>
  </si>
  <si>
    <t>door_2_01</t>
  </si>
  <si>
    <t>door_2_06</t>
  </si>
  <si>
    <t>LP2_DOOR201</t>
  </si>
  <si>
    <t>LP2_DOOR206</t>
  </si>
  <si>
    <t>ST_door_main</t>
  </si>
  <si>
    <t>map</t>
  </si>
  <si>
    <t>QS5103_301before</t>
  </si>
  <si>
    <t>QS5103_301after</t>
  </si>
  <si>
    <t>QS5103_00</t>
  </si>
  <si>
    <t>QS5103_01</t>
  </si>
  <si>
    <t>QS5103_02</t>
  </si>
  <si>
    <t>Start</t>
  </si>
  <si>
    <t>End</t>
  </si>
  <si>
    <t>ET_SB_06_CHK_CROWROOM</t>
  </si>
  <si>
    <t>gunsword</t>
  </si>
  <si>
    <t>LP_Photo00</t>
  </si>
  <si>
    <t>symbol_303</t>
  </si>
  <si>
    <t>bed_201</t>
  </si>
  <si>
    <t>sle00</t>
  </si>
  <si>
    <t>mek00</t>
  </si>
  <si>
    <t>mir00</t>
  </si>
  <si>
    <t>go_t1000</t>
  </si>
  <si>
    <t>go_t1001</t>
  </si>
  <si>
    <t>Reinit</t>
  </si>
  <si>
    <t>Npc_Table</t>
  </si>
  <si>
    <t>LP_Photo00</t>
  </si>
  <si>
    <t>I_VIS220</t>
  </si>
  <si>
    <t>FC_Party_Face_Reset2</t>
  </si>
  <si>
    <t>FC_MapJumpState</t>
  </si>
  <si>
    <t>FC_MapJumpState2</t>
  </si>
  <si>
    <t>LP_Flowerpot_00</t>
  </si>
  <si>
    <t>dialog</t>
  </si>
  <si>
    <t>It's a potted plant grown by Fie. It gives off a gentle,
calming aroma.</t>
  </si>
  <si>
    <t>LP_Flowerpot_01</t>
  </si>
  <si>
    <t>LP_Flowerpot_02</t>
  </si>
  <si>
    <t>LP_Flowerpot_03</t>
  </si>
  <si>
    <t>LP_Flowerpot_04</t>
  </si>
  <si>
    <t>LP_Flowerpot_05</t>
  </si>
  <si>
    <t>LP_Flowerpot_06</t>
  </si>
  <si>
    <t>Npc_Table</t>
  </si>
  <si>
    <t>alisa_setting</t>
  </si>
  <si>
    <t>4[autoE4]</t>
  </si>
  <si>
    <t>9[autoM9]</t>
  </si>
  <si>
    <t></t>
  </si>
  <si>
    <t>2</t>
  </si>
  <si>
    <t>eliot_setting</t>
  </si>
  <si>
    <t>AniEv6003</t>
  </si>
  <si>
    <t>AniAttachEQU024</t>
  </si>
  <si>
    <t>laura_setting</t>
  </si>
  <si>
    <t>machias_setting</t>
  </si>
  <si>
    <t>AniEvSitDesk</t>
  </si>
  <si>
    <t>chair_205</t>
  </si>
  <si>
    <t>2[autoE2]</t>
  </si>
  <si>
    <t>A[autoMA]</t>
  </si>
  <si>
    <t>#b</t>
  </si>
  <si>
    <t>0</t>
  </si>
  <si>
    <t>emma_setting</t>
  </si>
  <si>
    <t>AniEvSitDeskBenkyo</t>
  </si>
  <si>
    <t>AniAttachEQU089</t>
  </si>
  <si>
    <t>chair_304</t>
  </si>
  <si>
    <t>celine2_setting</t>
  </si>
  <si>
    <t>AniEv8430</t>
  </si>
  <si>
    <t>1</t>
  </si>
  <si>
    <t>0[autoM0]</t>
  </si>
  <si>
    <t>jusis_setting</t>
  </si>
  <si>
    <t>AniEvTeKosi</t>
  </si>
  <si>
    <t>fie_setting</t>
  </si>
  <si>
    <t>AniEvRyoteSiri</t>
  </si>
  <si>
    <t>gaius_setting</t>
  </si>
  <si>
    <t>AniEv5565</t>
  </si>
  <si>
    <t>AniAttachEQU142</t>
  </si>
  <si>
    <t>chair_204</t>
  </si>
  <si>
    <t>millium_setting</t>
  </si>
  <si>
    <t>AniEv1405</t>
  </si>
  <si>
    <t>5</t>
  </si>
  <si>
    <t>9</t>
  </si>
  <si>
    <t>sara_setting</t>
  </si>
  <si>
    <t>0[autoE0]</t>
  </si>
  <si>
    <t>4[autoM4]</t>
  </si>
  <si>
    <t>sharon_setting</t>
  </si>
  <si>
    <t>EV_06_04_01</t>
  </si>
  <si>
    <t>AniFieldAttack</t>
  </si>
  <si>
    <t>AniWait</t>
  </si>
  <si>
    <t>FC_Start_Party</t>
  </si>
  <si>
    <t>FC_chr_entry</t>
  </si>
  <si>
    <t>open1</t>
  </si>
  <si>
    <t>#E[9]#M[0]</t>
  </si>
  <si>
    <t>#1P(Whew. I think I might've eaten too much...
It's been so long since we last had Sharon's
cooking.)</t>
  </si>
  <si>
    <t>#E_F#M[9](She hasn't lost her touch. None of it feels
heavy on my stomach at all.)</t>
  </si>
  <si>
    <t>#E[1]#M[9]</t>
  </si>
  <si>
    <t>#1P(Well, that's all my work done for the day.)</t>
  </si>
  <si>
    <t>#E_0#M[9](Maybe I should go see how everyone else
is doing.)</t>
  </si>
  <si>
    <t>You can explore Class VII's dorms on the night before each
free day.</t>
  </si>
  <si>
    <t>Be aware, however, that the story will progress should you
return to Rean's room.</t>
  </si>
  <si>
    <t>wait</t>
  </si>
  <si>
    <t>FC_End_Party</t>
  </si>
  <si>
    <t>Reinit</t>
  </si>
  <si>
    <t>EV_06_05_00</t>
  </si>
  <si>
    <t>I_SVIS126</t>
  </si>
  <si>
    <t>I_VIS050</t>
  </si>
  <si>
    <t>C_NPC900</t>
  </si>
  <si>
    <t>Dummy</t>
  </si>
  <si>
    <t>npccom</t>
  </si>
  <si>
    <t>#E[9]#M[9]</t>
  </si>
  <si>
    <t>#2P#800W...</t>
  </si>
  <si>
    <t>#E_E#M_9</t>
  </si>
  <si>
    <t>#2PI guess I'll turn the radio on.</t>
  </si>
  <si>
    <t>C_PLY000_C07</t>
  </si>
  <si>
    <t>AniEv5004</t>
  </si>
  <si>
    <t>AniEv5005</t>
  </si>
  <si>
    <t>AniEvToridasi</t>
  </si>
  <si>
    <t>[autoE0]</t>
  </si>
  <si>
    <t>Announcer's Voice</t>
  </si>
  <si>
    <t>#E_0#M_0</t>
  </si>
  <si>
    <t>#4C#4C...In finance, the annexation of Crossbell has
seen shares in Erebonian companies increase at
an exponential rate across the board.</t>
  </si>
  <si>
    <t>#4C#4CAnd despite the Reinford Group announcing sweeping
changes to its board members, its strong forecast
for the next fiscal year is...</t>
  </si>
  <si>
    <t>Female Voice</t>
  </si>
  <si>
    <t>#8C#0T#8CIt's time for the start of a brand new
program here on Radio Trista, coming at
you promptly every Sunday!</t>
  </si>
  <si>
    <t>#8C#8CI call it 'Abend Time,' after the word
for 'evening.'</t>
  </si>
  <si>
    <t>#8C#8CMight be a little cliched, but sometimes,
simple is best, right? Cliches are cliches
for a reason, after all!</t>
  </si>
  <si>
    <t>#8C#8CAnyway, my name is Misty, and I'll be
your host.</t>
  </si>
  <si>
    <t>#K(I wonder where Vita is now...)</t>
  </si>
  <si>
    <t>#E_F#M[9](I get the feeling she actually enjoyed
doing Abend Time, but it's not like she
could've ever kept going after all this.)</t>
  </si>
  <si>
    <t>#E[C]#M_0</t>
  </si>
  <si>
    <t>Huh? I wonder who that could be.</t>
  </si>
  <si>
    <t>AniAttachEQU030</t>
  </si>
  <si>
    <t>Hello?</t>
  </si>
  <si>
    <t>Girl's Voice</t>
  </si>
  <si>
    <t>#M[0]</t>
  </si>
  <si>
    <t>#0T#4C#4CUmm... This IS you, isn't it, Rean?</t>
  </si>
  <si>
    <t>C</t>
  </si>
  <si>
    <t>8</t>
  </si>
  <si>
    <t>Elise?</t>
  </si>
  <si>
    <t>Elise's Voice</t>
  </si>
  <si>
    <t>#E_0#M[0]</t>
  </si>
  <si>
    <t>#0T#4C#4CYes, it's me.</t>
  </si>
  <si>
    <t>#4C#4CErm... Sorry for calling you like this
so late in the evening.</t>
  </si>
  <si>
    <t>#4C#4CI'm not bothering you, am I?</t>
  </si>
  <si>
    <t>#E_I#M_9</t>
  </si>
  <si>
    <t>#2POh, not at all. I'm just not used
to you calling me.</t>
  </si>
  <si>
    <t>Are you calling from school?</t>
  </si>
  <si>
    <t>#0T#4C#4CYes... I wasn't going to, but Her
Highness insisted.</t>
  </si>
  <si>
    <t xml:space="preserve">#4C#4CIt'll take some getting used to,
but it's nice to be able to hear your
voice even when you're so far away. </t>
  </si>
  <si>
    <t>#E[G]#M_9</t>
  </si>
  <si>
    <t>#2PHaha... I was pretty surprised when 
I heard your voice, too.</t>
  </si>
  <si>
    <t>#E_8#M_9You weren't really one for phone calls
back at home, either.</t>
  </si>
  <si>
    <t>#0T#4C#4CHeehee...</t>
  </si>
  <si>
    <t>#4C#4CI didn't have any specific reason for
calling...</t>
  </si>
  <si>
    <t>#4C#4CIt was just that the letter you
sent about your return from Crossbell
arrived today.</t>
  </si>
  <si>
    <t>#E_8#M_9</t>
  </si>
  <si>
    <t>#1POh, that was fast. I only sent it a
couple days ago.</t>
  </si>
  <si>
    <t>#E_E#M_9I'm sorry it even had to BE a letter.
I really was planning to go pay you
a visit, but it didn't work out.</t>
  </si>
  <si>
    <t>#0T#4C#4COh, please don't apologize! I know
how busy you must be now.</t>
  </si>
  <si>
    <t>#4C#4CBelieve me, I was just happy to hear
you were back safe and sound. Your trip
must have been exhausting.</t>
  </si>
  <si>
    <t>#4C#4CBy the sound of things, you did an
excellent job, too. I'm so proud of you,
Rean.</t>
  </si>
  <si>
    <t>#E[1]#M_9</t>
  </si>
  <si>
    <t>...Thanks.</t>
  </si>
  <si>
    <t>#E_8#M_9I didn't do all that much, though.
Really.</t>
  </si>
  <si>
    <t>Half of what the Imperial Chronicle is
reporting is massively overblown.</t>
  </si>
  <si>
    <t>#0T#4C#4CHeehee. If you say so.</t>
  </si>
  <si>
    <t>#4C#4C...</t>
  </si>
  <si>
    <t>Hmm? Is something wrong?</t>
  </si>
  <si>
    <t xml:space="preserve">#0T#4C#4CNo, not at all. </t>
  </si>
  <si>
    <t>#4C#4CRegardless, now that I've heard your
voice, I feel a lot better, so I'll leave
you to enjoy the rest of your night now.</t>
  </si>
  <si>
    <t>R-Right...</t>
  </si>
  <si>
    <t>#E[G]#M_9Night, Elise. I'll come and see you
as soon as I can, okay?</t>
  </si>
  <si>
    <t>#0T#4C#4COh, there's no need for that.</t>
  </si>
  <si>
    <t>#4C#4CGood night, Rean. Sweet dreams.</t>
  </si>
  <si>
    <t>#E_8#M_0</t>
  </si>
  <si>
    <t>...Huh? She seemed somehow...odd.</t>
  </si>
  <si>
    <t>#E[9]#M_9Well, she's probably just nervous talking
on the phone. It was kinda awkward for
me when I started using one, too.</t>
  </si>
  <si>
    <t>R_arm_point</t>
  </si>
  <si>
    <t>close_c</t>
  </si>
  <si>
    <t>#2P(Tomorrow's going to be my final free day
of the year.)</t>
  </si>
  <si>
    <t>#E_E#M[9](I guess I should do all my prep work for
next week today so I can make the most
of it.)</t>
  </si>
  <si>
    <t>AniDetachEQU030</t>
  </si>
  <si>
    <t>EV_06_06_01</t>
  </si>
  <si>
    <t>AniEv5000</t>
  </si>
  <si>
    <t>AniEvGyu</t>
  </si>
  <si>
    <t>AniAttachEQU083</t>
  </si>
  <si>
    <t xml:space="preserve">Received </t>
  </si>
  <si>
    <t>.</t>
  </si>
  <si>
    <t>#E[C]#M[8]</t>
  </si>
  <si>
    <t>#K(There's one from the radio station,
a request for help with the flea market...)</t>
  </si>
  <si>
    <t>#E[1]#M[9](These all seem worth doing...and pretty
fitting for the last free day of the year,
too.)</t>
  </si>
  <si>
    <t>AniDetachEQU083</t>
  </si>
  <si>
    <t>AniWait1</t>
  </si>
  <si>
    <t>#E[3]#M[9]</t>
  </si>
  <si>
    <t>#1P(It's only about nine in the morning, so
I've got plenty of time to work through
everything.)</t>
  </si>
  <si>
    <t>#E_2#M[9](Let's get to work!)</t>
  </si>
  <si>
    <t>~About Reporting Quests~</t>
  </si>
  <si>
    <t>To report quests, speak to Towa in the Student Union
building directly.</t>
  </si>
  <si>
    <t>By selecting [Report Progress], you can receive rewards for
any quests completed.</t>
  </si>
  <si>
    <t>QS_5103_02_B</t>
  </si>
  <si>
    <t>A</t>
  </si>
  <si>
    <t>#E_8#M_A</t>
  </si>
  <si>
    <t>#KI never thought it was possible for this
room to get any messier...until now.</t>
  </si>
  <si>
    <t>I mean, I know she's busy with getting
all her work in order before she leaves...</t>
  </si>
  <si>
    <t>#E[9]...but would it really be THAT much extra
effort to get rid of those bottles? Or at
least stand them up.</t>
  </si>
  <si>
    <t>FC_look_dir_Yes</t>
  </si>
  <si>
    <t>#E[1]#M_A</t>
  </si>
  <si>
    <t>#KShe said she was going to be getting
ready to move out soon, too...</t>
  </si>
  <si>
    <t>#E_2Maybe I should go and remind her.</t>
  </si>
  <si>
    <t>QS_5103_02_B_02_2</t>
  </si>
  <si>
    <t>C_NPC000</t>
  </si>
  <si>
    <t>Instructor Sara</t>
  </si>
  <si>
    <t>AniEvRyoteKosi</t>
  </si>
  <si>
    <t>AniEvTeburi</t>
  </si>
  <si>
    <t>4</t>
  </si>
  <si>
    <t>#E_4#M_4</t>
  </si>
  <si>
    <t>#KPhew! You're a real lifesaver!</t>
  </si>
  <si>
    <t>#E[9]#M_0</t>
  </si>
  <si>
    <t>#KI didn't think that'd wear me out
so much.</t>
  </si>
  <si>
    <t>#E_0#M_9I'll go toss the rest of the garbage
out, so you can stay in here and
rest up.</t>
  </si>
  <si>
    <t>#E[5]#M_4</t>
  </si>
  <si>
    <t>#KAhhh. Blessed is the instructor who
has capable students, for upon them
shall be thrust the bulk of the work.</t>
  </si>
  <si>
    <t>#E[D]#M_9</t>
  </si>
  <si>
    <t>#KEven if that's what you're thinking,
do you have to actually say it right
when I'm within earshot?</t>
  </si>
  <si>
    <t>#E[1]#M_0</t>
  </si>
  <si>
    <t>#KThis was a good chance to pick
through all my stuff, though.</t>
  </si>
  <si>
    <t>#E_E#M_4I found quite a few things I'd
like to pass down to you.</t>
  </si>
  <si>
    <t>#E[C]#M_A</t>
  </si>
  <si>
    <t>#KOh?</t>
  </si>
  <si>
    <t>#E[1]#M_4</t>
  </si>
  <si>
    <t>#KHeehee. I think it's a biiiit early to
give 'em to you, though.</t>
  </si>
  <si>
    <t>#KSo for the time being, why don't
you just take these instead?</t>
  </si>
  <si>
    <t>#E[5]#M_4I've read them already, and I'm already
pushing my luggage to the limit as it is.</t>
  </si>
  <si>
    <t>#KOh, right. Lemme give you these.</t>
  </si>
  <si>
    <t>#E[1]You really helped me out today, but don't
think of this as a reward--it's just that
I've finished them already.</t>
  </si>
  <si>
    <t>#E[5]#M_4So you might as well take them. The last
thing I need is a pile of books weighing
down my luggage!</t>
  </si>
  <si>
    <t>#4KAre you just dumping your old books
on me and trying to play it off as
generosity, or am I missing something?</t>
  </si>
  <si>
    <t>#KYou WOUND me, Rean...with how well you
know me. Thanks for taking them off my
hands!</t>
  </si>
  <si>
    <t>Give 'em a read...or don't. Whatever
you want. They're yours now.</t>
  </si>
  <si>
    <t>#E_E#M[9]</t>
  </si>
  <si>
    <t>#4K(*sigh* Some things never change,
do they?)</t>
  </si>
  <si>
    <t>#4K(Hmm... Now that I look at these, they
seem like they might be worth selling
at the flea market.)</t>
  </si>
  <si>
    <t>FC_look_dir_No</t>
  </si>
  <si>
    <t>#E[1]#M[A]</t>
  </si>
  <si>
    <t>#4K(I guess I've found my first thing
to sell, then.)</t>
  </si>
  <si>
    <t>#E_2(I could just take these over now, but
I'm betting I can turn up more things
in need of cheap selling than this.)</t>
  </si>
  <si>
    <t>#E[1]#M[0]</t>
  </si>
  <si>
    <t>#4K(With these, that makes two things for the
flea market, then. That should be plenty.)</t>
  </si>
  <si>
    <t>#E_I#M[9](I could always try looking around for
more, though. The more things I can
drag in, the better.)</t>
  </si>
  <si>
    <t>#4K(Counting this, I've got three things
for the flea market, then. I think I've
found more than enough now.)</t>
  </si>
  <si>
    <t>#E_4(I should show this stuff to Brandon
and see what he thinks.)</t>
  </si>
  <si>
    <t>SB_KIZUNA_LAST_MOVE00</t>
  </si>
  <si>
    <t>SB_KIZUNA_ALISA_LAST</t>
  </si>
  <si>
    <t>I_TVIS004</t>
  </si>
  <si>
    <t>I_SVIS119</t>
  </si>
  <si>
    <t>C_PLY001_C10</t>
  </si>
  <si>
    <t>Alisa</t>
  </si>
  <si>
    <t>AniWait2</t>
  </si>
  <si>
    <t>AniEv7255</t>
  </si>
  <si>
    <t>AniEv7257</t>
  </si>
  <si>
    <t>AniEv7258</t>
  </si>
  <si>
    <t>door_main</t>
  </si>
  <si>
    <t>open2</t>
  </si>
  <si>
    <t>Voice</t>
  </si>
  <si>
    <t>#0TSorry for the wait, Rean.</t>
  </si>
  <si>
    <t>SB_KIZUNA_LAST_MOVE00</t>
  </si>
  <si>
    <t>close2</t>
  </si>
  <si>
    <t>#E_0#M_9</t>
  </si>
  <si>
    <t>#3KOh, hey, Alisa. I only just got here,
actually.</t>
  </si>
  <si>
    <t>#E[C]#M_AAll done catching up with the rest
of the Lacrosse Club?</t>
  </si>
  <si>
    <t>#E_0#M_4</t>
  </si>
  <si>
    <t>Yeah. It was great to be back with
them, but I think we've done enough
celebrating for the time being.</t>
  </si>
  <si>
    <t>#E[9]#M_0...Plus...umm...Ferris ended up giving
me a few friendly words of advice, too.</t>
  </si>
  <si>
    <t>#E_E#M_0#H[2]It's kinda hard to say no to a girl who
keeps insisting, 'A lady ought to not
keep a gentleman waiting!', you know?</t>
  </si>
  <si>
    <t>#3KHaha. Yeah. Sounds like her, all right.</t>
  </si>
  <si>
    <t>#E[1]#M_0#H[2]</t>
  </si>
  <si>
    <t>A-Anyway, never mind her.</t>
  </si>
  <si>
    <t>I</t>
  </si>
  <si>
    <t>0J</t>
  </si>
  <si>
    <t>...It really does feel strange to be back
here in our old dormitory. In a good way,
of course.</t>
  </si>
  <si>
    <t>#E_4#M_9As soon as I stepped through the doors,
all the memories of the times we've
spent together here came flooding back.</t>
  </si>
  <si>
    <t>#3KYeah, same here. It's been a long time
coming, but we finally made it.</t>
  </si>
  <si>
    <t>#E_4#M_9Well, while we're here, do you want to 
walk around inside for a bit?</t>
  </si>
  <si>
    <t>I'm curious how things are upstairs, too.</t>
  </si>
  <si>
    <t>Heehee. Sure, why not?</t>
  </si>
  <si>
    <t>door_3_02</t>
  </si>
  <si>
    <t>#E_4#M_9</t>
  </si>
  <si>
    <t>It's funny how time works, isn't it?</t>
  </si>
  <si>
    <t>#E[1]#M_9It's only been a couple months since
we were last here, and yet I feel like
it's been years...</t>
  </si>
  <si>
    <t>#3KI guess that just goes to show how much
of a mark the time we spent here has left
on us, though.</t>
  </si>
  <si>
    <t>#E_0#M_9Every room, every corridor has a memory
attached to it. Just one look, and I suddenly
remember it all like it was yesterday.</t>
  </si>
  <si>
    <t>You know, I guess that's true.</t>
  </si>
  <si>
    <t>#E_F#M_AI just wish Crow were here with us to
share this feeling. It doesn't feel quite
right without him.</t>
  </si>
  <si>
    <t>#3KI wish he were here, too. He's as much
a part of Class VII as the rest of us.</t>
  </si>
  <si>
    <t>#E_0#M_0Give it time, though. Next thing you
know, he'll be right here reminiscing
with us.</t>
  </si>
  <si>
    <t>#E_8#M_4</t>
  </si>
  <si>
    <t>You really never change, Rean.</t>
  </si>
  <si>
    <t>#E[1]#M_4It was clear from the moment we met you
were someone who really cared for others,
and you're as kind now as you were then.</t>
  </si>
  <si>
    <t>You were our leader, always tirelessly
looking out for every member of the group
and putting our needs before your own...</t>
  </si>
  <si>
    <t>#E_4#M_4We're so grateful for all you've done.
And that goes double for me, heehee.</t>
  </si>
  <si>
    <t>#3K...</t>
  </si>
  <si>
    <t>G</t>
  </si>
  <si>
    <t>...Hey, Rean?</t>
  </si>
  <si>
    <t xml:space="preserve">#E_4#M_9Do you still remember our first day
at the academy? </t>
  </si>
  <si>
    <t>#E[C]#M_8</t>
  </si>
  <si>
    <t>#4KOur first day?</t>
  </si>
  <si>
    <t>#4KHow could I possibly forget?</t>
  </si>
  <si>
    <t>#E_0#M_9First, we bumped into each other outside
the station because I was so taken by the
lino flowers, and then...that happened.</t>
  </si>
  <si>
    <t>#E[D]#M_9I'd love to tell you I've done what you
asked and forgotten, but that's just plain
not possible. Sorry about that.</t>
  </si>
  <si>
    <t>#E[9]#M_0#H[2]</t>
  </si>
  <si>
    <t>*sigh* I should've known...</t>
  </si>
  <si>
    <t>#E[A]#M_0Then again, who am I to talk? It's such an
embarrassing memory, I doubt I'll ever be
able to forget it.</t>
  </si>
  <si>
    <t>#E_F#M_0And the part outside the station was the
most picture-perfect way to meet you,
too! Then we both had to go and ruin it...</t>
  </si>
  <si>
    <t>#4KI really am sorry about what happened,
though. Just so we're clear on that.</t>
  </si>
  <si>
    <t>#E_8#M_9#H[0]</t>
  </si>
  <si>
    <t>Heehee... In a strange way, though,
it kind of worked out for the best.</t>
  </si>
  <si>
    <t>#E[1]#M_9Afterward, I just kept thinking about
what happened over and over again...</t>
  </si>
  <si>
    <t>#E_4#M_4...and before I knew it, I couldn't get
you out of my head.</t>
  </si>
  <si>
    <t>#4K#500W...!</t>
  </si>
  <si>
    <t>#E_F#M_9</t>
  </si>
  <si>
    <t>We'd barely met, and you were willing
to risk getting seriously injured just to 
protect me from harm.</t>
  </si>
  <si>
    <t>#E_4That left a real impression on me. I kept
wondering, 'Why? Why would you do that?
What kind of person must you be?'</t>
  </si>
  <si>
    <t>#E[G]#M_9Next thing I knew, I found myself watching
you from afar. I was so curious about every
little thing you did.</t>
  </si>
  <si>
    <t>And the more I learned about you, the more 
I wanted to know...</t>
  </si>
  <si>
    <t>#E[Q]#M_9I wanted to find out how you saw the world
around you, and how you were able to live so
...true to yourself.</t>
  </si>
  <si>
    <t>#4K...You know, you were always on my mind,
too.</t>
  </si>
  <si>
    <t>#E_0#M_9You've always been hardworking, with all
the pride of a noble and a strong competitive
streak...</t>
  </si>
  <si>
    <t>#E[1]#M_9...but I think what stood out to me the most
was how considerate you are of others, and
how you always put them before yourself.</t>
  </si>
  <si>
    <t>#E_4#M_9All that time you say you were thinking
about me...I was probably thinking about
you, too.</t>
  </si>
  <si>
    <t>#E_8#M_9To be honest, you've been on my mind ever
since our 'picture-perfect' meeting, as you
put it.</t>
  </si>
  <si>
    <t>Really...?</t>
  </si>
  <si>
    <t>#4KDuring the past few weeks and months,
I've gotten to know more and more about 
what makes you the person you are.</t>
  </si>
  <si>
    <t>#E[1]#M_9The two of us have had so many long talks
about finding our own paths through life
or about deciding how we want to live.</t>
  </si>
  <si>
    <t>And somewhere along the line, I found
myself hoping that between whatever you
decided, and whatever I decided...</t>
  </si>
  <si>
    <t>#E_0#M_9...the paths we chose for ourselves would
eventually meet and become one, so we
could walk side by side.</t>
  </si>
  <si>
    <t>#E[C]#M_0#H[2]</t>
  </si>
  <si>
    <t>#500WD-Does that mean...?</t>
  </si>
  <si>
    <t>#2PI love you, Alisa.</t>
  </si>
  <si>
    <t>#E[1]#M_0And no matter what happens or what you 
decide to do with your life...</t>
  </si>
  <si>
    <t>...even if our paths one day end up parting,
and we have to go our separate ways...</t>
  </si>
  <si>
    <t>#E_8#M_9...my feelings for you will never change.</t>
  </si>
  <si>
    <t>#E[Q]#M_4#H[2]</t>
  </si>
  <si>
    <t>#500WRean...</t>
  </si>
  <si>
    <t>#E[R]#M[8]</t>
  </si>
  <si>
    <t>...!</t>
  </si>
  <si>
    <t>#E[R]#M_9</t>
  </si>
  <si>
    <t>If it weren't for you, I'm not sure I would've
ever have found the courage to find a path for
myself at all.</t>
  </si>
  <si>
    <t>#E[Q]#M_9I was only able to because of how much your
determination inspired me--how it made me
want to struggle on, just like you do...</t>
  </si>
  <si>
    <t>#E[R]#M_9And I...I love you, too, Rean.</t>
  </si>
  <si>
    <t>I'm so glad...</t>
  </si>
  <si>
    <t>#E[G]#M[8]#H[1]</t>
  </si>
  <si>
    <t>#500W#5P...Mm...</t>
  </si>
  <si>
    <t>#500W#6P...</t>
  </si>
  <si>
    <t>Q</t>
  </si>
  <si>
    <t>R</t>
  </si>
  <si>
    <t>#4KHaha... I'm feeling kinda embarrassed now.</t>
  </si>
  <si>
    <t>#E[9]#M_9I've got a lot of memories of this place
already, but I think this one might leave
the strongest impression of all.</t>
  </si>
  <si>
    <t>#E[Q]#M_4</t>
  </si>
  <si>
    <t>Heehee... So am I. I can't see my face,
but I think it's safe to say it's redder
than it was at the old schoolhouse.</t>
  </si>
  <si>
    <t>#E[R]#M_4But I'll never forget this moment.
No matter what happens, I won't forget.</t>
  </si>
  <si>
    <t>#E[Q]#M_4No matter what hardships I might end up
facing, I'll just have to think of you, 
and I'll be strong enough to overcome them.</t>
  </si>
  <si>
    <t>#E[Q]#M_9</t>
  </si>
  <si>
    <t>#4KAnd the same goes for me, too.</t>
  </si>
  <si>
    <t>#E[1]#M_9I've got no idea if I really deserve someone
as good as you. There's still so much I don't
know about myself...</t>
  </si>
  <si>
    <t>#E_0#M_9...but I do know that I want you by my side,
now and in the future.</t>
  </si>
  <si>
    <t>Whatever may happen, Alisa, I hope we'll
be able to find a path we can share with
one another.</t>
  </si>
  <si>
    <t>#5SI hope so, too!</t>
  </si>
  <si>
    <t>SB_KIZUNA_LAURA_LAST</t>
  </si>
  <si>
    <t>I_SVIS169</t>
  </si>
  <si>
    <t>C_PLY003_C10</t>
  </si>
  <si>
    <t>Laura</t>
  </si>
  <si>
    <t>AniEv7480</t>
  </si>
  <si>
    <t>AniEv7485</t>
  </si>
  <si>
    <t>AniEvUdegumiF</t>
  </si>
  <si>
    <t>AniEvTeMune</t>
  </si>
  <si>
    <t>#0TOh, I didn't think you would already
be here.</t>
  </si>
  <si>
    <t>#3KHey, Laura.</t>
  </si>
  <si>
    <t>#E_0#M_9Did you finish taking care of things,
then?</t>
  </si>
  <si>
    <t>I believe so.</t>
  </si>
  <si>
    <t>#E[1]#M_4...It truly does feel strange to be back
here, though.</t>
  </si>
  <si>
    <t>It's been a long road to return here,
and yet return we did.</t>
  </si>
  <si>
    <t>#E_4#M_4This building holds so many memories
for us, I couldn't even begin to count.</t>
  </si>
  <si>
    <t>#3KIt sure does...</t>
  </si>
  <si>
    <t>#E_4#M_9Well, while we're here, you want to 
walk around inside for a bit?</t>
  </si>
  <si>
    <t>Sure. I'd like that.</t>
  </si>
  <si>
    <t>door_3_03</t>
  </si>
  <si>
    <t>#3PI don't know why, but there was a little
part of me that expected to find Crow 
here waiting for us...</t>
  </si>
  <si>
    <t>#E_F#M_0I mean, not literally expect, but there
was just a little voice in my head going,
'What if?' while walking around.</t>
  </si>
  <si>
    <t>I can hardly blame you. I felt the same.</t>
  </si>
  <si>
    <t>#E_I#M_0Instead, he's another obstacle we have
to overcome. One of many.</t>
  </si>
  <si>
    <t>#3KYeah... Still, we've been able to face
every challenge that's come our way
up till now.</t>
  </si>
  <si>
    <t>#E_2#M_0Why wouldn't our fight to bring Crow
home be the same?</t>
  </si>
  <si>
    <t>Haha. That's a good way to look at it.</t>
  </si>
  <si>
    <t>#E_4#M_4Nothing stands a chance at declaring
victory over Class VII's combined might--
or our two swords.</t>
  </si>
  <si>
    <t>Speaking of, Rean...</t>
  </si>
  <si>
    <t>#E_0#M_0I realize I've asked this once before,
but...do you like the path of the sword?</t>
  </si>
  <si>
    <t>#4KHaha. Hearing that brings back memories.</t>
  </si>
  <si>
    <t>You really caught me off guard when you
asked me that back in Celdic.</t>
  </si>
  <si>
    <t>#E_8#M_9Any reason it's on your mind again?</t>
  </si>
  <si>
    <t>#E[9]#M_4</t>
  </si>
  <si>
    <t>Haha. I was just curious.</t>
  </si>
  <si>
    <t>#E_F#M_0It feels as though after our impending
battle, things will never be the same...</t>
  </si>
  <si>
    <t>#E_8#M_4...and so before that happened, I wanted
to hear your answer one more time.
For all I know, that answer's changed.</t>
  </si>
  <si>
    <t>#4KAh, right...</t>
  </si>
  <si>
    <t>#4KWell, it hasn't. My answer's exactly the
same now as it was then.</t>
  </si>
  <si>
    <t>#E[1]#M_0Swordsmanship is like a part of me.
It's always been there, and it always
will be.</t>
  </si>
  <si>
    <t>#E_0#M_9It's not a case of liking it or not. It's just...
part of who I am. Both my swordsmanship
and my sword are 'me' in a way.</t>
  </si>
  <si>
    <t>Maybe you'll be happy to know that my
feelings on the subject haven't changed,
either.</t>
  </si>
  <si>
    <t>#E_J#M_4My stance and my resolve are the same
as they ever were.</t>
  </si>
  <si>
    <t>#E[G]#M_4I stake my pride, my soul, my very being
on my blade, and wield it to attain ever
greater heights.</t>
  </si>
  <si>
    <t>#E_4#M_4That is what it means to me. Why I value
it above all else.</t>
  </si>
  <si>
    <t>...Or so I say. I'm conflicted, to tell you the
truth.</t>
  </si>
  <si>
    <t>#E_4#M_0</t>
  </si>
  <si>
    <t>#4KConflicted? About what?</t>
  </si>
  <si>
    <t>#E_F#M_0</t>
  </si>
  <si>
    <t>In both my time at the academy and
during these past few weeks of fighting
alongside one another...</t>
  </si>
  <si>
    <t>#E_8#M_4...I seem to have found something else
just as precious to me.</t>
  </si>
  <si>
    <t>#4KAre you suggesting...?</t>
  </si>
  <si>
    <t>I've now discovered a new reason to
fight--one that differs from the reason
I've fought for all this time.</t>
  </si>
  <si>
    <t>#E[1]#M_4And that reason gives me more courage
and power than I've ever felt before.</t>
  </si>
  <si>
    <t>#E_F#M_4Never could I have imagined there would
be anything that would mean as much to
me as my path of the sword...</t>
  </si>
  <si>
    <t>...at least, not until I met you.</t>
  </si>
  <si>
    <t>#4K#500WLaura...?</t>
  </si>
  <si>
    <t>#E[R]#M_4</t>
  </si>
  <si>
    <t>Rean, I...I think I love you.</t>
  </si>
  <si>
    <t>#E[R]#M_4At first, we were just friends. But now,
I see you as something far more.</t>
  </si>
  <si>
    <t>#E_F#M_0That's why I need to know.</t>
  </si>
  <si>
    <t>#E[Q]#M_0Do you... Do you feel the same way 
about me, too?</t>
  </si>
  <si>
    <t>#4K...</t>
  </si>
  <si>
    <t>#E[9]#M_9Haha. I wanted to be the one to say 
it first, but it looks like you beat me
to it.</t>
  </si>
  <si>
    <t>#E_8#M_9I always figured that as a man, it'd end
up being my job.</t>
  </si>
  <si>
    <t>S-Sorry! That was presumptuous of me!
I'm simply not...used to these sort of
things...</t>
  </si>
  <si>
    <t>#E[5]#M_9</t>
  </si>
  <si>
    <t>#4KNo, don't worry! You've got nothing to
apologize for.</t>
  </si>
  <si>
    <t>#E[1]#M_9I've always admired you ever since our
first day here...</t>
  </si>
  <si>
    <t>Your swordsmanship is so elegant, strong,
and beautiful that I couldn't help but be
captivated by it...and by you.</t>
  </si>
  <si>
    <t>You're as strong as you are reliable,
but that feminine side you show from
time to time is adorable, too.</t>
  </si>
  <si>
    <t>#E_8#M_9I'm always happy to be part of our class,
but having a place where the two of us can
better ourselves makes me happiest of all.</t>
  </si>
  <si>
    <t>#800WTruly...?</t>
  </si>
  <si>
    <t>#2PI love you, too, Laura.</t>
  </si>
  <si>
    <t>#E[1]#M_9Even after we graduate, I want to keep
walking alongside you, following the path
of the sword...</t>
  </si>
  <si>
    <t>...and I hope that we one day reach those
heights we're aiming for--but together.</t>
  </si>
  <si>
    <t>#E_8#M_9Haha. I'm glad I finally got the chance to
say it.</t>
  </si>
  <si>
    <t>#E[C]#M[8]#H[2]</t>
  </si>
  <si>
    <t>#500W...!</t>
  </si>
  <si>
    <t>#E[R]#M[A]#H[1]</t>
  </si>
  <si>
    <t>...</t>
  </si>
  <si>
    <t>#6PL-Laura...?</t>
  </si>
  <si>
    <t>#E[R]#M_0</t>
  </si>
  <si>
    <t>#5PI had no idea it would make me this
happy to hear you say you love me...</t>
  </si>
  <si>
    <t>#E[Q]#M_0M-My face feels like it's on fire from
blushing so much.</t>
  </si>
  <si>
    <t>#6P...Haha. I feel the same way, you know.</t>
  </si>
  <si>
    <t>#E[3]#M_0</t>
  </si>
  <si>
    <t>#4KWe've got no way of knowing what the 
future holds in store for us...</t>
  </si>
  <si>
    <t>#E[1]#M_9...but we can't let a war like this stand
in our path.</t>
  </si>
  <si>
    <t>#E_0#M_9Like you said, we have a lot of obstacles
to overcome. And by overcoming ours,
we'll prove we're capable of so much more.</t>
  </si>
  <si>
    <t>#1PHeehee... Yeah. We will.</t>
  </si>
  <si>
    <t>#E[5]#M_4May we both wear the way of the sword
proudly, and together protect our friends
and our future!</t>
  </si>
  <si>
    <t>SB_KIZUNA_EMMA_LAST</t>
  </si>
  <si>
    <t>C_PLY005_C10</t>
  </si>
  <si>
    <t>Emma</t>
  </si>
  <si>
    <t>AniEv7490</t>
  </si>
  <si>
    <t>AniEvRyoteMae</t>
  </si>
  <si>
    <t>#0TSorry for being late, Rean. I hope
I didn't keep you waiting long.</t>
  </si>
  <si>
    <t>#3KOh, don't worry about it. I just
got here myself.</t>
  </si>
  <si>
    <t>#E[C]#M_0Finished everything up, then?</t>
  </si>
  <si>
    <t>Yeah. Everything seemed to be in order
over at the old schoolhouse, too.</t>
  </si>
  <si>
    <t>#E_8#M_0#H[2]Heehee. And for once, even Celine
was acting considerate.</t>
  </si>
  <si>
    <t>#3KYou don't say.</t>
  </si>
  <si>
    <t>Being here like this really feels
like old times, doesn't it?</t>
  </si>
  <si>
    <t>#E_4#M_0I made so many fond memories here in
this building, I can't even begin to
count them all.</t>
  </si>
  <si>
    <t>#3KYeah... Hey, seeing as we're already
here, you want to take a little walk
around inside?</t>
  </si>
  <si>
    <t>#E[1]#M_9I'm curious what state we left
things in, aren't you?</t>
  </si>
  <si>
    <t>#E[5]#M_0</t>
  </si>
  <si>
    <t>That sounds like fun.</t>
  </si>
  <si>
    <t>door_3_04</t>
  </si>
  <si>
    <t>#E_J#M_0</t>
  </si>
  <si>
    <t>#3KBack then, I never would've imagined that
Crow was an Awakener, or that he was working
with Misty from Abend Time of all people.</t>
  </si>
  <si>
    <t>...That makes two of us.</t>
  </si>
  <si>
    <t>#E_2#M_AWhen I think about the trial we had
to pass, it's hard to believe he did
something like that alone...</t>
  </si>
  <si>
    <t>#3KIt really makes you wonder. I mean,
we had his help when WE did it, too.</t>
  </si>
  <si>
    <t>His determination must've been incredible
to take on something like that by himself
and come out the winner.</t>
  </si>
  <si>
    <t>#E_F#M_0...And I have a feeling he'll take all
of us on by himself, too, if that's what
it comes down to.</t>
  </si>
  <si>
    <t>#E_2#M_0If we want to bring him back home with us,
we'll have to show him we're even more
stubborn and determined than he is.</t>
  </si>
  <si>
    <t>Heehee. I think we can match him point
for point on that as long as you're there.</t>
  </si>
  <si>
    <t>#E[5]#M_0And as the witch responsible for guiding
you and Valimar, I fully intend to see
everything through to the very end.</t>
  </si>
  <si>
    <t>#3KThanks. I'll be depending on you.</t>
  </si>
  <si>
    <t>Rean... I've been thinking lately...</t>
  </si>
  <si>
    <t>#E[1]#M_0Somewhere along this journey we've
taken together, I finally felt glad to
have been born a witch.</t>
  </si>
  <si>
    <t>If I hadn't, I might never have enrolled
at this academy.</t>
  </si>
  <si>
    <t>#E_8#M_0And if I'd never come here, I would
never have met everyone in Class VII.
And...I wouldn't have met you.</t>
  </si>
  <si>
    <t>#4KI'm really glad you did.</t>
  </si>
  <si>
    <t>#E[1]#M_0With all we've been through, if anyone
besides you had been guiding me...</t>
  </si>
  <si>
    <t>#E_8#M_9...I doubt we would've come as far
as we have.</t>
  </si>
  <si>
    <t>I'm happy to know you think so.</t>
  </si>
  <si>
    <t>#E[9]#M_ABefore I came to the academy, and even well
after I'd started here, I lived to fulfill
the duties expected of me as a witch.</t>
  </si>
  <si>
    <t>#E_F#M_AI'd been that way ever since I was little,
but all that time, I had no idea of the real
significance behind everything I was doing.</t>
  </si>
  <si>
    <t>#E_8#M_AMy life as a witch was so all-encompassing,
I couldn't really see anything else.</t>
  </si>
  <si>
    <t>#4KEmma...</t>
  </si>
  <si>
    <t>It was after I started here at Thors
that things started to change.</t>
  </si>
  <si>
    <t>#E_8#M_0I may have come here to keep watch over
the fate that awaited Valimar and the
one he chose as his Awakener...</t>
  </si>
  <si>
    <t>#E[3]#M_A...but I feel so much more than that now.</t>
  </si>
  <si>
    <t>#E[1]#M_0Instead of just watching over you,
I want to stand with everyone and
fight alongside you as an equal.</t>
  </si>
  <si>
    <t>#E_4#M_4I don't want to be someone who just watches
things happen. I want to be there with
Class VII no matter what's in store.</t>
  </si>
  <si>
    <t>#4KI'm happy you're with us.</t>
  </si>
  <si>
    <t>You've always been looking out for us,
doing as much as you could and supporting
us in more ways than we realized.</t>
  </si>
  <si>
    <t>#E_0#M_9I doubt Class VII would be what it is
now if you hadn't been a part of it.</t>
  </si>
  <si>
    <t>#E[5]#M_9So I think I speak for everyone when
I say, 'Thank you.' For sticking it out
through all the good and the bad.</t>
  </si>
  <si>
    <t>Heh. I owe you guys a lot of thanks, too.</t>
  </si>
  <si>
    <t>#E[9]#M_0Some days, the only reason I was able to
keep doing my part as Class VII's president
is because everyone--</t>
  </si>
  <si>
    <t>#E_8#M_0...Well, maybe...</t>
  </si>
  <si>
    <t>#E[RRRRRRRRRRRRQ]#M_0#H[0000000000002]</t>
  </si>
  <si>
    <t>...not everyone. It's because you accepted
me for who I was, Rean. You must have had
so many questions, but you were always so
patient and kind.</t>
  </si>
  <si>
    <t>#4K#500W...</t>
  </si>
  <si>
    <t>#E_F#M[8]#H[2]</t>
  </si>
  <si>
    <t>#500W...</t>
  </si>
  <si>
    <t>#4KEmma.</t>
  </si>
  <si>
    <t>#E_8#M_9The only reason I feel like I can fill
the shoes of an Awakener is because I have
you to guide me.</t>
  </si>
  <si>
    <t>#E[9]#M_9When I first found out what I had to do,
I was confused. I didn't understand what
was going on, really.</t>
  </si>
  <si>
    <t>#E_8#M_9But with you by my side and showing me
the way, I started to feel like I might be
able to really do it after all.</t>
  </si>
  <si>
    <t>#500WI-Is that so...?</t>
  </si>
  <si>
    <t>#2PEmma...I love you.</t>
  </si>
  <si>
    <t>#E[3]#M_0No matter what fate has in store for me,
I've decided I'm going to face it head on.</t>
  </si>
  <si>
    <t>#E[1]#M_9...Because as long as I have you with me,
I know that whatever the challenge, I can
rise to meet it.</t>
  </si>
  <si>
    <t>#E_8#M_9Will you stay with me?</t>
  </si>
  <si>
    <t>#E[Q]#M_0#H[1]</t>
  </si>
  <si>
    <t>#500WOf course...!</t>
  </si>
  <si>
    <t>#5PHeehee. What would Grandmother and Vita
say if they could see me now?</t>
  </si>
  <si>
    <t>#E[Q]#M_0This isn't exactly a respectable
path for a witch to take.</t>
  </si>
  <si>
    <t>#E[3]#M_9</t>
  </si>
  <si>
    <t>#4KMaybe not, but who cares?</t>
  </si>
  <si>
    <t>#E_0#M_9We're old enough to make our own choices,
and even if the path is a rough one, I'm
ready to stick it out.</t>
  </si>
  <si>
    <t>#5S#5PMe, too.</t>
  </si>
  <si>
    <t>SB_KIZUNA_FIE_LAST</t>
  </si>
  <si>
    <t>C_PLY007_C10</t>
  </si>
  <si>
    <t>Fie</t>
  </si>
  <si>
    <t>AniEv7775</t>
  </si>
  <si>
    <t>AniEv7777</t>
  </si>
  <si>
    <t>#0TSorry to keep you waiting.</t>
  </si>
  <si>
    <t>#3KHey. No worries. I haven't been waiting
long.</t>
  </si>
  <si>
    <t>#E_0#M_9Did you take care of everything you wanted
to do? Last time I saw you, you were still
out in the garden.</t>
  </si>
  <si>
    <t>Yeah. Edel and I planted some new seeds.</t>
  </si>
  <si>
    <t>#E_4#M_9I found 'em myself.</t>
  </si>
  <si>
    <t>#3KReally? I can't wait to see
what they grow into, then.</t>
  </si>
  <si>
    <t>It's kinda nice to be back home,
especially after so long.</t>
  </si>
  <si>
    <t>#3KYeah... Really brings back memories.</t>
  </si>
  <si>
    <t>#E_4#M_9And now that we're here, why don't we
head inside and walk around for a bit?</t>
  </si>
  <si>
    <t>I'm curious to see how things have
held up upstairs, too.</t>
  </si>
  <si>
    <t>Sounds good to me.</t>
  </si>
  <si>
    <t>door_3_05</t>
  </si>
  <si>
    <t>E</t>
  </si>
  <si>
    <t>#E_E#M_A</t>
  </si>
  <si>
    <t>...Wonder if Crow ever
plans on coming back to us.</t>
  </si>
  <si>
    <t>#3KHonestly, I don't think so. Not of his
own free will, at least. It's clear that
he really believes in what he's doing.</t>
  </si>
  <si>
    <t>#E_F#M_0I've sworn over and over that we'll
bring him back. I don't think that's
going to be so easy at this point...</t>
  </si>
  <si>
    <t>#E_2#M_0...but that's never put us off before.
We'll get him back no matter what
happens.</t>
  </si>
  <si>
    <t>#E_2#M_0</t>
  </si>
  <si>
    <t>Yep. We won't lose.</t>
  </si>
  <si>
    <t>#E[1]#M_0...Not to Xeno or Leo, either.</t>
  </si>
  <si>
    <t>#3KHaving to fight the two of them
this way must be tough on you.</t>
  </si>
  <si>
    <t>#E_8#M_0No one wants to fight family.</t>
  </si>
  <si>
    <t>Yeah...but that's exactly why
I can't hold back against them.</t>
  </si>
  <si>
    <t>#E_0#M_0If I show them even a hint of hesitation,
I'll never be able to get through to them.</t>
  </si>
  <si>
    <t>#E_8#M_9I think the same's true for Crow, too.</t>
  </si>
  <si>
    <t>#3K...I suppose you're right.</t>
  </si>
  <si>
    <t>AniEvWait</t>
  </si>
  <si>
    <t>I've always wanted to find a family.</t>
  </si>
  <si>
    <t>#E[1]#M_0Even my earliest memory has me wandering
lost on a battlefield, trying to find
somewhere I could belong...</t>
  </si>
  <si>
    <t>...but eventually, I found one: Zephyr.</t>
  </si>
  <si>
    <t>#E_4#M_9They gave me a place to call home, showed
me a warmth only a family can provide, and
always looked out for me.</t>
  </si>
  <si>
    <t>#4KA place to call home, huh?</t>
  </si>
  <si>
    <t>Then we lost our boss, and the family
who'd given me all of that decided to
leave me behind...</t>
  </si>
  <si>
    <t>#E_8#M_0...and I realized how weak I really was.</t>
  </si>
  <si>
    <t>#E_F#M_0On my own, I was nothing.</t>
  </si>
  <si>
    <t>I always relied on them to keep me safe,
but I couldn't do anything for them in
return.</t>
  </si>
  <si>
    <t>#E[1]#M_9After that, Sara took me in and
I wound up joining Class VII.</t>
  </si>
  <si>
    <t>#E_4#M_9For the first time in my life, I was
around people who needed me just as
much as I needed them.</t>
  </si>
  <si>
    <t>#E[G]#M_9For the first time, I could protect
them just as much as they protected me.</t>
  </si>
  <si>
    <t>I found myself part of a completely
different kind of family. One I didn't
even know existed.</t>
  </si>
  <si>
    <t>#E_4#M_9...And I'm so grateful to Class VII--
and especially you--for giving me that.</t>
  </si>
  <si>
    <t>I still want to ask them why
they all left me behind...</t>
  </si>
  <si>
    <t>#E_8#M_4...but more than that, I want to show
off the new family I've found. I want
them to see how well I'm doing now.</t>
  </si>
  <si>
    <t>#E[1]#M_4Xeno and Leo were always important to me,
but that's why I want to let them know
just how important all of you are, too.</t>
  </si>
  <si>
    <t>#4K...Haha. That's a heck of a compliment.</t>
  </si>
  <si>
    <t>#E_0#M_9Then we'll do everything in our power
to make sure you can show us off.</t>
  </si>
  <si>
    <t>Heehee. Thanks.</t>
  </si>
  <si>
    <t>It's weird. There's all kinds of ways to form
a family, right?</t>
  </si>
  <si>
    <t>#E[9]#M_0And it's easy to find where everyone else fits
in ours, but you're just kinda...different.</t>
  </si>
  <si>
    <t>#4KIn what way?</t>
  </si>
  <si>
    <t>#E_J#M_9</t>
  </si>
  <si>
    <t>Alisa, Laura, Emma, and Sara are like
older sisters to me. Millium's obviously
my annoying kid sister...</t>
  </si>
  <si>
    <t>#E[1]#M_9Machias, Jusis, and Gaius are like my big
brothers...and so's Crow, I guess.</t>
  </si>
  <si>
    <t>#E[R]#M_0But...I don't think of you like that.
You're not like a sibling, but something
else... Something closer.</t>
  </si>
  <si>
    <t>#E[Q]#M_0#H[2]I can't put it into words, though...</t>
  </si>
  <si>
    <t>#4KFie...</t>
  </si>
  <si>
    <t>#5P...</t>
  </si>
  <si>
    <t>#4K...I feel the same way about you.</t>
  </si>
  <si>
    <t xml:space="preserve">#E_E#M_9You're more than family to me, and
I'm glad to have you by my side. </t>
  </si>
  <si>
    <t>#E[1]#M_9You might be a bit younger than most of
us, but you fight harder to defend those
you love more than anyone I know.</t>
  </si>
  <si>
    <t>#E_8#M_9And you're every bit as important to
me as I am to you, if not more so.</t>
  </si>
  <si>
    <t>#5PHeehee... Good.</t>
  </si>
  <si>
    <t>#4KAnyway, we've got work to do tomorrow.</t>
  </si>
  <si>
    <t>#E_2#M_9The future of our Class VII family
rests in our hands.</t>
  </si>
  <si>
    <t>...Yeah.</t>
  </si>
  <si>
    <t>SB_KIZUNA_MILLIUM_LAST</t>
  </si>
  <si>
    <t>I_SVIS172</t>
  </si>
  <si>
    <t>C_PLY009_C10</t>
  </si>
  <si>
    <t>Millium</t>
  </si>
  <si>
    <t>AniEv7505</t>
  </si>
  <si>
    <t>AniEv7510</t>
  </si>
  <si>
    <t>AniEvRyoteAtama</t>
  </si>
  <si>
    <t>AniEv0355</t>
  </si>
  <si>
    <t>#0THey there, Rean!</t>
  </si>
  <si>
    <t>#3KHey. You sure took your time.</t>
  </si>
  <si>
    <t>#E[1]#M_9Guess you finished exploring the
grounds, Millium?</t>
  </si>
  <si>
    <t>Nope!</t>
  </si>
  <si>
    <t>#E[9]#M_ABut I didn't want to keep you waiting,
sooo...here I am.</t>
  </si>
  <si>
    <t>Heehee. This place hasn't changed a bit.</t>
  </si>
  <si>
    <t>#E[5]#M_0It feels great to finally be back here!</t>
  </si>
  <si>
    <t>#3KYeah, it does.</t>
  </si>
  <si>
    <t>#E[G]#M_9Well, while we're here, you up to walking
around inside for a bit?</t>
  </si>
  <si>
    <t>#E_4#M_9I'm curious how things are upstairs.</t>
  </si>
  <si>
    <t>#E[Q]#M_0</t>
  </si>
  <si>
    <t>Oh, yeah! I'm curious, too!</t>
  </si>
  <si>
    <t>door_3_06</t>
  </si>
  <si>
    <t>#E_I#M_A</t>
  </si>
  <si>
    <t>Feels weird seeing Crow's room all empty
again like that.</t>
  </si>
  <si>
    <t>#E_8#M_0I mean, we joined Class VII on the same
day, so he's always been there to me.</t>
  </si>
  <si>
    <t>#3KOh, yeah. I guess you did.</t>
  </si>
  <si>
    <t>#E_8#M_9We were all pretty surprised when we got
two new classmates on the same day.</t>
  </si>
  <si>
    <t>#E[9]#M_0That's unusual enough as it is without
one of them being a gambling addict and
the other one being...you.</t>
  </si>
  <si>
    <t>Can't deny that we made things more
fun, though.</t>
  </si>
  <si>
    <t>#3KHaha. True, I can't.</t>
  </si>
  <si>
    <t>#E_4#M_9I hope we weren't the only ones having
fun, though. You had fun, too, right?</t>
  </si>
  <si>
    <t>Yup. I sure did.</t>
  </si>
  <si>
    <t>It was my first time sitting down at a 
desk and studying and all that. I didn't
think I'd like it so much.</t>
  </si>
  <si>
    <t>#E_8#M_4I had so much fun, I sometimes forgot
why I was sent to the academy in the
first place...</t>
  </si>
  <si>
    <t>#3K...Well, if it was THAT fun for you,
then that's all the more reason we need
to put things back the way they were.</t>
  </si>
  <si>
    <t>We'll bring Crow home, make it through
the war in one piece...</t>
  </si>
  <si>
    <t>#E_0#M_9...and then we'll go back to studying
and having all the fun we want with
our classmates like always.</t>
  </si>
  <si>
    <t>#E[9]#M_A</t>
  </si>
  <si>
    <t>Rean, I've been feeling kinda off lately.</t>
  </si>
  <si>
    <t>#4KOff? How?</t>
  </si>
  <si>
    <t>Every time I think about how we'll have
to fight Crow, my chest hurts. It wasn't
like this before.</t>
  </si>
  <si>
    <t>I dunno why, either. It's not like I've hurt
myself there or anything...</t>
  </si>
  <si>
    <t>#E_F#M_AHe's C. He's our enemy now, and we need
to fight him...</t>
  </si>
  <si>
    <t>#E[9]#M_A...so I dunno why I feel this way. It's all
new to me.</t>
  </si>
  <si>
    <t>#4KWhat you're feeling now is totally normal.</t>
  </si>
  <si>
    <t>#E_8#M_9Crow's our classmate. We might be on
different sides right now, but he's still
one of us.</t>
  </si>
  <si>
    <t>#E_E#M_0And fighting against a friend is hard.
It hurts to fight someone you care about.</t>
  </si>
  <si>
    <t>#E[1]#M_9So there's nothing 'off' about it, Millium.
It's perfectly normal to feel the way you
do.</t>
  </si>
  <si>
    <t>It is...?</t>
  </si>
  <si>
    <t>Hmm... Maybe it is for you, but I dunno
if it's such a good thing for me to feel
like this as an Ironblood.</t>
  </si>
  <si>
    <t>#E_F#M_4These feelings might get in the way of
me doing my work in the future, so I'd
probably be better off without them...</t>
  </si>
  <si>
    <t>#4KMaybe so, but I'm still happy you feel
that way.</t>
  </si>
  <si>
    <t>...? Why's that?</t>
  </si>
  <si>
    <t>#4KNot everyone will agree with me, but
I think it's important to know what it
feels like to be sad or in pain.</t>
  </si>
  <si>
    <t>#E_I#M_9We strive to be kind to others because
we know what it's like to suffer.</t>
  </si>
  <si>
    <t>#E_0#M_9And it's only by overcoming sadness and
pain that we grow stronger as people.</t>
  </si>
  <si>
    <t>#E[1]#M_9Personally, I'd say feeling hurt is a sign
that you're starting to grow up.</t>
  </si>
  <si>
    <t>#E_0#M_9This war is terrible, but fighting your way
through it has given you feelings that will
forever change you.</t>
  </si>
  <si>
    <t>#E_0#M_A</t>
  </si>
  <si>
    <t>You think?</t>
  </si>
  <si>
    <t>#4KYeah. In the best way, too. For me, for the rest
of our class...</t>
  </si>
  <si>
    <t>#E_0#M_9...and for you, of course.</t>
  </si>
  <si>
    <t>#E[5]#M_9But like I said, you're only just starting. You've
still got plenty of growing to do, and I want to
watch over you every step of the way.</t>
  </si>
  <si>
    <t>#500WWow...</t>
  </si>
  <si>
    <t xml:space="preserve">#5P...Ahaha. I'll never figure out how you
don't burst out laughing in the middle
of all those mushy speeches. </t>
  </si>
  <si>
    <t>#E[8]#M_4We're classmates, but you barely know
anything about me if you think about it.</t>
  </si>
  <si>
    <t>#6KHaha. You're right, I suppose.</t>
  </si>
  <si>
    <t>#E[9]#M_9I don't know about your past, how you
came to be an Ironblood...or what
connection you have to Altina, either.</t>
  </si>
  <si>
    <t>#E[1]#M_9That's not as big a problem as you think
it might be, though.</t>
  </si>
  <si>
    <t>#E_I#M_9It's all trivial compared to the one thing
we DO know: we all care about you.</t>
  </si>
  <si>
    <t>#5PHeehee. That so?</t>
  </si>
  <si>
    <t xml:space="preserve">#E[9]#M_0#H[0]You love me thaaat much, huh? </t>
  </si>
  <si>
    <t>#E[A]#M_0So, you gonna marry me when I'm all
grown up and hot and stuff?</t>
  </si>
  <si>
    <t>#6KLet's not get ahead of ourselves...</t>
  </si>
  <si>
    <t>#E[1]#M_9Still, I meant everything that I said.</t>
  </si>
  <si>
    <t>#E_0#M_9And when all this is over, you can use all
those new feelings you gained to keep on
growing right here at the academy.</t>
  </si>
  <si>
    <t>#5PHeehee. Roger. ♪</t>
  </si>
  <si>
    <t>SB_KIZUNA_SARA_LAST</t>
  </si>
  <si>
    <t>I_SVIS173</t>
  </si>
  <si>
    <t>AniEv7680b</t>
  </si>
  <si>
    <t>AniEvHookaki</t>
  </si>
  <si>
    <t>AniEv7680a</t>
  </si>
  <si>
    <t>AniEvSeki</t>
  </si>
  <si>
    <t>#0TFinally! Sorry if I kept you waiting.</t>
  </si>
  <si>
    <t>#3KNot at all. I think I actually
showed up a little early.</t>
  </si>
  <si>
    <t>#E_4#M_9Finally had enough booze for the
night, I take it?</t>
  </si>
  <si>
    <t>Yeah. Had enough of the bad company,
too, so I managed to skedaddle.</t>
  </si>
  <si>
    <t>#E[1]#M_0I figure the others should be able to
handle things over at the academy.</t>
  </si>
  <si>
    <t>#E[G]#M_0</t>
  </si>
  <si>
    <t>Just standing here really does bring
the memories flooding back, doesn't it?</t>
  </si>
  <si>
    <t>#E_4#M_0For as long as we spent here, it feels
like we've been away even longer.</t>
  </si>
  <si>
    <t>#E[5]#M_0#e[4]But I'm glad you made good on your word
and took it back from the alliance.</t>
  </si>
  <si>
    <t>#3KSo am I. And I know I couldn't have
done it without you.</t>
  </si>
  <si>
    <t>#E[1]#M_9Say, while we're here, why don't we
take a little stroll through the place?</t>
  </si>
  <si>
    <t>#E_4#M_9I'm feeling the itch to see if
everything upstairs is like we left it.</t>
  </si>
  <si>
    <t>#E[1]#M_0#e[1]</t>
  </si>
  <si>
    <t>It's a date.</t>
  </si>
  <si>
    <t>door_3_01</t>
  </si>
  <si>
    <t>A shame Crow isn't back with us
like old times, huh?</t>
  </si>
  <si>
    <t>#E_EIn a way, he hasn't changed a bit since
his first day. Even then, he was never
honest with his feelings.</t>
  </si>
  <si>
    <t>#3KOh, yeah. You helped out with the ARCUS
trials they all did last year, didn't you?</t>
  </si>
  <si>
    <t>Yep. We sent 'em all over the country,
just like we did with you guys during
your field studies.</t>
  </si>
  <si>
    <t>#E_E#M_ASometimes, I can't help but wonder that if I'd
noticed something was off with Crow back then,
we all could've been spared a lot of heartache.</t>
  </si>
  <si>
    <t>#E[9]#M_AI've known him even longer than you guys have.
Heck, I was his teacher. I guess I keep thinking,
maybe there was something I could've done.</t>
  </si>
  <si>
    <t>#3KIt's not your fault. Crow's planning was
meticulous. He'd been setting it up for years.
He would've gone through with it either way.</t>
  </si>
  <si>
    <t>#E_J#M_0But I'm not going to sit back and let that
be that. We'll face him down, beat him, and
bring him back. That's my promise.</t>
  </si>
  <si>
    <t>#E_0#M_0He'll be back where he belongs: with us.
And you'll be there with us, too.</t>
  </si>
  <si>
    <t>Yeah?</t>
  </si>
  <si>
    <t>#E[G]#M_0Heehee. I know you'll do everything you
can. If anyone can bring Crow back,
it's you guys.</t>
  </si>
  <si>
    <t>It's been almost two years since
I traded in my bracer badge for the
whole teacher shtick...</t>
  </si>
  <si>
    <t>#E_4#M_0...but there's never been a day when
I regretted making the switch.</t>
  </si>
  <si>
    <t>#4KLikewise. We couldn't have ended
up with a better homeroom teacher.</t>
  </si>
  <si>
    <t>#E[1]#M_9Your methods seemed really bizarre at first,
but when I look back, everything you did
prepared us for what was to come.</t>
  </si>
  <si>
    <t>Haha. Thanks. It makes me happy
to hear that.</t>
  </si>
  <si>
    <t>#E[1]#M_0I'd like to think you all learned a lot
from me, but over the past year, I've
learned plenty from you guys, too.</t>
  </si>
  <si>
    <t>Things I never learned pounding the
battlefields as a jaeger or during
my time with the bracers...</t>
  </si>
  <si>
    <t>#E_F#M_0...but whatever the future holds for me,
I know the time I spent here will help
guide me in whatever I end up doing next.</t>
  </si>
  <si>
    <t>#4KWait... Whatever the future holds?
You're not thinking of...</t>
  </si>
  <si>
    <t>Heh... I don't even know anymore.</t>
  </si>
  <si>
    <t>#E[1]#M_ANo matter which side comes out on top
in this war, the Empire's never going
to be the same again.</t>
  </si>
  <si>
    <t>#E_J#M_AWhen it's all over, should I stay on as an
instructor here? Should I go back to being
a bracer? Or branch out into something new?</t>
  </si>
  <si>
    <t>#E_2#M_0All I know is that I want to be able to
support you guys in whatever you decide
to work towards as much as I can.</t>
  </si>
  <si>
    <t>#E[3]#M_0Just HOW I'm gonna do that, I don't really
know yet. I'm hoping that fighting through
the battle ahead of us brings me an answer.</t>
  </si>
  <si>
    <t>#4KHaha. You really are amazing, you know that?</t>
  </si>
  <si>
    <t>#E_E#M_9No matter how fast we grow, you're always
a step ahead of us, pushing forward into
the unknown to show us the way.</t>
  </si>
  <si>
    <t>#E_8#M_9...I'm never going to be able to measure
up to you, am I?</t>
  </si>
  <si>
    <t>What do you mean?</t>
  </si>
  <si>
    <t>#4KYou're experienced. Reliable. Always ahead
of us, just out of reach, but guiding us forward...</t>
  </si>
  <si>
    <t>#E[1]#M_9You're strict sometimes, but you're always
compassionate, and you bury your weaknesses
deep down to be someone we can rely on.</t>
  </si>
  <si>
    <t>And somewhere along the way, I started to
hope that one day, I'll be able to finally
catch up to you...</t>
  </si>
  <si>
    <t>#E_8#M_9...so that we can think of each other as peers.
As something more than just teacher and
student.</t>
  </si>
  <si>
    <t>#E[9]#M_9</t>
  </si>
  <si>
    <t>#4KAs things stand, I'm still a long way
from being there.</t>
  </si>
  <si>
    <t>#E[1]#M_0But when this war is behind us and life
slows back down to its normal pace...</t>
  </si>
  <si>
    <t>#E[3]#M_9...there'll come a day when I graduate
from Thors and head out into the world
as a real man.</t>
  </si>
  <si>
    <t>#E_2#M_9When that day comes, I want to be there
for you, in some way, as your equal.</t>
  </si>
  <si>
    <t>#E[C]#M_A#H[2]</t>
  </si>
  <si>
    <t>Oh, my...</t>
  </si>
  <si>
    <t>#E[9]#M_0...Heehee. Well, you're just full of
surprises tonight, aren't you?</t>
  </si>
  <si>
    <t>#E_4#M_0With all that's been going on, I never
realized you felt that way about me.</t>
  </si>
  <si>
    <t>#E[1]#M_0#H[0]</t>
  </si>
  <si>
    <t>You can be pretty daring sometimes,
you know that?</t>
  </si>
  <si>
    <t>#E[A]#M_0I'm sure you're well aware that I go for
the classy, mature gentleman type and
not students, though.</t>
  </si>
  <si>
    <t>#4KY-Yeah, but we're looking toward the
future, right?</t>
  </si>
  <si>
    <t>#E[3]#M_9#H[0]</t>
  </si>
  <si>
    <t>Students grow up. Boys become men.</t>
  </si>
  <si>
    <t>#E_2#M_9Sure, I might not look the part now, but
one day, I'll be a dashing, handsome gent
who can turn even your head.</t>
  </si>
  <si>
    <t>#E[R]#M_A#H[2]#500WAll right, then.</t>
  </si>
  <si>
    <t>3</t>
  </si>
  <si>
    <t>#E[3]#M_A#H[0]</t>
  </si>
  <si>
    <t>I want you to close your eyes.</t>
  </si>
  <si>
    <t>#E_2#M_AIn fact, I'm making it a formal
assignment. No peeking.</t>
  </si>
  <si>
    <t>#E[C]#M_8#H[0]</t>
  </si>
  <si>
    <t>#4KWh-Why...?</t>
  </si>
  <si>
    <t>#E[A]#M_0</t>
  </si>
  <si>
    <t>Shhh. No questions! Good students are
supposed to listen to their teachers.</t>
  </si>
  <si>
    <t>#4KW-Well, if you say so.</t>
  </si>
  <si>
    <t>#E[G]#M[8]#H[2]</t>
  </si>
  <si>
    <t>*kiss*</t>
  </si>
  <si>
    <t>#2PHeehee. Just think of that as
a little appetizer.</t>
  </si>
  <si>
    <t>#E_4#M_0#H[2]In a couple years, if you're still hungry
for the main course, come and find me.
I'll make it worth the chase.</t>
  </si>
  <si>
    <t>#E[4]#M_0#e[5]#H[2]Still, there's no need to rush.
I'm willing to wait if you are.</t>
  </si>
  <si>
    <t>#E_8#M_4#H[2]</t>
  </si>
  <si>
    <t>#3KThanks.</t>
  </si>
  <si>
    <t>SB_KIZUNA_TOWA_LAST</t>
  </si>
  <si>
    <t>I_SVIS174</t>
  </si>
  <si>
    <t>C_NPC003</t>
  </si>
  <si>
    <t>Acting Captain Towa</t>
  </si>
  <si>
    <t>AniEv7705</t>
  </si>
  <si>
    <t>#0THeehee. Thanks for inviting me here,
Rean.</t>
  </si>
  <si>
    <t>#3KAnd thank YOU for coming by.</t>
  </si>
  <si>
    <t>#E_0#M_9Guess you're all done with work?</t>
  </si>
  <si>
    <t>Yup. The other Student Council members
said they don't mind splitting what's left
between themselves.</t>
  </si>
  <si>
    <t>#E_8#M_0I wanted to stay longer, but it was hard
for me to say no after they insisted I take
the rest of the night off.</t>
  </si>
  <si>
    <t>#3KHaha. Can't blame them there.
You've always been a workaholic.</t>
  </si>
  <si>
    <t>It sure is nice being back in here.</t>
  </si>
  <si>
    <t>#E_8#M_0I mean, I never lived with you guys,
but I would drop by all the time to
deliver your requests on free days.</t>
  </si>
  <si>
    <t>#3KAnd you always had to do it so early in
the morning, too. I can't count how many
times you went out of your way for me.</t>
  </si>
  <si>
    <t>#E_4#M_9Well, while we're here, how about I give
you a tour?</t>
  </si>
  <si>
    <t>Heehee. Why not?</t>
  </si>
  <si>
    <t>So that was the room Crow lived in for 
the two and a half months he was here,
huh?</t>
  </si>
  <si>
    <t>#E_E#M_0He lived with the rest of us in our dorm
before that, but he seemed to have way
more fun with all of you...</t>
  </si>
  <si>
    <t>#E_8#M_0I was a little jealous of him, to be honest.</t>
  </si>
  <si>
    <t>#3KHaha. Really?</t>
  </si>
  <si>
    <t>If Crow was going to come back anywhere
in Trista, it'd be here.</t>
  </si>
  <si>
    <t>#E_8#M_0What with how it connects all of you and
even me, Angie, and George, I doubt
there's anywhere in Erebonia he'd rather be.</t>
  </si>
  <si>
    <t>#3KYeah, you're right. I doubt he feels like
he belongs while he's with the alliance,
anyway.</t>
  </si>
  <si>
    <t>#E_2#M_9Which is why I fully intend to honor my
promise to drag him back here.</t>
  </si>
  <si>
    <t>And I can't wait to see him graduate!</t>
  </si>
  <si>
    <t>Heehee... It really is amazing just how
dependable you've become.</t>
  </si>
  <si>
    <t>#E_8#M_0When I first met you, I had no idea I would
end up relying on you so much. Even after,
I never thought you could handle it all.</t>
  </si>
  <si>
    <t>#4KHaha... I suppose we both had weird first
impressions of each other, didn't we?</t>
  </si>
  <si>
    <t>#E[9]#M_9I'm not proud of it, but I totally didn't
believe you were a second year when we
first met.</t>
  </si>
  <si>
    <t>#E_4#M_9That being said, you were quick to prove
me wrong. You're so capable and reliable.</t>
  </si>
  <si>
    <t>Heehee... Thanks.</t>
  </si>
  <si>
    <t>#E_8#M_0But there's something I want you
to remember, Rean.</t>
  </si>
  <si>
    <t>#4KLike...?</t>
  </si>
  <si>
    <t>I really do think you're amazing, and not
just because of all you did at the academy.</t>
  </si>
  <si>
    <t>#E_F#M_AYou were chosen by Valimar, and you've
gone through all kinds of scary experiences
as a result.</t>
  </si>
  <si>
    <t>#E_8#M_0You've made a difference to the lives of
so many, and you're surrounded by people
who see you as their leader...</t>
  </si>
  <si>
    <t>#E[1]#M_9...but no matter what happens, no matter
what you're up against...</t>
  </si>
  <si>
    <t>#E_0#M_9...I don't want you to forget that you're
only human like the rest of us.</t>
  </si>
  <si>
    <t>I don't really believe there are natural-
born heroes out there who are superior
to everyone else.</t>
  </si>
  <si>
    <t>#E[1]#M_0And I don't think you're an exception.
So don't feel like you have to shoulder
everyone's problems by yourself.</t>
  </si>
  <si>
    <t>#E_2#M_0We're all here with you if you need us.
There's no shame in asking for help or
relying on others if you need to, okay?</t>
  </si>
  <si>
    <t>#4K...Wow. Umm...</t>
  </si>
  <si>
    <t>#4KThank you for saying that. Really.</t>
  </si>
  <si>
    <t>#E_E#M_0Talking to you gives me a sense of
ease in a way nothing else can...</t>
  </si>
  <si>
    <t>#E[Q]#M_0You're always willing to accept people
for who they are, strengths, flaws, and
all.</t>
  </si>
  <si>
    <t>I don't know about that!</t>
  </si>
  <si>
    <t>It was only because you were there
to support me that I was able to start 
accepting myself for who I really am.</t>
  </si>
  <si>
    <t>#E[1]#M_9That I was able to try and keep moving
forward as I am instead of losing faith
in myself.</t>
  </si>
  <si>
    <t>#E_8#M_9So...thank you. For everything.</t>
  </si>
  <si>
    <t>#E[5]#M_4#H[2]</t>
  </si>
  <si>
    <t>...Heehee. I'm happy to hear you say that.</t>
  </si>
  <si>
    <t>#E[G]#M_4#H[0]It's weird. Now, more than ever, I feel so
glad I was able to become Thors' Student
Council president.</t>
  </si>
  <si>
    <t>#E_8#M_4If I hadn't, I might have never met you.</t>
  </si>
  <si>
    <t>#E[RRRRRRRRRRRRRRRRRRQ]#M_4#H[2]And...I doubt I would ever have started
feeling like this.</t>
  </si>
  <si>
    <t>#E_8#M_A#1000WRean, can you kneel down for a minute?</t>
  </si>
  <si>
    <t>#E[4]#M_8</t>
  </si>
  <si>
    <t>#4KHuh?</t>
  </si>
  <si>
    <t>Umm... Like this?</t>
  </si>
  <si>
    <t>#7K#500W...!</t>
  </si>
  <si>
    <t>#6PDon't worry. I'm sure everything will work
out just fine.</t>
  </si>
  <si>
    <t>#E_4#M_4We might not be heroes, but that's all the
more reason we'll see this through to the
end without giving up.</t>
  </si>
  <si>
    <t>#E[5]#M_4And we'll do it without losing a single one
of us along the way!</t>
  </si>
  <si>
    <t>#E_8#M_4#H[0]</t>
  </si>
  <si>
    <t>#7K...Heh. Right.</t>
  </si>
  <si>
    <t>SB_KIZUNA_ALFIN_LAST</t>
  </si>
  <si>
    <t>event/ev2li101.eff</t>
  </si>
  <si>
    <t>C_NPC012_C00</t>
  </si>
  <si>
    <t>Princess Alfin</t>
  </si>
  <si>
    <t>AniEv7315</t>
  </si>
  <si>
    <t>AniEvMukkii</t>
  </si>
  <si>
    <t>#0TSo this is what it looks like on
the inside!</t>
  </si>
  <si>
    <t>#3KOh, hello. Welcome to our dormitory.</t>
  </si>
  <si>
    <t>#E_0#M_9Did you finish talking to the principal?</t>
  </si>
  <si>
    <t>That's right. We sorted out all the
arrangements for tomorrow.</t>
  </si>
  <si>
    <t>#E_0#M_0I had the delightful opportunity to
enjoy the academy atmosphere on
the way here as well.</t>
  </si>
  <si>
    <t>#E[5]#M_0If there are ever any other festivals or
the like here, I'll have to try and come
back by myself to see them. ♪</t>
  </si>
  <si>
    <t>#3KHaha...</t>
  </si>
  <si>
    <t>So this is where you and your classmates
spent so much of your time...</t>
  </si>
  <si>
    <t>#E_8#M_0...Heehee. I almost feel as if I shouldn't
be here. Like I've stepped into Class VII's
private little world.</t>
  </si>
  <si>
    <t>#3KOh, not at all. You're very welcome here.</t>
  </si>
  <si>
    <t>#E[1]#M_9So, how would you like me to show you
around the building?</t>
  </si>
  <si>
    <t>#E_4#M_9I'm curious how things are upstairs now, 
too.</t>
  </si>
  <si>
    <t>W-Well, if you're offering, then let
the tour begin!</t>
  </si>
  <si>
    <t>So that was once Crow's room...</t>
  </si>
  <si>
    <t>#E_8#M_0His room was opposite to yours, then?</t>
  </si>
  <si>
    <t>#3KYeah. He only lived there for a couple
months, but I can't picture anyone else
being there.</t>
  </si>
  <si>
    <t>#E[1]#M_9It was pretty handy having him so close
by, too, especially when we were making
plans for the festival.</t>
  </si>
  <si>
    <t>#E_8#M_9We could just wander into each other's
rooms any time we needed something.</t>
  </si>
  <si>
    <t>You two must have trusted one another
so deeply...</t>
  </si>
  <si>
    <t>#E_E#M_AAnd that makes the fact you two have
to fight one another all the more
depressing. Why must it be that way?</t>
  </si>
  <si>
    <t>#E_2#M_A...Well, just know that while I may not
be able to come with you, I'll be praying
for the best.</t>
  </si>
  <si>
    <t>#3KI appreciate that.</t>
  </si>
  <si>
    <t>#E_0#M_9Don't worry, Your Highness. I fully
intend to win against him and bring
him right back here.</t>
  </si>
  <si>
    <t>#E[5]#M_9I mean, we've got you on our side.
How could we possibly lose?</t>
  </si>
  <si>
    <t>#E_8#M_0#H[2]</t>
  </si>
  <si>
    <t>Oh, Rean, you're such a tease...</t>
  </si>
  <si>
    <t>F</t>
  </si>
  <si>
    <t>Besides, I'm hardly the lovely,
kindhearted girl you think I am.</t>
  </si>
  <si>
    <t>#E[4]#M_0</t>
  </si>
  <si>
    <t>#4KPardon?</t>
  </si>
  <si>
    <t>#E_F#M_A</t>
  </si>
  <si>
    <t>At first, I was acting as a substitute for
Elise, because she couldn't be near you
herself.</t>
  </si>
  <si>
    <t>#E[9]#M_0I thought, if she couldn't support you,
I would try to do so in her place.</t>
  </si>
  <si>
    <t>#M_AAnd before I knew it, I found myself
learning things about you that even she
didn't know...</t>
  </si>
  <si>
    <t>#E[Q]#M_0...and the more I learned, the guiltier I felt.
Guilty because knowing things she didn't
made me feel...well, really happy.</t>
  </si>
  <si>
    <t>#4KOh. I, uh... I had no idea...</t>
  </si>
  <si>
    <t>#E[R]#M_A</t>
  </si>
  <si>
    <t>And as if that weren't awful enough,
I found myself wanting to know more
and more...</t>
  </si>
  <si>
    <t>#E[QQQQQQQQQQQR]#M_4What right do I have to call Elise my
best friend when I feel this way...?</t>
  </si>
  <si>
    <t>#E_8#M[9]</t>
  </si>
  <si>
    <t>#3KI'm honored to hear that.</t>
  </si>
  <si>
    <t>#E_8#M_9You needn't think it was one-sided,
Your Highness. I was happy to learn more
about you through all of this, too.</t>
  </si>
  <si>
    <t>#E_4#M_A</t>
  </si>
  <si>
    <t>You...were?</t>
  </si>
  <si>
    <t>I've learned how much of a prankster you 
can be, how hard you work for the people 
of your country, how smart you are...</t>
  </si>
  <si>
    <t>#E_8#M_9I see you always conducting yourself with 
dignity and pride, and I've also seen just
how much you care for everyone around you.</t>
  </si>
  <si>
    <t>#E[D]#M_4I'd be careful that one...other interest of
yours doesn't get out of hand, though.</t>
  </si>
  <si>
    <t>#E[BBBBBBBBBBBBBBN]#M_A</t>
  </si>
  <si>
    <t>#5SOhhh... This simply isn't fair!</t>
  </si>
  <si>
    <t>#E_F#M_AIt's like I'm the only one getting worked
up here while you just play everything off,
cool as a cucumber!</t>
  </si>
  <si>
    <t>#E[3]#M_AWell, whatever happens, it's all on you!
I take no responsibility!</t>
  </si>
  <si>
    <t>#E[A]#M_A#H[2]</t>
  </si>
  <si>
    <t>#3S...When we find Elise, I'm going to tell
her everything, and we'll talk it through.
All night if need be!</t>
  </si>
  <si>
    <t>#3S#E[3]#M_4Oh! Perhaps working together as a team
might not be such a bad idea!</t>
  </si>
  <si>
    <t>#E_E#M[0]</t>
  </si>
  <si>
    <t>#4K(Why am I suddenly filled with
an overwhelming sense of dread?)</t>
  </si>
  <si>
    <t>#E_2#M_A</t>
  </si>
  <si>
    <t>Anyway!</t>
  </si>
  <si>
    <t>#E[R]#M_ANone of this even matters if you don't
come back alive tomorrow--so you have
to, all right?!</t>
  </si>
  <si>
    <t>#E[Q]#M_AWith Elise, of course. Promise?</t>
  </si>
  <si>
    <t>#E[3]#M_9I wouldn't dream of doing otherwise.</t>
  </si>
  <si>
    <t>#E_2#M_9The two of us will be back before you know it.
So wait a little longer, okay?</t>
  </si>
  <si>
    <t>head_point:NODE_HEAD</t>
  </si>
  <si>
    <t>#5SI can't wait!</t>
  </si>
  <si>
    <t>SB_KIZUNA_ELIOT_LAST</t>
  </si>
  <si>
    <t>I_SVIS168</t>
  </si>
  <si>
    <t>C_PLY002_C10</t>
  </si>
  <si>
    <t>Elliot</t>
  </si>
  <si>
    <t>AniEv7640</t>
  </si>
  <si>
    <t>#0THey, Rean. Didn't think
you'd be here already.</t>
  </si>
  <si>
    <t>#3KNeither did I, to be honest...
It just kind of...happened.</t>
  </si>
  <si>
    <t>#E_0#M_9Finished everything up with
the Wind Orchestra, I take it?</t>
  </si>
  <si>
    <t>Sure did. It was great to be able
to play together with them again.</t>
  </si>
  <si>
    <t>#E[1]#M_0I swear, though...</t>
  </si>
  <si>
    <t>Looking around, you'd think we never left.</t>
  </si>
  <si>
    <t>#E_4#M_0It's just like coming home.</t>
  </si>
  <si>
    <t>#3KYeah, I feel the same way. Thors might
not be the home any of our class grew
up in, but it's our home nonetheless.</t>
  </si>
  <si>
    <t>#E_4#M_9Come on. Let's walk around for a bit.</t>
  </si>
  <si>
    <t>I want to check on things upstairs, too.</t>
  </si>
  <si>
    <t>door_2_02</t>
  </si>
  <si>
    <t>Nothing's changed. Even after all this 
time, it's exactly as we left it.</t>
  </si>
  <si>
    <t>#E_E#M_AIt feels like we've gone back in time
to our last day here...but somehow lost
Crow in the process.</t>
  </si>
  <si>
    <t>#3KYeah...</t>
  </si>
  <si>
    <t xml:space="preserve">#E_F#M_0His absence makes all the difference
in the world, too. Like any twinge of
nostalgia I feel is somehow...wrong. </t>
  </si>
  <si>
    <t>I know what you mean. It's like trying
to perform a concert with an instrument
missing. It's just not the same.</t>
  </si>
  <si>
    <t>#E[9]#M_AThough in this case, the
concert is our class.</t>
  </si>
  <si>
    <t>#3KY-Yeah, I got that... But you're right.
He might not have been with us on day one,
but Class VII isn't complete without him.</t>
  </si>
  <si>
    <t>#E_0#M_0...Which is why we can't give up.</t>
  </si>
  <si>
    <t>#E_0#M_9To go back to your metaphor, we might be
missing an instrument, but we can still
go out and steal it back, right?</t>
  </si>
  <si>
    <t>Right!</t>
  </si>
  <si>
    <t>...Hey, Rean? I've got a question.</t>
  </si>
  <si>
    <t>#E_4#M_0Do you still remember the day
of our welcoming ceremony?</t>
  </si>
  <si>
    <t>#4KHow could I forget?</t>
  </si>
  <si>
    <t>#4KIt was a pretty eventful day, but I still
remember that you were the first to try
and start a proper conversation with me.</t>
  </si>
  <si>
    <t>#E_4#M_9I guess you could say you were my
first friend AT this academy.</t>
  </si>
  <si>
    <t>Ahaha. Well, you were mine, too.</t>
  </si>
  <si>
    <t>#E_E#M_0To tell you the truth, I was really,
really nervous that day.</t>
  </si>
  <si>
    <t>#E[1]#M_AI wasn't exactly thrilled to be here, for
one thing. My dad practically forced me
into attending in the first place.</t>
  </si>
  <si>
    <t>#E[9]#M_ASo I was feeling pretty doubtful that I'd
be able to deal with wasting two years of
my life at an academy I didn't care about.</t>
  </si>
  <si>
    <t>#E_0#M_0So, in order to try to get a handle on
things, I figured the first person I tried
to talk to should be my opposite.</t>
  </si>
  <si>
    <t>#4KWhat do you mean by that?</t>
  </si>
  <si>
    <t>Someone who, unlike me, had strong
convictions.</t>
  </si>
  <si>
    <t>#E_0#M_0Someone who was looking forward
instead of backwards.</t>
  </si>
  <si>
    <t>I remember seeing you there in that
auditorium and thinking, 'There he
is. He's the one.'</t>
  </si>
  <si>
    <t>#E[5]#M_0It sounds stupid, but I figured if
I could make friends with someone like
you, maybe I'd get stronger, too.</t>
  </si>
  <si>
    <t>#4K...Haha. Wow. I didn't know you had such
high expectations when you first started
talking to me.</t>
  </si>
  <si>
    <t>#E[9]#M_0But if that's what you wanted to do,
you picked the wrong guy. I wasn't
anywhere CLOSE to being strong.</t>
  </si>
  <si>
    <t>#E_I#M_0Worse yet, I was so oblivious, I didn't
even realize that there were people around
me who really cared.</t>
  </si>
  <si>
    <t>Ahaha... I don't know about that. The fact
that you're kicking yourself now means that
you've grown up quite a bit since then.</t>
  </si>
  <si>
    <t>#E[1]#M_0So no matter what you say, I'm sure
I chose the right person to talk to.
No doubt about it.</t>
  </si>
  <si>
    <t>#4KO-Oh... Thanks, Elliot.</t>
  </si>
  <si>
    <t>Spending time with you has made me
stronger, too. Strong enough that even
Dad will accept the path I've chosen.</t>
  </si>
  <si>
    <t>#E[5]#M_0...And while it's come as some surprise,
it's also helped me realize more than
ever the real power of music.</t>
  </si>
  <si>
    <t>#E[1]#M_0I don't think my love for music has ever
been stronger, in fact. That's something
else I owe almost entirely to you.</t>
  </si>
  <si>
    <t>#E_8#M_0You helped me find my path, and now,
thanks to you, I can see it stretching
out in front of me.</t>
  </si>
  <si>
    <t>#2PReally? That's nice to hear.</t>
  </si>
  <si>
    <t>#E[1]#M_0But you're stronger than you think.
You always have been.</t>
  </si>
  <si>
    <t>#E_0#M_9Even if you're kind of small, the music
in your heart has always roared. You
never let that conviction fade, either.</t>
  </si>
  <si>
    <t>#E[5]#M_4I've always admired that about
you, and I've always been proud
to call you my friend.</t>
  </si>
  <si>
    <t>Heehee... Thanks. I mean it, Rean.</t>
  </si>
  <si>
    <t>#E[1]#M_4You really are the best friend
I ever could've hoped for.</t>
  </si>
  <si>
    <t>#E[0000000000000000000000000000000000000000005]#M_4As long as we're together, there's
nothing that can stand in our way.</t>
  </si>
  <si>
    <t>#E_2#M_4</t>
  </si>
  <si>
    <t>#4KMy thoughts exactly.</t>
  </si>
  <si>
    <t>That goes for Crow, too.</t>
  </si>
  <si>
    <t>Between the two of us, I'm sure we can
make music so amazing, we'll even win
him over!</t>
  </si>
  <si>
    <t>#4KYou've got that right.</t>
  </si>
  <si>
    <t>#E_0#M_4Together, we can do this!</t>
  </si>
  <si>
    <t>SB_KIZUNA_MACHIAS_LAST</t>
  </si>
  <si>
    <t>I_VIS036</t>
  </si>
  <si>
    <t>C_PLY004_C10</t>
  </si>
  <si>
    <t>Machias</t>
  </si>
  <si>
    <t>AniEv7645</t>
  </si>
  <si>
    <t>#0TSorry I'm late.</t>
  </si>
  <si>
    <t>#3KNot at all. You're right on time.</t>
  </si>
  <si>
    <t>#E_0#M_9I take it everything's squared
away with the chess club?</t>
  </si>
  <si>
    <t>It was nothing special. We just played a
few games with the upper class students
like we always used to.</t>
  </si>
  <si>
    <t>#E_0#M_9Of course, we couldn't decide a winner,
but it's not like there won't be time
for that in the days to come.</t>
  </si>
  <si>
    <t>#3KHaha. Good luck with that.</t>
  </si>
  <si>
    <t>You know, it's odd coming back here and
seeing things exactly how we left them.</t>
  </si>
  <si>
    <t>#E_4#M_9It's almost as if this place were frozen
in time these past few months.</t>
  </si>
  <si>
    <t>#3KYeah, that's true...</t>
  </si>
  <si>
    <t>#E_4#M_9But what do you say we walk around for
a bit?</t>
  </si>
  <si>
    <t>It'll give us a chance to see how things
are upstairs, too.</t>
  </si>
  <si>
    <t>Might as well.</t>
  </si>
  <si>
    <t>door_2_05</t>
  </si>
  <si>
    <t>Everything's the same up here, too...
Can't say I'm terribly surprised.</t>
  </si>
  <si>
    <t>#E_E#M_A...As ridiculous as it sounds, I was hoping
against hope that we'd just find Crow sitting
in his room as if nothing had happened.</t>
  </si>
  <si>
    <t>#3KHaha... Honestly, that does sound like
a long con he'd try to pull off.</t>
  </si>
  <si>
    <t>I'm surprised the common areas are
so clean, though. I figured they'd be
covered in a few coats of dust by now.</t>
  </si>
  <si>
    <t>#E[1]#M_9I guess the upper class students worked
hard to keep things nice around here.</t>
  </si>
  <si>
    <t>Presumably so...</t>
  </si>
  <si>
    <t>#E[9]#M_9Haha... I can scarcely believe how
different a person I've become
in less than a year.</t>
  </si>
  <si>
    <t>#E_8#M_9When I first arrived here, my blood
would start to boil if I so much as
heard the term 'upper class,' but now...</t>
  </si>
  <si>
    <t>#3KYou're a new man.</t>
  </si>
  <si>
    <t>Honestly, when I think back to how
I acted on our first day, even
Millium seems dignified in comparison.</t>
  </si>
  <si>
    <t>I came here with a firmly ingrained
belief that nobles were the enemy,
so that's the way I treated them.</t>
  </si>
  <si>
    <t>#E_8#M_9Haha... That's certainly a time in
my life that I'd rather forget.
Ugh, how embarrassing.</t>
  </si>
  <si>
    <t>#4K...It's not like you didn't have your
reasons, though.</t>
  </si>
  <si>
    <t>#E_0#M_0After what you went through as a child,
I don't think anyone could blame you.</t>
  </si>
  <si>
    <t>#E_8#M_9Besides, we've all changed for the better
since we first showed up at the academy.</t>
  </si>
  <si>
    <t>I wonder if that's true...</t>
  </si>
  <si>
    <t>You're right about the reason, of course.
I've hated nobles ever since the day they
took my cousin from me.</t>
  </si>
  <si>
    <t>#E[1]#M_0My time here helped me realize that not
all nobles are so despicable, and that
I was misplacing the blame for her death.</t>
  </si>
  <si>
    <t>#E[9]#M_0That's something you and our other noble
classmates taught me, and it makes sense
to me on a logical level...</t>
  </si>
  <si>
    <t>#E_8#M_0...Claiming that I've matured as a person
feels somewhat...empty. Because I can't
be sure I really have.</t>
  </si>
  <si>
    <t>#4KHow so?</t>
  </si>
  <si>
    <t>#E[7]#M_0</t>
  </si>
  <si>
    <t>Having a logical understanding of something
is one thing, but completely restructuring
your beliefs around it is another.</t>
  </si>
  <si>
    <t>#E_6#M_0This war has proven that to me. I know as
well as anybody that the nobility as a
whole isn't the cause.</t>
  </si>
  <si>
    <t>#E_F#M_0But the nobles who ARE have taken so many
lives... While I know it's wrong, in my
heart, I still blame every last one.</t>
  </si>
  <si>
    <t>#E[9]#M_0So the things I say and do might have
changed, but inside, I'm the same hateful,
immature child I was on the day we met.</t>
  </si>
  <si>
    <t>Still...</t>
  </si>
  <si>
    <t>#E_8#M_9That used to frustrate me, even make
me resent myself...but not anymore.</t>
  </si>
  <si>
    <t>#4KWhy's that?</t>
  </si>
  <si>
    <t>Because I've accepted myself. My immaturity
is still a part of who I am. I can't change
that in a day, but I CAN keep trying.</t>
  </si>
  <si>
    <t>#E_J#M_9We're all immature, in our own ways.
But together as a class, we manage to
make up for each other's flaws.</t>
  </si>
  <si>
    <t>#E_2#M_4Making it the perfect environment for me to
learn and grow... And it doesn't hurt my best
friend's a part of it... I mean you, Rean.</t>
  </si>
  <si>
    <t>#4K...!</t>
  </si>
  <si>
    <t>All I can do is keep learning and improving.
That's the only thing any of us can do.
And we've still got a long way to go.</t>
  </si>
  <si>
    <t>#E_F#M_0After this war's over and once we've rescued
Dad from the alliance, this nation as we know
it will never be the same again...</t>
  </si>
  <si>
    <t>#4K…Ha...Snrkha...</t>
  </si>
  <si>
    <t>#4K#5SHahahaha!</t>
  </si>
  <si>
    <t>#E_8#M_A#H[2]</t>
  </si>
  <si>
    <t>H-Hey, cut it out! Stop laughing,
damn it! I'm in the middle of a
serious, impassioned speech here!</t>
  </si>
  <si>
    <t>#4KHaha... Sorry. I can't help it.</t>
  </si>
  <si>
    <t>#E_4#M_9You know how sometimes something makes so
much sense that you can't help but laugh?
That's you and this ultra-serious speech.</t>
  </si>
  <si>
    <t>I beg your pardon?</t>
  </si>
  <si>
    <t>#4KYou've got no shortage of strengths, but
the one that really stands out is your
ability to face the whole world directly.</t>
  </si>
  <si>
    <t>#E[9]#M_9Jusis might argue you're a little TOO
direct, since you do occasionally run
yourself straight into trouble...</t>
  </si>
  <si>
    <t>#E_8#M_9...but that stems from the strength of your
conviction. You stand by your beliefs,
and you're willing to fight for them.</t>
  </si>
  <si>
    <t>#E[N]#M_0</t>
  </si>
  <si>
    <t>I'm not sure that's a good thing...</t>
  </si>
  <si>
    <t>#4KSure it is. It's why you're able to tackle
problems that others would rather avoid,
even the most difficult ones.</t>
  </si>
  <si>
    <t>#E_I#M_9Like the class system. Most people would've
just seen it as a fact of life, but you see
it as a problem that needs uprooting.</t>
  </si>
  <si>
    <t>#E_0#M_9I have nothing but respect for that. You're
serious in the truest sense of the word, so
this speech just...made me laugh.</t>
  </si>
  <si>
    <t>Wh-What?!</t>
  </si>
  <si>
    <t>#E[9999999999999999999999999999A]#M_ATh-That wasn't the response I was HOPING
to elicit! And what's with all this heart-to-
heart stuff all of a sudden?</t>
  </si>
  <si>
    <t>#2PHaha. You should know by now that if you
try to give me a serious speech, I'll give
you one right back. And I'm not even done!</t>
  </si>
  <si>
    <t>#E[1]#M_9I'm being completely honest when I say that
as long as the two of us are together, we can
build a brighter future for Erebonia.</t>
  </si>
  <si>
    <t>#E_E#M_0Throughout the war, so many have gotten
injured or worse, lost their lives...</t>
  </si>
  <si>
    <t>#E_8#M_9...and I don't want it to be for nothing at all.
I want a future where people can look back
and say their losses weren't in vain.</t>
  </si>
  <si>
    <t>That's certainly ambitious...</t>
  </si>
  <si>
    <t>#E[G]#M_4...but I'm sure we will. Hahaha...</t>
  </si>
  <si>
    <t>#E[3]#M_4</t>
  </si>
  <si>
    <t>We'll live our lives to better those of the
people around us, starting with taking
Crow back from the alliance.</t>
  </si>
  <si>
    <t>#E_2#M_4And then we'll build that future of ours,
piece by piece!</t>
  </si>
  <si>
    <t>#4KIt's a promise!</t>
  </si>
  <si>
    <t>SB_KIZUNA_JUSIS_LAST</t>
  </si>
  <si>
    <t>C_PLY006_C10</t>
  </si>
  <si>
    <t>Jusis</t>
  </si>
  <si>
    <t>AniEv7660</t>
  </si>
  <si>
    <t>#0TMy apologies for my tardiness.</t>
  </si>
  <si>
    <t>#3KYou can't apologize if you're not late!
I just decided to show up early.</t>
  </si>
  <si>
    <t>#E_0#M_9How are the horses doing?</t>
  </si>
  <si>
    <t>Splendidly, if not a little too
energetic for their own good.</t>
  </si>
  <si>
    <t>#E[1]#M_9Whitcomb was especially thrilled to
finally be reunited with his master.</t>
  </si>
  <si>
    <t>#3KHaha. I bet he was. Nice to hear.</t>
  </si>
  <si>
    <t>Heh. There's not a brick out of place.</t>
  </si>
  <si>
    <t>#E[1]#M_9Which means it's just as run down as ever.
Still, I've made so many memories here,
I wouldn't have it any other way.</t>
  </si>
  <si>
    <t>#3KThat's for sure. It's really
nostalgic being back here again.</t>
  </si>
  <si>
    <t>#E_4#M_9What do you say we head on up?</t>
  </si>
  <si>
    <t>I want to see what things are like
upstairs, too.</t>
  </si>
  <si>
    <t>All right. Why not?</t>
  </si>
  <si>
    <t>door_2_03</t>
  </si>
  <si>
    <t>#E_I#M_0</t>
  </si>
  <si>
    <t>Crow's foolishness continues to baffle me.</t>
  </si>
  <si>
    <t>#E[9]#M_0He's fighting under a banner that doesn't
include him. He's the sort you'd more
likely find in a casino than the capital.</t>
  </si>
  <si>
    <t>#3KHaha. That's for sure. Fighting for the
alliance really doesn't suit him one bit.</t>
  </si>
  <si>
    <t>#E[1]#M_0I'm sure he realizes that, too, though.
He sees Duke Cayenne as more of a
sponsor than an ally.</t>
  </si>
  <si>
    <t>So it's just a case of the two using each
other while they share a common purpose.</t>
  </si>
  <si>
    <t>#E_I#M_0Winning him over won't be easy, but we
should push this angle if we intend to
do so.</t>
  </si>
  <si>
    <t>#E[1]#M_0...Rufus will likely be more difficult,
given his key position in the alliance
and shared ideals.</t>
  </si>
  <si>
    <t>#3KI didn't even think...</t>
  </si>
  <si>
    <t>My brother's always been my light,
both dazzling and warm.</t>
  </si>
  <si>
    <t>#E_E#M_0He commanded respect, but he also
deservedly earned my absolute trust.</t>
  </si>
  <si>
    <t>#E[9]#M_0After the death of my mother, he was
the only living relative who did so.</t>
  </si>
  <si>
    <t>#E_8#M_0And he was a constant. Someone I could
rely on and look up to after I was taken
into the family mansion in Bareahard.</t>
  </si>
  <si>
    <t>#3K...I know how you feel.</t>
  </si>
  <si>
    <t>#E_J#M_0Your brother is to you what Elise and
my parents are to me.</t>
  </si>
  <si>
    <t>#E_0#M_9I'm sure he still cares about you, too.
He's probably just as worried about your
inevitable encounter as you are.</t>
  </si>
  <si>
    <t>#E[1]#M_9The two of you might disagree about the
country's future, but that doesn't mean
you can't care about each other.</t>
  </si>
  <si>
    <t>...I agree.</t>
  </si>
  <si>
    <t>#E_0#M_0Which is precisely why I've chosen to
fight him with everything I have.</t>
  </si>
  <si>
    <t>That, above all else, is the role
that I must play in ending this war.</t>
  </si>
  <si>
    <t>I am the man I am today because of my
brother. He gave me everything I have,
taught me everything I know.</t>
  </si>
  <si>
    <t>#E[9]#M_9He was the one who taught me how to
behave as a noble should, taught me to
raise horses, trained me as a swordsman...</t>
  </si>
  <si>
    <t>#E_F#M_0I was always looking up at him, as if
he were some sort of celestial being,
shining in the sky above...</t>
  </si>
  <si>
    <t>#E[9]#M_9...so the idea that I could cross swords with
him on equal footing and emerge victorious
always struck me as absurd.</t>
  </si>
  <si>
    <t>#E[3]#M_0But not anymore.</t>
  </si>
  <si>
    <t>#E_2#M_0For all their riches, power, and influence,
even the greatest noble is human, and they
can fall like anyone else.</t>
  </si>
  <si>
    <t>My father always treated me with scorn.
I was forever doomed to be the bastard
child, but I always tried to act a noble.</t>
  </si>
  <si>
    <t>#E_F#M_0I suppose I did so out of some sense
of duty towards my late mother.</t>
  </si>
  <si>
    <t>#E[1]#M_9But as I spent more time with you,
Regnitz, and our other classmates, my
very perception of nobility changed.</t>
  </si>
  <si>
    <t>#E_0#M_9I found myself wanting to discover what it
truly means to be proud of one's nobility.</t>
  </si>
  <si>
    <t>#4K...True pride.</t>
  </si>
  <si>
    <t>I can, and I will, surpass my brother.</t>
  </si>
  <si>
    <t>#E[1]#M_0Not in order to justify the title given to
me at birth, but in order to demonstrate
the pride I have in myself, as myself.</t>
  </si>
  <si>
    <t>#E[1]#M_4And with you, my finest friend,
at my side...</t>
  </si>
  <si>
    <t>#E_0#M_4...I know that I can accomplish that.</t>
  </si>
  <si>
    <t>#2PHaha... I'm flattered, but I'm not half
the man you are.</t>
  </si>
  <si>
    <t>#E[1]#M_9You've always had a meaningful sense
of pride, more than anyone else I know.</t>
  </si>
  <si>
    <t>#E_0#M_9I honestly never expected I'd be able to
be friends with someone like you. Not as
equals...but I'm glad that I was wrong.</t>
  </si>
  <si>
    <t>#E[5]#M_9It fills ME with pride to know how much
belief you place in me, and that
you're even willing to put it into words.</t>
  </si>
  <si>
    <t>Heh. Perhaps your numerous heart to hearts
and endless supply of passionate speeches
have finally rubbed off on me.</t>
  </si>
  <si>
    <t>#E_J#M_0No matter how this war ends, our position as
nobles will likely never be the same again.</t>
  </si>
  <si>
    <t>#E[11111111111110]#M_4Regardless of what happens to this nation,
we will always have our pride. That should
never change.</t>
  </si>
  <si>
    <t>#4KThere's the Jusis I know.</t>
  </si>
  <si>
    <t>#4KI won't let my pride waver, either.</t>
  </si>
  <si>
    <t>#E[1]#M_9Not when I've got a friend like you
to keep me in line.</t>
  </si>
  <si>
    <t>Heh. That goes without saying.</t>
  </si>
  <si>
    <t>#E_0#M_4I can't have you embarrassing
me now, can I?</t>
  </si>
  <si>
    <t>SB_KIZUNA_GAIUS_LAST</t>
  </si>
  <si>
    <t>C_PLY008_C10</t>
  </si>
  <si>
    <t>Gaius</t>
  </si>
  <si>
    <t>#0T...Oh. Hey, Rean. All done celebrating?</t>
  </si>
  <si>
    <t>#3KI guess. It still feels early, but I'm bushed
after all that walking around.</t>
  </si>
  <si>
    <t>Haha. Yeah, it's pretty nuts out there.</t>
  </si>
  <si>
    <t>#E_4#M_4I'd finished clearing up the club room
earlier than I expected, so I decided to
swing by once I was done.</t>
  </si>
  <si>
    <t>#E[G]#M_4</t>
  </si>
  <si>
    <t>It feels strange to be back here again...
Strange, and yet I feel right at home.</t>
  </si>
  <si>
    <t>#3KHaha. Yeah. I can't explain it, but being
here again is somehow...comforting.</t>
  </si>
  <si>
    <t>#E_4#M_9You up for taking a look around here
with me?</t>
  </si>
  <si>
    <t>Sure.</t>
  </si>
  <si>
    <t>door_2_04</t>
  </si>
  <si>
    <t>...They're all empty, of course.</t>
  </si>
  <si>
    <t>#E_I#M_0I know it's silly, but a small part of me was
hoping we'd find him in his room like normal,
here to see what the commotion was about.</t>
  </si>
  <si>
    <t>#3KHaha. I know the feeling.</t>
  </si>
  <si>
    <t>#E[1]#M_9Whether he admits it or not, I like to think
our time spent in this dorm meant something
to Crow.</t>
  </si>
  <si>
    <t>#E_J#M_0I want to believe it STILL means something
to him.</t>
  </si>
  <si>
    <t>...And to think, Crow's already experienced
that horrible feeling of losing the one place
you call home.</t>
  </si>
  <si>
    <t>#E[1]#M_0He knows what it's like more than any of us
to be utterly powerless against the tides of
change--to lose everything you hold dear.</t>
  </si>
  <si>
    <t>#E_I#M_0We may have been able to avert the worst
in the end, but I can relate to that feeling
of dread. At least a little.</t>
  </si>
  <si>
    <t>#3K...Yeah, I guess you would know.</t>
  </si>
  <si>
    <t>#E_0#M_0Maybe you guys can talk about it some
more once we bring him back--and we'll
definitely bring him back.</t>
  </si>
  <si>
    <t>That we will.</t>
  </si>
  <si>
    <t>I wish I could say Nord is safe for now,
but we still can't afford to let our guard
down just yet.</t>
  </si>
  <si>
    <t>#E_0#M_0We only saw a snippet of what it would be
like for war to affect it, and there's every
possibility it could do more in the future.</t>
  </si>
  <si>
    <t>#E_J#M_0And then there's Calvard to think about...
We're at peace now, but who knows if--
or even when--that could change.</t>
  </si>
  <si>
    <t>#4KWhich is why we need to do what we
can to make sure that doesn't happen.</t>
  </si>
  <si>
    <t>Still, as much as I wish I could be back
in the highlands, ending the war here in
Erebonia should be my prime focus now.</t>
  </si>
  <si>
    <t>If ending it makes for one less potential
threat at home, then I can rest easier at
night knowing I've done something right.</t>
  </si>
  <si>
    <t>#E_4#M_4...I don't want this land to be plagued
by danger any longer. I've come to love
Erebonia as much as I love Nord.</t>
  </si>
  <si>
    <t>#E[1]#M_4You helped me protect my home, Rean.
And now, it's my turn to help you protect
yours.</t>
  </si>
  <si>
    <t>#4K...Huh.</t>
  </si>
  <si>
    <t>#E_8#M_9Haha. You really are one of the most
dependable people I know.</t>
  </si>
  <si>
    <t>Hmm?</t>
  </si>
  <si>
    <t>#2PI feel like so long as we have each other's
backs, we can overcome just about anything
life throws at us.</t>
  </si>
  <si>
    <t>#E_I#M_9I wonder if this is how Emperor Dreichels
felt during the War of the Lions.</t>
  </si>
  <si>
    <t>#E_0#M_9He was supposed to have allies from Nord,
too. If they were half as reliable as you are,
I'm sure he must've felt the same way I do.</t>
  </si>
  <si>
    <t>...Haha. Your presence is just as reassuring
for me, too, you know.</t>
  </si>
  <si>
    <t>I can't help but want to answer to the
unwavering trust you've placed in me, Rean.</t>
  </si>
  <si>
    <t>#E_0#M_4This land, our classmates, and everyone we've
met along the way have become so precious to
me. I find myself thinking...</t>
  </si>
  <si>
    <t>'If I had all the strength of a tempest, all the
dignity of a hawk, then I could blow away all
the obstacles which threaten them.'</t>
  </si>
  <si>
    <t>#E[1]#M_4And I don't know if I ever would've felt so
strongly about changing myself for the sake
of everyone here if not for you.</t>
  </si>
  <si>
    <t>#E_0#M_4You've become my dearest friend, Rean.</t>
  </si>
  <si>
    <t>#4K...You really mean that?</t>
  </si>
  <si>
    <t>#E[5]#M_9Haha. Thank you, Gaius. That... That really
means a lot to me.</t>
  </si>
  <si>
    <t>#4KI guess we're both inspiring each other for
the better. In a way, I want all those things
for myself for the same reasons as you.</t>
  </si>
  <si>
    <t>#E[1]#M_9So that I can protect all of you and the
homeland that I treasure, too.</t>
  </si>
  <si>
    <t>Haha. I'm sure we can do anything we put
our minds to.</t>
  </si>
  <si>
    <t>#E_0#M_4May we both go forth and find the strength
to envelop this land and its people in a mighty
wind!</t>
  </si>
  <si>
    <t>SB_04_KIZUNA_LONELY</t>
  </si>
  <si>
    <t>#E_4#M[9]</t>
  </si>
  <si>
    <t>(It's hard to believe we're finally back.
But here it is--our old dormitory.)</t>
  </si>
  <si>
    <t>#E[1](I guess I'll have a little walk around
for old times' sake.)</t>
  </si>
  <si>
    <t>J</t>
  </si>
  <si>
    <t>open1_c</t>
  </si>
  <si>
    <t>#E_8#M[A]</t>
  </si>
  <si>
    <t>#2P(This room's just how it was left, too.)</t>
  </si>
  <si>
    <t>#E[9](Seeing it so tidy and empty like this,
it's almost as if Crow was never even 
here to begin with...)</t>
  </si>
  <si>
    <t>#E_E#M[9](...but he was, and I'll never forget that.)</t>
  </si>
  <si>
    <t>#E_8#M[9](He lived here in this dormitory, in this
room...and as a part of Class VII.)</t>
  </si>
  <si>
    <t>#E[3]#M[A]</t>
  </si>
  <si>
    <t>#2P(You just wait, Crow.)</t>
  </si>
  <si>
    <t>(We're coming to get you, for the sake
of everyone you left a mark on--for the
sake of everyone who cares about you.)</t>
  </si>
  <si>
    <t>#E[1]#M[9](And we won't fail. With Valimar, with all
our friends, and with the whole academy
behind me, I swear, we won't fail!)</t>
  </si>
  <si>
    <t>#E_2#M[9](You're coming back with us whether you
like it or not!)</t>
  </si>
  <si>
    <t>SB_06_TALK_SHARON</t>
  </si>
  <si>
    <t>AniEvAtamakaki</t>
  </si>
  <si>
    <t>Oh! Good evening, Master Rean.
I thought you had already retired
for the evening.</t>
  </si>
  <si>
    <t>#E_4How would you like for me to put
together some supper?</t>
  </si>
  <si>
    <t>#4KI appreciate the offer, but I think
I've eaten more than I should have
as it is...</t>
  </si>
  <si>
    <t>#E_4Your cooking really is delicious, Sharon.
I was starting to miss it after not having
it for so long.</t>
  </si>
  <si>
    <t>Teehee. It was my pleasure to cook for
all of you again, so I pulled out all the
stops with this one.</t>
  </si>
  <si>
    <t>#E[1]#M_0Seeing all of you happily indulging my
handiwork always makes every second
of preparation worth it.</t>
  </si>
  <si>
    <t>#4KHaha...</t>
  </si>
  <si>
    <t>Is something the matter, Master Rean?</t>
  </si>
  <si>
    <t>#4KOh, I was just thinking about how you
haven't changed a bit.</t>
  </si>
  <si>
    <t>#E_8#M_A...I'm not sure it's my place to ask,
but is everything all right over at 
Ouroboros?</t>
  </si>
  <si>
    <t>#E_E#M_AI can't help but wonder after how things
turned out. Vita seemed really shocked.</t>
  </si>
  <si>
    <t>...I'm afraid I haven't a clue.</t>
  </si>
  <si>
    <t>#E_J#M_ANo word of what's been happening in the
society has reached my ears since then.</t>
  </si>
  <si>
    <t>#E[1]#M_AI have no idea where the Second Anguis
is now...</t>
  </si>
  <si>
    <t>#E_2#M_A...nor do I know what happened regarding
the Phantasmal Blaze Plan after the 
chancellor declared he was taking it over.</t>
  </si>
  <si>
    <t>And quite frankly, none of it is my concern.
The answers won't change who I am, and it
won't suddenly cause me to shift priorities.</t>
  </si>
  <si>
    <t>#E[1]I am, and always will be, a proud maid of the
Reinford family.</t>
  </si>
  <si>
    <t>#E_4#M_4Not because of the freedom we Enforcers are
granted, but because that is simply who I am.</t>
  </si>
  <si>
    <t>#E[5]Much like how you being the Ashen Chevalier
doesn't change how you are also a proud
member of Class VII.</t>
  </si>
  <si>
    <t>#4K</t>
  </si>
  <si>
    <t>#E_8#M_9Haha. I suppose you're right.</t>
  </si>
  <si>
    <t>Heehee. I'm sure you have a splendid, 
bright future ahead of you.</t>
  </si>
  <si>
    <t>#E[1]It's almost time for me to return to
Roer...</t>
  </si>
  <si>
    <t>#E_4#M_4...but should you ever need me again,
I will gladly rush to your side.</t>
  </si>
  <si>
    <t>And no matter what happens to you in
the future, never lose sight of who you
really are.</t>
  </si>
  <si>
    <t>#E_4#M_0...but should you ever need me again,
I will gladly rush to your side.</t>
  </si>
  <si>
    <t>Naturally, that includes your relationship
with Lady Alisa. I'll be rooting for the two
of you. ㈱</t>
  </si>
  <si>
    <t>#4KHaha...hahaha... (I should've known...)</t>
  </si>
  <si>
    <t>#E_4#M_9Still, thank you. I'm glad you can stay
here for a while longer.</t>
  </si>
  <si>
    <t>#4KHaha... Thank you, Sharon. I'm glad you
can stay here for a while longer.</t>
  </si>
  <si>
    <t>SB_06_TALK_CELINE</t>
  </si>
  <si>
    <t>AniEvShagami</t>
  </si>
  <si>
    <t>*yaaawn*</t>
  </si>
  <si>
    <t>#8KOh, there you are. You look bored,
Celine.</t>
  </si>
  <si>
    <t>#1KI guess I am. My work's done at this
point.</t>
  </si>
  <si>
    <t>#E[9]I feel like I aged a few decades as soon
as the war came to an end.</t>
  </si>
  <si>
    <t>#8KHaha... Come on, now.</t>
  </si>
  <si>
    <t>#1K...Feels a bit strange to be saying it after
the fact, but you fought pretty well over
in Crossbell.</t>
  </si>
  <si>
    <t>#E[1]#M_0You've really mastered piloting Valimar.</t>
  </si>
  <si>
    <t>#8KI'd like to think so, anyway. I feel like
I could pull off just about anything with
him now.</t>
  </si>
  <si>
    <t>#E_8And to think, I couldn't do half as much
with him when I was first starting out.</t>
  </si>
  <si>
    <t>#1KYou do realize you just admitted you
were totally useless, right?</t>
  </si>
  <si>
    <t>#E_8#M_0*sigh* I wonder if you're gonna be okay
without us, you know?</t>
  </si>
  <si>
    <t>#E[9]Valimar must've drawn the short straw
to end up with a budding Awakener like
you.</t>
  </si>
  <si>
    <t>#8KThanks for worrying about me all the
time, Celine.</t>
  </si>
  <si>
    <t>#1KE-Excuse me? What makes you think
I was worried about you?</t>
  </si>
  <si>
    <t>#8KJust about everything. From what I can
tell, you've always worried about me.</t>
  </si>
  <si>
    <t>#E[1]Back in the beginning when I didn't know
anything about piloting, you were always
there to guide me through our battles.</t>
  </si>
  <si>
    <t>#E_0I doubt I would've ever come this far if
you didn't have my back.</t>
  </si>
  <si>
    <t>#E[5]</t>
  </si>
  <si>
    <t>So...thank you. For all of it.</t>
  </si>
  <si>
    <t>#1KGraaah...!</t>
  </si>
  <si>
    <t>#1K*sigh* Why do you always have
to be like this?!</t>
  </si>
  <si>
    <t>#E[E]#M_A</t>
  </si>
  <si>
    <t>#1KI feel for Emma. I really do...</t>
  </si>
  <si>
    <t>#8KI-I was just trying to thank you, you know.
I didn't have any ulterior motives for doing
it...</t>
  </si>
  <si>
    <t>#1KThen don't make it sound like you do!</t>
  </si>
  <si>
    <t>#E_8*sigh* I swear, if you ever hurt her,
I'll never forgive you.</t>
  </si>
  <si>
    <t>#1KThere are parts of the legends passed
down in the clan that not even Emma
and I know about.</t>
  </si>
  <si>
    <t>#E[1]#M_ABut just bear this one thing in mind:</t>
  </si>
  <si>
    <t>#E_2#M_ADivine Knights have incredible power,
and they can become devils just as
easily as they can become gods.</t>
  </si>
  <si>
    <t>#E[3]#M_A</t>
  </si>
  <si>
    <t>#8KDon't worry, I know. And I won't forget.</t>
  </si>
  <si>
    <t>#E_2#M_AAnyone in my position needs to know
the difference between right and wrong.
I'm well aware of that.</t>
  </si>
  <si>
    <t>#1KThat's fine, then.</t>
  </si>
  <si>
    <t>#E_8#M_0Anyway... Good luck, I guess.</t>
  </si>
  <si>
    <t xml:space="preserve">#E[1]#M_0If you really need it, I can always come
and help out. </t>
  </si>
  <si>
    <t>SB_06_TALK_ELIOT</t>
  </si>
  <si>
    <t>#3K#0THey, Elliot. Taking care of your violin?</t>
  </si>
  <si>
    <t>Yeah. It's taken care of me over the
past year, so why not return the favor?</t>
  </si>
  <si>
    <t>#E_0I'm actually planning on giving a few
of them to the academy before I go.</t>
  </si>
  <si>
    <t>#E[1]Just to make sure next year's first
years have something to practice with.</t>
  </si>
  <si>
    <t>#3K#0TThat's really generous...and sure
to make a lot of people happy.</t>
  </si>
  <si>
    <t>#3K#0T...And you'll finally be heading off to a
music academy, just like you always wanted.</t>
  </si>
  <si>
    <t>#E_8#M_9I bet they'll push you pretty hard
over there, too.</t>
  </si>
  <si>
    <t>#E_E#M_0</t>
  </si>
  <si>
    <t>I don't doubt it! I'm going to need to be
all music all the time if I want to stand
a chance at keeping up.</t>
  </si>
  <si>
    <t>#E[1]...Though, to be honest, after all the
time I've spent here, I don't really want
my life to be COMPLETELY about music.</t>
  </si>
  <si>
    <t>#E_8I love it, obviously, but to be a balanced
person, I want to have a bit more variety
in my life, like I had here at the academy.</t>
  </si>
  <si>
    <t>#E[5]For one thing, I don't want to get
too rusty with my orbal staff.</t>
  </si>
  <si>
    <t>#3K#0TGood to hear.</t>
  </si>
  <si>
    <t>#E_0I hope everything works out for you.</t>
  </si>
  <si>
    <t>Thanks... Me, too.</t>
  </si>
  <si>
    <t>#E_E#M_AUmm...</t>
  </si>
  <si>
    <t>#E[8]#M_A</t>
  </si>
  <si>
    <t>You know, Rean...</t>
  </si>
  <si>
    <t>#E[9]#M_AI really think I should--</t>
  </si>
  <si>
    <t>#3K#0TDon't. I know what you're going to say,
but don't.</t>
  </si>
  <si>
    <t>#E_8#M_9I'm happy you've thought about it, but it
wouldn't benefit either of us. We've had
this discussion more than enough times.</t>
  </si>
  <si>
    <t>But...</t>
  </si>
  <si>
    <t>#E[9]#M[8]</t>
  </si>
  <si>
    <t>#3K#0TThe best thing the two of us can do now
is go our own ways. Our paths are laid
out ahead of us and they're diverging.</t>
  </si>
  <si>
    <t>#E_0#M_0You only get one life, so you should
live it for yourself instead of feeling
obliged to hold back for someone else.</t>
  </si>
  <si>
    <t>#E[1]#M_9The same holds true for all of our other
classmates, too.</t>
  </si>
  <si>
    <t>...Yeah, I guess so.</t>
  </si>
  <si>
    <t>#E_E#M_9That's why I decided to transfer to begin
with. The war's over, but that doesn't
mean our difficult times are at an end.</t>
  </si>
  <si>
    <t>#E[1]...And I still want to use the power of
music to heal people's hearts, even if
it's just a little bit.</t>
  </si>
  <si>
    <t>...I hope everything goes well for you
here at Thors in the meantime, though.</t>
  </si>
  <si>
    <t>#E[9]#M_AEven if I AM worried that you're going
to overwork yourself while I'm away.</t>
  </si>
  <si>
    <t>#E_8#M_0But since Trista's really close to
Heimdallr, I'll pop over to check
on you as much as I can.</t>
  </si>
  <si>
    <t>#E[5]Think I'd drive you crazy
if I visited once a week?</t>
  </si>
  <si>
    <t>#3K#0TI don't know if either one of us would
have time for that, to be honest...</t>
  </si>
  <si>
    <t>#E_8I'm sure we'll be able to keep hanging out
with each other, though. I'll try to find
chances to visit you in Heimdallr, too!</t>
  </si>
  <si>
    <t>Then it's decided!</t>
  </si>
  <si>
    <t>#E[C]#M[A]</t>
  </si>
  <si>
    <t>#3K#0THmm?</t>
  </si>
  <si>
    <t>...No, it's nothing.</t>
  </si>
  <si>
    <t>#E_8#M_0Either way, Heimdallr and Trista are
really close, so don't be a stranger,
okay?</t>
  </si>
  <si>
    <t>#E_E#M_AI know you're gonna have tons of work
to get through between your classes and
your missions, but...</t>
  </si>
  <si>
    <t>#3K#0TDon't worry. I'll make time. I'm sure
we'll have plenty of chances to see
each other.</t>
  </si>
  <si>
    <t>#E[1]There's still a ton of Heimdallr I haven't
seen, too. You'll have to show me around
next time I make it over there.</t>
  </si>
  <si>
    <t>You bet!</t>
  </si>
  <si>
    <t>SB_06_TALK_JUSIS</t>
  </si>
  <si>
    <t>#4K#0TSomething on your mind, Jusis?</t>
  </si>
  <si>
    <t>For the first time in a long time, no.
I'm just taking a short break.</t>
  </si>
  <si>
    <t>#E[9]Looking over an endless sea of documents
can be rather tiring on the eyes.</t>
  </si>
  <si>
    <t>#4K#0TOh, are those the tax reports you
mentioned?</t>
  </si>
  <si>
    <t>#1POrdinarily, this would be my father's
work, but His Majesty has yet to decide
his fate.</t>
  </si>
  <si>
    <t>#E[1]Rufus hasn't so much as glanced in
Bareahard's direction since he took
his new job in Crossbell, either.</t>
  </si>
  <si>
    <t>#E_0As such, the task falls to me.</t>
  </si>
  <si>
    <t>#4K#0TMan... I knew everyone in our class
had it pretty rough right now...</t>
  </si>
  <si>
    <t>#E_8#M_9...but you've got it roughest, no contest.</t>
  </si>
  <si>
    <t>Hmph. If my ego had its way, I would boast
that filling in for my father is a simple
and mundane task...</t>
  </si>
  <si>
    <t>#E[9]...but on top of the paperwork, I'll need to
manage the provincial army and oversee
the province as a whole.</t>
  </si>
  <si>
    <t>#E_F#M_0Then there's the matter of keeping the most
stubborn of the nobility in check. I don't
expect the first six months to be pleasant.</t>
  </si>
  <si>
    <t>#4K#0THaha. The fact that you're already
thinking six months ahead is pretty
impressive as it is.</t>
  </si>
  <si>
    <t>#E_0Standing in for Duke Albarea like that
must take some real confidence... I know
you'll manage, though.</t>
  </si>
  <si>
    <t>Hmph. That much is obvious.</t>
  </si>
  <si>
    <t>#4K#0TWhat is it?</t>
  </si>
  <si>
    <t>...It's nothing.</t>
  </si>
  <si>
    <t>#E_0#M_0In the days to come, more people will
be relying on you than ever before.</t>
  </si>
  <si>
    <t>#E[1]#M_0But no matter who does so or what they
ask, do not lose your pride as a noble.
Act independently, your head held high.</t>
  </si>
  <si>
    <t>#E_0#M_0Maintain your pride and your autonomy,
and I'm sure you'll be fine.</t>
  </si>
  <si>
    <t>#4K#0THaha. Thanks.</t>
  </si>
  <si>
    <t>#E_0...I promise I will.</t>
  </si>
  <si>
    <t>I'll hold you to that.</t>
  </si>
  <si>
    <t>...While it wouldn't be ideal, I'm sure
that Arnauld could ostensibly take care
of most of my father's duties as well.</t>
  </si>
  <si>
    <t>I can't imagine the city would feel too
major of an impact were I to spend an
extra year--</t>
  </si>
  <si>
    <t>#4K#0TStop.</t>
  </si>
  <si>
    <t>#E_8#M_9As much as I'd like that, it's not what's
best for either of us. Or Bareahard.</t>
  </si>
  <si>
    <t>#E_E#M[A]</t>
  </si>
  <si>
    <t>#4K#0TThe best thing we could do now is go our
separate ways, both for the greater good
and for growing as people and as nobles.</t>
  </si>
  <si>
    <t>#E_0#M_0We only get one life. One shot at this.
We might as well try to make the most of
the time we have, right?</t>
  </si>
  <si>
    <t>...Perhaps you're right.</t>
  </si>
  <si>
    <t>#E_JGiven that my father and brother are in no
position to do so, I'm currently the only
one who can run Bareahard in the long term.</t>
  </si>
  <si>
    <t>#E[3]I'm just as certain of that as ever, and
now I feel the weight of responsibility
even more keenly.</t>
  </si>
  <si>
    <t>As I've told you before, you've always
struck me as a danger to yourself.</t>
  </si>
  <si>
    <t>#E[1]#M_0It seems all too likely to me that people
will continue to use you for their personal
gain until there's nothing left of you.</t>
  </si>
  <si>
    <t>#E_4#M_4Even so, I hope you can show me
that you can take care of yourself,
even while I'm far away.</t>
  </si>
  <si>
    <t>#E[1]#M_4If your pride as a noble never falters and
you can maintain faith in yourself,
however, that shouldn't be an issue.</t>
  </si>
  <si>
    <t>#4K#0TThanks, Jusis.</t>
  </si>
  <si>
    <t>#E[1]I won't forget that.</t>
  </si>
  <si>
    <t>See that you don't.</t>
  </si>
  <si>
    <t>SB_06_TALK_GAIUS</t>
  </si>
  <si>
    <t>EV5565b</t>
  </si>
  <si>
    <t>EV5565c</t>
  </si>
  <si>
    <t>#4K#0TAre you finishing up your painting,
Gaius?</t>
  </si>
  <si>
    <t>Yeah. This is my last one.</t>
  </si>
  <si>
    <t>#E[1]#M_4I want to make sure I'm completely
satisfied with it before declaring it 
finished.</t>
  </si>
  <si>
    <t>#4K#0TThat's understandable.</t>
  </si>
  <si>
    <t>#E_4You're going to keep painting once
you're back at home, though, right?</t>
  </si>
  <si>
    <t>Well, I don't know how much time I'll
have to set aside for it, but I intend
to keep working on it bit by bit.</t>
  </si>
  <si>
    <t>#E[1]#M_0There's growing reason for concern in
Calvard to the east of the highlands...</t>
  </si>
  <si>
    <t>#E_0#M_4...but all in all, things are more peaceful 
now than they were. I should be able
to focus on painting my magnum opus.</t>
  </si>
  <si>
    <t>#4K#0TOh? Is it going to be of Nord?
If anyone could make a masterpiece
of the highlands, it'd be you.</t>
  </si>
  <si>
    <t>Haha. That wouldn't be such a bad idea.</t>
  </si>
  <si>
    <t>#E_0But actually, I was intending to paint
a picture of the academy, its students,
and the Courageous.</t>
  </si>
  <si>
    <t>#4K#0TYou mean...?</t>
  </si>
  <si>
    <t>Now you're getting it. I want to capture
the day we liberated the academy.</t>
  </si>
  <si>
    <t>#E_0#M_4And once I've finished it, I fully intend
to return to Erebonia with it in hand.</t>
  </si>
  <si>
    <t>#E[1]#M_4What better way to forever memorialize
this place as my second homeland?</t>
  </si>
  <si>
    <t>#4K#0TMan, you really are amazing.</t>
  </si>
  <si>
    <t>#4K#0TWell, if you ever need reference materials,
you know who to call.</t>
  </si>
  <si>
    <t>#E_II can get pictures of anything you might
need and send them over.</t>
  </si>
  <si>
    <t>#E_0I know you're talented, but that's a lot
to paint off of just your memory.</t>
  </si>
  <si>
    <t>Haha. I'd appreciate that.</t>
  </si>
  <si>
    <t>To tell you the truth, I still have
my doubts about whether the path
I'm taking is the right one.</t>
  </si>
  <si>
    <t>#E[1]#M_0I do fear for Nord now that this new
threat has reared its head...</t>
  </si>
  <si>
    <t>#E_8...but it doesn't sit right with me to
leave you here all on your own.</t>
  </si>
  <si>
    <t>#4K#0T...Gaius.</t>
  </si>
  <si>
    <t>#E_8#M_9We talked about this, right?</t>
  </si>
  <si>
    <t>#E[9]#M[A]</t>
  </si>
  <si>
    <t>#4K#0TThe best thing now is for the two of us
to go our own ways and do what's best
for us as individuals.</t>
  </si>
  <si>
    <t>#E_0#M_0You only get one life. You've got to make
the most of it instead of feeling obliged
to hold back for someone else's sake.</t>
  </si>
  <si>
    <t>#E[1]#M_9That goes for everyone here. Not just us.</t>
  </si>
  <si>
    <t>...Yeah, you're right.</t>
  </si>
  <si>
    <t>#E_J#M_0Right now, each of us has something we
must do for ourselves.</t>
  </si>
  <si>
    <t>#E[1]#M_4Our wings ride with the wind, and the
wind is guided by those wings...</t>
  </si>
  <si>
    <t>...but please, never forget that I'm always
there for you if you need me.</t>
  </si>
  <si>
    <t>#E[1]#M_4As sure as the wind that protects us,
I'll always be watching over you.</t>
  </si>
  <si>
    <t>#E_0And once you're ready to take flight,
I will return and grant you my strength
once again.</t>
  </si>
  <si>
    <t>#4K#0TThanks, Gaius. That means a lot.</t>
  </si>
  <si>
    <t>#E[1]And all this goes both ways, you got it?
If anything happens in Nord, I'm always
ready to rush by your side.</t>
  </si>
  <si>
    <t>#E_4I can get there pretty quickly with the
Spirit Path, too, thankfully.</t>
  </si>
  <si>
    <t>Haha. Thanks, Rean.</t>
  </si>
  <si>
    <t>SB_06_TALK_MACHIAS</t>
  </si>
  <si>
    <t>#3K#0THey, Machias. Working hard or har--</t>
  </si>
  <si>
    <t>AniSitWait</t>
  </si>
  <si>
    <t>Heh. I'll stop you right there.</t>
  </si>
  <si>
    <t>Of course I'm hard at work. Just look
at the size of this book!</t>
  </si>
  <si>
    <t>#E[9]#M_9If I can't internalize as much of it as
possible while I'm here, I'm doomed to
failure from the start!</t>
  </si>
  <si>
    <t>#3K#0TAnd this is one of your new textbooks?
Man, Heimdallr's political academies
don't mess around, do they?</t>
  </si>
  <si>
    <t>#E_0#M_9You'll be the youngest person there,
right?</t>
  </si>
  <si>
    <t>Most likely. I'd normally need to have
graduated from Thors with a bit more
experience under my belt to have gotten in.</t>
  </si>
  <si>
    <t>#E[1]#M_0There are a few Thors grads there already,
though. They take some every year.</t>
  </si>
  <si>
    <t>#E_E#M_0...And as you might imagine, the recent
political upheaval has the place swarming
with applicants this year.</t>
  </si>
  <si>
    <t>#E_8#M_9The entrance exam was hard enough on
its own, but that's just the tip of
the iceberg...</t>
  </si>
  <si>
    <t>#3K#0TCan't say I envy you...</t>
  </si>
  <si>
    <t>#E[1]#M_9Still, I know you're going to be just fine.</t>
  </si>
  <si>
    <t>#E_4#M_9You're so smart that you can handle any subject
they throw at you. Growing up with your dad
should give you a leg up on the politics, too!</t>
  </si>
  <si>
    <t>Yeah, no pressure there... Honestly, there
are times when I think diving into things
headfirst like this is a giant mistake...</t>
  </si>
  <si>
    <t>#3K#0T...What's wrong?</t>
  </si>
  <si>
    <t>Oh, it's nothing...</t>
  </si>
  <si>
    <t>It's just, I know we're probably going
to both be really busy with our own
lives come spring...</t>
  </si>
  <si>
    <t>#E_4#M_4...but let's make time to have lunch
together once in a while or something,
okay?</t>
  </si>
  <si>
    <t>#E[1]Studying is all well and good, but even
I need a change of pace every now and
again.</t>
  </si>
  <si>
    <t>#3K#0THaha. I think that can be arranged.</t>
  </si>
  <si>
    <t>#E_4The train from here to Heimdallr only
takes a half hour. I don't see any reason
why we wouldn't hang out sometimes.</t>
  </si>
  <si>
    <t>Then it's a date.</t>
  </si>
  <si>
    <t>...Actually, Rean...</t>
  </si>
  <si>
    <t>#E[3]I don't have to--</t>
  </si>
  <si>
    <t>#3K#0TAnd now it's MY turn to stop you.</t>
  </si>
  <si>
    <t>#E_8#M_9Yes, you do. As much as I'd like to have
you around for another year, we finally
have our paths laid out before us.</t>
  </si>
  <si>
    <t>I know, I know...</t>
  </si>
  <si>
    <t>#E_ELooking at it logically, that's what
makes sense, but at the same time...</t>
  </si>
  <si>
    <t>#3K#0TWe've talked about this already. It's not
easy, but going our separate ways for now
is what's best for the both of us.</t>
  </si>
  <si>
    <t>#E_0#M_0Our lives only last for so long. You shouldn't
try and spend the whole thing living for
somebody else.</t>
  </si>
  <si>
    <t>#E[1]#M_9Same goes for all of our other classmates.</t>
  </si>
  <si>
    <t>...Maybe so.</t>
  </si>
  <si>
    <t>#E_I#M_0Erebonia's political situation has been
in a state of flux since the war ended,
and it shows no signs of solidifying.</t>
  </si>
  <si>
    <t>#E[1]I don't know what this means for my
father in his role as Imperial governor,
either.</t>
  </si>
  <si>
    <t>#E[1]So instead of idly waiting for the country to
sort itself out, I think my best option is to
study up on politics and guide it myself.</t>
  </si>
  <si>
    <t>Just don't burn yourself out while
I'm away changing the world, okay?</t>
  </si>
  <si>
    <t>#E[9]#M_0Good luck, Rean. With everything.</t>
  </si>
  <si>
    <t>#E_8#M_4Oh, and don't forget: Trista and Heimdallr
are really close, so I'll check in once in
a while to make sure you're still alive.</t>
  </si>
  <si>
    <t>#E_4#M_4What do you say to, oh, I don't know,
once a month or so?</t>
  </si>
  <si>
    <t>#3K#0TShould be doable.</t>
  </si>
  <si>
    <t>#E_4Especially if you don't mind me stopping
by to see you in Heimdallr when I can.</t>
  </si>
  <si>
    <t>Please do!</t>
  </si>
  <si>
    <t>SB_06_TALK_ALISA</t>
  </si>
  <si>
    <t>event/ev2al100.eff</t>
  </si>
  <si>
    <t>event/ev2al101.eff</t>
  </si>
  <si>
    <t>AniEv7250</t>
  </si>
  <si>
    <t>AniEv7260</t>
  </si>
  <si>
    <t>AniEvHitei</t>
  </si>
  <si>
    <t>#4K#0TFeeling sad about leaving the
Lacrosse Club behind?</t>
  </si>
  <si>
    <t>Yeah. I was really into it by the end.</t>
  </si>
  <si>
    <t>#E_4I think it'll make for some wonderful
memories to look back fondly on in
the years to come.</t>
  </si>
  <si>
    <t>#4K#0TI can imagine...</t>
  </si>
  <si>
    <t>#E_0Does that mean you're not gonna
keep up with lacrosse in Roer?</t>
  </si>
  <si>
    <t>I don't think I'll be able to. As far as
I'm aware, there aren't any local teams
I could join.</t>
  </si>
  <si>
    <t>And even if there were, I doubt I'd have
the time for sports. Just thinking about
how busy I'll be makes my head spin...</t>
  </si>
  <si>
    <t>#E_2...No, no! Scratch that! Being busy is all
the more reason I need to make time for
exercise!</t>
  </si>
  <si>
    <t>#E[8]#M_9</t>
  </si>
  <si>
    <t>#4K#0TYeah, good luck with that.</t>
  </si>
  <si>
    <t>#E[1]#M_0Helping out with the Reinford Group
sounds like a recipe for one all-nighter
after another.</t>
  </si>
  <si>
    <t>Heehee. Not just yet, actually. I won't
be helping until Grandfather shows me
the ropes.</t>
  </si>
  <si>
    <t>#E_F#M_0As I am now, I doubt I'll be able to do
much at all in the way of rebuilding the
company.</t>
  </si>
  <si>
    <t>#E[9]But you can bet I'll leave Mother speechless
with how much progress I've made in a
year's time.</t>
  </si>
  <si>
    <t>#4K#0THaha... I'm sure you can if you put your
mind to it.</t>
  </si>
  <si>
    <t>#E_4And I know Sharon will always be willing
to help you out if you need her.</t>
  </si>
  <si>
    <t>#E[A]#M_A</t>
  </si>
  <si>
    <t>She probably would, but then she'd just
tell everything she did to Mother.</t>
  </si>
  <si>
    <t>#4K#0T...? Alisa?</t>
  </si>
  <si>
    <t>Oh, don't worry about it...</t>
  </si>
  <si>
    <t>#E[F]#M_4I was just thinking about how blessed
I am.</t>
  </si>
  <si>
    <t>#E[9]I've got a wonderful family, a great club
I'm part of, all of you as my classmates...</t>
  </si>
  <si>
    <t>#4K#0TOh, right...</t>
  </si>
  <si>
    <t>#E_8It took me a long time to realize the
same thing, too.</t>
  </si>
  <si>
    <t>#E[5]We really are one and the same.</t>
  </si>
  <si>
    <t>Yeah...</t>
  </si>
  <si>
    <t>#4K#0TA-Alisa...?!</t>
  </si>
  <si>
    <t>#E[R]#M_9#H[2]</t>
  </si>
  <si>
    <t>Aha...haha...*sniffle* It's nothing,
h-honestly!</t>
  </si>
  <si>
    <t>#E[D]I'm just feeling a bit emotional all of
a sudden... I don't know what's gotten
into me.</t>
  </si>
  <si>
    <t>#E[Q]Nothing's wrong, though. I promise.</t>
  </si>
  <si>
    <t>#4K#0TBut...</t>
  </si>
  <si>
    <t>#E[G]#M_4#H[0]</t>
  </si>
  <si>
    <t>Still, let's both make the most of our
free day tomorrow.</t>
  </si>
  <si>
    <t>It's the last one we'll ever have as a 
class--the last thing any of us want
to do is end it with regrets.</t>
  </si>
  <si>
    <t>#4K#0T...Yeah, agreed.</t>
  </si>
  <si>
    <t>#E_8#M_9Let's make it a day to remember
for both of us.</t>
  </si>
  <si>
    <t>#7K#0T...? Alisa?</t>
  </si>
  <si>
    <t>#E[Q]#M_A</t>
  </si>
  <si>
    <t>#6PI don't really care what happens to
the Reinford Group...</t>
  </si>
  <si>
    <t>#E[R]#M_AI don't even want to go back to Roer...</t>
  </si>
  <si>
    <t>#6PAll I want is to stay here with y--</t>
  </si>
  <si>
    <t>#3K#0TAlisa.</t>
  </si>
  <si>
    <t>#3K#0TWe've talked about this.</t>
  </si>
  <si>
    <t>#E[1]#M_0The best thing for the two of us now is to
go our separate ways.</t>
  </si>
  <si>
    <t>#E_0#M_0You only get one life, so you've got to make
the most of it. You shouldn't feel obligated
to give that up for someone else's sake.</t>
  </si>
  <si>
    <t>#E[1]#M_9That's as true for us as it is for the rest of
our classmates.</t>
  </si>
  <si>
    <t>#6PI know... I just hate that it has to be this
way.</t>
  </si>
  <si>
    <t>But with half the company's directors now
gone, the group's now much weaker than it
was before.</t>
  </si>
  <si>
    <t>Everyone's saying we should be making
more weapons than ever, but the company's
in no position to do something like that...</t>
  </si>
  <si>
    <t>#E[Q]Mother and Grandfather might be skilled,
but even they aren't skilled enough to go
against the changing times...</t>
  </si>
  <si>
    <t>As their family, I feel like I should be right
there, supporting them.</t>
  </si>
  <si>
    <t>#E[R]No, scratch that again. It's not because
I feel like I have to--I WANT to support
them.</t>
  </si>
  <si>
    <t>#3K#0TThen that's what you should do.</t>
  </si>
  <si>
    <t>#E[1]#M_9Don't worry about me. I'll be just fine.</t>
  </si>
  <si>
    <t>#E[1]#M_9Even if we're apart, I'll always be
thinking of you.</t>
  </si>
  <si>
    <t>#E[Q]Not a single day will pass where I won't
be thinking about that sweet, hardworking
girl I fell in love with.</t>
  </si>
  <si>
    <t>LeftHD02</t>
  </si>
  <si>
    <t>LeftHD03</t>
  </si>
  <si>
    <t>LeftHC02</t>
  </si>
  <si>
    <t>LeftHC03</t>
  </si>
  <si>
    <t>RightHD02</t>
  </si>
  <si>
    <t>RightHD03</t>
  </si>
  <si>
    <t>RightHC02</t>
  </si>
  <si>
    <t>RightHC03</t>
  </si>
  <si>
    <t>EV7257a</t>
  </si>
  <si>
    <t>#6POh, Rean... That's so sweet.</t>
  </si>
  <si>
    <t>...I'm sorry. I didn't mean to get
so worked up.</t>
  </si>
  <si>
    <t>#E[Q]#M_4I'm really happy, though.</t>
  </si>
  <si>
    <t>#3K#0TMe, too.</t>
  </si>
  <si>
    <t>#E_4#M_9Still, let's make the most of our free day
tomorrow.</t>
  </si>
  <si>
    <t>#E[G]It's the last one we'll ever have as a class.
The last thing any of us want to do is end
it with regrets.</t>
  </si>
  <si>
    <t>Yeah, you're right.</t>
  </si>
  <si>
    <t>#E[1]I'll probably spend most of it with the
Lacrosse Club while you're out helping
the Student Council...</t>
  </si>
  <si>
    <t>#E_4...but I want it to be something we'll
always remember.</t>
  </si>
  <si>
    <t>SB_06_TALK_LAURA</t>
  </si>
  <si>
    <t>#E[1]#M[4]</t>
  </si>
  <si>
    <t>#4K#0TWhat're you looking at, Laura?</t>
  </si>
  <si>
    <t>Ah. It's you, Rean.</t>
  </si>
  <si>
    <t>#E[1]I'll show you.</t>
  </si>
  <si>
    <t>#E[C]#M_9</t>
  </si>
  <si>
    <t>#K#0TOh. You and Monica got a picture
taken together?</t>
  </si>
  <si>
    <t>#E[5]You both look so happy in it, too.</t>
  </si>
  <si>
    <t>#3KThat we do. Someone in the Photography
Club kindly offered to take it for us.</t>
  </si>
  <si>
    <t>#E_0I thought it would make a fine souvenir
of my time at the academy to take away
with me.</t>
  </si>
  <si>
    <t>#K#0T(My mira's on that being Rex... Oh, well. 
It's a nice photo, and he got permission
...for once.)</t>
  </si>
  <si>
    <t>#4KI never expected you and Monica would
get so close.</t>
  </si>
  <si>
    <t>#E[1]Between her and Fie, you kind of have a
knack for becoming the best of friends
with the ones you bump heads with first.</t>
  </si>
  <si>
    <t>Haha. Please, don't say that.</t>
  </si>
  <si>
    <t>#E[1]I'm truly grateful to both of them for
broadening my horizons.</t>
  </si>
  <si>
    <t>#E_FMeeting them enriched my life in ways
I could have never pictured before.</t>
  </si>
  <si>
    <t>Truly, coming to this academy was one
of the best decisions I've ever made.</t>
  </si>
  <si>
    <t>#4K#0TI didn't realize we'd made such a big
impact on you...</t>
  </si>
  <si>
    <t>Ha. Well, you did. And don't mind me.
I'm just feeling a little emotional.
This isn't like me at all, now, is it?</t>
  </si>
  <si>
    <t>#E[1]#M_4There's no harm in a few tears, I suppose.
This will be my last time I can relax before
my training, after all.</t>
  </si>
  <si>
    <t>#4K#0TYeah... You're not going to get much rest
in with the training you've got lined up.</t>
  </si>
  <si>
    <t>I won't be learning the Arseid school's
advanced techniques with training any
less intense.</t>
  </si>
  <si>
    <t>#E_II have no idea where we'll be conducting
said training, but it will no doubt be as
perilous as it will be dangerous.</t>
  </si>
  <si>
    <t>#E[F]#M_A</t>
  </si>
  <si>
    <t>#3K#0TI had to spend a month in the Eisengard
Range as part of mine.</t>
  </si>
  <si>
    <t>#E[9]I don't think a month's going to cut it
with what you're doing, though. It goes
way beyond your average techniques.</t>
  </si>
  <si>
    <t>Indeed... I'm anticipating that it will
take at least half a year, if not more.</t>
  </si>
  <si>
    <t>#E_E#M_0Father's going to be with me, but with
things as difficult as they are, part of
me feels guilty for taking up his time...</t>
  </si>
  <si>
    <t>#3K#0TI don't know about that. I think him
agreeing to train with you shows how
much faith he has in your potential.</t>
  </si>
  <si>
    <t>#E[1]#M_0Besides, in a lot of ways, this might
be the best time to do it.</t>
  </si>
  <si>
    <t>That is very true...</t>
  </si>
  <si>
    <t>#E_8#M[0]</t>
  </si>
  <si>
    <t>#3K#0TWhat's wrong?</t>
  </si>
  <si>
    <t>Haha. Nothing at all.</t>
  </si>
  <si>
    <t>#E_0#M_4Regardless, I'd love to come and visit you
should the opportunity present itself.</t>
  </si>
  <si>
    <t>#E[1]And if it does, I'd like to formally request
a duel with you to test how much the two
of us have grown.</t>
  </si>
  <si>
    <t>#3K#0T...Let's not kid ourselves. We both know
who's going to win that duel.</t>
  </si>
  <si>
    <t>#E_2But your invitation is all the motivation
I need to get plenty of training in myself.
Can't have you beating me TOO badly.</t>
  </si>
  <si>
    <t>I hope you will.</t>
  </si>
  <si>
    <t>...Rean, I...</t>
  </si>
  <si>
    <t>#E_8I would still like for you to come
with me on my--</t>
  </si>
  <si>
    <t>#4K#0T...Laura.</t>
  </si>
  <si>
    <t>#4K#0TThe best thing for the two of us is to
walk our own paths.</t>
  </si>
  <si>
    <t>#E_0#M_0You only get one life. You've got to make
the most of it. I'd only just hold you back
if I were there with you.</t>
  </si>
  <si>
    <t>#E[1]#M_9And you shouldn't be holding yourself
back for someone else's sake. None of
us should.</t>
  </si>
  <si>
    <t>...I suppose you're right.</t>
  </si>
  <si>
    <t>#E_I#M_0I know that by taking on this training,
I'll obtain the strength I need to cleave
through the uncertain days ahead.</t>
  </si>
  <si>
    <t>#E[1]#M_4This is something I have to do.</t>
  </si>
  <si>
    <t>Not only to become stronger for me,
but to continue being a worthy sword
for you.</t>
  </si>
  <si>
    <t>#4K#0TTh-Thank you, Laura...</t>
  </si>
  <si>
    <t>#E[1]#M[9]...</t>
  </si>
  <si>
    <t>#E[R]#M_4#H[2]</t>
  </si>
  <si>
    <t>Heehee. I won't tell you not to overexert
yourself, as I certainly can't promise that
I won't.</t>
  </si>
  <si>
    <t>#E[Q]Still, I want you to always bear in mind
that no matter what happens, no matter
where I am...</t>
  </si>
  <si>
    <t>#E[G]#M_4...my heart is always with you. Please,
never forget that.</t>
  </si>
  <si>
    <t>#4K#0TI wouldn't want it any other way.</t>
  </si>
  <si>
    <t>SB_06_TALK_EMMA</t>
  </si>
  <si>
    <t>AniEv7655</t>
  </si>
  <si>
    <t>#8K#0TEmma? What are you doing?</t>
  </si>
  <si>
    <t>AniDetachEQU089</t>
  </si>
  <si>
    <t>Oh, hi there, Rean.</t>
  </si>
  <si>
    <t>#E[1]Weeell, Dorothee and I decided that
we're gonna put together one final
collection of stories as a club.</t>
  </si>
  <si>
    <t>#E_4Since then, I've been working on a 
story for the students who'll join the
club next year.</t>
  </si>
  <si>
    <t>#8K#0TOh, that sounds neat.</t>
  </si>
  <si>
    <t>#E[E]#M_A...Wait. If Dorothee's involved...</t>
  </si>
  <si>
    <t>#H[2]Th-The content is totally appropriate for
children of all ages, I assure you!</t>
  </si>
  <si>
    <t>#E_FAdmittedly, Dorothee's own story sounds like
it'll have a few of her favorite...literary
elements, but all in moderation, she assured.</t>
  </si>
  <si>
    <t>#8K#0THaha. Not that I'm one to judge.</t>
  </si>
  <si>
    <t>#8K#0TSo, what kind of story is it?</t>
  </si>
  <si>
    <t>#8K#0TWhat kind of story are you writing?</t>
  </si>
  <si>
    <t>It's supposed to be a fairy tale.</t>
  </si>
  <si>
    <t>#E[G]I can't pretend it's 100% original,
though. I borrowed some elements
from a story I heard as a child.</t>
  </si>
  <si>
    <t>#E_4#M_0It's going to star a golden unicorn
and a pure-hearted maiden. Or at least,
that's the plan.</t>
  </si>
  <si>
    <t>#8K#0TSounds interesting.</t>
  </si>
  <si>
    <t>#E[1]#M_9Can I give it a read when you're done?</t>
  </si>
  <si>
    <t>#E_4I'll still be here next year, so if I
see any first years who seem like they'd
enjoy it, I'll recommend it to them.</t>
  </si>
  <si>
    <t>Heehee. I have to confess, I'm a little
embarrassed to let anyone see it, but 
the whole point of a story IS to be read.</t>
  </si>
  <si>
    <t>#8K#0T...Something wrong?</t>
  </si>
  <si>
    <t>...Heehee. No, not at all.</t>
  </si>
  <si>
    <t>#E[1]I'm sure you and Valimar will be
just fine without my help now.</t>
  </si>
  <si>
    <t>#E_0#M_0Still, if you do need anything,
don't hesitate to get in touch.</t>
  </si>
  <si>
    <t>#E_8It may take some time to contact me,
though. You'll need to use a method
that...isn't exactly conventional.</t>
  </si>
  <si>
    <t>#8K#0TYeah, I could've guessed as much.</t>
  </si>
  <si>
    <t>#E[9]I mean, I theoretically get how to use
runes to communicate since you told me,
but I have no idea how it actually works.</t>
  </si>
  <si>
    <t>I'd be shocked if you did. It's pretty far
removed from the orbal technology
you're used to.</t>
  </si>
  <si>
    <t>#E[1]It has its benefits, though. For one,
you'll be able to reach me no matter
where I might be.</t>
  </si>
  <si>
    <t>#E_4So don't ever hesitate to drop me a line
if you need my assistance. I'd always be
happy to hear from you.</t>
  </si>
  <si>
    <t>#8K#0TAll right. I'm sure I'll give you
a ring...or a rune, I guess.</t>
  </si>
  <si>
    <t>#E_8I hope you end up being able to
find Vita, too.</t>
  </si>
  <si>
    <t>Thank you.</t>
  </si>
  <si>
    <t>I was talking it over with Celine...</t>
  </si>
  <si>
    <t>...and she seems to agree that there's no
real need to worry about Vita's safety.</t>
  </si>
  <si>
    <t>#E[9]Even for a witch, she was always
incredibly powerful. More than capable
of looking after herself.</t>
  </si>
  <si>
    <t>#E_2So if I were to stay here an extra
year, then start searching for her
after that...</t>
  </si>
  <si>
    <t>#4K#0T...Emma.</t>
  </si>
  <si>
    <t>#4K#0TAs much as I'd like you to stick around,
I think it's better to take care of the
opportunities that won't wait.</t>
  </si>
  <si>
    <t>#E_0#M_0You only get one life to live. You have to
make the most of it instead of feeling
obliged to hold back for someone else's sake.</t>
  </si>
  <si>
    <t>#E[1]#M_9That's as true for me and all our other
classmates as it is for you.</t>
  </si>
  <si>
    <t>#E_FIt's clear that something's still
happening beneath the surface here
in Erebonia.</t>
  </si>
  <si>
    <t>#E[1]Something not even Vita had foreseen. And
I'd bet anything it involves the Divine
Knights and the mysteries surrounding them.</t>
  </si>
  <si>
    <t>I want to discover the truth behind those
mysteries, and I want to see Vita again.</t>
  </si>
  <si>
    <t>#E[F]That's how I feel deep down, and that's
what I think should be my purpose going
forward.</t>
  </si>
  <si>
    <t>#E[R]But that's not the most important reason
I need to head out on that journey...</t>
  </si>
  <si>
    <t>#4K#0T...</t>
  </si>
  <si>
    <t>The most important thing to me in the
world is still you, Rean.</t>
  </si>
  <si>
    <t>#E[R]And I want to uncover the truth of the
Divine Knights for your sake just as
much as for myself.</t>
  </si>
  <si>
    <t>After all, the legends surrounding them
have been at the heart of so much of
the trouble we've had to endure.</t>
  </si>
  <si>
    <t>#E[Q]That's why I'll get to the bottom of this
and come back with the answers you deserve.
Until then, stay safe, and be well.</t>
  </si>
  <si>
    <t>#1PThanks. I will.</t>
  </si>
  <si>
    <t>#E[G]And the same goes for you.</t>
  </si>
  <si>
    <t>#E_4I'll be looking forward to the next
time I see your smile.</t>
  </si>
  <si>
    <t>#E[R]#M_0#H[2]</t>
  </si>
  <si>
    <t>#4KLikewise!</t>
  </si>
  <si>
    <t>SB_06_TALK_FIE</t>
  </si>
  <si>
    <t>AniEv7495</t>
  </si>
  <si>
    <t>AniEv7500</t>
  </si>
  <si>
    <t>#3K#0TAre those seeds you've got there?</t>
  </si>
  <si>
    <t>...Yup. Edel gave 'em to me.</t>
  </si>
  <si>
    <t>#E_4They all came from the plants we grew in
the Gardening Club. I'm just looking
at what kinds there are here.</t>
  </si>
  <si>
    <t>#3K#0TReally? That's really nice of her.</t>
  </si>
  <si>
    <t xml:space="preserve">#E_4#M_9It's kind of like you can take
everything you've achieved over
the past year with you. </t>
  </si>
  <si>
    <t>Heehee. Yeah...</t>
  </si>
  <si>
    <t>#E[G]I wasn't even going to join a club until
Edel found me relaxing and invited me.</t>
  </si>
  <si>
    <t>But I guess it wasn't so bad.</t>
  </si>
  <si>
    <t>#3K#0THaha...</t>
  </si>
  <si>
    <t>#3K#0T...Don't you worry. I'll be sure to check
on the Gardening Club every once in a
while just to see how things are going.</t>
  </si>
  <si>
    <t>#E_4It would be a shame if all the plants
you've spent so long looking after were
to wither and die.</t>
  </si>
  <si>
    <t>...It doesn't matter.</t>
  </si>
  <si>
    <t>#E_4Even if they do, they'll eventually
bloom again somewhere else.</t>
  </si>
  <si>
    <t>#E[G]Kind of like us.</t>
  </si>
  <si>
    <t>#3K#0TWhen you put it that way...</t>
  </si>
  <si>
    <t>#E[1]#M_9...I suppose you're right.</t>
  </si>
  <si>
    <t>Nothing.</t>
  </si>
  <si>
    <t>#4KHmm... This one and...this one
should be okay, too.</t>
  </si>
  <si>
    <t>Fie gave Rean a handful of seeds.</t>
  </si>
  <si>
    <t>#3K#0TWhat are these for...?</t>
  </si>
  <si>
    <t>They're the easiest ones to look after.</t>
  </si>
  <si>
    <t>#E_4You can try raising 'em if you want. Don't
worry if they wilt or anything, though.</t>
  </si>
  <si>
    <t>#E[1]#M_9When I've found the others from Zephyr,
I'll come back and check if they're still
blooming.</t>
  </si>
  <si>
    <t>#E_4#M_9If they are, you get a pat on the head.</t>
  </si>
  <si>
    <t>#3K#0T...Haha. Hey, I thought the
head-rubbing was my job.</t>
  </si>
  <si>
    <t>#E_8But I'll give it my best shot.</t>
  </si>
  <si>
    <t>#4K#0TFie? What's wrong?</t>
  </si>
  <si>
    <t>I think you could do with some
more watering, too.</t>
  </si>
  <si>
    <t>#E[9]...Though that probably goes for
both of us.</t>
  </si>
  <si>
    <t>I still don't know whether or
not I'm doing the right thing.</t>
  </si>
  <si>
    <t>#E[9]#M_0But it doesn't feel right abandoning
a member of my family like this.</t>
  </si>
  <si>
    <t>#E_8Maybe I should stay with you for at leas--</t>
  </si>
  <si>
    <t>#4K#0TFie.</t>
  </si>
  <si>
    <t>#4K#0TI hate to say it, but going our separate
ways is best for the both of us right now.</t>
  </si>
  <si>
    <t>#E_0#M_0You only get one life, so I want you to
make the most of it. Don't hold yourself
back for my sake or anyone else's.</t>
  </si>
  <si>
    <t>...I guess.</t>
  </si>
  <si>
    <t>#E[1]#M_0I want to find out where Xeno and Leo went.</t>
  </si>
  <si>
    <t>#E_FThe rest of the corps, too.</t>
  </si>
  <si>
    <t>#E[1]#M_0And I still want to find out what they
meant by 'bring back the boss.'</t>
  </si>
  <si>
    <t>#E_2#M_0...No, not want to. Need to.</t>
  </si>
  <si>
    <t>#4K#0TI don't want you to put yourself in any
more danger than you have to...</t>
  </si>
  <si>
    <t>#E_8#M_9...but I know how much your family means
to you.</t>
  </si>
  <si>
    <t>#E[1]So, more than anything else, I want you
to do what you feel you need to.</t>
  </si>
  <si>
    <t>#E_4#M_9Don't worry about me. I'll be right here
waiting for you to come back when you're
done.</t>
  </si>
  <si>
    <t>...You better.</t>
  </si>
  <si>
    <t>#E_4#M_4Once I find them all, I'll introduce you.</t>
  </si>
  <si>
    <t>#E[5]#M_4#H[2]Because of all my new family members,
you're the most special to me.</t>
  </si>
  <si>
    <t>#4K#0TY-Yeah, that'll go over really well
with your family of jaegers...</t>
  </si>
  <si>
    <t>#E_2...Well, whatever. Bring it on!</t>
  </si>
  <si>
    <t>EV_SB_06_TALK_MILLIUM_01</t>
  </si>
  <si>
    <t>SB_06_TALK_MILLIUM</t>
  </si>
  <si>
    <t>AniEvSit</t>
  </si>
  <si>
    <t>AniEvSitRyoteGyu</t>
  </si>
  <si>
    <t>AniEvSitRyoteAtama</t>
  </si>
  <si>
    <t>AniEvSitAtamakaki</t>
  </si>
  <si>
    <t>#4K#0TWhat's up, Millium?</t>
  </si>
  <si>
    <t>Oh, hey, Rean.</t>
  </si>
  <si>
    <t>SIT_WAIT</t>
  </si>
  <si>
    <t>It's nothing. I just feel kinda...down.</t>
  </si>
  <si>
    <t>#4K#0TDown?</t>
  </si>
  <si>
    <t>Yeah... I was just thinking about how
everyone was at dinner time.</t>
  </si>
  <si>
    <t>#E_F#M_9Sharon's food was really nice, and 
we all seemed like we were having
a good time...</t>
  </si>
  <si>
    <t>...but I dunno. It was weird, like we
were all upset but didn't want to let
it show. It's been bugging me.</t>
  </si>
  <si>
    <t>#4K#0TOh. So that's why...</t>
  </si>
  <si>
    <t>#E_8#M_9You really have grown so much these
past few months.</t>
  </si>
  <si>
    <t>#E[5]And not just mentally. I think you've
gotten a little taller, too.</t>
  </si>
  <si>
    <t>Maybe? About two rege or so?</t>
  </si>
  <si>
    <t>#E[1]#M_AJudging by my specs, I'm not gonna
get much taller than this, though.
I'm mini-Millium forever and ever.</t>
  </si>
  <si>
    <t>But you never know! Maybe I'll grow
up to have boobies so big, I can use
'em as a shelf like Emma's!</t>
  </si>
  <si>
    <t>#4K#0THaha...ha...</t>
  </si>
  <si>
    <t>#E_0#M[0]...</t>
  </si>
  <si>
    <t>Something wrong?</t>
  </si>
  <si>
    <t>#4K#0TNah. Not really.</t>
  </si>
  <si>
    <t>#E_4So you've got a new mission starting
next month, right?</t>
  </si>
  <si>
    <t>Yup. I've gotta go see how things are
over out west.</t>
  </si>
  <si>
    <t>#E_E#M_ADuke Cayenne's been arrested, but it 
sounds like things are still pretty nuts
over there.</t>
  </si>
  <si>
    <t>#E[C]#M_AOoh, but guess what? I might get to
go out to Liberl and Remiferia soon!</t>
  </si>
  <si>
    <t>#4K#0TWhat is it with you and blabbing
classified information?</t>
  </si>
  <si>
    <t>#E_8#M_9Well, whatever. Just promise me you'll
take care of yourself.</t>
  </si>
  <si>
    <t>#E[1]And be sure to keep in touch. I'll always
be right there when you need me, okay?</t>
  </si>
  <si>
    <t>Right-o. I promise.</t>
  </si>
  <si>
    <t>#E_2</t>
  </si>
  <si>
    <t>That goes double for you, mister!
If you need me to bust you out of
a jam, just say the word.</t>
  </si>
  <si>
    <t>#4K...You know, there's one thing I've been
meaning to ask.</t>
  </si>
  <si>
    <t>#E[1]#M_AIt was only when I was working with
Altina over in Crossbell that it finally
clicked, but...</t>
  </si>
  <si>
    <t>#E_2...the two of you were made artificially,
weren't you?</t>
  </si>
  <si>
    <t>Yup.</t>
  </si>
  <si>
    <t>#1PBut it's not like we're dolls or anything.
We're not THAT different from you guys.</t>
  </si>
  <si>
    <t>#E[1]#M_AI think the only real difference is that
we weren't born from a mother the way
normal people are.</t>
  </si>
  <si>
    <t>#E_J#M_AOh! But I was adjusted to be able to
link with Lammy, too, so there's that.</t>
  </si>
  <si>
    <t>#K#0TJust what kind of place is the Black
Workshop supposed to be...?</t>
  </si>
  <si>
    <t>#E_2You can't answer that, right?</t>
  </si>
  <si>
    <t>#1PNope. I think everything I knew about
the place was wiped from my memory
when I was sold off.</t>
  </si>
  <si>
    <t>#E_JMy first real memory is waking
up five years ago in Gramps' care.</t>
  </si>
  <si>
    <t>#E_8#M_0That was about when I first met
Claire and Lechter, too.</t>
  </si>
  <si>
    <t>#K#0TReally...?</t>
  </si>
  <si>
    <t>#E[9]#M[A](I did have a feeling that might be the
case, but I guess this settles it.)</t>
  </si>
  <si>
    <t>#E_E(Lechter said there's another artificial
child over in Crossbell, too...)</t>
  </si>
  <si>
    <t>JUMP ATTACK!</t>
  </si>
  <si>
    <t>#8K#0T#5SOof...</t>
  </si>
  <si>
    <t>#8K#0TCan you not randomly tackle people
like that? Pretty sure I've told you
this before...</t>
  </si>
  <si>
    <t>Ahaha. It's your fault for giving me that
puppy dog look that said, 'I need a hug!'
in the first place.</t>
  </si>
  <si>
    <t>#E[9]#M_AI'm kinda worried about you now...</t>
  </si>
  <si>
    <t>#E_F#M_AYou think I should ask Gramps to
let me stay here for another year?</t>
  </si>
  <si>
    <t>#E[9]I mean, I didn't even get to go to
Crossbell with you like I wanted,
so it's only fair.</t>
  </si>
  <si>
    <t>#8K#0TThat's...</t>
  </si>
  <si>
    <t>Sounds like you're pretty friendly with
HER now that all's said and done, too.</t>
  </si>
  <si>
    <t>#E[1]Altina and Sammy ARE pretty tough...</t>
  </si>
  <si>
    <t>#E_2#M_A...but me and Lammy are just as strong,
too, you know!</t>
  </si>
  <si>
    <t>OH! Is this that 'jealousy' thing
you guys are always talking about?
Am I like a jealous housewife?</t>
  </si>
  <si>
    <t>#8K#0TI appreciate your concern, but I'll be
okay. Don't worry.</t>
  </si>
  <si>
    <t>#E_8Even if I don't have you and Lammy
around, I do have Valimar. Remember?</t>
  </si>
  <si>
    <t>Oh, that's true.</t>
  </si>
  <si>
    <t>#E[A]#M_AYou totally didn't answer my question,
though.</t>
  </si>
  <si>
    <t>#8K#0THaha... Anyway, you've got your own
work to take care of, don't you?</t>
  </si>
  <si>
    <t>#E_4#M_9And be sure to keep in touch.</t>
  </si>
  <si>
    <t>#E[5]#M_9I'll always be right there when you
need me, okay?</t>
  </si>
  <si>
    <t>EV_SB_06_TALK_MILLIUM_01</t>
  </si>
  <si>
    <t>Right-o! I promise.</t>
  </si>
  <si>
    <t>#E_2That goes double for you, mister!
If you need me to bust you out of
a jam, just say the word.</t>
  </si>
  <si>
    <t>SB_06_TALK_SARA</t>
  </si>
  <si>
    <t>AniEv7800</t>
  </si>
  <si>
    <t>AniEv7805</t>
  </si>
  <si>
    <t>#4K#0TSomething on your mind, Instructor?</t>
  </si>
  <si>
    <t>Heh. You could say that.</t>
  </si>
  <si>
    <t>#E[9]I've been mulling over how things are
gonna be come next month, but all this
soul searching's giving me a headache.</t>
  </si>
  <si>
    <t>#4K#0TWell, it'll probably feel strange being
back with the guild for the first time
in two years.</t>
  </si>
  <si>
    <t>#E_8#M_9But I'd bet they'll be glad to
have you back.</t>
  </si>
  <si>
    <t>#E[1]#M_0Things are probably going to be rough
over there, even with you taking up
the bracer life again.</t>
  </si>
  <si>
    <t>No doubts there.</t>
  </si>
  <si>
    <t>#E_J#M_AI can already see plenty of traveling
abroad in my future after what
happened over in Crossbell.</t>
  </si>
  <si>
    <t>#E[9]And I imagine it'll keep getting harder
and harder for us bracers to operate
here, too.</t>
  </si>
  <si>
    <t>What's with that sad puppy look?</t>
  </si>
  <si>
    <t>#E[1]#M_0There's no reason for you to feel
ashamed of what you've chosen to do.</t>
  </si>
  <si>
    <t>#E_2I'm proud to have a student like you
who can stand up and make the tough
choices life thrusts on us.</t>
  </si>
  <si>
    <t>#4K#0TThanks, Instructor.</t>
  </si>
  <si>
    <t>#E[9]#M_9I'll try to just grin and bear
it for now.</t>
  </si>
  <si>
    <t>Attaboy. Sticking it out through the hard
times with a smile will put you on the
fast track to becoming a great man.</t>
  </si>
  <si>
    <t>#E[1]#M_0#e[1]...Just make sure you don't try to shoulder
TOO much. All that'll do is turn you into a
jaded grump. Everything in moderation, okay?</t>
  </si>
  <si>
    <t>#4K#0TUh... Thanks?</t>
  </si>
  <si>
    <t>#4K#0TI haven't joined the Intelligence
Division, and I have no plans to.</t>
  </si>
  <si>
    <t>#E_0I'm going to keep responding to their
requests, but only if I'm comfortable
doing what they're asking.</t>
  </si>
  <si>
    <t>#E_IAnd I can promise you, I'll never do anything
that would put me in conflict with the
guild or put innocents' lives at risk.</t>
  </si>
  <si>
    <t>#E[1]I don't know what the future will
bring for me, but that's the creed
I want to stand by.</t>
  </si>
  <si>
    <t>Heehee. I know. Don't worry.</t>
  </si>
  <si>
    <t>#E[1]No matter what happens, you'll
always be my student.</t>
  </si>
  <si>
    <t>#E[5]#M_0#e[4]So go out there, live your life, and grow
into such a heartthrob that I won't be
able to take my eyes off you.</t>
  </si>
  <si>
    <t>#4K#0THaha. Well, I'll try.</t>
  </si>
  <si>
    <t>#4K#0TWh-What's this for?</t>
  </si>
  <si>
    <t>#E[F]#M_4</t>
  </si>
  <si>
    <t>Just a little something to keep
you motivated.</t>
  </si>
  <si>
    <t>#E[G]There's still a part of me that wants
to drag you along with me and sign you
up with the guild...</t>
  </si>
  <si>
    <t>...but I think it's best to let you
mature and decide what you want to
do in life first.</t>
  </si>
  <si>
    <t>#E[J]#M_0#e[5]So go out there and grow up to be a real
heartthrob. I'll be waiting, as promised.</t>
  </si>
  <si>
    <t>#4K#0THeh...</t>
  </si>
  <si>
    <t>#E[9]#M_A#H[2]</t>
  </si>
  <si>
    <t>H-Hey! Time out, loverboy!</t>
  </si>
  <si>
    <t>#E_FI'm preeetty sure I told you that if
you want to move up to the main course,
you'll have to work for it.</t>
  </si>
  <si>
    <t>#K#0TSorry. Couldn't help myself.</t>
  </si>
  <si>
    <t>#E[1]#M_9You think you can overlook it just
this once?</t>
  </si>
  <si>
    <t>#E_8#M_9There may be days when remembering how
I feel right now is what keeps the fire
burning in me until we can meet again.</t>
  </si>
  <si>
    <t>*sigh* You're a sly one, Schwarzer.</t>
  </si>
  <si>
    <t>#E[G]#M_4#H[2]</t>
  </si>
  <si>
    <t>...All right, I'll let you off this
time. But no more freebies.</t>
  </si>
  <si>
    <t>LP2_DOOR201</t>
  </si>
  <si>
    <t>#K(Come to think of it, I've still got to
read that report on the Black Records
Instructor Thomas gave me.)</t>
  </si>
  <si>
    <t>#E[1]#M[0](Maybe I should give it a read now
before going to bed?)</t>
  </si>
  <si>
    <t>You can read the report from the event tab of the Camp
Menu's 'Item' section.</t>
  </si>
  <si>
    <t>#K(I wonder if I should just hang out in
my room until it's time to go to bed.)</t>
  </si>
  <si>
    <t>#E[E](I'm still up for talking to everyone, but
it's not like I have to do that tonight.)</t>
  </si>
  <si>
    <t>#K(I wonder if I should just hang out in
my room until it's time to go to bed...)</t>
  </si>
  <si>
    <t>Resting in your room will cause the main story to advance.</t>
  </si>
  <si>
    <t>Rest</t>
  </si>
  <si>
    <t>Don't Rest</t>
  </si>
  <si>
    <t>close1</t>
  </si>
  <si>
    <t>SB_06_LOOK_CROW</t>
  </si>
  <si>
    <t>#4K(Here's Crow's room...)</t>
  </si>
  <si>
    <t>#4K(...I think I'll stay away from it for now.)</t>
  </si>
  <si>
    <t>#E[0]#M[9](I feel more like going around and talking
to everyone.)</t>
  </si>
  <si>
    <t>SB_06_CROW_ROOM</t>
  </si>
  <si>
    <t>I_SVIS112</t>
  </si>
  <si>
    <t>Crow</t>
  </si>
  <si>
    <t>#E[Q]#M[0]</t>
  </si>
  <si>
    <t>#1P#800W...</t>
  </si>
  <si>
    <t>#0C#0T#300W#0C...You're all going to be in for some...
tough times ahead...</t>
  </si>
  <si>
    <t>#0C#300W#0CI can't go any farther now...</t>
  </si>
  <si>
    <t>#0C#300W#0C...but you can...so keep going forward...</t>
  </si>
  <si>
    <t>#1P(Crow's final words changed our path
forever...)</t>
  </si>
  <si>
    <t>#E[R]#M[9](...No. It's more like they gave us the
encouragement we needed to step onto
the right one.)</t>
  </si>
  <si>
    <t>#E[Q]#M[9](We only get one life, and we're the
only ones who can live it.)</t>
  </si>
  <si>
    <t>#E[Q]#M[9]#1P(Thanks, Crow.)</t>
  </si>
  <si>
    <t>#E[1]#M[9](I might not be leaving the academy to
pursue some noble goal like the others
are, but I'll do what I can here.)</t>
  </si>
  <si>
    <t>#E[F]#M[9](Although if I have to keep taking time
off for trips like that one to Crossbell,
I can kiss my attendance goodbye...)</t>
  </si>
  <si>
    <t>#E_8#M[9](Well, I can try to make it so I'll never
be in danger of repeating a year. Unlike
a certain someone...)</t>
  </si>
  <si>
    <t>ET_SB_06_CHK_CROWROOM</t>
  </si>
  <si>
    <t>LP2_DOOR206</t>
  </si>
  <si>
    <t>#K(I think I've spent long enough looking
backwards. Time to start looking forward
again.)</t>
  </si>
  <si>
    <t>#E[0]#M[9](Although if anything, I should be getting
back to my own room now that I've talked
to everyone.)</t>
  </si>
  <si>
    <t>#K(I feel more like talking to everyone right
now.)</t>
  </si>
  <si>
    <t>#E[0](I can come back here later.)</t>
  </si>
  <si>
    <t>ST_door_main</t>
  </si>
  <si>
    <t>#K#0TIt's too late to be wandering out.</t>
  </si>
  <si>
    <t>MM_ALISA_01</t>
  </si>
  <si>
    <t>FC_MemoryEvent_End</t>
  </si>
  <si>
    <t>MM_ALISA_03</t>
  </si>
  <si>
    <t>MM_LAURA_01</t>
  </si>
  <si>
    <t>MM_LAURA_03</t>
  </si>
  <si>
    <t>MM_EMMA_01</t>
  </si>
  <si>
    <t>MM_EMMA_03</t>
  </si>
  <si>
    <t>MM_FIE_01</t>
  </si>
  <si>
    <t>MM_FIE_03</t>
  </si>
  <si>
    <t>MM_MILLIUM_01</t>
  </si>
  <si>
    <t>MM_MILLIUM_03</t>
  </si>
  <si>
    <t>MM_SARA_01</t>
  </si>
  <si>
    <t>MM_SARA_03</t>
  </si>
  <si>
    <t>MM_TOWA_01</t>
  </si>
  <si>
    <t>MM_ALFIN_01</t>
  </si>
  <si>
    <t>#5SOooh... This simply isn't fair!</t>
  </si>
  <si>
    <t>MM_ELIOT_01</t>
  </si>
  <si>
    <t>MM_ELIOT_03</t>
  </si>
  <si>
    <t>MM_MACHIAS_01</t>
  </si>
  <si>
    <t>MM_MACHIAS_03</t>
  </si>
  <si>
    <t>MM_JUSIS_01</t>
  </si>
  <si>
    <t>MM_JUSIS_03</t>
  </si>
  <si>
    <t>MM_GAIUS_01</t>
  </si>
  <si>
    <t>MM_GAIUS_03</t>
  </si>
  <si>
    <t>#E[1]#M_0There's growing reason for concern in 
Calvard to the east of the highlands...</t>
  </si>
  <si>
    <t>_EV_06_04_01</t>
  </si>
  <si>
    <t>fill</t>
  </si>
  <si>
    <t>_EV_06_05_00</t>
  </si>
  <si>
    <t>_EV_06_06_01</t>
  </si>
  <si>
    <t>_QS_5103_02_B_02_2</t>
  </si>
  <si>
    <t>_SB_KIZUNA_ALISA_LAST</t>
  </si>
  <si>
    <t>_SB_KIZUNA_LAURA_LAST</t>
  </si>
  <si>
    <t>_SB_KIZUNA_EMMA_LAST</t>
  </si>
  <si>
    <t>_SB_KIZUNA_FIE_LAST</t>
  </si>
  <si>
    <t>_SB_KIZUNA_MILLIUM_LAST</t>
  </si>
  <si>
    <t>_SB_KIZUNA_SARA_LAST</t>
  </si>
  <si>
    <t>_SB_KIZUNA_TOWA_LAST</t>
  </si>
  <si>
    <t>_SB_KIZUNA_ALFIN_LAST</t>
  </si>
  <si>
    <t>_SB_KIZUNA_ELIOT_LAST</t>
  </si>
  <si>
    <t>_SB_KIZUNA_MACHIAS_LAST</t>
  </si>
  <si>
    <t>_SB_KIZUNA_JUSIS_LAST</t>
  </si>
  <si>
    <t>_SB_KIZUNA_GAIUS_LAST</t>
  </si>
  <si>
    <t>_SB_04_KIZUNA_LONELY</t>
  </si>
  <si>
    <t>_SB_06_TALK_SHARON</t>
  </si>
  <si>
    <t>_SB_06_TALK_CELINE</t>
  </si>
  <si>
    <t>_SB_06_TALK_ELIOT</t>
  </si>
  <si>
    <t>_SB_06_TALK_JUSIS</t>
  </si>
  <si>
    <t>_SB_06_TALK_GAIUS</t>
  </si>
  <si>
    <t>_SB_06_TALK_MACHIAS</t>
  </si>
  <si>
    <t>_SB_06_TALK_ALISA</t>
  </si>
  <si>
    <t>_SB_06_TALK_LAURA</t>
  </si>
  <si>
    <t>_SB_06_TALK_EMMA</t>
  </si>
  <si>
    <t>_SB_06_TALK_FIE</t>
  </si>
  <si>
    <t>_SB_06_TALK_MILLIUM</t>
  </si>
  <si>
    <t>_SB_06_TALK_SARA</t>
  </si>
  <si>
    <t>_LP2_DOOR201</t>
  </si>
  <si>
    <t>_SB_06_LOOK_CROW</t>
  </si>
  <si>
    <t>_SB_06_CROW_ROOM</t>
  </si>
  <si>
    <t>_LP2_DOOR206</t>
  </si>
  <si>
    <t>_MM_ALISA_01</t>
  </si>
  <si>
    <t>_MM_ALISA_03</t>
  </si>
  <si>
    <t>_MM_LAURA_01</t>
  </si>
  <si>
    <t>_MM_LAURA_03</t>
  </si>
  <si>
    <t>_MM_EMMA_01</t>
  </si>
  <si>
    <t>_MM_EMMA_03</t>
  </si>
  <si>
    <t>_MM_FIE_01</t>
  </si>
  <si>
    <t>_MM_FIE_03</t>
  </si>
  <si>
    <t>_MM_MILLIUM_01</t>
  </si>
  <si>
    <t>_MM_MILLIUM_03</t>
  </si>
  <si>
    <t>_MM_SARA_01</t>
  </si>
  <si>
    <t>_MM_SARA_03</t>
  </si>
  <si>
    <t>_MM_TOWA_01</t>
  </si>
  <si>
    <t>_MM_ALFIN_01</t>
  </si>
  <si>
    <t>_MM_ELIOT_01</t>
  </si>
  <si>
    <t>_MM_ELIOT_03</t>
  </si>
  <si>
    <t>_MM_MACHIAS_01</t>
  </si>
  <si>
    <t>_MM_MACHIAS_03</t>
  </si>
  <si>
    <t>_MM_JUSIS_01</t>
  </si>
  <si>
    <t>_MM_JUSIS_03</t>
  </si>
  <si>
    <t>_MM_GAIUS_01</t>
  </si>
  <si>
    <t>_MM_GAIUS_03</t>
  </si>
</sst>
</file>

<file path=xl/styles.xml><?xml version="1.0" encoding="utf-8"?>
<styleSheet xmlns="http://schemas.openxmlformats.org/spreadsheetml/2006/main">
  <fonts count="6">
    <font>
      <name val="Calibri"/>
    </font>
    <font>
      <b/>
      <sz val="14"/>
      <color rgb="FFFF0000"/>
      <name val="Arial"/>
    </font>
    <font>
      <sz val="10"/>
      <name val="Arial"/>
    </font>
    <font>
      <sz val="13"/>
      <name val="Arial"/>
    </font>
    <font>
      <b/>
      <name val="Calibri"/>
    </font>
    <font>
      <b/>
      <color rgb="FFFF0000"/>
      <name val="Calibri"/>
    </font>
  </fonts>
  <fills count="84">
    <fill>
      <patternFill patternType="none"/>
    </fill>
    <fill>
      <patternFill patternType="gray125"/>
    </fill>
    <fill>
      <patternFill patternType="solid">
        <fgColor rgb="FFFFDE9B"/>
      </patternFill>
    </fill>
    <fill>
      <patternFill patternType="solid">
        <fgColor rgb="FFFFC8C8"/>
      </patternFill>
    </fill>
    <fill>
      <patternFill patternType="solid">
        <fgColor rgb="FFFFE6D2"/>
      </patternFill>
    </fill>
    <fill>
      <patternFill patternType="solid">
        <fgColor rgb="FFFF7573"/>
      </patternFill>
    </fill>
    <fill>
      <patternFill patternType="solid">
        <fgColor rgb="FFFF7873"/>
      </patternFill>
    </fill>
    <fill>
      <patternFill patternType="solid">
        <fgColor rgb="FF73FFD5"/>
      </patternFill>
    </fill>
    <fill>
      <patternFill patternType="solid">
        <fgColor rgb="FFFF9473"/>
      </patternFill>
    </fill>
    <fill>
      <patternFill patternType="solid">
        <fgColor rgb="FFFF7F73"/>
      </patternFill>
    </fill>
    <fill>
      <patternFill patternType="solid">
        <fgColor rgb="FFFF9173"/>
      </patternFill>
    </fill>
    <fill>
      <patternFill patternType="solid">
        <fgColor rgb="FFFFE573"/>
      </patternFill>
    </fill>
    <fill>
      <patternFill patternType="solid">
        <fgColor rgb="FF73FF7C"/>
      </patternFill>
    </fill>
    <fill>
      <patternFill patternType="solid">
        <fgColor rgb="FFB0FF73"/>
      </patternFill>
    </fill>
    <fill>
      <patternFill patternType="solid">
        <fgColor rgb="FFB7FF73"/>
      </patternFill>
    </fill>
    <fill>
      <patternFill patternType="solid">
        <fgColor rgb="FFFAFF73"/>
      </patternFill>
    </fill>
    <fill>
      <patternFill patternType="solid">
        <fgColor rgb="FFFFBE73"/>
      </patternFill>
    </fill>
    <fill>
      <patternFill patternType="solid">
        <fgColor rgb="FFFF7A73"/>
      </patternFill>
    </fill>
    <fill>
      <patternFill patternType="solid">
        <fgColor rgb="FFFF0000"/>
      </patternFill>
    </fill>
    <fill>
      <patternFill patternType="solid">
        <fgColor rgb="FF9FFF73"/>
      </patternFill>
    </fill>
    <fill>
      <patternFill patternType="solid">
        <fgColor rgb="FFFFA673"/>
      </patternFill>
    </fill>
    <fill>
      <patternFill patternType="solid">
        <fgColor rgb="FFFFFA73"/>
      </patternFill>
    </fill>
    <fill>
      <patternFill patternType="solid">
        <fgColor rgb="FFDCFF73"/>
      </patternFill>
    </fill>
    <fill>
      <patternFill patternType="solid">
        <fgColor rgb="FFDAFF73"/>
      </patternFill>
    </fill>
    <fill>
      <patternFill patternType="solid">
        <fgColor rgb="FFD7FF73"/>
      </patternFill>
    </fill>
    <fill>
      <patternFill patternType="solid">
        <fgColor rgb="FFFFB473"/>
      </patternFill>
    </fill>
    <fill>
      <patternFill patternType="solid">
        <fgColor rgb="FFD5FF73"/>
      </patternFill>
    </fill>
    <fill>
      <patternFill patternType="solid">
        <fgColor rgb="FFFF9873"/>
      </patternFill>
    </fill>
    <fill>
      <patternFill patternType="solid">
        <fgColor rgb="FFFFA973"/>
      </patternFill>
    </fill>
    <fill>
      <patternFill patternType="solid">
        <fgColor rgb="FFFFAD73"/>
      </patternFill>
    </fill>
    <fill>
      <patternFill patternType="solid">
        <fgColor rgb="FFFFAB73"/>
      </patternFill>
    </fill>
    <fill>
      <patternFill patternType="solid">
        <fgColor rgb="FFFFB273"/>
      </patternFill>
    </fill>
    <fill>
      <patternFill patternType="solid">
        <fgColor rgb="FF73FFD3"/>
      </patternFill>
    </fill>
    <fill>
      <patternFill patternType="solid">
        <fgColor rgb="FFFF8173"/>
      </patternFill>
    </fill>
    <fill>
      <patternFill patternType="solid">
        <fgColor rgb="FFFFDE73"/>
      </patternFill>
    </fill>
    <fill>
      <patternFill patternType="solid">
        <fgColor rgb="FFFFFF73"/>
      </patternFill>
    </fill>
    <fill>
      <patternFill patternType="solid">
        <fgColor rgb="FFFFEA73"/>
      </patternFill>
    </fill>
    <fill>
      <patternFill patternType="solid">
        <fgColor rgb="FFFFD773"/>
      </patternFill>
    </fill>
    <fill>
      <patternFill patternType="solid">
        <fgColor rgb="FFFFC773"/>
      </patternFill>
    </fill>
    <fill>
      <patternFill patternType="solid">
        <fgColor rgb="FFFFE173"/>
      </patternFill>
    </fill>
    <fill>
      <patternFill patternType="solid">
        <fgColor rgb="FFFFE373"/>
      </patternFill>
    </fill>
    <fill>
      <patternFill patternType="solid">
        <fgColor rgb="FFFF8F73"/>
      </patternFill>
    </fill>
    <fill>
      <patternFill patternType="solid">
        <fgColor rgb="FFA6FF73"/>
      </patternFill>
    </fill>
    <fill>
      <patternFill patternType="solid">
        <fgColor rgb="FFDEFF73"/>
      </patternFill>
    </fill>
    <fill>
      <patternFill patternType="solid">
        <fgColor rgb="FF9BFF73"/>
      </patternFill>
    </fill>
    <fill>
      <patternFill patternType="solid">
        <fgColor rgb="FFF6FF73"/>
      </patternFill>
    </fill>
    <fill>
      <patternFill patternType="solid">
        <fgColor rgb="FFE3FF73"/>
      </patternFill>
    </fill>
    <fill>
      <patternFill patternType="solid">
        <fgColor rgb="FF7CFF73"/>
      </patternFill>
    </fill>
    <fill>
      <patternFill patternType="solid">
        <fgColor rgb="FFFFA273"/>
      </patternFill>
    </fill>
    <fill>
      <patternFill patternType="solid">
        <fgColor rgb="FFFFDC73"/>
      </patternFill>
    </fill>
    <fill>
      <patternFill patternType="solid">
        <fgColor rgb="FFE8FF73"/>
      </patternFill>
    </fill>
    <fill>
      <patternFill patternType="solid">
        <fgColor rgb="FFFFF373"/>
      </patternFill>
    </fill>
    <fill>
      <patternFill patternType="solid">
        <fgColor rgb="FFFFF673"/>
      </patternFill>
    </fill>
    <fill>
      <patternFill patternType="solid">
        <fgColor rgb="FFFFB073"/>
      </patternFill>
    </fill>
    <fill>
      <patternFill patternType="solid">
        <fgColor rgb="FFFFFD73"/>
      </patternFill>
    </fill>
    <fill>
      <patternFill patternType="solid">
        <fgColor rgb="FFFFE873"/>
      </patternFill>
    </fill>
    <fill>
      <patternFill patternType="solid">
        <fgColor rgb="FF98FF73"/>
      </patternFill>
    </fill>
    <fill>
      <patternFill patternType="solid">
        <fgColor rgb="FF73FF96"/>
      </patternFill>
    </fill>
    <fill>
      <patternFill patternType="solid">
        <fgColor rgb="FFF8FF73"/>
      </patternFill>
    </fill>
    <fill>
      <patternFill patternType="solid">
        <fgColor rgb="FFFF9673"/>
      </patternFill>
    </fill>
    <fill>
      <patternFill patternType="solid">
        <fgColor rgb="FFFF9F73"/>
      </patternFill>
    </fill>
    <fill>
      <patternFill patternType="solid">
        <fgColor rgb="FFFFDA73"/>
      </patternFill>
    </fill>
    <fill>
      <patternFill patternType="solid">
        <fgColor rgb="FFA2FF73"/>
      </patternFill>
    </fill>
    <fill>
      <patternFill patternType="solid">
        <fgColor rgb="FFFFEC73"/>
      </patternFill>
    </fill>
    <fill>
      <patternFill patternType="solid">
        <fgColor rgb="FFFFF173"/>
      </patternFill>
    </fill>
    <fill>
      <patternFill patternType="solid">
        <fgColor rgb="FFFFB773"/>
      </patternFill>
    </fill>
    <fill>
      <patternFill patternType="solid">
        <fgColor rgb="FFBBFF73"/>
      </patternFill>
    </fill>
    <fill>
      <patternFill patternType="solid">
        <fgColor rgb="FF8FFF73"/>
      </patternFill>
    </fill>
    <fill>
      <patternFill patternType="solid">
        <fgColor rgb="FF81FF73"/>
      </patternFill>
    </fill>
    <fill>
      <patternFill patternType="solid">
        <fgColor rgb="FF73FF81"/>
      </patternFill>
    </fill>
    <fill>
      <patternFill patternType="solid">
        <fgColor rgb="FFFDFF73"/>
      </patternFill>
    </fill>
    <fill>
      <patternFill patternType="solid">
        <fgColor rgb="FFFFEF73"/>
      </patternFill>
    </fill>
    <fill>
      <patternFill patternType="solid">
        <fgColor rgb="FFFF9D73"/>
      </patternFill>
    </fill>
    <fill>
      <patternFill patternType="solid">
        <fgColor rgb="FFABFF73"/>
      </patternFill>
    </fill>
    <fill>
      <patternFill patternType="solid">
        <fgColor rgb="FFC7FF73"/>
      </patternFill>
    </fill>
    <fill>
      <patternFill patternType="solid">
        <fgColor rgb="FFA9FF73"/>
      </patternFill>
    </fill>
    <fill>
      <patternFill patternType="solid">
        <fgColor rgb="FFFFC573"/>
      </patternFill>
    </fill>
    <fill>
      <patternFill patternType="solid">
        <fgColor rgb="FF73FF9B"/>
      </patternFill>
    </fill>
    <fill>
      <patternFill patternType="solid">
        <fgColor rgb="FFECFF73"/>
      </patternFill>
    </fill>
    <fill>
      <patternFill patternType="solid">
        <fgColor rgb="FFFFCE73"/>
      </patternFill>
    </fill>
    <fill>
      <patternFill patternType="solid">
        <fgColor rgb="FFFFC273"/>
      </patternFill>
    </fill>
    <fill>
      <patternFill patternType="solid">
        <fgColor rgb="FF73FF86"/>
      </patternFill>
    </fill>
    <fill>
      <patternFill patternType="solid">
        <fgColor rgb="FF91FF73"/>
      </patternFill>
    </fill>
    <fill>
      <patternFill patternType="solid">
        <fgColor rgb="FF9B73FF"/>
      </patternFill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6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3" borderId="1" xfId="0" applyFont="1" applyFill="1" applyBorder="1"/>
    <xf numFmtId="0" fontId="4" fillId="4" borderId="2" xfId="0" applyFont="1" applyFill="1" applyBorder="1" applyAlignment="1">
      <alignment horizontal="center" vertical="center" wrapText="1"/>
    </xf>
    <xf numFmtId="0" fontId="0" fillId="5" borderId="2" xfId="0" applyFill="1" applyBorder="1"/>
    <xf numFmtId="0" fontId="0" fillId="6" borderId="2" xfId="0" applyFill="1" applyBorder="1"/>
    <xf numFmtId="0" fontId="0" fillId="0" borderId="2" xfId="0" applyBorder="1" applyAlignment="1">
      <alignment horizontal="center" vertical="center"/>
    </xf>
    <xf numFmtId="0" fontId="0" fillId="7" borderId="2" xfId="0" applyFill="1" applyBorder="1"/>
    <xf numFmtId="0" fontId="0" fillId="8" borderId="2" xfId="0" applyFill="1" applyBorder="1"/>
    <xf numFmtId="0" fontId="0" fillId="9" borderId="2" xfId="0" applyFill="1" applyBorder="1"/>
    <xf numFmtId="0" fontId="5" fillId="0" borderId="2" xfId="0" applyFont="1" applyBorder="1"/>
    <xf numFmtId="0" fontId="0" fillId="10" borderId="2" xfId="0" applyFill="1" applyBorder="1"/>
    <xf numFmtId="0" fontId="0" fillId="11" borderId="2" xfId="0" applyFill="1" applyBorder="1"/>
    <xf numFmtId="0" fontId="0" fillId="12" borderId="2" xfId="0" applyFill="1" applyBorder="1"/>
    <xf numFmtId="0" fontId="0" fillId="13" borderId="2" xfId="0" applyFill="1" applyBorder="1"/>
    <xf numFmtId="0" fontId="0" fillId="14" borderId="2" xfId="0" applyFill="1" applyBorder="1"/>
    <xf numFmtId="0" fontId="0" fillId="15" borderId="2" xfId="0" applyFill="1" applyBorder="1"/>
    <xf numFmtId="0" fontId="0" fillId="16" borderId="2" xfId="0" applyFill="1" applyBorder="1"/>
    <xf numFmtId="0" fontId="0" fillId="17" borderId="2" xfId="0" applyFill="1" applyBorder="1"/>
    <xf numFmtId="0" fontId="0" fillId="18" borderId="0" xfId="0" applyFill="1" applyAlignment="1">
      <alignment horizontal="center" vertical="center" wrapText="1"/>
    </xf>
    <xf numFmtId="0" fontId="0" fillId="19" borderId="2" xfId="0" applyFill="1" applyBorder="1"/>
    <xf numFmtId="0" fontId="0" fillId="20" borderId="2" xfId="0" applyFill="1" applyBorder="1"/>
    <xf numFmtId="0" fontId="0" fillId="21" borderId="2" xfId="0" applyFill="1" applyBorder="1"/>
    <xf numFmtId="0" fontId="0" fillId="22" borderId="2" xfId="0" applyFill="1" applyBorder="1"/>
    <xf numFmtId="0" fontId="0" fillId="23" borderId="2" xfId="0" applyFill="1" applyBorder="1"/>
    <xf numFmtId="0" fontId="0" fillId="24" borderId="2" xfId="0" applyFill="1" applyBorder="1"/>
    <xf numFmtId="0" fontId="0" fillId="25" borderId="2" xfId="0" applyFill="1" applyBorder="1"/>
    <xf numFmtId="0" fontId="0" fillId="26" borderId="2" xfId="0" applyFill="1" applyBorder="1"/>
    <xf numFmtId="0" fontId="0" fillId="27" borderId="2" xfId="0" applyFill="1" applyBorder="1"/>
    <xf numFmtId="0" fontId="0" fillId="28" borderId="2" xfId="0" applyFill="1" applyBorder="1"/>
    <xf numFmtId="0" fontId="0" fillId="29" borderId="2" xfId="0" applyFill="1" applyBorder="1"/>
    <xf numFmtId="0" fontId="0" fillId="30" borderId="2" xfId="0" applyFill="1" applyBorder="1"/>
    <xf numFmtId="0" fontId="0" fillId="31" borderId="2" xfId="0" applyFill="1" applyBorder="1"/>
    <xf numFmtId="0" fontId="0" fillId="32" borderId="2" xfId="0" applyFill="1" applyBorder="1"/>
    <xf numFmtId="0" fontId="0" fillId="33" borderId="2" xfId="0" applyFill="1" applyBorder="1"/>
    <xf numFmtId="0" fontId="0" fillId="34" borderId="2" xfId="0" applyFill="1" applyBorder="1"/>
    <xf numFmtId="0" fontId="0" fillId="35" borderId="2" xfId="0" applyFill="1" applyBorder="1"/>
    <xf numFmtId="0" fontId="0" fillId="36" borderId="2" xfId="0" applyFill="1" applyBorder="1"/>
    <xf numFmtId="0" fontId="0" fillId="37" borderId="2" xfId="0" applyFill="1" applyBorder="1"/>
    <xf numFmtId="0" fontId="0" fillId="38" borderId="2" xfId="0" applyFill="1" applyBorder="1"/>
    <xf numFmtId="0" fontId="0" fillId="39" borderId="2" xfId="0" applyFill="1" applyBorder="1"/>
    <xf numFmtId="0" fontId="0" fillId="40" borderId="2" xfId="0" applyFill="1" applyBorder="1"/>
    <xf numFmtId="0" fontId="0" fillId="41" borderId="2" xfId="0" applyFill="1" applyBorder="1"/>
    <xf numFmtId="0" fontId="0" fillId="42" borderId="2" xfId="0" applyFill="1" applyBorder="1"/>
    <xf numFmtId="0" fontId="0" fillId="43" borderId="2" xfId="0" applyFill="1" applyBorder="1"/>
    <xf numFmtId="0" fontId="0" fillId="44" borderId="2" xfId="0" applyFill="1" applyBorder="1"/>
    <xf numFmtId="0" fontId="0" fillId="45" borderId="2" xfId="0" applyFill="1" applyBorder="1"/>
    <xf numFmtId="0" fontId="0" fillId="46" borderId="2" xfId="0" applyFill="1" applyBorder="1"/>
    <xf numFmtId="0" fontId="0" fillId="47" borderId="2" xfId="0" applyFill="1" applyBorder="1"/>
    <xf numFmtId="0" fontId="0" fillId="48" borderId="2" xfId="0" applyFill="1" applyBorder="1"/>
    <xf numFmtId="0" fontId="0" fillId="49" borderId="2" xfId="0" applyFill="1" applyBorder="1"/>
    <xf numFmtId="0" fontId="0" fillId="50" borderId="2" xfId="0" applyFill="1" applyBorder="1"/>
    <xf numFmtId="0" fontId="0" fillId="51" borderId="2" xfId="0" applyFill="1" applyBorder="1"/>
    <xf numFmtId="0" fontId="0" fillId="52" borderId="2" xfId="0" applyFill="1" applyBorder="1"/>
    <xf numFmtId="0" fontId="0" fillId="53" borderId="2" xfId="0" applyFill="1" applyBorder="1"/>
    <xf numFmtId="0" fontId="0" fillId="54" borderId="2" xfId="0" applyFill="1" applyBorder="1"/>
    <xf numFmtId="0" fontId="0" fillId="55" borderId="2" xfId="0" applyFill="1" applyBorder="1"/>
    <xf numFmtId="0" fontId="0" fillId="56" borderId="2" xfId="0" applyFill="1" applyBorder="1"/>
    <xf numFmtId="0" fontId="0" fillId="57" borderId="2" xfId="0" applyFill="1" applyBorder="1"/>
    <xf numFmtId="0" fontId="0" fillId="58" borderId="2" xfId="0" applyFill="1" applyBorder="1"/>
    <xf numFmtId="0" fontId="0" fillId="59" borderId="2" xfId="0" applyFill="1" applyBorder="1"/>
    <xf numFmtId="0" fontId="0" fillId="60" borderId="2" xfId="0" applyFill="1" applyBorder="1"/>
    <xf numFmtId="0" fontId="0" fillId="61" borderId="2" xfId="0" applyFill="1" applyBorder="1"/>
    <xf numFmtId="0" fontId="0" fillId="62" borderId="2" xfId="0" applyFill="1" applyBorder="1"/>
    <xf numFmtId="0" fontId="0" fillId="63" borderId="2" xfId="0" applyFill="1" applyBorder="1"/>
    <xf numFmtId="0" fontId="0" fillId="64" borderId="2" xfId="0" applyFill="1" applyBorder="1"/>
    <xf numFmtId="0" fontId="0" fillId="65" borderId="2" xfId="0" applyFill="1" applyBorder="1"/>
    <xf numFmtId="0" fontId="0" fillId="66" borderId="2" xfId="0" applyFill="1" applyBorder="1"/>
    <xf numFmtId="0" fontId="0" fillId="67" borderId="2" xfId="0" applyFill="1" applyBorder="1"/>
    <xf numFmtId="0" fontId="0" fillId="68" borderId="2" xfId="0" applyFill="1" applyBorder="1"/>
    <xf numFmtId="0" fontId="0" fillId="69" borderId="2" xfId="0" applyFill="1" applyBorder="1"/>
    <xf numFmtId="0" fontId="0" fillId="70" borderId="2" xfId="0" applyFill="1" applyBorder="1"/>
    <xf numFmtId="0" fontId="0" fillId="71" borderId="2" xfId="0" applyFill="1" applyBorder="1"/>
    <xf numFmtId="0" fontId="0" fillId="72" borderId="2" xfId="0" applyFill="1" applyBorder="1"/>
    <xf numFmtId="0" fontId="0" fillId="73" borderId="2" xfId="0" applyFill="1" applyBorder="1"/>
    <xf numFmtId="0" fontId="0" fillId="74" borderId="2" xfId="0" applyFill="1" applyBorder="1"/>
    <xf numFmtId="0" fontId="0" fillId="75" borderId="2" xfId="0" applyFill="1" applyBorder="1"/>
    <xf numFmtId="0" fontId="0" fillId="76" borderId="2" xfId="0" applyFill="1" applyBorder="1"/>
    <xf numFmtId="0" fontId="0" fillId="77" borderId="2" xfId="0" applyFill="1" applyBorder="1"/>
    <xf numFmtId="0" fontId="0" fillId="78" borderId="2" xfId="0" applyFill="1" applyBorder="1"/>
    <xf numFmtId="0" fontId="0" fillId="79" borderId="2" xfId="0" applyFill="1" applyBorder="1"/>
    <xf numFmtId="0" fontId="0" fillId="80" borderId="2" xfId="0" applyFill="1" applyBorder="1"/>
    <xf numFmtId="0" fontId="0" fillId="81" borderId="2" xfId="0" applyFill="1" applyBorder="1"/>
    <xf numFmtId="0" fontId="0" fillId="82" borderId="2" xfId="0" applyFill="1" applyBorder="1"/>
    <xf numFmtId="0" fontId="0" fillId="83" borderId="2" xfId="0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Q39026"/>
  <sheetViews>
    <sheetView showRuler="0" workbookViewId="0"/>
  </sheetViews>
  <sheetFormatPr defaultRowHeight="15"/>
  <sheetData>
    <row r="1" s="1" customFormat="1" customHeight="0">
      <c r="A1" s="1" t="s">
        <v>0</v>
      </c>
    </row>
    <row r="2" s="1" customFormat="1" customHeight="0">
      <c r="A2" s="2" t="s">
        <v>1</v>
      </c>
    </row>
    <row r="3" s="1" customFormat="1" customHeight="0"/>
    <row r="4" s="3" customFormat="1" customHeight="0">
      <c r="A4" s="3" t="s">
        <v>2</v>
      </c>
      <c r="B4" s="3" t="s">
        <v>3</v>
      </c>
    </row>
    <row r="5">
      <c r="A5" t="s">
        <v>4</v>
      </c>
      <c r="B5" s="4" t="s">
        <v>5</v>
      </c>
    </row>
    <row r="6">
      <c r="A6" t="n">
        <v>3072</v>
      </c>
      <c r="B6" s="5" t="n">
        <v>1</v>
      </c>
    </row>
    <row r="7" s="3" customFormat="1" customHeight="0">
      <c r="A7" s="3" t="s">
        <v>2</v>
      </c>
      <c r="B7" s="3" t="s">
        <v>6</v>
      </c>
    </row>
    <row r="8">
      <c r="A8" t="s">
        <v>4</v>
      </c>
      <c r="B8" s="4" t="s">
        <v>5</v>
      </c>
      <c r="C8" s="4" t="s">
        <v>7</v>
      </c>
      <c r="D8" s="4" t="s">
        <v>8</v>
      </c>
    </row>
    <row r="9">
      <c r="A9" t="n">
        <v>3076</v>
      </c>
      <c r="B9" s="6" t="n">
        <v>2</v>
      </c>
      <c r="C9" s="7" t="n">
        <v>10</v>
      </c>
      <c r="D9" s="7" t="s">
        <v>9</v>
      </c>
    </row>
    <row r="10">
      <c r="A10" t="s">
        <v>4</v>
      </c>
      <c r="B10" s="4" t="s">
        <v>5</v>
      </c>
      <c r="C10" s="4" t="s">
        <v>7</v>
      </c>
      <c r="D10" s="4" t="s">
        <v>7</v>
      </c>
    </row>
    <row r="11">
      <c r="A11" t="n">
        <v>3097</v>
      </c>
      <c r="B11" s="8" t="n">
        <v>162</v>
      </c>
      <c r="C11" s="7" t="n">
        <v>0</v>
      </c>
      <c r="D11" s="7" t="n">
        <v>0</v>
      </c>
    </row>
    <row r="12">
      <c r="A12" t="s">
        <v>4</v>
      </c>
      <c r="B12" s="4" t="s">
        <v>5</v>
      </c>
    </row>
    <row r="13">
      <c r="A13" t="n">
        <v>3100</v>
      </c>
      <c r="B13" s="5" t="n">
        <v>1</v>
      </c>
    </row>
    <row r="14" s="3" customFormat="1" customHeight="0">
      <c r="A14" s="3" t="s">
        <v>2</v>
      </c>
      <c r="B14" s="3" t="s">
        <v>10</v>
      </c>
    </row>
    <row r="15">
      <c r="A15" t="s">
        <v>4</v>
      </c>
      <c r="B15" s="4" t="s">
        <v>5</v>
      </c>
      <c r="C15" s="4" t="s">
        <v>7</v>
      </c>
      <c r="D15" s="4" t="s">
        <v>7</v>
      </c>
      <c r="E15" s="4" t="s">
        <v>7</v>
      </c>
      <c r="F15" s="4" t="s">
        <v>7</v>
      </c>
    </row>
    <row r="16">
      <c r="A16" t="n">
        <v>3104</v>
      </c>
      <c r="B16" s="9" t="n">
        <v>14</v>
      </c>
      <c r="C16" s="7" t="n">
        <v>8</v>
      </c>
      <c r="D16" s="7" t="n">
        <v>0</v>
      </c>
      <c r="E16" s="7" t="n">
        <v>0</v>
      </c>
      <c r="F16" s="7" t="n">
        <v>0</v>
      </c>
    </row>
    <row r="17" spans="1:6">
      <c r="A17" t="s">
        <v>4</v>
      </c>
      <c r="B17" s="4" t="s">
        <v>5</v>
      </c>
      <c r="C17" s="4" t="s">
        <v>7</v>
      </c>
      <c r="D17" s="4" t="s">
        <v>11</v>
      </c>
      <c r="E17" s="4" t="s">
        <v>7</v>
      </c>
      <c r="F17" s="4" t="s">
        <v>12</v>
      </c>
    </row>
    <row r="18" spans="1:6">
      <c r="A18" t="n">
        <v>3109</v>
      </c>
      <c r="B18" s="10" t="n">
        <v>5</v>
      </c>
      <c r="C18" s="7" t="n">
        <v>30</v>
      </c>
      <c r="D18" s="7" t="n">
        <v>6767</v>
      </c>
      <c r="E18" s="7" t="n">
        <v>1</v>
      </c>
      <c r="F18" s="11" t="n">
        <f t="normal" ca="1">A24</f>
        <v>0</v>
      </c>
    </row>
    <row r="19" spans="1:6">
      <c r="A19" t="s">
        <v>4</v>
      </c>
      <c r="B19" s="4" t="s">
        <v>5</v>
      </c>
      <c r="C19" s="4" t="s">
        <v>11</v>
      </c>
    </row>
    <row r="20" spans="1:6">
      <c r="A20" t="n">
        <v>3118</v>
      </c>
      <c r="B20" s="12" t="n">
        <v>13</v>
      </c>
      <c r="C20" s="7" t="n">
        <v>6767</v>
      </c>
    </row>
    <row r="21" spans="1:6">
      <c r="A21" t="s">
        <v>4</v>
      </c>
      <c r="B21" s="4" t="s">
        <v>5</v>
      </c>
      <c r="C21" s="4" t="s">
        <v>7</v>
      </c>
      <c r="D21" s="4" t="s">
        <v>11</v>
      </c>
      <c r="E21" s="4" t="s">
        <v>13</v>
      </c>
      <c r="F21" s="4" t="s">
        <v>11</v>
      </c>
      <c r="G21" s="4" t="s">
        <v>13</v>
      </c>
      <c r="H21" s="4" t="s">
        <v>7</v>
      </c>
    </row>
    <row r="22" spans="1:6">
      <c r="A22" t="n">
        <v>3121</v>
      </c>
      <c r="B22" s="13" t="n">
        <v>49</v>
      </c>
      <c r="C22" s="7" t="n">
        <v>4</v>
      </c>
      <c r="D22" s="7" t="n">
        <v>2</v>
      </c>
      <c r="E22" s="7" t="n">
        <v>1</v>
      </c>
      <c r="F22" s="7" t="n">
        <v>0</v>
      </c>
      <c r="G22" s="7" t="n">
        <v>0</v>
      </c>
      <c r="H22" s="7" t="n">
        <v>0</v>
      </c>
    </row>
    <row r="23" spans="1:6">
      <c r="A23" t="s">
        <v>4</v>
      </c>
      <c r="B23" s="4" t="s">
        <v>5</v>
      </c>
      <c r="C23" s="4" t="s">
        <v>7</v>
      </c>
      <c r="D23" s="4" t="s">
        <v>8</v>
      </c>
    </row>
    <row r="24" spans="1:6">
      <c r="A24" t="n">
        <v>3136</v>
      </c>
      <c r="B24" s="6" t="n">
        <v>2</v>
      </c>
      <c r="C24" s="7" t="n">
        <v>11</v>
      </c>
      <c r="D24" s="7" t="s">
        <v>14</v>
      </c>
    </row>
    <row r="25" spans="1:6">
      <c r="A25" t="s">
        <v>4</v>
      </c>
      <c r="B25" s="4" t="s">
        <v>5</v>
      </c>
      <c r="C25" s="4" t="s">
        <v>7</v>
      </c>
      <c r="D25" s="4" t="s">
        <v>11</v>
      </c>
      <c r="E25" s="4" t="s">
        <v>11</v>
      </c>
      <c r="F25" s="4" t="s">
        <v>11</v>
      </c>
      <c r="G25" s="4" t="s">
        <v>11</v>
      </c>
      <c r="H25" s="4" t="s">
        <v>11</v>
      </c>
      <c r="I25" s="4" t="s">
        <v>11</v>
      </c>
      <c r="J25" s="4" t="s">
        <v>15</v>
      </c>
      <c r="K25" s="4" t="s">
        <v>15</v>
      </c>
      <c r="L25" s="4" t="s">
        <v>15</v>
      </c>
      <c r="M25" s="4" t="s">
        <v>8</v>
      </c>
    </row>
    <row r="26" spans="1:6">
      <c r="A26" t="n">
        <v>3150</v>
      </c>
      <c r="B26" s="14" t="n">
        <v>124</v>
      </c>
      <c r="C26" s="7" t="n">
        <v>255</v>
      </c>
      <c r="D26" s="7" t="n">
        <v>0</v>
      </c>
      <c r="E26" s="7" t="n">
        <v>0</v>
      </c>
      <c r="F26" s="7" t="n">
        <v>0</v>
      </c>
      <c r="G26" s="7" t="n">
        <v>0</v>
      </c>
      <c r="H26" s="7" t="n">
        <v>0</v>
      </c>
      <c r="I26" s="7" t="n">
        <v>65535</v>
      </c>
      <c r="J26" s="7" t="n">
        <v>0</v>
      </c>
      <c r="K26" s="7" t="n">
        <v>0</v>
      </c>
      <c r="L26" s="7" t="n">
        <v>0</v>
      </c>
      <c r="M26" s="7" t="s">
        <v>16</v>
      </c>
    </row>
    <row r="27" spans="1:6">
      <c r="A27" t="s">
        <v>4</v>
      </c>
      <c r="B27" s="4" t="s">
        <v>5</v>
      </c>
    </row>
    <row r="28" spans="1:6">
      <c r="A28" t="n">
        <v>3177</v>
      </c>
      <c r="B28" s="5" t="n">
        <v>1</v>
      </c>
    </row>
    <row r="29" spans="1:6" s="3" customFormat="1" customHeight="0">
      <c r="A29" s="3" t="s">
        <v>2</v>
      </c>
      <c r="B29" s="3" t="s">
        <v>17</v>
      </c>
    </row>
    <row r="30" spans="1:6">
      <c r="A30" t="s">
        <v>4</v>
      </c>
      <c r="B30" s="4" t="s">
        <v>5</v>
      </c>
      <c r="C30" s="4" t="s">
        <v>7</v>
      </c>
      <c r="D30" s="4" t="s">
        <v>8</v>
      </c>
      <c r="E30" s="4" t="s">
        <v>11</v>
      </c>
    </row>
    <row r="31" spans="1:6">
      <c r="A31" t="n">
        <v>3180</v>
      </c>
      <c r="B31" s="15" t="n">
        <v>94</v>
      </c>
      <c r="C31" s="7" t="n">
        <v>1</v>
      </c>
      <c r="D31" s="7" t="s">
        <v>18</v>
      </c>
      <c r="E31" s="7" t="n">
        <v>1</v>
      </c>
    </row>
    <row r="32" spans="1:6">
      <c r="A32" t="s">
        <v>4</v>
      </c>
      <c r="B32" s="4" t="s">
        <v>5</v>
      </c>
      <c r="C32" s="4" t="s">
        <v>7</v>
      </c>
      <c r="D32" s="4" t="s">
        <v>8</v>
      </c>
      <c r="E32" s="4" t="s">
        <v>11</v>
      </c>
    </row>
    <row r="33" spans="1:13">
      <c r="A33" t="n">
        <v>3198</v>
      </c>
      <c r="B33" s="15" t="n">
        <v>94</v>
      </c>
      <c r="C33" s="7" t="n">
        <v>1</v>
      </c>
      <c r="D33" s="7" t="s">
        <v>18</v>
      </c>
      <c r="E33" s="7" t="n">
        <v>2</v>
      </c>
    </row>
    <row r="34" spans="1:13">
      <c r="A34" t="s">
        <v>4</v>
      </c>
      <c r="B34" s="4" t="s">
        <v>5</v>
      </c>
      <c r="C34" s="4" t="s">
        <v>7</v>
      </c>
      <c r="D34" s="4" t="s">
        <v>8</v>
      </c>
      <c r="E34" s="4" t="s">
        <v>11</v>
      </c>
    </row>
    <row r="35" spans="1:13">
      <c r="A35" t="n">
        <v>3216</v>
      </c>
      <c r="B35" s="15" t="n">
        <v>94</v>
      </c>
      <c r="C35" s="7" t="n">
        <v>0</v>
      </c>
      <c r="D35" s="7" t="s">
        <v>18</v>
      </c>
      <c r="E35" s="7" t="n">
        <v>4</v>
      </c>
    </row>
    <row r="36" spans="1:13">
      <c r="A36" t="s">
        <v>4</v>
      </c>
      <c r="B36" s="4" t="s">
        <v>5</v>
      </c>
      <c r="C36" s="4" t="s">
        <v>7</v>
      </c>
      <c r="D36" s="4" t="s">
        <v>8</v>
      </c>
      <c r="E36" s="4" t="s">
        <v>11</v>
      </c>
    </row>
    <row r="37" spans="1:13">
      <c r="A37" t="n">
        <v>3234</v>
      </c>
      <c r="B37" s="15" t="n">
        <v>94</v>
      </c>
      <c r="C37" s="7" t="n">
        <v>1</v>
      </c>
      <c r="D37" s="7" t="s">
        <v>19</v>
      </c>
      <c r="E37" s="7" t="n">
        <v>1</v>
      </c>
    </row>
    <row r="38" spans="1:13">
      <c r="A38" t="s">
        <v>4</v>
      </c>
      <c r="B38" s="4" t="s">
        <v>5</v>
      </c>
      <c r="C38" s="4" t="s">
        <v>7</v>
      </c>
      <c r="D38" s="4" t="s">
        <v>8</v>
      </c>
      <c r="E38" s="4" t="s">
        <v>11</v>
      </c>
    </row>
    <row r="39" spans="1:13">
      <c r="A39" t="n">
        <v>3252</v>
      </c>
      <c r="B39" s="15" t="n">
        <v>94</v>
      </c>
      <c r="C39" s="7" t="n">
        <v>1</v>
      </c>
      <c r="D39" s="7" t="s">
        <v>19</v>
      </c>
      <c r="E39" s="7" t="n">
        <v>2</v>
      </c>
    </row>
    <row r="40" spans="1:13">
      <c r="A40" t="s">
        <v>4</v>
      </c>
      <c r="B40" s="4" t="s">
        <v>5</v>
      </c>
      <c r="C40" s="4" t="s">
        <v>7</v>
      </c>
      <c r="D40" s="4" t="s">
        <v>8</v>
      </c>
      <c r="E40" s="4" t="s">
        <v>11</v>
      </c>
    </row>
    <row r="41" spans="1:13">
      <c r="A41" t="n">
        <v>3270</v>
      </c>
      <c r="B41" s="15" t="n">
        <v>94</v>
      </c>
      <c r="C41" s="7" t="n">
        <v>0</v>
      </c>
      <c r="D41" s="7" t="s">
        <v>19</v>
      </c>
      <c r="E41" s="7" t="n">
        <v>4</v>
      </c>
    </row>
    <row r="42" spans="1:13">
      <c r="A42" t="s">
        <v>4</v>
      </c>
      <c r="B42" s="4" t="s">
        <v>5</v>
      </c>
      <c r="C42" s="4" t="s">
        <v>7</v>
      </c>
      <c r="D42" s="4" t="s">
        <v>8</v>
      </c>
      <c r="E42" s="4" t="s">
        <v>11</v>
      </c>
    </row>
    <row r="43" spans="1:13">
      <c r="A43" t="n">
        <v>3288</v>
      </c>
      <c r="B43" s="15" t="n">
        <v>94</v>
      </c>
      <c r="C43" s="7" t="n">
        <v>1</v>
      </c>
      <c r="D43" s="7" t="s">
        <v>20</v>
      </c>
      <c r="E43" s="7" t="n">
        <v>1</v>
      </c>
    </row>
    <row r="44" spans="1:13">
      <c r="A44" t="s">
        <v>4</v>
      </c>
      <c r="B44" s="4" t="s">
        <v>5</v>
      </c>
      <c r="C44" s="4" t="s">
        <v>7</v>
      </c>
      <c r="D44" s="4" t="s">
        <v>8</v>
      </c>
      <c r="E44" s="4" t="s">
        <v>11</v>
      </c>
    </row>
    <row r="45" spans="1:13">
      <c r="A45" t="n">
        <v>3306</v>
      </c>
      <c r="B45" s="15" t="n">
        <v>94</v>
      </c>
      <c r="C45" s="7" t="n">
        <v>1</v>
      </c>
      <c r="D45" s="7" t="s">
        <v>20</v>
      </c>
      <c r="E45" s="7" t="n">
        <v>2</v>
      </c>
    </row>
    <row r="46" spans="1:13">
      <c r="A46" t="s">
        <v>4</v>
      </c>
      <c r="B46" s="4" t="s">
        <v>5</v>
      </c>
      <c r="C46" s="4" t="s">
        <v>7</v>
      </c>
      <c r="D46" s="4" t="s">
        <v>8</v>
      </c>
      <c r="E46" s="4" t="s">
        <v>11</v>
      </c>
    </row>
    <row r="47" spans="1:13">
      <c r="A47" t="n">
        <v>3324</v>
      </c>
      <c r="B47" s="15" t="n">
        <v>94</v>
      </c>
      <c r="C47" s="7" t="n">
        <v>0</v>
      </c>
      <c r="D47" s="7" t="s">
        <v>20</v>
      </c>
      <c r="E47" s="7" t="n">
        <v>4</v>
      </c>
    </row>
    <row r="48" spans="1:13">
      <c r="A48" t="s">
        <v>4</v>
      </c>
      <c r="B48" s="4" t="s">
        <v>5</v>
      </c>
      <c r="C48" s="4" t="s">
        <v>7</v>
      </c>
      <c r="D48" s="4" t="s">
        <v>8</v>
      </c>
      <c r="E48" s="4" t="s">
        <v>11</v>
      </c>
    </row>
    <row r="49" spans="1:5">
      <c r="A49" t="n">
        <v>3342</v>
      </c>
      <c r="B49" s="15" t="n">
        <v>94</v>
      </c>
      <c r="C49" s="7" t="n">
        <v>1</v>
      </c>
      <c r="D49" s="7" t="s">
        <v>21</v>
      </c>
      <c r="E49" s="7" t="n">
        <v>1</v>
      </c>
    </row>
    <row r="50" spans="1:5">
      <c r="A50" t="s">
        <v>4</v>
      </c>
      <c r="B50" s="4" t="s">
        <v>5</v>
      </c>
      <c r="C50" s="4" t="s">
        <v>7</v>
      </c>
      <c r="D50" s="4" t="s">
        <v>8</v>
      </c>
      <c r="E50" s="4" t="s">
        <v>11</v>
      </c>
    </row>
    <row r="51" spans="1:5">
      <c r="A51" t="n">
        <v>3360</v>
      </c>
      <c r="B51" s="15" t="n">
        <v>94</v>
      </c>
      <c r="C51" s="7" t="n">
        <v>1</v>
      </c>
      <c r="D51" s="7" t="s">
        <v>21</v>
      </c>
      <c r="E51" s="7" t="n">
        <v>2</v>
      </c>
    </row>
    <row r="52" spans="1:5">
      <c r="A52" t="s">
        <v>4</v>
      </c>
      <c r="B52" s="4" t="s">
        <v>5</v>
      </c>
      <c r="C52" s="4" t="s">
        <v>7</v>
      </c>
      <c r="D52" s="4" t="s">
        <v>8</v>
      </c>
      <c r="E52" s="4" t="s">
        <v>11</v>
      </c>
    </row>
    <row r="53" spans="1:5">
      <c r="A53" t="n">
        <v>3378</v>
      </c>
      <c r="B53" s="15" t="n">
        <v>94</v>
      </c>
      <c r="C53" s="7" t="n">
        <v>0</v>
      </c>
      <c r="D53" s="7" t="s">
        <v>21</v>
      </c>
      <c r="E53" s="7" t="n">
        <v>4</v>
      </c>
    </row>
    <row r="54" spans="1:5">
      <c r="A54" t="s">
        <v>4</v>
      </c>
      <c r="B54" s="4" t="s">
        <v>5</v>
      </c>
      <c r="C54" s="4" t="s">
        <v>7</v>
      </c>
      <c r="D54" s="4" t="s">
        <v>8</v>
      </c>
      <c r="E54" s="4" t="s">
        <v>11</v>
      </c>
    </row>
    <row r="55" spans="1:5">
      <c r="A55" t="n">
        <v>3396</v>
      </c>
      <c r="B55" s="15" t="n">
        <v>94</v>
      </c>
      <c r="C55" s="7" t="n">
        <v>1</v>
      </c>
      <c r="D55" s="7" t="s">
        <v>22</v>
      </c>
      <c r="E55" s="7" t="n">
        <v>1</v>
      </c>
    </row>
    <row r="56" spans="1:5">
      <c r="A56" t="s">
        <v>4</v>
      </c>
      <c r="B56" s="4" t="s">
        <v>5</v>
      </c>
      <c r="C56" s="4" t="s">
        <v>7</v>
      </c>
      <c r="D56" s="4" t="s">
        <v>8</v>
      </c>
      <c r="E56" s="4" t="s">
        <v>11</v>
      </c>
    </row>
    <row r="57" spans="1:5">
      <c r="A57" t="n">
        <v>3414</v>
      </c>
      <c r="B57" s="15" t="n">
        <v>94</v>
      </c>
      <c r="C57" s="7" t="n">
        <v>1</v>
      </c>
      <c r="D57" s="7" t="s">
        <v>22</v>
      </c>
      <c r="E57" s="7" t="n">
        <v>2</v>
      </c>
    </row>
    <row r="58" spans="1:5">
      <c r="A58" t="s">
        <v>4</v>
      </c>
      <c r="B58" s="4" t="s">
        <v>5</v>
      </c>
      <c r="C58" s="4" t="s">
        <v>7</v>
      </c>
      <c r="D58" s="4" t="s">
        <v>8</v>
      </c>
      <c r="E58" s="4" t="s">
        <v>11</v>
      </c>
    </row>
    <row r="59" spans="1:5">
      <c r="A59" t="n">
        <v>3432</v>
      </c>
      <c r="B59" s="15" t="n">
        <v>94</v>
      </c>
      <c r="C59" s="7" t="n">
        <v>0</v>
      </c>
      <c r="D59" s="7" t="s">
        <v>22</v>
      </c>
      <c r="E59" s="7" t="n">
        <v>4</v>
      </c>
    </row>
    <row r="60" spans="1:5">
      <c r="A60" t="s">
        <v>4</v>
      </c>
      <c r="B60" s="4" t="s">
        <v>5</v>
      </c>
      <c r="C60" s="4" t="s">
        <v>7</v>
      </c>
      <c r="D60" s="4" t="s">
        <v>8</v>
      </c>
      <c r="E60" s="4" t="s">
        <v>11</v>
      </c>
    </row>
    <row r="61" spans="1:5">
      <c r="A61" t="n">
        <v>3450</v>
      </c>
      <c r="B61" s="15" t="n">
        <v>94</v>
      </c>
      <c r="C61" s="7" t="n">
        <v>1</v>
      </c>
      <c r="D61" s="7" t="s">
        <v>23</v>
      </c>
      <c r="E61" s="7" t="n">
        <v>1</v>
      </c>
    </row>
    <row r="62" spans="1:5">
      <c r="A62" t="s">
        <v>4</v>
      </c>
      <c r="B62" s="4" t="s">
        <v>5</v>
      </c>
      <c r="C62" s="4" t="s">
        <v>7</v>
      </c>
      <c r="D62" s="4" t="s">
        <v>8</v>
      </c>
      <c r="E62" s="4" t="s">
        <v>11</v>
      </c>
    </row>
    <row r="63" spans="1:5">
      <c r="A63" t="n">
        <v>3468</v>
      </c>
      <c r="B63" s="15" t="n">
        <v>94</v>
      </c>
      <c r="C63" s="7" t="n">
        <v>1</v>
      </c>
      <c r="D63" s="7" t="s">
        <v>23</v>
      </c>
      <c r="E63" s="7" t="n">
        <v>2</v>
      </c>
    </row>
    <row r="64" spans="1:5">
      <c r="A64" t="s">
        <v>4</v>
      </c>
      <c r="B64" s="4" t="s">
        <v>5</v>
      </c>
      <c r="C64" s="4" t="s">
        <v>7</v>
      </c>
      <c r="D64" s="4" t="s">
        <v>8</v>
      </c>
      <c r="E64" s="4" t="s">
        <v>11</v>
      </c>
    </row>
    <row r="65" spans="1:5">
      <c r="A65" t="n">
        <v>3486</v>
      </c>
      <c r="B65" s="15" t="n">
        <v>94</v>
      </c>
      <c r="C65" s="7" t="n">
        <v>0</v>
      </c>
      <c r="D65" s="7" t="s">
        <v>23</v>
      </c>
      <c r="E65" s="7" t="n">
        <v>4</v>
      </c>
    </row>
    <row r="66" spans="1:5">
      <c r="A66" t="s">
        <v>4</v>
      </c>
      <c r="B66" s="4" t="s">
        <v>5</v>
      </c>
      <c r="C66" s="4" t="s">
        <v>7</v>
      </c>
      <c r="D66" s="4" t="s">
        <v>8</v>
      </c>
      <c r="E66" s="4" t="s">
        <v>11</v>
      </c>
    </row>
    <row r="67" spans="1:5">
      <c r="A67" t="n">
        <v>3504</v>
      </c>
      <c r="B67" s="15" t="n">
        <v>94</v>
      </c>
      <c r="C67" s="7" t="n">
        <v>0</v>
      </c>
      <c r="D67" s="7" t="s">
        <v>24</v>
      </c>
      <c r="E67" s="7" t="n">
        <v>16</v>
      </c>
    </row>
    <row r="68" spans="1:5">
      <c r="A68" t="s">
        <v>4</v>
      </c>
      <c r="B68" s="4" t="s">
        <v>5</v>
      </c>
      <c r="C68" s="4" t="s">
        <v>7</v>
      </c>
      <c r="D68" s="4" t="s">
        <v>8</v>
      </c>
      <c r="E68" s="4" t="s">
        <v>11</v>
      </c>
    </row>
    <row r="69" spans="1:5">
      <c r="A69" t="n">
        <v>3518</v>
      </c>
      <c r="B69" s="15" t="n">
        <v>94</v>
      </c>
      <c r="C69" s="7" t="n">
        <v>0</v>
      </c>
      <c r="D69" s="7" t="s">
        <v>24</v>
      </c>
      <c r="E69" s="7" t="n">
        <v>512</v>
      </c>
    </row>
    <row r="70" spans="1:5">
      <c r="A70" t="s">
        <v>4</v>
      </c>
      <c r="B70" s="4" t="s">
        <v>5</v>
      </c>
      <c r="C70" s="4" t="s">
        <v>7</v>
      </c>
      <c r="D70" s="4" t="s">
        <v>8</v>
      </c>
      <c r="E70" s="4" t="s">
        <v>11</v>
      </c>
    </row>
    <row r="71" spans="1:5">
      <c r="A71" t="n">
        <v>3532</v>
      </c>
      <c r="B71" s="15" t="n">
        <v>94</v>
      </c>
      <c r="C71" s="7" t="n">
        <v>0</v>
      </c>
      <c r="D71" s="7" t="s">
        <v>25</v>
      </c>
      <c r="E71" s="7" t="n">
        <v>16</v>
      </c>
    </row>
    <row r="72" spans="1:5">
      <c r="A72" t="s">
        <v>4</v>
      </c>
      <c r="B72" s="4" t="s">
        <v>5</v>
      </c>
      <c r="C72" s="4" t="s">
        <v>7</v>
      </c>
      <c r="D72" s="4" t="s">
        <v>8</v>
      </c>
      <c r="E72" s="4" t="s">
        <v>11</v>
      </c>
    </row>
    <row r="73" spans="1:5">
      <c r="A73" t="n">
        <v>3546</v>
      </c>
      <c r="B73" s="15" t="n">
        <v>94</v>
      </c>
      <c r="C73" s="7" t="n">
        <v>0</v>
      </c>
      <c r="D73" s="7" t="s">
        <v>25</v>
      </c>
      <c r="E73" s="7" t="n">
        <v>512</v>
      </c>
    </row>
    <row r="74" spans="1:5">
      <c r="A74" t="s">
        <v>4</v>
      </c>
      <c r="B74" s="4" t="s">
        <v>5</v>
      </c>
      <c r="C74" s="4" t="s">
        <v>7</v>
      </c>
      <c r="D74" s="4" t="s">
        <v>8</v>
      </c>
      <c r="E74" s="4" t="s">
        <v>11</v>
      </c>
    </row>
    <row r="75" spans="1:5">
      <c r="A75" t="n">
        <v>3560</v>
      </c>
      <c r="B75" s="16" t="n">
        <v>91</v>
      </c>
      <c r="C75" s="7" t="n">
        <v>1</v>
      </c>
      <c r="D75" s="7" t="s">
        <v>26</v>
      </c>
      <c r="E75" s="7" t="n">
        <v>1</v>
      </c>
    </row>
    <row r="76" spans="1:5">
      <c r="A76" t="s">
        <v>4</v>
      </c>
      <c r="B76" s="4" t="s">
        <v>5</v>
      </c>
      <c r="C76" s="4" t="s">
        <v>7</v>
      </c>
      <c r="D76" s="4" t="s">
        <v>8</v>
      </c>
      <c r="E76" s="4" t="s">
        <v>11</v>
      </c>
    </row>
    <row r="77" spans="1:5">
      <c r="A77" t="n">
        <v>3576</v>
      </c>
      <c r="B77" s="16" t="n">
        <v>91</v>
      </c>
      <c r="C77" s="7" t="n">
        <v>1</v>
      </c>
      <c r="D77" s="7" t="s">
        <v>27</v>
      </c>
      <c r="E77" s="7" t="n">
        <v>1</v>
      </c>
    </row>
    <row r="78" spans="1:5">
      <c r="A78" t="s">
        <v>4</v>
      </c>
      <c r="B78" s="4" t="s">
        <v>5</v>
      </c>
      <c r="C78" s="4" t="s">
        <v>7</v>
      </c>
      <c r="D78" s="4" t="s">
        <v>8</v>
      </c>
      <c r="E78" s="4" t="s">
        <v>11</v>
      </c>
    </row>
    <row r="79" spans="1:5">
      <c r="A79" t="n">
        <v>3592</v>
      </c>
      <c r="B79" s="17" t="n">
        <v>62</v>
      </c>
      <c r="C79" s="7" t="n">
        <v>1</v>
      </c>
      <c r="D79" s="7" t="s">
        <v>28</v>
      </c>
      <c r="E79" s="7" t="n">
        <v>1</v>
      </c>
    </row>
    <row r="80" spans="1:5">
      <c r="A80" t="s">
        <v>4</v>
      </c>
      <c r="B80" s="4" t="s">
        <v>5</v>
      </c>
      <c r="C80" s="4" t="s">
        <v>7</v>
      </c>
      <c r="D80" s="4" t="s">
        <v>11</v>
      </c>
      <c r="E80" s="4" t="s">
        <v>7</v>
      </c>
      <c r="F80" s="4" t="s">
        <v>11</v>
      </c>
      <c r="G80" s="4" t="s">
        <v>7</v>
      </c>
      <c r="H80" s="4" t="s">
        <v>7</v>
      </c>
      <c r="I80" s="4" t="s">
        <v>7</v>
      </c>
      <c r="J80" s="4" t="s">
        <v>12</v>
      </c>
    </row>
    <row r="81" spans="1:10">
      <c r="A81" t="n">
        <v>3609</v>
      </c>
      <c r="B81" s="10" t="n">
        <v>5</v>
      </c>
      <c r="C81" s="7" t="n">
        <v>30</v>
      </c>
      <c r="D81" s="7" t="n">
        <v>10499</v>
      </c>
      <c r="E81" s="7" t="n">
        <v>30</v>
      </c>
      <c r="F81" s="7" t="n">
        <v>10500</v>
      </c>
      <c r="G81" s="7" t="n">
        <v>8</v>
      </c>
      <c r="H81" s="7" t="n">
        <v>9</v>
      </c>
      <c r="I81" s="7" t="n">
        <v>1</v>
      </c>
      <c r="J81" s="11" t="n">
        <f t="normal" ca="1">A85</f>
        <v>0</v>
      </c>
    </row>
    <row r="82" spans="1:10">
      <c r="A82" t="s">
        <v>4</v>
      </c>
      <c r="B82" s="4" t="s">
        <v>5</v>
      </c>
      <c r="C82" s="4" t="s">
        <v>7</v>
      </c>
      <c r="D82" s="4" t="s">
        <v>8</v>
      </c>
      <c r="E82" s="4" t="s">
        <v>11</v>
      </c>
    </row>
    <row r="83" spans="1:10">
      <c r="A83" t="n">
        <v>3623</v>
      </c>
      <c r="B83" s="17" t="n">
        <v>62</v>
      </c>
      <c r="C83" s="7" t="n">
        <v>0</v>
      </c>
      <c r="D83" s="7" t="s">
        <v>28</v>
      </c>
      <c r="E83" s="7" t="n">
        <v>1</v>
      </c>
    </row>
    <row r="84" spans="1:10">
      <c r="A84" t="s">
        <v>4</v>
      </c>
      <c r="B84" s="4" t="s">
        <v>5</v>
      </c>
      <c r="C84" s="4" t="s">
        <v>7</v>
      </c>
      <c r="D84" s="4" t="s">
        <v>7</v>
      </c>
      <c r="E84" s="4" t="s">
        <v>7</v>
      </c>
      <c r="F84" s="4" t="s">
        <v>15</v>
      </c>
      <c r="G84" s="4" t="s">
        <v>7</v>
      </c>
      <c r="H84" s="4" t="s">
        <v>7</v>
      </c>
      <c r="I84" s="4" t="s">
        <v>11</v>
      </c>
      <c r="J84" s="4" t="s">
        <v>7</v>
      </c>
      <c r="K84" s="4" t="s">
        <v>7</v>
      </c>
      <c r="L84" s="4" t="s">
        <v>7</v>
      </c>
      <c r="M84" s="4" t="s">
        <v>12</v>
      </c>
    </row>
    <row r="85" spans="1:10">
      <c r="A85" t="n">
        <v>3640</v>
      </c>
      <c r="B85" s="10" t="n">
        <v>5</v>
      </c>
      <c r="C85" s="7" t="n">
        <v>35</v>
      </c>
      <c r="D85" s="7" t="n">
        <v>3</v>
      </c>
      <c r="E85" s="7" t="n">
        <v>0</v>
      </c>
      <c r="F85" s="7" t="n">
        <v>6</v>
      </c>
      <c r="G85" s="7" t="n">
        <v>2</v>
      </c>
      <c r="H85" s="7" t="n">
        <v>30</v>
      </c>
      <c r="I85" s="7" t="n">
        <v>10922</v>
      </c>
      <c r="J85" s="7" t="n">
        <v>8</v>
      </c>
      <c r="K85" s="7" t="n">
        <v>9</v>
      </c>
      <c r="L85" s="7" t="n">
        <v>1</v>
      </c>
      <c r="M85" s="11" t="n">
        <f t="normal" ca="1">A117</f>
        <v>0</v>
      </c>
    </row>
    <row r="86" spans="1:10">
      <c r="A86" t="s">
        <v>4</v>
      </c>
      <c r="B86" s="4" t="s">
        <v>5</v>
      </c>
      <c r="C86" s="4" t="s">
        <v>7</v>
      </c>
      <c r="D86" s="4" t="s">
        <v>11</v>
      </c>
      <c r="E86" s="4" t="s">
        <v>8</v>
      </c>
      <c r="F86" s="4" t="s">
        <v>8</v>
      </c>
      <c r="G86" s="4" t="s">
        <v>7</v>
      </c>
    </row>
    <row r="87" spans="1:10">
      <c r="A87" t="n">
        <v>3659</v>
      </c>
      <c r="B87" s="18" t="n">
        <v>32</v>
      </c>
      <c r="C87" s="7" t="n">
        <v>0</v>
      </c>
      <c r="D87" s="7" t="n">
        <v>65533</v>
      </c>
      <c r="E87" s="7" t="s">
        <v>29</v>
      </c>
      <c r="F87" s="7" t="s">
        <v>30</v>
      </c>
      <c r="G87" s="7" t="n">
        <v>1</v>
      </c>
    </row>
    <row r="88" spans="1:10">
      <c r="A88" t="s">
        <v>4</v>
      </c>
      <c r="B88" s="4" t="s">
        <v>5</v>
      </c>
      <c r="C88" s="4" t="s">
        <v>7</v>
      </c>
      <c r="D88" s="4" t="s">
        <v>11</v>
      </c>
      <c r="E88" s="4" t="s">
        <v>8</v>
      </c>
      <c r="F88" s="4" t="s">
        <v>8</v>
      </c>
      <c r="G88" s="4" t="s">
        <v>7</v>
      </c>
    </row>
    <row r="89" spans="1:10">
      <c r="A89" t="n">
        <v>3685</v>
      </c>
      <c r="B89" s="18" t="n">
        <v>32</v>
      </c>
      <c r="C89" s="7" t="n">
        <v>0</v>
      </c>
      <c r="D89" s="7" t="n">
        <v>65533</v>
      </c>
      <c r="E89" s="7" t="s">
        <v>29</v>
      </c>
      <c r="F89" s="7" t="s">
        <v>31</v>
      </c>
      <c r="G89" s="7" t="n">
        <v>0</v>
      </c>
    </row>
    <row r="90" spans="1:10">
      <c r="A90" t="s">
        <v>4</v>
      </c>
      <c r="B90" s="4" t="s">
        <v>5</v>
      </c>
      <c r="C90" s="4" t="s">
        <v>7</v>
      </c>
      <c r="D90" s="4" t="s">
        <v>8</v>
      </c>
      <c r="E90" s="4" t="s">
        <v>11</v>
      </c>
    </row>
    <row r="91" spans="1:10">
      <c r="A91" t="n">
        <v>3710</v>
      </c>
      <c r="B91" s="15" t="n">
        <v>94</v>
      </c>
      <c r="C91" s="7" t="n">
        <v>0</v>
      </c>
      <c r="D91" s="7" t="s">
        <v>32</v>
      </c>
      <c r="E91" s="7" t="n">
        <v>1</v>
      </c>
    </row>
    <row r="92" spans="1:10">
      <c r="A92" t="s">
        <v>4</v>
      </c>
      <c r="B92" s="4" t="s">
        <v>5</v>
      </c>
      <c r="C92" s="4" t="s">
        <v>7</v>
      </c>
      <c r="D92" s="4" t="s">
        <v>8</v>
      </c>
      <c r="E92" s="4" t="s">
        <v>11</v>
      </c>
    </row>
    <row r="93" spans="1:10">
      <c r="A93" t="n">
        <v>3724</v>
      </c>
      <c r="B93" s="15" t="n">
        <v>94</v>
      </c>
      <c r="C93" s="7" t="n">
        <v>0</v>
      </c>
      <c r="D93" s="7" t="s">
        <v>32</v>
      </c>
      <c r="E93" s="7" t="n">
        <v>2</v>
      </c>
    </row>
    <row r="94" spans="1:10">
      <c r="A94" t="s">
        <v>4</v>
      </c>
      <c r="B94" s="4" t="s">
        <v>5</v>
      </c>
      <c r="C94" s="4" t="s">
        <v>7</v>
      </c>
      <c r="D94" s="4" t="s">
        <v>8</v>
      </c>
      <c r="E94" s="4" t="s">
        <v>11</v>
      </c>
    </row>
    <row r="95" spans="1:10">
      <c r="A95" t="n">
        <v>3738</v>
      </c>
      <c r="B95" s="15" t="n">
        <v>94</v>
      </c>
      <c r="C95" s="7" t="n">
        <v>1</v>
      </c>
      <c r="D95" s="7" t="s">
        <v>32</v>
      </c>
      <c r="E95" s="7" t="n">
        <v>4</v>
      </c>
    </row>
    <row r="96" spans="1:10">
      <c r="A96" t="s">
        <v>4</v>
      </c>
      <c r="B96" s="4" t="s">
        <v>5</v>
      </c>
      <c r="C96" s="4" t="s">
        <v>7</v>
      </c>
      <c r="D96" s="4" t="s">
        <v>8</v>
      </c>
    </row>
    <row r="97" spans="1:13">
      <c r="A97" t="n">
        <v>3752</v>
      </c>
      <c r="B97" s="15" t="n">
        <v>94</v>
      </c>
      <c r="C97" s="7" t="n">
        <v>5</v>
      </c>
      <c r="D97" s="7" t="s">
        <v>32</v>
      </c>
    </row>
    <row r="98" spans="1:13">
      <c r="A98" t="s">
        <v>4</v>
      </c>
      <c r="B98" s="4" t="s">
        <v>5</v>
      </c>
      <c r="C98" s="4" t="s">
        <v>7</v>
      </c>
      <c r="D98" s="4" t="s">
        <v>8</v>
      </c>
      <c r="E98" s="4" t="s">
        <v>11</v>
      </c>
    </row>
    <row r="99" spans="1:13">
      <c r="A99" t="n">
        <v>3764</v>
      </c>
      <c r="B99" s="15" t="n">
        <v>94</v>
      </c>
      <c r="C99" s="7" t="n">
        <v>0</v>
      </c>
      <c r="D99" s="7" t="s">
        <v>33</v>
      </c>
      <c r="E99" s="7" t="n">
        <v>1</v>
      </c>
    </row>
    <row r="100" spans="1:13">
      <c r="A100" t="s">
        <v>4</v>
      </c>
      <c r="B100" s="4" t="s">
        <v>5</v>
      </c>
      <c r="C100" s="4" t="s">
        <v>7</v>
      </c>
      <c r="D100" s="4" t="s">
        <v>8</v>
      </c>
      <c r="E100" s="4" t="s">
        <v>11</v>
      </c>
    </row>
    <row r="101" spans="1:13">
      <c r="A101" t="n">
        <v>3778</v>
      </c>
      <c r="B101" s="15" t="n">
        <v>94</v>
      </c>
      <c r="C101" s="7" t="n">
        <v>0</v>
      </c>
      <c r="D101" s="7" t="s">
        <v>33</v>
      </c>
      <c r="E101" s="7" t="n">
        <v>2</v>
      </c>
    </row>
    <row r="102" spans="1:13">
      <c r="A102" t="s">
        <v>4</v>
      </c>
      <c r="B102" s="4" t="s">
        <v>5</v>
      </c>
      <c r="C102" s="4" t="s">
        <v>7</v>
      </c>
      <c r="D102" s="4" t="s">
        <v>8</v>
      </c>
      <c r="E102" s="4" t="s">
        <v>11</v>
      </c>
    </row>
    <row r="103" spans="1:13">
      <c r="A103" t="n">
        <v>3792</v>
      </c>
      <c r="B103" s="15" t="n">
        <v>94</v>
      </c>
      <c r="C103" s="7" t="n">
        <v>1</v>
      </c>
      <c r="D103" s="7" t="s">
        <v>33</v>
      </c>
      <c r="E103" s="7" t="n">
        <v>4</v>
      </c>
    </row>
    <row r="104" spans="1:13">
      <c r="A104" t="s">
        <v>4</v>
      </c>
      <c r="B104" s="4" t="s">
        <v>5</v>
      </c>
      <c r="C104" s="4" t="s">
        <v>7</v>
      </c>
      <c r="D104" s="4" t="s">
        <v>8</v>
      </c>
    </row>
    <row r="105" spans="1:13">
      <c r="A105" t="n">
        <v>3806</v>
      </c>
      <c r="B105" s="15" t="n">
        <v>94</v>
      </c>
      <c r="C105" s="7" t="n">
        <v>5</v>
      </c>
      <c r="D105" s="7" t="s">
        <v>33</v>
      </c>
    </row>
    <row r="106" spans="1:13">
      <c r="A106" t="s">
        <v>4</v>
      </c>
      <c r="B106" s="4" t="s">
        <v>5</v>
      </c>
      <c r="C106" s="4" t="s">
        <v>7</v>
      </c>
      <c r="D106" s="4" t="s">
        <v>8</v>
      </c>
      <c r="E106" s="4" t="s">
        <v>11</v>
      </c>
    </row>
    <row r="107" spans="1:13">
      <c r="A107" t="n">
        <v>3818</v>
      </c>
      <c r="B107" s="15" t="n">
        <v>94</v>
      </c>
      <c r="C107" s="7" t="n">
        <v>0</v>
      </c>
      <c r="D107" s="7" t="s">
        <v>34</v>
      </c>
      <c r="E107" s="7" t="n">
        <v>1</v>
      </c>
    </row>
    <row r="108" spans="1:13">
      <c r="A108" t="s">
        <v>4</v>
      </c>
      <c r="B108" s="4" t="s">
        <v>5</v>
      </c>
      <c r="C108" s="4" t="s">
        <v>7</v>
      </c>
      <c r="D108" s="4" t="s">
        <v>8</v>
      </c>
      <c r="E108" s="4" t="s">
        <v>11</v>
      </c>
    </row>
    <row r="109" spans="1:13">
      <c r="A109" t="n">
        <v>3832</v>
      </c>
      <c r="B109" s="15" t="n">
        <v>94</v>
      </c>
      <c r="C109" s="7" t="n">
        <v>0</v>
      </c>
      <c r="D109" s="7" t="s">
        <v>34</v>
      </c>
      <c r="E109" s="7" t="n">
        <v>2</v>
      </c>
    </row>
    <row r="110" spans="1:13">
      <c r="A110" t="s">
        <v>4</v>
      </c>
      <c r="B110" s="4" t="s">
        <v>5</v>
      </c>
      <c r="C110" s="4" t="s">
        <v>7</v>
      </c>
      <c r="D110" s="4" t="s">
        <v>8</v>
      </c>
      <c r="E110" s="4" t="s">
        <v>11</v>
      </c>
    </row>
    <row r="111" spans="1:13">
      <c r="A111" t="n">
        <v>3846</v>
      </c>
      <c r="B111" s="15" t="n">
        <v>94</v>
      </c>
      <c r="C111" s="7" t="n">
        <v>1</v>
      </c>
      <c r="D111" s="7" t="s">
        <v>34</v>
      </c>
      <c r="E111" s="7" t="n">
        <v>4</v>
      </c>
    </row>
    <row r="112" spans="1:13">
      <c r="A112" t="s">
        <v>4</v>
      </c>
      <c r="B112" s="4" t="s">
        <v>5</v>
      </c>
      <c r="C112" s="4" t="s">
        <v>7</v>
      </c>
      <c r="D112" s="4" t="s">
        <v>8</v>
      </c>
    </row>
    <row r="113" spans="1:5">
      <c r="A113" t="n">
        <v>3860</v>
      </c>
      <c r="B113" s="15" t="n">
        <v>94</v>
      </c>
      <c r="C113" s="7" t="n">
        <v>5</v>
      </c>
      <c r="D113" s="7" t="s">
        <v>34</v>
      </c>
    </row>
    <row r="114" spans="1:5">
      <c r="A114" t="s">
        <v>4</v>
      </c>
      <c r="B114" s="4" t="s">
        <v>5</v>
      </c>
      <c r="C114" s="4" t="s">
        <v>12</v>
      </c>
    </row>
    <row r="115" spans="1:5">
      <c r="A115" t="n">
        <v>3872</v>
      </c>
      <c r="B115" s="19" t="n">
        <v>3</v>
      </c>
      <c r="C115" s="11" t="n">
        <f t="normal" ca="1">A139</f>
        <v>0</v>
      </c>
    </row>
    <row r="116" spans="1:5">
      <c r="A116" t="s">
        <v>4</v>
      </c>
      <c r="B116" s="4" t="s">
        <v>5</v>
      </c>
      <c r="C116" s="4" t="s">
        <v>7</v>
      </c>
      <c r="D116" s="4" t="s">
        <v>11</v>
      </c>
      <c r="E116" s="4" t="s">
        <v>8</v>
      </c>
      <c r="F116" s="4" t="s">
        <v>8</v>
      </c>
      <c r="G116" s="4" t="s">
        <v>7</v>
      </c>
    </row>
    <row r="117" spans="1:5">
      <c r="A117" t="n">
        <v>3877</v>
      </c>
      <c r="B117" s="18" t="n">
        <v>32</v>
      </c>
      <c r="C117" s="7" t="n">
        <v>0</v>
      </c>
      <c r="D117" s="7" t="n">
        <v>65533</v>
      </c>
      <c r="E117" s="7" t="s">
        <v>29</v>
      </c>
      <c r="F117" s="7" t="s">
        <v>30</v>
      </c>
      <c r="G117" s="7" t="n">
        <v>0</v>
      </c>
    </row>
    <row r="118" spans="1:5">
      <c r="A118" t="s">
        <v>4</v>
      </c>
      <c r="B118" s="4" t="s">
        <v>5</v>
      </c>
      <c r="C118" s="4" t="s">
        <v>7</v>
      </c>
      <c r="D118" s="4" t="s">
        <v>11</v>
      </c>
      <c r="E118" s="4" t="s">
        <v>8</v>
      </c>
      <c r="F118" s="4" t="s">
        <v>8</v>
      </c>
      <c r="G118" s="4" t="s">
        <v>7</v>
      </c>
    </row>
    <row r="119" spans="1:5">
      <c r="A119" t="n">
        <v>3903</v>
      </c>
      <c r="B119" s="18" t="n">
        <v>32</v>
      </c>
      <c r="C119" s="7" t="n">
        <v>0</v>
      </c>
      <c r="D119" s="7" t="n">
        <v>65533</v>
      </c>
      <c r="E119" s="7" t="s">
        <v>29</v>
      </c>
      <c r="F119" s="7" t="s">
        <v>31</v>
      </c>
      <c r="G119" s="7" t="n">
        <v>1</v>
      </c>
    </row>
    <row r="120" spans="1:5">
      <c r="A120" t="s">
        <v>4</v>
      </c>
      <c r="B120" s="4" t="s">
        <v>5</v>
      </c>
      <c r="C120" s="4" t="s">
        <v>7</v>
      </c>
      <c r="D120" s="4" t="s">
        <v>8</v>
      </c>
      <c r="E120" s="4" t="s">
        <v>11</v>
      </c>
    </row>
    <row r="121" spans="1:5">
      <c r="A121" t="n">
        <v>3928</v>
      </c>
      <c r="B121" s="15" t="n">
        <v>94</v>
      </c>
      <c r="C121" s="7" t="n">
        <v>1</v>
      </c>
      <c r="D121" s="7" t="s">
        <v>32</v>
      </c>
      <c r="E121" s="7" t="n">
        <v>1</v>
      </c>
    </row>
    <row r="122" spans="1:5">
      <c r="A122" t="s">
        <v>4</v>
      </c>
      <c r="B122" s="4" t="s">
        <v>5</v>
      </c>
      <c r="C122" s="4" t="s">
        <v>7</v>
      </c>
      <c r="D122" s="4" t="s">
        <v>8</v>
      </c>
      <c r="E122" s="4" t="s">
        <v>11</v>
      </c>
    </row>
    <row r="123" spans="1:5">
      <c r="A123" t="n">
        <v>3942</v>
      </c>
      <c r="B123" s="15" t="n">
        <v>94</v>
      </c>
      <c r="C123" s="7" t="n">
        <v>1</v>
      </c>
      <c r="D123" s="7" t="s">
        <v>32</v>
      </c>
      <c r="E123" s="7" t="n">
        <v>2</v>
      </c>
    </row>
    <row r="124" spans="1:5">
      <c r="A124" t="s">
        <v>4</v>
      </c>
      <c r="B124" s="4" t="s">
        <v>5</v>
      </c>
      <c r="C124" s="4" t="s">
        <v>7</v>
      </c>
      <c r="D124" s="4" t="s">
        <v>8</v>
      </c>
      <c r="E124" s="4" t="s">
        <v>11</v>
      </c>
    </row>
    <row r="125" spans="1:5">
      <c r="A125" t="n">
        <v>3956</v>
      </c>
      <c r="B125" s="15" t="n">
        <v>94</v>
      </c>
      <c r="C125" s="7" t="n">
        <v>0</v>
      </c>
      <c r="D125" s="7" t="s">
        <v>32</v>
      </c>
      <c r="E125" s="7" t="n">
        <v>4</v>
      </c>
    </row>
    <row r="126" spans="1:5">
      <c r="A126" t="s">
        <v>4</v>
      </c>
      <c r="B126" s="4" t="s">
        <v>5</v>
      </c>
      <c r="C126" s="4" t="s">
        <v>7</v>
      </c>
      <c r="D126" s="4" t="s">
        <v>8</v>
      </c>
      <c r="E126" s="4" t="s">
        <v>11</v>
      </c>
    </row>
    <row r="127" spans="1:5">
      <c r="A127" t="n">
        <v>3970</v>
      </c>
      <c r="B127" s="15" t="n">
        <v>94</v>
      </c>
      <c r="C127" s="7" t="n">
        <v>1</v>
      </c>
      <c r="D127" s="7" t="s">
        <v>33</v>
      </c>
      <c r="E127" s="7" t="n">
        <v>1</v>
      </c>
    </row>
    <row r="128" spans="1:5">
      <c r="A128" t="s">
        <v>4</v>
      </c>
      <c r="B128" s="4" t="s">
        <v>5</v>
      </c>
      <c r="C128" s="4" t="s">
        <v>7</v>
      </c>
      <c r="D128" s="4" t="s">
        <v>8</v>
      </c>
      <c r="E128" s="4" t="s">
        <v>11</v>
      </c>
    </row>
    <row r="129" spans="1:7">
      <c r="A129" t="n">
        <v>3984</v>
      </c>
      <c r="B129" s="15" t="n">
        <v>94</v>
      </c>
      <c r="C129" s="7" t="n">
        <v>1</v>
      </c>
      <c r="D129" s="7" t="s">
        <v>33</v>
      </c>
      <c r="E129" s="7" t="n">
        <v>2</v>
      </c>
    </row>
    <row r="130" spans="1:7">
      <c r="A130" t="s">
        <v>4</v>
      </c>
      <c r="B130" s="4" t="s">
        <v>5</v>
      </c>
      <c r="C130" s="4" t="s">
        <v>7</v>
      </c>
      <c r="D130" s="4" t="s">
        <v>8</v>
      </c>
      <c r="E130" s="4" t="s">
        <v>11</v>
      </c>
    </row>
    <row r="131" spans="1:7">
      <c r="A131" t="n">
        <v>3998</v>
      </c>
      <c r="B131" s="15" t="n">
        <v>94</v>
      </c>
      <c r="C131" s="7" t="n">
        <v>0</v>
      </c>
      <c r="D131" s="7" t="s">
        <v>33</v>
      </c>
      <c r="E131" s="7" t="n">
        <v>4</v>
      </c>
    </row>
    <row r="132" spans="1:7">
      <c r="A132" t="s">
        <v>4</v>
      </c>
      <c r="B132" s="4" t="s">
        <v>5</v>
      </c>
      <c r="C132" s="4" t="s">
        <v>7</v>
      </c>
      <c r="D132" s="4" t="s">
        <v>8</v>
      </c>
      <c r="E132" s="4" t="s">
        <v>11</v>
      </c>
    </row>
    <row r="133" spans="1:7">
      <c r="A133" t="n">
        <v>4012</v>
      </c>
      <c r="B133" s="15" t="n">
        <v>94</v>
      </c>
      <c r="C133" s="7" t="n">
        <v>1</v>
      </c>
      <c r="D133" s="7" t="s">
        <v>34</v>
      </c>
      <c r="E133" s="7" t="n">
        <v>1</v>
      </c>
    </row>
    <row r="134" spans="1:7">
      <c r="A134" t="s">
        <v>4</v>
      </c>
      <c r="B134" s="4" t="s">
        <v>5</v>
      </c>
      <c r="C134" s="4" t="s">
        <v>7</v>
      </c>
      <c r="D134" s="4" t="s">
        <v>8</v>
      </c>
      <c r="E134" s="4" t="s">
        <v>11</v>
      </c>
    </row>
    <row r="135" spans="1:7">
      <c r="A135" t="n">
        <v>4026</v>
      </c>
      <c r="B135" s="15" t="n">
        <v>94</v>
      </c>
      <c r="C135" s="7" t="n">
        <v>1</v>
      </c>
      <c r="D135" s="7" t="s">
        <v>34</v>
      </c>
      <c r="E135" s="7" t="n">
        <v>2</v>
      </c>
    </row>
    <row r="136" spans="1:7">
      <c r="A136" t="s">
        <v>4</v>
      </c>
      <c r="B136" s="4" t="s">
        <v>5</v>
      </c>
      <c r="C136" s="4" t="s">
        <v>7</v>
      </c>
      <c r="D136" s="4" t="s">
        <v>8</v>
      </c>
      <c r="E136" s="4" t="s">
        <v>11</v>
      </c>
    </row>
    <row r="137" spans="1:7">
      <c r="A137" t="n">
        <v>4040</v>
      </c>
      <c r="B137" s="15" t="n">
        <v>94</v>
      </c>
      <c r="C137" s="7" t="n">
        <v>0</v>
      </c>
      <c r="D137" s="7" t="s">
        <v>34</v>
      </c>
      <c r="E137" s="7" t="n">
        <v>4</v>
      </c>
    </row>
    <row r="138" spans="1:7">
      <c r="A138" t="s">
        <v>4</v>
      </c>
      <c r="B138" s="4" t="s">
        <v>5</v>
      </c>
      <c r="C138" s="4" t="s">
        <v>7</v>
      </c>
      <c r="D138" s="4" t="s">
        <v>7</v>
      </c>
      <c r="E138" s="4" t="s">
        <v>7</v>
      </c>
      <c r="F138" s="4" t="s">
        <v>15</v>
      </c>
      <c r="G138" s="4" t="s">
        <v>7</v>
      </c>
      <c r="H138" s="4" t="s">
        <v>7</v>
      </c>
      <c r="I138" s="4" t="s">
        <v>12</v>
      </c>
    </row>
    <row r="139" spans="1:7">
      <c r="A139" t="n">
        <v>4054</v>
      </c>
      <c r="B139" s="10" t="n">
        <v>5</v>
      </c>
      <c r="C139" s="7" t="n">
        <v>35</v>
      </c>
      <c r="D139" s="7" t="n">
        <v>3</v>
      </c>
      <c r="E139" s="7" t="n">
        <v>0</v>
      </c>
      <c r="F139" s="7" t="n">
        <v>0</v>
      </c>
      <c r="G139" s="7" t="n">
        <v>2</v>
      </c>
      <c r="H139" s="7" t="n">
        <v>1</v>
      </c>
      <c r="I139" s="11" t="n">
        <f t="normal" ca="1">A143</f>
        <v>0</v>
      </c>
    </row>
    <row r="140" spans="1:7">
      <c r="A140" t="s">
        <v>4</v>
      </c>
      <c r="B140" s="4" t="s">
        <v>5</v>
      </c>
      <c r="C140" s="4" t="s">
        <v>12</v>
      </c>
    </row>
    <row r="141" spans="1:7">
      <c r="A141" t="n">
        <v>4068</v>
      </c>
      <c r="B141" s="19" t="n">
        <v>3</v>
      </c>
      <c r="C141" s="11" t="n">
        <f t="normal" ca="1">A213</f>
        <v>0</v>
      </c>
    </row>
    <row r="142" spans="1:7">
      <c r="A142" t="s">
        <v>4</v>
      </c>
      <c r="B142" s="4" t="s">
        <v>5</v>
      </c>
      <c r="C142" s="4" t="s">
        <v>7</v>
      </c>
      <c r="D142" s="4" t="s">
        <v>7</v>
      </c>
      <c r="E142" s="4" t="s">
        <v>7</v>
      </c>
      <c r="F142" s="4" t="s">
        <v>15</v>
      </c>
      <c r="G142" s="4" t="s">
        <v>7</v>
      </c>
      <c r="H142" s="4" t="s">
        <v>7</v>
      </c>
      <c r="I142" s="4" t="s">
        <v>12</v>
      </c>
    </row>
    <row r="143" spans="1:7">
      <c r="A143" t="n">
        <v>4073</v>
      </c>
      <c r="B143" s="10" t="n">
        <v>5</v>
      </c>
      <c r="C143" s="7" t="n">
        <v>35</v>
      </c>
      <c r="D143" s="7" t="n">
        <v>3</v>
      </c>
      <c r="E143" s="7" t="n">
        <v>0</v>
      </c>
      <c r="F143" s="7" t="n">
        <v>1</v>
      </c>
      <c r="G143" s="7" t="n">
        <v>2</v>
      </c>
      <c r="H143" s="7" t="n">
        <v>1</v>
      </c>
      <c r="I143" s="11" t="n">
        <f t="normal" ca="1">A147</f>
        <v>0</v>
      </c>
    </row>
    <row r="144" spans="1:7">
      <c r="A144" t="s">
        <v>4</v>
      </c>
      <c r="B144" s="4" t="s">
        <v>5</v>
      </c>
      <c r="C144" s="4" t="s">
        <v>12</v>
      </c>
    </row>
    <row r="145" spans="1:9">
      <c r="A145" t="n">
        <v>4087</v>
      </c>
      <c r="B145" s="19" t="n">
        <v>3</v>
      </c>
      <c r="C145" s="11" t="n">
        <f t="normal" ca="1">A213</f>
        <v>0</v>
      </c>
    </row>
    <row r="146" spans="1:9">
      <c r="A146" t="s">
        <v>4</v>
      </c>
      <c r="B146" s="4" t="s">
        <v>5</v>
      </c>
      <c r="C146" s="4" t="s">
        <v>7</v>
      </c>
      <c r="D146" s="4" t="s">
        <v>7</v>
      </c>
      <c r="E146" s="4" t="s">
        <v>7</v>
      </c>
      <c r="F146" s="4" t="s">
        <v>15</v>
      </c>
      <c r="G146" s="4" t="s">
        <v>7</v>
      </c>
      <c r="H146" s="4" t="s">
        <v>7</v>
      </c>
      <c r="I146" s="4" t="s">
        <v>12</v>
      </c>
    </row>
    <row r="147" spans="1:9">
      <c r="A147" t="n">
        <v>4092</v>
      </c>
      <c r="B147" s="10" t="n">
        <v>5</v>
      </c>
      <c r="C147" s="7" t="n">
        <v>35</v>
      </c>
      <c r="D147" s="7" t="n">
        <v>3</v>
      </c>
      <c r="E147" s="7" t="n">
        <v>0</v>
      </c>
      <c r="F147" s="7" t="n">
        <v>2</v>
      </c>
      <c r="G147" s="7" t="n">
        <v>2</v>
      </c>
      <c r="H147" s="7" t="n">
        <v>1</v>
      </c>
      <c r="I147" s="11" t="n">
        <f t="normal" ca="1">A151</f>
        <v>0</v>
      </c>
    </row>
    <row r="148" spans="1:9">
      <c r="A148" t="s">
        <v>4</v>
      </c>
      <c r="B148" s="4" t="s">
        <v>5</v>
      </c>
      <c r="C148" s="4" t="s">
        <v>12</v>
      </c>
    </row>
    <row r="149" spans="1:9">
      <c r="A149" t="n">
        <v>4106</v>
      </c>
      <c r="B149" s="19" t="n">
        <v>3</v>
      </c>
      <c r="C149" s="11" t="n">
        <f t="normal" ca="1">A213</f>
        <v>0</v>
      </c>
    </row>
    <row r="150" spans="1:9">
      <c r="A150" t="s">
        <v>4</v>
      </c>
      <c r="B150" s="4" t="s">
        <v>5</v>
      </c>
      <c r="C150" s="4" t="s">
        <v>7</v>
      </c>
      <c r="D150" s="4" t="s">
        <v>7</v>
      </c>
      <c r="E150" s="4" t="s">
        <v>7</v>
      </c>
      <c r="F150" s="4" t="s">
        <v>15</v>
      </c>
      <c r="G150" s="4" t="s">
        <v>7</v>
      </c>
      <c r="H150" s="4" t="s">
        <v>7</v>
      </c>
      <c r="I150" s="4" t="s">
        <v>12</v>
      </c>
    </row>
    <row r="151" spans="1:9">
      <c r="A151" t="n">
        <v>4111</v>
      </c>
      <c r="B151" s="10" t="n">
        <v>5</v>
      </c>
      <c r="C151" s="7" t="n">
        <v>35</v>
      </c>
      <c r="D151" s="7" t="n">
        <v>3</v>
      </c>
      <c r="E151" s="7" t="n">
        <v>0</v>
      </c>
      <c r="F151" s="7" t="n">
        <v>3</v>
      </c>
      <c r="G151" s="7" t="n">
        <v>2</v>
      </c>
      <c r="H151" s="7" t="n">
        <v>1</v>
      </c>
      <c r="I151" s="11" t="n">
        <f t="normal" ca="1">A155</f>
        <v>0</v>
      </c>
    </row>
    <row r="152" spans="1:9">
      <c r="A152" t="s">
        <v>4</v>
      </c>
      <c r="B152" s="4" t="s">
        <v>5</v>
      </c>
      <c r="C152" s="4" t="s">
        <v>12</v>
      </c>
    </row>
    <row r="153" spans="1:9">
      <c r="A153" t="n">
        <v>4125</v>
      </c>
      <c r="B153" s="19" t="n">
        <v>3</v>
      </c>
      <c r="C153" s="11" t="n">
        <f t="normal" ca="1">A213</f>
        <v>0</v>
      </c>
    </row>
    <row r="154" spans="1:9">
      <c r="A154" t="s">
        <v>4</v>
      </c>
      <c r="B154" s="4" t="s">
        <v>5</v>
      </c>
      <c r="C154" s="4" t="s">
        <v>7</v>
      </c>
      <c r="D154" s="4" t="s">
        <v>7</v>
      </c>
      <c r="E154" s="4" t="s">
        <v>7</v>
      </c>
      <c r="F154" s="4" t="s">
        <v>15</v>
      </c>
      <c r="G154" s="4" t="s">
        <v>7</v>
      </c>
      <c r="H154" s="4" t="s">
        <v>7</v>
      </c>
      <c r="I154" s="4" t="s">
        <v>12</v>
      </c>
    </row>
    <row r="155" spans="1:9">
      <c r="A155" t="n">
        <v>4130</v>
      </c>
      <c r="B155" s="10" t="n">
        <v>5</v>
      </c>
      <c r="C155" s="7" t="n">
        <v>35</v>
      </c>
      <c r="D155" s="7" t="n">
        <v>3</v>
      </c>
      <c r="E155" s="7" t="n">
        <v>0</v>
      </c>
      <c r="F155" s="7" t="n">
        <v>4</v>
      </c>
      <c r="G155" s="7" t="n">
        <v>2</v>
      </c>
      <c r="H155" s="7" t="n">
        <v>1</v>
      </c>
      <c r="I155" s="11" t="n">
        <f t="normal" ca="1">A159</f>
        <v>0</v>
      </c>
    </row>
    <row r="156" spans="1:9">
      <c r="A156" t="s">
        <v>4</v>
      </c>
      <c r="B156" s="4" t="s">
        <v>5</v>
      </c>
      <c r="C156" s="4" t="s">
        <v>12</v>
      </c>
    </row>
    <row r="157" spans="1:9">
      <c r="A157" t="n">
        <v>4144</v>
      </c>
      <c r="B157" s="19" t="n">
        <v>3</v>
      </c>
      <c r="C157" s="11" t="n">
        <f t="normal" ca="1">A213</f>
        <v>0</v>
      </c>
    </row>
    <row r="158" spans="1:9">
      <c r="A158" t="s">
        <v>4</v>
      </c>
      <c r="B158" s="4" t="s">
        <v>5</v>
      </c>
      <c r="C158" s="4" t="s">
        <v>7</v>
      </c>
      <c r="D158" s="4" t="s">
        <v>7</v>
      </c>
      <c r="E158" s="4" t="s">
        <v>7</v>
      </c>
      <c r="F158" s="4" t="s">
        <v>15</v>
      </c>
      <c r="G158" s="4" t="s">
        <v>7</v>
      </c>
      <c r="H158" s="4" t="s">
        <v>7</v>
      </c>
      <c r="I158" s="4" t="s">
        <v>12</v>
      </c>
    </row>
    <row r="159" spans="1:9">
      <c r="A159" t="n">
        <v>4149</v>
      </c>
      <c r="B159" s="10" t="n">
        <v>5</v>
      </c>
      <c r="C159" s="7" t="n">
        <v>35</v>
      </c>
      <c r="D159" s="7" t="n">
        <v>3</v>
      </c>
      <c r="E159" s="7" t="n">
        <v>0</v>
      </c>
      <c r="F159" s="7" t="n">
        <v>5</v>
      </c>
      <c r="G159" s="7" t="n">
        <v>2</v>
      </c>
      <c r="H159" s="7" t="n">
        <v>1</v>
      </c>
      <c r="I159" s="11" t="n">
        <f t="normal" ca="1">A163</f>
        <v>0</v>
      </c>
    </row>
    <row r="160" spans="1:9">
      <c r="A160" t="s">
        <v>4</v>
      </c>
      <c r="B160" s="4" t="s">
        <v>5</v>
      </c>
      <c r="C160" s="4" t="s">
        <v>12</v>
      </c>
    </row>
    <row r="161" spans="1:9">
      <c r="A161" t="n">
        <v>4163</v>
      </c>
      <c r="B161" s="19" t="n">
        <v>3</v>
      </c>
      <c r="C161" s="11" t="n">
        <f t="normal" ca="1">A213</f>
        <v>0</v>
      </c>
    </row>
    <row r="162" spans="1:9">
      <c r="A162" t="s">
        <v>4</v>
      </c>
      <c r="B162" s="4" t="s">
        <v>5</v>
      </c>
      <c r="C162" s="4" t="s">
        <v>7</v>
      </c>
      <c r="D162" s="4" t="s">
        <v>7</v>
      </c>
      <c r="E162" s="4" t="s">
        <v>7</v>
      </c>
      <c r="F162" s="4" t="s">
        <v>15</v>
      </c>
      <c r="G162" s="4" t="s">
        <v>7</v>
      </c>
      <c r="H162" s="4" t="s">
        <v>7</v>
      </c>
      <c r="I162" s="4" t="s">
        <v>12</v>
      </c>
    </row>
    <row r="163" spans="1:9">
      <c r="A163" t="n">
        <v>4168</v>
      </c>
      <c r="B163" s="10" t="n">
        <v>5</v>
      </c>
      <c r="C163" s="7" t="n">
        <v>35</v>
      </c>
      <c r="D163" s="7" t="n">
        <v>3</v>
      </c>
      <c r="E163" s="7" t="n">
        <v>0</v>
      </c>
      <c r="F163" s="7" t="n">
        <v>6</v>
      </c>
      <c r="G163" s="7" t="n">
        <v>2</v>
      </c>
      <c r="H163" s="7" t="n">
        <v>1</v>
      </c>
      <c r="I163" s="11" t="n">
        <f t="normal" ca="1">A213</f>
        <v>0</v>
      </c>
    </row>
    <row r="164" spans="1:9">
      <c r="A164" t="s">
        <v>4</v>
      </c>
      <c r="B164" s="4" t="s">
        <v>5</v>
      </c>
      <c r="C164" s="4" t="s">
        <v>7</v>
      </c>
      <c r="D164" s="20" t="s">
        <v>35</v>
      </c>
      <c r="E164" s="4" t="s">
        <v>5</v>
      </c>
      <c r="F164" s="4" t="s">
        <v>7</v>
      </c>
      <c r="G164" s="4" t="s">
        <v>11</v>
      </c>
      <c r="H164" s="4" t="s">
        <v>15</v>
      </c>
      <c r="I164" s="20" t="s">
        <v>36</v>
      </c>
      <c r="J164" s="4" t="s">
        <v>7</v>
      </c>
      <c r="K164" s="4" t="s">
        <v>12</v>
      </c>
    </row>
    <row r="165" spans="1:9">
      <c r="A165" t="n">
        <v>4182</v>
      </c>
      <c r="B165" s="10" t="n">
        <v>5</v>
      </c>
      <c r="C165" s="7" t="n">
        <v>28</v>
      </c>
      <c r="D165" s="20" t="s">
        <v>3</v>
      </c>
      <c r="E165" s="21" t="n">
        <v>101</v>
      </c>
      <c r="F165" s="7" t="n">
        <v>11</v>
      </c>
      <c r="G165" s="7" t="n">
        <v>105</v>
      </c>
      <c r="H165" s="7" t="n">
        <v>0</v>
      </c>
      <c r="I165" s="20" t="s">
        <v>3</v>
      </c>
      <c r="J165" s="7" t="n">
        <v>1</v>
      </c>
      <c r="K165" s="11" t="n">
        <f t="normal" ca="1">A181</f>
        <v>0</v>
      </c>
    </row>
    <row r="166" spans="1:9">
      <c r="A166" t="s">
        <v>4</v>
      </c>
      <c r="B166" s="4" t="s">
        <v>5</v>
      </c>
      <c r="C166" s="4" t="s">
        <v>7</v>
      </c>
      <c r="D166" s="4" t="s">
        <v>11</v>
      </c>
      <c r="E166" s="4" t="s">
        <v>15</v>
      </c>
    </row>
    <row r="167" spans="1:9">
      <c r="A167" t="n">
        <v>4197</v>
      </c>
      <c r="B167" s="21" t="n">
        <v>101</v>
      </c>
      <c r="C167" s="7" t="n">
        <v>1</v>
      </c>
      <c r="D167" s="7" t="n">
        <v>106</v>
      </c>
      <c r="E167" s="7" t="n">
        <v>99</v>
      </c>
    </row>
    <row r="168" spans="1:9">
      <c r="A168" t="s">
        <v>4</v>
      </c>
      <c r="B168" s="4" t="s">
        <v>5</v>
      </c>
      <c r="C168" s="4" t="s">
        <v>7</v>
      </c>
      <c r="D168" s="4" t="s">
        <v>11</v>
      </c>
      <c r="E168" s="4" t="s">
        <v>15</v>
      </c>
    </row>
    <row r="169" spans="1:9">
      <c r="A169" t="n">
        <v>4205</v>
      </c>
      <c r="B169" s="21" t="n">
        <v>101</v>
      </c>
      <c r="C169" s="7" t="n">
        <v>0</v>
      </c>
      <c r="D169" s="7" t="n">
        <v>106</v>
      </c>
      <c r="E169" s="7" t="n">
        <v>1</v>
      </c>
    </row>
    <row r="170" spans="1:9">
      <c r="A170" t="s">
        <v>4</v>
      </c>
      <c r="B170" s="4" t="s">
        <v>5</v>
      </c>
      <c r="C170" s="4" t="s">
        <v>7</v>
      </c>
      <c r="D170" s="4" t="s">
        <v>11</v>
      </c>
      <c r="E170" s="4" t="s">
        <v>15</v>
      </c>
    </row>
    <row r="171" spans="1:9">
      <c r="A171" t="n">
        <v>4213</v>
      </c>
      <c r="B171" s="21" t="n">
        <v>101</v>
      </c>
      <c r="C171" s="7" t="n">
        <v>10</v>
      </c>
      <c r="D171" s="7" t="n">
        <v>106</v>
      </c>
      <c r="E171" s="7" t="n">
        <v>0</v>
      </c>
    </row>
    <row r="172" spans="1:9">
      <c r="A172" t="s">
        <v>4</v>
      </c>
      <c r="B172" s="4" t="s">
        <v>5</v>
      </c>
      <c r="C172" s="4" t="s">
        <v>7</v>
      </c>
      <c r="D172" s="20" t="s">
        <v>35</v>
      </c>
      <c r="E172" s="4" t="s">
        <v>5</v>
      </c>
      <c r="F172" s="4" t="s">
        <v>7</v>
      </c>
      <c r="G172" s="4" t="s">
        <v>11</v>
      </c>
      <c r="H172" s="4" t="s">
        <v>15</v>
      </c>
      <c r="I172" s="20" t="s">
        <v>36</v>
      </c>
      <c r="J172" s="4" t="s">
        <v>7</v>
      </c>
      <c r="K172" s="4" t="s">
        <v>12</v>
      </c>
    </row>
    <row r="173" spans="1:9">
      <c r="A173" t="n">
        <v>4221</v>
      </c>
      <c r="B173" s="10" t="n">
        <v>5</v>
      </c>
      <c r="C173" s="7" t="n">
        <v>28</v>
      </c>
      <c r="D173" s="20" t="s">
        <v>3</v>
      </c>
      <c r="E173" s="21" t="n">
        <v>101</v>
      </c>
      <c r="F173" s="7" t="n">
        <v>11</v>
      </c>
      <c r="G173" s="7" t="n">
        <v>105</v>
      </c>
      <c r="H173" s="7" t="n">
        <v>0</v>
      </c>
      <c r="I173" s="20" t="s">
        <v>3</v>
      </c>
      <c r="J173" s="7" t="n">
        <v>1</v>
      </c>
      <c r="K173" s="11" t="n">
        <f t="normal" ca="1">A177</f>
        <v>0</v>
      </c>
    </row>
    <row r="174" spans="1:9">
      <c r="A174" t="s">
        <v>4</v>
      </c>
      <c r="B174" s="4" t="s">
        <v>5</v>
      </c>
      <c r="C174" s="4" t="s">
        <v>7</v>
      </c>
      <c r="D174" s="4" t="s">
        <v>11</v>
      </c>
      <c r="E174" s="4" t="s">
        <v>15</v>
      </c>
    </row>
    <row r="175" spans="1:9">
      <c r="A175" t="n">
        <v>4236</v>
      </c>
      <c r="B175" s="21" t="n">
        <v>101</v>
      </c>
      <c r="C175" s="7" t="n">
        <v>9</v>
      </c>
      <c r="D175" s="7" t="n">
        <v>106</v>
      </c>
      <c r="E175" s="7" t="n">
        <v>0</v>
      </c>
    </row>
    <row r="176" spans="1:9">
      <c r="A176" t="s">
        <v>4</v>
      </c>
      <c r="B176" s="4" t="s">
        <v>5</v>
      </c>
      <c r="C176" s="4" t="s">
        <v>7</v>
      </c>
      <c r="D176" s="4" t="s">
        <v>11</v>
      </c>
      <c r="E176" s="4" t="s">
        <v>15</v>
      </c>
    </row>
    <row r="177" spans="1:11">
      <c r="A177" t="n">
        <v>4244</v>
      </c>
      <c r="B177" s="21" t="n">
        <v>101</v>
      </c>
      <c r="C177" s="7" t="n">
        <v>1</v>
      </c>
      <c r="D177" s="7" t="n">
        <v>105</v>
      </c>
      <c r="E177" s="7" t="n">
        <v>99</v>
      </c>
    </row>
    <row r="178" spans="1:11">
      <c r="A178" t="s">
        <v>4</v>
      </c>
      <c r="B178" s="4" t="s">
        <v>5</v>
      </c>
      <c r="C178" s="4" t="s">
        <v>7</v>
      </c>
      <c r="D178" s="4" t="s">
        <v>11</v>
      </c>
      <c r="E178" s="4" t="s">
        <v>15</v>
      </c>
    </row>
    <row r="179" spans="1:11">
      <c r="A179" t="n">
        <v>4252</v>
      </c>
      <c r="B179" s="21" t="n">
        <v>101</v>
      </c>
      <c r="C179" s="7" t="n">
        <v>10</v>
      </c>
      <c r="D179" s="7" t="n">
        <v>105</v>
      </c>
      <c r="E179" s="7" t="n">
        <v>0</v>
      </c>
    </row>
    <row r="180" spans="1:11">
      <c r="A180" t="s">
        <v>4</v>
      </c>
      <c r="B180" s="4" t="s">
        <v>5</v>
      </c>
      <c r="C180" s="4" t="s">
        <v>7</v>
      </c>
      <c r="D180" s="4" t="s">
        <v>11</v>
      </c>
      <c r="E180" s="4" t="s">
        <v>7</v>
      </c>
      <c r="F180" s="4" t="s">
        <v>11</v>
      </c>
      <c r="G180" s="4" t="s">
        <v>7</v>
      </c>
      <c r="H180" s="4" t="s">
        <v>7</v>
      </c>
      <c r="I180" s="4" t="s">
        <v>7</v>
      </c>
      <c r="J180" s="4" t="s">
        <v>12</v>
      </c>
    </row>
    <row r="181" spans="1:11">
      <c r="A181" t="n">
        <v>4260</v>
      </c>
      <c r="B181" s="10" t="n">
        <v>5</v>
      </c>
      <c r="C181" s="7" t="n">
        <v>30</v>
      </c>
      <c r="D181" s="7" t="n">
        <v>10993</v>
      </c>
      <c r="E181" s="7" t="n">
        <v>30</v>
      </c>
      <c r="F181" s="7" t="n">
        <v>10994</v>
      </c>
      <c r="G181" s="7" t="n">
        <v>8</v>
      </c>
      <c r="H181" s="7" t="n">
        <v>9</v>
      </c>
      <c r="I181" s="7" t="n">
        <v>1</v>
      </c>
      <c r="J181" s="11" t="n">
        <f t="normal" ca="1">A193</f>
        <v>0</v>
      </c>
    </row>
    <row r="182" spans="1:11">
      <c r="A182" t="s">
        <v>4</v>
      </c>
      <c r="B182" s="4" t="s">
        <v>5</v>
      </c>
      <c r="C182" s="4" t="s">
        <v>7</v>
      </c>
      <c r="D182" s="4" t="s">
        <v>8</v>
      </c>
      <c r="E182" s="4" t="s">
        <v>11</v>
      </c>
    </row>
    <row r="183" spans="1:11">
      <c r="A183" t="n">
        <v>4274</v>
      </c>
      <c r="B183" s="15" t="n">
        <v>94</v>
      </c>
      <c r="C183" s="7" t="n">
        <v>1</v>
      </c>
      <c r="D183" s="7" t="s">
        <v>24</v>
      </c>
      <c r="E183" s="7" t="n">
        <v>16</v>
      </c>
    </row>
    <row r="184" spans="1:11">
      <c r="A184" t="s">
        <v>4</v>
      </c>
      <c r="B184" s="4" t="s">
        <v>5</v>
      </c>
      <c r="C184" s="4" t="s">
        <v>7</v>
      </c>
      <c r="D184" s="4" t="s">
        <v>8</v>
      </c>
      <c r="E184" s="4" t="s">
        <v>11</v>
      </c>
    </row>
    <row r="185" spans="1:11">
      <c r="A185" t="n">
        <v>4288</v>
      </c>
      <c r="B185" s="15" t="n">
        <v>94</v>
      </c>
      <c r="C185" s="7" t="n">
        <v>1</v>
      </c>
      <c r="D185" s="7" t="s">
        <v>24</v>
      </c>
      <c r="E185" s="7" t="n">
        <v>512</v>
      </c>
    </row>
    <row r="186" spans="1:11">
      <c r="A186" t="s">
        <v>4</v>
      </c>
      <c r="B186" s="4" t="s">
        <v>5</v>
      </c>
      <c r="C186" s="4" t="s">
        <v>7</v>
      </c>
      <c r="D186" s="4" t="s">
        <v>8</v>
      </c>
      <c r="E186" s="4" t="s">
        <v>11</v>
      </c>
    </row>
    <row r="187" spans="1:11">
      <c r="A187" t="n">
        <v>4302</v>
      </c>
      <c r="B187" s="16" t="n">
        <v>91</v>
      </c>
      <c r="C187" s="7" t="n">
        <v>0</v>
      </c>
      <c r="D187" s="7" t="s">
        <v>26</v>
      </c>
      <c r="E187" s="7" t="n">
        <v>1</v>
      </c>
    </row>
    <row r="188" spans="1:11">
      <c r="A188" t="s">
        <v>4</v>
      </c>
      <c r="B188" s="4" t="s">
        <v>5</v>
      </c>
      <c r="C188" s="4" t="s">
        <v>7</v>
      </c>
      <c r="D188" s="4" t="s">
        <v>8</v>
      </c>
    </row>
    <row r="189" spans="1:11">
      <c r="A189" t="n">
        <v>4318</v>
      </c>
      <c r="B189" s="6" t="n">
        <v>2</v>
      </c>
      <c r="C189" s="7" t="n">
        <v>11</v>
      </c>
      <c r="D189" s="7" t="s">
        <v>37</v>
      </c>
    </row>
    <row r="190" spans="1:11">
      <c r="A190" t="s">
        <v>4</v>
      </c>
      <c r="B190" s="4" t="s">
        <v>5</v>
      </c>
      <c r="C190" s="4" t="s">
        <v>7</v>
      </c>
      <c r="D190" s="4" t="s">
        <v>11</v>
      </c>
      <c r="E190" s="4" t="s">
        <v>8</v>
      </c>
      <c r="F190" s="4" t="s">
        <v>8</v>
      </c>
      <c r="G190" s="4" t="s">
        <v>7</v>
      </c>
    </row>
    <row r="191" spans="1:11">
      <c r="A191" t="n">
        <v>4342</v>
      </c>
      <c r="B191" s="18" t="n">
        <v>32</v>
      </c>
      <c r="C191" s="7" t="n">
        <v>0</v>
      </c>
      <c r="D191" s="7" t="n">
        <v>65533</v>
      </c>
      <c r="E191" s="7" t="s">
        <v>29</v>
      </c>
      <c r="F191" s="7" t="s">
        <v>38</v>
      </c>
      <c r="G191" s="7" t="n">
        <v>0</v>
      </c>
    </row>
    <row r="192" spans="1:11">
      <c r="A192" t="s">
        <v>4</v>
      </c>
      <c r="B192" s="4" t="s">
        <v>5</v>
      </c>
      <c r="C192" s="4" t="s">
        <v>7</v>
      </c>
      <c r="D192" s="4" t="s">
        <v>11</v>
      </c>
      <c r="E192" s="4" t="s">
        <v>7</v>
      </c>
      <c r="F192" s="4" t="s">
        <v>12</v>
      </c>
    </row>
    <row r="193" spans="1:10">
      <c r="A193" t="n">
        <v>4360</v>
      </c>
      <c r="B193" s="10" t="n">
        <v>5</v>
      </c>
      <c r="C193" s="7" t="n">
        <v>30</v>
      </c>
      <c r="D193" s="7" t="n">
        <v>10993</v>
      </c>
      <c r="E193" s="7" t="n">
        <v>1</v>
      </c>
      <c r="F193" s="11" t="n">
        <f t="normal" ca="1">A213</f>
        <v>0</v>
      </c>
    </row>
    <row r="194" spans="1:10">
      <c r="A194" t="s">
        <v>4</v>
      </c>
      <c r="B194" s="4" t="s">
        <v>5</v>
      </c>
      <c r="C194" s="4" t="s">
        <v>7</v>
      </c>
      <c r="D194" s="4" t="s">
        <v>11</v>
      </c>
      <c r="E194" s="4" t="s">
        <v>7</v>
      </c>
      <c r="F194" s="4" t="s">
        <v>12</v>
      </c>
    </row>
    <row r="195" spans="1:10">
      <c r="A195" t="n">
        <v>4369</v>
      </c>
      <c r="B195" s="10" t="n">
        <v>5</v>
      </c>
      <c r="C195" s="7" t="n">
        <v>30</v>
      </c>
      <c r="D195" s="7" t="n">
        <v>10311</v>
      </c>
      <c r="E195" s="7" t="n">
        <v>1</v>
      </c>
      <c r="F195" s="11" t="n">
        <f t="normal" ca="1">A201</f>
        <v>0</v>
      </c>
    </row>
    <row r="196" spans="1:10">
      <c r="A196" t="s">
        <v>4</v>
      </c>
      <c r="B196" s="4" t="s">
        <v>5</v>
      </c>
      <c r="C196" s="4" t="s">
        <v>7</v>
      </c>
      <c r="D196" s="4" t="s">
        <v>8</v>
      </c>
      <c r="E196" s="4" t="s">
        <v>11</v>
      </c>
    </row>
    <row r="197" spans="1:10">
      <c r="A197" t="n">
        <v>4378</v>
      </c>
      <c r="B197" s="16" t="n">
        <v>91</v>
      </c>
      <c r="C197" s="7" t="n">
        <v>0</v>
      </c>
      <c r="D197" s="7" t="s">
        <v>39</v>
      </c>
      <c r="E197" s="7" t="n">
        <v>1</v>
      </c>
    </row>
    <row r="198" spans="1:10">
      <c r="A198" t="s">
        <v>4</v>
      </c>
      <c r="B198" s="4" t="s">
        <v>5</v>
      </c>
      <c r="C198" s="4" t="s">
        <v>12</v>
      </c>
    </row>
    <row r="199" spans="1:10">
      <c r="A199" t="n">
        <v>4393</v>
      </c>
      <c r="B199" s="19" t="n">
        <v>3</v>
      </c>
      <c r="C199" s="11" t="n">
        <f t="normal" ca="1">A203</f>
        <v>0</v>
      </c>
    </row>
    <row r="200" spans="1:10">
      <c r="A200" t="s">
        <v>4</v>
      </c>
      <c r="B200" s="4" t="s">
        <v>5</v>
      </c>
      <c r="C200" s="4" t="s">
        <v>7</v>
      </c>
      <c r="D200" s="4" t="s">
        <v>8</v>
      </c>
      <c r="E200" s="4" t="s">
        <v>11</v>
      </c>
    </row>
    <row r="201" spans="1:10">
      <c r="A201" t="n">
        <v>4398</v>
      </c>
      <c r="B201" s="16" t="n">
        <v>91</v>
      </c>
      <c r="C201" s="7" t="n">
        <v>1</v>
      </c>
      <c r="D201" s="7" t="s">
        <v>39</v>
      </c>
      <c r="E201" s="7" t="n">
        <v>1</v>
      </c>
    </row>
    <row r="202" spans="1:10">
      <c r="A202" t="s">
        <v>4</v>
      </c>
      <c r="B202" s="4" t="s">
        <v>5</v>
      </c>
      <c r="C202" s="4" t="s">
        <v>7</v>
      </c>
      <c r="D202" s="4" t="s">
        <v>8</v>
      </c>
      <c r="E202" s="4" t="s">
        <v>13</v>
      </c>
      <c r="F202" s="4" t="s">
        <v>13</v>
      </c>
      <c r="G202" s="4" t="s">
        <v>13</v>
      </c>
    </row>
    <row r="203" spans="1:10">
      <c r="A203" t="n">
        <v>4413</v>
      </c>
      <c r="B203" s="15" t="n">
        <v>94</v>
      </c>
      <c r="C203" s="7" t="n">
        <v>2</v>
      </c>
      <c r="D203" s="7" t="s">
        <v>40</v>
      </c>
      <c r="E203" s="7" t="n">
        <v>-0.0729999989271164</v>
      </c>
      <c r="F203" s="7" t="n">
        <v>11.1999998092651</v>
      </c>
      <c r="G203" s="7" t="n">
        <v>59.2150001525879</v>
      </c>
    </row>
    <row r="204" spans="1:10">
      <c r="A204" t="s">
        <v>4</v>
      </c>
      <c r="B204" s="4" t="s">
        <v>5</v>
      </c>
      <c r="C204" s="4" t="s">
        <v>7</v>
      </c>
      <c r="D204" s="4" t="s">
        <v>8</v>
      </c>
      <c r="E204" s="4" t="s">
        <v>11</v>
      </c>
    </row>
    <row r="205" spans="1:10">
      <c r="A205" t="n">
        <v>4438</v>
      </c>
      <c r="B205" s="15" t="n">
        <v>94</v>
      </c>
      <c r="C205" s="7" t="n">
        <v>0</v>
      </c>
      <c r="D205" s="7" t="s">
        <v>20</v>
      </c>
      <c r="E205" s="7" t="n">
        <v>1</v>
      </c>
    </row>
    <row r="206" spans="1:10">
      <c r="A206" t="s">
        <v>4</v>
      </c>
      <c r="B206" s="4" t="s">
        <v>5</v>
      </c>
      <c r="C206" s="4" t="s">
        <v>7</v>
      </c>
      <c r="D206" s="4" t="s">
        <v>8</v>
      </c>
      <c r="E206" s="4" t="s">
        <v>11</v>
      </c>
    </row>
    <row r="207" spans="1:10">
      <c r="A207" t="n">
        <v>4456</v>
      </c>
      <c r="B207" s="15" t="n">
        <v>94</v>
      </c>
      <c r="C207" s="7" t="n">
        <v>0</v>
      </c>
      <c r="D207" s="7" t="s">
        <v>20</v>
      </c>
      <c r="E207" s="7" t="n">
        <v>2</v>
      </c>
    </row>
    <row r="208" spans="1:10">
      <c r="A208" t="s">
        <v>4</v>
      </c>
      <c r="B208" s="4" t="s">
        <v>5</v>
      </c>
      <c r="C208" s="4" t="s">
        <v>7</v>
      </c>
      <c r="D208" s="4" t="s">
        <v>8</v>
      </c>
      <c r="E208" s="4" t="s">
        <v>11</v>
      </c>
    </row>
    <row r="209" spans="1:7">
      <c r="A209" t="n">
        <v>4474</v>
      </c>
      <c r="B209" s="15" t="n">
        <v>94</v>
      </c>
      <c r="C209" s="7" t="n">
        <v>1</v>
      </c>
      <c r="D209" s="7" t="s">
        <v>20</v>
      </c>
      <c r="E209" s="7" t="n">
        <v>4</v>
      </c>
    </row>
    <row r="210" spans="1:7">
      <c r="A210" t="s">
        <v>4</v>
      </c>
      <c r="B210" s="4" t="s">
        <v>5</v>
      </c>
      <c r="C210" s="4" t="s">
        <v>7</v>
      </c>
      <c r="D210" s="4" t="s">
        <v>8</v>
      </c>
    </row>
    <row r="211" spans="1:7">
      <c r="A211" t="n">
        <v>4492</v>
      </c>
      <c r="B211" s="15" t="n">
        <v>94</v>
      </c>
      <c r="C211" s="7" t="n">
        <v>5</v>
      </c>
      <c r="D211" s="7" t="s">
        <v>20</v>
      </c>
    </row>
    <row r="212" spans="1:7">
      <c r="A212" t="s">
        <v>4</v>
      </c>
      <c r="B212" s="4" t="s">
        <v>5</v>
      </c>
      <c r="C212" s="4" t="s">
        <v>7</v>
      </c>
      <c r="D212" s="4" t="s">
        <v>11</v>
      </c>
      <c r="E212" s="4" t="s">
        <v>8</v>
      </c>
      <c r="F212" s="4" t="s">
        <v>8</v>
      </c>
      <c r="G212" s="4" t="s">
        <v>7</v>
      </c>
    </row>
    <row r="213" spans="1:7">
      <c r="A213" t="n">
        <v>4508</v>
      </c>
      <c r="B213" s="18" t="n">
        <v>32</v>
      </c>
      <c r="C213" s="7" t="n">
        <v>0</v>
      </c>
      <c r="D213" s="7" t="n">
        <v>65533</v>
      </c>
      <c r="E213" s="7" t="s">
        <v>41</v>
      </c>
      <c r="F213" s="7" t="s">
        <v>42</v>
      </c>
      <c r="G213" s="7" t="n">
        <v>0</v>
      </c>
    </row>
    <row r="214" spans="1:7">
      <c r="A214" t="s">
        <v>4</v>
      </c>
      <c r="B214" s="4" t="s">
        <v>5</v>
      </c>
      <c r="C214" s="4" t="s">
        <v>7</v>
      </c>
      <c r="D214" s="4" t="s">
        <v>11</v>
      </c>
      <c r="E214" s="4" t="s">
        <v>8</v>
      </c>
      <c r="F214" s="4" t="s">
        <v>8</v>
      </c>
      <c r="G214" s="4" t="s">
        <v>7</v>
      </c>
    </row>
    <row r="215" spans="1:7">
      <c r="A215" t="n">
        <v>4527</v>
      </c>
      <c r="B215" s="18" t="n">
        <v>32</v>
      </c>
      <c r="C215" s="7" t="n">
        <v>0</v>
      </c>
      <c r="D215" s="7" t="n">
        <v>65533</v>
      </c>
      <c r="E215" s="7" t="s">
        <v>41</v>
      </c>
      <c r="F215" s="7" t="s">
        <v>43</v>
      </c>
      <c r="G215" s="7" t="n">
        <v>0</v>
      </c>
    </row>
    <row r="216" spans="1:7">
      <c r="A216" t="s">
        <v>4</v>
      </c>
      <c r="B216" s="4" t="s">
        <v>5</v>
      </c>
      <c r="C216" s="4" t="s">
        <v>7</v>
      </c>
      <c r="D216" s="4" t="s">
        <v>11</v>
      </c>
      <c r="E216" s="4" t="s">
        <v>8</v>
      </c>
      <c r="F216" s="4" t="s">
        <v>8</v>
      </c>
      <c r="G216" s="4" t="s">
        <v>7</v>
      </c>
    </row>
    <row r="217" spans="1:7">
      <c r="A217" t="n">
        <v>4546</v>
      </c>
      <c r="B217" s="18" t="n">
        <v>32</v>
      </c>
      <c r="C217" s="7" t="n">
        <v>0</v>
      </c>
      <c r="D217" s="7" t="n">
        <v>65533</v>
      </c>
      <c r="E217" s="7" t="s">
        <v>41</v>
      </c>
      <c r="F217" s="7" t="s">
        <v>44</v>
      </c>
      <c r="G217" s="7" t="n">
        <v>0</v>
      </c>
    </row>
    <row r="218" spans="1:7">
      <c r="A218" t="s">
        <v>4</v>
      </c>
      <c r="B218" s="4" t="s">
        <v>5</v>
      </c>
      <c r="C218" s="4" t="s">
        <v>7</v>
      </c>
      <c r="D218" s="4" t="s">
        <v>7</v>
      </c>
      <c r="E218" s="4" t="s">
        <v>7</v>
      </c>
      <c r="F218" s="4" t="s">
        <v>15</v>
      </c>
      <c r="G218" s="4" t="s">
        <v>7</v>
      </c>
      <c r="H218" s="4" t="s">
        <v>7</v>
      </c>
      <c r="I218" s="4" t="s">
        <v>12</v>
      </c>
    </row>
    <row r="219" spans="1:7">
      <c r="A219" t="n">
        <v>4565</v>
      </c>
      <c r="B219" s="10" t="n">
        <v>5</v>
      </c>
      <c r="C219" s="7" t="n">
        <v>35</v>
      </c>
      <c r="D219" s="7" t="n">
        <v>3</v>
      </c>
      <c r="E219" s="7" t="n">
        <v>0</v>
      </c>
      <c r="F219" s="7" t="n">
        <v>6</v>
      </c>
      <c r="G219" s="7" t="n">
        <v>2</v>
      </c>
      <c r="H219" s="7" t="n">
        <v>1</v>
      </c>
      <c r="I219" s="11" t="n">
        <f t="normal" ca="1">A231</f>
        <v>0</v>
      </c>
    </row>
    <row r="220" spans="1:7">
      <c r="A220" t="s">
        <v>4</v>
      </c>
      <c r="B220" s="4" t="s">
        <v>5</v>
      </c>
      <c r="C220" s="4" t="s">
        <v>7</v>
      </c>
      <c r="D220" s="4" t="s">
        <v>8</v>
      </c>
      <c r="E220" s="4" t="s">
        <v>11</v>
      </c>
    </row>
    <row r="221" spans="1:7">
      <c r="A221" t="n">
        <v>4579</v>
      </c>
      <c r="B221" s="17" t="n">
        <v>62</v>
      </c>
      <c r="C221" s="7" t="n">
        <v>1</v>
      </c>
      <c r="D221" s="7" t="s">
        <v>45</v>
      </c>
      <c r="E221" s="7" t="n">
        <v>1</v>
      </c>
    </row>
    <row r="222" spans="1:7">
      <c r="A222" t="s">
        <v>4</v>
      </c>
      <c r="B222" s="4" t="s">
        <v>5</v>
      </c>
      <c r="C222" s="4" t="s">
        <v>7</v>
      </c>
      <c r="D222" s="4" t="s">
        <v>8</v>
      </c>
      <c r="E222" s="4" t="s">
        <v>11</v>
      </c>
    </row>
    <row r="223" spans="1:7">
      <c r="A223" t="n">
        <v>4592</v>
      </c>
      <c r="B223" s="17" t="n">
        <v>62</v>
      </c>
      <c r="C223" s="7" t="n">
        <v>0</v>
      </c>
      <c r="D223" s="7" t="s">
        <v>46</v>
      </c>
      <c r="E223" s="7" t="n">
        <v>1</v>
      </c>
    </row>
    <row r="224" spans="1:7">
      <c r="A224" t="s">
        <v>4</v>
      </c>
      <c r="B224" s="4" t="s">
        <v>5</v>
      </c>
      <c r="C224" s="4" t="s">
        <v>7</v>
      </c>
      <c r="D224" s="4" t="s">
        <v>8</v>
      </c>
      <c r="E224" s="4" t="s">
        <v>11</v>
      </c>
    </row>
    <row r="225" spans="1:9">
      <c r="A225" t="n">
        <v>4605</v>
      </c>
      <c r="B225" s="17" t="n">
        <v>62</v>
      </c>
      <c r="C225" s="7" t="n">
        <v>0</v>
      </c>
      <c r="D225" s="7" t="s">
        <v>45</v>
      </c>
      <c r="E225" s="7" t="n">
        <v>256</v>
      </c>
    </row>
    <row r="226" spans="1:9">
      <c r="A226" t="s">
        <v>4</v>
      </c>
      <c r="B226" s="4" t="s">
        <v>5</v>
      </c>
      <c r="C226" s="4" t="s">
        <v>7</v>
      </c>
      <c r="D226" s="4" t="s">
        <v>8</v>
      </c>
      <c r="E226" s="4" t="s">
        <v>11</v>
      </c>
    </row>
    <row r="227" spans="1:9">
      <c r="A227" t="n">
        <v>4618</v>
      </c>
      <c r="B227" s="17" t="n">
        <v>62</v>
      </c>
      <c r="C227" s="7" t="n">
        <v>1</v>
      </c>
      <c r="D227" s="7" t="s">
        <v>46</v>
      </c>
      <c r="E227" s="7" t="n">
        <v>256</v>
      </c>
    </row>
    <row r="228" spans="1:9">
      <c r="A228" t="s">
        <v>4</v>
      </c>
      <c r="B228" s="4" t="s">
        <v>5</v>
      </c>
      <c r="C228" s="4" t="s">
        <v>12</v>
      </c>
    </row>
    <row r="229" spans="1:9">
      <c r="A229" t="n">
        <v>4631</v>
      </c>
      <c r="B229" s="19" t="n">
        <v>3</v>
      </c>
      <c r="C229" s="11" t="n">
        <f t="normal" ca="1">A239</f>
        <v>0</v>
      </c>
    </row>
    <row r="230" spans="1:9">
      <c r="A230" t="s">
        <v>4</v>
      </c>
      <c r="B230" s="4" t="s">
        <v>5</v>
      </c>
      <c r="C230" s="4" t="s">
        <v>7</v>
      </c>
      <c r="D230" s="4" t="s">
        <v>8</v>
      </c>
      <c r="E230" s="4" t="s">
        <v>11</v>
      </c>
    </row>
    <row r="231" spans="1:9">
      <c r="A231" t="n">
        <v>4636</v>
      </c>
      <c r="B231" s="17" t="n">
        <v>62</v>
      </c>
      <c r="C231" s="7" t="n">
        <v>0</v>
      </c>
      <c r="D231" s="7" t="s">
        <v>45</v>
      </c>
      <c r="E231" s="7" t="n">
        <v>1</v>
      </c>
    </row>
    <row r="232" spans="1:9">
      <c r="A232" t="s">
        <v>4</v>
      </c>
      <c r="B232" s="4" t="s">
        <v>5</v>
      </c>
      <c r="C232" s="4" t="s">
        <v>7</v>
      </c>
      <c r="D232" s="4" t="s">
        <v>8</v>
      </c>
      <c r="E232" s="4" t="s">
        <v>11</v>
      </c>
    </row>
    <row r="233" spans="1:9">
      <c r="A233" t="n">
        <v>4649</v>
      </c>
      <c r="B233" s="17" t="n">
        <v>62</v>
      </c>
      <c r="C233" s="7" t="n">
        <v>1</v>
      </c>
      <c r="D233" s="7" t="s">
        <v>46</v>
      </c>
      <c r="E233" s="7" t="n">
        <v>1</v>
      </c>
    </row>
    <row r="234" spans="1:9">
      <c r="A234" t="s">
        <v>4</v>
      </c>
      <c r="B234" s="4" t="s">
        <v>5</v>
      </c>
      <c r="C234" s="4" t="s">
        <v>7</v>
      </c>
      <c r="D234" s="4" t="s">
        <v>8</v>
      </c>
      <c r="E234" s="4" t="s">
        <v>11</v>
      </c>
    </row>
    <row r="235" spans="1:9">
      <c r="A235" t="n">
        <v>4662</v>
      </c>
      <c r="B235" s="17" t="n">
        <v>62</v>
      </c>
      <c r="C235" s="7" t="n">
        <v>1</v>
      </c>
      <c r="D235" s="7" t="s">
        <v>45</v>
      </c>
      <c r="E235" s="7" t="n">
        <v>256</v>
      </c>
    </row>
    <row r="236" spans="1:9">
      <c r="A236" t="s">
        <v>4</v>
      </c>
      <c r="B236" s="4" t="s">
        <v>5</v>
      </c>
      <c r="C236" s="4" t="s">
        <v>7</v>
      </c>
      <c r="D236" s="4" t="s">
        <v>8</v>
      </c>
      <c r="E236" s="4" t="s">
        <v>11</v>
      </c>
    </row>
    <row r="237" spans="1:9">
      <c r="A237" t="n">
        <v>4675</v>
      </c>
      <c r="B237" s="17" t="n">
        <v>62</v>
      </c>
      <c r="C237" s="7" t="n">
        <v>0</v>
      </c>
      <c r="D237" s="7" t="s">
        <v>46</v>
      </c>
      <c r="E237" s="7" t="n">
        <v>256</v>
      </c>
    </row>
    <row r="238" spans="1:9">
      <c r="A238" t="s">
        <v>4</v>
      </c>
      <c r="B238" s="4" t="s">
        <v>5</v>
      </c>
    </row>
    <row r="239" spans="1:9">
      <c r="A239" t="n">
        <v>4688</v>
      </c>
      <c r="B239" s="5" t="n">
        <v>1</v>
      </c>
    </row>
    <row r="240" spans="1:9" s="3" customFormat="1" customHeight="0">
      <c r="A240" s="3" t="s">
        <v>2</v>
      </c>
      <c r="B240" s="3" t="s">
        <v>47</v>
      </c>
    </row>
    <row r="241" spans="1:5">
      <c r="A241" t="s">
        <v>4</v>
      </c>
      <c r="B241" s="4" t="s">
        <v>5</v>
      </c>
      <c r="C241" s="4" t="s">
        <v>7</v>
      </c>
      <c r="D241" s="4" t="s">
        <v>8</v>
      </c>
    </row>
    <row r="242" spans="1:5">
      <c r="A242" t="n">
        <v>4692</v>
      </c>
      <c r="B242" s="6" t="n">
        <v>2</v>
      </c>
      <c r="C242" s="7" t="n">
        <v>11</v>
      </c>
      <c r="D242" s="7" t="s">
        <v>48</v>
      </c>
    </row>
    <row r="243" spans="1:5">
      <c r="A243" t="s">
        <v>4</v>
      </c>
      <c r="B243" s="4" t="s">
        <v>5</v>
      </c>
      <c r="C243" s="4" t="s">
        <v>7</v>
      </c>
      <c r="D243" s="4" t="s">
        <v>7</v>
      </c>
    </row>
    <row r="244" spans="1:5">
      <c r="A244" t="n">
        <v>4704</v>
      </c>
      <c r="B244" s="8" t="n">
        <v>162</v>
      </c>
      <c r="C244" s="7" t="n">
        <v>0</v>
      </c>
      <c r="D244" s="7" t="n">
        <v>1</v>
      </c>
    </row>
    <row r="245" spans="1:5">
      <c r="A245" t="s">
        <v>4</v>
      </c>
      <c r="B245" s="4" t="s">
        <v>5</v>
      </c>
    </row>
    <row r="246" spans="1:5">
      <c r="A246" t="n">
        <v>4707</v>
      </c>
      <c r="B246" s="5" t="n">
        <v>1</v>
      </c>
    </row>
    <row r="247" spans="1:5" s="3" customFormat="1" customHeight="0">
      <c r="A247" s="3" t="s">
        <v>2</v>
      </c>
      <c r="B247" s="3" t="s">
        <v>49</v>
      </c>
    </row>
    <row r="248" spans="1:5">
      <c r="A248" t="s">
        <v>4</v>
      </c>
      <c r="B248" s="4" t="s">
        <v>5</v>
      </c>
      <c r="C248" s="4" t="s">
        <v>7</v>
      </c>
      <c r="D248" s="4" t="s">
        <v>11</v>
      </c>
    </row>
    <row r="249" spans="1:5">
      <c r="A249" t="n">
        <v>4708</v>
      </c>
      <c r="B249" s="22" t="n">
        <v>22</v>
      </c>
      <c r="C249" s="7" t="n">
        <v>20</v>
      </c>
      <c r="D249" s="7" t="n">
        <v>0</v>
      </c>
    </row>
    <row r="250" spans="1:5">
      <c r="A250" t="s">
        <v>4</v>
      </c>
      <c r="B250" s="4" t="s">
        <v>5</v>
      </c>
      <c r="C250" s="4" t="s">
        <v>7</v>
      </c>
      <c r="D250" s="4" t="s">
        <v>11</v>
      </c>
      <c r="E250" s="4" t="s">
        <v>13</v>
      </c>
    </row>
    <row r="251" spans="1:5">
      <c r="A251" t="n">
        <v>4712</v>
      </c>
      <c r="B251" s="23" t="n">
        <v>58</v>
      </c>
      <c r="C251" s="7" t="n">
        <v>0</v>
      </c>
      <c r="D251" s="7" t="n">
        <v>300</v>
      </c>
      <c r="E251" s="7" t="n">
        <v>0.300000011920929</v>
      </c>
    </row>
    <row r="252" spans="1:5">
      <c r="A252" t="s">
        <v>4</v>
      </c>
      <c r="B252" s="4" t="s">
        <v>5</v>
      </c>
      <c r="C252" s="4" t="s">
        <v>7</v>
      </c>
      <c r="D252" s="4" t="s">
        <v>11</v>
      </c>
    </row>
    <row r="253" spans="1:5">
      <c r="A253" t="n">
        <v>4720</v>
      </c>
      <c r="B253" s="23" t="n">
        <v>58</v>
      </c>
      <c r="C253" s="7" t="n">
        <v>255</v>
      </c>
      <c r="D253" s="7" t="n">
        <v>0</v>
      </c>
    </row>
    <row r="254" spans="1:5">
      <c r="A254" t="s">
        <v>4</v>
      </c>
      <c r="B254" s="4" t="s">
        <v>5</v>
      </c>
      <c r="C254" s="4" t="s">
        <v>7</v>
      </c>
      <c r="D254" s="4" t="s">
        <v>13</v>
      </c>
      <c r="E254" s="4" t="s">
        <v>11</v>
      </c>
      <c r="F254" s="4" t="s">
        <v>7</v>
      </c>
    </row>
    <row r="255" spans="1:5">
      <c r="A255" t="n">
        <v>4724</v>
      </c>
      <c r="B255" s="13" t="n">
        <v>49</v>
      </c>
      <c r="C255" s="7" t="n">
        <v>3</v>
      </c>
      <c r="D255" s="7" t="n">
        <v>0.600000023841858</v>
      </c>
      <c r="E255" s="7" t="n">
        <v>1000</v>
      </c>
      <c r="F255" s="7" t="n">
        <v>0</v>
      </c>
    </row>
    <row r="256" spans="1:5">
      <c r="A256" t="s">
        <v>4</v>
      </c>
      <c r="B256" s="4" t="s">
        <v>5</v>
      </c>
      <c r="C256" s="4" t="s">
        <v>7</v>
      </c>
      <c r="D256" s="4" t="s">
        <v>11</v>
      </c>
      <c r="E256" s="4" t="s">
        <v>11</v>
      </c>
      <c r="F256" s="4" t="s">
        <v>11</v>
      </c>
      <c r="G256" s="4" t="s">
        <v>11</v>
      </c>
      <c r="H256" s="4" t="s">
        <v>11</v>
      </c>
      <c r="I256" s="4" t="s">
        <v>11</v>
      </c>
      <c r="J256" s="4" t="s">
        <v>11</v>
      </c>
      <c r="K256" s="4" t="s">
        <v>11</v>
      </c>
      <c r="L256" s="4" t="s">
        <v>11</v>
      </c>
      <c r="M256" s="4" t="s">
        <v>11</v>
      </c>
      <c r="N256" s="4" t="s">
        <v>15</v>
      </c>
      <c r="O256" s="4" t="s">
        <v>15</v>
      </c>
      <c r="P256" s="4" t="s">
        <v>15</v>
      </c>
      <c r="Q256" s="4" t="s">
        <v>15</v>
      </c>
      <c r="R256" s="4" t="s">
        <v>7</v>
      </c>
      <c r="S256" s="4" t="s">
        <v>8</v>
      </c>
    </row>
    <row r="257" spans="1:19">
      <c r="A257" t="n">
        <v>4733</v>
      </c>
      <c r="B257" s="24" t="n">
        <v>75</v>
      </c>
      <c r="C257" s="7" t="n">
        <v>0</v>
      </c>
      <c r="D257" s="7" t="n">
        <v>422</v>
      </c>
      <c r="E257" s="7" t="n">
        <v>72</v>
      </c>
      <c r="F257" s="7" t="n">
        <v>858</v>
      </c>
      <c r="G257" s="7" t="n">
        <v>648</v>
      </c>
      <c r="H257" s="7" t="n">
        <v>0</v>
      </c>
      <c r="I257" s="7" t="n">
        <v>0</v>
      </c>
      <c r="J257" s="7" t="n">
        <v>0</v>
      </c>
      <c r="K257" s="7" t="n">
        <v>0</v>
      </c>
      <c r="L257" s="7" t="n">
        <v>436</v>
      </c>
      <c r="M257" s="7" t="n">
        <v>576</v>
      </c>
      <c r="N257" s="7" t="n">
        <v>1065353216</v>
      </c>
      <c r="O257" s="7" t="n">
        <v>1065353216</v>
      </c>
      <c r="P257" s="7" t="n">
        <v>1065353216</v>
      </c>
      <c r="Q257" s="7" t="n">
        <v>0</v>
      </c>
      <c r="R257" s="7" t="n">
        <v>0</v>
      </c>
      <c r="S257" s="7" t="s">
        <v>50</v>
      </c>
    </row>
    <row r="258" spans="1:19">
      <c r="A258" t="s">
        <v>4</v>
      </c>
      <c r="B258" s="4" t="s">
        <v>5</v>
      </c>
      <c r="C258" s="4" t="s">
        <v>7</v>
      </c>
      <c r="D258" s="4" t="s">
        <v>7</v>
      </c>
      <c r="E258" s="4" t="s">
        <v>7</v>
      </c>
      <c r="F258" s="4" t="s">
        <v>13</v>
      </c>
      <c r="G258" s="4" t="s">
        <v>13</v>
      </c>
      <c r="H258" s="4" t="s">
        <v>13</v>
      </c>
      <c r="I258" s="4" t="s">
        <v>13</v>
      </c>
      <c r="J258" s="4" t="s">
        <v>13</v>
      </c>
    </row>
    <row r="259" spans="1:19">
      <c r="A259" t="n">
        <v>4781</v>
      </c>
      <c r="B259" s="25" t="n">
        <v>76</v>
      </c>
      <c r="C259" s="7" t="n">
        <v>0</v>
      </c>
      <c r="D259" s="7" t="n">
        <v>3</v>
      </c>
      <c r="E259" s="7" t="n">
        <v>0</v>
      </c>
      <c r="F259" s="7" t="n">
        <v>1</v>
      </c>
      <c r="G259" s="7" t="n">
        <v>1</v>
      </c>
      <c r="H259" s="7" t="n">
        <v>1</v>
      </c>
      <c r="I259" s="7" t="n">
        <v>1</v>
      </c>
      <c r="J259" s="7" t="n">
        <v>1000</v>
      </c>
    </row>
    <row r="260" spans="1:19">
      <c r="A260" t="s">
        <v>4</v>
      </c>
      <c r="B260" s="4" t="s">
        <v>5</v>
      </c>
      <c r="C260" s="4" t="s">
        <v>7</v>
      </c>
      <c r="D260" s="4" t="s">
        <v>7</v>
      </c>
    </row>
    <row r="261" spans="1:19">
      <c r="A261" t="n">
        <v>4805</v>
      </c>
      <c r="B261" s="26" t="n">
        <v>77</v>
      </c>
      <c r="C261" s="7" t="n">
        <v>0</v>
      </c>
      <c r="D261" s="7" t="n">
        <v>3</v>
      </c>
    </row>
    <row r="262" spans="1:19">
      <c r="A262" t="s">
        <v>4</v>
      </c>
      <c r="B262" s="4" t="s">
        <v>5</v>
      </c>
    </row>
    <row r="263" spans="1:19">
      <c r="A263" t="n">
        <v>4808</v>
      </c>
      <c r="B263" s="27" t="n">
        <v>28</v>
      </c>
    </row>
    <row r="264" spans="1:19">
      <c r="A264" t="s">
        <v>4</v>
      </c>
      <c r="B264" s="4" t="s">
        <v>5</v>
      </c>
      <c r="C264" s="4" t="s">
        <v>7</v>
      </c>
      <c r="D264" s="4" t="s">
        <v>13</v>
      </c>
      <c r="E264" s="4" t="s">
        <v>11</v>
      </c>
      <c r="F264" s="4" t="s">
        <v>7</v>
      </c>
    </row>
    <row r="265" spans="1:19">
      <c r="A265" t="n">
        <v>4809</v>
      </c>
      <c r="B265" s="13" t="n">
        <v>49</v>
      </c>
      <c r="C265" s="7" t="n">
        <v>3</v>
      </c>
      <c r="D265" s="7" t="n">
        <v>1</v>
      </c>
      <c r="E265" s="7" t="n">
        <v>1000</v>
      </c>
      <c r="F265" s="7" t="n">
        <v>0</v>
      </c>
    </row>
    <row r="266" spans="1:19">
      <c r="A266" t="s">
        <v>4</v>
      </c>
      <c r="B266" s="4" t="s">
        <v>5</v>
      </c>
      <c r="C266" s="4" t="s">
        <v>7</v>
      </c>
      <c r="D266" s="4" t="s">
        <v>7</v>
      </c>
      <c r="E266" s="4" t="s">
        <v>7</v>
      </c>
      <c r="F266" s="4" t="s">
        <v>13</v>
      </c>
      <c r="G266" s="4" t="s">
        <v>13</v>
      </c>
      <c r="H266" s="4" t="s">
        <v>13</v>
      </c>
      <c r="I266" s="4" t="s">
        <v>13</v>
      </c>
      <c r="J266" s="4" t="s">
        <v>13</v>
      </c>
    </row>
    <row r="267" spans="1:19">
      <c r="A267" t="n">
        <v>4818</v>
      </c>
      <c r="B267" s="25" t="n">
        <v>76</v>
      </c>
      <c r="C267" s="7" t="n">
        <v>0</v>
      </c>
      <c r="D267" s="7" t="n">
        <v>3</v>
      </c>
      <c r="E267" s="7" t="n">
        <v>0</v>
      </c>
      <c r="F267" s="7" t="n">
        <v>1</v>
      </c>
      <c r="G267" s="7" t="n">
        <v>1</v>
      </c>
      <c r="H267" s="7" t="n">
        <v>1</v>
      </c>
      <c r="I267" s="7" t="n">
        <v>0</v>
      </c>
      <c r="J267" s="7" t="n">
        <v>1000</v>
      </c>
    </row>
    <row r="268" spans="1:19">
      <c r="A268" t="s">
        <v>4</v>
      </c>
      <c r="B268" s="4" t="s">
        <v>5</v>
      </c>
      <c r="C268" s="4" t="s">
        <v>7</v>
      </c>
      <c r="D268" s="4" t="s">
        <v>7</v>
      </c>
    </row>
    <row r="269" spans="1:19">
      <c r="A269" t="n">
        <v>4842</v>
      </c>
      <c r="B269" s="26" t="n">
        <v>77</v>
      </c>
      <c r="C269" s="7" t="n">
        <v>0</v>
      </c>
      <c r="D269" s="7" t="n">
        <v>3</v>
      </c>
    </row>
    <row r="270" spans="1:19">
      <c r="A270" t="s">
        <v>4</v>
      </c>
      <c r="B270" s="4" t="s">
        <v>5</v>
      </c>
      <c r="C270" s="4" t="s">
        <v>7</v>
      </c>
    </row>
    <row r="271" spans="1:19">
      <c r="A271" t="n">
        <v>4845</v>
      </c>
      <c r="B271" s="28" t="n">
        <v>78</v>
      </c>
      <c r="C271" s="7" t="n">
        <v>255</v>
      </c>
    </row>
    <row r="272" spans="1:19">
      <c r="A272" t="s">
        <v>4</v>
      </c>
      <c r="B272" s="4" t="s">
        <v>5</v>
      </c>
      <c r="C272" s="4" t="s">
        <v>7</v>
      </c>
      <c r="D272" s="4" t="s">
        <v>11</v>
      </c>
      <c r="E272" s="4" t="s">
        <v>13</v>
      </c>
    </row>
    <row r="273" spans="1:19">
      <c r="A273" t="n">
        <v>4847</v>
      </c>
      <c r="B273" s="23" t="n">
        <v>58</v>
      </c>
      <c r="C273" s="7" t="n">
        <v>100</v>
      </c>
      <c r="D273" s="7" t="n">
        <v>300</v>
      </c>
      <c r="E273" s="7" t="n">
        <v>0.300000011920929</v>
      </c>
    </row>
    <row r="274" spans="1:19">
      <c r="A274" t="s">
        <v>4</v>
      </c>
      <c r="B274" s="4" t="s">
        <v>5</v>
      </c>
      <c r="C274" s="4" t="s">
        <v>7</v>
      </c>
      <c r="D274" s="4" t="s">
        <v>11</v>
      </c>
    </row>
    <row r="275" spans="1:19">
      <c r="A275" t="n">
        <v>4855</v>
      </c>
      <c r="B275" s="23" t="n">
        <v>58</v>
      </c>
      <c r="C275" s="7" t="n">
        <v>255</v>
      </c>
      <c r="D275" s="7" t="n">
        <v>0</v>
      </c>
    </row>
    <row r="276" spans="1:19">
      <c r="A276" t="s">
        <v>4</v>
      </c>
      <c r="B276" s="4" t="s">
        <v>5</v>
      </c>
      <c r="C276" s="4" t="s">
        <v>7</v>
      </c>
      <c r="D276" s="4" t="s">
        <v>8</v>
      </c>
    </row>
    <row r="277" spans="1:19">
      <c r="A277" t="n">
        <v>4859</v>
      </c>
      <c r="B277" s="6" t="n">
        <v>2</v>
      </c>
      <c r="C277" s="7" t="n">
        <v>10</v>
      </c>
      <c r="D277" s="7" t="s">
        <v>51</v>
      </c>
    </row>
    <row r="278" spans="1:19">
      <c r="A278" t="s">
        <v>4</v>
      </c>
      <c r="B278" s="4" t="s">
        <v>5</v>
      </c>
      <c r="C278" s="4" t="s">
        <v>11</v>
      </c>
    </row>
    <row r="279" spans="1:19">
      <c r="A279" t="n">
        <v>4882</v>
      </c>
      <c r="B279" s="29" t="n">
        <v>16</v>
      </c>
      <c r="C279" s="7" t="n">
        <v>0</v>
      </c>
    </row>
    <row r="280" spans="1:19">
      <c r="A280" t="s">
        <v>4</v>
      </c>
      <c r="B280" s="4" t="s">
        <v>5</v>
      </c>
      <c r="C280" s="4" t="s">
        <v>7</v>
      </c>
      <c r="D280" s="4" t="s">
        <v>8</v>
      </c>
    </row>
    <row r="281" spans="1:19">
      <c r="A281" t="n">
        <v>4885</v>
      </c>
      <c r="B281" s="6" t="n">
        <v>2</v>
      </c>
      <c r="C281" s="7" t="n">
        <v>10</v>
      </c>
      <c r="D281" s="7" t="s">
        <v>52</v>
      </c>
    </row>
    <row r="282" spans="1:19">
      <c r="A282" t="s">
        <v>4</v>
      </c>
      <c r="B282" s="4" t="s">
        <v>5</v>
      </c>
      <c r="C282" s="4" t="s">
        <v>11</v>
      </c>
    </row>
    <row r="283" spans="1:19">
      <c r="A283" t="n">
        <v>4903</v>
      </c>
      <c r="B283" s="29" t="n">
        <v>16</v>
      </c>
      <c r="C283" s="7" t="n">
        <v>0</v>
      </c>
    </row>
    <row r="284" spans="1:19">
      <c r="A284" t="s">
        <v>4</v>
      </c>
      <c r="B284" s="4" t="s">
        <v>5</v>
      </c>
      <c r="C284" s="4" t="s">
        <v>7</v>
      </c>
      <c r="D284" s="4" t="s">
        <v>8</v>
      </c>
    </row>
    <row r="285" spans="1:19">
      <c r="A285" t="n">
        <v>4906</v>
      </c>
      <c r="B285" s="6" t="n">
        <v>2</v>
      </c>
      <c r="C285" s="7" t="n">
        <v>10</v>
      </c>
      <c r="D285" s="7" t="s">
        <v>53</v>
      </c>
    </row>
    <row r="286" spans="1:19">
      <c r="A286" t="s">
        <v>4</v>
      </c>
      <c r="B286" s="4" t="s">
        <v>5</v>
      </c>
      <c r="C286" s="4" t="s">
        <v>11</v>
      </c>
    </row>
    <row r="287" spans="1:19">
      <c r="A287" t="n">
        <v>4925</v>
      </c>
      <c r="B287" s="29" t="n">
        <v>16</v>
      </c>
      <c r="C287" s="7" t="n">
        <v>0</v>
      </c>
    </row>
    <row r="288" spans="1:19">
      <c r="A288" t="s">
        <v>4</v>
      </c>
      <c r="B288" s="4" t="s">
        <v>5</v>
      </c>
      <c r="C288" s="4" t="s">
        <v>7</v>
      </c>
    </row>
    <row r="289" spans="1:5">
      <c r="A289" t="n">
        <v>4928</v>
      </c>
      <c r="B289" s="30" t="n">
        <v>23</v>
      </c>
      <c r="C289" s="7" t="n">
        <v>20</v>
      </c>
    </row>
    <row r="290" spans="1:5">
      <c r="A290" t="s">
        <v>4</v>
      </c>
      <c r="B290" s="4" t="s">
        <v>5</v>
      </c>
    </row>
    <row r="291" spans="1:5">
      <c r="A291" t="n">
        <v>4930</v>
      </c>
      <c r="B291" s="5" t="n">
        <v>1</v>
      </c>
    </row>
    <row r="292" spans="1:5" s="3" customFormat="1" customHeight="0">
      <c r="A292" s="3" t="s">
        <v>2</v>
      </c>
      <c r="B292" s="3" t="s">
        <v>54</v>
      </c>
    </row>
    <row r="293" spans="1:5">
      <c r="A293" t="s">
        <v>4</v>
      </c>
      <c r="B293" s="4" t="s">
        <v>5</v>
      </c>
      <c r="C293" s="4" t="s">
        <v>7</v>
      </c>
      <c r="D293" s="4" t="s">
        <v>11</v>
      </c>
    </row>
    <row r="294" spans="1:5">
      <c r="A294" t="n">
        <v>4932</v>
      </c>
      <c r="B294" s="22" t="n">
        <v>22</v>
      </c>
      <c r="C294" s="7" t="n">
        <v>20</v>
      </c>
      <c r="D294" s="7" t="n">
        <v>0</v>
      </c>
    </row>
    <row r="295" spans="1:5">
      <c r="A295" t="s">
        <v>4</v>
      </c>
      <c r="B295" s="4" t="s">
        <v>5</v>
      </c>
      <c r="C295" s="4" t="s">
        <v>7</v>
      </c>
      <c r="D295" s="4" t="s">
        <v>11</v>
      </c>
      <c r="E295" s="4" t="s">
        <v>11</v>
      </c>
      <c r="F295" s="4" t="s">
        <v>11</v>
      </c>
      <c r="G295" s="4" t="s">
        <v>11</v>
      </c>
      <c r="H295" s="4" t="s">
        <v>7</v>
      </c>
    </row>
    <row r="296" spans="1:5">
      <c r="A296" t="n">
        <v>4936</v>
      </c>
      <c r="B296" s="31" t="n">
        <v>25</v>
      </c>
      <c r="C296" s="7" t="n">
        <v>5</v>
      </c>
      <c r="D296" s="7" t="n">
        <v>65535</v>
      </c>
      <c r="E296" s="7" t="n">
        <v>500</v>
      </c>
      <c r="F296" s="7" t="n">
        <v>800</v>
      </c>
      <c r="G296" s="7" t="n">
        <v>140</v>
      </c>
      <c r="H296" s="7" t="n">
        <v>0</v>
      </c>
    </row>
    <row r="297" spans="1:5">
      <c r="A297" t="s">
        <v>4</v>
      </c>
      <c r="B297" s="4" t="s">
        <v>5</v>
      </c>
      <c r="C297" s="4" t="s">
        <v>11</v>
      </c>
      <c r="D297" s="4" t="s">
        <v>7</v>
      </c>
      <c r="E297" s="4" t="s">
        <v>55</v>
      </c>
      <c r="F297" s="4" t="s">
        <v>7</v>
      </c>
      <c r="G297" s="4" t="s">
        <v>7</v>
      </c>
    </row>
    <row r="298" spans="1:5">
      <c r="A298" t="n">
        <v>4947</v>
      </c>
      <c r="B298" s="32" t="n">
        <v>24</v>
      </c>
      <c r="C298" s="7" t="n">
        <v>65533</v>
      </c>
      <c r="D298" s="7" t="n">
        <v>11</v>
      </c>
      <c r="E298" s="7" t="s">
        <v>56</v>
      </c>
      <c r="F298" s="7" t="n">
        <v>2</v>
      </c>
      <c r="G298" s="7" t="n">
        <v>0</v>
      </c>
    </row>
    <row r="299" spans="1:5">
      <c r="A299" t="s">
        <v>4</v>
      </c>
      <c r="B299" s="4" t="s">
        <v>5</v>
      </c>
    </row>
    <row r="300" spans="1:5">
      <c r="A300" t="n">
        <v>5024</v>
      </c>
      <c r="B300" s="27" t="n">
        <v>28</v>
      </c>
    </row>
    <row r="301" spans="1:5">
      <c r="A301" t="s">
        <v>4</v>
      </c>
      <c r="B301" s="4" t="s">
        <v>5</v>
      </c>
      <c r="C301" s="4" t="s">
        <v>7</v>
      </c>
    </row>
    <row r="302" spans="1:5">
      <c r="A302" t="n">
        <v>5025</v>
      </c>
      <c r="B302" s="33" t="n">
        <v>27</v>
      </c>
      <c r="C302" s="7" t="n">
        <v>0</v>
      </c>
    </row>
    <row r="303" spans="1:5">
      <c r="A303" t="s">
        <v>4</v>
      </c>
      <c r="B303" s="4" t="s">
        <v>5</v>
      </c>
      <c r="C303" s="4" t="s">
        <v>7</v>
      </c>
    </row>
    <row r="304" spans="1:5">
      <c r="A304" t="n">
        <v>5027</v>
      </c>
      <c r="B304" s="33" t="n">
        <v>27</v>
      </c>
      <c r="C304" s="7" t="n">
        <v>1</v>
      </c>
    </row>
    <row r="305" spans="1:8">
      <c r="A305" t="s">
        <v>4</v>
      </c>
      <c r="B305" s="4" t="s">
        <v>5</v>
      </c>
      <c r="C305" s="4" t="s">
        <v>7</v>
      </c>
      <c r="D305" s="4" t="s">
        <v>11</v>
      </c>
      <c r="E305" s="4" t="s">
        <v>11</v>
      </c>
      <c r="F305" s="4" t="s">
        <v>11</v>
      </c>
      <c r="G305" s="4" t="s">
        <v>11</v>
      </c>
      <c r="H305" s="4" t="s">
        <v>7</v>
      </c>
    </row>
    <row r="306" spans="1:8">
      <c r="A306" t="n">
        <v>5029</v>
      </c>
      <c r="B306" s="31" t="n">
        <v>25</v>
      </c>
      <c r="C306" s="7" t="n">
        <v>5</v>
      </c>
      <c r="D306" s="7" t="n">
        <v>65535</v>
      </c>
      <c r="E306" s="7" t="n">
        <v>65535</v>
      </c>
      <c r="F306" s="7" t="n">
        <v>65535</v>
      </c>
      <c r="G306" s="7" t="n">
        <v>65535</v>
      </c>
      <c r="H306" s="7" t="n">
        <v>0</v>
      </c>
    </row>
    <row r="307" spans="1:8">
      <c r="A307" t="s">
        <v>4</v>
      </c>
      <c r="B307" s="4" t="s">
        <v>5</v>
      </c>
      <c r="C307" s="4" t="s">
        <v>7</v>
      </c>
      <c r="D307" s="4" t="s">
        <v>8</v>
      </c>
    </row>
    <row r="308" spans="1:8">
      <c r="A308" t="n">
        <v>5040</v>
      </c>
      <c r="B308" s="6" t="n">
        <v>2</v>
      </c>
      <c r="C308" s="7" t="n">
        <v>10</v>
      </c>
      <c r="D308" s="7" t="s">
        <v>51</v>
      </c>
    </row>
    <row r="309" spans="1:8">
      <c r="A309" t="s">
        <v>4</v>
      </c>
      <c r="B309" s="4" t="s">
        <v>5</v>
      </c>
      <c r="C309" s="4" t="s">
        <v>11</v>
      </c>
    </row>
    <row r="310" spans="1:8">
      <c r="A310" t="n">
        <v>5063</v>
      </c>
      <c r="B310" s="29" t="n">
        <v>16</v>
      </c>
      <c r="C310" s="7" t="n">
        <v>0</v>
      </c>
    </row>
    <row r="311" spans="1:8">
      <c r="A311" t="s">
        <v>4</v>
      </c>
      <c r="B311" s="4" t="s">
        <v>5</v>
      </c>
      <c r="C311" s="4" t="s">
        <v>7</v>
      </c>
      <c r="D311" s="4" t="s">
        <v>8</v>
      </c>
    </row>
    <row r="312" spans="1:8">
      <c r="A312" t="n">
        <v>5066</v>
      </c>
      <c r="B312" s="6" t="n">
        <v>2</v>
      </c>
      <c r="C312" s="7" t="n">
        <v>10</v>
      </c>
      <c r="D312" s="7" t="s">
        <v>52</v>
      </c>
    </row>
    <row r="313" spans="1:8">
      <c r="A313" t="s">
        <v>4</v>
      </c>
      <c r="B313" s="4" t="s">
        <v>5</v>
      </c>
      <c r="C313" s="4" t="s">
        <v>11</v>
      </c>
    </row>
    <row r="314" spans="1:8">
      <c r="A314" t="n">
        <v>5084</v>
      </c>
      <c r="B314" s="29" t="n">
        <v>16</v>
      </c>
      <c r="C314" s="7" t="n">
        <v>0</v>
      </c>
    </row>
    <row r="315" spans="1:8">
      <c r="A315" t="s">
        <v>4</v>
      </c>
      <c r="B315" s="4" t="s">
        <v>5</v>
      </c>
      <c r="C315" s="4" t="s">
        <v>7</v>
      </c>
      <c r="D315" s="4" t="s">
        <v>8</v>
      </c>
    </row>
    <row r="316" spans="1:8">
      <c r="A316" t="n">
        <v>5087</v>
      </c>
      <c r="B316" s="6" t="n">
        <v>2</v>
      </c>
      <c r="C316" s="7" t="n">
        <v>10</v>
      </c>
      <c r="D316" s="7" t="s">
        <v>53</v>
      </c>
    </row>
    <row r="317" spans="1:8">
      <c r="A317" t="s">
        <v>4</v>
      </c>
      <c r="B317" s="4" t="s">
        <v>5</v>
      </c>
      <c r="C317" s="4" t="s">
        <v>11</v>
      </c>
    </row>
    <row r="318" spans="1:8">
      <c r="A318" t="n">
        <v>5106</v>
      </c>
      <c r="B318" s="29" t="n">
        <v>16</v>
      </c>
      <c r="C318" s="7" t="n">
        <v>0</v>
      </c>
    </row>
    <row r="319" spans="1:8">
      <c r="A319" t="s">
        <v>4</v>
      </c>
      <c r="B319" s="4" t="s">
        <v>5</v>
      </c>
      <c r="C319" s="4" t="s">
        <v>7</v>
      </c>
    </row>
    <row r="320" spans="1:8">
      <c r="A320" t="n">
        <v>5109</v>
      </c>
      <c r="B320" s="30" t="n">
        <v>23</v>
      </c>
      <c r="C320" s="7" t="n">
        <v>20</v>
      </c>
    </row>
    <row r="321" spans="1:8">
      <c r="A321" t="s">
        <v>4</v>
      </c>
      <c r="B321" s="4" t="s">
        <v>5</v>
      </c>
    </row>
    <row r="322" spans="1:8">
      <c r="A322" t="n">
        <v>5111</v>
      </c>
      <c r="B322" s="5" t="n">
        <v>1</v>
      </c>
    </row>
    <row r="323" spans="1:8" s="3" customFormat="1" customHeight="0">
      <c r="A323" s="3" t="s">
        <v>2</v>
      </c>
      <c r="B323" s="3" t="s">
        <v>57</v>
      </c>
    </row>
    <row r="324" spans="1:8">
      <c r="A324" t="s">
        <v>4</v>
      </c>
      <c r="B324" s="4" t="s">
        <v>5</v>
      </c>
      <c r="C324" s="4" t="s">
        <v>7</v>
      </c>
      <c r="D324" s="4" t="s">
        <v>11</v>
      </c>
    </row>
    <row r="325" spans="1:8">
      <c r="A325" t="n">
        <v>5112</v>
      </c>
      <c r="B325" s="22" t="n">
        <v>22</v>
      </c>
      <c r="C325" s="7" t="n">
        <v>20</v>
      </c>
      <c r="D325" s="7" t="n">
        <v>0</v>
      </c>
    </row>
    <row r="326" spans="1:8">
      <c r="A326" t="s">
        <v>4</v>
      </c>
      <c r="B326" s="4" t="s">
        <v>5</v>
      </c>
      <c r="C326" s="4" t="s">
        <v>7</v>
      </c>
      <c r="D326" s="4" t="s">
        <v>11</v>
      </c>
      <c r="E326" s="4" t="s">
        <v>11</v>
      </c>
      <c r="F326" s="4" t="s">
        <v>11</v>
      </c>
      <c r="G326" s="4" t="s">
        <v>11</v>
      </c>
      <c r="H326" s="4" t="s">
        <v>7</v>
      </c>
    </row>
    <row r="327" spans="1:8">
      <c r="A327" t="n">
        <v>5116</v>
      </c>
      <c r="B327" s="31" t="n">
        <v>25</v>
      </c>
      <c r="C327" s="7" t="n">
        <v>5</v>
      </c>
      <c r="D327" s="7" t="n">
        <v>65535</v>
      </c>
      <c r="E327" s="7" t="n">
        <v>500</v>
      </c>
      <c r="F327" s="7" t="n">
        <v>800</v>
      </c>
      <c r="G327" s="7" t="n">
        <v>140</v>
      </c>
      <c r="H327" s="7" t="n">
        <v>0</v>
      </c>
    </row>
    <row r="328" spans="1:8">
      <c r="A328" t="s">
        <v>4</v>
      </c>
      <c r="B328" s="4" t="s">
        <v>5</v>
      </c>
      <c r="C328" s="4" t="s">
        <v>11</v>
      </c>
      <c r="D328" s="4" t="s">
        <v>7</v>
      </c>
      <c r="E328" s="4" t="s">
        <v>55</v>
      </c>
      <c r="F328" s="4" t="s">
        <v>7</v>
      </c>
      <c r="G328" s="4" t="s">
        <v>7</v>
      </c>
    </row>
    <row r="329" spans="1:8">
      <c r="A329" t="n">
        <v>5127</v>
      </c>
      <c r="B329" s="32" t="n">
        <v>24</v>
      </c>
      <c r="C329" s="7" t="n">
        <v>65533</v>
      </c>
      <c r="D329" s="7" t="n">
        <v>11</v>
      </c>
      <c r="E329" s="7" t="s">
        <v>56</v>
      </c>
      <c r="F329" s="7" t="n">
        <v>2</v>
      </c>
      <c r="G329" s="7" t="n">
        <v>0</v>
      </c>
    </row>
    <row r="330" spans="1:8">
      <c r="A330" t="s">
        <v>4</v>
      </c>
      <c r="B330" s="4" t="s">
        <v>5</v>
      </c>
    </row>
    <row r="331" spans="1:8">
      <c r="A331" t="n">
        <v>5204</v>
      </c>
      <c r="B331" s="27" t="n">
        <v>28</v>
      </c>
    </row>
    <row r="332" spans="1:8">
      <c r="A332" t="s">
        <v>4</v>
      </c>
      <c r="B332" s="4" t="s">
        <v>5</v>
      </c>
      <c r="C332" s="4" t="s">
        <v>7</v>
      </c>
    </row>
    <row r="333" spans="1:8">
      <c r="A333" t="n">
        <v>5205</v>
      </c>
      <c r="B333" s="33" t="n">
        <v>27</v>
      </c>
      <c r="C333" s="7" t="n">
        <v>0</v>
      </c>
    </row>
    <row r="334" spans="1:8">
      <c r="A334" t="s">
        <v>4</v>
      </c>
      <c r="B334" s="4" t="s">
        <v>5</v>
      </c>
      <c r="C334" s="4" t="s">
        <v>7</v>
      </c>
    </row>
    <row r="335" spans="1:8">
      <c r="A335" t="n">
        <v>5207</v>
      </c>
      <c r="B335" s="33" t="n">
        <v>27</v>
      </c>
      <c r="C335" s="7" t="n">
        <v>1</v>
      </c>
    </row>
    <row r="336" spans="1:8">
      <c r="A336" t="s">
        <v>4</v>
      </c>
      <c r="B336" s="4" t="s">
        <v>5</v>
      </c>
      <c r="C336" s="4" t="s">
        <v>7</v>
      </c>
      <c r="D336" s="4" t="s">
        <v>11</v>
      </c>
      <c r="E336" s="4" t="s">
        <v>11</v>
      </c>
      <c r="F336" s="4" t="s">
        <v>11</v>
      </c>
      <c r="G336" s="4" t="s">
        <v>11</v>
      </c>
      <c r="H336" s="4" t="s">
        <v>7</v>
      </c>
    </row>
    <row r="337" spans="1:8">
      <c r="A337" t="n">
        <v>5209</v>
      </c>
      <c r="B337" s="31" t="n">
        <v>25</v>
      </c>
      <c r="C337" s="7" t="n">
        <v>5</v>
      </c>
      <c r="D337" s="7" t="n">
        <v>65535</v>
      </c>
      <c r="E337" s="7" t="n">
        <v>65535</v>
      </c>
      <c r="F337" s="7" t="n">
        <v>65535</v>
      </c>
      <c r="G337" s="7" t="n">
        <v>65535</v>
      </c>
      <c r="H337" s="7" t="n">
        <v>0</v>
      </c>
    </row>
    <row r="338" spans="1:8">
      <c r="A338" t="s">
        <v>4</v>
      </c>
      <c r="B338" s="4" t="s">
        <v>5</v>
      </c>
      <c r="C338" s="4" t="s">
        <v>7</v>
      </c>
      <c r="D338" s="4" t="s">
        <v>8</v>
      </c>
    </row>
    <row r="339" spans="1:8">
      <c r="A339" t="n">
        <v>5220</v>
      </c>
      <c r="B339" s="6" t="n">
        <v>2</v>
      </c>
      <c r="C339" s="7" t="n">
        <v>10</v>
      </c>
      <c r="D339" s="7" t="s">
        <v>51</v>
      </c>
    </row>
    <row r="340" spans="1:8">
      <c r="A340" t="s">
        <v>4</v>
      </c>
      <c r="B340" s="4" t="s">
        <v>5</v>
      </c>
      <c r="C340" s="4" t="s">
        <v>11</v>
      </c>
    </row>
    <row r="341" spans="1:8">
      <c r="A341" t="n">
        <v>5243</v>
      </c>
      <c r="B341" s="29" t="n">
        <v>16</v>
      </c>
      <c r="C341" s="7" t="n">
        <v>0</v>
      </c>
    </row>
    <row r="342" spans="1:8">
      <c r="A342" t="s">
        <v>4</v>
      </c>
      <c r="B342" s="4" t="s">
        <v>5</v>
      </c>
      <c r="C342" s="4" t="s">
        <v>7</v>
      </c>
      <c r="D342" s="4" t="s">
        <v>8</v>
      </c>
    </row>
    <row r="343" spans="1:8">
      <c r="A343" t="n">
        <v>5246</v>
      </c>
      <c r="B343" s="6" t="n">
        <v>2</v>
      </c>
      <c r="C343" s="7" t="n">
        <v>10</v>
      </c>
      <c r="D343" s="7" t="s">
        <v>52</v>
      </c>
    </row>
    <row r="344" spans="1:8">
      <c r="A344" t="s">
        <v>4</v>
      </c>
      <c r="B344" s="4" t="s">
        <v>5</v>
      </c>
      <c r="C344" s="4" t="s">
        <v>11</v>
      </c>
    </row>
    <row r="345" spans="1:8">
      <c r="A345" t="n">
        <v>5264</v>
      </c>
      <c r="B345" s="29" t="n">
        <v>16</v>
      </c>
      <c r="C345" s="7" t="n">
        <v>0</v>
      </c>
    </row>
    <row r="346" spans="1:8">
      <c r="A346" t="s">
        <v>4</v>
      </c>
      <c r="B346" s="4" t="s">
        <v>5</v>
      </c>
      <c r="C346" s="4" t="s">
        <v>7</v>
      </c>
      <c r="D346" s="4" t="s">
        <v>8</v>
      </c>
    </row>
    <row r="347" spans="1:8">
      <c r="A347" t="n">
        <v>5267</v>
      </c>
      <c r="B347" s="6" t="n">
        <v>2</v>
      </c>
      <c r="C347" s="7" t="n">
        <v>10</v>
      </c>
      <c r="D347" s="7" t="s">
        <v>53</v>
      </c>
    </row>
    <row r="348" spans="1:8">
      <c r="A348" t="s">
        <v>4</v>
      </c>
      <c r="B348" s="4" t="s">
        <v>5</v>
      </c>
      <c r="C348" s="4" t="s">
        <v>11</v>
      </c>
    </row>
    <row r="349" spans="1:8">
      <c r="A349" t="n">
        <v>5286</v>
      </c>
      <c r="B349" s="29" t="n">
        <v>16</v>
      </c>
      <c r="C349" s="7" t="n">
        <v>0</v>
      </c>
    </row>
    <row r="350" spans="1:8">
      <c r="A350" t="s">
        <v>4</v>
      </c>
      <c r="B350" s="4" t="s">
        <v>5</v>
      </c>
      <c r="C350" s="4" t="s">
        <v>7</v>
      </c>
    </row>
    <row r="351" spans="1:8">
      <c r="A351" t="n">
        <v>5289</v>
      </c>
      <c r="B351" s="30" t="n">
        <v>23</v>
      </c>
      <c r="C351" s="7" t="n">
        <v>20</v>
      </c>
    </row>
    <row r="352" spans="1:8">
      <c r="A352" t="s">
        <v>4</v>
      </c>
      <c r="B352" s="4" t="s">
        <v>5</v>
      </c>
    </row>
    <row r="353" spans="1:8">
      <c r="A353" t="n">
        <v>5291</v>
      </c>
      <c r="B353" s="5" t="n">
        <v>1</v>
      </c>
    </row>
    <row r="354" spans="1:8" s="3" customFormat="1" customHeight="0">
      <c r="A354" s="3" t="s">
        <v>2</v>
      </c>
      <c r="B354" s="3" t="s">
        <v>58</v>
      </c>
    </row>
    <row r="355" spans="1:8">
      <c r="A355" t="s">
        <v>4</v>
      </c>
      <c r="B355" s="4" t="s">
        <v>5</v>
      </c>
      <c r="C355" s="4" t="s">
        <v>7</v>
      </c>
      <c r="D355" s="4" t="s">
        <v>11</v>
      </c>
    </row>
    <row r="356" spans="1:8">
      <c r="A356" t="n">
        <v>5292</v>
      </c>
      <c r="B356" s="22" t="n">
        <v>22</v>
      </c>
      <c r="C356" s="7" t="n">
        <v>20</v>
      </c>
      <c r="D356" s="7" t="n">
        <v>0</v>
      </c>
    </row>
    <row r="357" spans="1:8">
      <c r="A357" t="s">
        <v>4</v>
      </c>
      <c r="B357" s="4" t="s">
        <v>5</v>
      </c>
      <c r="C357" s="4" t="s">
        <v>7</v>
      </c>
      <c r="D357" s="4" t="s">
        <v>11</v>
      </c>
      <c r="E357" s="4" t="s">
        <v>11</v>
      </c>
      <c r="F357" s="4" t="s">
        <v>11</v>
      </c>
      <c r="G357" s="4" t="s">
        <v>11</v>
      </c>
      <c r="H357" s="4" t="s">
        <v>7</v>
      </c>
    </row>
    <row r="358" spans="1:8">
      <c r="A358" t="n">
        <v>5296</v>
      </c>
      <c r="B358" s="31" t="n">
        <v>25</v>
      </c>
      <c r="C358" s="7" t="n">
        <v>5</v>
      </c>
      <c r="D358" s="7" t="n">
        <v>65535</v>
      </c>
      <c r="E358" s="7" t="n">
        <v>500</v>
      </c>
      <c r="F358" s="7" t="n">
        <v>800</v>
      </c>
      <c r="G358" s="7" t="n">
        <v>140</v>
      </c>
      <c r="H358" s="7" t="n">
        <v>0</v>
      </c>
    </row>
    <row r="359" spans="1:8">
      <c r="A359" t="s">
        <v>4</v>
      </c>
      <c r="B359" s="4" t="s">
        <v>5</v>
      </c>
      <c r="C359" s="4" t="s">
        <v>11</v>
      </c>
      <c r="D359" s="4" t="s">
        <v>7</v>
      </c>
      <c r="E359" s="4" t="s">
        <v>55</v>
      </c>
      <c r="F359" s="4" t="s">
        <v>7</v>
      </c>
      <c r="G359" s="4" t="s">
        <v>7</v>
      </c>
    </row>
    <row r="360" spans="1:8">
      <c r="A360" t="n">
        <v>5307</v>
      </c>
      <c r="B360" s="32" t="n">
        <v>24</v>
      </c>
      <c r="C360" s="7" t="n">
        <v>65533</v>
      </c>
      <c r="D360" s="7" t="n">
        <v>11</v>
      </c>
      <c r="E360" s="7" t="s">
        <v>56</v>
      </c>
      <c r="F360" s="7" t="n">
        <v>2</v>
      </c>
      <c r="G360" s="7" t="n">
        <v>0</v>
      </c>
    </row>
    <row r="361" spans="1:8">
      <c r="A361" t="s">
        <v>4</v>
      </c>
      <c r="B361" s="4" t="s">
        <v>5</v>
      </c>
    </row>
    <row r="362" spans="1:8">
      <c r="A362" t="n">
        <v>5384</v>
      </c>
      <c r="B362" s="27" t="n">
        <v>28</v>
      </c>
    </row>
    <row r="363" spans="1:8">
      <c r="A363" t="s">
        <v>4</v>
      </c>
      <c r="B363" s="4" t="s">
        <v>5</v>
      </c>
      <c r="C363" s="4" t="s">
        <v>7</v>
      </c>
    </row>
    <row r="364" spans="1:8">
      <c r="A364" t="n">
        <v>5385</v>
      </c>
      <c r="B364" s="33" t="n">
        <v>27</v>
      </c>
      <c r="C364" s="7" t="n">
        <v>0</v>
      </c>
    </row>
    <row r="365" spans="1:8">
      <c r="A365" t="s">
        <v>4</v>
      </c>
      <c r="B365" s="4" t="s">
        <v>5</v>
      </c>
      <c r="C365" s="4" t="s">
        <v>7</v>
      </c>
    </row>
    <row r="366" spans="1:8">
      <c r="A366" t="n">
        <v>5387</v>
      </c>
      <c r="B366" s="33" t="n">
        <v>27</v>
      </c>
      <c r="C366" s="7" t="n">
        <v>1</v>
      </c>
    </row>
    <row r="367" spans="1:8">
      <c r="A367" t="s">
        <v>4</v>
      </c>
      <c r="B367" s="4" t="s">
        <v>5</v>
      </c>
      <c r="C367" s="4" t="s">
        <v>7</v>
      </c>
      <c r="D367" s="4" t="s">
        <v>11</v>
      </c>
      <c r="E367" s="4" t="s">
        <v>11</v>
      </c>
      <c r="F367" s="4" t="s">
        <v>11</v>
      </c>
      <c r="G367" s="4" t="s">
        <v>11</v>
      </c>
      <c r="H367" s="4" t="s">
        <v>7</v>
      </c>
    </row>
    <row r="368" spans="1:8">
      <c r="A368" t="n">
        <v>5389</v>
      </c>
      <c r="B368" s="31" t="n">
        <v>25</v>
      </c>
      <c r="C368" s="7" t="n">
        <v>5</v>
      </c>
      <c r="D368" s="7" t="n">
        <v>65535</v>
      </c>
      <c r="E368" s="7" t="n">
        <v>65535</v>
      </c>
      <c r="F368" s="7" t="n">
        <v>65535</v>
      </c>
      <c r="G368" s="7" t="n">
        <v>65535</v>
      </c>
      <c r="H368" s="7" t="n">
        <v>0</v>
      </c>
    </row>
    <row r="369" spans="1:8">
      <c r="A369" t="s">
        <v>4</v>
      </c>
      <c r="B369" s="4" t="s">
        <v>5</v>
      </c>
      <c r="C369" s="4" t="s">
        <v>7</v>
      </c>
      <c r="D369" s="4" t="s">
        <v>8</v>
      </c>
    </row>
    <row r="370" spans="1:8">
      <c r="A370" t="n">
        <v>5400</v>
      </c>
      <c r="B370" s="6" t="n">
        <v>2</v>
      </c>
      <c r="C370" s="7" t="n">
        <v>10</v>
      </c>
      <c r="D370" s="7" t="s">
        <v>51</v>
      </c>
    </row>
    <row r="371" spans="1:8">
      <c r="A371" t="s">
        <v>4</v>
      </c>
      <c r="B371" s="4" t="s">
        <v>5</v>
      </c>
      <c r="C371" s="4" t="s">
        <v>11</v>
      </c>
    </row>
    <row r="372" spans="1:8">
      <c r="A372" t="n">
        <v>5423</v>
      </c>
      <c r="B372" s="29" t="n">
        <v>16</v>
      </c>
      <c r="C372" s="7" t="n">
        <v>0</v>
      </c>
    </row>
    <row r="373" spans="1:8">
      <c r="A373" t="s">
        <v>4</v>
      </c>
      <c r="B373" s="4" t="s">
        <v>5</v>
      </c>
      <c r="C373" s="4" t="s">
        <v>7</v>
      </c>
      <c r="D373" s="4" t="s">
        <v>8</v>
      </c>
    </row>
    <row r="374" spans="1:8">
      <c r="A374" t="n">
        <v>5426</v>
      </c>
      <c r="B374" s="6" t="n">
        <v>2</v>
      </c>
      <c r="C374" s="7" t="n">
        <v>10</v>
      </c>
      <c r="D374" s="7" t="s">
        <v>52</v>
      </c>
    </row>
    <row r="375" spans="1:8">
      <c r="A375" t="s">
        <v>4</v>
      </c>
      <c r="B375" s="4" t="s">
        <v>5</v>
      </c>
      <c r="C375" s="4" t="s">
        <v>11</v>
      </c>
    </row>
    <row r="376" spans="1:8">
      <c r="A376" t="n">
        <v>5444</v>
      </c>
      <c r="B376" s="29" t="n">
        <v>16</v>
      </c>
      <c r="C376" s="7" t="n">
        <v>0</v>
      </c>
    </row>
    <row r="377" spans="1:8">
      <c r="A377" t="s">
        <v>4</v>
      </c>
      <c r="B377" s="4" t="s">
        <v>5</v>
      </c>
      <c r="C377" s="4" t="s">
        <v>7</v>
      </c>
      <c r="D377" s="4" t="s">
        <v>8</v>
      </c>
    </row>
    <row r="378" spans="1:8">
      <c r="A378" t="n">
        <v>5447</v>
      </c>
      <c r="B378" s="6" t="n">
        <v>2</v>
      </c>
      <c r="C378" s="7" t="n">
        <v>10</v>
      </c>
      <c r="D378" s="7" t="s">
        <v>53</v>
      </c>
    </row>
    <row r="379" spans="1:8">
      <c r="A379" t="s">
        <v>4</v>
      </c>
      <c r="B379" s="4" t="s">
        <v>5</v>
      </c>
      <c r="C379" s="4" t="s">
        <v>11</v>
      </c>
    </row>
    <row r="380" spans="1:8">
      <c r="A380" t="n">
        <v>5466</v>
      </c>
      <c r="B380" s="29" t="n">
        <v>16</v>
      </c>
      <c r="C380" s="7" t="n">
        <v>0</v>
      </c>
    </row>
    <row r="381" spans="1:8">
      <c r="A381" t="s">
        <v>4</v>
      </c>
      <c r="B381" s="4" t="s">
        <v>5</v>
      </c>
      <c r="C381" s="4" t="s">
        <v>7</v>
      </c>
    </row>
    <row r="382" spans="1:8">
      <c r="A382" t="n">
        <v>5469</v>
      </c>
      <c r="B382" s="30" t="n">
        <v>23</v>
      </c>
      <c r="C382" s="7" t="n">
        <v>20</v>
      </c>
    </row>
    <row r="383" spans="1:8">
      <c r="A383" t="s">
        <v>4</v>
      </c>
      <c r="B383" s="4" t="s">
        <v>5</v>
      </c>
    </row>
    <row r="384" spans="1:8">
      <c r="A384" t="n">
        <v>5471</v>
      </c>
      <c r="B384" s="5" t="n">
        <v>1</v>
      </c>
    </row>
    <row r="385" spans="1:4" s="3" customFormat="1" customHeight="0">
      <c r="A385" s="3" t="s">
        <v>2</v>
      </c>
      <c r="B385" s="3" t="s">
        <v>59</v>
      </c>
    </row>
    <row r="386" spans="1:4">
      <c r="A386" t="s">
        <v>4</v>
      </c>
      <c r="B386" s="4" t="s">
        <v>5</v>
      </c>
      <c r="C386" s="4" t="s">
        <v>7</v>
      </c>
      <c r="D386" s="4" t="s">
        <v>11</v>
      </c>
    </row>
    <row r="387" spans="1:4">
      <c r="A387" t="n">
        <v>5472</v>
      </c>
      <c r="B387" s="22" t="n">
        <v>22</v>
      </c>
      <c r="C387" s="7" t="n">
        <v>20</v>
      </c>
      <c r="D387" s="7" t="n">
        <v>0</v>
      </c>
    </row>
    <row r="388" spans="1:4">
      <c r="A388" t="s">
        <v>4</v>
      </c>
      <c r="B388" s="4" t="s">
        <v>5</v>
      </c>
      <c r="C388" s="4" t="s">
        <v>7</v>
      </c>
      <c r="D388" s="4" t="s">
        <v>11</v>
      </c>
      <c r="E388" s="4" t="s">
        <v>11</v>
      </c>
      <c r="F388" s="4" t="s">
        <v>11</v>
      </c>
      <c r="G388" s="4" t="s">
        <v>11</v>
      </c>
      <c r="H388" s="4" t="s">
        <v>7</v>
      </c>
    </row>
    <row r="389" spans="1:4">
      <c r="A389" t="n">
        <v>5476</v>
      </c>
      <c r="B389" s="31" t="n">
        <v>25</v>
      </c>
      <c r="C389" s="7" t="n">
        <v>5</v>
      </c>
      <c r="D389" s="7" t="n">
        <v>65535</v>
      </c>
      <c r="E389" s="7" t="n">
        <v>500</v>
      </c>
      <c r="F389" s="7" t="n">
        <v>800</v>
      </c>
      <c r="G389" s="7" t="n">
        <v>140</v>
      </c>
      <c r="H389" s="7" t="n">
        <v>0</v>
      </c>
    </row>
    <row r="390" spans="1:4">
      <c r="A390" t="s">
        <v>4</v>
      </c>
      <c r="B390" s="4" t="s">
        <v>5</v>
      </c>
      <c r="C390" s="4" t="s">
        <v>11</v>
      </c>
      <c r="D390" s="4" t="s">
        <v>7</v>
      </c>
      <c r="E390" s="4" t="s">
        <v>55</v>
      </c>
      <c r="F390" s="4" t="s">
        <v>7</v>
      </c>
      <c r="G390" s="4" t="s">
        <v>7</v>
      </c>
    </row>
    <row r="391" spans="1:4">
      <c r="A391" t="n">
        <v>5487</v>
      </c>
      <c r="B391" s="32" t="n">
        <v>24</v>
      </c>
      <c r="C391" s="7" t="n">
        <v>65533</v>
      </c>
      <c r="D391" s="7" t="n">
        <v>11</v>
      </c>
      <c r="E391" s="7" t="s">
        <v>56</v>
      </c>
      <c r="F391" s="7" t="n">
        <v>2</v>
      </c>
      <c r="G391" s="7" t="n">
        <v>0</v>
      </c>
    </row>
    <row r="392" spans="1:4">
      <c r="A392" t="s">
        <v>4</v>
      </c>
      <c r="B392" s="4" t="s">
        <v>5</v>
      </c>
    </row>
    <row r="393" spans="1:4">
      <c r="A393" t="n">
        <v>5564</v>
      </c>
      <c r="B393" s="27" t="n">
        <v>28</v>
      </c>
    </row>
    <row r="394" spans="1:4">
      <c r="A394" t="s">
        <v>4</v>
      </c>
      <c r="B394" s="4" t="s">
        <v>5</v>
      </c>
      <c r="C394" s="4" t="s">
        <v>7</v>
      </c>
    </row>
    <row r="395" spans="1:4">
      <c r="A395" t="n">
        <v>5565</v>
      </c>
      <c r="B395" s="33" t="n">
        <v>27</v>
      </c>
      <c r="C395" s="7" t="n">
        <v>0</v>
      </c>
    </row>
    <row r="396" spans="1:4">
      <c r="A396" t="s">
        <v>4</v>
      </c>
      <c r="B396" s="4" t="s">
        <v>5</v>
      </c>
      <c r="C396" s="4" t="s">
        <v>7</v>
      </c>
    </row>
    <row r="397" spans="1:4">
      <c r="A397" t="n">
        <v>5567</v>
      </c>
      <c r="B397" s="33" t="n">
        <v>27</v>
      </c>
      <c r="C397" s="7" t="n">
        <v>1</v>
      </c>
    </row>
    <row r="398" spans="1:4">
      <c r="A398" t="s">
        <v>4</v>
      </c>
      <c r="B398" s="4" t="s">
        <v>5</v>
      </c>
      <c r="C398" s="4" t="s">
        <v>7</v>
      </c>
      <c r="D398" s="4" t="s">
        <v>11</v>
      </c>
      <c r="E398" s="4" t="s">
        <v>11</v>
      </c>
      <c r="F398" s="4" t="s">
        <v>11</v>
      </c>
      <c r="G398" s="4" t="s">
        <v>11</v>
      </c>
      <c r="H398" s="4" t="s">
        <v>7</v>
      </c>
    </row>
    <row r="399" spans="1:4">
      <c r="A399" t="n">
        <v>5569</v>
      </c>
      <c r="B399" s="31" t="n">
        <v>25</v>
      </c>
      <c r="C399" s="7" t="n">
        <v>5</v>
      </c>
      <c r="D399" s="7" t="n">
        <v>65535</v>
      </c>
      <c r="E399" s="7" t="n">
        <v>65535</v>
      </c>
      <c r="F399" s="7" t="n">
        <v>65535</v>
      </c>
      <c r="G399" s="7" t="n">
        <v>65535</v>
      </c>
      <c r="H399" s="7" t="n">
        <v>0</v>
      </c>
    </row>
    <row r="400" spans="1:4">
      <c r="A400" t="s">
        <v>4</v>
      </c>
      <c r="B400" s="4" t="s">
        <v>5</v>
      </c>
      <c r="C400" s="4" t="s">
        <v>7</v>
      </c>
      <c r="D400" s="4" t="s">
        <v>8</v>
      </c>
    </row>
    <row r="401" spans="1:8">
      <c r="A401" t="n">
        <v>5580</v>
      </c>
      <c r="B401" s="6" t="n">
        <v>2</v>
      </c>
      <c r="C401" s="7" t="n">
        <v>10</v>
      </c>
      <c r="D401" s="7" t="s">
        <v>51</v>
      </c>
    </row>
    <row r="402" spans="1:8">
      <c r="A402" t="s">
        <v>4</v>
      </c>
      <c r="B402" s="4" t="s">
        <v>5</v>
      </c>
      <c r="C402" s="4" t="s">
        <v>11</v>
      </c>
    </row>
    <row r="403" spans="1:8">
      <c r="A403" t="n">
        <v>5603</v>
      </c>
      <c r="B403" s="29" t="n">
        <v>16</v>
      </c>
      <c r="C403" s="7" t="n">
        <v>0</v>
      </c>
    </row>
    <row r="404" spans="1:8">
      <c r="A404" t="s">
        <v>4</v>
      </c>
      <c r="B404" s="4" t="s">
        <v>5</v>
      </c>
      <c r="C404" s="4" t="s">
        <v>7</v>
      </c>
      <c r="D404" s="4" t="s">
        <v>8</v>
      </c>
    </row>
    <row r="405" spans="1:8">
      <c r="A405" t="n">
        <v>5606</v>
      </c>
      <c r="B405" s="6" t="n">
        <v>2</v>
      </c>
      <c r="C405" s="7" t="n">
        <v>10</v>
      </c>
      <c r="D405" s="7" t="s">
        <v>52</v>
      </c>
    </row>
    <row r="406" spans="1:8">
      <c r="A406" t="s">
        <v>4</v>
      </c>
      <c r="B406" s="4" t="s">
        <v>5</v>
      </c>
      <c r="C406" s="4" t="s">
        <v>11</v>
      </c>
    </row>
    <row r="407" spans="1:8">
      <c r="A407" t="n">
        <v>5624</v>
      </c>
      <c r="B407" s="29" t="n">
        <v>16</v>
      </c>
      <c r="C407" s="7" t="n">
        <v>0</v>
      </c>
    </row>
    <row r="408" spans="1:8">
      <c r="A408" t="s">
        <v>4</v>
      </c>
      <c r="B408" s="4" t="s">
        <v>5</v>
      </c>
      <c r="C408" s="4" t="s">
        <v>7</v>
      </c>
      <c r="D408" s="4" t="s">
        <v>8</v>
      </c>
    </row>
    <row r="409" spans="1:8">
      <c r="A409" t="n">
        <v>5627</v>
      </c>
      <c r="B409" s="6" t="n">
        <v>2</v>
      </c>
      <c r="C409" s="7" t="n">
        <v>10</v>
      </c>
      <c r="D409" s="7" t="s">
        <v>53</v>
      </c>
    </row>
    <row r="410" spans="1:8">
      <c r="A410" t="s">
        <v>4</v>
      </c>
      <c r="B410" s="4" t="s">
        <v>5</v>
      </c>
      <c r="C410" s="4" t="s">
        <v>11</v>
      </c>
    </row>
    <row r="411" spans="1:8">
      <c r="A411" t="n">
        <v>5646</v>
      </c>
      <c r="B411" s="29" t="n">
        <v>16</v>
      </c>
      <c r="C411" s="7" t="n">
        <v>0</v>
      </c>
    </row>
    <row r="412" spans="1:8">
      <c r="A412" t="s">
        <v>4</v>
      </c>
      <c r="B412" s="4" t="s">
        <v>5</v>
      </c>
      <c r="C412" s="4" t="s">
        <v>7</v>
      </c>
    </row>
    <row r="413" spans="1:8">
      <c r="A413" t="n">
        <v>5649</v>
      </c>
      <c r="B413" s="30" t="n">
        <v>23</v>
      </c>
      <c r="C413" s="7" t="n">
        <v>20</v>
      </c>
    </row>
    <row r="414" spans="1:8">
      <c r="A414" t="s">
        <v>4</v>
      </c>
      <c r="B414" s="4" t="s">
        <v>5</v>
      </c>
    </row>
    <row r="415" spans="1:8">
      <c r="A415" t="n">
        <v>5651</v>
      </c>
      <c r="B415" s="5" t="n">
        <v>1</v>
      </c>
    </row>
    <row r="416" spans="1:8" s="3" customFormat="1" customHeight="0">
      <c r="A416" s="3" t="s">
        <v>2</v>
      </c>
      <c r="B416" s="3" t="s">
        <v>60</v>
      </c>
    </row>
    <row r="417" spans="1:4">
      <c r="A417" t="s">
        <v>4</v>
      </c>
      <c r="B417" s="4" t="s">
        <v>5</v>
      </c>
      <c r="C417" s="4" t="s">
        <v>7</v>
      </c>
      <c r="D417" s="4" t="s">
        <v>11</v>
      </c>
    </row>
    <row r="418" spans="1:4">
      <c r="A418" t="n">
        <v>5652</v>
      </c>
      <c r="B418" s="22" t="n">
        <v>22</v>
      </c>
      <c r="C418" s="7" t="n">
        <v>20</v>
      </c>
      <c r="D418" s="7" t="n">
        <v>0</v>
      </c>
    </row>
    <row r="419" spans="1:4">
      <c r="A419" t="s">
        <v>4</v>
      </c>
      <c r="B419" s="4" t="s">
        <v>5</v>
      </c>
      <c r="C419" s="4" t="s">
        <v>7</v>
      </c>
      <c r="D419" s="4" t="s">
        <v>11</v>
      </c>
      <c r="E419" s="4" t="s">
        <v>11</v>
      </c>
      <c r="F419" s="4" t="s">
        <v>11</v>
      </c>
      <c r="G419" s="4" t="s">
        <v>11</v>
      </c>
      <c r="H419" s="4" t="s">
        <v>7</v>
      </c>
    </row>
    <row r="420" spans="1:4">
      <c r="A420" t="n">
        <v>5656</v>
      </c>
      <c r="B420" s="31" t="n">
        <v>25</v>
      </c>
      <c r="C420" s="7" t="n">
        <v>5</v>
      </c>
      <c r="D420" s="7" t="n">
        <v>65535</v>
      </c>
      <c r="E420" s="7" t="n">
        <v>500</v>
      </c>
      <c r="F420" s="7" t="n">
        <v>800</v>
      </c>
      <c r="G420" s="7" t="n">
        <v>140</v>
      </c>
      <c r="H420" s="7" t="n">
        <v>0</v>
      </c>
    </row>
    <row r="421" spans="1:4">
      <c r="A421" t="s">
        <v>4</v>
      </c>
      <c r="B421" s="4" t="s">
        <v>5</v>
      </c>
      <c r="C421" s="4" t="s">
        <v>11</v>
      </c>
      <c r="D421" s="4" t="s">
        <v>7</v>
      </c>
      <c r="E421" s="4" t="s">
        <v>55</v>
      </c>
      <c r="F421" s="4" t="s">
        <v>7</v>
      </c>
      <c r="G421" s="4" t="s">
        <v>7</v>
      </c>
    </row>
    <row r="422" spans="1:4">
      <c r="A422" t="n">
        <v>5667</v>
      </c>
      <c r="B422" s="32" t="n">
        <v>24</v>
      </c>
      <c r="C422" s="7" t="n">
        <v>65533</v>
      </c>
      <c r="D422" s="7" t="n">
        <v>11</v>
      </c>
      <c r="E422" s="7" t="s">
        <v>56</v>
      </c>
      <c r="F422" s="7" t="n">
        <v>2</v>
      </c>
      <c r="G422" s="7" t="n">
        <v>0</v>
      </c>
    </row>
    <row r="423" spans="1:4">
      <c r="A423" t="s">
        <v>4</v>
      </c>
      <c r="B423" s="4" t="s">
        <v>5</v>
      </c>
    </row>
    <row r="424" spans="1:4">
      <c r="A424" t="n">
        <v>5744</v>
      </c>
      <c r="B424" s="27" t="n">
        <v>28</v>
      </c>
    </row>
    <row r="425" spans="1:4">
      <c r="A425" t="s">
        <v>4</v>
      </c>
      <c r="B425" s="4" t="s">
        <v>5</v>
      </c>
      <c r="C425" s="4" t="s">
        <v>7</v>
      </c>
    </row>
    <row r="426" spans="1:4">
      <c r="A426" t="n">
        <v>5745</v>
      </c>
      <c r="B426" s="33" t="n">
        <v>27</v>
      </c>
      <c r="C426" s="7" t="n">
        <v>0</v>
      </c>
    </row>
    <row r="427" spans="1:4">
      <c r="A427" t="s">
        <v>4</v>
      </c>
      <c r="B427" s="4" t="s">
        <v>5</v>
      </c>
      <c r="C427" s="4" t="s">
        <v>7</v>
      </c>
    </row>
    <row r="428" spans="1:4">
      <c r="A428" t="n">
        <v>5747</v>
      </c>
      <c r="B428" s="33" t="n">
        <v>27</v>
      </c>
      <c r="C428" s="7" t="n">
        <v>1</v>
      </c>
    </row>
    <row r="429" spans="1:4">
      <c r="A429" t="s">
        <v>4</v>
      </c>
      <c r="B429" s="4" t="s">
        <v>5</v>
      </c>
      <c r="C429" s="4" t="s">
        <v>7</v>
      </c>
      <c r="D429" s="4" t="s">
        <v>11</v>
      </c>
      <c r="E429" s="4" t="s">
        <v>11</v>
      </c>
      <c r="F429" s="4" t="s">
        <v>11</v>
      </c>
      <c r="G429" s="4" t="s">
        <v>11</v>
      </c>
      <c r="H429" s="4" t="s">
        <v>7</v>
      </c>
    </row>
    <row r="430" spans="1:4">
      <c r="A430" t="n">
        <v>5749</v>
      </c>
      <c r="B430" s="31" t="n">
        <v>25</v>
      </c>
      <c r="C430" s="7" t="n">
        <v>5</v>
      </c>
      <c r="D430" s="7" t="n">
        <v>65535</v>
      </c>
      <c r="E430" s="7" t="n">
        <v>65535</v>
      </c>
      <c r="F430" s="7" t="n">
        <v>65535</v>
      </c>
      <c r="G430" s="7" t="n">
        <v>65535</v>
      </c>
      <c r="H430" s="7" t="n">
        <v>0</v>
      </c>
    </row>
    <row r="431" spans="1:4">
      <c r="A431" t="s">
        <v>4</v>
      </c>
      <c r="B431" s="4" t="s">
        <v>5</v>
      </c>
      <c r="C431" s="4" t="s">
        <v>7</v>
      </c>
      <c r="D431" s="4" t="s">
        <v>8</v>
      </c>
    </row>
    <row r="432" spans="1:4">
      <c r="A432" t="n">
        <v>5760</v>
      </c>
      <c r="B432" s="6" t="n">
        <v>2</v>
      </c>
      <c r="C432" s="7" t="n">
        <v>10</v>
      </c>
      <c r="D432" s="7" t="s">
        <v>51</v>
      </c>
    </row>
    <row r="433" spans="1:8">
      <c r="A433" t="s">
        <v>4</v>
      </c>
      <c r="B433" s="4" t="s">
        <v>5</v>
      </c>
      <c r="C433" s="4" t="s">
        <v>11</v>
      </c>
    </row>
    <row r="434" spans="1:8">
      <c r="A434" t="n">
        <v>5783</v>
      </c>
      <c r="B434" s="29" t="n">
        <v>16</v>
      </c>
      <c r="C434" s="7" t="n">
        <v>0</v>
      </c>
    </row>
    <row r="435" spans="1:8">
      <c r="A435" t="s">
        <v>4</v>
      </c>
      <c r="B435" s="4" t="s">
        <v>5</v>
      </c>
      <c r="C435" s="4" t="s">
        <v>7</v>
      </c>
      <c r="D435" s="4" t="s">
        <v>8</v>
      </c>
    </row>
    <row r="436" spans="1:8">
      <c r="A436" t="n">
        <v>5786</v>
      </c>
      <c r="B436" s="6" t="n">
        <v>2</v>
      </c>
      <c r="C436" s="7" t="n">
        <v>10</v>
      </c>
      <c r="D436" s="7" t="s">
        <v>52</v>
      </c>
    </row>
    <row r="437" spans="1:8">
      <c r="A437" t="s">
        <v>4</v>
      </c>
      <c r="B437" s="4" t="s">
        <v>5</v>
      </c>
      <c r="C437" s="4" t="s">
        <v>11</v>
      </c>
    </row>
    <row r="438" spans="1:8">
      <c r="A438" t="n">
        <v>5804</v>
      </c>
      <c r="B438" s="29" t="n">
        <v>16</v>
      </c>
      <c r="C438" s="7" t="n">
        <v>0</v>
      </c>
    </row>
    <row r="439" spans="1:8">
      <c r="A439" t="s">
        <v>4</v>
      </c>
      <c r="B439" s="4" t="s">
        <v>5</v>
      </c>
      <c r="C439" s="4" t="s">
        <v>7</v>
      </c>
      <c r="D439" s="4" t="s">
        <v>8</v>
      </c>
    </row>
    <row r="440" spans="1:8">
      <c r="A440" t="n">
        <v>5807</v>
      </c>
      <c r="B440" s="6" t="n">
        <v>2</v>
      </c>
      <c r="C440" s="7" t="n">
        <v>10</v>
      </c>
      <c r="D440" s="7" t="s">
        <v>53</v>
      </c>
    </row>
    <row r="441" spans="1:8">
      <c r="A441" t="s">
        <v>4</v>
      </c>
      <c r="B441" s="4" t="s">
        <v>5</v>
      </c>
      <c r="C441" s="4" t="s">
        <v>11</v>
      </c>
    </row>
    <row r="442" spans="1:8">
      <c r="A442" t="n">
        <v>5826</v>
      </c>
      <c r="B442" s="29" t="n">
        <v>16</v>
      </c>
      <c r="C442" s="7" t="n">
        <v>0</v>
      </c>
    </row>
    <row r="443" spans="1:8">
      <c r="A443" t="s">
        <v>4</v>
      </c>
      <c r="B443" s="4" t="s">
        <v>5</v>
      </c>
      <c r="C443" s="4" t="s">
        <v>7</v>
      </c>
    </row>
    <row r="444" spans="1:8">
      <c r="A444" t="n">
        <v>5829</v>
      </c>
      <c r="B444" s="30" t="n">
        <v>23</v>
      </c>
      <c r="C444" s="7" t="n">
        <v>20</v>
      </c>
    </row>
    <row r="445" spans="1:8">
      <c r="A445" t="s">
        <v>4</v>
      </c>
      <c r="B445" s="4" t="s">
        <v>5</v>
      </c>
    </row>
    <row r="446" spans="1:8">
      <c r="A446" t="n">
        <v>5831</v>
      </c>
      <c r="B446" s="5" t="n">
        <v>1</v>
      </c>
    </row>
    <row r="447" spans="1:8" s="3" customFormat="1" customHeight="0">
      <c r="A447" s="3" t="s">
        <v>2</v>
      </c>
      <c r="B447" s="3" t="s">
        <v>61</v>
      </c>
    </row>
    <row r="448" spans="1:8">
      <c r="A448" t="s">
        <v>4</v>
      </c>
      <c r="B448" s="4" t="s">
        <v>5</v>
      </c>
      <c r="C448" s="4" t="s">
        <v>7</v>
      </c>
      <c r="D448" s="4" t="s">
        <v>11</v>
      </c>
    </row>
    <row r="449" spans="1:4">
      <c r="A449" t="n">
        <v>5832</v>
      </c>
      <c r="B449" s="22" t="n">
        <v>22</v>
      </c>
      <c r="C449" s="7" t="n">
        <v>20</v>
      </c>
      <c r="D449" s="7" t="n">
        <v>0</v>
      </c>
    </row>
    <row r="450" spans="1:4">
      <c r="A450" t="s">
        <v>4</v>
      </c>
      <c r="B450" s="4" t="s">
        <v>5</v>
      </c>
      <c r="C450" s="4" t="s">
        <v>7</v>
      </c>
      <c r="D450" s="4" t="s">
        <v>11</v>
      </c>
      <c r="E450" s="4" t="s">
        <v>11</v>
      </c>
      <c r="F450" s="4" t="s">
        <v>11</v>
      </c>
      <c r="G450" s="4" t="s">
        <v>11</v>
      </c>
      <c r="H450" s="4" t="s">
        <v>7</v>
      </c>
    </row>
    <row r="451" spans="1:4">
      <c r="A451" t="n">
        <v>5836</v>
      </c>
      <c r="B451" s="31" t="n">
        <v>25</v>
      </c>
      <c r="C451" s="7" t="n">
        <v>5</v>
      </c>
      <c r="D451" s="7" t="n">
        <v>65535</v>
      </c>
      <c r="E451" s="7" t="n">
        <v>500</v>
      </c>
      <c r="F451" s="7" t="n">
        <v>800</v>
      </c>
      <c r="G451" s="7" t="n">
        <v>140</v>
      </c>
      <c r="H451" s="7" t="n">
        <v>0</v>
      </c>
    </row>
    <row r="452" spans="1:4">
      <c r="A452" t="s">
        <v>4</v>
      </c>
      <c r="B452" s="4" t="s">
        <v>5</v>
      </c>
      <c r="C452" s="4" t="s">
        <v>11</v>
      </c>
      <c r="D452" s="4" t="s">
        <v>7</v>
      </c>
      <c r="E452" s="4" t="s">
        <v>55</v>
      </c>
      <c r="F452" s="4" t="s">
        <v>7</v>
      </c>
      <c r="G452" s="4" t="s">
        <v>7</v>
      </c>
    </row>
    <row r="453" spans="1:4">
      <c r="A453" t="n">
        <v>5847</v>
      </c>
      <c r="B453" s="32" t="n">
        <v>24</v>
      </c>
      <c r="C453" s="7" t="n">
        <v>65533</v>
      </c>
      <c r="D453" s="7" t="n">
        <v>11</v>
      </c>
      <c r="E453" s="7" t="s">
        <v>56</v>
      </c>
      <c r="F453" s="7" t="n">
        <v>2</v>
      </c>
      <c r="G453" s="7" t="n">
        <v>0</v>
      </c>
    </row>
    <row r="454" spans="1:4">
      <c r="A454" t="s">
        <v>4</v>
      </c>
      <c r="B454" s="4" t="s">
        <v>5</v>
      </c>
    </row>
    <row r="455" spans="1:4">
      <c r="A455" t="n">
        <v>5924</v>
      </c>
      <c r="B455" s="27" t="n">
        <v>28</v>
      </c>
    </row>
    <row r="456" spans="1:4">
      <c r="A456" t="s">
        <v>4</v>
      </c>
      <c r="B456" s="4" t="s">
        <v>5</v>
      </c>
      <c r="C456" s="4" t="s">
        <v>7</v>
      </c>
    </row>
    <row r="457" spans="1:4">
      <c r="A457" t="n">
        <v>5925</v>
      </c>
      <c r="B457" s="33" t="n">
        <v>27</v>
      </c>
      <c r="C457" s="7" t="n">
        <v>0</v>
      </c>
    </row>
    <row r="458" spans="1:4">
      <c r="A458" t="s">
        <v>4</v>
      </c>
      <c r="B458" s="4" t="s">
        <v>5</v>
      </c>
      <c r="C458" s="4" t="s">
        <v>7</v>
      </c>
    </row>
    <row r="459" spans="1:4">
      <c r="A459" t="n">
        <v>5927</v>
      </c>
      <c r="B459" s="33" t="n">
        <v>27</v>
      </c>
      <c r="C459" s="7" t="n">
        <v>1</v>
      </c>
    </row>
    <row r="460" spans="1:4">
      <c r="A460" t="s">
        <v>4</v>
      </c>
      <c r="B460" s="4" t="s">
        <v>5</v>
      </c>
      <c r="C460" s="4" t="s">
        <v>7</v>
      </c>
      <c r="D460" s="4" t="s">
        <v>11</v>
      </c>
      <c r="E460" s="4" t="s">
        <v>11</v>
      </c>
      <c r="F460" s="4" t="s">
        <v>11</v>
      </c>
      <c r="G460" s="4" t="s">
        <v>11</v>
      </c>
      <c r="H460" s="4" t="s">
        <v>7</v>
      </c>
    </row>
    <row r="461" spans="1:4">
      <c r="A461" t="n">
        <v>5929</v>
      </c>
      <c r="B461" s="31" t="n">
        <v>25</v>
      </c>
      <c r="C461" s="7" t="n">
        <v>5</v>
      </c>
      <c r="D461" s="7" t="n">
        <v>65535</v>
      </c>
      <c r="E461" s="7" t="n">
        <v>65535</v>
      </c>
      <c r="F461" s="7" t="n">
        <v>65535</v>
      </c>
      <c r="G461" s="7" t="n">
        <v>65535</v>
      </c>
      <c r="H461" s="7" t="n">
        <v>0</v>
      </c>
    </row>
    <row r="462" spans="1:4">
      <c r="A462" t="s">
        <v>4</v>
      </c>
      <c r="B462" s="4" t="s">
        <v>5</v>
      </c>
      <c r="C462" s="4" t="s">
        <v>7</v>
      </c>
      <c r="D462" s="4" t="s">
        <v>8</v>
      </c>
    </row>
    <row r="463" spans="1:4">
      <c r="A463" t="n">
        <v>5940</v>
      </c>
      <c r="B463" s="6" t="n">
        <v>2</v>
      </c>
      <c r="C463" s="7" t="n">
        <v>10</v>
      </c>
      <c r="D463" s="7" t="s">
        <v>51</v>
      </c>
    </row>
    <row r="464" spans="1:4">
      <c r="A464" t="s">
        <v>4</v>
      </c>
      <c r="B464" s="4" t="s">
        <v>5</v>
      </c>
      <c r="C464" s="4" t="s">
        <v>11</v>
      </c>
    </row>
    <row r="465" spans="1:8">
      <c r="A465" t="n">
        <v>5963</v>
      </c>
      <c r="B465" s="29" t="n">
        <v>16</v>
      </c>
      <c r="C465" s="7" t="n">
        <v>0</v>
      </c>
    </row>
    <row r="466" spans="1:8">
      <c r="A466" t="s">
        <v>4</v>
      </c>
      <c r="B466" s="4" t="s">
        <v>5</v>
      </c>
      <c r="C466" s="4" t="s">
        <v>7</v>
      </c>
      <c r="D466" s="4" t="s">
        <v>8</v>
      </c>
    </row>
    <row r="467" spans="1:8">
      <c r="A467" t="n">
        <v>5966</v>
      </c>
      <c r="B467" s="6" t="n">
        <v>2</v>
      </c>
      <c r="C467" s="7" t="n">
        <v>10</v>
      </c>
      <c r="D467" s="7" t="s">
        <v>52</v>
      </c>
    </row>
    <row r="468" spans="1:8">
      <c r="A468" t="s">
        <v>4</v>
      </c>
      <c r="B468" s="4" t="s">
        <v>5</v>
      </c>
      <c r="C468" s="4" t="s">
        <v>11</v>
      </c>
    </row>
    <row r="469" spans="1:8">
      <c r="A469" t="n">
        <v>5984</v>
      </c>
      <c r="B469" s="29" t="n">
        <v>16</v>
      </c>
      <c r="C469" s="7" t="n">
        <v>0</v>
      </c>
    </row>
    <row r="470" spans="1:8">
      <c r="A470" t="s">
        <v>4</v>
      </c>
      <c r="B470" s="4" t="s">
        <v>5</v>
      </c>
      <c r="C470" s="4" t="s">
        <v>7</v>
      </c>
      <c r="D470" s="4" t="s">
        <v>8</v>
      </c>
    </row>
    <row r="471" spans="1:8">
      <c r="A471" t="n">
        <v>5987</v>
      </c>
      <c r="B471" s="6" t="n">
        <v>2</v>
      </c>
      <c r="C471" s="7" t="n">
        <v>10</v>
      </c>
      <c r="D471" s="7" t="s">
        <v>53</v>
      </c>
    </row>
    <row r="472" spans="1:8">
      <c r="A472" t="s">
        <v>4</v>
      </c>
      <c r="B472" s="4" t="s">
        <v>5</v>
      </c>
      <c r="C472" s="4" t="s">
        <v>11</v>
      </c>
    </row>
    <row r="473" spans="1:8">
      <c r="A473" t="n">
        <v>6006</v>
      </c>
      <c r="B473" s="29" t="n">
        <v>16</v>
      </c>
      <c r="C473" s="7" t="n">
        <v>0</v>
      </c>
    </row>
    <row r="474" spans="1:8">
      <c r="A474" t="s">
        <v>4</v>
      </c>
      <c r="B474" s="4" t="s">
        <v>5</v>
      </c>
      <c r="C474" s="4" t="s">
        <v>7</v>
      </c>
    </row>
    <row r="475" spans="1:8">
      <c r="A475" t="n">
        <v>6009</v>
      </c>
      <c r="B475" s="30" t="n">
        <v>23</v>
      </c>
      <c r="C475" s="7" t="n">
        <v>20</v>
      </c>
    </row>
    <row r="476" spans="1:8">
      <c r="A476" t="s">
        <v>4</v>
      </c>
      <c r="B476" s="4" t="s">
        <v>5</v>
      </c>
    </row>
    <row r="477" spans="1:8">
      <c r="A477" t="n">
        <v>6011</v>
      </c>
      <c r="B477" s="5" t="n">
        <v>1</v>
      </c>
    </row>
    <row r="478" spans="1:8" s="3" customFormat="1" customHeight="0">
      <c r="A478" s="3" t="s">
        <v>2</v>
      </c>
      <c r="B478" s="3" t="s">
        <v>62</v>
      </c>
    </row>
    <row r="479" spans="1:8">
      <c r="A479" t="s">
        <v>4</v>
      </c>
      <c r="B479" s="4" t="s">
        <v>5</v>
      </c>
      <c r="C479" s="4" t="s">
        <v>7</v>
      </c>
      <c r="D479" s="4" t="s">
        <v>11</v>
      </c>
    </row>
    <row r="480" spans="1:8">
      <c r="A480" t="n">
        <v>6012</v>
      </c>
      <c r="B480" s="22" t="n">
        <v>22</v>
      </c>
      <c r="C480" s="7" t="n">
        <v>20</v>
      </c>
      <c r="D480" s="7" t="n">
        <v>0</v>
      </c>
    </row>
    <row r="481" spans="1:4">
      <c r="A481" t="s">
        <v>4</v>
      </c>
      <c r="B481" s="4" t="s">
        <v>5</v>
      </c>
      <c r="C481" s="4" t="s">
        <v>7</v>
      </c>
      <c r="D481" s="4" t="s">
        <v>11</v>
      </c>
      <c r="E481" s="4" t="s">
        <v>11</v>
      </c>
      <c r="F481" s="4" t="s">
        <v>11</v>
      </c>
      <c r="G481" s="4" t="s">
        <v>11</v>
      </c>
      <c r="H481" s="4" t="s">
        <v>7</v>
      </c>
    </row>
    <row r="482" spans="1:4">
      <c r="A482" t="n">
        <v>6016</v>
      </c>
      <c r="B482" s="31" t="n">
        <v>25</v>
      </c>
      <c r="C482" s="7" t="n">
        <v>5</v>
      </c>
      <c r="D482" s="7" t="n">
        <v>65535</v>
      </c>
      <c r="E482" s="7" t="n">
        <v>500</v>
      </c>
      <c r="F482" s="7" t="n">
        <v>800</v>
      </c>
      <c r="G482" s="7" t="n">
        <v>140</v>
      </c>
      <c r="H482" s="7" t="n">
        <v>0</v>
      </c>
    </row>
    <row r="483" spans="1:4">
      <c r="A483" t="s">
        <v>4</v>
      </c>
      <c r="B483" s="4" t="s">
        <v>5</v>
      </c>
      <c r="C483" s="4" t="s">
        <v>11</v>
      </c>
      <c r="D483" s="4" t="s">
        <v>7</v>
      </c>
      <c r="E483" s="4" t="s">
        <v>55</v>
      </c>
      <c r="F483" s="4" t="s">
        <v>7</v>
      </c>
      <c r="G483" s="4" t="s">
        <v>7</v>
      </c>
    </row>
    <row r="484" spans="1:4">
      <c r="A484" t="n">
        <v>6027</v>
      </c>
      <c r="B484" s="32" t="n">
        <v>24</v>
      </c>
      <c r="C484" s="7" t="n">
        <v>65533</v>
      </c>
      <c r="D484" s="7" t="n">
        <v>11</v>
      </c>
      <c r="E484" s="7" t="s">
        <v>56</v>
      </c>
      <c r="F484" s="7" t="n">
        <v>2</v>
      </c>
      <c r="G484" s="7" t="n">
        <v>0</v>
      </c>
    </row>
    <row r="485" spans="1:4">
      <c r="A485" t="s">
        <v>4</v>
      </c>
      <c r="B485" s="4" t="s">
        <v>5</v>
      </c>
    </row>
    <row r="486" spans="1:4">
      <c r="A486" t="n">
        <v>6104</v>
      </c>
      <c r="B486" s="27" t="n">
        <v>28</v>
      </c>
    </row>
    <row r="487" spans="1:4">
      <c r="A487" t="s">
        <v>4</v>
      </c>
      <c r="B487" s="4" t="s">
        <v>5</v>
      </c>
      <c r="C487" s="4" t="s">
        <v>7</v>
      </c>
    </row>
    <row r="488" spans="1:4">
      <c r="A488" t="n">
        <v>6105</v>
      </c>
      <c r="B488" s="33" t="n">
        <v>27</v>
      </c>
      <c r="C488" s="7" t="n">
        <v>0</v>
      </c>
    </row>
    <row r="489" spans="1:4">
      <c r="A489" t="s">
        <v>4</v>
      </c>
      <c r="B489" s="4" t="s">
        <v>5</v>
      </c>
      <c r="C489" s="4" t="s">
        <v>7</v>
      </c>
    </row>
    <row r="490" spans="1:4">
      <c r="A490" t="n">
        <v>6107</v>
      </c>
      <c r="B490" s="33" t="n">
        <v>27</v>
      </c>
      <c r="C490" s="7" t="n">
        <v>1</v>
      </c>
    </row>
    <row r="491" spans="1:4">
      <c r="A491" t="s">
        <v>4</v>
      </c>
      <c r="B491" s="4" t="s">
        <v>5</v>
      </c>
      <c r="C491" s="4" t="s">
        <v>7</v>
      </c>
      <c r="D491" s="4" t="s">
        <v>11</v>
      </c>
      <c r="E491" s="4" t="s">
        <v>11</v>
      </c>
      <c r="F491" s="4" t="s">
        <v>11</v>
      </c>
      <c r="G491" s="4" t="s">
        <v>11</v>
      </c>
      <c r="H491" s="4" t="s">
        <v>7</v>
      </c>
    </row>
    <row r="492" spans="1:4">
      <c r="A492" t="n">
        <v>6109</v>
      </c>
      <c r="B492" s="31" t="n">
        <v>25</v>
      </c>
      <c r="C492" s="7" t="n">
        <v>5</v>
      </c>
      <c r="D492" s="7" t="n">
        <v>65535</v>
      </c>
      <c r="E492" s="7" t="n">
        <v>65535</v>
      </c>
      <c r="F492" s="7" t="n">
        <v>65535</v>
      </c>
      <c r="G492" s="7" t="n">
        <v>65535</v>
      </c>
      <c r="H492" s="7" t="n">
        <v>0</v>
      </c>
    </row>
    <row r="493" spans="1:4">
      <c r="A493" t="s">
        <v>4</v>
      </c>
      <c r="B493" s="4" t="s">
        <v>5</v>
      </c>
      <c r="C493" s="4" t="s">
        <v>7</v>
      </c>
      <c r="D493" s="4" t="s">
        <v>8</v>
      </c>
    </row>
    <row r="494" spans="1:4">
      <c r="A494" t="n">
        <v>6120</v>
      </c>
      <c r="B494" s="6" t="n">
        <v>2</v>
      </c>
      <c r="C494" s="7" t="n">
        <v>10</v>
      </c>
      <c r="D494" s="7" t="s">
        <v>51</v>
      </c>
    </row>
    <row r="495" spans="1:4">
      <c r="A495" t="s">
        <v>4</v>
      </c>
      <c r="B495" s="4" t="s">
        <v>5</v>
      </c>
      <c r="C495" s="4" t="s">
        <v>11</v>
      </c>
    </row>
    <row r="496" spans="1:4">
      <c r="A496" t="n">
        <v>6143</v>
      </c>
      <c r="B496" s="29" t="n">
        <v>16</v>
      </c>
      <c r="C496" s="7" t="n">
        <v>0</v>
      </c>
    </row>
    <row r="497" spans="1:8">
      <c r="A497" t="s">
        <v>4</v>
      </c>
      <c r="B497" s="4" t="s">
        <v>5</v>
      </c>
      <c r="C497" s="4" t="s">
        <v>7</v>
      </c>
      <c r="D497" s="4" t="s">
        <v>8</v>
      </c>
    </row>
    <row r="498" spans="1:8">
      <c r="A498" t="n">
        <v>6146</v>
      </c>
      <c r="B498" s="6" t="n">
        <v>2</v>
      </c>
      <c r="C498" s="7" t="n">
        <v>10</v>
      </c>
      <c r="D498" s="7" t="s">
        <v>52</v>
      </c>
    </row>
    <row r="499" spans="1:8">
      <c r="A499" t="s">
        <v>4</v>
      </c>
      <c r="B499" s="4" t="s">
        <v>5</v>
      </c>
      <c r="C499" s="4" t="s">
        <v>11</v>
      </c>
    </row>
    <row r="500" spans="1:8">
      <c r="A500" t="n">
        <v>6164</v>
      </c>
      <c r="B500" s="29" t="n">
        <v>16</v>
      </c>
      <c r="C500" s="7" t="n">
        <v>0</v>
      </c>
    </row>
    <row r="501" spans="1:8">
      <c r="A501" t="s">
        <v>4</v>
      </c>
      <c r="B501" s="4" t="s">
        <v>5</v>
      </c>
      <c r="C501" s="4" t="s">
        <v>7</v>
      </c>
      <c r="D501" s="4" t="s">
        <v>8</v>
      </c>
    </row>
    <row r="502" spans="1:8">
      <c r="A502" t="n">
        <v>6167</v>
      </c>
      <c r="B502" s="6" t="n">
        <v>2</v>
      </c>
      <c r="C502" s="7" t="n">
        <v>10</v>
      </c>
      <c r="D502" s="7" t="s">
        <v>53</v>
      </c>
    </row>
    <row r="503" spans="1:8">
      <c r="A503" t="s">
        <v>4</v>
      </c>
      <c r="B503" s="4" t="s">
        <v>5</v>
      </c>
      <c r="C503" s="4" t="s">
        <v>11</v>
      </c>
    </row>
    <row r="504" spans="1:8">
      <c r="A504" t="n">
        <v>6186</v>
      </c>
      <c r="B504" s="29" t="n">
        <v>16</v>
      </c>
      <c r="C504" s="7" t="n">
        <v>0</v>
      </c>
    </row>
    <row r="505" spans="1:8">
      <c r="A505" t="s">
        <v>4</v>
      </c>
      <c r="B505" s="4" t="s">
        <v>5</v>
      </c>
      <c r="C505" s="4" t="s">
        <v>7</v>
      </c>
    </row>
    <row r="506" spans="1:8">
      <c r="A506" t="n">
        <v>6189</v>
      </c>
      <c r="B506" s="30" t="n">
        <v>23</v>
      </c>
      <c r="C506" s="7" t="n">
        <v>20</v>
      </c>
    </row>
    <row r="507" spans="1:8">
      <c r="A507" t="s">
        <v>4</v>
      </c>
      <c r="B507" s="4" t="s">
        <v>5</v>
      </c>
    </row>
    <row r="508" spans="1:8">
      <c r="A508" t="n">
        <v>6191</v>
      </c>
      <c r="B508" s="5" t="n">
        <v>1</v>
      </c>
    </row>
    <row r="509" spans="1:8" s="3" customFormat="1" customHeight="0">
      <c r="A509" s="3" t="s">
        <v>2</v>
      </c>
      <c r="B509" s="3" t="s">
        <v>63</v>
      </c>
    </row>
    <row r="510" spans="1:8">
      <c r="A510" t="s">
        <v>4</v>
      </c>
      <c r="B510" s="4" t="s">
        <v>5</v>
      </c>
      <c r="C510" s="4" t="s">
        <v>7</v>
      </c>
      <c r="D510" s="4" t="s">
        <v>7</v>
      </c>
      <c r="E510" s="4" t="s">
        <v>11</v>
      </c>
      <c r="F510" s="4" t="s">
        <v>11</v>
      </c>
      <c r="G510" s="4" t="s">
        <v>11</v>
      </c>
      <c r="H510" s="4" t="s">
        <v>11</v>
      </c>
      <c r="I510" s="4" t="s">
        <v>11</v>
      </c>
      <c r="J510" s="4" t="s">
        <v>11</v>
      </c>
      <c r="K510" s="4" t="s">
        <v>11</v>
      </c>
      <c r="L510" s="4" t="s">
        <v>11</v>
      </c>
      <c r="M510" s="4" t="s">
        <v>11</v>
      </c>
      <c r="N510" s="4" t="s">
        <v>11</v>
      </c>
      <c r="O510" s="4" t="s">
        <v>11</v>
      </c>
      <c r="P510" s="4" t="s">
        <v>11</v>
      </c>
      <c r="Q510" s="4" t="s">
        <v>11</v>
      </c>
      <c r="R510" s="4" t="s">
        <v>11</v>
      </c>
      <c r="S510" s="4" t="s">
        <v>11</v>
      </c>
    </row>
    <row r="511" spans="1:8">
      <c r="A511" t="n">
        <v>6192</v>
      </c>
      <c r="B511" s="34" t="n">
        <v>161</v>
      </c>
      <c r="C511" s="7" t="n">
        <v>2</v>
      </c>
      <c r="D511" s="7" t="n">
        <v>3</v>
      </c>
      <c r="E511" s="7" t="n">
        <v>10993</v>
      </c>
      <c r="F511" s="7" t="n">
        <v>10994</v>
      </c>
      <c r="G511" s="7" t="n">
        <v>10995</v>
      </c>
      <c r="H511" s="7" t="n">
        <v>0</v>
      </c>
      <c r="I511" s="7" t="n">
        <v>0</v>
      </c>
      <c r="J511" s="7" t="n">
        <v>0</v>
      </c>
      <c r="K511" s="7" t="n">
        <v>0</v>
      </c>
      <c r="L511" s="7" t="n">
        <v>0</v>
      </c>
      <c r="M511" s="7" t="n">
        <v>0</v>
      </c>
      <c r="N511" s="7" t="n">
        <v>0</v>
      </c>
      <c r="O511" s="7" t="n">
        <v>0</v>
      </c>
      <c r="P511" s="7" t="n">
        <v>0</v>
      </c>
      <c r="Q511" s="7" t="n">
        <v>0</v>
      </c>
      <c r="R511" s="7" t="n">
        <v>0</v>
      </c>
      <c r="S511" s="7" t="n">
        <v>0</v>
      </c>
    </row>
    <row r="512" spans="1:8">
      <c r="A512" t="s">
        <v>4</v>
      </c>
      <c r="B512" s="4" t="s">
        <v>5</v>
      </c>
      <c r="C512" s="4" t="s">
        <v>7</v>
      </c>
      <c r="D512" s="4" t="s">
        <v>13</v>
      </c>
      <c r="E512" s="4" t="s">
        <v>13</v>
      </c>
      <c r="F512" s="4" t="s">
        <v>13</v>
      </c>
    </row>
    <row r="513" spans="1:19">
      <c r="A513" t="n">
        <v>6225</v>
      </c>
      <c r="B513" s="34" t="n">
        <v>161</v>
      </c>
      <c r="C513" s="7" t="n">
        <v>3</v>
      </c>
      <c r="D513" s="7" t="n">
        <v>1</v>
      </c>
      <c r="E513" s="7" t="n">
        <v>1.60000002384186</v>
      </c>
      <c r="F513" s="7" t="n">
        <v>0.0900000035762787</v>
      </c>
    </row>
    <row r="514" spans="1:19">
      <c r="A514" t="s">
        <v>4</v>
      </c>
      <c r="B514" s="4" t="s">
        <v>5</v>
      </c>
      <c r="C514" s="4" t="s">
        <v>7</v>
      </c>
      <c r="D514" s="4" t="s">
        <v>11</v>
      </c>
      <c r="E514" s="4" t="s">
        <v>7</v>
      </c>
      <c r="F514" s="4" t="s">
        <v>7</v>
      </c>
      <c r="G514" s="4" t="s">
        <v>7</v>
      </c>
      <c r="H514" s="4" t="s">
        <v>7</v>
      </c>
      <c r="I514" s="4" t="s">
        <v>7</v>
      </c>
      <c r="J514" s="4" t="s">
        <v>7</v>
      </c>
      <c r="K514" s="4" t="s">
        <v>7</v>
      </c>
      <c r="L514" s="4" t="s">
        <v>7</v>
      </c>
      <c r="M514" s="4" t="s">
        <v>7</v>
      </c>
      <c r="N514" s="4" t="s">
        <v>7</v>
      </c>
      <c r="O514" s="4" t="s">
        <v>7</v>
      </c>
      <c r="P514" s="4" t="s">
        <v>7</v>
      </c>
      <c r="Q514" s="4" t="s">
        <v>7</v>
      </c>
      <c r="R514" s="4" t="s">
        <v>7</v>
      </c>
      <c r="S514" s="4" t="s">
        <v>7</v>
      </c>
      <c r="T514" s="4" t="s">
        <v>7</v>
      </c>
    </row>
    <row r="515" spans="1:19">
      <c r="A515" t="n">
        <v>6239</v>
      </c>
      <c r="B515" s="34" t="n">
        <v>161</v>
      </c>
      <c r="C515" s="7" t="n">
        <v>0</v>
      </c>
      <c r="D515" s="7" t="n">
        <v>1</v>
      </c>
      <c r="E515" s="7" t="n">
        <v>1</v>
      </c>
      <c r="F515" s="7" t="n">
        <v>42</v>
      </c>
      <c r="G515" s="7" t="n">
        <v>0</v>
      </c>
      <c r="H515" s="7" t="n">
        <v>0</v>
      </c>
      <c r="I515" s="7" t="n">
        <v>0</v>
      </c>
      <c r="J515" s="7" t="n">
        <v>0</v>
      </c>
      <c r="K515" s="7" t="n">
        <v>0</v>
      </c>
      <c r="L515" s="7" t="n">
        <v>0</v>
      </c>
      <c r="M515" s="7" t="n">
        <v>0</v>
      </c>
      <c r="N515" s="7" t="n">
        <v>0</v>
      </c>
      <c r="O515" s="7" t="n">
        <v>0</v>
      </c>
      <c r="P515" s="7" t="n">
        <v>0</v>
      </c>
      <c r="Q515" s="7" t="n">
        <v>0</v>
      </c>
      <c r="R515" s="7" t="n">
        <v>0</v>
      </c>
      <c r="S515" s="7" t="n">
        <v>0</v>
      </c>
      <c r="T515" s="7" t="n">
        <v>0</v>
      </c>
    </row>
    <row r="516" spans="1:19">
      <c r="A516" t="s">
        <v>4</v>
      </c>
      <c r="B516" s="4" t="s">
        <v>5</v>
      </c>
      <c r="C516" s="4" t="s">
        <v>7</v>
      </c>
      <c r="D516" s="4" t="s">
        <v>13</v>
      </c>
      <c r="E516" s="4" t="s">
        <v>13</v>
      </c>
      <c r="F516" s="4" t="s">
        <v>13</v>
      </c>
    </row>
    <row r="517" spans="1:19">
      <c r="A517" t="n">
        <v>6259</v>
      </c>
      <c r="B517" s="34" t="n">
        <v>161</v>
      </c>
      <c r="C517" s="7" t="n">
        <v>3</v>
      </c>
      <c r="D517" s="7" t="n">
        <v>1</v>
      </c>
      <c r="E517" s="7" t="n">
        <v>1.60000002384186</v>
      </c>
      <c r="F517" s="7" t="n">
        <v>0.0900000035762787</v>
      </c>
    </row>
    <row r="518" spans="1:19">
      <c r="A518" t="s">
        <v>4</v>
      </c>
      <c r="B518" s="4" t="s">
        <v>5</v>
      </c>
      <c r="C518" s="4" t="s">
        <v>7</v>
      </c>
      <c r="D518" s="4" t="s">
        <v>11</v>
      </c>
      <c r="E518" s="4" t="s">
        <v>7</v>
      </c>
      <c r="F518" s="4" t="s">
        <v>7</v>
      </c>
      <c r="G518" s="4" t="s">
        <v>7</v>
      </c>
      <c r="H518" s="4" t="s">
        <v>7</v>
      </c>
      <c r="I518" s="4" t="s">
        <v>7</v>
      </c>
      <c r="J518" s="4" t="s">
        <v>7</v>
      </c>
      <c r="K518" s="4" t="s">
        <v>7</v>
      </c>
      <c r="L518" s="4" t="s">
        <v>7</v>
      </c>
      <c r="M518" s="4" t="s">
        <v>7</v>
      </c>
      <c r="N518" s="4" t="s">
        <v>7</v>
      </c>
      <c r="O518" s="4" t="s">
        <v>7</v>
      </c>
      <c r="P518" s="4" t="s">
        <v>7</v>
      </c>
      <c r="Q518" s="4" t="s">
        <v>7</v>
      </c>
      <c r="R518" s="4" t="s">
        <v>7</v>
      </c>
      <c r="S518" s="4" t="s">
        <v>7</v>
      </c>
      <c r="T518" s="4" t="s">
        <v>7</v>
      </c>
    </row>
    <row r="519" spans="1:19">
      <c r="A519" t="n">
        <v>6273</v>
      </c>
      <c r="B519" s="34" t="n">
        <v>161</v>
      </c>
      <c r="C519" s="7" t="n">
        <v>0</v>
      </c>
      <c r="D519" s="7" t="n">
        <v>2</v>
      </c>
      <c r="E519" s="7" t="n">
        <v>1</v>
      </c>
      <c r="F519" s="7" t="n">
        <v>42</v>
      </c>
      <c r="G519" s="7" t="n">
        <v>0</v>
      </c>
      <c r="H519" s="7" t="n">
        <v>0</v>
      </c>
      <c r="I519" s="7" t="n">
        <v>0</v>
      </c>
      <c r="J519" s="7" t="n">
        <v>0</v>
      </c>
      <c r="K519" s="7" t="n">
        <v>0</v>
      </c>
      <c r="L519" s="7" t="n">
        <v>0</v>
      </c>
      <c r="M519" s="7" t="n">
        <v>0</v>
      </c>
      <c r="N519" s="7" t="n">
        <v>0</v>
      </c>
      <c r="O519" s="7" t="n">
        <v>0</v>
      </c>
      <c r="P519" s="7" t="n">
        <v>0</v>
      </c>
      <c r="Q519" s="7" t="n">
        <v>0</v>
      </c>
      <c r="R519" s="7" t="n">
        <v>0</v>
      </c>
      <c r="S519" s="7" t="n">
        <v>0</v>
      </c>
      <c r="T519" s="7" t="n">
        <v>0</v>
      </c>
    </row>
    <row r="520" spans="1:19">
      <c r="A520" t="s">
        <v>4</v>
      </c>
      <c r="B520" s="4" t="s">
        <v>5</v>
      </c>
      <c r="C520" s="4" t="s">
        <v>7</v>
      </c>
      <c r="D520" s="4" t="s">
        <v>13</v>
      </c>
      <c r="E520" s="4" t="s">
        <v>13</v>
      </c>
      <c r="F520" s="4" t="s">
        <v>13</v>
      </c>
    </row>
    <row r="521" spans="1:19">
      <c r="A521" t="n">
        <v>6293</v>
      </c>
      <c r="B521" s="34" t="n">
        <v>161</v>
      </c>
      <c r="C521" s="7" t="n">
        <v>3</v>
      </c>
      <c r="D521" s="7" t="n">
        <v>1</v>
      </c>
      <c r="E521" s="7" t="n">
        <v>1.60000002384186</v>
      </c>
      <c r="F521" s="7" t="n">
        <v>0.0900000035762787</v>
      </c>
    </row>
    <row r="522" spans="1:19">
      <c r="A522" t="s">
        <v>4</v>
      </c>
      <c r="B522" s="4" t="s">
        <v>5</v>
      </c>
      <c r="C522" s="4" t="s">
        <v>7</v>
      </c>
      <c r="D522" s="4" t="s">
        <v>11</v>
      </c>
      <c r="E522" s="4" t="s">
        <v>7</v>
      </c>
      <c r="F522" s="4" t="s">
        <v>7</v>
      </c>
      <c r="G522" s="4" t="s">
        <v>7</v>
      </c>
      <c r="H522" s="4" t="s">
        <v>7</v>
      </c>
      <c r="I522" s="4" t="s">
        <v>7</v>
      </c>
      <c r="J522" s="4" t="s">
        <v>7</v>
      </c>
      <c r="K522" s="4" t="s">
        <v>7</v>
      </c>
      <c r="L522" s="4" t="s">
        <v>7</v>
      </c>
      <c r="M522" s="4" t="s">
        <v>7</v>
      </c>
      <c r="N522" s="4" t="s">
        <v>7</v>
      </c>
      <c r="O522" s="4" t="s">
        <v>7</v>
      </c>
      <c r="P522" s="4" t="s">
        <v>7</v>
      </c>
      <c r="Q522" s="4" t="s">
        <v>7</v>
      </c>
      <c r="R522" s="4" t="s">
        <v>7</v>
      </c>
      <c r="S522" s="4" t="s">
        <v>7</v>
      </c>
      <c r="T522" s="4" t="s">
        <v>7</v>
      </c>
    </row>
    <row r="523" spans="1:19">
      <c r="A523" t="n">
        <v>6307</v>
      </c>
      <c r="B523" s="34" t="n">
        <v>161</v>
      </c>
      <c r="C523" s="7" t="n">
        <v>0</v>
      </c>
      <c r="D523" s="7" t="n">
        <v>3</v>
      </c>
      <c r="E523" s="7" t="n">
        <v>1</v>
      </c>
      <c r="F523" s="7" t="n">
        <v>42</v>
      </c>
      <c r="G523" s="7" t="n">
        <v>0</v>
      </c>
      <c r="H523" s="7" t="n">
        <v>0</v>
      </c>
      <c r="I523" s="7" t="n">
        <v>0</v>
      </c>
      <c r="J523" s="7" t="n">
        <v>0</v>
      </c>
      <c r="K523" s="7" t="n">
        <v>0</v>
      </c>
      <c r="L523" s="7" t="n">
        <v>0</v>
      </c>
      <c r="M523" s="7" t="n">
        <v>0</v>
      </c>
      <c r="N523" s="7" t="n">
        <v>0</v>
      </c>
      <c r="O523" s="7" t="n">
        <v>0</v>
      </c>
      <c r="P523" s="7" t="n">
        <v>0</v>
      </c>
      <c r="Q523" s="7" t="n">
        <v>0</v>
      </c>
      <c r="R523" s="7" t="n">
        <v>0</v>
      </c>
      <c r="S523" s="7" t="n">
        <v>0</v>
      </c>
      <c r="T523" s="7" t="n">
        <v>0</v>
      </c>
    </row>
    <row r="524" spans="1:19">
      <c r="A524" t="s">
        <v>4</v>
      </c>
      <c r="B524" s="4" t="s">
        <v>5</v>
      </c>
      <c r="C524" s="4" t="s">
        <v>7</v>
      </c>
      <c r="D524" s="4" t="s">
        <v>13</v>
      </c>
      <c r="E524" s="4" t="s">
        <v>13</v>
      </c>
      <c r="F524" s="4" t="s">
        <v>13</v>
      </c>
    </row>
    <row r="525" spans="1:19">
      <c r="A525" t="n">
        <v>6327</v>
      </c>
      <c r="B525" s="34" t="n">
        <v>161</v>
      </c>
      <c r="C525" s="7" t="n">
        <v>3</v>
      </c>
      <c r="D525" s="7" t="n">
        <v>1</v>
      </c>
      <c r="E525" s="7" t="n">
        <v>1.60000002384186</v>
      </c>
      <c r="F525" s="7" t="n">
        <v>0.0900000035762787</v>
      </c>
    </row>
    <row r="526" spans="1:19">
      <c r="A526" t="s">
        <v>4</v>
      </c>
      <c r="B526" s="4" t="s">
        <v>5</v>
      </c>
      <c r="C526" s="4" t="s">
        <v>7</v>
      </c>
      <c r="D526" s="4" t="s">
        <v>11</v>
      </c>
      <c r="E526" s="4" t="s">
        <v>7</v>
      </c>
      <c r="F526" s="4" t="s">
        <v>7</v>
      </c>
      <c r="G526" s="4" t="s">
        <v>7</v>
      </c>
      <c r="H526" s="4" t="s">
        <v>7</v>
      </c>
      <c r="I526" s="4" t="s">
        <v>7</v>
      </c>
      <c r="J526" s="4" t="s">
        <v>7</v>
      </c>
      <c r="K526" s="4" t="s">
        <v>7</v>
      </c>
      <c r="L526" s="4" t="s">
        <v>7</v>
      </c>
      <c r="M526" s="4" t="s">
        <v>7</v>
      </c>
      <c r="N526" s="4" t="s">
        <v>7</v>
      </c>
      <c r="O526" s="4" t="s">
        <v>7</v>
      </c>
      <c r="P526" s="4" t="s">
        <v>7</v>
      </c>
      <c r="Q526" s="4" t="s">
        <v>7</v>
      </c>
      <c r="R526" s="4" t="s">
        <v>7</v>
      </c>
      <c r="S526" s="4" t="s">
        <v>7</v>
      </c>
      <c r="T526" s="4" t="s">
        <v>7</v>
      </c>
    </row>
    <row r="527" spans="1:19">
      <c r="A527" t="n">
        <v>6341</v>
      </c>
      <c r="B527" s="34" t="n">
        <v>161</v>
      </c>
      <c r="C527" s="7" t="n">
        <v>0</v>
      </c>
      <c r="D527" s="7" t="n">
        <v>4</v>
      </c>
      <c r="E527" s="7" t="n">
        <v>1</v>
      </c>
      <c r="F527" s="7" t="n">
        <v>42</v>
      </c>
      <c r="G527" s="7" t="n">
        <v>0</v>
      </c>
      <c r="H527" s="7" t="n">
        <v>0</v>
      </c>
      <c r="I527" s="7" t="n">
        <v>0</v>
      </c>
      <c r="J527" s="7" t="n">
        <v>0</v>
      </c>
      <c r="K527" s="7" t="n">
        <v>0</v>
      </c>
      <c r="L527" s="7" t="n">
        <v>0</v>
      </c>
      <c r="M527" s="7" t="n">
        <v>0</v>
      </c>
      <c r="N527" s="7" t="n">
        <v>0</v>
      </c>
      <c r="O527" s="7" t="n">
        <v>0</v>
      </c>
      <c r="P527" s="7" t="n">
        <v>0</v>
      </c>
      <c r="Q527" s="7" t="n">
        <v>0</v>
      </c>
      <c r="R527" s="7" t="n">
        <v>0</v>
      </c>
      <c r="S527" s="7" t="n">
        <v>0</v>
      </c>
      <c r="T527" s="7" t="n">
        <v>0</v>
      </c>
    </row>
    <row r="528" spans="1:19">
      <c r="A528" t="s">
        <v>4</v>
      </c>
      <c r="B528" s="4" t="s">
        <v>5</v>
      </c>
      <c r="C528" s="4" t="s">
        <v>7</v>
      </c>
      <c r="D528" s="4" t="s">
        <v>13</v>
      </c>
      <c r="E528" s="4" t="s">
        <v>13</v>
      </c>
      <c r="F528" s="4" t="s">
        <v>13</v>
      </c>
    </row>
    <row r="529" spans="1:20">
      <c r="A529" t="n">
        <v>6361</v>
      </c>
      <c r="B529" s="34" t="n">
        <v>161</v>
      </c>
      <c r="C529" s="7" t="n">
        <v>3</v>
      </c>
      <c r="D529" s="7" t="n">
        <v>1</v>
      </c>
      <c r="E529" s="7" t="n">
        <v>1.60000002384186</v>
      </c>
      <c r="F529" s="7" t="n">
        <v>0.0900000035762787</v>
      </c>
    </row>
    <row r="530" spans="1:20">
      <c r="A530" t="s">
        <v>4</v>
      </c>
      <c r="B530" s="4" t="s">
        <v>5</v>
      </c>
      <c r="C530" s="4" t="s">
        <v>7</v>
      </c>
      <c r="D530" s="4" t="s">
        <v>11</v>
      </c>
      <c r="E530" s="4" t="s">
        <v>7</v>
      </c>
      <c r="F530" s="4" t="s">
        <v>7</v>
      </c>
      <c r="G530" s="4" t="s">
        <v>7</v>
      </c>
      <c r="H530" s="4" t="s">
        <v>7</v>
      </c>
      <c r="I530" s="4" t="s">
        <v>7</v>
      </c>
      <c r="J530" s="4" t="s">
        <v>7</v>
      </c>
      <c r="K530" s="4" t="s">
        <v>7</v>
      </c>
      <c r="L530" s="4" t="s">
        <v>7</v>
      </c>
      <c r="M530" s="4" t="s">
        <v>7</v>
      </c>
      <c r="N530" s="4" t="s">
        <v>7</v>
      </c>
      <c r="O530" s="4" t="s">
        <v>7</v>
      </c>
      <c r="P530" s="4" t="s">
        <v>7</v>
      </c>
      <c r="Q530" s="4" t="s">
        <v>7</v>
      </c>
      <c r="R530" s="4" t="s">
        <v>7</v>
      </c>
      <c r="S530" s="4" t="s">
        <v>7</v>
      </c>
      <c r="T530" s="4" t="s">
        <v>7</v>
      </c>
    </row>
    <row r="531" spans="1:20">
      <c r="A531" t="n">
        <v>6375</v>
      </c>
      <c r="B531" s="34" t="n">
        <v>161</v>
      </c>
      <c r="C531" s="7" t="n">
        <v>0</v>
      </c>
      <c r="D531" s="7" t="n">
        <v>5</v>
      </c>
      <c r="E531" s="7" t="n">
        <v>1</v>
      </c>
      <c r="F531" s="7" t="n">
        <v>42</v>
      </c>
      <c r="G531" s="7" t="n">
        <v>0</v>
      </c>
      <c r="H531" s="7" t="n">
        <v>0</v>
      </c>
      <c r="I531" s="7" t="n">
        <v>0</v>
      </c>
      <c r="J531" s="7" t="n">
        <v>0</v>
      </c>
      <c r="K531" s="7" t="n">
        <v>0</v>
      </c>
      <c r="L531" s="7" t="n">
        <v>0</v>
      </c>
      <c r="M531" s="7" t="n">
        <v>0</v>
      </c>
      <c r="N531" s="7" t="n">
        <v>0</v>
      </c>
      <c r="O531" s="7" t="n">
        <v>0</v>
      </c>
      <c r="P531" s="7" t="n">
        <v>0</v>
      </c>
      <c r="Q531" s="7" t="n">
        <v>0</v>
      </c>
      <c r="R531" s="7" t="n">
        <v>0</v>
      </c>
      <c r="S531" s="7" t="n">
        <v>0</v>
      </c>
      <c r="T531" s="7" t="n">
        <v>0</v>
      </c>
    </row>
    <row r="532" spans="1:20">
      <c r="A532" t="s">
        <v>4</v>
      </c>
      <c r="B532" s="4" t="s">
        <v>5</v>
      </c>
      <c r="C532" s="4" t="s">
        <v>7</v>
      </c>
      <c r="D532" s="4" t="s">
        <v>13</v>
      </c>
      <c r="E532" s="4" t="s">
        <v>13</v>
      </c>
      <c r="F532" s="4" t="s">
        <v>13</v>
      </c>
    </row>
    <row r="533" spans="1:20">
      <c r="A533" t="n">
        <v>6395</v>
      </c>
      <c r="B533" s="34" t="n">
        <v>161</v>
      </c>
      <c r="C533" s="7" t="n">
        <v>3</v>
      </c>
      <c r="D533" s="7" t="n">
        <v>1</v>
      </c>
      <c r="E533" s="7" t="n">
        <v>1.60000002384186</v>
      </c>
      <c r="F533" s="7" t="n">
        <v>0.0900000035762787</v>
      </c>
    </row>
    <row r="534" spans="1:20">
      <c r="A534" t="s">
        <v>4</v>
      </c>
      <c r="B534" s="4" t="s">
        <v>5</v>
      </c>
      <c r="C534" s="4" t="s">
        <v>7</v>
      </c>
      <c r="D534" s="4" t="s">
        <v>11</v>
      </c>
      <c r="E534" s="4" t="s">
        <v>7</v>
      </c>
      <c r="F534" s="4" t="s">
        <v>7</v>
      </c>
      <c r="G534" s="4" t="s">
        <v>7</v>
      </c>
      <c r="H534" s="4" t="s">
        <v>7</v>
      </c>
      <c r="I534" s="4" t="s">
        <v>7</v>
      </c>
      <c r="J534" s="4" t="s">
        <v>7</v>
      </c>
      <c r="K534" s="4" t="s">
        <v>7</v>
      </c>
      <c r="L534" s="4" t="s">
        <v>7</v>
      </c>
      <c r="M534" s="4" t="s">
        <v>7</v>
      </c>
      <c r="N534" s="4" t="s">
        <v>7</v>
      </c>
      <c r="O534" s="4" t="s">
        <v>7</v>
      </c>
      <c r="P534" s="4" t="s">
        <v>7</v>
      </c>
      <c r="Q534" s="4" t="s">
        <v>7</v>
      </c>
      <c r="R534" s="4" t="s">
        <v>7</v>
      </c>
      <c r="S534" s="4" t="s">
        <v>7</v>
      </c>
      <c r="T534" s="4" t="s">
        <v>7</v>
      </c>
    </row>
    <row r="535" spans="1:20">
      <c r="A535" t="n">
        <v>6409</v>
      </c>
      <c r="B535" s="34" t="n">
        <v>161</v>
      </c>
      <c r="C535" s="7" t="n">
        <v>0</v>
      </c>
      <c r="D535" s="7" t="n">
        <v>7032</v>
      </c>
      <c r="E535" s="7" t="n">
        <v>1</v>
      </c>
      <c r="F535" s="7" t="n">
        <v>42</v>
      </c>
      <c r="G535" s="7" t="n">
        <v>0</v>
      </c>
      <c r="H535" s="7" t="n">
        <v>0</v>
      </c>
      <c r="I535" s="7" t="n">
        <v>0</v>
      </c>
      <c r="J535" s="7" t="n">
        <v>0</v>
      </c>
      <c r="K535" s="7" t="n">
        <v>0</v>
      </c>
      <c r="L535" s="7" t="n">
        <v>0</v>
      </c>
      <c r="M535" s="7" t="n">
        <v>0</v>
      </c>
      <c r="N535" s="7" t="n">
        <v>0</v>
      </c>
      <c r="O535" s="7" t="n">
        <v>0</v>
      </c>
      <c r="P535" s="7" t="n">
        <v>0</v>
      </c>
      <c r="Q535" s="7" t="n">
        <v>0</v>
      </c>
      <c r="R535" s="7" t="n">
        <v>0</v>
      </c>
      <c r="S535" s="7" t="n">
        <v>0</v>
      </c>
      <c r="T535" s="7" t="n">
        <v>0</v>
      </c>
    </row>
    <row r="536" spans="1:20">
      <c r="A536" t="s">
        <v>4</v>
      </c>
      <c r="B536" s="4" t="s">
        <v>5</v>
      </c>
      <c r="C536" s="4" t="s">
        <v>7</v>
      </c>
      <c r="D536" s="4" t="s">
        <v>13</v>
      </c>
      <c r="E536" s="4" t="s">
        <v>13</v>
      </c>
      <c r="F536" s="4" t="s">
        <v>13</v>
      </c>
    </row>
    <row r="537" spans="1:20">
      <c r="A537" t="n">
        <v>6429</v>
      </c>
      <c r="B537" s="34" t="n">
        <v>161</v>
      </c>
      <c r="C537" s="7" t="n">
        <v>3</v>
      </c>
      <c r="D537" s="7" t="n">
        <v>1</v>
      </c>
      <c r="E537" s="7" t="n">
        <v>1.60000002384186</v>
      </c>
      <c r="F537" s="7" t="n">
        <v>0.0900000035762787</v>
      </c>
    </row>
    <row r="538" spans="1:20">
      <c r="A538" t="s">
        <v>4</v>
      </c>
      <c r="B538" s="4" t="s">
        <v>5</v>
      </c>
      <c r="C538" s="4" t="s">
        <v>7</v>
      </c>
      <c r="D538" s="4" t="s">
        <v>11</v>
      </c>
      <c r="E538" s="4" t="s">
        <v>7</v>
      </c>
      <c r="F538" s="4" t="s">
        <v>7</v>
      </c>
      <c r="G538" s="4" t="s">
        <v>7</v>
      </c>
      <c r="H538" s="4" t="s">
        <v>7</v>
      </c>
      <c r="I538" s="4" t="s">
        <v>7</v>
      </c>
      <c r="J538" s="4" t="s">
        <v>7</v>
      </c>
      <c r="K538" s="4" t="s">
        <v>7</v>
      </c>
      <c r="L538" s="4" t="s">
        <v>7</v>
      </c>
      <c r="M538" s="4" t="s">
        <v>7</v>
      </c>
      <c r="N538" s="4" t="s">
        <v>7</v>
      </c>
      <c r="O538" s="4" t="s">
        <v>7</v>
      </c>
      <c r="P538" s="4" t="s">
        <v>7</v>
      </c>
      <c r="Q538" s="4" t="s">
        <v>7</v>
      </c>
      <c r="R538" s="4" t="s">
        <v>7</v>
      </c>
      <c r="S538" s="4" t="s">
        <v>7</v>
      </c>
      <c r="T538" s="4" t="s">
        <v>7</v>
      </c>
    </row>
    <row r="539" spans="1:20">
      <c r="A539" t="n">
        <v>6443</v>
      </c>
      <c r="B539" s="34" t="n">
        <v>161</v>
      </c>
      <c r="C539" s="7" t="n">
        <v>0</v>
      </c>
      <c r="D539" s="7" t="n">
        <v>6</v>
      </c>
      <c r="E539" s="7" t="n">
        <v>1</v>
      </c>
      <c r="F539" s="7" t="n">
        <v>42</v>
      </c>
      <c r="G539" s="7" t="n">
        <v>0</v>
      </c>
      <c r="H539" s="7" t="n">
        <v>0</v>
      </c>
      <c r="I539" s="7" t="n">
        <v>0</v>
      </c>
      <c r="J539" s="7" t="n">
        <v>0</v>
      </c>
      <c r="K539" s="7" t="n">
        <v>0</v>
      </c>
      <c r="L539" s="7" t="n">
        <v>0</v>
      </c>
      <c r="M539" s="7" t="n">
        <v>0</v>
      </c>
      <c r="N539" s="7" t="n">
        <v>0</v>
      </c>
      <c r="O539" s="7" t="n">
        <v>0</v>
      </c>
      <c r="P539" s="7" t="n">
        <v>0</v>
      </c>
      <c r="Q539" s="7" t="n">
        <v>0</v>
      </c>
      <c r="R539" s="7" t="n">
        <v>0</v>
      </c>
      <c r="S539" s="7" t="n">
        <v>0</v>
      </c>
      <c r="T539" s="7" t="n">
        <v>0</v>
      </c>
    </row>
    <row r="540" spans="1:20">
      <c r="A540" t="s">
        <v>4</v>
      </c>
      <c r="B540" s="4" t="s">
        <v>5</v>
      </c>
      <c r="C540" s="4" t="s">
        <v>7</v>
      </c>
      <c r="D540" s="4" t="s">
        <v>13</v>
      </c>
      <c r="E540" s="4" t="s">
        <v>13</v>
      </c>
      <c r="F540" s="4" t="s">
        <v>13</v>
      </c>
    </row>
    <row r="541" spans="1:20">
      <c r="A541" t="n">
        <v>6463</v>
      </c>
      <c r="B541" s="34" t="n">
        <v>161</v>
      </c>
      <c r="C541" s="7" t="n">
        <v>3</v>
      </c>
      <c r="D541" s="7" t="n">
        <v>1</v>
      </c>
      <c r="E541" s="7" t="n">
        <v>1.60000002384186</v>
      </c>
      <c r="F541" s="7" t="n">
        <v>0.0900000035762787</v>
      </c>
    </row>
    <row r="542" spans="1:20">
      <c r="A542" t="s">
        <v>4</v>
      </c>
      <c r="B542" s="4" t="s">
        <v>5</v>
      </c>
      <c r="C542" s="4" t="s">
        <v>7</v>
      </c>
      <c r="D542" s="4" t="s">
        <v>11</v>
      </c>
      <c r="E542" s="4" t="s">
        <v>7</v>
      </c>
      <c r="F542" s="4" t="s">
        <v>7</v>
      </c>
      <c r="G542" s="4" t="s">
        <v>7</v>
      </c>
      <c r="H542" s="4" t="s">
        <v>7</v>
      </c>
      <c r="I542" s="4" t="s">
        <v>7</v>
      </c>
      <c r="J542" s="4" t="s">
        <v>7</v>
      </c>
      <c r="K542" s="4" t="s">
        <v>7</v>
      </c>
      <c r="L542" s="4" t="s">
        <v>7</v>
      </c>
      <c r="M542" s="4" t="s">
        <v>7</v>
      </c>
      <c r="N542" s="4" t="s">
        <v>7</v>
      </c>
      <c r="O542" s="4" t="s">
        <v>7</v>
      </c>
      <c r="P542" s="4" t="s">
        <v>7</v>
      </c>
      <c r="Q542" s="4" t="s">
        <v>7</v>
      </c>
      <c r="R542" s="4" t="s">
        <v>7</v>
      </c>
      <c r="S542" s="4" t="s">
        <v>7</v>
      </c>
      <c r="T542" s="4" t="s">
        <v>7</v>
      </c>
    </row>
    <row r="543" spans="1:20">
      <c r="A543" t="n">
        <v>6477</v>
      </c>
      <c r="B543" s="34" t="n">
        <v>161</v>
      </c>
      <c r="C543" s="7" t="n">
        <v>0</v>
      </c>
      <c r="D543" s="7" t="n">
        <v>7</v>
      </c>
      <c r="E543" s="7" t="n">
        <v>1</v>
      </c>
      <c r="F543" s="7" t="n">
        <v>42</v>
      </c>
      <c r="G543" s="7" t="n">
        <v>0</v>
      </c>
      <c r="H543" s="7" t="n">
        <v>0</v>
      </c>
      <c r="I543" s="7" t="n">
        <v>0</v>
      </c>
      <c r="J543" s="7" t="n">
        <v>0</v>
      </c>
      <c r="K543" s="7" t="n">
        <v>0</v>
      </c>
      <c r="L543" s="7" t="n">
        <v>0</v>
      </c>
      <c r="M543" s="7" t="n">
        <v>0</v>
      </c>
      <c r="N543" s="7" t="n">
        <v>0</v>
      </c>
      <c r="O543" s="7" t="n">
        <v>0</v>
      </c>
      <c r="P543" s="7" t="n">
        <v>0</v>
      </c>
      <c r="Q543" s="7" t="n">
        <v>0</v>
      </c>
      <c r="R543" s="7" t="n">
        <v>0</v>
      </c>
      <c r="S543" s="7" t="n">
        <v>0</v>
      </c>
      <c r="T543" s="7" t="n">
        <v>0</v>
      </c>
    </row>
    <row r="544" spans="1:20">
      <c r="A544" t="s">
        <v>4</v>
      </c>
      <c r="B544" s="4" t="s">
        <v>5</v>
      </c>
      <c r="C544" s="4" t="s">
        <v>7</v>
      </c>
      <c r="D544" s="4" t="s">
        <v>13</v>
      </c>
      <c r="E544" s="4" t="s">
        <v>13</v>
      </c>
      <c r="F544" s="4" t="s">
        <v>13</v>
      </c>
    </row>
    <row r="545" spans="1:20">
      <c r="A545" t="n">
        <v>6497</v>
      </c>
      <c r="B545" s="34" t="n">
        <v>161</v>
      </c>
      <c r="C545" s="7" t="n">
        <v>3</v>
      </c>
      <c r="D545" s="7" t="n">
        <v>1</v>
      </c>
      <c r="E545" s="7" t="n">
        <v>1.60000002384186</v>
      </c>
      <c r="F545" s="7" t="n">
        <v>0.0900000035762787</v>
      </c>
    </row>
    <row r="546" spans="1:20">
      <c r="A546" t="s">
        <v>4</v>
      </c>
      <c r="B546" s="4" t="s">
        <v>5</v>
      </c>
      <c r="C546" s="4" t="s">
        <v>7</v>
      </c>
      <c r="D546" s="4" t="s">
        <v>11</v>
      </c>
      <c r="E546" s="4" t="s">
        <v>7</v>
      </c>
      <c r="F546" s="4" t="s">
        <v>7</v>
      </c>
      <c r="G546" s="4" t="s">
        <v>7</v>
      </c>
      <c r="H546" s="4" t="s">
        <v>7</v>
      </c>
      <c r="I546" s="4" t="s">
        <v>7</v>
      </c>
      <c r="J546" s="4" t="s">
        <v>7</v>
      </c>
      <c r="K546" s="4" t="s">
        <v>7</v>
      </c>
      <c r="L546" s="4" t="s">
        <v>7</v>
      </c>
      <c r="M546" s="4" t="s">
        <v>7</v>
      </c>
      <c r="N546" s="4" t="s">
        <v>7</v>
      </c>
      <c r="O546" s="4" t="s">
        <v>7</v>
      </c>
      <c r="P546" s="4" t="s">
        <v>7</v>
      </c>
      <c r="Q546" s="4" t="s">
        <v>7</v>
      </c>
      <c r="R546" s="4" t="s">
        <v>7</v>
      </c>
      <c r="S546" s="4" t="s">
        <v>7</v>
      </c>
      <c r="T546" s="4" t="s">
        <v>7</v>
      </c>
    </row>
    <row r="547" spans="1:20">
      <c r="A547" t="n">
        <v>6511</v>
      </c>
      <c r="B547" s="34" t="n">
        <v>161</v>
      </c>
      <c r="C547" s="7" t="n">
        <v>0</v>
      </c>
      <c r="D547" s="7" t="n">
        <v>8</v>
      </c>
      <c r="E547" s="7" t="n">
        <v>1</v>
      </c>
      <c r="F547" s="7" t="n">
        <v>42</v>
      </c>
      <c r="G547" s="7" t="n">
        <v>0</v>
      </c>
      <c r="H547" s="7" t="n">
        <v>0</v>
      </c>
      <c r="I547" s="7" t="n">
        <v>0</v>
      </c>
      <c r="J547" s="7" t="n">
        <v>0</v>
      </c>
      <c r="K547" s="7" t="n">
        <v>0</v>
      </c>
      <c r="L547" s="7" t="n">
        <v>0</v>
      </c>
      <c r="M547" s="7" t="n">
        <v>0</v>
      </c>
      <c r="N547" s="7" t="n">
        <v>0</v>
      </c>
      <c r="O547" s="7" t="n">
        <v>0</v>
      </c>
      <c r="P547" s="7" t="n">
        <v>0</v>
      </c>
      <c r="Q547" s="7" t="n">
        <v>0</v>
      </c>
      <c r="R547" s="7" t="n">
        <v>0</v>
      </c>
      <c r="S547" s="7" t="n">
        <v>0</v>
      </c>
      <c r="T547" s="7" t="n">
        <v>0</v>
      </c>
    </row>
    <row r="548" spans="1:20">
      <c r="A548" t="s">
        <v>4</v>
      </c>
      <c r="B548" s="4" t="s">
        <v>5</v>
      </c>
      <c r="C548" s="4" t="s">
        <v>7</v>
      </c>
      <c r="D548" s="4" t="s">
        <v>13</v>
      </c>
      <c r="E548" s="4" t="s">
        <v>13</v>
      </c>
      <c r="F548" s="4" t="s">
        <v>13</v>
      </c>
    </row>
    <row r="549" spans="1:20">
      <c r="A549" t="n">
        <v>6531</v>
      </c>
      <c r="B549" s="34" t="n">
        <v>161</v>
      </c>
      <c r="C549" s="7" t="n">
        <v>3</v>
      </c>
      <c r="D549" s="7" t="n">
        <v>1</v>
      </c>
      <c r="E549" s="7" t="n">
        <v>1.60000002384186</v>
      </c>
      <c r="F549" s="7" t="n">
        <v>0.0900000035762787</v>
      </c>
    </row>
    <row r="550" spans="1:20">
      <c r="A550" t="s">
        <v>4</v>
      </c>
      <c r="B550" s="4" t="s">
        <v>5</v>
      </c>
      <c r="C550" s="4" t="s">
        <v>7</v>
      </c>
      <c r="D550" s="4" t="s">
        <v>11</v>
      </c>
      <c r="E550" s="4" t="s">
        <v>7</v>
      </c>
      <c r="F550" s="4" t="s">
        <v>7</v>
      </c>
      <c r="G550" s="4" t="s">
        <v>7</v>
      </c>
      <c r="H550" s="4" t="s">
        <v>7</v>
      </c>
      <c r="I550" s="4" t="s">
        <v>7</v>
      </c>
      <c r="J550" s="4" t="s">
        <v>7</v>
      </c>
      <c r="K550" s="4" t="s">
        <v>7</v>
      </c>
      <c r="L550" s="4" t="s">
        <v>7</v>
      </c>
      <c r="M550" s="4" t="s">
        <v>7</v>
      </c>
      <c r="N550" s="4" t="s">
        <v>7</v>
      </c>
      <c r="O550" s="4" t="s">
        <v>7</v>
      </c>
      <c r="P550" s="4" t="s">
        <v>7</v>
      </c>
      <c r="Q550" s="4" t="s">
        <v>7</v>
      </c>
      <c r="R550" s="4" t="s">
        <v>7</v>
      </c>
      <c r="S550" s="4" t="s">
        <v>7</v>
      </c>
      <c r="T550" s="4" t="s">
        <v>7</v>
      </c>
    </row>
    <row r="551" spans="1:20">
      <c r="A551" t="n">
        <v>6545</v>
      </c>
      <c r="B551" s="34" t="n">
        <v>161</v>
      </c>
      <c r="C551" s="7" t="n">
        <v>0</v>
      </c>
      <c r="D551" s="7" t="n">
        <v>9</v>
      </c>
      <c r="E551" s="7" t="n">
        <v>1</v>
      </c>
      <c r="F551" s="7" t="n">
        <v>42</v>
      </c>
      <c r="G551" s="7" t="n">
        <v>0</v>
      </c>
      <c r="H551" s="7" t="n">
        <v>0</v>
      </c>
      <c r="I551" s="7" t="n">
        <v>0</v>
      </c>
      <c r="J551" s="7" t="n">
        <v>0</v>
      </c>
      <c r="K551" s="7" t="n">
        <v>0</v>
      </c>
      <c r="L551" s="7" t="n">
        <v>0</v>
      </c>
      <c r="M551" s="7" t="n">
        <v>0</v>
      </c>
      <c r="N551" s="7" t="n">
        <v>0</v>
      </c>
      <c r="O551" s="7" t="n">
        <v>0</v>
      </c>
      <c r="P551" s="7" t="n">
        <v>0</v>
      </c>
      <c r="Q551" s="7" t="n">
        <v>0</v>
      </c>
      <c r="R551" s="7" t="n">
        <v>0</v>
      </c>
      <c r="S551" s="7" t="n">
        <v>0</v>
      </c>
      <c r="T551" s="7" t="n">
        <v>0</v>
      </c>
    </row>
    <row r="552" spans="1:20">
      <c r="A552" t="s">
        <v>4</v>
      </c>
      <c r="B552" s="4" t="s">
        <v>5</v>
      </c>
      <c r="C552" s="4" t="s">
        <v>7</v>
      </c>
      <c r="D552" s="4" t="s">
        <v>13</v>
      </c>
      <c r="E552" s="4" t="s">
        <v>13</v>
      </c>
      <c r="F552" s="4" t="s">
        <v>13</v>
      </c>
    </row>
    <row r="553" spans="1:20">
      <c r="A553" t="n">
        <v>6565</v>
      </c>
      <c r="B553" s="34" t="n">
        <v>161</v>
      </c>
      <c r="C553" s="7" t="n">
        <v>3</v>
      </c>
      <c r="D553" s="7" t="n">
        <v>1</v>
      </c>
      <c r="E553" s="7" t="n">
        <v>1.60000002384186</v>
      </c>
      <c r="F553" s="7" t="n">
        <v>0.0900000035762787</v>
      </c>
    </row>
    <row r="554" spans="1:20">
      <c r="A554" t="s">
        <v>4</v>
      </c>
      <c r="B554" s="4" t="s">
        <v>5</v>
      </c>
      <c r="C554" s="4" t="s">
        <v>7</v>
      </c>
      <c r="D554" s="4" t="s">
        <v>11</v>
      </c>
      <c r="E554" s="4" t="s">
        <v>7</v>
      </c>
      <c r="F554" s="4" t="s">
        <v>7</v>
      </c>
      <c r="G554" s="4" t="s">
        <v>7</v>
      </c>
      <c r="H554" s="4" t="s">
        <v>7</v>
      </c>
      <c r="I554" s="4" t="s">
        <v>7</v>
      </c>
      <c r="J554" s="4" t="s">
        <v>7</v>
      </c>
      <c r="K554" s="4" t="s">
        <v>7</v>
      </c>
      <c r="L554" s="4" t="s">
        <v>7</v>
      </c>
      <c r="M554" s="4" t="s">
        <v>7</v>
      </c>
      <c r="N554" s="4" t="s">
        <v>7</v>
      </c>
      <c r="O554" s="4" t="s">
        <v>7</v>
      </c>
      <c r="P554" s="4" t="s">
        <v>7</v>
      </c>
      <c r="Q554" s="4" t="s">
        <v>7</v>
      </c>
      <c r="R554" s="4" t="s">
        <v>7</v>
      </c>
      <c r="S554" s="4" t="s">
        <v>7</v>
      </c>
      <c r="T554" s="4" t="s">
        <v>7</v>
      </c>
    </row>
    <row r="555" spans="1:20">
      <c r="A555" t="n">
        <v>6579</v>
      </c>
      <c r="B555" s="34" t="n">
        <v>161</v>
      </c>
      <c r="C555" s="7" t="n">
        <v>0</v>
      </c>
      <c r="D555" s="7" t="n">
        <v>11</v>
      </c>
      <c r="E555" s="7" t="n">
        <v>1</v>
      </c>
      <c r="F555" s="7" t="n">
        <v>42</v>
      </c>
      <c r="G555" s="7" t="n">
        <v>0</v>
      </c>
      <c r="H555" s="7" t="n">
        <v>0</v>
      </c>
      <c r="I555" s="7" t="n">
        <v>0</v>
      </c>
      <c r="J555" s="7" t="n">
        <v>0</v>
      </c>
      <c r="K555" s="7" t="n">
        <v>0</v>
      </c>
      <c r="L555" s="7" t="n">
        <v>0</v>
      </c>
      <c r="M555" s="7" t="n">
        <v>0</v>
      </c>
      <c r="N555" s="7" t="n">
        <v>0</v>
      </c>
      <c r="O555" s="7" t="n">
        <v>0</v>
      </c>
      <c r="P555" s="7" t="n">
        <v>0</v>
      </c>
      <c r="Q555" s="7" t="n">
        <v>0</v>
      </c>
      <c r="R555" s="7" t="n">
        <v>0</v>
      </c>
      <c r="S555" s="7" t="n">
        <v>0</v>
      </c>
      <c r="T555" s="7" t="n">
        <v>0</v>
      </c>
    </row>
    <row r="556" spans="1:20">
      <c r="A556" t="s">
        <v>4</v>
      </c>
      <c r="B556" s="4" t="s">
        <v>5</v>
      </c>
      <c r="C556" s="4" t="s">
        <v>7</v>
      </c>
      <c r="D556" s="4" t="s">
        <v>13</v>
      </c>
      <c r="E556" s="4" t="s">
        <v>13</v>
      </c>
      <c r="F556" s="4" t="s">
        <v>13</v>
      </c>
    </row>
    <row r="557" spans="1:20">
      <c r="A557" t="n">
        <v>6599</v>
      </c>
      <c r="B557" s="34" t="n">
        <v>161</v>
      </c>
      <c r="C557" s="7" t="n">
        <v>3</v>
      </c>
      <c r="D557" s="7" t="n">
        <v>1</v>
      </c>
      <c r="E557" s="7" t="n">
        <v>1.60000002384186</v>
      </c>
      <c r="F557" s="7" t="n">
        <v>0.0900000035762787</v>
      </c>
    </row>
    <row r="558" spans="1:20">
      <c r="A558" t="s">
        <v>4</v>
      </c>
      <c r="B558" s="4" t="s">
        <v>5</v>
      </c>
      <c r="C558" s="4" t="s">
        <v>7</v>
      </c>
      <c r="D558" s="4" t="s">
        <v>11</v>
      </c>
      <c r="E558" s="4" t="s">
        <v>7</v>
      </c>
      <c r="F558" s="4" t="s">
        <v>7</v>
      </c>
      <c r="G558" s="4" t="s">
        <v>7</v>
      </c>
      <c r="H558" s="4" t="s">
        <v>7</v>
      </c>
      <c r="I558" s="4" t="s">
        <v>7</v>
      </c>
      <c r="J558" s="4" t="s">
        <v>7</v>
      </c>
      <c r="K558" s="4" t="s">
        <v>7</v>
      </c>
      <c r="L558" s="4" t="s">
        <v>7</v>
      </c>
      <c r="M558" s="4" t="s">
        <v>7</v>
      </c>
      <c r="N558" s="4" t="s">
        <v>7</v>
      </c>
      <c r="O558" s="4" t="s">
        <v>7</v>
      </c>
      <c r="P558" s="4" t="s">
        <v>7</v>
      </c>
      <c r="Q558" s="4" t="s">
        <v>7</v>
      </c>
      <c r="R558" s="4" t="s">
        <v>7</v>
      </c>
      <c r="S558" s="4" t="s">
        <v>7</v>
      </c>
      <c r="T558" s="4" t="s">
        <v>7</v>
      </c>
    </row>
    <row r="559" spans="1:20">
      <c r="A559" t="n">
        <v>6613</v>
      </c>
      <c r="B559" s="34" t="n">
        <v>161</v>
      </c>
      <c r="C559" s="7" t="n">
        <v>0</v>
      </c>
      <c r="D559" s="7" t="n">
        <v>14</v>
      </c>
      <c r="E559" s="7" t="n">
        <v>1</v>
      </c>
      <c r="F559" s="7" t="n">
        <v>42</v>
      </c>
      <c r="G559" s="7" t="n">
        <v>43</v>
      </c>
      <c r="H559" s="7" t="n">
        <v>0</v>
      </c>
      <c r="I559" s="7" t="n">
        <v>0</v>
      </c>
      <c r="J559" s="7" t="n">
        <v>0</v>
      </c>
      <c r="K559" s="7" t="n">
        <v>0</v>
      </c>
      <c r="L559" s="7" t="n">
        <v>0</v>
      </c>
      <c r="M559" s="7" t="n">
        <v>0</v>
      </c>
      <c r="N559" s="7" t="n">
        <v>0</v>
      </c>
      <c r="O559" s="7" t="n">
        <v>0</v>
      </c>
      <c r="P559" s="7" t="n">
        <v>0</v>
      </c>
      <c r="Q559" s="7" t="n">
        <v>0</v>
      </c>
      <c r="R559" s="7" t="n">
        <v>0</v>
      </c>
      <c r="S559" s="7" t="n">
        <v>0</v>
      </c>
      <c r="T559" s="7" t="n">
        <v>0</v>
      </c>
    </row>
    <row r="560" spans="1:20">
      <c r="A560" t="s">
        <v>4</v>
      </c>
      <c r="B560" s="4" t="s">
        <v>5</v>
      </c>
      <c r="C560" s="4" t="s">
        <v>7</v>
      </c>
    </row>
    <row r="561" spans="1:20">
      <c r="A561" t="n">
        <v>6633</v>
      </c>
      <c r="B561" s="34" t="n">
        <v>161</v>
      </c>
      <c r="C561" s="7" t="n">
        <v>1</v>
      </c>
    </row>
    <row r="562" spans="1:20">
      <c r="A562" t="s">
        <v>4</v>
      </c>
      <c r="B562" s="4" t="s">
        <v>5</v>
      </c>
    </row>
    <row r="563" spans="1:20">
      <c r="A563" t="n">
        <v>6635</v>
      </c>
      <c r="B563" s="5" t="n">
        <v>1</v>
      </c>
    </row>
    <row r="564" spans="1:20" s="3" customFormat="1" customHeight="0">
      <c r="A564" s="3" t="s">
        <v>2</v>
      </c>
      <c r="B564" s="3" t="s">
        <v>64</v>
      </c>
    </row>
    <row r="565" spans="1:20">
      <c r="A565" t="s">
        <v>4</v>
      </c>
      <c r="B565" s="4" t="s">
        <v>5</v>
      </c>
      <c r="C565" s="4" t="s">
        <v>7</v>
      </c>
      <c r="D565" s="4" t="s">
        <v>11</v>
      </c>
      <c r="E565" s="4" t="s">
        <v>7</v>
      </c>
      <c r="F565" s="4" t="s">
        <v>7</v>
      </c>
      <c r="G565" s="4" t="s">
        <v>7</v>
      </c>
      <c r="H565" s="4" t="s">
        <v>11</v>
      </c>
      <c r="I565" s="4" t="s">
        <v>12</v>
      </c>
      <c r="J565" s="4" t="s">
        <v>12</v>
      </c>
    </row>
    <row r="566" spans="1:20">
      <c r="A566" t="n">
        <v>6636</v>
      </c>
      <c r="B566" s="35" t="n">
        <v>6</v>
      </c>
      <c r="C566" s="7" t="n">
        <v>33</v>
      </c>
      <c r="D566" s="7" t="n">
        <v>65534</v>
      </c>
      <c r="E566" s="7" t="n">
        <v>9</v>
      </c>
      <c r="F566" s="7" t="n">
        <v>1</v>
      </c>
      <c r="G566" s="7" t="n">
        <v>1</v>
      </c>
      <c r="H566" s="7" t="n">
        <v>42</v>
      </c>
      <c r="I566" s="11" t="n">
        <f t="normal" ca="1">A568</f>
        <v>0</v>
      </c>
      <c r="J566" s="11" t="n">
        <f t="normal" ca="1">A582</f>
        <v>0</v>
      </c>
    </row>
    <row r="567" spans="1:20">
      <c r="A567" t="s">
        <v>4</v>
      </c>
      <c r="B567" s="4" t="s">
        <v>5</v>
      </c>
      <c r="C567" s="4" t="s">
        <v>11</v>
      </c>
      <c r="D567" s="4" t="s">
        <v>13</v>
      </c>
      <c r="E567" s="4" t="s">
        <v>13</v>
      </c>
      <c r="F567" s="4" t="s">
        <v>13</v>
      </c>
      <c r="G567" s="4" t="s">
        <v>13</v>
      </c>
    </row>
    <row r="568" spans="1:20">
      <c r="A568" t="n">
        <v>6653</v>
      </c>
      <c r="B568" s="36" t="n">
        <v>46</v>
      </c>
      <c r="C568" s="7" t="n">
        <v>65534</v>
      </c>
      <c r="D568" s="7" t="n">
        <v>7.25</v>
      </c>
      <c r="E568" s="7" t="n">
        <v>10.0100002288818</v>
      </c>
      <c r="F568" s="7" t="n">
        <v>47.5800018310547</v>
      </c>
      <c r="G568" s="7" t="n">
        <v>90</v>
      </c>
    </row>
    <row r="569" spans="1:20">
      <c r="A569" t="s">
        <v>4</v>
      </c>
      <c r="B569" s="4" t="s">
        <v>5</v>
      </c>
      <c r="C569" s="4" t="s">
        <v>11</v>
      </c>
    </row>
    <row r="570" spans="1:20">
      <c r="A570" t="n">
        <v>6672</v>
      </c>
      <c r="B570" s="29" t="n">
        <v>16</v>
      </c>
      <c r="C570" s="7" t="n">
        <v>0</v>
      </c>
    </row>
    <row r="571" spans="1:20">
      <c r="A571" t="s">
        <v>4</v>
      </c>
      <c r="B571" s="4" t="s">
        <v>5</v>
      </c>
      <c r="C571" s="4" t="s">
        <v>11</v>
      </c>
      <c r="D571" s="4" t="s">
        <v>13</v>
      </c>
      <c r="E571" s="4" t="s">
        <v>13</v>
      </c>
      <c r="F571" s="4" t="s">
        <v>13</v>
      </c>
      <c r="G571" s="4" t="s">
        <v>11</v>
      </c>
      <c r="H571" s="4" t="s">
        <v>11</v>
      </c>
    </row>
    <row r="572" spans="1:20">
      <c r="A572" t="n">
        <v>6675</v>
      </c>
      <c r="B572" s="37" t="n">
        <v>60</v>
      </c>
      <c r="C572" s="7" t="n">
        <v>65534</v>
      </c>
      <c r="D572" s="7" t="n">
        <v>0</v>
      </c>
      <c r="E572" s="7" t="n">
        <v>20</v>
      </c>
      <c r="F572" s="7" t="n">
        <v>0</v>
      </c>
      <c r="G572" s="7" t="n">
        <v>0</v>
      </c>
      <c r="H572" s="7" t="n">
        <v>0</v>
      </c>
    </row>
    <row r="573" spans="1:20">
      <c r="A573" t="s">
        <v>4</v>
      </c>
      <c r="B573" s="4" t="s">
        <v>5</v>
      </c>
      <c r="C573" s="4" t="s">
        <v>7</v>
      </c>
      <c r="D573" s="4" t="s">
        <v>11</v>
      </c>
      <c r="E573" s="4" t="s">
        <v>7</v>
      </c>
      <c r="F573" s="4" t="s">
        <v>11</v>
      </c>
      <c r="G573" s="4" t="s">
        <v>7</v>
      </c>
      <c r="H573" s="4" t="s">
        <v>7</v>
      </c>
      <c r="I573" s="4" t="s">
        <v>12</v>
      </c>
    </row>
    <row r="574" spans="1:20">
      <c r="A574" t="n">
        <v>6694</v>
      </c>
      <c r="B574" s="10" t="n">
        <v>5</v>
      </c>
      <c r="C574" s="7" t="n">
        <v>30</v>
      </c>
      <c r="D574" s="7" t="n">
        <v>10310</v>
      </c>
      <c r="E574" s="7" t="n">
        <v>30</v>
      </c>
      <c r="F574" s="7" t="n">
        <v>10805</v>
      </c>
      <c r="G574" s="7" t="n">
        <v>9</v>
      </c>
      <c r="H574" s="7" t="n">
        <v>1</v>
      </c>
      <c r="I574" s="11" t="n">
        <f t="normal" ca="1">A580</f>
        <v>0</v>
      </c>
    </row>
    <row r="575" spans="1:20">
      <c r="A575" t="s">
        <v>4</v>
      </c>
      <c r="B575" s="4" t="s">
        <v>5</v>
      </c>
      <c r="C575" s="4" t="s">
        <v>7</v>
      </c>
      <c r="D575" s="4" t="s">
        <v>11</v>
      </c>
      <c r="E575" s="4" t="s">
        <v>8</v>
      </c>
      <c r="F575" s="4" t="s">
        <v>8</v>
      </c>
      <c r="G575" s="4" t="s">
        <v>8</v>
      </c>
      <c r="H575" s="4" t="s">
        <v>8</v>
      </c>
    </row>
    <row r="576" spans="1:20">
      <c r="A576" t="n">
        <v>6707</v>
      </c>
      <c r="B576" s="38" t="n">
        <v>51</v>
      </c>
      <c r="C576" s="7" t="n">
        <v>3</v>
      </c>
      <c r="D576" s="7" t="n">
        <v>65534</v>
      </c>
      <c r="E576" s="7" t="s">
        <v>65</v>
      </c>
      <c r="F576" s="7" t="s">
        <v>66</v>
      </c>
      <c r="G576" s="7" t="s">
        <v>67</v>
      </c>
      <c r="H576" s="7" t="s">
        <v>68</v>
      </c>
    </row>
    <row r="577" spans="1:10">
      <c r="A577" t="s">
        <v>4</v>
      </c>
      <c r="B577" s="4" t="s">
        <v>5</v>
      </c>
      <c r="C577" s="4" t="s">
        <v>11</v>
      </c>
      <c r="D577" s="4" t="s">
        <v>15</v>
      </c>
    </row>
    <row r="578" spans="1:10">
      <c r="A578" t="n">
        <v>6735</v>
      </c>
      <c r="B578" s="39" t="n">
        <v>43</v>
      </c>
      <c r="C578" s="7" t="n">
        <v>65534</v>
      </c>
      <c r="D578" s="7" t="n">
        <v>16384</v>
      </c>
    </row>
    <row r="579" spans="1:10">
      <c r="A579" t="s">
        <v>4</v>
      </c>
      <c r="B579" s="4" t="s">
        <v>5</v>
      </c>
      <c r="C579" s="4" t="s">
        <v>12</v>
      </c>
    </row>
    <row r="580" spans="1:10">
      <c r="A580" t="n">
        <v>6742</v>
      </c>
      <c r="B580" s="19" t="n">
        <v>3</v>
      </c>
      <c r="C580" s="11" t="n">
        <f t="normal" ca="1">A582</f>
        <v>0</v>
      </c>
    </row>
    <row r="581" spans="1:10">
      <c r="A581" t="s">
        <v>4</v>
      </c>
      <c r="B581" s="4" t="s">
        <v>5</v>
      </c>
    </row>
    <row r="582" spans="1:10">
      <c r="A582" t="n">
        <v>6747</v>
      </c>
      <c r="B582" s="5" t="n">
        <v>1</v>
      </c>
    </row>
    <row r="583" spans="1:10" s="3" customFormat="1" customHeight="0">
      <c r="A583" s="3" t="s">
        <v>2</v>
      </c>
      <c r="B583" s="3" t="s">
        <v>69</v>
      </c>
    </row>
    <row r="584" spans="1:10">
      <c r="A584" t="s">
        <v>4</v>
      </c>
      <c r="B584" s="4" t="s">
        <v>5</v>
      </c>
      <c r="C584" s="4" t="s">
        <v>7</v>
      </c>
      <c r="D584" s="4" t="s">
        <v>11</v>
      </c>
      <c r="E584" s="4" t="s">
        <v>7</v>
      </c>
      <c r="F584" s="4" t="s">
        <v>7</v>
      </c>
      <c r="G584" s="4" t="s">
        <v>7</v>
      </c>
      <c r="H584" s="4" t="s">
        <v>11</v>
      </c>
      <c r="I584" s="4" t="s">
        <v>12</v>
      </c>
      <c r="J584" s="4" t="s">
        <v>12</v>
      </c>
    </row>
    <row r="585" spans="1:10">
      <c r="A585" t="n">
        <v>6748</v>
      </c>
      <c r="B585" s="35" t="n">
        <v>6</v>
      </c>
      <c r="C585" s="7" t="n">
        <v>33</v>
      </c>
      <c r="D585" s="7" t="n">
        <v>65534</v>
      </c>
      <c r="E585" s="7" t="n">
        <v>9</v>
      </c>
      <c r="F585" s="7" t="n">
        <v>1</v>
      </c>
      <c r="G585" s="7" t="n">
        <v>1</v>
      </c>
      <c r="H585" s="7" t="n">
        <v>42</v>
      </c>
      <c r="I585" s="11" t="n">
        <f t="normal" ca="1">A587</f>
        <v>0</v>
      </c>
      <c r="J585" s="11" t="n">
        <f t="normal" ca="1">A599</f>
        <v>0</v>
      </c>
    </row>
    <row r="586" spans="1:10">
      <c r="A586" t="s">
        <v>4</v>
      </c>
      <c r="B586" s="4" t="s">
        <v>5</v>
      </c>
      <c r="C586" s="4" t="s">
        <v>11</v>
      </c>
      <c r="D586" s="4" t="s">
        <v>13</v>
      </c>
      <c r="E586" s="4" t="s">
        <v>13</v>
      </c>
      <c r="F586" s="4" t="s">
        <v>13</v>
      </c>
      <c r="G586" s="4" t="s">
        <v>13</v>
      </c>
    </row>
    <row r="587" spans="1:10">
      <c r="A587" t="n">
        <v>6765</v>
      </c>
      <c r="B587" s="36" t="n">
        <v>46</v>
      </c>
      <c r="C587" s="7" t="n">
        <v>65534</v>
      </c>
      <c r="D587" s="7" t="n">
        <v>1.95000004768372</v>
      </c>
      <c r="E587" s="7" t="n">
        <v>5.01000022888184</v>
      </c>
      <c r="F587" s="7" t="n">
        <v>48.4500007629395</v>
      </c>
      <c r="G587" s="7" t="n">
        <v>195.600006103516</v>
      </c>
    </row>
    <row r="588" spans="1:10">
      <c r="A588" t="s">
        <v>4</v>
      </c>
      <c r="B588" s="4" t="s">
        <v>5</v>
      </c>
      <c r="C588" s="4" t="s">
        <v>7</v>
      </c>
      <c r="D588" s="4" t="s">
        <v>11</v>
      </c>
      <c r="E588" s="4" t="s">
        <v>7</v>
      </c>
      <c r="F588" s="4" t="s">
        <v>8</v>
      </c>
      <c r="G588" s="4" t="s">
        <v>8</v>
      </c>
      <c r="H588" s="4" t="s">
        <v>8</v>
      </c>
      <c r="I588" s="4" t="s">
        <v>8</v>
      </c>
      <c r="J588" s="4" t="s">
        <v>8</v>
      </c>
      <c r="K588" s="4" t="s">
        <v>8</v>
      </c>
      <c r="L588" s="4" t="s">
        <v>8</v>
      </c>
      <c r="M588" s="4" t="s">
        <v>8</v>
      </c>
      <c r="N588" s="4" t="s">
        <v>8</v>
      </c>
      <c r="O588" s="4" t="s">
        <v>8</v>
      </c>
      <c r="P588" s="4" t="s">
        <v>8</v>
      </c>
      <c r="Q588" s="4" t="s">
        <v>8</v>
      </c>
      <c r="R588" s="4" t="s">
        <v>8</v>
      </c>
      <c r="S588" s="4" t="s">
        <v>8</v>
      </c>
      <c r="T588" s="4" t="s">
        <v>8</v>
      </c>
      <c r="U588" s="4" t="s">
        <v>8</v>
      </c>
    </row>
    <row r="589" spans="1:10">
      <c r="A589" t="n">
        <v>6784</v>
      </c>
      <c r="B589" s="40" t="n">
        <v>36</v>
      </c>
      <c r="C589" s="7" t="n">
        <v>8</v>
      </c>
      <c r="D589" s="7" t="n">
        <v>65534</v>
      </c>
      <c r="E589" s="7" t="n">
        <v>0</v>
      </c>
      <c r="F589" s="7" t="s">
        <v>70</v>
      </c>
      <c r="G589" s="7" t="s">
        <v>16</v>
      </c>
      <c r="H589" s="7" t="s">
        <v>16</v>
      </c>
      <c r="I589" s="7" t="s">
        <v>16</v>
      </c>
      <c r="J589" s="7" t="s">
        <v>16</v>
      </c>
      <c r="K589" s="7" t="s">
        <v>16</v>
      </c>
      <c r="L589" s="7" t="s">
        <v>16</v>
      </c>
      <c r="M589" s="7" t="s">
        <v>16</v>
      </c>
      <c r="N589" s="7" t="s">
        <v>16</v>
      </c>
      <c r="O589" s="7" t="s">
        <v>16</v>
      </c>
      <c r="P589" s="7" t="s">
        <v>16</v>
      </c>
      <c r="Q589" s="7" t="s">
        <v>16</v>
      </c>
      <c r="R589" s="7" t="s">
        <v>16</v>
      </c>
      <c r="S589" s="7" t="s">
        <v>16</v>
      </c>
      <c r="T589" s="7" t="s">
        <v>16</v>
      </c>
      <c r="U589" s="7" t="s">
        <v>16</v>
      </c>
    </row>
    <row r="590" spans="1:10">
      <c r="A590" t="s">
        <v>4</v>
      </c>
      <c r="B590" s="4" t="s">
        <v>5</v>
      </c>
      <c r="C590" s="4" t="s">
        <v>11</v>
      </c>
      <c r="D590" s="4" t="s">
        <v>7</v>
      </c>
      <c r="E590" s="4" t="s">
        <v>7</v>
      </c>
      <c r="F590" s="4" t="s">
        <v>8</v>
      </c>
    </row>
    <row r="591" spans="1:10">
      <c r="A591" t="n">
        <v>6814</v>
      </c>
      <c r="B591" s="41" t="n">
        <v>47</v>
      </c>
      <c r="C591" s="7" t="n">
        <v>65534</v>
      </c>
      <c r="D591" s="7" t="n">
        <v>0</v>
      </c>
      <c r="E591" s="7" t="n">
        <v>0</v>
      </c>
      <c r="F591" s="7" t="s">
        <v>71</v>
      </c>
    </row>
    <row r="592" spans="1:10">
      <c r="A592" t="s">
        <v>4</v>
      </c>
      <c r="B592" s="4" t="s">
        <v>5</v>
      </c>
      <c r="C592" s="4" t="s">
        <v>11</v>
      </c>
      <c r="D592" s="4" t="s">
        <v>7</v>
      </c>
      <c r="E592" s="4" t="s">
        <v>8</v>
      </c>
      <c r="F592" s="4" t="s">
        <v>13</v>
      </c>
      <c r="G592" s="4" t="s">
        <v>13</v>
      </c>
      <c r="H592" s="4" t="s">
        <v>13</v>
      </c>
    </row>
    <row r="593" spans="1:21">
      <c r="A593" t="n">
        <v>6835</v>
      </c>
      <c r="B593" s="42" t="n">
        <v>48</v>
      </c>
      <c r="C593" s="7" t="n">
        <v>65534</v>
      </c>
      <c r="D593" s="7" t="n">
        <v>0</v>
      </c>
      <c r="E593" s="7" t="s">
        <v>70</v>
      </c>
      <c r="F593" s="7" t="n">
        <v>0</v>
      </c>
      <c r="G593" s="7" t="n">
        <v>1</v>
      </c>
      <c r="H593" s="7" t="n">
        <v>0</v>
      </c>
    </row>
    <row r="594" spans="1:21">
      <c r="A594" t="s">
        <v>4</v>
      </c>
      <c r="B594" s="4" t="s">
        <v>5</v>
      </c>
      <c r="C594" s="4" t="s">
        <v>11</v>
      </c>
      <c r="D594" s="4" t="s">
        <v>15</v>
      </c>
    </row>
    <row r="595" spans="1:21">
      <c r="A595" t="n">
        <v>6861</v>
      </c>
      <c r="B595" s="39" t="n">
        <v>43</v>
      </c>
      <c r="C595" s="7" t="n">
        <v>65534</v>
      </c>
      <c r="D595" s="7" t="n">
        <v>64</v>
      </c>
    </row>
    <row r="596" spans="1:21">
      <c r="A596" t="s">
        <v>4</v>
      </c>
      <c r="B596" s="4" t="s">
        <v>5</v>
      </c>
      <c r="C596" s="4" t="s">
        <v>12</v>
      </c>
    </row>
    <row r="597" spans="1:21">
      <c r="A597" t="n">
        <v>6868</v>
      </c>
      <c r="B597" s="19" t="n">
        <v>3</v>
      </c>
      <c r="C597" s="11" t="n">
        <f t="normal" ca="1">A599</f>
        <v>0</v>
      </c>
    </row>
    <row r="598" spans="1:21">
      <c r="A598" t="s">
        <v>4</v>
      </c>
      <c r="B598" s="4" t="s">
        <v>5</v>
      </c>
    </row>
    <row r="599" spans="1:21">
      <c r="A599" t="n">
        <v>6873</v>
      </c>
      <c r="B599" s="5" t="n">
        <v>1</v>
      </c>
    </row>
    <row r="600" spans="1:21" s="3" customFormat="1" customHeight="0">
      <c r="A600" s="3" t="s">
        <v>2</v>
      </c>
      <c r="B600" s="3" t="s">
        <v>72</v>
      </c>
    </row>
    <row r="601" spans="1:21">
      <c r="A601" t="s">
        <v>4</v>
      </c>
      <c r="B601" s="4" t="s">
        <v>5</v>
      </c>
      <c r="C601" s="4" t="s">
        <v>7</v>
      </c>
      <c r="D601" s="4" t="s">
        <v>11</v>
      </c>
      <c r="E601" s="4" t="s">
        <v>7</v>
      </c>
      <c r="F601" s="4" t="s">
        <v>7</v>
      </c>
      <c r="G601" s="4" t="s">
        <v>7</v>
      </c>
      <c r="H601" s="4" t="s">
        <v>11</v>
      </c>
      <c r="I601" s="4" t="s">
        <v>12</v>
      </c>
      <c r="J601" s="4" t="s">
        <v>12</v>
      </c>
    </row>
    <row r="602" spans="1:21">
      <c r="A602" t="n">
        <v>6876</v>
      </c>
      <c r="B602" s="35" t="n">
        <v>6</v>
      </c>
      <c r="C602" s="7" t="n">
        <v>33</v>
      </c>
      <c r="D602" s="7" t="n">
        <v>65534</v>
      </c>
      <c r="E602" s="7" t="n">
        <v>9</v>
      </c>
      <c r="F602" s="7" t="n">
        <v>1</v>
      </c>
      <c r="G602" s="7" t="n">
        <v>1</v>
      </c>
      <c r="H602" s="7" t="n">
        <v>42</v>
      </c>
      <c r="I602" s="11" t="n">
        <f t="normal" ca="1">A604</f>
        <v>0</v>
      </c>
      <c r="J602" s="11" t="n">
        <f t="normal" ca="1">A608</f>
        <v>0</v>
      </c>
    </row>
    <row r="603" spans="1:21">
      <c r="A603" t="s">
        <v>4</v>
      </c>
      <c r="B603" s="4" t="s">
        <v>5</v>
      </c>
      <c r="C603" s="4" t="s">
        <v>11</v>
      </c>
      <c r="D603" s="4" t="s">
        <v>13</v>
      </c>
      <c r="E603" s="4" t="s">
        <v>13</v>
      </c>
      <c r="F603" s="4" t="s">
        <v>13</v>
      </c>
      <c r="G603" s="4" t="s">
        <v>13</v>
      </c>
    </row>
    <row r="604" spans="1:21">
      <c r="A604" t="n">
        <v>6893</v>
      </c>
      <c r="B604" s="36" t="n">
        <v>46</v>
      </c>
      <c r="C604" s="7" t="n">
        <v>65534</v>
      </c>
      <c r="D604" s="7" t="n">
        <v>0.430000007152557</v>
      </c>
      <c r="E604" s="7" t="n">
        <v>10.0100002288818</v>
      </c>
      <c r="F604" s="7" t="n">
        <v>58.3400001525879</v>
      </c>
      <c r="G604" s="7" t="n">
        <v>0</v>
      </c>
    </row>
    <row r="605" spans="1:21">
      <c r="A605" t="s">
        <v>4</v>
      </c>
      <c r="B605" s="4" t="s">
        <v>5</v>
      </c>
      <c r="C605" s="4" t="s">
        <v>12</v>
      </c>
    </row>
    <row r="606" spans="1:21">
      <c r="A606" t="n">
        <v>6912</v>
      </c>
      <c r="B606" s="19" t="n">
        <v>3</v>
      </c>
      <c r="C606" s="11" t="n">
        <f t="normal" ca="1">A608</f>
        <v>0</v>
      </c>
    </row>
    <row r="607" spans="1:21">
      <c r="A607" t="s">
        <v>4</v>
      </c>
      <c r="B607" s="4" t="s">
        <v>5</v>
      </c>
    </row>
    <row r="608" spans="1:21">
      <c r="A608" t="n">
        <v>6917</v>
      </c>
      <c r="B608" s="5" t="n">
        <v>1</v>
      </c>
    </row>
    <row r="609" spans="1:10" s="3" customFormat="1" customHeight="0">
      <c r="A609" s="3" t="s">
        <v>2</v>
      </c>
      <c r="B609" s="3" t="s">
        <v>73</v>
      </c>
    </row>
    <row r="610" spans="1:10">
      <c r="A610" t="s">
        <v>4</v>
      </c>
      <c r="B610" s="4" t="s">
        <v>5</v>
      </c>
      <c r="C610" s="4" t="s">
        <v>7</v>
      </c>
      <c r="D610" s="4" t="s">
        <v>11</v>
      </c>
      <c r="E610" s="4" t="s">
        <v>7</v>
      </c>
      <c r="F610" s="4" t="s">
        <v>7</v>
      </c>
      <c r="G610" s="4" t="s">
        <v>7</v>
      </c>
      <c r="H610" s="4" t="s">
        <v>11</v>
      </c>
      <c r="I610" s="4" t="s">
        <v>12</v>
      </c>
      <c r="J610" s="4" t="s">
        <v>12</v>
      </c>
    </row>
    <row r="611" spans="1:10">
      <c r="A611" t="n">
        <v>6920</v>
      </c>
      <c r="B611" s="35" t="n">
        <v>6</v>
      </c>
      <c r="C611" s="7" t="n">
        <v>33</v>
      </c>
      <c r="D611" s="7" t="n">
        <v>65534</v>
      </c>
      <c r="E611" s="7" t="n">
        <v>9</v>
      </c>
      <c r="F611" s="7" t="n">
        <v>1</v>
      </c>
      <c r="G611" s="7" t="n">
        <v>1</v>
      </c>
      <c r="H611" s="7" t="n">
        <v>42</v>
      </c>
      <c r="I611" s="11" t="n">
        <f t="normal" ca="1">A613</f>
        <v>0</v>
      </c>
      <c r="J611" s="11" t="n">
        <f t="normal" ca="1">A641</f>
        <v>0</v>
      </c>
    </row>
    <row r="612" spans="1:10">
      <c r="A612" t="s">
        <v>4</v>
      </c>
      <c r="B612" s="4" t="s">
        <v>5</v>
      </c>
      <c r="C612" s="4" t="s">
        <v>11</v>
      </c>
      <c r="D612" s="4" t="s">
        <v>13</v>
      </c>
      <c r="E612" s="4" t="s">
        <v>13</v>
      </c>
      <c r="F612" s="4" t="s">
        <v>13</v>
      </c>
      <c r="G612" s="4" t="s">
        <v>13</v>
      </c>
    </row>
    <row r="613" spans="1:10">
      <c r="A613" t="n">
        <v>6937</v>
      </c>
      <c r="B613" s="36" t="n">
        <v>46</v>
      </c>
      <c r="C613" s="7" t="n">
        <v>65534</v>
      </c>
      <c r="D613" s="7" t="n">
        <v>-19.9599990844727</v>
      </c>
      <c r="E613" s="7" t="n">
        <v>5.01000022888184</v>
      </c>
      <c r="F613" s="7" t="n">
        <v>50.4700012207031</v>
      </c>
      <c r="G613" s="7" t="n">
        <v>0</v>
      </c>
    </row>
    <row r="614" spans="1:10">
      <c r="A614" t="s">
        <v>4</v>
      </c>
      <c r="B614" s="4" t="s">
        <v>5</v>
      </c>
      <c r="C614" s="4" t="s">
        <v>7</v>
      </c>
      <c r="D614" s="4" t="s">
        <v>11</v>
      </c>
      <c r="E614" s="4" t="s">
        <v>7</v>
      </c>
      <c r="F614" s="4" t="s">
        <v>8</v>
      </c>
      <c r="G614" s="4" t="s">
        <v>8</v>
      </c>
      <c r="H614" s="4" t="s">
        <v>8</v>
      </c>
      <c r="I614" s="4" t="s">
        <v>8</v>
      </c>
      <c r="J614" s="4" t="s">
        <v>8</v>
      </c>
      <c r="K614" s="4" t="s">
        <v>8</v>
      </c>
      <c r="L614" s="4" t="s">
        <v>8</v>
      </c>
      <c r="M614" s="4" t="s">
        <v>8</v>
      </c>
      <c r="N614" s="4" t="s">
        <v>8</v>
      </c>
      <c r="O614" s="4" t="s">
        <v>8</v>
      </c>
      <c r="P614" s="4" t="s">
        <v>8</v>
      </c>
      <c r="Q614" s="4" t="s">
        <v>8</v>
      </c>
      <c r="R614" s="4" t="s">
        <v>8</v>
      </c>
      <c r="S614" s="4" t="s">
        <v>8</v>
      </c>
      <c r="T614" s="4" t="s">
        <v>8</v>
      </c>
      <c r="U614" s="4" t="s">
        <v>8</v>
      </c>
    </row>
    <row r="615" spans="1:10">
      <c r="A615" t="n">
        <v>6956</v>
      </c>
      <c r="B615" s="40" t="n">
        <v>36</v>
      </c>
      <c r="C615" s="7" t="n">
        <v>8</v>
      </c>
      <c r="D615" s="7" t="n">
        <v>65534</v>
      </c>
      <c r="E615" s="7" t="n">
        <v>0</v>
      </c>
      <c r="F615" s="7" t="s">
        <v>74</v>
      </c>
      <c r="G615" s="7" t="s">
        <v>16</v>
      </c>
      <c r="H615" s="7" t="s">
        <v>16</v>
      </c>
      <c r="I615" s="7" t="s">
        <v>16</v>
      </c>
      <c r="J615" s="7" t="s">
        <v>16</v>
      </c>
      <c r="K615" s="7" t="s">
        <v>16</v>
      </c>
      <c r="L615" s="7" t="s">
        <v>16</v>
      </c>
      <c r="M615" s="7" t="s">
        <v>16</v>
      </c>
      <c r="N615" s="7" t="s">
        <v>16</v>
      </c>
      <c r="O615" s="7" t="s">
        <v>16</v>
      </c>
      <c r="P615" s="7" t="s">
        <v>16</v>
      </c>
      <c r="Q615" s="7" t="s">
        <v>16</v>
      </c>
      <c r="R615" s="7" t="s">
        <v>16</v>
      </c>
      <c r="S615" s="7" t="s">
        <v>16</v>
      </c>
      <c r="T615" s="7" t="s">
        <v>16</v>
      </c>
      <c r="U615" s="7" t="s">
        <v>16</v>
      </c>
    </row>
    <row r="616" spans="1:10">
      <c r="A616" t="s">
        <v>4</v>
      </c>
      <c r="B616" s="4" t="s">
        <v>5</v>
      </c>
      <c r="C616" s="4" t="s">
        <v>11</v>
      </c>
      <c r="D616" s="4" t="s">
        <v>7</v>
      </c>
      <c r="E616" s="4" t="s">
        <v>8</v>
      </c>
      <c r="F616" s="4" t="s">
        <v>13</v>
      </c>
      <c r="G616" s="4" t="s">
        <v>13</v>
      </c>
      <c r="H616" s="4" t="s">
        <v>13</v>
      </c>
    </row>
    <row r="617" spans="1:10">
      <c r="A617" t="n">
        <v>6989</v>
      </c>
      <c r="B617" s="42" t="n">
        <v>48</v>
      </c>
      <c r="C617" s="7" t="n">
        <v>65534</v>
      </c>
      <c r="D617" s="7" t="n">
        <v>0</v>
      </c>
      <c r="E617" s="7" t="s">
        <v>74</v>
      </c>
      <c r="F617" s="7" t="n">
        <v>0</v>
      </c>
      <c r="G617" s="7" t="n">
        <v>1</v>
      </c>
      <c r="H617" s="7" t="n">
        <v>0</v>
      </c>
    </row>
    <row r="618" spans="1:10">
      <c r="A618" t="s">
        <v>4</v>
      </c>
      <c r="B618" s="4" t="s">
        <v>5</v>
      </c>
      <c r="C618" s="4" t="s">
        <v>11</v>
      </c>
      <c r="D618" s="4" t="s">
        <v>15</v>
      </c>
    </row>
    <row r="619" spans="1:10">
      <c r="A619" t="n">
        <v>7018</v>
      </c>
      <c r="B619" s="39" t="n">
        <v>43</v>
      </c>
      <c r="C619" s="7" t="n">
        <v>65534</v>
      </c>
      <c r="D619" s="7" t="n">
        <v>64</v>
      </c>
    </row>
    <row r="620" spans="1:10">
      <c r="A620" t="s">
        <v>4</v>
      </c>
      <c r="B620" s="4" t="s">
        <v>5</v>
      </c>
      <c r="C620" s="4" t="s">
        <v>11</v>
      </c>
    </row>
    <row r="621" spans="1:10">
      <c r="A621" t="n">
        <v>7025</v>
      </c>
      <c r="B621" s="29" t="n">
        <v>16</v>
      </c>
      <c r="C621" s="7" t="n">
        <v>0</v>
      </c>
    </row>
    <row r="622" spans="1:10">
      <c r="A622" t="s">
        <v>4</v>
      </c>
      <c r="B622" s="4" t="s">
        <v>5</v>
      </c>
      <c r="C622" s="4" t="s">
        <v>11</v>
      </c>
      <c r="D622" s="4" t="s">
        <v>13</v>
      </c>
      <c r="E622" s="4" t="s">
        <v>13</v>
      </c>
      <c r="F622" s="4" t="s">
        <v>13</v>
      </c>
      <c r="G622" s="4" t="s">
        <v>11</v>
      </c>
      <c r="H622" s="4" t="s">
        <v>11</v>
      </c>
    </row>
    <row r="623" spans="1:10">
      <c r="A623" t="n">
        <v>7028</v>
      </c>
      <c r="B623" s="37" t="n">
        <v>60</v>
      </c>
      <c r="C623" s="7" t="n">
        <v>65534</v>
      </c>
      <c r="D623" s="7" t="n">
        <v>0</v>
      </c>
      <c r="E623" s="7" t="n">
        <v>-20</v>
      </c>
      <c r="F623" s="7" t="n">
        <v>0</v>
      </c>
      <c r="G623" s="7" t="n">
        <v>0</v>
      </c>
      <c r="H623" s="7" t="n">
        <v>0</v>
      </c>
    </row>
    <row r="624" spans="1:10">
      <c r="A624" t="s">
        <v>4</v>
      </c>
      <c r="B624" s="4" t="s">
        <v>5</v>
      </c>
      <c r="C624" s="4" t="s">
        <v>7</v>
      </c>
      <c r="D624" s="4" t="s">
        <v>8</v>
      </c>
      <c r="E624" s="4" t="s">
        <v>13</v>
      </c>
      <c r="F624" s="4" t="s">
        <v>13</v>
      </c>
      <c r="G624" s="4" t="s">
        <v>13</v>
      </c>
    </row>
    <row r="625" spans="1:21">
      <c r="A625" t="n">
        <v>7047</v>
      </c>
      <c r="B625" s="15" t="n">
        <v>94</v>
      </c>
      <c r="C625" s="7" t="n">
        <v>2</v>
      </c>
      <c r="D625" s="7" t="s">
        <v>75</v>
      </c>
      <c r="E625" s="7" t="n">
        <v>-20</v>
      </c>
      <c r="F625" s="7" t="n">
        <v>5</v>
      </c>
      <c r="G625" s="7" t="n">
        <v>50.4650001525879</v>
      </c>
    </row>
    <row r="626" spans="1:21">
      <c r="A626" t="s">
        <v>4</v>
      </c>
      <c r="B626" s="4" t="s">
        <v>5</v>
      </c>
      <c r="C626" s="4" t="s">
        <v>7</v>
      </c>
      <c r="D626" s="4" t="s">
        <v>8</v>
      </c>
      <c r="E626" s="4" t="s">
        <v>11</v>
      </c>
    </row>
    <row r="627" spans="1:21">
      <c r="A627" t="n">
        <v>7071</v>
      </c>
      <c r="B627" s="15" t="n">
        <v>94</v>
      </c>
      <c r="C627" s="7" t="n">
        <v>0</v>
      </c>
      <c r="D627" s="7" t="s">
        <v>18</v>
      </c>
      <c r="E627" s="7" t="n">
        <v>1</v>
      </c>
    </row>
    <row r="628" spans="1:21">
      <c r="A628" t="s">
        <v>4</v>
      </c>
      <c r="B628" s="4" t="s">
        <v>5</v>
      </c>
      <c r="C628" s="4" t="s">
        <v>7</v>
      </c>
      <c r="D628" s="4" t="s">
        <v>8</v>
      </c>
      <c r="E628" s="4" t="s">
        <v>11</v>
      </c>
    </row>
    <row r="629" spans="1:21">
      <c r="A629" t="n">
        <v>7089</v>
      </c>
      <c r="B629" s="15" t="n">
        <v>94</v>
      </c>
      <c r="C629" s="7" t="n">
        <v>0</v>
      </c>
      <c r="D629" s="7" t="s">
        <v>18</v>
      </c>
      <c r="E629" s="7" t="n">
        <v>2</v>
      </c>
    </row>
    <row r="630" spans="1:21">
      <c r="A630" t="s">
        <v>4</v>
      </c>
      <c r="B630" s="4" t="s">
        <v>5</v>
      </c>
      <c r="C630" s="4" t="s">
        <v>7</v>
      </c>
      <c r="D630" s="4" t="s">
        <v>8</v>
      </c>
      <c r="E630" s="4" t="s">
        <v>11</v>
      </c>
    </row>
    <row r="631" spans="1:21">
      <c r="A631" t="n">
        <v>7107</v>
      </c>
      <c r="B631" s="15" t="n">
        <v>94</v>
      </c>
      <c r="C631" s="7" t="n">
        <v>1</v>
      </c>
      <c r="D631" s="7" t="s">
        <v>18</v>
      </c>
      <c r="E631" s="7" t="n">
        <v>4</v>
      </c>
    </row>
    <row r="632" spans="1:21">
      <c r="A632" t="s">
        <v>4</v>
      </c>
      <c r="B632" s="4" t="s">
        <v>5</v>
      </c>
      <c r="C632" s="4" t="s">
        <v>7</v>
      </c>
      <c r="D632" s="4" t="s">
        <v>8</v>
      </c>
    </row>
    <row r="633" spans="1:21">
      <c r="A633" t="n">
        <v>7125</v>
      </c>
      <c r="B633" s="15" t="n">
        <v>94</v>
      </c>
      <c r="C633" s="7" t="n">
        <v>5</v>
      </c>
      <c r="D633" s="7" t="s">
        <v>18</v>
      </c>
    </row>
    <row r="634" spans="1:21">
      <c r="A634" t="s">
        <v>4</v>
      </c>
      <c r="B634" s="4" t="s">
        <v>5</v>
      </c>
      <c r="C634" s="4" t="s">
        <v>7</v>
      </c>
      <c r="D634" s="4" t="s">
        <v>11</v>
      </c>
      <c r="E634" s="4" t="s">
        <v>8</v>
      </c>
      <c r="F634" s="4" t="s">
        <v>8</v>
      </c>
      <c r="G634" s="4" t="s">
        <v>8</v>
      </c>
      <c r="H634" s="4" t="s">
        <v>8</v>
      </c>
    </row>
    <row r="635" spans="1:21">
      <c r="A635" t="n">
        <v>7141</v>
      </c>
      <c r="B635" s="38" t="n">
        <v>51</v>
      </c>
      <c r="C635" s="7" t="n">
        <v>3</v>
      </c>
      <c r="D635" s="7" t="n">
        <v>65534</v>
      </c>
      <c r="E635" s="7" t="s">
        <v>76</v>
      </c>
      <c r="F635" s="7" t="s">
        <v>77</v>
      </c>
      <c r="G635" s="7" t="s">
        <v>78</v>
      </c>
      <c r="H635" s="7" t="s">
        <v>79</v>
      </c>
    </row>
    <row r="636" spans="1:21">
      <c r="A636" t="s">
        <v>4</v>
      </c>
      <c r="B636" s="4" t="s">
        <v>5</v>
      </c>
      <c r="C636" s="4" t="s">
        <v>11</v>
      </c>
      <c r="D636" s="4" t="s">
        <v>15</v>
      </c>
    </row>
    <row r="637" spans="1:21">
      <c r="A637" t="n">
        <v>7170</v>
      </c>
      <c r="B637" s="39" t="n">
        <v>43</v>
      </c>
      <c r="C637" s="7" t="n">
        <v>65534</v>
      </c>
      <c r="D637" s="7" t="n">
        <v>16384</v>
      </c>
    </row>
    <row r="638" spans="1:21">
      <c r="A638" t="s">
        <v>4</v>
      </c>
      <c r="B638" s="4" t="s">
        <v>5</v>
      </c>
      <c r="C638" s="4" t="s">
        <v>12</v>
      </c>
    </row>
    <row r="639" spans="1:21">
      <c r="A639" t="n">
        <v>7177</v>
      </c>
      <c r="B639" s="19" t="n">
        <v>3</v>
      </c>
      <c r="C639" s="11" t="n">
        <f t="normal" ca="1">A641</f>
        <v>0</v>
      </c>
    </row>
    <row r="640" spans="1:21">
      <c r="A640" t="s">
        <v>4</v>
      </c>
      <c r="B640" s="4" t="s">
        <v>5</v>
      </c>
    </row>
    <row r="641" spans="1:8">
      <c r="A641" t="n">
        <v>7182</v>
      </c>
      <c r="B641" s="5" t="n">
        <v>1</v>
      </c>
    </row>
    <row r="642" spans="1:8" s="3" customFormat="1" customHeight="0">
      <c r="A642" s="3" t="s">
        <v>2</v>
      </c>
      <c r="B642" s="3" t="s">
        <v>80</v>
      </c>
    </row>
    <row r="643" spans="1:8">
      <c r="A643" t="s">
        <v>4</v>
      </c>
      <c r="B643" s="4" t="s">
        <v>5</v>
      </c>
      <c r="C643" s="4" t="s">
        <v>7</v>
      </c>
      <c r="D643" s="4" t="s">
        <v>11</v>
      </c>
      <c r="E643" s="4" t="s">
        <v>7</v>
      </c>
      <c r="F643" s="4" t="s">
        <v>7</v>
      </c>
      <c r="G643" s="4" t="s">
        <v>7</v>
      </c>
      <c r="H643" s="4" t="s">
        <v>11</v>
      </c>
      <c r="I643" s="4" t="s">
        <v>12</v>
      </c>
      <c r="J643" s="4" t="s">
        <v>12</v>
      </c>
    </row>
    <row r="644" spans="1:8">
      <c r="A644" t="n">
        <v>7184</v>
      </c>
      <c r="B644" s="35" t="n">
        <v>6</v>
      </c>
      <c r="C644" s="7" t="n">
        <v>33</v>
      </c>
      <c r="D644" s="7" t="n">
        <v>65534</v>
      </c>
      <c r="E644" s="7" t="n">
        <v>9</v>
      </c>
      <c r="F644" s="7" t="n">
        <v>1</v>
      </c>
      <c r="G644" s="7" t="n">
        <v>1</v>
      </c>
      <c r="H644" s="7" t="n">
        <v>42</v>
      </c>
      <c r="I644" s="11" t="n">
        <f t="normal" ca="1">A646</f>
        <v>0</v>
      </c>
      <c r="J644" s="11" t="n">
        <f t="normal" ca="1">A672</f>
        <v>0</v>
      </c>
    </row>
    <row r="645" spans="1:8">
      <c r="A645" t="s">
        <v>4</v>
      </c>
      <c r="B645" s="4" t="s">
        <v>5</v>
      </c>
      <c r="C645" s="4" t="s">
        <v>11</v>
      </c>
      <c r="D645" s="4" t="s">
        <v>13</v>
      </c>
      <c r="E645" s="4" t="s">
        <v>13</v>
      </c>
      <c r="F645" s="4" t="s">
        <v>13</v>
      </c>
      <c r="G645" s="4" t="s">
        <v>13</v>
      </c>
    </row>
    <row r="646" spans="1:8">
      <c r="A646" t="n">
        <v>7201</v>
      </c>
      <c r="B646" s="36" t="n">
        <v>46</v>
      </c>
      <c r="C646" s="7" t="n">
        <v>65534</v>
      </c>
      <c r="D646" s="7" t="n">
        <v>-20.1200008392334</v>
      </c>
      <c r="E646" s="7" t="n">
        <v>10.0100002288818</v>
      </c>
      <c r="F646" s="7" t="n">
        <v>58.4799995422363</v>
      </c>
      <c r="G646" s="7" t="n">
        <v>0</v>
      </c>
    </row>
    <row r="647" spans="1:8">
      <c r="A647" t="s">
        <v>4</v>
      </c>
      <c r="B647" s="4" t="s">
        <v>5</v>
      </c>
      <c r="C647" s="4" t="s">
        <v>7</v>
      </c>
      <c r="D647" s="4" t="s">
        <v>11</v>
      </c>
      <c r="E647" s="4" t="s">
        <v>7</v>
      </c>
      <c r="F647" s="4" t="s">
        <v>8</v>
      </c>
      <c r="G647" s="4" t="s">
        <v>8</v>
      </c>
      <c r="H647" s="4" t="s">
        <v>8</v>
      </c>
      <c r="I647" s="4" t="s">
        <v>8</v>
      </c>
      <c r="J647" s="4" t="s">
        <v>8</v>
      </c>
      <c r="K647" s="4" t="s">
        <v>8</v>
      </c>
      <c r="L647" s="4" t="s">
        <v>8</v>
      </c>
      <c r="M647" s="4" t="s">
        <v>8</v>
      </c>
      <c r="N647" s="4" t="s">
        <v>8</v>
      </c>
      <c r="O647" s="4" t="s">
        <v>8</v>
      </c>
      <c r="P647" s="4" t="s">
        <v>8</v>
      </c>
      <c r="Q647" s="4" t="s">
        <v>8</v>
      </c>
      <c r="R647" s="4" t="s">
        <v>8</v>
      </c>
      <c r="S647" s="4" t="s">
        <v>8</v>
      </c>
      <c r="T647" s="4" t="s">
        <v>8</v>
      </c>
      <c r="U647" s="4" t="s">
        <v>8</v>
      </c>
    </row>
    <row r="648" spans="1:8">
      <c r="A648" t="n">
        <v>7220</v>
      </c>
      <c r="B648" s="40" t="n">
        <v>36</v>
      </c>
      <c r="C648" s="7" t="n">
        <v>8</v>
      </c>
      <c r="D648" s="7" t="n">
        <v>65534</v>
      </c>
      <c r="E648" s="7" t="n">
        <v>0</v>
      </c>
      <c r="F648" s="7" t="s">
        <v>81</v>
      </c>
      <c r="G648" s="7" t="s">
        <v>16</v>
      </c>
      <c r="H648" s="7" t="s">
        <v>16</v>
      </c>
      <c r="I648" s="7" t="s">
        <v>16</v>
      </c>
      <c r="J648" s="7" t="s">
        <v>16</v>
      </c>
      <c r="K648" s="7" t="s">
        <v>16</v>
      </c>
      <c r="L648" s="7" t="s">
        <v>16</v>
      </c>
      <c r="M648" s="7" t="s">
        <v>16</v>
      </c>
      <c r="N648" s="7" t="s">
        <v>16</v>
      </c>
      <c r="O648" s="7" t="s">
        <v>16</v>
      </c>
      <c r="P648" s="7" t="s">
        <v>16</v>
      </c>
      <c r="Q648" s="7" t="s">
        <v>16</v>
      </c>
      <c r="R648" s="7" t="s">
        <v>16</v>
      </c>
      <c r="S648" s="7" t="s">
        <v>16</v>
      </c>
      <c r="T648" s="7" t="s">
        <v>16</v>
      </c>
      <c r="U648" s="7" t="s">
        <v>16</v>
      </c>
    </row>
    <row r="649" spans="1:8">
      <c r="A649" t="s">
        <v>4</v>
      </c>
      <c r="B649" s="4" t="s">
        <v>5</v>
      </c>
      <c r="C649" s="4" t="s">
        <v>11</v>
      </c>
      <c r="D649" s="4" t="s">
        <v>7</v>
      </c>
      <c r="E649" s="4" t="s">
        <v>8</v>
      </c>
      <c r="F649" s="4" t="s">
        <v>13</v>
      </c>
      <c r="G649" s="4" t="s">
        <v>13</v>
      </c>
      <c r="H649" s="4" t="s">
        <v>13</v>
      </c>
    </row>
    <row r="650" spans="1:8">
      <c r="A650" t="n">
        <v>7259</v>
      </c>
      <c r="B650" s="42" t="n">
        <v>48</v>
      </c>
      <c r="C650" s="7" t="n">
        <v>65534</v>
      </c>
      <c r="D650" s="7" t="n">
        <v>0</v>
      </c>
      <c r="E650" s="7" t="s">
        <v>82</v>
      </c>
      <c r="F650" s="7" t="n">
        <v>-1</v>
      </c>
      <c r="G650" s="7" t="n">
        <v>1</v>
      </c>
      <c r="H650" s="7" t="n">
        <v>0</v>
      </c>
    </row>
    <row r="651" spans="1:8">
      <c r="A651" t="s">
        <v>4</v>
      </c>
      <c r="B651" s="4" t="s">
        <v>5</v>
      </c>
      <c r="C651" s="4" t="s">
        <v>11</v>
      </c>
      <c r="D651" s="4" t="s">
        <v>7</v>
      </c>
      <c r="E651" s="4" t="s">
        <v>8</v>
      </c>
      <c r="F651" s="4" t="s">
        <v>13</v>
      </c>
      <c r="G651" s="4" t="s">
        <v>13</v>
      </c>
      <c r="H651" s="4" t="s">
        <v>13</v>
      </c>
    </row>
    <row r="652" spans="1:8">
      <c r="A652" t="n">
        <v>7291</v>
      </c>
      <c r="B652" s="42" t="n">
        <v>48</v>
      </c>
      <c r="C652" s="7" t="n">
        <v>65534</v>
      </c>
      <c r="D652" s="7" t="n">
        <v>0</v>
      </c>
      <c r="E652" s="7" t="s">
        <v>81</v>
      </c>
      <c r="F652" s="7" t="n">
        <v>0</v>
      </c>
      <c r="G652" s="7" t="n">
        <v>1</v>
      </c>
      <c r="H652" s="7" t="n">
        <v>1.40129846432482e-45</v>
      </c>
    </row>
    <row r="653" spans="1:8">
      <c r="A653" t="s">
        <v>4</v>
      </c>
      <c r="B653" s="4" t="s">
        <v>5</v>
      </c>
      <c r="C653" s="4" t="s">
        <v>11</v>
      </c>
      <c r="D653" s="4" t="s">
        <v>15</v>
      </c>
    </row>
    <row r="654" spans="1:8">
      <c r="A654" t="n">
        <v>7326</v>
      </c>
      <c r="B654" s="39" t="n">
        <v>43</v>
      </c>
      <c r="C654" s="7" t="n">
        <v>65534</v>
      </c>
      <c r="D654" s="7" t="n">
        <v>64</v>
      </c>
    </row>
    <row r="655" spans="1:8">
      <c r="A655" t="s">
        <v>4</v>
      </c>
      <c r="B655" s="4" t="s">
        <v>5</v>
      </c>
      <c r="C655" s="4" t="s">
        <v>11</v>
      </c>
    </row>
    <row r="656" spans="1:8">
      <c r="A656" t="n">
        <v>7333</v>
      </c>
      <c r="B656" s="29" t="n">
        <v>16</v>
      </c>
      <c r="C656" s="7" t="n">
        <v>0</v>
      </c>
    </row>
    <row r="657" spans="1:21">
      <c r="A657" t="s">
        <v>4</v>
      </c>
      <c r="B657" s="4" t="s">
        <v>5</v>
      </c>
      <c r="C657" s="4" t="s">
        <v>11</v>
      </c>
      <c r="D657" s="4" t="s">
        <v>13</v>
      </c>
      <c r="E657" s="4" t="s">
        <v>13</v>
      </c>
      <c r="F657" s="4" t="s">
        <v>13</v>
      </c>
      <c r="G657" s="4" t="s">
        <v>11</v>
      </c>
      <c r="H657" s="4" t="s">
        <v>11</v>
      </c>
    </row>
    <row r="658" spans="1:21">
      <c r="A658" t="n">
        <v>7336</v>
      </c>
      <c r="B658" s="37" t="n">
        <v>60</v>
      </c>
      <c r="C658" s="7" t="n">
        <v>65534</v>
      </c>
      <c r="D658" s="7" t="n">
        <v>0</v>
      </c>
      <c r="E658" s="7" t="n">
        <v>-20</v>
      </c>
      <c r="F658" s="7" t="n">
        <v>0</v>
      </c>
      <c r="G658" s="7" t="n">
        <v>0</v>
      </c>
      <c r="H658" s="7" t="n">
        <v>0</v>
      </c>
    </row>
    <row r="659" spans="1:21">
      <c r="A659" t="s">
        <v>4</v>
      </c>
      <c r="B659" s="4" t="s">
        <v>5</v>
      </c>
      <c r="C659" s="4" t="s">
        <v>7</v>
      </c>
      <c r="D659" s="4" t="s">
        <v>8</v>
      </c>
      <c r="E659" s="4" t="s">
        <v>13</v>
      </c>
      <c r="F659" s="4" t="s">
        <v>13</v>
      </c>
      <c r="G659" s="4" t="s">
        <v>13</v>
      </c>
    </row>
    <row r="660" spans="1:21">
      <c r="A660" t="n">
        <v>7355</v>
      </c>
      <c r="B660" s="15" t="n">
        <v>94</v>
      </c>
      <c r="C660" s="7" t="n">
        <v>2</v>
      </c>
      <c r="D660" s="7" t="s">
        <v>83</v>
      </c>
      <c r="E660" s="7" t="n">
        <v>-20.1319999694824</v>
      </c>
      <c r="F660" s="7" t="n">
        <v>10</v>
      </c>
      <c r="G660" s="7" t="n">
        <v>58.4379997253418</v>
      </c>
    </row>
    <row r="661" spans="1:21">
      <c r="A661" t="s">
        <v>4</v>
      </c>
      <c r="B661" s="4" t="s">
        <v>5</v>
      </c>
      <c r="C661" s="4" t="s">
        <v>7</v>
      </c>
      <c r="D661" s="4" t="s">
        <v>8</v>
      </c>
      <c r="E661" s="4" t="s">
        <v>11</v>
      </c>
    </row>
    <row r="662" spans="1:21">
      <c r="A662" t="n">
        <v>7379</v>
      </c>
      <c r="B662" s="15" t="n">
        <v>94</v>
      </c>
      <c r="C662" s="7" t="n">
        <v>0</v>
      </c>
      <c r="D662" s="7" t="s">
        <v>23</v>
      </c>
      <c r="E662" s="7" t="n">
        <v>1</v>
      </c>
    </row>
    <row r="663" spans="1:21">
      <c r="A663" t="s">
        <v>4</v>
      </c>
      <c r="B663" s="4" t="s">
        <v>5</v>
      </c>
      <c r="C663" s="4" t="s">
        <v>7</v>
      </c>
      <c r="D663" s="4" t="s">
        <v>8</v>
      </c>
      <c r="E663" s="4" t="s">
        <v>11</v>
      </c>
    </row>
    <row r="664" spans="1:21">
      <c r="A664" t="n">
        <v>7397</v>
      </c>
      <c r="B664" s="15" t="n">
        <v>94</v>
      </c>
      <c r="C664" s="7" t="n">
        <v>0</v>
      </c>
      <c r="D664" s="7" t="s">
        <v>23</v>
      </c>
      <c r="E664" s="7" t="n">
        <v>2</v>
      </c>
    </row>
    <row r="665" spans="1:21">
      <c r="A665" t="s">
        <v>4</v>
      </c>
      <c r="B665" s="4" t="s">
        <v>5</v>
      </c>
      <c r="C665" s="4" t="s">
        <v>7</v>
      </c>
      <c r="D665" s="4" t="s">
        <v>8</v>
      </c>
      <c r="E665" s="4" t="s">
        <v>11</v>
      </c>
    </row>
    <row r="666" spans="1:21">
      <c r="A666" t="n">
        <v>7415</v>
      </c>
      <c r="B666" s="15" t="n">
        <v>94</v>
      </c>
      <c r="C666" s="7" t="n">
        <v>1</v>
      </c>
      <c r="D666" s="7" t="s">
        <v>23</v>
      </c>
      <c r="E666" s="7" t="n">
        <v>4</v>
      </c>
    </row>
    <row r="667" spans="1:21">
      <c r="A667" t="s">
        <v>4</v>
      </c>
      <c r="B667" s="4" t="s">
        <v>5</v>
      </c>
      <c r="C667" s="4" t="s">
        <v>7</v>
      </c>
      <c r="D667" s="4" t="s">
        <v>8</v>
      </c>
    </row>
    <row r="668" spans="1:21">
      <c r="A668" t="n">
        <v>7433</v>
      </c>
      <c r="B668" s="15" t="n">
        <v>94</v>
      </c>
      <c r="C668" s="7" t="n">
        <v>5</v>
      </c>
      <c r="D668" s="7" t="s">
        <v>23</v>
      </c>
    </row>
    <row r="669" spans="1:21">
      <c r="A669" t="s">
        <v>4</v>
      </c>
      <c r="B669" s="4" t="s">
        <v>5</v>
      </c>
      <c r="C669" s="4" t="s">
        <v>12</v>
      </c>
    </row>
    <row r="670" spans="1:21">
      <c r="A670" t="n">
        <v>7449</v>
      </c>
      <c r="B670" s="19" t="n">
        <v>3</v>
      </c>
      <c r="C670" s="11" t="n">
        <f t="normal" ca="1">A672</f>
        <v>0</v>
      </c>
    </row>
    <row r="671" spans="1:21">
      <c r="A671" t="s">
        <v>4</v>
      </c>
      <c r="B671" s="4" t="s">
        <v>5</v>
      </c>
    </row>
    <row r="672" spans="1:21">
      <c r="A672" t="n">
        <v>7454</v>
      </c>
      <c r="B672" s="5" t="n">
        <v>1</v>
      </c>
    </row>
    <row r="673" spans="1:8" s="3" customFormat="1" customHeight="0">
      <c r="A673" s="3" t="s">
        <v>2</v>
      </c>
      <c r="B673" s="3" t="s">
        <v>84</v>
      </c>
    </row>
    <row r="674" spans="1:8">
      <c r="A674" t="s">
        <v>4</v>
      </c>
      <c r="B674" s="4" t="s">
        <v>5</v>
      </c>
      <c r="C674" s="4" t="s">
        <v>7</v>
      </c>
      <c r="D674" s="4" t="s">
        <v>11</v>
      </c>
      <c r="E674" s="4" t="s">
        <v>7</v>
      </c>
      <c r="F674" s="4" t="s">
        <v>7</v>
      </c>
      <c r="G674" s="4" t="s">
        <v>7</v>
      </c>
      <c r="H674" s="4" t="s">
        <v>11</v>
      </c>
      <c r="I674" s="4" t="s">
        <v>12</v>
      </c>
      <c r="J674" s="4" t="s">
        <v>12</v>
      </c>
    </row>
    <row r="675" spans="1:8">
      <c r="A675" t="n">
        <v>7456</v>
      </c>
      <c r="B675" s="35" t="n">
        <v>6</v>
      </c>
      <c r="C675" s="7" t="n">
        <v>33</v>
      </c>
      <c r="D675" s="7" t="n">
        <v>65534</v>
      </c>
      <c r="E675" s="7" t="n">
        <v>9</v>
      </c>
      <c r="F675" s="7" t="n">
        <v>1</v>
      </c>
      <c r="G675" s="7" t="n">
        <v>1</v>
      </c>
      <c r="H675" s="7" t="n">
        <v>42</v>
      </c>
      <c r="I675" s="11" t="n">
        <f t="normal" ca="1">A677</f>
        <v>0</v>
      </c>
      <c r="J675" s="11" t="n">
        <f t="normal" ca="1">A691</f>
        <v>0</v>
      </c>
    </row>
    <row r="676" spans="1:8">
      <c r="A676" t="s">
        <v>4</v>
      </c>
      <c r="B676" s="4" t="s">
        <v>5</v>
      </c>
      <c r="C676" s="4" t="s">
        <v>11</v>
      </c>
      <c r="D676" s="4" t="s">
        <v>13</v>
      </c>
      <c r="E676" s="4" t="s">
        <v>13</v>
      </c>
      <c r="F676" s="4" t="s">
        <v>13</v>
      </c>
      <c r="G676" s="4" t="s">
        <v>13</v>
      </c>
    </row>
    <row r="677" spans="1:8">
      <c r="A677" t="n">
        <v>7473</v>
      </c>
      <c r="B677" s="36" t="n">
        <v>46</v>
      </c>
      <c r="C677" s="7" t="n">
        <v>65534</v>
      </c>
      <c r="D677" s="7" t="n">
        <v>4.26999998092651</v>
      </c>
      <c r="E677" s="7" t="n">
        <v>0</v>
      </c>
      <c r="F677" s="7" t="n">
        <v>49.689998626709</v>
      </c>
      <c r="G677" s="7" t="n">
        <v>70.3000030517578</v>
      </c>
    </row>
    <row r="678" spans="1:8">
      <c r="A678" t="s">
        <v>4</v>
      </c>
      <c r="B678" s="4" t="s">
        <v>5</v>
      </c>
      <c r="C678" s="4" t="s">
        <v>7</v>
      </c>
      <c r="D678" s="4" t="s">
        <v>11</v>
      </c>
      <c r="E678" s="4" t="s">
        <v>7</v>
      </c>
      <c r="F678" s="4" t="s">
        <v>8</v>
      </c>
      <c r="G678" s="4" t="s">
        <v>8</v>
      </c>
      <c r="H678" s="4" t="s">
        <v>8</v>
      </c>
      <c r="I678" s="4" t="s">
        <v>8</v>
      </c>
      <c r="J678" s="4" t="s">
        <v>8</v>
      </c>
      <c r="K678" s="4" t="s">
        <v>8</v>
      </c>
      <c r="L678" s="4" t="s">
        <v>8</v>
      </c>
      <c r="M678" s="4" t="s">
        <v>8</v>
      </c>
      <c r="N678" s="4" t="s">
        <v>8</v>
      </c>
      <c r="O678" s="4" t="s">
        <v>8</v>
      </c>
      <c r="P678" s="4" t="s">
        <v>8</v>
      </c>
      <c r="Q678" s="4" t="s">
        <v>8</v>
      </c>
      <c r="R678" s="4" t="s">
        <v>8</v>
      </c>
      <c r="S678" s="4" t="s">
        <v>8</v>
      </c>
      <c r="T678" s="4" t="s">
        <v>8</v>
      </c>
      <c r="U678" s="4" t="s">
        <v>8</v>
      </c>
    </row>
    <row r="679" spans="1:8">
      <c r="A679" t="n">
        <v>7492</v>
      </c>
      <c r="B679" s="40" t="n">
        <v>36</v>
      </c>
      <c r="C679" s="7" t="n">
        <v>8</v>
      </c>
      <c r="D679" s="7" t="n">
        <v>65534</v>
      </c>
      <c r="E679" s="7" t="n">
        <v>0</v>
      </c>
      <c r="F679" s="7" t="s">
        <v>85</v>
      </c>
      <c r="G679" s="7" t="s">
        <v>16</v>
      </c>
      <c r="H679" s="7" t="s">
        <v>16</v>
      </c>
      <c r="I679" s="7" t="s">
        <v>16</v>
      </c>
      <c r="J679" s="7" t="s">
        <v>16</v>
      </c>
      <c r="K679" s="7" t="s">
        <v>16</v>
      </c>
      <c r="L679" s="7" t="s">
        <v>16</v>
      </c>
      <c r="M679" s="7" t="s">
        <v>16</v>
      </c>
      <c r="N679" s="7" t="s">
        <v>16</v>
      </c>
      <c r="O679" s="7" t="s">
        <v>16</v>
      </c>
      <c r="P679" s="7" t="s">
        <v>16</v>
      </c>
      <c r="Q679" s="7" t="s">
        <v>16</v>
      </c>
      <c r="R679" s="7" t="s">
        <v>16</v>
      </c>
      <c r="S679" s="7" t="s">
        <v>16</v>
      </c>
      <c r="T679" s="7" t="s">
        <v>16</v>
      </c>
      <c r="U679" s="7" t="s">
        <v>16</v>
      </c>
    </row>
    <row r="680" spans="1:8">
      <c r="A680" t="s">
        <v>4</v>
      </c>
      <c r="B680" s="4" t="s">
        <v>5</v>
      </c>
      <c r="C680" s="4" t="s">
        <v>11</v>
      </c>
      <c r="D680" s="4" t="s">
        <v>7</v>
      </c>
      <c r="E680" s="4" t="s">
        <v>8</v>
      </c>
      <c r="F680" s="4" t="s">
        <v>13</v>
      </c>
      <c r="G680" s="4" t="s">
        <v>13</v>
      </c>
      <c r="H680" s="4" t="s">
        <v>13</v>
      </c>
    </row>
    <row r="681" spans="1:8">
      <c r="A681" t="n">
        <v>7522</v>
      </c>
      <c r="B681" s="42" t="n">
        <v>48</v>
      </c>
      <c r="C681" s="7" t="n">
        <v>65534</v>
      </c>
      <c r="D681" s="7" t="n">
        <v>0</v>
      </c>
      <c r="E681" s="7" t="s">
        <v>85</v>
      </c>
      <c r="F681" s="7" t="n">
        <v>0</v>
      </c>
      <c r="G681" s="7" t="n">
        <v>1</v>
      </c>
      <c r="H681" s="7" t="n">
        <v>0</v>
      </c>
    </row>
    <row r="682" spans="1:8">
      <c r="A682" t="s">
        <v>4</v>
      </c>
      <c r="B682" s="4" t="s">
        <v>5</v>
      </c>
      <c r="C682" s="4" t="s">
        <v>11</v>
      </c>
      <c r="D682" s="4" t="s">
        <v>15</v>
      </c>
    </row>
    <row r="683" spans="1:8">
      <c r="A683" t="n">
        <v>7548</v>
      </c>
      <c r="B683" s="39" t="n">
        <v>43</v>
      </c>
      <c r="C683" s="7" t="n">
        <v>65534</v>
      </c>
      <c r="D683" s="7" t="n">
        <v>1088</v>
      </c>
    </row>
    <row r="684" spans="1:8">
      <c r="A684" t="s">
        <v>4</v>
      </c>
      <c r="B684" s="4" t="s">
        <v>5</v>
      </c>
      <c r="C684" s="4" t="s">
        <v>7</v>
      </c>
      <c r="D684" s="4" t="s">
        <v>11</v>
      </c>
      <c r="E684" s="4" t="s">
        <v>8</v>
      </c>
      <c r="F684" s="4" t="s">
        <v>8</v>
      </c>
      <c r="G684" s="4" t="s">
        <v>8</v>
      </c>
      <c r="H684" s="4" t="s">
        <v>8</v>
      </c>
    </row>
    <row r="685" spans="1:8">
      <c r="A685" t="n">
        <v>7555</v>
      </c>
      <c r="B685" s="38" t="n">
        <v>51</v>
      </c>
      <c r="C685" s="7" t="n">
        <v>3</v>
      </c>
      <c r="D685" s="7" t="n">
        <v>65534</v>
      </c>
      <c r="E685" s="7" t="s">
        <v>86</v>
      </c>
      <c r="F685" s="7" t="s">
        <v>87</v>
      </c>
      <c r="G685" s="7" t="s">
        <v>78</v>
      </c>
      <c r="H685" s="7" t="s">
        <v>79</v>
      </c>
    </row>
    <row r="686" spans="1:8">
      <c r="A686" t="s">
        <v>4</v>
      </c>
      <c r="B686" s="4" t="s">
        <v>5</v>
      </c>
      <c r="C686" s="4" t="s">
        <v>11</v>
      </c>
      <c r="D686" s="4" t="s">
        <v>15</v>
      </c>
    </row>
    <row r="687" spans="1:8">
      <c r="A687" t="n">
        <v>7576</v>
      </c>
      <c r="B687" s="39" t="n">
        <v>43</v>
      </c>
      <c r="C687" s="7" t="n">
        <v>65534</v>
      </c>
      <c r="D687" s="7" t="n">
        <v>16384</v>
      </c>
    </row>
    <row r="688" spans="1:8">
      <c r="A688" t="s">
        <v>4</v>
      </c>
      <c r="B688" s="4" t="s">
        <v>5</v>
      </c>
      <c r="C688" s="4" t="s">
        <v>12</v>
      </c>
    </row>
    <row r="689" spans="1:21">
      <c r="A689" t="n">
        <v>7583</v>
      </c>
      <c r="B689" s="19" t="n">
        <v>3</v>
      </c>
      <c r="C689" s="11" t="n">
        <f t="normal" ca="1">A691</f>
        <v>0</v>
      </c>
    </row>
    <row r="690" spans="1:21">
      <c r="A690" t="s">
        <v>4</v>
      </c>
      <c r="B690" s="4" t="s">
        <v>5</v>
      </c>
    </row>
    <row r="691" spans="1:21">
      <c r="A691" t="n">
        <v>7588</v>
      </c>
      <c r="B691" s="5" t="n">
        <v>1</v>
      </c>
    </row>
    <row r="692" spans="1:21" s="3" customFormat="1" customHeight="0">
      <c r="A692" s="3" t="s">
        <v>2</v>
      </c>
      <c r="B692" s="3" t="s">
        <v>88</v>
      </c>
    </row>
    <row r="693" spans="1:21">
      <c r="A693" t="s">
        <v>4</v>
      </c>
      <c r="B693" s="4" t="s">
        <v>5</v>
      </c>
      <c r="C693" s="4" t="s">
        <v>7</v>
      </c>
      <c r="D693" s="4" t="s">
        <v>11</v>
      </c>
      <c r="E693" s="4" t="s">
        <v>7</v>
      </c>
      <c r="F693" s="4" t="s">
        <v>7</v>
      </c>
      <c r="G693" s="4" t="s">
        <v>7</v>
      </c>
      <c r="H693" s="4" t="s">
        <v>11</v>
      </c>
      <c r="I693" s="4" t="s">
        <v>12</v>
      </c>
      <c r="J693" s="4" t="s">
        <v>12</v>
      </c>
    </row>
    <row r="694" spans="1:21">
      <c r="A694" t="n">
        <v>7592</v>
      </c>
      <c r="B694" s="35" t="n">
        <v>6</v>
      </c>
      <c r="C694" s="7" t="n">
        <v>33</v>
      </c>
      <c r="D694" s="7" t="n">
        <v>65534</v>
      </c>
      <c r="E694" s="7" t="n">
        <v>9</v>
      </c>
      <c r="F694" s="7" t="n">
        <v>1</v>
      </c>
      <c r="G694" s="7" t="n">
        <v>1</v>
      </c>
      <c r="H694" s="7" t="n">
        <v>42</v>
      </c>
      <c r="I694" s="11" t="n">
        <f t="normal" ca="1">A696</f>
        <v>0</v>
      </c>
      <c r="J694" s="11" t="n">
        <f t="normal" ca="1">A714</f>
        <v>0</v>
      </c>
    </row>
    <row r="695" spans="1:21">
      <c r="A695" t="s">
        <v>4</v>
      </c>
      <c r="B695" s="4" t="s">
        <v>5</v>
      </c>
      <c r="C695" s="4" t="s">
        <v>7</v>
      </c>
      <c r="D695" s="4" t="s">
        <v>11</v>
      </c>
      <c r="E695" s="4" t="s">
        <v>7</v>
      </c>
      <c r="F695" s="4" t="s">
        <v>8</v>
      </c>
      <c r="G695" s="4" t="s">
        <v>8</v>
      </c>
      <c r="H695" s="4" t="s">
        <v>8</v>
      </c>
      <c r="I695" s="4" t="s">
        <v>8</v>
      </c>
      <c r="J695" s="4" t="s">
        <v>8</v>
      </c>
      <c r="K695" s="4" t="s">
        <v>8</v>
      </c>
      <c r="L695" s="4" t="s">
        <v>8</v>
      </c>
      <c r="M695" s="4" t="s">
        <v>8</v>
      </c>
      <c r="N695" s="4" t="s">
        <v>8</v>
      </c>
      <c r="O695" s="4" t="s">
        <v>8</v>
      </c>
      <c r="P695" s="4" t="s">
        <v>8</v>
      </c>
      <c r="Q695" s="4" t="s">
        <v>8</v>
      </c>
      <c r="R695" s="4" t="s">
        <v>8</v>
      </c>
      <c r="S695" s="4" t="s">
        <v>8</v>
      </c>
      <c r="T695" s="4" t="s">
        <v>8</v>
      </c>
      <c r="U695" s="4" t="s">
        <v>8</v>
      </c>
    </row>
    <row r="696" spans="1:21">
      <c r="A696" t="n">
        <v>7609</v>
      </c>
      <c r="B696" s="40" t="n">
        <v>36</v>
      </c>
      <c r="C696" s="7" t="n">
        <v>8</v>
      </c>
      <c r="D696" s="7" t="n">
        <v>65534</v>
      </c>
      <c r="E696" s="7" t="n">
        <v>0</v>
      </c>
      <c r="F696" s="7" t="s">
        <v>89</v>
      </c>
      <c r="G696" s="7" t="s">
        <v>16</v>
      </c>
      <c r="H696" s="7" t="s">
        <v>16</v>
      </c>
      <c r="I696" s="7" t="s">
        <v>16</v>
      </c>
      <c r="J696" s="7" t="s">
        <v>16</v>
      </c>
      <c r="K696" s="7" t="s">
        <v>16</v>
      </c>
      <c r="L696" s="7" t="s">
        <v>16</v>
      </c>
      <c r="M696" s="7" t="s">
        <v>16</v>
      </c>
      <c r="N696" s="7" t="s">
        <v>16</v>
      </c>
      <c r="O696" s="7" t="s">
        <v>16</v>
      </c>
      <c r="P696" s="7" t="s">
        <v>16</v>
      </c>
      <c r="Q696" s="7" t="s">
        <v>16</v>
      </c>
      <c r="R696" s="7" t="s">
        <v>16</v>
      </c>
      <c r="S696" s="7" t="s">
        <v>16</v>
      </c>
      <c r="T696" s="7" t="s">
        <v>16</v>
      </c>
      <c r="U696" s="7" t="s">
        <v>16</v>
      </c>
    </row>
    <row r="697" spans="1:21">
      <c r="A697" t="s">
        <v>4</v>
      </c>
      <c r="B697" s="4" t="s">
        <v>5</v>
      </c>
      <c r="C697" s="4" t="s">
        <v>11</v>
      </c>
      <c r="D697" s="4" t="s">
        <v>7</v>
      </c>
      <c r="E697" s="4" t="s">
        <v>8</v>
      </c>
      <c r="F697" s="4" t="s">
        <v>13</v>
      </c>
      <c r="G697" s="4" t="s">
        <v>13</v>
      </c>
      <c r="H697" s="4" t="s">
        <v>13</v>
      </c>
    </row>
    <row r="698" spans="1:21">
      <c r="A698" t="n">
        <v>7641</v>
      </c>
      <c r="B698" s="42" t="n">
        <v>48</v>
      </c>
      <c r="C698" s="7" t="n">
        <v>65534</v>
      </c>
      <c r="D698" s="7" t="n">
        <v>0</v>
      </c>
      <c r="E698" s="7" t="s">
        <v>89</v>
      </c>
      <c r="F698" s="7" t="n">
        <v>0</v>
      </c>
      <c r="G698" s="7" t="n">
        <v>1</v>
      </c>
      <c r="H698" s="7" t="n">
        <v>1.40129846432482e-45</v>
      </c>
    </row>
    <row r="699" spans="1:21">
      <c r="A699" t="s">
        <v>4</v>
      </c>
      <c r="B699" s="4" t="s">
        <v>5</v>
      </c>
      <c r="C699" s="4" t="s">
        <v>11</v>
      </c>
      <c r="D699" s="4" t="s">
        <v>15</v>
      </c>
    </row>
    <row r="700" spans="1:21">
      <c r="A700" t="n">
        <v>7669</v>
      </c>
      <c r="B700" s="39" t="n">
        <v>43</v>
      </c>
      <c r="C700" s="7" t="n">
        <v>65534</v>
      </c>
      <c r="D700" s="7" t="n">
        <v>64</v>
      </c>
    </row>
    <row r="701" spans="1:21">
      <c r="A701" t="s">
        <v>4</v>
      </c>
      <c r="B701" s="4" t="s">
        <v>5</v>
      </c>
      <c r="C701" s="4" t="s">
        <v>11</v>
      </c>
      <c r="D701" s="4" t="s">
        <v>13</v>
      </c>
      <c r="E701" s="4" t="s">
        <v>13</v>
      </c>
      <c r="F701" s="4" t="s">
        <v>13</v>
      </c>
      <c r="G701" s="4" t="s">
        <v>13</v>
      </c>
    </row>
    <row r="702" spans="1:21">
      <c r="A702" t="n">
        <v>7676</v>
      </c>
      <c r="B702" s="36" t="n">
        <v>46</v>
      </c>
      <c r="C702" s="7" t="n">
        <v>65534</v>
      </c>
      <c r="D702" s="7" t="n">
        <v>7.26000022888184</v>
      </c>
      <c r="E702" s="7" t="n">
        <v>5.01000022888184</v>
      </c>
      <c r="F702" s="7" t="n">
        <v>53.9500007629395</v>
      </c>
      <c r="G702" s="7" t="n">
        <v>90</v>
      </c>
    </row>
    <row r="703" spans="1:21">
      <c r="A703" t="s">
        <v>4</v>
      </c>
      <c r="B703" s="4" t="s">
        <v>5</v>
      </c>
      <c r="C703" s="4" t="s">
        <v>7</v>
      </c>
      <c r="D703" s="4" t="s">
        <v>8</v>
      </c>
      <c r="E703" s="4" t="s">
        <v>11</v>
      </c>
    </row>
    <row r="704" spans="1:21">
      <c r="A704" t="n">
        <v>7695</v>
      </c>
      <c r="B704" s="15" t="n">
        <v>94</v>
      </c>
      <c r="C704" s="7" t="n">
        <v>0</v>
      </c>
      <c r="D704" s="7" t="s">
        <v>19</v>
      </c>
      <c r="E704" s="7" t="n">
        <v>1</v>
      </c>
    </row>
    <row r="705" spans="1:21">
      <c r="A705" t="s">
        <v>4</v>
      </c>
      <c r="B705" s="4" t="s">
        <v>5</v>
      </c>
      <c r="C705" s="4" t="s">
        <v>7</v>
      </c>
      <c r="D705" s="4" t="s">
        <v>8</v>
      </c>
      <c r="E705" s="4" t="s">
        <v>11</v>
      </c>
    </row>
    <row r="706" spans="1:21">
      <c r="A706" t="n">
        <v>7713</v>
      </c>
      <c r="B706" s="15" t="n">
        <v>94</v>
      </c>
      <c r="C706" s="7" t="n">
        <v>0</v>
      </c>
      <c r="D706" s="7" t="s">
        <v>19</v>
      </c>
      <c r="E706" s="7" t="n">
        <v>2</v>
      </c>
    </row>
    <row r="707" spans="1:21">
      <c r="A707" t="s">
        <v>4</v>
      </c>
      <c r="B707" s="4" t="s">
        <v>5</v>
      </c>
      <c r="C707" s="4" t="s">
        <v>7</v>
      </c>
      <c r="D707" s="4" t="s">
        <v>8</v>
      </c>
      <c r="E707" s="4" t="s">
        <v>11</v>
      </c>
    </row>
    <row r="708" spans="1:21">
      <c r="A708" t="n">
        <v>7731</v>
      </c>
      <c r="B708" s="15" t="n">
        <v>94</v>
      </c>
      <c r="C708" s="7" t="n">
        <v>1</v>
      </c>
      <c r="D708" s="7" t="s">
        <v>19</v>
      </c>
      <c r="E708" s="7" t="n">
        <v>4</v>
      </c>
    </row>
    <row r="709" spans="1:21">
      <c r="A709" t="s">
        <v>4</v>
      </c>
      <c r="B709" s="4" t="s">
        <v>5</v>
      </c>
      <c r="C709" s="4" t="s">
        <v>7</v>
      </c>
      <c r="D709" s="4" t="s">
        <v>8</v>
      </c>
    </row>
    <row r="710" spans="1:21">
      <c r="A710" t="n">
        <v>7749</v>
      </c>
      <c r="B710" s="15" t="n">
        <v>94</v>
      </c>
      <c r="C710" s="7" t="n">
        <v>5</v>
      </c>
      <c r="D710" s="7" t="s">
        <v>19</v>
      </c>
    </row>
    <row r="711" spans="1:21">
      <c r="A711" t="s">
        <v>4</v>
      </c>
      <c r="B711" s="4" t="s">
        <v>5</v>
      </c>
      <c r="C711" s="4" t="s">
        <v>12</v>
      </c>
    </row>
    <row r="712" spans="1:21">
      <c r="A712" t="n">
        <v>7765</v>
      </c>
      <c r="B712" s="19" t="n">
        <v>3</v>
      </c>
      <c r="C712" s="11" t="n">
        <f t="normal" ca="1">A714</f>
        <v>0</v>
      </c>
    </row>
    <row r="713" spans="1:21">
      <c r="A713" t="s">
        <v>4</v>
      </c>
      <c r="B713" s="4" t="s">
        <v>5</v>
      </c>
    </row>
    <row r="714" spans="1:21">
      <c r="A714" t="n">
        <v>7770</v>
      </c>
      <c r="B714" s="5" t="n">
        <v>1</v>
      </c>
    </row>
    <row r="715" spans="1:21" s="3" customFormat="1" customHeight="0">
      <c r="A715" s="3" t="s">
        <v>2</v>
      </c>
      <c r="B715" s="3" t="s">
        <v>90</v>
      </c>
    </row>
    <row r="716" spans="1:21">
      <c r="A716" t="s">
        <v>4</v>
      </c>
      <c r="B716" s="4" t="s">
        <v>5</v>
      </c>
      <c r="C716" s="4" t="s">
        <v>7</v>
      </c>
      <c r="D716" s="4" t="s">
        <v>11</v>
      </c>
      <c r="E716" s="4" t="s">
        <v>7</v>
      </c>
      <c r="F716" s="4" t="s">
        <v>7</v>
      </c>
      <c r="G716" s="4" t="s">
        <v>7</v>
      </c>
      <c r="H716" s="4" t="s">
        <v>11</v>
      </c>
      <c r="I716" s="4" t="s">
        <v>12</v>
      </c>
      <c r="J716" s="4" t="s">
        <v>12</v>
      </c>
    </row>
    <row r="717" spans="1:21">
      <c r="A717" t="n">
        <v>7772</v>
      </c>
      <c r="B717" s="35" t="n">
        <v>6</v>
      </c>
      <c r="C717" s="7" t="n">
        <v>33</v>
      </c>
      <c r="D717" s="7" t="n">
        <v>65534</v>
      </c>
      <c r="E717" s="7" t="n">
        <v>9</v>
      </c>
      <c r="F717" s="7" t="n">
        <v>1</v>
      </c>
      <c r="G717" s="7" t="n">
        <v>1</v>
      </c>
      <c r="H717" s="7" t="n">
        <v>42</v>
      </c>
      <c r="I717" s="11" t="n">
        <f t="normal" ca="1">A719</f>
        <v>0</v>
      </c>
      <c r="J717" s="11" t="n">
        <f t="normal" ca="1">A755</f>
        <v>0</v>
      </c>
    </row>
    <row r="718" spans="1:21">
      <c r="A718" t="s">
        <v>4</v>
      </c>
      <c r="B718" s="4" t="s">
        <v>5</v>
      </c>
      <c r="C718" s="4" t="s">
        <v>11</v>
      </c>
      <c r="D718" s="4" t="s">
        <v>13</v>
      </c>
      <c r="E718" s="4" t="s">
        <v>13</v>
      </c>
      <c r="F718" s="4" t="s">
        <v>13</v>
      </c>
      <c r="G718" s="4" t="s">
        <v>13</v>
      </c>
    </row>
    <row r="719" spans="1:21">
      <c r="A719" t="n">
        <v>7789</v>
      </c>
      <c r="B719" s="36" t="n">
        <v>46</v>
      </c>
      <c r="C719" s="7" t="n">
        <v>65534</v>
      </c>
      <c r="D719" s="7" t="n">
        <v>-18.9899997711182</v>
      </c>
      <c r="E719" s="7" t="n">
        <v>10.0100002288818</v>
      </c>
      <c r="F719" s="7" t="n">
        <v>50.25</v>
      </c>
      <c r="G719" s="7" t="n">
        <v>0</v>
      </c>
    </row>
    <row r="720" spans="1:21">
      <c r="A720" t="s">
        <v>4</v>
      </c>
      <c r="B720" s="4" t="s">
        <v>5</v>
      </c>
      <c r="C720" s="4" t="s">
        <v>7</v>
      </c>
      <c r="D720" s="4" t="s">
        <v>11</v>
      </c>
      <c r="E720" s="4" t="s">
        <v>7</v>
      </c>
      <c r="F720" s="4" t="s">
        <v>8</v>
      </c>
      <c r="G720" s="4" t="s">
        <v>8</v>
      </c>
      <c r="H720" s="4" t="s">
        <v>8</v>
      </c>
      <c r="I720" s="4" t="s">
        <v>8</v>
      </c>
      <c r="J720" s="4" t="s">
        <v>8</v>
      </c>
      <c r="K720" s="4" t="s">
        <v>8</v>
      </c>
      <c r="L720" s="4" t="s">
        <v>8</v>
      </c>
      <c r="M720" s="4" t="s">
        <v>8</v>
      </c>
      <c r="N720" s="4" t="s">
        <v>8</v>
      </c>
      <c r="O720" s="4" t="s">
        <v>8</v>
      </c>
      <c r="P720" s="4" t="s">
        <v>8</v>
      </c>
      <c r="Q720" s="4" t="s">
        <v>8</v>
      </c>
      <c r="R720" s="4" t="s">
        <v>8</v>
      </c>
      <c r="S720" s="4" t="s">
        <v>8</v>
      </c>
      <c r="T720" s="4" t="s">
        <v>8</v>
      </c>
      <c r="U720" s="4" t="s">
        <v>8</v>
      </c>
    </row>
    <row r="721" spans="1:21">
      <c r="A721" t="n">
        <v>7808</v>
      </c>
      <c r="B721" s="40" t="n">
        <v>36</v>
      </c>
      <c r="C721" s="7" t="n">
        <v>8</v>
      </c>
      <c r="D721" s="7" t="n">
        <v>65534</v>
      </c>
      <c r="E721" s="7" t="n">
        <v>0</v>
      </c>
      <c r="F721" s="7" t="s">
        <v>91</v>
      </c>
      <c r="G721" s="7" t="s">
        <v>16</v>
      </c>
      <c r="H721" s="7" t="s">
        <v>16</v>
      </c>
      <c r="I721" s="7" t="s">
        <v>16</v>
      </c>
      <c r="J721" s="7" t="s">
        <v>16</v>
      </c>
      <c r="K721" s="7" t="s">
        <v>16</v>
      </c>
      <c r="L721" s="7" t="s">
        <v>16</v>
      </c>
      <c r="M721" s="7" t="s">
        <v>16</v>
      </c>
      <c r="N721" s="7" t="s">
        <v>16</v>
      </c>
      <c r="O721" s="7" t="s">
        <v>16</v>
      </c>
      <c r="P721" s="7" t="s">
        <v>16</v>
      </c>
      <c r="Q721" s="7" t="s">
        <v>16</v>
      </c>
      <c r="R721" s="7" t="s">
        <v>16</v>
      </c>
      <c r="S721" s="7" t="s">
        <v>16</v>
      </c>
      <c r="T721" s="7" t="s">
        <v>16</v>
      </c>
      <c r="U721" s="7" t="s">
        <v>16</v>
      </c>
    </row>
    <row r="722" spans="1:21">
      <c r="A722" t="s">
        <v>4</v>
      </c>
      <c r="B722" s="4" t="s">
        <v>5</v>
      </c>
      <c r="C722" s="4" t="s">
        <v>11</v>
      </c>
      <c r="D722" s="4" t="s">
        <v>7</v>
      </c>
      <c r="E722" s="4" t="s">
        <v>8</v>
      </c>
      <c r="F722" s="4" t="s">
        <v>13</v>
      </c>
      <c r="G722" s="4" t="s">
        <v>13</v>
      </c>
      <c r="H722" s="4" t="s">
        <v>13</v>
      </c>
    </row>
    <row r="723" spans="1:21">
      <c r="A723" t="n">
        <v>7843</v>
      </c>
      <c r="B723" s="42" t="n">
        <v>48</v>
      </c>
      <c r="C723" s="7" t="n">
        <v>65534</v>
      </c>
      <c r="D723" s="7" t="n">
        <v>0</v>
      </c>
      <c r="E723" s="7" t="s">
        <v>91</v>
      </c>
      <c r="F723" s="7" t="n">
        <v>0</v>
      </c>
      <c r="G723" s="7" t="n">
        <v>1</v>
      </c>
      <c r="H723" s="7" t="n">
        <v>1.40129846432482e-45</v>
      </c>
    </row>
    <row r="724" spans="1:21">
      <c r="A724" t="s">
        <v>4</v>
      </c>
      <c r="B724" s="4" t="s">
        <v>5</v>
      </c>
      <c r="C724" s="4" t="s">
        <v>11</v>
      </c>
      <c r="D724" s="4" t="s">
        <v>15</v>
      </c>
    </row>
    <row r="725" spans="1:21">
      <c r="A725" t="n">
        <v>7874</v>
      </c>
      <c r="B725" s="39" t="n">
        <v>43</v>
      </c>
      <c r="C725" s="7" t="n">
        <v>65534</v>
      </c>
      <c r="D725" s="7" t="n">
        <v>64</v>
      </c>
    </row>
    <row r="726" spans="1:21">
      <c r="A726" t="s">
        <v>4</v>
      </c>
      <c r="B726" s="4" t="s">
        <v>5</v>
      </c>
      <c r="C726" s="4" t="s">
        <v>11</v>
      </c>
    </row>
    <row r="727" spans="1:21">
      <c r="A727" t="n">
        <v>7881</v>
      </c>
      <c r="B727" s="29" t="n">
        <v>16</v>
      </c>
      <c r="C727" s="7" t="n">
        <v>0</v>
      </c>
    </row>
    <row r="728" spans="1:21">
      <c r="A728" t="s">
        <v>4</v>
      </c>
      <c r="B728" s="4" t="s">
        <v>5</v>
      </c>
      <c r="C728" s="4" t="s">
        <v>11</v>
      </c>
      <c r="D728" s="4" t="s">
        <v>13</v>
      </c>
      <c r="E728" s="4" t="s">
        <v>13</v>
      </c>
      <c r="F728" s="4" t="s">
        <v>13</v>
      </c>
      <c r="G728" s="4" t="s">
        <v>11</v>
      </c>
      <c r="H728" s="4" t="s">
        <v>11</v>
      </c>
    </row>
    <row r="729" spans="1:21">
      <c r="A729" t="n">
        <v>7884</v>
      </c>
      <c r="B729" s="37" t="n">
        <v>60</v>
      </c>
      <c r="C729" s="7" t="n">
        <v>65534</v>
      </c>
      <c r="D729" s="7" t="n">
        <v>0</v>
      </c>
      <c r="E729" s="7" t="n">
        <v>-20</v>
      </c>
      <c r="F729" s="7" t="n">
        <v>0</v>
      </c>
      <c r="G729" s="7" t="n">
        <v>0</v>
      </c>
      <c r="H729" s="7" t="n">
        <v>0</v>
      </c>
    </row>
    <row r="730" spans="1:21">
      <c r="A730" t="s">
        <v>4</v>
      </c>
      <c r="B730" s="4" t="s">
        <v>5</v>
      </c>
      <c r="C730" s="4" t="s">
        <v>7</v>
      </c>
      <c r="D730" s="4" t="s">
        <v>8</v>
      </c>
      <c r="E730" s="4" t="s">
        <v>11</v>
      </c>
    </row>
    <row r="731" spans="1:21">
      <c r="A731" t="n">
        <v>7903</v>
      </c>
      <c r="B731" s="15" t="n">
        <v>94</v>
      </c>
      <c r="C731" s="7" t="n">
        <v>0</v>
      </c>
      <c r="D731" s="7" t="s">
        <v>21</v>
      </c>
      <c r="E731" s="7" t="n">
        <v>1</v>
      </c>
    </row>
    <row r="732" spans="1:21">
      <c r="A732" t="s">
        <v>4</v>
      </c>
      <c r="B732" s="4" t="s">
        <v>5</v>
      </c>
      <c r="C732" s="4" t="s">
        <v>7</v>
      </c>
      <c r="D732" s="4" t="s">
        <v>8</v>
      </c>
      <c r="E732" s="4" t="s">
        <v>11</v>
      </c>
    </row>
    <row r="733" spans="1:21">
      <c r="A733" t="n">
        <v>7921</v>
      </c>
      <c r="B733" s="15" t="n">
        <v>94</v>
      </c>
      <c r="C733" s="7" t="n">
        <v>0</v>
      </c>
      <c r="D733" s="7" t="s">
        <v>21</v>
      </c>
      <c r="E733" s="7" t="n">
        <v>2</v>
      </c>
    </row>
    <row r="734" spans="1:21">
      <c r="A734" t="s">
        <v>4</v>
      </c>
      <c r="B734" s="4" t="s">
        <v>5</v>
      </c>
      <c r="C734" s="4" t="s">
        <v>7</v>
      </c>
      <c r="D734" s="4" t="s">
        <v>8</v>
      </c>
      <c r="E734" s="4" t="s">
        <v>11</v>
      </c>
    </row>
    <row r="735" spans="1:21">
      <c r="A735" t="n">
        <v>7939</v>
      </c>
      <c r="B735" s="15" t="n">
        <v>94</v>
      </c>
      <c r="C735" s="7" t="n">
        <v>1</v>
      </c>
      <c r="D735" s="7" t="s">
        <v>21</v>
      </c>
      <c r="E735" s="7" t="n">
        <v>4</v>
      </c>
    </row>
    <row r="736" spans="1:21">
      <c r="A736" t="s">
        <v>4</v>
      </c>
      <c r="B736" s="4" t="s">
        <v>5</v>
      </c>
      <c r="C736" s="4" t="s">
        <v>7</v>
      </c>
      <c r="D736" s="4" t="s">
        <v>8</v>
      </c>
    </row>
    <row r="737" spans="1:21">
      <c r="A737" t="n">
        <v>7957</v>
      </c>
      <c r="B737" s="15" t="n">
        <v>94</v>
      </c>
      <c r="C737" s="7" t="n">
        <v>5</v>
      </c>
      <c r="D737" s="7" t="s">
        <v>21</v>
      </c>
    </row>
    <row r="738" spans="1:21">
      <c r="A738" t="s">
        <v>4</v>
      </c>
      <c r="B738" s="4" t="s">
        <v>5</v>
      </c>
      <c r="C738" s="4" t="s">
        <v>7</v>
      </c>
      <c r="D738" s="4" t="s">
        <v>8</v>
      </c>
      <c r="E738" s="4" t="s">
        <v>11</v>
      </c>
    </row>
    <row r="739" spans="1:21">
      <c r="A739" t="n">
        <v>7973</v>
      </c>
      <c r="B739" s="15" t="n">
        <v>94</v>
      </c>
      <c r="C739" s="7" t="n">
        <v>0</v>
      </c>
      <c r="D739" s="7" t="s">
        <v>22</v>
      </c>
      <c r="E739" s="7" t="n">
        <v>1</v>
      </c>
    </row>
    <row r="740" spans="1:21">
      <c r="A740" t="s">
        <v>4</v>
      </c>
      <c r="B740" s="4" t="s">
        <v>5</v>
      </c>
      <c r="C740" s="4" t="s">
        <v>7</v>
      </c>
      <c r="D740" s="4" t="s">
        <v>8</v>
      </c>
      <c r="E740" s="4" t="s">
        <v>11</v>
      </c>
    </row>
    <row r="741" spans="1:21">
      <c r="A741" t="n">
        <v>7991</v>
      </c>
      <c r="B741" s="15" t="n">
        <v>94</v>
      </c>
      <c r="C741" s="7" t="n">
        <v>0</v>
      </c>
      <c r="D741" s="7" t="s">
        <v>22</v>
      </c>
      <c r="E741" s="7" t="n">
        <v>2</v>
      </c>
    </row>
    <row r="742" spans="1:21">
      <c r="A742" t="s">
        <v>4</v>
      </c>
      <c r="B742" s="4" t="s">
        <v>5</v>
      </c>
      <c r="C742" s="4" t="s">
        <v>7</v>
      </c>
      <c r="D742" s="4" t="s">
        <v>8</v>
      </c>
      <c r="E742" s="4" t="s">
        <v>11</v>
      </c>
    </row>
    <row r="743" spans="1:21">
      <c r="A743" t="n">
        <v>8009</v>
      </c>
      <c r="B743" s="15" t="n">
        <v>94</v>
      </c>
      <c r="C743" s="7" t="n">
        <v>1</v>
      </c>
      <c r="D743" s="7" t="s">
        <v>22</v>
      </c>
      <c r="E743" s="7" t="n">
        <v>4</v>
      </c>
    </row>
    <row r="744" spans="1:21">
      <c r="A744" t="s">
        <v>4</v>
      </c>
      <c r="B744" s="4" t="s">
        <v>5</v>
      </c>
      <c r="C744" s="4" t="s">
        <v>7</v>
      </c>
      <c r="D744" s="4" t="s">
        <v>8</v>
      </c>
    </row>
    <row r="745" spans="1:21">
      <c r="A745" t="n">
        <v>8027</v>
      </c>
      <c r="B745" s="15" t="n">
        <v>94</v>
      </c>
      <c r="C745" s="7" t="n">
        <v>5</v>
      </c>
      <c r="D745" s="7" t="s">
        <v>22</v>
      </c>
    </row>
    <row r="746" spans="1:21">
      <c r="A746" t="s">
        <v>4</v>
      </c>
      <c r="B746" s="4" t="s">
        <v>5</v>
      </c>
      <c r="C746" s="4" t="s">
        <v>7</v>
      </c>
      <c r="D746" s="4" t="s">
        <v>11</v>
      </c>
      <c r="E746" s="4" t="s">
        <v>7</v>
      </c>
      <c r="F746" s="4" t="s">
        <v>12</v>
      </c>
    </row>
    <row r="747" spans="1:21">
      <c r="A747" t="n">
        <v>8043</v>
      </c>
      <c r="B747" s="10" t="n">
        <v>5</v>
      </c>
      <c r="C747" s="7" t="n">
        <v>30</v>
      </c>
      <c r="D747" s="7" t="n">
        <v>10313</v>
      </c>
      <c r="E747" s="7" t="n">
        <v>1</v>
      </c>
      <c r="F747" s="11" t="n">
        <f t="normal" ca="1">A753</f>
        <v>0</v>
      </c>
    </row>
    <row r="748" spans="1:21">
      <c r="A748" t="s">
        <v>4</v>
      </c>
      <c r="B748" s="4" t="s">
        <v>5</v>
      </c>
      <c r="C748" s="4" t="s">
        <v>7</v>
      </c>
      <c r="D748" s="4" t="s">
        <v>11</v>
      </c>
      <c r="E748" s="4" t="s">
        <v>8</v>
      </c>
      <c r="F748" s="4" t="s">
        <v>8</v>
      </c>
      <c r="G748" s="4" t="s">
        <v>8</v>
      </c>
      <c r="H748" s="4" t="s">
        <v>8</v>
      </c>
    </row>
    <row r="749" spans="1:21">
      <c r="A749" t="n">
        <v>8052</v>
      </c>
      <c r="B749" s="38" t="n">
        <v>51</v>
      </c>
      <c r="C749" s="7" t="n">
        <v>3</v>
      </c>
      <c r="D749" s="7" t="n">
        <v>65534</v>
      </c>
      <c r="E749" s="7" t="s">
        <v>65</v>
      </c>
      <c r="F749" s="7" t="s">
        <v>66</v>
      </c>
      <c r="G749" s="7" t="s">
        <v>78</v>
      </c>
      <c r="H749" s="7" t="s">
        <v>79</v>
      </c>
    </row>
    <row r="750" spans="1:21">
      <c r="A750" t="s">
        <v>4</v>
      </c>
      <c r="B750" s="4" t="s">
        <v>5</v>
      </c>
      <c r="C750" s="4" t="s">
        <v>11</v>
      </c>
      <c r="D750" s="4" t="s">
        <v>15</v>
      </c>
    </row>
    <row r="751" spans="1:21">
      <c r="A751" t="n">
        <v>8081</v>
      </c>
      <c r="B751" s="39" t="n">
        <v>43</v>
      </c>
      <c r="C751" s="7" t="n">
        <v>65534</v>
      </c>
      <c r="D751" s="7" t="n">
        <v>16384</v>
      </c>
    </row>
    <row r="752" spans="1:21">
      <c r="A752" t="s">
        <v>4</v>
      </c>
      <c r="B752" s="4" t="s">
        <v>5</v>
      </c>
      <c r="C752" s="4" t="s">
        <v>12</v>
      </c>
    </row>
    <row r="753" spans="1:8">
      <c r="A753" t="n">
        <v>8088</v>
      </c>
      <c r="B753" s="19" t="n">
        <v>3</v>
      </c>
      <c r="C753" s="11" t="n">
        <f t="normal" ca="1">A755</f>
        <v>0</v>
      </c>
    </row>
    <row r="754" spans="1:8">
      <c r="A754" t="s">
        <v>4</v>
      </c>
      <c r="B754" s="4" t="s">
        <v>5</v>
      </c>
    </row>
    <row r="755" spans="1:8">
      <c r="A755" t="n">
        <v>8093</v>
      </c>
      <c r="B755" s="5" t="n">
        <v>1</v>
      </c>
    </row>
    <row r="756" spans="1:8" s="3" customFormat="1" customHeight="0">
      <c r="A756" s="3" t="s">
        <v>2</v>
      </c>
      <c r="B756" s="3" t="s">
        <v>92</v>
      </c>
    </row>
    <row r="757" spans="1:8">
      <c r="A757" t="s">
        <v>4</v>
      </c>
      <c r="B757" s="4" t="s">
        <v>5</v>
      </c>
      <c r="C757" s="4" t="s">
        <v>7</v>
      </c>
      <c r="D757" s="4" t="s">
        <v>11</v>
      </c>
      <c r="E757" s="4" t="s">
        <v>7</v>
      </c>
      <c r="F757" s="4" t="s">
        <v>7</v>
      </c>
      <c r="G757" s="4" t="s">
        <v>7</v>
      </c>
      <c r="H757" s="4" t="s">
        <v>11</v>
      </c>
      <c r="I757" s="4" t="s">
        <v>12</v>
      </c>
      <c r="J757" s="4" t="s">
        <v>12</v>
      </c>
    </row>
    <row r="758" spans="1:8">
      <c r="A758" t="n">
        <v>8096</v>
      </c>
      <c r="B758" s="35" t="n">
        <v>6</v>
      </c>
      <c r="C758" s="7" t="n">
        <v>33</v>
      </c>
      <c r="D758" s="7" t="n">
        <v>65534</v>
      </c>
      <c r="E758" s="7" t="n">
        <v>9</v>
      </c>
      <c r="F758" s="7" t="n">
        <v>1</v>
      </c>
      <c r="G758" s="7" t="n">
        <v>1</v>
      </c>
      <c r="H758" s="7" t="n">
        <v>42</v>
      </c>
      <c r="I758" s="11" t="n">
        <f t="normal" ca="1">A760</f>
        <v>0</v>
      </c>
      <c r="J758" s="11" t="n">
        <f t="normal" ca="1">A778</f>
        <v>0</v>
      </c>
    </row>
    <row r="759" spans="1:8">
      <c r="A759" t="s">
        <v>4</v>
      </c>
      <c r="B759" s="4" t="s">
        <v>5</v>
      </c>
      <c r="C759" s="4" t="s">
        <v>11</v>
      </c>
      <c r="D759" s="4" t="s">
        <v>13</v>
      </c>
      <c r="E759" s="4" t="s">
        <v>13</v>
      </c>
      <c r="F759" s="4" t="s">
        <v>13</v>
      </c>
      <c r="G759" s="4" t="s">
        <v>13</v>
      </c>
    </row>
    <row r="760" spans="1:8">
      <c r="A760" t="n">
        <v>8113</v>
      </c>
      <c r="B760" s="36" t="n">
        <v>46</v>
      </c>
      <c r="C760" s="7" t="n">
        <v>65534</v>
      </c>
      <c r="D760" s="7" t="n">
        <v>-15.4099998474121</v>
      </c>
      <c r="E760" s="7" t="n">
        <v>5.01000022888184</v>
      </c>
      <c r="F760" s="7" t="n">
        <v>54.4799995422363</v>
      </c>
      <c r="G760" s="7" t="n">
        <v>229</v>
      </c>
    </row>
    <row r="761" spans="1:8">
      <c r="A761" t="s">
        <v>4</v>
      </c>
      <c r="B761" s="4" t="s">
        <v>5</v>
      </c>
      <c r="C761" s="4" t="s">
        <v>7</v>
      </c>
      <c r="D761" s="4" t="s">
        <v>11</v>
      </c>
      <c r="E761" s="4" t="s">
        <v>7</v>
      </c>
      <c r="F761" s="4" t="s">
        <v>8</v>
      </c>
      <c r="G761" s="4" t="s">
        <v>8</v>
      </c>
      <c r="H761" s="4" t="s">
        <v>8</v>
      </c>
      <c r="I761" s="4" t="s">
        <v>8</v>
      </c>
      <c r="J761" s="4" t="s">
        <v>8</v>
      </c>
      <c r="K761" s="4" t="s">
        <v>8</v>
      </c>
      <c r="L761" s="4" t="s">
        <v>8</v>
      </c>
      <c r="M761" s="4" t="s">
        <v>8</v>
      </c>
      <c r="N761" s="4" t="s">
        <v>8</v>
      </c>
      <c r="O761" s="4" t="s">
        <v>8</v>
      </c>
      <c r="P761" s="4" t="s">
        <v>8</v>
      </c>
      <c r="Q761" s="4" t="s">
        <v>8</v>
      </c>
      <c r="R761" s="4" t="s">
        <v>8</v>
      </c>
      <c r="S761" s="4" t="s">
        <v>8</v>
      </c>
      <c r="T761" s="4" t="s">
        <v>8</v>
      </c>
      <c r="U761" s="4" t="s">
        <v>8</v>
      </c>
    </row>
    <row r="762" spans="1:8">
      <c r="A762" t="n">
        <v>8132</v>
      </c>
      <c r="B762" s="40" t="n">
        <v>36</v>
      </c>
      <c r="C762" s="7" t="n">
        <v>8</v>
      </c>
      <c r="D762" s="7" t="n">
        <v>65534</v>
      </c>
      <c r="E762" s="7" t="n">
        <v>0</v>
      </c>
      <c r="F762" s="7" t="s">
        <v>93</v>
      </c>
      <c r="G762" s="7" t="s">
        <v>16</v>
      </c>
      <c r="H762" s="7" t="s">
        <v>16</v>
      </c>
      <c r="I762" s="7" t="s">
        <v>16</v>
      </c>
      <c r="J762" s="7" t="s">
        <v>16</v>
      </c>
      <c r="K762" s="7" t="s">
        <v>16</v>
      </c>
      <c r="L762" s="7" t="s">
        <v>16</v>
      </c>
      <c r="M762" s="7" t="s">
        <v>16</v>
      </c>
      <c r="N762" s="7" t="s">
        <v>16</v>
      </c>
      <c r="O762" s="7" t="s">
        <v>16</v>
      </c>
      <c r="P762" s="7" t="s">
        <v>16</v>
      </c>
      <c r="Q762" s="7" t="s">
        <v>16</v>
      </c>
      <c r="R762" s="7" t="s">
        <v>16</v>
      </c>
      <c r="S762" s="7" t="s">
        <v>16</v>
      </c>
      <c r="T762" s="7" t="s">
        <v>16</v>
      </c>
      <c r="U762" s="7" t="s">
        <v>16</v>
      </c>
    </row>
    <row r="763" spans="1:8">
      <c r="A763" t="s">
        <v>4</v>
      </c>
      <c r="B763" s="4" t="s">
        <v>5</v>
      </c>
      <c r="C763" s="4" t="s">
        <v>11</v>
      </c>
      <c r="D763" s="4" t="s">
        <v>7</v>
      </c>
      <c r="E763" s="4" t="s">
        <v>7</v>
      </c>
      <c r="F763" s="4" t="s">
        <v>8</v>
      </c>
    </row>
    <row r="764" spans="1:8">
      <c r="A764" t="n">
        <v>8162</v>
      </c>
      <c r="B764" s="41" t="n">
        <v>47</v>
      </c>
      <c r="C764" s="7" t="n">
        <v>65534</v>
      </c>
      <c r="D764" s="7" t="n">
        <v>0</v>
      </c>
      <c r="E764" s="7" t="n">
        <v>0</v>
      </c>
      <c r="F764" s="7" t="s">
        <v>94</v>
      </c>
    </row>
    <row r="765" spans="1:8">
      <c r="A765" t="s">
        <v>4</v>
      </c>
      <c r="B765" s="4" t="s">
        <v>5</v>
      </c>
      <c r="C765" s="4" t="s">
        <v>11</v>
      </c>
      <c r="D765" s="4" t="s">
        <v>7</v>
      </c>
      <c r="E765" s="4" t="s">
        <v>8</v>
      </c>
      <c r="F765" s="4" t="s">
        <v>13</v>
      </c>
      <c r="G765" s="4" t="s">
        <v>13</v>
      </c>
      <c r="H765" s="4" t="s">
        <v>13</v>
      </c>
    </row>
    <row r="766" spans="1:8">
      <c r="A766" t="n">
        <v>8183</v>
      </c>
      <c r="B766" s="42" t="n">
        <v>48</v>
      </c>
      <c r="C766" s="7" t="n">
        <v>65534</v>
      </c>
      <c r="D766" s="7" t="n">
        <v>0</v>
      </c>
      <c r="E766" s="7" t="s">
        <v>93</v>
      </c>
      <c r="F766" s="7" t="n">
        <v>0</v>
      </c>
      <c r="G766" s="7" t="n">
        <v>1</v>
      </c>
      <c r="H766" s="7" t="n">
        <v>0</v>
      </c>
    </row>
    <row r="767" spans="1:8">
      <c r="A767" t="s">
        <v>4</v>
      </c>
      <c r="B767" s="4" t="s">
        <v>5</v>
      </c>
      <c r="C767" s="4" t="s">
        <v>11</v>
      </c>
      <c r="D767" s="4" t="s">
        <v>15</v>
      </c>
    </row>
    <row r="768" spans="1:8">
      <c r="A768" t="n">
        <v>8209</v>
      </c>
      <c r="B768" s="39" t="n">
        <v>43</v>
      </c>
      <c r="C768" s="7" t="n">
        <v>65534</v>
      </c>
      <c r="D768" s="7" t="n">
        <v>64</v>
      </c>
    </row>
    <row r="769" spans="1:21">
      <c r="A769" t="s">
        <v>4</v>
      </c>
      <c r="B769" s="4" t="s">
        <v>5</v>
      </c>
      <c r="C769" s="4" t="s">
        <v>11</v>
      </c>
    </row>
    <row r="770" spans="1:21">
      <c r="A770" t="n">
        <v>8216</v>
      </c>
      <c r="B770" s="43" t="n">
        <v>12</v>
      </c>
      <c r="C770" s="7" t="n">
        <v>7312</v>
      </c>
    </row>
    <row r="771" spans="1:21">
      <c r="A771" t="s">
        <v>4</v>
      </c>
      <c r="B771" s="4" t="s">
        <v>5</v>
      </c>
      <c r="C771" s="4" t="s">
        <v>7</v>
      </c>
      <c r="D771" s="4" t="s">
        <v>8</v>
      </c>
      <c r="E771" s="4" t="s">
        <v>13</v>
      </c>
      <c r="F771" s="4" t="s">
        <v>13</v>
      </c>
      <c r="G771" s="4" t="s">
        <v>13</v>
      </c>
    </row>
    <row r="772" spans="1:21">
      <c r="A772" t="n">
        <v>8219</v>
      </c>
      <c r="B772" s="15" t="n">
        <v>94</v>
      </c>
      <c r="C772" s="7" t="n">
        <v>2</v>
      </c>
      <c r="D772" s="7" t="s">
        <v>95</v>
      </c>
      <c r="E772" s="7" t="n">
        <v>-15.4099998474121</v>
      </c>
      <c r="F772" s="7" t="n">
        <v>5.01000022888184</v>
      </c>
      <c r="G772" s="7" t="n">
        <v>54.4799995422363</v>
      </c>
    </row>
    <row r="773" spans="1:21">
      <c r="A773" t="s">
        <v>4</v>
      </c>
      <c r="B773" s="4" t="s">
        <v>5</v>
      </c>
      <c r="C773" s="4" t="s">
        <v>7</v>
      </c>
      <c r="D773" s="4" t="s">
        <v>8</v>
      </c>
      <c r="E773" s="4" t="s">
        <v>13</v>
      </c>
      <c r="F773" s="4" t="s">
        <v>13</v>
      </c>
      <c r="G773" s="4" t="s">
        <v>13</v>
      </c>
    </row>
    <row r="774" spans="1:21">
      <c r="A774" t="n">
        <v>8243</v>
      </c>
      <c r="B774" s="15" t="n">
        <v>94</v>
      </c>
      <c r="C774" s="7" t="n">
        <v>3</v>
      </c>
      <c r="D774" s="7" t="s">
        <v>95</v>
      </c>
      <c r="E774" s="7" t="n">
        <v>0</v>
      </c>
      <c r="F774" s="7" t="n">
        <v>229</v>
      </c>
      <c r="G774" s="7" t="n">
        <v>0</v>
      </c>
    </row>
    <row r="775" spans="1:21">
      <c r="A775" t="s">
        <v>4</v>
      </c>
      <c r="B775" s="4" t="s">
        <v>5</v>
      </c>
      <c r="C775" s="4" t="s">
        <v>12</v>
      </c>
    </row>
    <row r="776" spans="1:21">
      <c r="A776" t="n">
        <v>8267</v>
      </c>
      <c r="B776" s="19" t="n">
        <v>3</v>
      </c>
      <c r="C776" s="11" t="n">
        <f t="normal" ca="1">A778</f>
        <v>0</v>
      </c>
    </row>
    <row r="777" spans="1:21">
      <c r="A777" t="s">
        <v>4</v>
      </c>
      <c r="B777" s="4" t="s">
        <v>5</v>
      </c>
    </row>
    <row r="778" spans="1:21">
      <c r="A778" t="n">
        <v>8272</v>
      </c>
      <c r="B778" s="5" t="n">
        <v>1</v>
      </c>
    </row>
    <row r="779" spans="1:21" s="3" customFormat="1" customHeight="0">
      <c r="A779" s="3" t="s">
        <v>2</v>
      </c>
      <c r="B779" s="3" t="s">
        <v>96</v>
      </c>
    </row>
    <row r="780" spans="1:21">
      <c r="A780" t="s">
        <v>4</v>
      </c>
      <c r="B780" s="4" t="s">
        <v>5</v>
      </c>
      <c r="C780" s="4" t="s">
        <v>7</v>
      </c>
      <c r="D780" s="4" t="s">
        <v>11</v>
      </c>
      <c r="E780" s="4" t="s">
        <v>7</v>
      </c>
      <c r="F780" s="4" t="s">
        <v>7</v>
      </c>
      <c r="G780" s="4" t="s">
        <v>7</v>
      </c>
      <c r="H780" s="4" t="s">
        <v>11</v>
      </c>
      <c r="I780" s="4" t="s">
        <v>12</v>
      </c>
      <c r="J780" s="4" t="s">
        <v>12</v>
      </c>
    </row>
    <row r="781" spans="1:21">
      <c r="A781" t="n">
        <v>8276</v>
      </c>
      <c r="B781" s="35" t="n">
        <v>6</v>
      </c>
      <c r="C781" s="7" t="n">
        <v>33</v>
      </c>
      <c r="D781" s="7" t="n">
        <v>65534</v>
      </c>
      <c r="E781" s="7" t="n">
        <v>9</v>
      </c>
      <c r="F781" s="7" t="n">
        <v>1</v>
      </c>
      <c r="G781" s="7" t="n">
        <v>1</v>
      </c>
      <c r="H781" s="7" t="n">
        <v>42</v>
      </c>
      <c r="I781" s="11" t="n">
        <f t="normal" ca="1">A783</f>
        <v>0</v>
      </c>
      <c r="J781" s="11" t="n">
        <f t="normal" ca="1">A807</f>
        <v>0</v>
      </c>
    </row>
    <row r="782" spans="1:21">
      <c r="A782" t="s">
        <v>4</v>
      </c>
      <c r="B782" s="4" t="s">
        <v>5</v>
      </c>
      <c r="C782" s="4" t="s">
        <v>11</v>
      </c>
      <c r="D782" s="4" t="s">
        <v>13</v>
      </c>
      <c r="E782" s="4" t="s">
        <v>13</v>
      </c>
      <c r="F782" s="4" t="s">
        <v>13</v>
      </c>
      <c r="G782" s="4" t="s">
        <v>13</v>
      </c>
    </row>
    <row r="783" spans="1:21">
      <c r="A783" t="n">
        <v>8293</v>
      </c>
      <c r="B783" s="36" t="n">
        <v>46</v>
      </c>
      <c r="C783" s="7" t="n">
        <v>65534</v>
      </c>
      <c r="D783" s="7" t="n">
        <v>-20.2999992370605</v>
      </c>
      <c r="E783" s="7" t="n">
        <v>10.0600004196167</v>
      </c>
      <c r="F783" s="7" t="n">
        <v>30.0499992370605</v>
      </c>
      <c r="G783" s="7" t="n">
        <v>90</v>
      </c>
    </row>
    <row r="784" spans="1:21">
      <c r="A784" t="s">
        <v>4</v>
      </c>
      <c r="B784" s="4" t="s">
        <v>5</v>
      </c>
      <c r="C784" s="4" t="s">
        <v>7</v>
      </c>
      <c r="D784" s="4" t="s">
        <v>11</v>
      </c>
      <c r="E784" s="4" t="s">
        <v>7</v>
      </c>
      <c r="F784" s="4" t="s">
        <v>8</v>
      </c>
      <c r="G784" s="4" t="s">
        <v>8</v>
      </c>
      <c r="H784" s="4" t="s">
        <v>8</v>
      </c>
      <c r="I784" s="4" t="s">
        <v>8</v>
      </c>
      <c r="J784" s="4" t="s">
        <v>8</v>
      </c>
      <c r="K784" s="4" t="s">
        <v>8</v>
      </c>
      <c r="L784" s="4" t="s">
        <v>8</v>
      </c>
      <c r="M784" s="4" t="s">
        <v>8</v>
      </c>
      <c r="N784" s="4" t="s">
        <v>8</v>
      </c>
      <c r="O784" s="4" t="s">
        <v>8</v>
      </c>
      <c r="P784" s="4" t="s">
        <v>8</v>
      </c>
      <c r="Q784" s="4" t="s">
        <v>8</v>
      </c>
      <c r="R784" s="4" t="s">
        <v>8</v>
      </c>
      <c r="S784" s="4" t="s">
        <v>8</v>
      </c>
      <c r="T784" s="4" t="s">
        <v>8</v>
      </c>
      <c r="U784" s="4" t="s">
        <v>8</v>
      </c>
    </row>
    <row r="785" spans="1:21">
      <c r="A785" t="n">
        <v>8312</v>
      </c>
      <c r="B785" s="40" t="n">
        <v>36</v>
      </c>
      <c r="C785" s="7" t="n">
        <v>8</v>
      </c>
      <c r="D785" s="7" t="n">
        <v>65534</v>
      </c>
      <c r="E785" s="7" t="n">
        <v>0</v>
      </c>
      <c r="F785" s="7" t="s">
        <v>97</v>
      </c>
      <c r="G785" s="7" t="s">
        <v>16</v>
      </c>
      <c r="H785" s="7" t="s">
        <v>16</v>
      </c>
      <c r="I785" s="7" t="s">
        <v>16</v>
      </c>
      <c r="J785" s="7" t="s">
        <v>16</v>
      </c>
      <c r="K785" s="7" t="s">
        <v>16</v>
      </c>
      <c r="L785" s="7" t="s">
        <v>16</v>
      </c>
      <c r="M785" s="7" t="s">
        <v>16</v>
      </c>
      <c r="N785" s="7" t="s">
        <v>16</v>
      </c>
      <c r="O785" s="7" t="s">
        <v>16</v>
      </c>
      <c r="P785" s="7" t="s">
        <v>16</v>
      </c>
      <c r="Q785" s="7" t="s">
        <v>16</v>
      </c>
      <c r="R785" s="7" t="s">
        <v>16</v>
      </c>
      <c r="S785" s="7" t="s">
        <v>16</v>
      </c>
      <c r="T785" s="7" t="s">
        <v>16</v>
      </c>
      <c r="U785" s="7" t="s">
        <v>16</v>
      </c>
    </row>
    <row r="786" spans="1:21">
      <c r="A786" t="s">
        <v>4</v>
      </c>
      <c r="B786" s="4" t="s">
        <v>5</v>
      </c>
      <c r="C786" s="4" t="s">
        <v>11</v>
      </c>
      <c r="D786" s="4" t="s">
        <v>7</v>
      </c>
      <c r="E786" s="4" t="s">
        <v>8</v>
      </c>
      <c r="F786" s="4" t="s">
        <v>13</v>
      </c>
      <c r="G786" s="4" t="s">
        <v>13</v>
      </c>
      <c r="H786" s="4" t="s">
        <v>13</v>
      </c>
    </row>
    <row r="787" spans="1:21">
      <c r="A787" t="n">
        <v>8342</v>
      </c>
      <c r="B787" s="42" t="n">
        <v>48</v>
      </c>
      <c r="C787" s="7" t="n">
        <v>65534</v>
      </c>
      <c r="D787" s="7" t="n">
        <v>0</v>
      </c>
      <c r="E787" s="7" t="s">
        <v>97</v>
      </c>
      <c r="F787" s="7" t="n">
        <v>0</v>
      </c>
      <c r="G787" s="7" t="n">
        <v>1</v>
      </c>
      <c r="H787" s="7" t="n">
        <v>1.40129846432482e-45</v>
      </c>
    </row>
    <row r="788" spans="1:21">
      <c r="A788" t="s">
        <v>4</v>
      </c>
      <c r="B788" s="4" t="s">
        <v>5</v>
      </c>
      <c r="C788" s="4" t="s">
        <v>11</v>
      </c>
      <c r="D788" s="4" t="s">
        <v>15</v>
      </c>
    </row>
    <row r="789" spans="1:21">
      <c r="A789" t="n">
        <v>8368</v>
      </c>
      <c r="B789" s="39" t="n">
        <v>43</v>
      </c>
      <c r="C789" s="7" t="n">
        <v>65534</v>
      </c>
      <c r="D789" s="7" t="n">
        <v>64</v>
      </c>
    </row>
    <row r="790" spans="1:21">
      <c r="A790" t="s">
        <v>4</v>
      </c>
      <c r="B790" s="4" t="s">
        <v>5</v>
      </c>
      <c r="C790" s="4" t="s">
        <v>11</v>
      </c>
      <c r="D790" s="4" t="s">
        <v>15</v>
      </c>
    </row>
    <row r="791" spans="1:21">
      <c r="A791" t="n">
        <v>8375</v>
      </c>
      <c r="B791" s="44" t="n">
        <v>98</v>
      </c>
      <c r="C791" s="7" t="n">
        <v>65534</v>
      </c>
      <c r="D791" s="7" t="n">
        <v>1061997773</v>
      </c>
    </row>
    <row r="792" spans="1:21">
      <c r="A792" t="s">
        <v>4</v>
      </c>
      <c r="B792" s="4" t="s">
        <v>5</v>
      </c>
      <c r="C792" s="4" t="s">
        <v>7</v>
      </c>
      <c r="D792" s="4" t="s">
        <v>11</v>
      </c>
      <c r="E792" s="4" t="s">
        <v>7</v>
      </c>
      <c r="F792" s="4" t="s">
        <v>12</v>
      </c>
    </row>
    <row r="793" spans="1:21">
      <c r="A793" t="n">
        <v>8382</v>
      </c>
      <c r="B793" s="10" t="n">
        <v>5</v>
      </c>
      <c r="C793" s="7" t="n">
        <v>30</v>
      </c>
      <c r="D793" s="7" t="n">
        <v>10314</v>
      </c>
      <c r="E793" s="7" t="n">
        <v>1</v>
      </c>
      <c r="F793" s="11" t="n">
        <f t="normal" ca="1">A801</f>
        <v>0</v>
      </c>
    </row>
    <row r="794" spans="1:21">
      <c r="A794" t="s">
        <v>4</v>
      </c>
      <c r="B794" s="4" t="s">
        <v>5</v>
      </c>
      <c r="C794" s="4" t="s">
        <v>7</v>
      </c>
      <c r="D794" s="4" t="s">
        <v>11</v>
      </c>
      <c r="E794" s="4" t="s">
        <v>8</v>
      </c>
      <c r="F794" s="4" t="s">
        <v>8</v>
      </c>
      <c r="G794" s="4" t="s">
        <v>8</v>
      </c>
      <c r="H794" s="4" t="s">
        <v>8</v>
      </c>
    </row>
    <row r="795" spans="1:21">
      <c r="A795" t="n">
        <v>8391</v>
      </c>
      <c r="B795" s="38" t="n">
        <v>51</v>
      </c>
      <c r="C795" s="7" t="n">
        <v>3</v>
      </c>
      <c r="D795" s="7" t="n">
        <v>65534</v>
      </c>
      <c r="E795" s="7" t="s">
        <v>98</v>
      </c>
      <c r="F795" s="7" t="s">
        <v>87</v>
      </c>
      <c r="G795" s="7" t="s">
        <v>78</v>
      </c>
      <c r="H795" s="7" t="s">
        <v>79</v>
      </c>
    </row>
    <row r="796" spans="1:21">
      <c r="A796" t="s">
        <v>4</v>
      </c>
      <c r="B796" s="4" t="s">
        <v>5</v>
      </c>
      <c r="C796" s="4" t="s">
        <v>11</v>
      </c>
      <c r="D796" s="4" t="s">
        <v>15</v>
      </c>
    </row>
    <row r="797" spans="1:21">
      <c r="A797" t="n">
        <v>8412</v>
      </c>
      <c r="B797" s="39" t="n">
        <v>43</v>
      </c>
      <c r="C797" s="7" t="n">
        <v>65534</v>
      </c>
      <c r="D797" s="7" t="n">
        <v>16384</v>
      </c>
    </row>
    <row r="798" spans="1:21">
      <c r="A798" t="s">
        <v>4</v>
      </c>
      <c r="B798" s="4" t="s">
        <v>5</v>
      </c>
      <c r="C798" s="4" t="s">
        <v>12</v>
      </c>
    </row>
    <row r="799" spans="1:21">
      <c r="A799" t="n">
        <v>8419</v>
      </c>
      <c r="B799" s="19" t="n">
        <v>3</v>
      </c>
      <c r="C799" s="11" t="n">
        <f t="normal" ca="1">A805</f>
        <v>0</v>
      </c>
    </row>
    <row r="800" spans="1:21">
      <c r="A800" t="s">
        <v>4</v>
      </c>
      <c r="B800" s="4" t="s">
        <v>5</v>
      </c>
      <c r="C800" s="4" t="s">
        <v>7</v>
      </c>
      <c r="D800" s="4" t="s">
        <v>11</v>
      </c>
      <c r="E800" s="4" t="s">
        <v>8</v>
      </c>
      <c r="F800" s="4" t="s">
        <v>8</v>
      </c>
      <c r="G800" s="4" t="s">
        <v>8</v>
      </c>
      <c r="H800" s="4" t="s">
        <v>8</v>
      </c>
    </row>
    <row r="801" spans="1:21">
      <c r="A801" t="n">
        <v>8424</v>
      </c>
      <c r="B801" s="38" t="n">
        <v>51</v>
      </c>
      <c r="C801" s="7" t="n">
        <v>3</v>
      </c>
      <c r="D801" s="7" t="n">
        <v>65534</v>
      </c>
      <c r="E801" s="7" t="s">
        <v>99</v>
      </c>
      <c r="F801" s="7" t="s">
        <v>77</v>
      </c>
      <c r="G801" s="7" t="s">
        <v>78</v>
      </c>
      <c r="H801" s="7" t="s">
        <v>79</v>
      </c>
    </row>
    <row r="802" spans="1:21">
      <c r="A802" t="s">
        <v>4</v>
      </c>
      <c r="B802" s="4" t="s">
        <v>5</v>
      </c>
      <c r="C802" s="4" t="s">
        <v>11</v>
      </c>
      <c r="D802" s="4" t="s">
        <v>15</v>
      </c>
    </row>
    <row r="803" spans="1:21">
      <c r="A803" t="n">
        <v>8445</v>
      </c>
      <c r="B803" s="39" t="n">
        <v>43</v>
      </c>
      <c r="C803" s="7" t="n">
        <v>65534</v>
      </c>
      <c r="D803" s="7" t="n">
        <v>16384</v>
      </c>
    </row>
    <row r="804" spans="1:21">
      <c r="A804" t="s">
        <v>4</v>
      </c>
      <c r="B804" s="4" t="s">
        <v>5</v>
      </c>
      <c r="C804" s="4" t="s">
        <v>12</v>
      </c>
    </row>
    <row r="805" spans="1:21">
      <c r="A805" t="n">
        <v>8452</v>
      </c>
      <c r="B805" s="19" t="n">
        <v>3</v>
      </c>
      <c r="C805" s="11" t="n">
        <f t="normal" ca="1">A807</f>
        <v>0</v>
      </c>
    </row>
    <row r="806" spans="1:21">
      <c r="A806" t="s">
        <v>4</v>
      </c>
      <c r="B806" s="4" t="s">
        <v>5</v>
      </c>
    </row>
    <row r="807" spans="1:21">
      <c r="A807" t="n">
        <v>8457</v>
      </c>
      <c r="B807" s="5" t="n">
        <v>1</v>
      </c>
    </row>
    <row r="808" spans="1:21" s="3" customFormat="1" customHeight="0">
      <c r="A808" s="3" t="s">
        <v>2</v>
      </c>
      <c r="B808" s="3" t="s">
        <v>100</v>
      </c>
    </row>
    <row r="809" spans="1:21">
      <c r="A809" t="s">
        <v>4</v>
      </c>
      <c r="B809" s="4" t="s">
        <v>5</v>
      </c>
      <c r="C809" s="4" t="s">
        <v>7</v>
      </c>
      <c r="D809" s="4" t="s">
        <v>11</v>
      </c>
      <c r="E809" s="4" t="s">
        <v>7</v>
      </c>
      <c r="F809" s="4" t="s">
        <v>7</v>
      </c>
      <c r="G809" s="4" t="s">
        <v>7</v>
      </c>
      <c r="H809" s="4" t="s">
        <v>11</v>
      </c>
      <c r="I809" s="4" t="s">
        <v>12</v>
      </c>
      <c r="J809" s="4" t="s">
        <v>12</v>
      </c>
    </row>
    <row r="810" spans="1:21">
      <c r="A810" t="n">
        <v>8460</v>
      </c>
      <c r="B810" s="35" t="n">
        <v>6</v>
      </c>
      <c r="C810" s="7" t="n">
        <v>33</v>
      </c>
      <c r="D810" s="7" t="n">
        <v>65534</v>
      </c>
      <c r="E810" s="7" t="n">
        <v>9</v>
      </c>
      <c r="F810" s="7" t="n">
        <v>1</v>
      </c>
      <c r="G810" s="7" t="n">
        <v>1</v>
      </c>
      <c r="H810" s="7" t="n">
        <v>42</v>
      </c>
      <c r="I810" s="11" t="n">
        <f t="normal" ca="1">A812</f>
        <v>0</v>
      </c>
      <c r="J810" s="11" t="n">
        <f t="normal" ca="1">A826</f>
        <v>0</v>
      </c>
    </row>
    <row r="811" spans="1:21">
      <c r="A811" t="s">
        <v>4</v>
      </c>
      <c r="B811" s="4" t="s">
        <v>5</v>
      </c>
      <c r="C811" s="4" t="s">
        <v>11</v>
      </c>
    </row>
    <row r="812" spans="1:21">
      <c r="A812" t="n">
        <v>8477</v>
      </c>
      <c r="B812" s="29" t="n">
        <v>16</v>
      </c>
      <c r="C812" s="7" t="n">
        <v>0</v>
      </c>
    </row>
    <row r="813" spans="1:21">
      <c r="A813" t="s">
        <v>4</v>
      </c>
      <c r="B813" s="4" t="s">
        <v>5</v>
      </c>
      <c r="C813" s="4" t="s">
        <v>11</v>
      </c>
      <c r="D813" s="4" t="s">
        <v>13</v>
      </c>
      <c r="E813" s="4" t="s">
        <v>13</v>
      </c>
      <c r="F813" s="4" t="s">
        <v>13</v>
      </c>
      <c r="G813" s="4" t="s">
        <v>11</v>
      </c>
      <c r="H813" s="4" t="s">
        <v>11</v>
      </c>
    </row>
    <row r="814" spans="1:21">
      <c r="A814" t="n">
        <v>8480</v>
      </c>
      <c r="B814" s="37" t="n">
        <v>60</v>
      </c>
      <c r="C814" s="7" t="n">
        <v>65534</v>
      </c>
      <c r="D814" s="7" t="n">
        <v>0</v>
      </c>
      <c r="E814" s="7" t="n">
        <v>10</v>
      </c>
      <c r="F814" s="7" t="n">
        <v>0</v>
      </c>
      <c r="G814" s="7" t="n">
        <v>0</v>
      </c>
      <c r="H814" s="7" t="n">
        <v>0</v>
      </c>
    </row>
    <row r="815" spans="1:21">
      <c r="A815" t="s">
        <v>4</v>
      </c>
      <c r="B815" s="4" t="s">
        <v>5</v>
      </c>
      <c r="C815" s="4" t="s">
        <v>11</v>
      </c>
      <c r="D815" s="4" t="s">
        <v>13</v>
      </c>
      <c r="E815" s="4" t="s">
        <v>13</v>
      </c>
      <c r="F815" s="4" t="s">
        <v>13</v>
      </c>
      <c r="G815" s="4" t="s">
        <v>13</v>
      </c>
    </row>
    <row r="816" spans="1:21">
      <c r="A816" t="n">
        <v>8499</v>
      </c>
      <c r="B816" s="36" t="n">
        <v>46</v>
      </c>
      <c r="C816" s="7" t="n">
        <v>65534</v>
      </c>
      <c r="D816" s="7" t="n">
        <v>1.9099999666214</v>
      </c>
      <c r="E816" s="7" t="n">
        <v>10.0100002288818</v>
      </c>
      <c r="F816" s="7" t="n">
        <v>29.5799999237061</v>
      </c>
      <c r="G816" s="7" t="n">
        <v>180</v>
      </c>
    </row>
    <row r="817" spans="1:10">
      <c r="A817" t="s">
        <v>4</v>
      </c>
      <c r="B817" s="4" t="s">
        <v>5</v>
      </c>
      <c r="C817" s="4" t="s">
        <v>7</v>
      </c>
      <c r="D817" s="4" t="s">
        <v>11</v>
      </c>
      <c r="E817" s="4" t="s">
        <v>7</v>
      </c>
      <c r="F817" s="4" t="s">
        <v>11</v>
      </c>
      <c r="G817" s="4" t="s">
        <v>7</v>
      </c>
      <c r="H817" s="4" t="s">
        <v>7</v>
      </c>
      <c r="I817" s="4" t="s">
        <v>12</v>
      </c>
    </row>
    <row r="818" spans="1:10">
      <c r="A818" t="n">
        <v>8518</v>
      </c>
      <c r="B818" s="10" t="n">
        <v>5</v>
      </c>
      <c r="C818" s="7" t="n">
        <v>30</v>
      </c>
      <c r="D818" s="7" t="n">
        <v>10315</v>
      </c>
      <c r="E818" s="7" t="n">
        <v>30</v>
      </c>
      <c r="F818" s="7" t="n">
        <v>10859</v>
      </c>
      <c r="G818" s="7" t="n">
        <v>9</v>
      </c>
      <c r="H818" s="7" t="n">
        <v>1</v>
      </c>
      <c r="I818" s="11" t="n">
        <f t="normal" ca="1">A824</f>
        <v>0</v>
      </c>
    </row>
    <row r="819" spans="1:10">
      <c r="A819" t="s">
        <v>4</v>
      </c>
      <c r="B819" s="4" t="s">
        <v>5</v>
      </c>
      <c r="C819" s="4" t="s">
        <v>7</v>
      </c>
      <c r="D819" s="4" t="s">
        <v>11</v>
      </c>
      <c r="E819" s="4" t="s">
        <v>8</v>
      </c>
      <c r="F819" s="4" t="s">
        <v>8</v>
      </c>
      <c r="G819" s="4" t="s">
        <v>8</v>
      </c>
      <c r="H819" s="4" t="s">
        <v>8</v>
      </c>
    </row>
    <row r="820" spans="1:10">
      <c r="A820" t="n">
        <v>8531</v>
      </c>
      <c r="B820" s="38" t="n">
        <v>51</v>
      </c>
      <c r="C820" s="7" t="n">
        <v>3</v>
      </c>
      <c r="D820" s="7" t="n">
        <v>65534</v>
      </c>
      <c r="E820" s="7" t="s">
        <v>101</v>
      </c>
      <c r="F820" s="7" t="s">
        <v>102</v>
      </c>
      <c r="G820" s="7" t="s">
        <v>67</v>
      </c>
      <c r="H820" s="7" t="s">
        <v>68</v>
      </c>
    </row>
    <row r="821" spans="1:10">
      <c r="A821" t="s">
        <v>4</v>
      </c>
      <c r="B821" s="4" t="s">
        <v>5</v>
      </c>
      <c r="C821" s="4" t="s">
        <v>11</v>
      </c>
      <c r="D821" s="4" t="s">
        <v>15</v>
      </c>
    </row>
    <row r="822" spans="1:10">
      <c r="A822" t="n">
        <v>8559</v>
      </c>
      <c r="B822" s="39" t="n">
        <v>43</v>
      </c>
      <c r="C822" s="7" t="n">
        <v>65534</v>
      </c>
      <c r="D822" s="7" t="n">
        <v>16384</v>
      </c>
    </row>
    <row r="823" spans="1:10">
      <c r="A823" t="s">
        <v>4</v>
      </c>
      <c r="B823" s="4" t="s">
        <v>5</v>
      </c>
      <c r="C823" s="4" t="s">
        <v>12</v>
      </c>
    </row>
    <row r="824" spans="1:10">
      <c r="A824" t="n">
        <v>8566</v>
      </c>
      <c r="B824" s="19" t="n">
        <v>3</v>
      </c>
      <c r="C824" s="11" t="n">
        <f t="normal" ca="1">A826</f>
        <v>0</v>
      </c>
    </row>
    <row r="825" spans="1:10">
      <c r="A825" t="s">
        <v>4</v>
      </c>
      <c r="B825" s="4" t="s">
        <v>5</v>
      </c>
    </row>
    <row r="826" spans="1:10">
      <c r="A826" t="n">
        <v>8571</v>
      </c>
      <c r="B826" s="5" t="n">
        <v>1</v>
      </c>
    </row>
    <row r="827" spans="1:10" s="3" customFormat="1" customHeight="0">
      <c r="A827" s="3" t="s">
        <v>2</v>
      </c>
      <c r="B827" s="3" t="s">
        <v>103</v>
      </c>
    </row>
    <row r="828" spans="1:10">
      <c r="A828" t="s">
        <v>4</v>
      </c>
      <c r="B828" s="4" t="s">
        <v>5</v>
      </c>
      <c r="C828" s="4" t="s">
        <v>7</v>
      </c>
      <c r="D828" s="4" t="s">
        <v>11</v>
      </c>
      <c r="E828" s="4" t="s">
        <v>7</v>
      </c>
      <c r="F828" s="4" t="s">
        <v>7</v>
      </c>
      <c r="G828" s="4" t="s">
        <v>7</v>
      </c>
      <c r="H828" s="4" t="s">
        <v>11</v>
      </c>
      <c r="I828" s="4" t="s">
        <v>12</v>
      </c>
      <c r="J828" s="4" t="s">
        <v>11</v>
      </c>
      <c r="K828" s="4" t="s">
        <v>12</v>
      </c>
      <c r="L828" s="4" t="s">
        <v>12</v>
      </c>
    </row>
    <row r="829" spans="1:10">
      <c r="A829" t="n">
        <v>8572</v>
      </c>
      <c r="B829" s="35" t="n">
        <v>6</v>
      </c>
      <c r="C829" s="7" t="n">
        <v>33</v>
      </c>
      <c r="D829" s="7" t="n">
        <v>65534</v>
      </c>
      <c r="E829" s="7" t="n">
        <v>9</v>
      </c>
      <c r="F829" s="7" t="n">
        <v>1</v>
      </c>
      <c r="G829" s="7" t="n">
        <v>2</v>
      </c>
      <c r="H829" s="7" t="n">
        <v>42</v>
      </c>
      <c r="I829" s="11" t="n">
        <f t="normal" ca="1">A831</f>
        <v>0</v>
      </c>
      <c r="J829" s="7" t="n">
        <v>43</v>
      </c>
      <c r="K829" s="11" t="n">
        <f t="normal" ca="1">A835</f>
        <v>0</v>
      </c>
      <c r="L829" s="11" t="n">
        <f t="normal" ca="1">A839</f>
        <v>0</v>
      </c>
    </row>
    <row r="830" spans="1:10">
      <c r="A830" t="s">
        <v>4</v>
      </c>
      <c r="B830" s="4" t="s">
        <v>5</v>
      </c>
      <c r="C830" s="4" t="s">
        <v>11</v>
      </c>
      <c r="D830" s="4" t="s">
        <v>13</v>
      </c>
      <c r="E830" s="4" t="s">
        <v>13</v>
      </c>
      <c r="F830" s="4" t="s">
        <v>13</v>
      </c>
      <c r="G830" s="4" t="s">
        <v>13</v>
      </c>
    </row>
    <row r="831" spans="1:10">
      <c r="A831" t="n">
        <v>8595</v>
      </c>
      <c r="B831" s="36" t="n">
        <v>46</v>
      </c>
      <c r="C831" s="7" t="n">
        <v>65534</v>
      </c>
      <c r="D831" s="7" t="n">
        <v>-14.039999961853</v>
      </c>
      <c r="E831" s="7" t="n">
        <v>0</v>
      </c>
      <c r="F831" s="7" t="n">
        <v>54.75</v>
      </c>
      <c r="G831" s="7" t="n">
        <v>270.200012207031</v>
      </c>
    </row>
    <row r="832" spans="1:10">
      <c r="A832" t="s">
        <v>4</v>
      </c>
      <c r="B832" s="4" t="s">
        <v>5</v>
      </c>
      <c r="C832" s="4" t="s">
        <v>12</v>
      </c>
    </row>
    <row r="833" spans="1:12">
      <c r="A833" t="n">
        <v>8614</v>
      </c>
      <c r="B833" s="19" t="n">
        <v>3</v>
      </c>
      <c r="C833" s="11" t="n">
        <f t="normal" ca="1">A839</f>
        <v>0</v>
      </c>
    </row>
    <row r="834" spans="1:12">
      <c r="A834" t="s">
        <v>4</v>
      </c>
      <c r="B834" s="4" t="s">
        <v>5</v>
      </c>
      <c r="C834" s="4" t="s">
        <v>11</v>
      </c>
      <c r="D834" s="4" t="s">
        <v>13</v>
      </c>
      <c r="E834" s="4" t="s">
        <v>13</v>
      </c>
      <c r="F834" s="4" t="s">
        <v>13</v>
      </c>
      <c r="G834" s="4" t="s">
        <v>13</v>
      </c>
    </row>
    <row r="835" spans="1:12">
      <c r="A835" t="n">
        <v>8619</v>
      </c>
      <c r="B835" s="36" t="n">
        <v>46</v>
      </c>
      <c r="C835" s="7" t="n">
        <v>65534</v>
      </c>
      <c r="D835" s="7" t="n">
        <v>-13.3699998855591</v>
      </c>
      <c r="E835" s="7" t="n">
        <v>0</v>
      </c>
      <c r="F835" s="7" t="n">
        <v>57.0200004577637</v>
      </c>
      <c r="G835" s="7" t="n">
        <v>83.1999969482422</v>
      </c>
    </row>
    <row r="836" spans="1:12">
      <c r="A836" t="s">
        <v>4</v>
      </c>
      <c r="B836" s="4" t="s">
        <v>5</v>
      </c>
      <c r="C836" s="4" t="s">
        <v>12</v>
      </c>
    </row>
    <row r="837" spans="1:12">
      <c r="A837" t="n">
        <v>8638</v>
      </c>
      <c r="B837" s="19" t="n">
        <v>3</v>
      </c>
      <c r="C837" s="11" t="n">
        <f t="normal" ca="1">A839</f>
        <v>0</v>
      </c>
    </row>
    <row r="838" spans="1:12">
      <c r="A838" t="s">
        <v>4</v>
      </c>
      <c r="B838" s="4" t="s">
        <v>5</v>
      </c>
    </row>
    <row r="839" spans="1:12">
      <c r="A839" t="n">
        <v>8643</v>
      </c>
      <c r="B839" s="5" t="n">
        <v>1</v>
      </c>
    </row>
    <row r="840" spans="1:12" s="3" customFormat="1" customHeight="0">
      <c r="A840" s="3" t="s">
        <v>2</v>
      </c>
      <c r="B840" s="3" t="s">
        <v>104</v>
      </c>
    </row>
    <row r="841" spans="1:12">
      <c r="A841" t="s">
        <v>4</v>
      </c>
      <c r="B841" s="4" t="s">
        <v>5</v>
      </c>
      <c r="C841" s="4" t="s">
        <v>7</v>
      </c>
      <c r="D841" s="4" t="s">
        <v>7</v>
      </c>
      <c r="E841" s="4" t="s">
        <v>7</v>
      </c>
      <c r="F841" s="4" t="s">
        <v>7</v>
      </c>
    </row>
    <row r="842" spans="1:12">
      <c r="A842" t="n">
        <v>8644</v>
      </c>
      <c r="B842" s="9" t="n">
        <v>14</v>
      </c>
      <c r="C842" s="7" t="n">
        <v>2</v>
      </c>
      <c r="D842" s="7" t="n">
        <v>0</v>
      </c>
      <c r="E842" s="7" t="n">
        <v>0</v>
      </c>
      <c r="F842" s="7" t="n">
        <v>0</v>
      </c>
    </row>
    <row r="843" spans="1:12">
      <c r="A843" t="s">
        <v>4</v>
      </c>
      <c r="B843" s="4" t="s">
        <v>5</v>
      </c>
      <c r="C843" s="4" t="s">
        <v>7</v>
      </c>
      <c r="D843" s="20" t="s">
        <v>35</v>
      </c>
      <c r="E843" s="4" t="s">
        <v>5</v>
      </c>
      <c r="F843" s="4" t="s">
        <v>7</v>
      </c>
      <c r="G843" s="4" t="s">
        <v>11</v>
      </c>
      <c r="H843" s="20" t="s">
        <v>36</v>
      </c>
      <c r="I843" s="4" t="s">
        <v>7</v>
      </c>
      <c r="J843" s="4" t="s">
        <v>15</v>
      </c>
      <c r="K843" s="4" t="s">
        <v>7</v>
      </c>
      <c r="L843" s="4" t="s">
        <v>7</v>
      </c>
      <c r="M843" s="20" t="s">
        <v>35</v>
      </c>
      <c r="N843" s="4" t="s">
        <v>5</v>
      </c>
      <c r="O843" s="4" t="s">
        <v>7</v>
      </c>
      <c r="P843" s="4" t="s">
        <v>11</v>
      </c>
      <c r="Q843" s="20" t="s">
        <v>36</v>
      </c>
      <c r="R843" s="4" t="s">
        <v>7</v>
      </c>
      <c r="S843" s="4" t="s">
        <v>15</v>
      </c>
      <c r="T843" s="4" t="s">
        <v>7</v>
      </c>
      <c r="U843" s="4" t="s">
        <v>7</v>
      </c>
      <c r="V843" s="4" t="s">
        <v>7</v>
      </c>
      <c r="W843" s="4" t="s">
        <v>12</v>
      </c>
    </row>
    <row r="844" spans="1:12">
      <c r="A844" t="n">
        <v>8649</v>
      </c>
      <c r="B844" s="10" t="n">
        <v>5</v>
      </c>
      <c r="C844" s="7" t="n">
        <v>28</v>
      </c>
      <c r="D844" s="20" t="s">
        <v>3</v>
      </c>
      <c r="E844" s="8" t="n">
        <v>162</v>
      </c>
      <c r="F844" s="7" t="n">
        <v>3</v>
      </c>
      <c r="G844" s="7" t="n">
        <v>24589</v>
      </c>
      <c r="H844" s="20" t="s">
        <v>3</v>
      </c>
      <c r="I844" s="7" t="n">
        <v>0</v>
      </c>
      <c r="J844" s="7" t="n">
        <v>1</v>
      </c>
      <c r="K844" s="7" t="n">
        <v>2</v>
      </c>
      <c r="L844" s="7" t="n">
        <v>28</v>
      </c>
      <c r="M844" s="20" t="s">
        <v>3</v>
      </c>
      <c r="N844" s="8" t="n">
        <v>162</v>
      </c>
      <c r="O844" s="7" t="n">
        <v>3</v>
      </c>
      <c r="P844" s="7" t="n">
        <v>24589</v>
      </c>
      <c r="Q844" s="20" t="s">
        <v>3</v>
      </c>
      <c r="R844" s="7" t="n">
        <v>0</v>
      </c>
      <c r="S844" s="7" t="n">
        <v>2</v>
      </c>
      <c r="T844" s="7" t="n">
        <v>2</v>
      </c>
      <c r="U844" s="7" t="n">
        <v>11</v>
      </c>
      <c r="V844" s="7" t="n">
        <v>1</v>
      </c>
      <c r="W844" s="11" t="n">
        <f t="normal" ca="1">A848</f>
        <v>0</v>
      </c>
    </row>
    <row r="845" spans="1:12">
      <c r="A845" t="s">
        <v>4</v>
      </c>
      <c r="B845" s="4" t="s">
        <v>5</v>
      </c>
      <c r="C845" s="4" t="s">
        <v>7</v>
      </c>
      <c r="D845" s="4" t="s">
        <v>11</v>
      </c>
      <c r="E845" s="4" t="s">
        <v>13</v>
      </c>
    </row>
    <row r="846" spans="1:12">
      <c r="A846" t="n">
        <v>8678</v>
      </c>
      <c r="B846" s="23" t="n">
        <v>58</v>
      </c>
      <c r="C846" s="7" t="n">
        <v>0</v>
      </c>
      <c r="D846" s="7" t="n">
        <v>0</v>
      </c>
      <c r="E846" s="7" t="n">
        <v>1</v>
      </c>
    </row>
    <row r="847" spans="1:12">
      <c r="A847" t="s">
        <v>4</v>
      </c>
      <c r="B847" s="4" t="s">
        <v>5</v>
      </c>
      <c r="C847" s="4" t="s">
        <v>7</v>
      </c>
      <c r="D847" s="20" t="s">
        <v>35</v>
      </c>
      <c r="E847" s="4" t="s">
        <v>5</v>
      </c>
      <c r="F847" s="4" t="s">
        <v>7</v>
      </c>
      <c r="G847" s="4" t="s">
        <v>11</v>
      </c>
      <c r="H847" s="20" t="s">
        <v>36</v>
      </c>
      <c r="I847" s="4" t="s">
        <v>7</v>
      </c>
      <c r="J847" s="4" t="s">
        <v>15</v>
      </c>
      <c r="K847" s="4" t="s">
        <v>7</v>
      </c>
      <c r="L847" s="4" t="s">
        <v>7</v>
      </c>
      <c r="M847" s="20" t="s">
        <v>35</v>
      </c>
      <c r="N847" s="4" t="s">
        <v>5</v>
      </c>
      <c r="O847" s="4" t="s">
        <v>7</v>
      </c>
      <c r="P847" s="4" t="s">
        <v>11</v>
      </c>
      <c r="Q847" s="20" t="s">
        <v>36</v>
      </c>
      <c r="R847" s="4" t="s">
        <v>7</v>
      </c>
      <c r="S847" s="4" t="s">
        <v>15</v>
      </c>
      <c r="T847" s="4" t="s">
        <v>7</v>
      </c>
      <c r="U847" s="4" t="s">
        <v>7</v>
      </c>
      <c r="V847" s="4" t="s">
        <v>7</v>
      </c>
      <c r="W847" s="4" t="s">
        <v>12</v>
      </c>
    </row>
    <row r="848" spans="1:12">
      <c r="A848" t="n">
        <v>8686</v>
      </c>
      <c r="B848" s="10" t="n">
        <v>5</v>
      </c>
      <c r="C848" s="7" t="n">
        <v>28</v>
      </c>
      <c r="D848" s="20" t="s">
        <v>3</v>
      </c>
      <c r="E848" s="8" t="n">
        <v>162</v>
      </c>
      <c r="F848" s="7" t="n">
        <v>3</v>
      </c>
      <c r="G848" s="7" t="n">
        <v>24589</v>
      </c>
      <c r="H848" s="20" t="s">
        <v>3</v>
      </c>
      <c r="I848" s="7" t="n">
        <v>0</v>
      </c>
      <c r="J848" s="7" t="n">
        <v>1</v>
      </c>
      <c r="K848" s="7" t="n">
        <v>3</v>
      </c>
      <c r="L848" s="7" t="n">
        <v>28</v>
      </c>
      <c r="M848" s="20" t="s">
        <v>3</v>
      </c>
      <c r="N848" s="8" t="n">
        <v>162</v>
      </c>
      <c r="O848" s="7" t="n">
        <v>3</v>
      </c>
      <c r="P848" s="7" t="n">
        <v>24589</v>
      </c>
      <c r="Q848" s="20" t="s">
        <v>3</v>
      </c>
      <c r="R848" s="7" t="n">
        <v>0</v>
      </c>
      <c r="S848" s="7" t="n">
        <v>2</v>
      </c>
      <c r="T848" s="7" t="n">
        <v>3</v>
      </c>
      <c r="U848" s="7" t="n">
        <v>9</v>
      </c>
      <c r="V848" s="7" t="n">
        <v>1</v>
      </c>
      <c r="W848" s="11" t="n">
        <f t="normal" ca="1">A858</f>
        <v>0</v>
      </c>
    </row>
    <row r="849" spans="1:23">
      <c r="A849" t="s">
        <v>4</v>
      </c>
      <c r="B849" s="4" t="s">
        <v>5</v>
      </c>
      <c r="C849" s="4" t="s">
        <v>7</v>
      </c>
      <c r="D849" s="20" t="s">
        <v>35</v>
      </c>
      <c r="E849" s="4" t="s">
        <v>5</v>
      </c>
      <c r="F849" s="4" t="s">
        <v>11</v>
      </c>
      <c r="G849" s="4" t="s">
        <v>7</v>
      </c>
      <c r="H849" s="4" t="s">
        <v>7</v>
      </c>
      <c r="I849" s="4" t="s">
        <v>8</v>
      </c>
      <c r="J849" s="20" t="s">
        <v>36</v>
      </c>
      <c r="K849" s="4" t="s">
        <v>7</v>
      </c>
      <c r="L849" s="4" t="s">
        <v>7</v>
      </c>
      <c r="M849" s="20" t="s">
        <v>35</v>
      </c>
      <c r="N849" s="4" t="s">
        <v>5</v>
      </c>
      <c r="O849" s="4" t="s">
        <v>7</v>
      </c>
      <c r="P849" s="20" t="s">
        <v>36</v>
      </c>
      <c r="Q849" s="4" t="s">
        <v>7</v>
      </c>
      <c r="R849" s="4" t="s">
        <v>15</v>
      </c>
      <c r="S849" s="4" t="s">
        <v>7</v>
      </c>
      <c r="T849" s="4" t="s">
        <v>7</v>
      </c>
      <c r="U849" s="4" t="s">
        <v>7</v>
      </c>
      <c r="V849" s="20" t="s">
        <v>35</v>
      </c>
      <c r="W849" s="4" t="s">
        <v>5</v>
      </c>
      <c r="X849" s="4" t="s">
        <v>7</v>
      </c>
      <c r="Y849" s="20" t="s">
        <v>36</v>
      </c>
      <c r="Z849" s="4" t="s">
        <v>7</v>
      </c>
      <c r="AA849" s="4" t="s">
        <v>15</v>
      </c>
      <c r="AB849" s="4" t="s">
        <v>7</v>
      </c>
      <c r="AC849" s="4" t="s">
        <v>7</v>
      </c>
      <c r="AD849" s="4" t="s">
        <v>7</v>
      </c>
      <c r="AE849" s="4" t="s">
        <v>12</v>
      </c>
    </row>
    <row r="850" spans="1:23">
      <c r="A850" t="n">
        <v>8715</v>
      </c>
      <c r="B850" s="10" t="n">
        <v>5</v>
      </c>
      <c r="C850" s="7" t="n">
        <v>28</v>
      </c>
      <c r="D850" s="20" t="s">
        <v>3</v>
      </c>
      <c r="E850" s="41" t="n">
        <v>47</v>
      </c>
      <c r="F850" s="7" t="n">
        <v>61456</v>
      </c>
      <c r="G850" s="7" t="n">
        <v>2</v>
      </c>
      <c r="H850" s="7" t="n">
        <v>0</v>
      </c>
      <c r="I850" s="7" t="s">
        <v>105</v>
      </c>
      <c r="J850" s="20" t="s">
        <v>3</v>
      </c>
      <c r="K850" s="7" t="n">
        <v>8</v>
      </c>
      <c r="L850" s="7" t="n">
        <v>28</v>
      </c>
      <c r="M850" s="20" t="s">
        <v>3</v>
      </c>
      <c r="N850" s="45" t="n">
        <v>74</v>
      </c>
      <c r="O850" s="7" t="n">
        <v>65</v>
      </c>
      <c r="P850" s="20" t="s">
        <v>3</v>
      </c>
      <c r="Q850" s="7" t="n">
        <v>0</v>
      </c>
      <c r="R850" s="7" t="n">
        <v>1</v>
      </c>
      <c r="S850" s="7" t="n">
        <v>3</v>
      </c>
      <c r="T850" s="7" t="n">
        <v>9</v>
      </c>
      <c r="U850" s="7" t="n">
        <v>28</v>
      </c>
      <c r="V850" s="20" t="s">
        <v>3</v>
      </c>
      <c r="W850" s="45" t="n">
        <v>74</v>
      </c>
      <c r="X850" s="7" t="n">
        <v>65</v>
      </c>
      <c r="Y850" s="20" t="s">
        <v>3</v>
      </c>
      <c r="Z850" s="7" t="n">
        <v>0</v>
      </c>
      <c r="AA850" s="7" t="n">
        <v>2</v>
      </c>
      <c r="AB850" s="7" t="n">
        <v>3</v>
      </c>
      <c r="AC850" s="7" t="n">
        <v>9</v>
      </c>
      <c r="AD850" s="7" t="n">
        <v>1</v>
      </c>
      <c r="AE850" s="11" t="n">
        <f t="normal" ca="1">A854</f>
        <v>0</v>
      </c>
    </row>
    <row r="851" spans="1:23">
      <c r="A851" t="s">
        <v>4</v>
      </c>
      <c r="B851" s="4" t="s">
        <v>5</v>
      </c>
      <c r="C851" s="4" t="s">
        <v>11</v>
      </c>
      <c r="D851" s="4" t="s">
        <v>7</v>
      </c>
      <c r="E851" s="4" t="s">
        <v>7</v>
      </c>
      <c r="F851" s="4" t="s">
        <v>8</v>
      </c>
    </row>
    <row r="852" spans="1:23">
      <c r="A852" t="n">
        <v>8763</v>
      </c>
      <c r="B852" s="41" t="n">
        <v>47</v>
      </c>
      <c r="C852" s="7" t="n">
        <v>61456</v>
      </c>
      <c r="D852" s="7" t="n">
        <v>0</v>
      </c>
      <c r="E852" s="7" t="n">
        <v>0</v>
      </c>
      <c r="F852" s="7" t="s">
        <v>106</v>
      </c>
    </row>
    <row r="853" spans="1:23">
      <c r="A853" t="s">
        <v>4</v>
      </c>
      <c r="B853" s="4" t="s">
        <v>5</v>
      </c>
      <c r="C853" s="4" t="s">
        <v>7</v>
      </c>
      <c r="D853" s="4" t="s">
        <v>11</v>
      </c>
      <c r="E853" s="4" t="s">
        <v>13</v>
      </c>
    </row>
    <row r="854" spans="1:23">
      <c r="A854" t="n">
        <v>8776</v>
      </c>
      <c r="B854" s="23" t="n">
        <v>58</v>
      </c>
      <c r="C854" s="7" t="n">
        <v>0</v>
      </c>
      <c r="D854" s="7" t="n">
        <v>300</v>
      </c>
      <c r="E854" s="7" t="n">
        <v>1</v>
      </c>
    </row>
    <row r="855" spans="1:23">
      <c r="A855" t="s">
        <v>4</v>
      </c>
      <c r="B855" s="4" t="s">
        <v>5</v>
      </c>
      <c r="C855" s="4" t="s">
        <v>7</v>
      </c>
      <c r="D855" s="4" t="s">
        <v>11</v>
      </c>
    </row>
    <row r="856" spans="1:23">
      <c r="A856" t="n">
        <v>8784</v>
      </c>
      <c r="B856" s="23" t="n">
        <v>58</v>
      </c>
      <c r="C856" s="7" t="n">
        <v>255</v>
      </c>
      <c r="D856" s="7" t="n">
        <v>0</v>
      </c>
    </row>
    <row r="857" spans="1:23">
      <c r="A857" t="s">
        <v>4</v>
      </c>
      <c r="B857" s="4" t="s">
        <v>5</v>
      </c>
      <c r="C857" s="4" t="s">
        <v>7</v>
      </c>
      <c r="D857" s="4" t="s">
        <v>7</v>
      </c>
      <c r="E857" s="4" t="s">
        <v>7</v>
      </c>
      <c r="F857" s="4" t="s">
        <v>7</v>
      </c>
    </row>
    <row r="858" spans="1:23">
      <c r="A858" t="n">
        <v>8788</v>
      </c>
      <c r="B858" s="9" t="n">
        <v>14</v>
      </c>
      <c r="C858" s="7" t="n">
        <v>0</v>
      </c>
      <c r="D858" s="7" t="n">
        <v>0</v>
      </c>
      <c r="E858" s="7" t="n">
        <v>0</v>
      </c>
      <c r="F858" s="7" t="n">
        <v>64</v>
      </c>
    </row>
    <row r="859" spans="1:23">
      <c r="A859" t="s">
        <v>4</v>
      </c>
      <c r="B859" s="4" t="s">
        <v>5</v>
      </c>
      <c r="C859" s="4" t="s">
        <v>7</v>
      </c>
      <c r="D859" s="4" t="s">
        <v>11</v>
      </c>
    </row>
    <row r="860" spans="1:23">
      <c r="A860" t="n">
        <v>8793</v>
      </c>
      <c r="B860" s="22" t="n">
        <v>22</v>
      </c>
      <c r="C860" s="7" t="n">
        <v>0</v>
      </c>
      <c r="D860" s="7" t="n">
        <v>24589</v>
      </c>
    </row>
    <row r="861" spans="1:23">
      <c r="A861" t="s">
        <v>4</v>
      </c>
      <c r="B861" s="4" t="s">
        <v>5</v>
      </c>
      <c r="C861" s="4" t="s">
        <v>7</v>
      </c>
      <c r="D861" s="4" t="s">
        <v>11</v>
      </c>
    </row>
    <row r="862" spans="1:23">
      <c r="A862" t="n">
        <v>8797</v>
      </c>
      <c r="B862" s="23" t="n">
        <v>58</v>
      </c>
      <c r="C862" s="7" t="n">
        <v>5</v>
      </c>
      <c r="D862" s="7" t="n">
        <v>300</v>
      </c>
    </row>
    <row r="863" spans="1:23">
      <c r="A863" t="s">
        <v>4</v>
      </c>
      <c r="B863" s="4" t="s">
        <v>5</v>
      </c>
      <c r="C863" s="4" t="s">
        <v>13</v>
      </c>
      <c r="D863" s="4" t="s">
        <v>11</v>
      </c>
    </row>
    <row r="864" spans="1:23">
      <c r="A864" t="n">
        <v>8801</v>
      </c>
      <c r="B864" s="46" t="n">
        <v>103</v>
      </c>
      <c r="C864" s="7" t="n">
        <v>0</v>
      </c>
      <c r="D864" s="7" t="n">
        <v>300</v>
      </c>
    </row>
    <row r="865" spans="1:31">
      <c r="A865" t="s">
        <v>4</v>
      </c>
      <c r="B865" s="4" t="s">
        <v>5</v>
      </c>
      <c r="C865" s="4" t="s">
        <v>7</v>
      </c>
    </row>
    <row r="866" spans="1:31">
      <c r="A866" t="n">
        <v>8808</v>
      </c>
      <c r="B866" s="47" t="n">
        <v>64</v>
      </c>
      <c r="C866" s="7" t="n">
        <v>7</v>
      </c>
    </row>
    <row r="867" spans="1:31">
      <c r="A867" t="s">
        <v>4</v>
      </c>
      <c r="B867" s="4" t="s">
        <v>5</v>
      </c>
      <c r="C867" s="4" t="s">
        <v>7</v>
      </c>
      <c r="D867" s="4" t="s">
        <v>11</v>
      </c>
    </row>
    <row r="868" spans="1:31">
      <c r="A868" t="n">
        <v>8810</v>
      </c>
      <c r="B868" s="48" t="n">
        <v>72</v>
      </c>
      <c r="C868" s="7" t="n">
        <v>5</v>
      </c>
      <c r="D868" s="7" t="n">
        <v>0</v>
      </c>
    </row>
    <row r="869" spans="1:31">
      <c r="A869" t="s">
        <v>4</v>
      </c>
      <c r="B869" s="4" t="s">
        <v>5</v>
      </c>
      <c r="C869" s="4" t="s">
        <v>7</v>
      </c>
      <c r="D869" s="20" t="s">
        <v>35</v>
      </c>
      <c r="E869" s="4" t="s">
        <v>5</v>
      </c>
      <c r="F869" s="4" t="s">
        <v>7</v>
      </c>
      <c r="G869" s="4" t="s">
        <v>11</v>
      </c>
      <c r="H869" s="20" t="s">
        <v>36</v>
      </c>
      <c r="I869" s="4" t="s">
        <v>7</v>
      </c>
      <c r="J869" s="4" t="s">
        <v>15</v>
      </c>
      <c r="K869" s="4" t="s">
        <v>7</v>
      </c>
      <c r="L869" s="4" t="s">
        <v>7</v>
      </c>
      <c r="M869" s="4" t="s">
        <v>12</v>
      </c>
    </row>
    <row r="870" spans="1:31">
      <c r="A870" t="n">
        <v>8814</v>
      </c>
      <c r="B870" s="10" t="n">
        <v>5</v>
      </c>
      <c r="C870" s="7" t="n">
        <v>28</v>
      </c>
      <c r="D870" s="20" t="s">
        <v>3</v>
      </c>
      <c r="E870" s="8" t="n">
        <v>162</v>
      </c>
      <c r="F870" s="7" t="n">
        <v>4</v>
      </c>
      <c r="G870" s="7" t="n">
        <v>24589</v>
      </c>
      <c r="H870" s="20" t="s">
        <v>3</v>
      </c>
      <c r="I870" s="7" t="n">
        <v>0</v>
      </c>
      <c r="J870" s="7" t="n">
        <v>1</v>
      </c>
      <c r="K870" s="7" t="n">
        <v>2</v>
      </c>
      <c r="L870" s="7" t="n">
        <v>1</v>
      </c>
      <c r="M870" s="11" t="n">
        <f t="normal" ca="1">A876</f>
        <v>0</v>
      </c>
    </row>
    <row r="871" spans="1:31">
      <c r="A871" t="s">
        <v>4</v>
      </c>
      <c r="B871" s="4" t="s">
        <v>5</v>
      </c>
      <c r="C871" s="4" t="s">
        <v>7</v>
      </c>
      <c r="D871" s="4" t="s">
        <v>8</v>
      </c>
    </row>
    <row r="872" spans="1:31">
      <c r="A872" t="n">
        <v>8831</v>
      </c>
      <c r="B872" s="6" t="n">
        <v>2</v>
      </c>
      <c r="C872" s="7" t="n">
        <v>10</v>
      </c>
      <c r="D872" s="7" t="s">
        <v>107</v>
      </c>
    </row>
    <row r="873" spans="1:31">
      <c r="A873" t="s">
        <v>4</v>
      </c>
      <c r="B873" s="4" t="s">
        <v>5</v>
      </c>
      <c r="C873" s="4" t="s">
        <v>11</v>
      </c>
    </row>
    <row r="874" spans="1:31">
      <c r="A874" t="n">
        <v>8848</v>
      </c>
      <c r="B874" s="29" t="n">
        <v>16</v>
      </c>
      <c r="C874" s="7" t="n">
        <v>0</v>
      </c>
    </row>
    <row r="875" spans="1:31">
      <c r="A875" t="s">
        <v>4</v>
      </c>
      <c r="B875" s="4" t="s">
        <v>5</v>
      </c>
      <c r="C875" s="4" t="s">
        <v>7</v>
      </c>
    </row>
    <row r="876" spans="1:31">
      <c r="A876" t="n">
        <v>8851</v>
      </c>
      <c r="B876" s="49" t="n">
        <v>116</v>
      </c>
      <c r="C876" s="7" t="n">
        <v>0</v>
      </c>
    </row>
    <row r="877" spans="1:31">
      <c r="A877" t="s">
        <v>4</v>
      </c>
      <c r="B877" s="4" t="s">
        <v>5</v>
      </c>
      <c r="C877" s="4" t="s">
        <v>7</v>
      </c>
      <c r="D877" s="4" t="s">
        <v>11</v>
      </c>
    </row>
    <row r="878" spans="1:31">
      <c r="A878" t="n">
        <v>8853</v>
      </c>
      <c r="B878" s="49" t="n">
        <v>116</v>
      </c>
      <c r="C878" s="7" t="n">
        <v>2</v>
      </c>
      <c r="D878" s="7" t="n">
        <v>1</v>
      </c>
    </row>
    <row r="879" spans="1:31">
      <c r="A879" t="s">
        <v>4</v>
      </c>
      <c r="B879" s="4" t="s">
        <v>5</v>
      </c>
      <c r="C879" s="4" t="s">
        <v>7</v>
      </c>
      <c r="D879" s="4" t="s">
        <v>15</v>
      </c>
    </row>
    <row r="880" spans="1:31">
      <c r="A880" t="n">
        <v>8857</v>
      </c>
      <c r="B880" s="49" t="n">
        <v>116</v>
      </c>
      <c r="C880" s="7" t="n">
        <v>5</v>
      </c>
      <c r="D880" s="7" t="n">
        <v>1112014848</v>
      </c>
    </row>
    <row r="881" spans="1:13">
      <c r="A881" t="s">
        <v>4</v>
      </c>
      <c r="B881" s="4" t="s">
        <v>5</v>
      </c>
      <c r="C881" s="4" t="s">
        <v>7</v>
      </c>
      <c r="D881" s="4" t="s">
        <v>11</v>
      </c>
    </row>
    <row r="882" spans="1:13">
      <c r="A882" t="n">
        <v>8863</v>
      </c>
      <c r="B882" s="49" t="n">
        <v>116</v>
      </c>
      <c r="C882" s="7" t="n">
        <v>6</v>
      </c>
      <c r="D882" s="7" t="n">
        <v>1</v>
      </c>
    </row>
    <row r="883" spans="1:13">
      <c r="A883" t="s">
        <v>4</v>
      </c>
      <c r="B883" s="4" t="s">
        <v>5</v>
      </c>
      <c r="C883" s="4" t="s">
        <v>11</v>
      </c>
      <c r="D883" s="4" t="s">
        <v>7</v>
      </c>
      <c r="E883" s="4" t="s">
        <v>7</v>
      </c>
      <c r="F883" s="4" t="s">
        <v>8</v>
      </c>
    </row>
    <row r="884" spans="1:13">
      <c r="A884" t="n">
        <v>8867</v>
      </c>
      <c r="B884" s="50" t="n">
        <v>20</v>
      </c>
      <c r="C884" s="7" t="n">
        <v>0</v>
      </c>
      <c r="D884" s="7" t="n">
        <v>3</v>
      </c>
      <c r="E884" s="7" t="n">
        <v>10</v>
      </c>
      <c r="F884" s="7" t="s">
        <v>108</v>
      </c>
    </row>
    <row r="885" spans="1:13">
      <c r="A885" t="s">
        <v>4</v>
      </c>
      <c r="B885" s="4" t="s">
        <v>5</v>
      </c>
      <c r="C885" s="4" t="s">
        <v>11</v>
      </c>
    </row>
    <row r="886" spans="1:13">
      <c r="A886" t="n">
        <v>8885</v>
      </c>
      <c r="B886" s="29" t="n">
        <v>16</v>
      </c>
      <c r="C886" s="7" t="n">
        <v>0</v>
      </c>
    </row>
    <row r="887" spans="1:13">
      <c r="A887" t="s">
        <v>4</v>
      </c>
      <c r="B887" s="4" t="s">
        <v>5</v>
      </c>
      <c r="C887" s="4" t="s">
        <v>11</v>
      </c>
      <c r="D887" s="4" t="s">
        <v>13</v>
      </c>
      <c r="E887" s="4" t="s">
        <v>13</v>
      </c>
      <c r="F887" s="4" t="s">
        <v>13</v>
      </c>
      <c r="G887" s="4" t="s">
        <v>13</v>
      </c>
    </row>
    <row r="888" spans="1:13">
      <c r="A888" t="n">
        <v>8888</v>
      </c>
      <c r="B888" s="36" t="n">
        <v>46</v>
      </c>
      <c r="C888" s="7" t="n">
        <v>0</v>
      </c>
      <c r="D888" s="7" t="n">
        <v>-2</v>
      </c>
      <c r="E888" s="7" t="n">
        <v>5</v>
      </c>
      <c r="F888" s="7" t="n">
        <v>32</v>
      </c>
      <c r="G888" s="7" t="n">
        <v>270</v>
      </c>
    </row>
    <row r="889" spans="1:13">
      <c r="A889" t="s">
        <v>4</v>
      </c>
      <c r="B889" s="4" t="s">
        <v>5</v>
      </c>
      <c r="C889" s="4" t="s">
        <v>7</v>
      </c>
      <c r="D889" s="4" t="s">
        <v>7</v>
      </c>
      <c r="E889" s="4" t="s">
        <v>13</v>
      </c>
      <c r="F889" s="4" t="s">
        <v>13</v>
      </c>
      <c r="G889" s="4" t="s">
        <v>13</v>
      </c>
      <c r="H889" s="4" t="s">
        <v>11</v>
      </c>
    </row>
    <row r="890" spans="1:13">
      <c r="A890" t="n">
        <v>8907</v>
      </c>
      <c r="B890" s="51" t="n">
        <v>45</v>
      </c>
      <c r="C890" s="7" t="n">
        <v>2</v>
      </c>
      <c r="D890" s="7" t="n">
        <v>3</v>
      </c>
      <c r="E890" s="7" t="n">
        <v>-4.5</v>
      </c>
      <c r="F890" s="7" t="n">
        <v>6.19999980926514</v>
      </c>
      <c r="G890" s="7" t="n">
        <v>32</v>
      </c>
      <c r="H890" s="7" t="n">
        <v>0</v>
      </c>
    </row>
    <row r="891" spans="1:13">
      <c r="A891" t="s">
        <v>4</v>
      </c>
      <c r="B891" s="4" t="s">
        <v>5</v>
      </c>
      <c r="C891" s="4" t="s">
        <v>7</v>
      </c>
      <c r="D891" s="4" t="s">
        <v>7</v>
      </c>
      <c r="E891" s="4" t="s">
        <v>13</v>
      </c>
      <c r="F891" s="4" t="s">
        <v>13</v>
      </c>
      <c r="G891" s="4" t="s">
        <v>13</v>
      </c>
      <c r="H891" s="4" t="s">
        <v>11</v>
      </c>
      <c r="I891" s="4" t="s">
        <v>7</v>
      </c>
    </row>
    <row r="892" spans="1:13">
      <c r="A892" t="n">
        <v>8924</v>
      </c>
      <c r="B892" s="51" t="n">
        <v>45</v>
      </c>
      <c r="C892" s="7" t="n">
        <v>4</v>
      </c>
      <c r="D892" s="7" t="n">
        <v>3</v>
      </c>
      <c r="E892" s="7" t="n">
        <v>8</v>
      </c>
      <c r="F892" s="7" t="n">
        <v>270</v>
      </c>
      <c r="G892" s="7" t="n">
        <v>0</v>
      </c>
      <c r="H892" s="7" t="n">
        <v>0</v>
      </c>
      <c r="I892" s="7" t="n">
        <v>1</v>
      </c>
    </row>
    <row r="893" spans="1:13">
      <c r="A893" t="s">
        <v>4</v>
      </c>
      <c r="B893" s="4" t="s">
        <v>5</v>
      </c>
      <c r="C893" s="4" t="s">
        <v>7</v>
      </c>
      <c r="D893" s="4" t="s">
        <v>7</v>
      </c>
      <c r="E893" s="4" t="s">
        <v>13</v>
      </c>
      <c r="F893" s="4" t="s">
        <v>11</v>
      </c>
    </row>
    <row r="894" spans="1:13">
      <c r="A894" t="n">
        <v>8942</v>
      </c>
      <c r="B894" s="51" t="n">
        <v>45</v>
      </c>
      <c r="C894" s="7" t="n">
        <v>5</v>
      </c>
      <c r="D894" s="7" t="n">
        <v>3</v>
      </c>
      <c r="E894" s="7" t="n">
        <v>3.70000004768372</v>
      </c>
      <c r="F894" s="7" t="n">
        <v>0</v>
      </c>
    </row>
    <row r="895" spans="1:13">
      <c r="A895" t="s">
        <v>4</v>
      </c>
      <c r="B895" s="4" t="s">
        <v>5</v>
      </c>
      <c r="C895" s="4" t="s">
        <v>7</v>
      </c>
      <c r="D895" s="4" t="s">
        <v>7</v>
      </c>
      <c r="E895" s="4" t="s">
        <v>13</v>
      </c>
      <c r="F895" s="4" t="s">
        <v>11</v>
      </c>
    </row>
    <row r="896" spans="1:13">
      <c r="A896" t="n">
        <v>8951</v>
      </c>
      <c r="B896" s="51" t="n">
        <v>45</v>
      </c>
      <c r="C896" s="7" t="n">
        <v>11</v>
      </c>
      <c r="D896" s="7" t="n">
        <v>3</v>
      </c>
      <c r="E896" s="7" t="n">
        <v>28.8999996185303</v>
      </c>
      <c r="F896" s="7" t="n">
        <v>0</v>
      </c>
    </row>
    <row r="897" spans="1:9">
      <c r="A897" t="s">
        <v>4</v>
      </c>
      <c r="B897" s="4" t="s">
        <v>5</v>
      </c>
      <c r="C897" s="4" t="s">
        <v>7</v>
      </c>
      <c r="D897" s="4" t="s">
        <v>11</v>
      </c>
      <c r="E897" s="4" t="s">
        <v>13</v>
      </c>
    </row>
    <row r="898" spans="1:9">
      <c r="A898" t="n">
        <v>8960</v>
      </c>
      <c r="B898" s="23" t="n">
        <v>58</v>
      </c>
      <c r="C898" s="7" t="n">
        <v>100</v>
      </c>
      <c r="D898" s="7" t="n">
        <v>1000</v>
      </c>
      <c r="E898" s="7" t="n">
        <v>1</v>
      </c>
    </row>
    <row r="899" spans="1:9">
      <c r="A899" t="s">
        <v>4</v>
      </c>
      <c r="B899" s="4" t="s">
        <v>5</v>
      </c>
      <c r="C899" s="4" t="s">
        <v>7</v>
      </c>
      <c r="D899" s="4" t="s">
        <v>11</v>
      </c>
    </row>
    <row r="900" spans="1:9">
      <c r="A900" t="n">
        <v>8968</v>
      </c>
      <c r="B900" s="23" t="n">
        <v>58</v>
      </c>
      <c r="C900" s="7" t="n">
        <v>255</v>
      </c>
      <c r="D900" s="7" t="n">
        <v>0</v>
      </c>
    </row>
    <row r="901" spans="1:9">
      <c r="A901" t="s">
        <v>4</v>
      </c>
      <c r="B901" s="4" t="s">
        <v>5</v>
      </c>
      <c r="C901" s="4" t="s">
        <v>8</v>
      </c>
      <c r="D901" s="4" t="s">
        <v>8</v>
      </c>
    </row>
    <row r="902" spans="1:9">
      <c r="A902" t="n">
        <v>8972</v>
      </c>
      <c r="B902" s="52" t="n">
        <v>70</v>
      </c>
      <c r="C902" s="7" t="s">
        <v>24</v>
      </c>
      <c r="D902" s="7" t="s">
        <v>109</v>
      </c>
    </row>
    <row r="903" spans="1:9">
      <c r="A903" t="s">
        <v>4</v>
      </c>
      <c r="B903" s="4" t="s">
        <v>5</v>
      </c>
      <c r="C903" s="4" t="s">
        <v>11</v>
      </c>
    </row>
    <row r="904" spans="1:9">
      <c r="A904" t="n">
        <v>8989</v>
      </c>
      <c r="B904" s="29" t="n">
        <v>16</v>
      </c>
      <c r="C904" s="7" t="n">
        <v>300</v>
      </c>
    </row>
    <row r="905" spans="1:9">
      <c r="A905" t="s">
        <v>4</v>
      </c>
      <c r="B905" s="4" t="s">
        <v>5</v>
      </c>
      <c r="C905" s="4" t="s">
        <v>7</v>
      </c>
      <c r="D905" s="4" t="s">
        <v>7</v>
      </c>
      <c r="E905" s="4" t="s">
        <v>13</v>
      </c>
      <c r="F905" s="4" t="s">
        <v>13</v>
      </c>
      <c r="G905" s="4" t="s">
        <v>13</v>
      </c>
      <c r="H905" s="4" t="s">
        <v>11</v>
      </c>
    </row>
    <row r="906" spans="1:9">
      <c r="A906" t="n">
        <v>8992</v>
      </c>
      <c r="B906" s="51" t="n">
        <v>45</v>
      </c>
      <c r="C906" s="7" t="n">
        <v>2</v>
      </c>
      <c r="D906" s="7" t="n">
        <v>3</v>
      </c>
      <c r="E906" s="7" t="n">
        <v>-5.5</v>
      </c>
      <c r="F906" s="7" t="n">
        <v>6.28999996185303</v>
      </c>
      <c r="G906" s="7" t="n">
        <v>32</v>
      </c>
      <c r="H906" s="7" t="n">
        <v>3000</v>
      </c>
    </row>
    <row r="907" spans="1:9">
      <c r="A907" t="s">
        <v>4</v>
      </c>
      <c r="B907" s="4" t="s">
        <v>5</v>
      </c>
      <c r="C907" s="4" t="s">
        <v>7</v>
      </c>
      <c r="D907" s="4" t="s">
        <v>7</v>
      </c>
      <c r="E907" s="4" t="s">
        <v>13</v>
      </c>
      <c r="F907" s="4" t="s">
        <v>13</v>
      </c>
      <c r="G907" s="4" t="s">
        <v>13</v>
      </c>
      <c r="H907" s="4" t="s">
        <v>11</v>
      </c>
      <c r="I907" s="4" t="s">
        <v>7</v>
      </c>
    </row>
    <row r="908" spans="1:9">
      <c r="A908" t="n">
        <v>9009</v>
      </c>
      <c r="B908" s="51" t="n">
        <v>45</v>
      </c>
      <c r="C908" s="7" t="n">
        <v>4</v>
      </c>
      <c r="D908" s="7" t="n">
        <v>3</v>
      </c>
      <c r="E908" s="7" t="n">
        <v>4.76000022888184</v>
      </c>
      <c r="F908" s="7" t="n">
        <v>248.089996337891</v>
      </c>
      <c r="G908" s="7" t="n">
        <v>0</v>
      </c>
      <c r="H908" s="7" t="n">
        <v>3000</v>
      </c>
      <c r="I908" s="7" t="n">
        <v>1</v>
      </c>
    </row>
    <row r="909" spans="1:9">
      <c r="A909" t="s">
        <v>4</v>
      </c>
      <c r="B909" s="4" t="s">
        <v>5</v>
      </c>
      <c r="C909" s="4" t="s">
        <v>7</v>
      </c>
      <c r="D909" s="4" t="s">
        <v>7</v>
      </c>
      <c r="E909" s="4" t="s">
        <v>13</v>
      </c>
      <c r="F909" s="4" t="s">
        <v>11</v>
      </c>
    </row>
    <row r="910" spans="1:9">
      <c r="A910" t="n">
        <v>9027</v>
      </c>
      <c r="B910" s="51" t="n">
        <v>45</v>
      </c>
      <c r="C910" s="7" t="n">
        <v>5</v>
      </c>
      <c r="D910" s="7" t="n">
        <v>3</v>
      </c>
      <c r="E910" s="7" t="n">
        <v>2.79999995231628</v>
      </c>
      <c r="F910" s="7" t="n">
        <v>3000</v>
      </c>
    </row>
    <row r="911" spans="1:9">
      <c r="A911" t="s">
        <v>4</v>
      </c>
      <c r="B911" s="4" t="s">
        <v>5</v>
      </c>
      <c r="C911" s="4" t="s">
        <v>7</v>
      </c>
      <c r="D911" s="4" t="s">
        <v>7</v>
      </c>
      <c r="E911" s="4" t="s">
        <v>13</v>
      </c>
      <c r="F911" s="4" t="s">
        <v>11</v>
      </c>
    </row>
    <row r="912" spans="1:9">
      <c r="A912" t="n">
        <v>9036</v>
      </c>
      <c r="B912" s="51" t="n">
        <v>45</v>
      </c>
      <c r="C912" s="7" t="n">
        <v>11</v>
      </c>
      <c r="D912" s="7" t="n">
        <v>3</v>
      </c>
      <c r="E912" s="7" t="n">
        <v>28.8999996185303</v>
      </c>
      <c r="F912" s="7" t="n">
        <v>3000</v>
      </c>
    </row>
    <row r="913" spans="1:9">
      <c r="A913" t="s">
        <v>4</v>
      </c>
      <c r="B913" s="4" t="s">
        <v>5</v>
      </c>
      <c r="C913" s="4" t="s">
        <v>11</v>
      </c>
      <c r="D913" s="4" t="s">
        <v>11</v>
      </c>
      <c r="E913" s="4" t="s">
        <v>13</v>
      </c>
      <c r="F913" s="4" t="s">
        <v>13</v>
      </c>
      <c r="G913" s="4" t="s">
        <v>13</v>
      </c>
      <c r="H913" s="4" t="s">
        <v>13</v>
      </c>
      <c r="I913" s="4" t="s">
        <v>7</v>
      </c>
      <c r="J913" s="4" t="s">
        <v>11</v>
      </c>
    </row>
    <row r="914" spans="1:9">
      <c r="A914" t="n">
        <v>9045</v>
      </c>
      <c r="B914" s="53" t="n">
        <v>55</v>
      </c>
      <c r="C914" s="7" t="n">
        <v>0</v>
      </c>
      <c r="D914" s="7" t="n">
        <v>65533</v>
      </c>
      <c r="E914" s="7" t="n">
        <v>-5.5</v>
      </c>
      <c r="F914" s="7" t="n">
        <v>5</v>
      </c>
      <c r="G914" s="7" t="n">
        <v>32</v>
      </c>
      <c r="H914" s="7" t="n">
        <v>1.5</v>
      </c>
      <c r="I914" s="7" t="n">
        <v>1</v>
      </c>
      <c r="J914" s="7" t="n">
        <v>0</v>
      </c>
    </row>
    <row r="915" spans="1:9">
      <c r="A915" t="s">
        <v>4</v>
      </c>
      <c r="B915" s="4" t="s">
        <v>5</v>
      </c>
      <c r="C915" s="4" t="s">
        <v>11</v>
      </c>
      <c r="D915" s="4" t="s">
        <v>7</v>
      </c>
    </row>
    <row r="916" spans="1:9">
      <c r="A916" t="n">
        <v>9069</v>
      </c>
      <c r="B916" s="54" t="n">
        <v>56</v>
      </c>
      <c r="C916" s="7" t="n">
        <v>0</v>
      </c>
      <c r="D916" s="7" t="n">
        <v>0</v>
      </c>
    </row>
    <row r="917" spans="1:9">
      <c r="A917" t="s">
        <v>4</v>
      </c>
      <c r="B917" s="4" t="s">
        <v>5</v>
      </c>
      <c r="C917" s="4" t="s">
        <v>7</v>
      </c>
      <c r="D917" s="4" t="s">
        <v>11</v>
      </c>
    </row>
    <row r="918" spans="1:9">
      <c r="A918" t="n">
        <v>9073</v>
      </c>
      <c r="B918" s="51" t="n">
        <v>45</v>
      </c>
      <c r="C918" s="7" t="n">
        <v>7</v>
      </c>
      <c r="D918" s="7" t="n">
        <v>255</v>
      </c>
    </row>
    <row r="919" spans="1:9">
      <c r="A919" t="s">
        <v>4</v>
      </c>
      <c r="B919" s="4" t="s">
        <v>5</v>
      </c>
      <c r="C919" s="4" t="s">
        <v>7</v>
      </c>
      <c r="D919" s="4" t="s">
        <v>11</v>
      </c>
      <c r="E919" s="4" t="s">
        <v>8</v>
      </c>
    </row>
    <row r="920" spans="1:9">
      <c r="A920" t="n">
        <v>9077</v>
      </c>
      <c r="B920" s="38" t="n">
        <v>51</v>
      </c>
      <c r="C920" s="7" t="n">
        <v>4</v>
      </c>
      <c r="D920" s="7" t="n">
        <v>0</v>
      </c>
      <c r="E920" s="7" t="s">
        <v>110</v>
      </c>
    </row>
    <row r="921" spans="1:9">
      <c r="A921" t="s">
        <v>4</v>
      </c>
      <c r="B921" s="4" t="s">
        <v>5</v>
      </c>
      <c r="C921" s="4" t="s">
        <v>11</v>
      </c>
    </row>
    <row r="922" spans="1:9">
      <c r="A922" t="n">
        <v>9092</v>
      </c>
      <c r="B922" s="29" t="n">
        <v>16</v>
      </c>
      <c r="C922" s="7" t="n">
        <v>0</v>
      </c>
    </row>
    <row r="923" spans="1:9">
      <c r="A923" t="s">
        <v>4</v>
      </c>
      <c r="B923" s="4" t="s">
        <v>5</v>
      </c>
      <c r="C923" s="4" t="s">
        <v>11</v>
      </c>
      <c r="D923" s="4" t="s">
        <v>7</v>
      </c>
      <c r="E923" s="4" t="s">
        <v>15</v>
      </c>
      <c r="F923" s="4" t="s">
        <v>55</v>
      </c>
      <c r="G923" s="4" t="s">
        <v>7</v>
      </c>
      <c r="H923" s="4" t="s">
        <v>7</v>
      </c>
      <c r="I923" s="4" t="s">
        <v>7</v>
      </c>
      <c r="J923" s="4" t="s">
        <v>15</v>
      </c>
      <c r="K923" s="4" t="s">
        <v>55</v>
      </c>
      <c r="L923" s="4" t="s">
        <v>7</v>
      </c>
      <c r="M923" s="4" t="s">
        <v>7</v>
      </c>
    </row>
    <row r="924" spans="1:9">
      <c r="A924" t="n">
        <v>9095</v>
      </c>
      <c r="B924" s="55" t="n">
        <v>26</v>
      </c>
      <c r="C924" s="7" t="n">
        <v>0</v>
      </c>
      <c r="D924" s="7" t="n">
        <v>17</v>
      </c>
      <c r="E924" s="7" t="n">
        <v>64250</v>
      </c>
      <c r="F924" s="7" t="s">
        <v>111</v>
      </c>
      <c r="G924" s="7" t="n">
        <v>2</v>
      </c>
      <c r="H924" s="7" t="n">
        <v>3</v>
      </c>
      <c r="I924" s="7" t="n">
        <v>17</v>
      </c>
      <c r="J924" s="7" t="n">
        <v>64251</v>
      </c>
      <c r="K924" s="7" t="s">
        <v>112</v>
      </c>
      <c r="L924" s="7" t="n">
        <v>2</v>
      </c>
      <c r="M924" s="7" t="n">
        <v>0</v>
      </c>
    </row>
    <row r="925" spans="1:9">
      <c r="A925" t="s">
        <v>4</v>
      </c>
      <c r="B925" s="4" t="s">
        <v>5</v>
      </c>
    </row>
    <row r="926" spans="1:9">
      <c r="A926" t="n">
        <v>9295</v>
      </c>
      <c r="B926" s="27" t="n">
        <v>28</v>
      </c>
    </row>
    <row r="927" spans="1:9">
      <c r="A927" t="s">
        <v>4</v>
      </c>
      <c r="B927" s="4" t="s">
        <v>5</v>
      </c>
      <c r="C927" s="4" t="s">
        <v>7</v>
      </c>
      <c r="D927" s="4" t="s">
        <v>11</v>
      </c>
      <c r="E927" s="4" t="s">
        <v>8</v>
      </c>
      <c r="F927" s="4" t="s">
        <v>8</v>
      </c>
      <c r="G927" s="4" t="s">
        <v>8</v>
      </c>
      <c r="H927" s="4" t="s">
        <v>8</v>
      </c>
    </row>
    <row r="928" spans="1:9">
      <c r="A928" t="n">
        <v>9296</v>
      </c>
      <c r="B928" s="38" t="n">
        <v>51</v>
      </c>
      <c r="C928" s="7" t="n">
        <v>3</v>
      </c>
      <c r="D928" s="7" t="n">
        <v>0</v>
      </c>
      <c r="E928" s="7" t="s">
        <v>86</v>
      </c>
      <c r="F928" s="7" t="s">
        <v>79</v>
      </c>
      <c r="G928" s="7" t="s">
        <v>78</v>
      </c>
      <c r="H928" s="7" t="s">
        <v>79</v>
      </c>
    </row>
    <row r="929" spans="1:13">
      <c r="A929" t="s">
        <v>4</v>
      </c>
      <c r="B929" s="4" t="s">
        <v>5</v>
      </c>
      <c r="C929" s="4" t="s">
        <v>11</v>
      </c>
      <c r="D929" s="4" t="s">
        <v>7</v>
      </c>
      <c r="E929" s="4" t="s">
        <v>13</v>
      </c>
      <c r="F929" s="4" t="s">
        <v>11</v>
      </c>
    </row>
    <row r="930" spans="1:13">
      <c r="A930" t="n">
        <v>9309</v>
      </c>
      <c r="B930" s="56" t="n">
        <v>59</v>
      </c>
      <c r="C930" s="7" t="n">
        <v>0</v>
      </c>
      <c r="D930" s="7" t="n">
        <v>8</v>
      </c>
      <c r="E930" s="7" t="n">
        <v>0.150000005960464</v>
      </c>
      <c r="F930" s="7" t="n">
        <v>0</v>
      </c>
    </row>
    <row r="931" spans="1:13">
      <c r="A931" t="s">
        <v>4</v>
      </c>
      <c r="B931" s="4" t="s">
        <v>5</v>
      </c>
      <c r="C931" s="4" t="s">
        <v>11</v>
      </c>
    </row>
    <row r="932" spans="1:13">
      <c r="A932" t="n">
        <v>9319</v>
      </c>
      <c r="B932" s="29" t="n">
        <v>16</v>
      </c>
      <c r="C932" s="7" t="n">
        <v>1500</v>
      </c>
    </row>
    <row r="933" spans="1:13">
      <c r="A933" t="s">
        <v>4</v>
      </c>
      <c r="B933" s="4" t="s">
        <v>5</v>
      </c>
      <c r="C933" s="4" t="s">
        <v>11</v>
      </c>
      <c r="D933" s="4" t="s">
        <v>7</v>
      </c>
      <c r="E933" s="4" t="s">
        <v>13</v>
      </c>
      <c r="F933" s="4" t="s">
        <v>11</v>
      </c>
    </row>
    <row r="934" spans="1:13">
      <c r="A934" t="n">
        <v>9322</v>
      </c>
      <c r="B934" s="56" t="n">
        <v>59</v>
      </c>
      <c r="C934" s="7" t="n">
        <v>0</v>
      </c>
      <c r="D934" s="7" t="n">
        <v>255</v>
      </c>
      <c r="E934" s="7" t="n">
        <v>0</v>
      </c>
      <c r="F934" s="7" t="n">
        <v>0</v>
      </c>
    </row>
    <row r="935" spans="1:13">
      <c r="A935" t="s">
        <v>4</v>
      </c>
      <c r="B935" s="4" t="s">
        <v>5</v>
      </c>
      <c r="C935" s="4" t="s">
        <v>11</v>
      </c>
    </row>
    <row r="936" spans="1:13">
      <c r="A936" t="n">
        <v>9332</v>
      </c>
      <c r="B936" s="29" t="n">
        <v>16</v>
      </c>
      <c r="C936" s="7" t="n">
        <v>300</v>
      </c>
    </row>
    <row r="937" spans="1:13">
      <c r="A937" t="s">
        <v>4</v>
      </c>
      <c r="B937" s="4" t="s">
        <v>5</v>
      </c>
      <c r="C937" s="4" t="s">
        <v>7</v>
      </c>
      <c r="D937" s="4" t="s">
        <v>11</v>
      </c>
      <c r="E937" s="4" t="s">
        <v>8</v>
      </c>
    </row>
    <row r="938" spans="1:13">
      <c r="A938" t="n">
        <v>9335</v>
      </c>
      <c r="B938" s="38" t="n">
        <v>51</v>
      </c>
      <c r="C938" s="7" t="n">
        <v>4</v>
      </c>
      <c r="D938" s="7" t="n">
        <v>0</v>
      </c>
      <c r="E938" s="7" t="s">
        <v>113</v>
      </c>
    </row>
    <row r="939" spans="1:13">
      <c r="A939" t="s">
        <v>4</v>
      </c>
      <c r="B939" s="4" t="s">
        <v>5</v>
      </c>
      <c r="C939" s="4" t="s">
        <v>11</v>
      </c>
    </row>
    <row r="940" spans="1:13">
      <c r="A940" t="n">
        <v>9350</v>
      </c>
      <c r="B940" s="29" t="n">
        <v>16</v>
      </c>
      <c r="C940" s="7" t="n">
        <v>0</v>
      </c>
    </row>
    <row r="941" spans="1:13">
      <c r="A941" t="s">
        <v>4</v>
      </c>
      <c r="B941" s="4" t="s">
        <v>5</v>
      </c>
      <c r="C941" s="4" t="s">
        <v>11</v>
      </c>
      <c r="D941" s="4" t="s">
        <v>7</v>
      </c>
      <c r="E941" s="4" t="s">
        <v>15</v>
      </c>
      <c r="F941" s="4" t="s">
        <v>55</v>
      </c>
      <c r="G941" s="4" t="s">
        <v>7</v>
      </c>
      <c r="H941" s="4" t="s">
        <v>7</v>
      </c>
      <c r="I941" s="4" t="s">
        <v>7</v>
      </c>
      <c r="J941" s="4" t="s">
        <v>15</v>
      </c>
      <c r="K941" s="4" t="s">
        <v>55</v>
      </c>
      <c r="L941" s="4" t="s">
        <v>7</v>
      </c>
      <c r="M941" s="4" t="s">
        <v>7</v>
      </c>
    </row>
    <row r="942" spans="1:13">
      <c r="A942" t="n">
        <v>9353</v>
      </c>
      <c r="B942" s="55" t="n">
        <v>26</v>
      </c>
      <c r="C942" s="7" t="n">
        <v>0</v>
      </c>
      <c r="D942" s="7" t="n">
        <v>17</v>
      </c>
      <c r="E942" s="7" t="n">
        <v>64252</v>
      </c>
      <c r="F942" s="7" t="s">
        <v>114</v>
      </c>
      <c r="G942" s="7" t="n">
        <v>2</v>
      </c>
      <c r="H942" s="7" t="n">
        <v>3</v>
      </c>
      <c r="I942" s="7" t="n">
        <v>17</v>
      </c>
      <c r="J942" s="7" t="n">
        <v>64253</v>
      </c>
      <c r="K942" s="7" t="s">
        <v>115</v>
      </c>
      <c r="L942" s="7" t="n">
        <v>2</v>
      </c>
      <c r="M942" s="7" t="n">
        <v>0</v>
      </c>
    </row>
    <row r="943" spans="1:13">
      <c r="A943" t="s">
        <v>4</v>
      </c>
      <c r="B943" s="4" t="s">
        <v>5</v>
      </c>
    </row>
    <row r="944" spans="1:13">
      <c r="A944" t="n">
        <v>9477</v>
      </c>
      <c r="B944" s="27" t="n">
        <v>28</v>
      </c>
    </row>
    <row r="945" spans="1:13">
      <c r="A945" t="s">
        <v>4</v>
      </c>
      <c r="B945" s="4" t="s">
        <v>5</v>
      </c>
      <c r="C945" s="4" t="s">
        <v>7</v>
      </c>
      <c r="D945" s="4" t="s">
        <v>11</v>
      </c>
      <c r="E945" s="4" t="s">
        <v>13</v>
      </c>
    </row>
    <row r="946" spans="1:13">
      <c r="A946" t="n">
        <v>9478</v>
      </c>
      <c r="B946" s="23" t="n">
        <v>58</v>
      </c>
      <c r="C946" s="7" t="n">
        <v>0</v>
      </c>
      <c r="D946" s="7" t="n">
        <v>300</v>
      </c>
      <c r="E946" s="7" t="n">
        <v>0.300000011920929</v>
      </c>
    </row>
    <row r="947" spans="1:13">
      <c r="A947" t="s">
        <v>4</v>
      </c>
      <c r="B947" s="4" t="s">
        <v>5</v>
      </c>
      <c r="C947" s="4" t="s">
        <v>7</v>
      </c>
      <c r="D947" s="4" t="s">
        <v>11</v>
      </c>
    </row>
    <row r="948" spans="1:13">
      <c r="A948" t="n">
        <v>9486</v>
      </c>
      <c r="B948" s="23" t="n">
        <v>58</v>
      </c>
      <c r="C948" s="7" t="n">
        <v>255</v>
      </c>
      <c r="D948" s="7" t="n">
        <v>0</v>
      </c>
    </row>
    <row r="949" spans="1:13">
      <c r="A949" t="s">
        <v>4</v>
      </c>
      <c r="B949" s="4" t="s">
        <v>5</v>
      </c>
      <c r="C949" s="4" t="s">
        <v>7</v>
      </c>
      <c r="D949" s="4" t="s">
        <v>11</v>
      </c>
      <c r="E949" s="4" t="s">
        <v>13</v>
      </c>
      <c r="F949" s="4" t="s">
        <v>11</v>
      </c>
      <c r="G949" s="4" t="s">
        <v>15</v>
      </c>
      <c r="H949" s="4" t="s">
        <v>15</v>
      </c>
      <c r="I949" s="4" t="s">
        <v>11</v>
      </c>
      <c r="J949" s="4" t="s">
        <v>11</v>
      </c>
      <c r="K949" s="4" t="s">
        <v>15</v>
      </c>
      <c r="L949" s="4" t="s">
        <v>15</v>
      </c>
      <c r="M949" s="4" t="s">
        <v>15</v>
      </c>
      <c r="N949" s="4" t="s">
        <v>15</v>
      </c>
      <c r="O949" s="4" t="s">
        <v>8</v>
      </c>
    </row>
    <row r="950" spans="1:13">
      <c r="A950" t="n">
        <v>9490</v>
      </c>
      <c r="B950" s="57" t="n">
        <v>50</v>
      </c>
      <c r="C950" s="7" t="n">
        <v>0</v>
      </c>
      <c r="D950" s="7" t="n">
        <v>12105</v>
      </c>
      <c r="E950" s="7" t="n">
        <v>1</v>
      </c>
      <c r="F950" s="7" t="n">
        <v>0</v>
      </c>
      <c r="G950" s="7" t="n">
        <v>0</v>
      </c>
      <c r="H950" s="7" t="n">
        <v>0</v>
      </c>
      <c r="I950" s="7" t="n">
        <v>0</v>
      </c>
      <c r="J950" s="7" t="n">
        <v>65533</v>
      </c>
      <c r="K950" s="7" t="n">
        <v>0</v>
      </c>
      <c r="L950" s="7" t="n">
        <v>0</v>
      </c>
      <c r="M950" s="7" t="n">
        <v>0</v>
      </c>
      <c r="N950" s="7" t="n">
        <v>0</v>
      </c>
      <c r="O950" s="7" t="s">
        <v>16</v>
      </c>
    </row>
    <row r="951" spans="1:13">
      <c r="A951" t="s">
        <v>4</v>
      </c>
      <c r="B951" s="4" t="s">
        <v>5</v>
      </c>
      <c r="C951" s="4" t="s">
        <v>7</v>
      </c>
      <c r="D951" s="4" t="s">
        <v>11</v>
      </c>
      <c r="E951" s="4" t="s">
        <v>11</v>
      </c>
      <c r="F951" s="4" t="s">
        <v>11</v>
      </c>
      <c r="G951" s="4" t="s">
        <v>11</v>
      </c>
      <c r="H951" s="4" t="s">
        <v>7</v>
      </c>
    </row>
    <row r="952" spans="1:13">
      <c r="A952" t="n">
        <v>9529</v>
      </c>
      <c r="B952" s="31" t="n">
        <v>25</v>
      </c>
      <c r="C952" s="7" t="n">
        <v>5</v>
      </c>
      <c r="D952" s="7" t="n">
        <v>65535</v>
      </c>
      <c r="E952" s="7" t="n">
        <v>500</v>
      </c>
      <c r="F952" s="7" t="n">
        <v>800</v>
      </c>
      <c r="G952" s="7" t="n">
        <v>140</v>
      </c>
      <c r="H952" s="7" t="n">
        <v>0</v>
      </c>
    </row>
    <row r="953" spans="1:13">
      <c r="A953" t="s">
        <v>4</v>
      </c>
      <c r="B953" s="4" t="s">
        <v>5</v>
      </c>
      <c r="C953" s="4" t="s">
        <v>11</v>
      </c>
      <c r="D953" s="4" t="s">
        <v>7</v>
      </c>
      <c r="E953" s="4" t="s">
        <v>55</v>
      </c>
      <c r="F953" s="4" t="s">
        <v>7</v>
      </c>
      <c r="G953" s="4" t="s">
        <v>7</v>
      </c>
    </row>
    <row r="954" spans="1:13">
      <c r="A954" t="n">
        <v>9540</v>
      </c>
      <c r="B954" s="32" t="n">
        <v>24</v>
      </c>
      <c r="C954" s="7" t="n">
        <v>65533</v>
      </c>
      <c r="D954" s="7" t="n">
        <v>11</v>
      </c>
      <c r="E954" s="7" t="s">
        <v>116</v>
      </c>
      <c r="F954" s="7" t="n">
        <v>2</v>
      </c>
      <c r="G954" s="7" t="n">
        <v>0</v>
      </c>
    </row>
    <row r="955" spans="1:13">
      <c r="A955" t="s">
        <v>4</v>
      </c>
      <c r="B955" s="4" t="s">
        <v>5</v>
      </c>
    </row>
    <row r="956" spans="1:13">
      <c r="A956" t="n">
        <v>9614</v>
      </c>
      <c r="B956" s="27" t="n">
        <v>28</v>
      </c>
    </row>
    <row r="957" spans="1:13">
      <c r="A957" t="s">
        <v>4</v>
      </c>
      <c r="B957" s="4" t="s">
        <v>5</v>
      </c>
      <c r="C957" s="4" t="s">
        <v>11</v>
      </c>
      <c r="D957" s="4" t="s">
        <v>7</v>
      </c>
      <c r="E957" s="4" t="s">
        <v>55</v>
      </c>
      <c r="F957" s="4" t="s">
        <v>7</v>
      </c>
      <c r="G957" s="4" t="s">
        <v>7</v>
      </c>
    </row>
    <row r="958" spans="1:13">
      <c r="A958" t="n">
        <v>9615</v>
      </c>
      <c r="B958" s="32" t="n">
        <v>24</v>
      </c>
      <c r="C958" s="7" t="n">
        <v>65533</v>
      </c>
      <c r="D958" s="7" t="n">
        <v>11</v>
      </c>
      <c r="E958" s="7" t="s">
        <v>117</v>
      </c>
      <c r="F958" s="7" t="n">
        <v>2</v>
      </c>
      <c r="G958" s="7" t="n">
        <v>0</v>
      </c>
    </row>
    <row r="959" spans="1:13">
      <c r="A959" t="s">
        <v>4</v>
      </c>
      <c r="B959" s="4" t="s">
        <v>5</v>
      </c>
    </row>
    <row r="960" spans="1:13">
      <c r="A960" t="n">
        <v>9702</v>
      </c>
      <c r="B960" s="27" t="n">
        <v>28</v>
      </c>
    </row>
    <row r="961" spans="1:15">
      <c r="A961" t="s">
        <v>4</v>
      </c>
      <c r="B961" s="4" t="s">
        <v>5</v>
      </c>
      <c r="C961" s="4" t="s">
        <v>7</v>
      </c>
    </row>
    <row r="962" spans="1:15">
      <c r="A962" t="n">
        <v>9703</v>
      </c>
      <c r="B962" s="33" t="n">
        <v>27</v>
      </c>
      <c r="C962" s="7" t="n">
        <v>0</v>
      </c>
    </row>
    <row r="963" spans="1:15">
      <c r="A963" t="s">
        <v>4</v>
      </c>
      <c r="B963" s="4" t="s">
        <v>5</v>
      </c>
      <c r="C963" s="4" t="s">
        <v>7</v>
      </c>
    </row>
    <row r="964" spans="1:15">
      <c r="A964" t="n">
        <v>9705</v>
      </c>
      <c r="B964" s="33" t="n">
        <v>27</v>
      </c>
      <c r="C964" s="7" t="n">
        <v>1</v>
      </c>
    </row>
    <row r="965" spans="1:15">
      <c r="A965" t="s">
        <v>4</v>
      </c>
      <c r="B965" s="4" t="s">
        <v>5</v>
      </c>
      <c r="C965" s="4" t="s">
        <v>7</v>
      </c>
      <c r="D965" s="4" t="s">
        <v>11</v>
      </c>
      <c r="E965" s="4" t="s">
        <v>11</v>
      </c>
      <c r="F965" s="4" t="s">
        <v>11</v>
      </c>
      <c r="G965" s="4" t="s">
        <v>11</v>
      </c>
      <c r="H965" s="4" t="s">
        <v>7</v>
      </c>
    </row>
    <row r="966" spans="1:15">
      <c r="A966" t="n">
        <v>9707</v>
      </c>
      <c r="B966" s="31" t="n">
        <v>25</v>
      </c>
      <c r="C966" s="7" t="n">
        <v>5</v>
      </c>
      <c r="D966" s="7" t="n">
        <v>65535</v>
      </c>
      <c r="E966" s="7" t="n">
        <v>65535</v>
      </c>
      <c r="F966" s="7" t="n">
        <v>65535</v>
      </c>
      <c r="G966" s="7" t="n">
        <v>65535</v>
      </c>
      <c r="H966" s="7" t="n">
        <v>0</v>
      </c>
    </row>
    <row r="967" spans="1:15">
      <c r="A967" t="s">
        <v>4</v>
      </c>
      <c r="B967" s="4" t="s">
        <v>5</v>
      </c>
      <c r="C967" s="4" t="s">
        <v>7</v>
      </c>
      <c r="D967" s="4" t="s">
        <v>11</v>
      </c>
      <c r="E967" s="4" t="s">
        <v>13</v>
      </c>
    </row>
    <row r="968" spans="1:15">
      <c r="A968" t="n">
        <v>9718</v>
      </c>
      <c r="B968" s="23" t="n">
        <v>58</v>
      </c>
      <c r="C968" s="7" t="n">
        <v>0</v>
      </c>
      <c r="D968" s="7" t="n">
        <v>1000</v>
      </c>
      <c r="E968" s="7" t="n">
        <v>1</v>
      </c>
    </row>
    <row r="969" spans="1:15">
      <c r="A969" t="s">
        <v>4</v>
      </c>
      <c r="B969" s="4" t="s">
        <v>5</v>
      </c>
      <c r="C969" s="4" t="s">
        <v>7</v>
      </c>
      <c r="D969" s="4" t="s">
        <v>11</v>
      </c>
    </row>
    <row r="970" spans="1:15">
      <c r="A970" t="n">
        <v>9726</v>
      </c>
      <c r="B970" s="23" t="n">
        <v>58</v>
      </c>
      <c r="C970" s="7" t="n">
        <v>255</v>
      </c>
      <c r="D970" s="7" t="n">
        <v>0</v>
      </c>
    </row>
    <row r="971" spans="1:15">
      <c r="A971" t="s">
        <v>4</v>
      </c>
      <c r="B971" s="4" t="s">
        <v>5</v>
      </c>
      <c r="C971" s="4" t="s">
        <v>11</v>
      </c>
    </row>
    <row r="972" spans="1:15">
      <c r="A972" t="n">
        <v>9730</v>
      </c>
      <c r="B972" s="43" t="n">
        <v>12</v>
      </c>
      <c r="C972" s="7" t="n">
        <v>10499</v>
      </c>
    </row>
    <row r="973" spans="1:15">
      <c r="A973" t="s">
        <v>4</v>
      </c>
      <c r="B973" s="4" t="s">
        <v>5</v>
      </c>
      <c r="C973" s="4" t="s">
        <v>11</v>
      </c>
    </row>
    <row r="974" spans="1:15">
      <c r="A974" t="n">
        <v>9733</v>
      </c>
      <c r="B974" s="43" t="n">
        <v>12</v>
      </c>
      <c r="C974" s="7" t="n">
        <v>10993</v>
      </c>
    </row>
    <row r="975" spans="1:15">
      <c r="A975" t="s">
        <v>4</v>
      </c>
      <c r="B975" s="4" t="s">
        <v>5</v>
      </c>
      <c r="C975" s="4" t="s">
        <v>11</v>
      </c>
      <c r="D975" s="4" t="s">
        <v>7</v>
      </c>
      <c r="E975" s="4" t="s">
        <v>11</v>
      </c>
    </row>
    <row r="976" spans="1:15">
      <c r="A976" t="n">
        <v>9736</v>
      </c>
      <c r="B976" s="58" t="n">
        <v>104</v>
      </c>
      <c r="C976" s="7" t="n">
        <v>131</v>
      </c>
      <c r="D976" s="7" t="n">
        <v>1</v>
      </c>
      <c r="E976" s="7" t="n">
        <v>3</v>
      </c>
    </row>
    <row r="977" spans="1:8">
      <c r="A977" t="s">
        <v>4</v>
      </c>
      <c r="B977" s="4" t="s">
        <v>5</v>
      </c>
    </row>
    <row r="978" spans="1:8">
      <c r="A978" t="n">
        <v>9742</v>
      </c>
      <c r="B978" s="5" t="n">
        <v>1</v>
      </c>
    </row>
    <row r="979" spans="1:8">
      <c r="A979" t="s">
        <v>4</v>
      </c>
      <c r="B979" s="4" t="s">
        <v>5</v>
      </c>
      <c r="C979" s="4" t="s">
        <v>7</v>
      </c>
      <c r="D979" s="4" t="s">
        <v>11</v>
      </c>
      <c r="E979" s="4" t="s">
        <v>11</v>
      </c>
    </row>
    <row r="980" spans="1:8">
      <c r="A980" t="n">
        <v>9743</v>
      </c>
      <c r="B980" s="59" t="n">
        <v>135</v>
      </c>
      <c r="C980" s="7" t="n">
        <v>0</v>
      </c>
      <c r="D980" s="7" t="n">
        <v>13</v>
      </c>
      <c r="E980" s="7" t="n">
        <v>64</v>
      </c>
    </row>
    <row r="981" spans="1:8">
      <c r="A981" t="s">
        <v>4</v>
      </c>
      <c r="B981" s="4" t="s">
        <v>5</v>
      </c>
      <c r="C981" s="4" t="s">
        <v>7</v>
      </c>
      <c r="D981" s="4" t="s">
        <v>11</v>
      </c>
      <c r="E981" s="4" t="s">
        <v>11</v>
      </c>
    </row>
    <row r="982" spans="1:8">
      <c r="A982" t="n">
        <v>9749</v>
      </c>
      <c r="B982" s="59" t="n">
        <v>135</v>
      </c>
      <c r="C982" s="7" t="n">
        <v>0</v>
      </c>
      <c r="D982" s="7" t="n">
        <v>14</v>
      </c>
      <c r="E982" s="7" t="n">
        <v>64</v>
      </c>
    </row>
    <row r="983" spans="1:8">
      <c r="A983" t="s">
        <v>4</v>
      </c>
      <c r="B983" s="4" t="s">
        <v>5</v>
      </c>
      <c r="C983" s="4" t="s">
        <v>8</v>
      </c>
      <c r="D983" s="4" t="s">
        <v>8</v>
      </c>
    </row>
    <row r="984" spans="1:8">
      <c r="A984" t="n">
        <v>9755</v>
      </c>
      <c r="B984" s="52" t="n">
        <v>70</v>
      </c>
      <c r="C984" s="7" t="s">
        <v>24</v>
      </c>
      <c r="D984" s="7" t="s">
        <v>118</v>
      </c>
    </row>
    <row r="985" spans="1:8">
      <c r="A985" t="s">
        <v>4</v>
      </c>
      <c r="B985" s="4" t="s">
        <v>5</v>
      </c>
      <c r="C985" s="4" t="s">
        <v>7</v>
      </c>
      <c r="D985" s="4" t="s">
        <v>11</v>
      </c>
      <c r="E985" s="4" t="s">
        <v>11</v>
      </c>
      <c r="F985" s="4" t="s">
        <v>11</v>
      </c>
    </row>
    <row r="986" spans="1:8">
      <c r="A986" t="n">
        <v>9771</v>
      </c>
      <c r="B986" s="60" t="n">
        <v>63</v>
      </c>
      <c r="C986" s="7" t="n">
        <v>0</v>
      </c>
      <c r="D986" s="7" t="n">
        <v>65535</v>
      </c>
      <c r="E986" s="7" t="n">
        <v>45</v>
      </c>
      <c r="F986" s="7" t="n">
        <v>0</v>
      </c>
    </row>
    <row r="987" spans="1:8">
      <c r="A987" t="s">
        <v>4</v>
      </c>
      <c r="B987" s="4" t="s">
        <v>5</v>
      </c>
      <c r="C987" s="4" t="s">
        <v>7</v>
      </c>
      <c r="D987" s="4" t="s">
        <v>11</v>
      </c>
      <c r="E987" s="4" t="s">
        <v>11</v>
      </c>
      <c r="F987" s="4" t="s">
        <v>11</v>
      </c>
    </row>
    <row r="988" spans="1:8">
      <c r="A988" t="n">
        <v>9779</v>
      </c>
      <c r="B988" s="60" t="n">
        <v>63</v>
      </c>
      <c r="C988" s="7" t="n">
        <v>0</v>
      </c>
      <c r="D988" s="7" t="n">
        <v>65535</v>
      </c>
      <c r="E988" s="7" t="n">
        <v>32</v>
      </c>
      <c r="F988" s="7" t="n">
        <v>100</v>
      </c>
    </row>
    <row r="989" spans="1:8">
      <c r="A989" t="s">
        <v>4</v>
      </c>
      <c r="B989" s="4" t="s">
        <v>5</v>
      </c>
      <c r="C989" s="4" t="s">
        <v>11</v>
      </c>
      <c r="D989" s="4" t="s">
        <v>13</v>
      </c>
      <c r="E989" s="4" t="s">
        <v>13</v>
      </c>
      <c r="F989" s="4" t="s">
        <v>13</v>
      </c>
      <c r="G989" s="4" t="s">
        <v>13</v>
      </c>
    </row>
    <row r="990" spans="1:8">
      <c r="A990" t="n">
        <v>9787</v>
      </c>
      <c r="B990" s="36" t="n">
        <v>46</v>
      </c>
      <c r="C990" s="7" t="n">
        <v>61456</v>
      </c>
      <c r="D990" s="7" t="n">
        <v>-5.15000009536743</v>
      </c>
      <c r="E990" s="7" t="n">
        <v>5</v>
      </c>
      <c r="F990" s="7" t="n">
        <v>32</v>
      </c>
      <c r="G990" s="7" t="n">
        <v>270</v>
      </c>
    </row>
    <row r="991" spans="1:8">
      <c r="A991" t="s">
        <v>4</v>
      </c>
      <c r="B991" s="4" t="s">
        <v>5</v>
      </c>
      <c r="C991" s="4" t="s">
        <v>7</v>
      </c>
      <c r="D991" s="4" t="s">
        <v>7</v>
      </c>
      <c r="E991" s="4" t="s">
        <v>13</v>
      </c>
      <c r="F991" s="4" t="s">
        <v>13</v>
      </c>
      <c r="G991" s="4" t="s">
        <v>13</v>
      </c>
      <c r="H991" s="4" t="s">
        <v>11</v>
      </c>
      <c r="I991" s="4" t="s">
        <v>7</v>
      </c>
    </row>
    <row r="992" spans="1:8">
      <c r="A992" t="n">
        <v>9806</v>
      </c>
      <c r="B992" s="51" t="n">
        <v>45</v>
      </c>
      <c r="C992" s="7" t="n">
        <v>4</v>
      </c>
      <c r="D992" s="7" t="n">
        <v>3</v>
      </c>
      <c r="E992" s="7" t="n">
        <v>5.84000015258789</v>
      </c>
      <c r="F992" s="7" t="n">
        <v>233.179992675781</v>
      </c>
      <c r="G992" s="7" t="n">
        <v>0</v>
      </c>
      <c r="H992" s="7" t="n">
        <v>0</v>
      </c>
      <c r="I992" s="7" t="n">
        <v>0</v>
      </c>
    </row>
    <row r="993" spans="1:9">
      <c r="A993" t="s">
        <v>4</v>
      </c>
      <c r="B993" s="4" t="s">
        <v>5</v>
      </c>
      <c r="C993" s="4" t="s">
        <v>7</v>
      </c>
      <c r="D993" s="4" t="s">
        <v>8</v>
      </c>
    </row>
    <row r="994" spans="1:9">
      <c r="A994" t="n">
        <v>9824</v>
      </c>
      <c r="B994" s="6" t="n">
        <v>2</v>
      </c>
      <c r="C994" s="7" t="n">
        <v>10</v>
      </c>
      <c r="D994" s="7" t="s">
        <v>119</v>
      </c>
    </row>
    <row r="995" spans="1:9">
      <c r="A995" t="s">
        <v>4</v>
      </c>
      <c r="B995" s="4" t="s">
        <v>5</v>
      </c>
      <c r="C995" s="4" t="s">
        <v>11</v>
      </c>
    </row>
    <row r="996" spans="1:9">
      <c r="A996" t="n">
        <v>9839</v>
      </c>
      <c r="B996" s="29" t="n">
        <v>16</v>
      </c>
      <c r="C996" s="7" t="n">
        <v>0</v>
      </c>
    </row>
    <row r="997" spans="1:9">
      <c r="A997" t="s">
        <v>4</v>
      </c>
      <c r="B997" s="4" t="s">
        <v>5</v>
      </c>
      <c r="C997" s="4" t="s">
        <v>7</v>
      </c>
      <c r="D997" s="4" t="s">
        <v>11</v>
      </c>
    </row>
    <row r="998" spans="1:9">
      <c r="A998" t="n">
        <v>9842</v>
      </c>
      <c r="B998" s="23" t="n">
        <v>58</v>
      </c>
      <c r="C998" s="7" t="n">
        <v>105</v>
      </c>
      <c r="D998" s="7" t="n">
        <v>300</v>
      </c>
    </row>
    <row r="999" spans="1:9">
      <c r="A999" t="s">
        <v>4</v>
      </c>
      <c r="B999" s="4" t="s">
        <v>5</v>
      </c>
      <c r="C999" s="4" t="s">
        <v>13</v>
      </c>
      <c r="D999" s="4" t="s">
        <v>11</v>
      </c>
    </row>
    <row r="1000" spans="1:9">
      <c r="A1000" t="n">
        <v>9846</v>
      </c>
      <c r="B1000" s="46" t="n">
        <v>103</v>
      </c>
      <c r="C1000" s="7" t="n">
        <v>1</v>
      </c>
      <c r="D1000" s="7" t="n">
        <v>300</v>
      </c>
    </row>
    <row r="1001" spans="1:9">
      <c r="A1001" t="s">
        <v>4</v>
      </c>
      <c r="B1001" s="4" t="s">
        <v>5</v>
      </c>
      <c r="C1001" s="4" t="s">
        <v>7</v>
      </c>
      <c r="D1001" s="4" t="s">
        <v>11</v>
      </c>
    </row>
    <row r="1002" spans="1:9">
      <c r="A1002" t="n">
        <v>9853</v>
      </c>
      <c r="B1002" s="48" t="n">
        <v>72</v>
      </c>
      <c r="C1002" s="7" t="n">
        <v>4</v>
      </c>
      <c r="D1002" s="7" t="n">
        <v>0</v>
      </c>
    </row>
    <row r="1003" spans="1:9">
      <c r="A1003" t="s">
        <v>4</v>
      </c>
      <c r="B1003" s="4" t="s">
        <v>5</v>
      </c>
      <c r="C1003" s="4" t="s">
        <v>15</v>
      </c>
    </row>
    <row r="1004" spans="1:9">
      <c r="A1004" t="n">
        <v>9857</v>
      </c>
      <c r="B1004" s="61" t="n">
        <v>15</v>
      </c>
      <c r="C1004" s="7" t="n">
        <v>1073741824</v>
      </c>
    </row>
    <row r="1005" spans="1:9">
      <c r="A1005" t="s">
        <v>4</v>
      </c>
      <c r="B1005" s="4" t="s">
        <v>5</v>
      </c>
      <c r="C1005" s="4" t="s">
        <v>7</v>
      </c>
    </row>
    <row r="1006" spans="1:9">
      <c r="A1006" t="n">
        <v>9862</v>
      </c>
      <c r="B1006" s="47" t="n">
        <v>64</v>
      </c>
      <c r="C1006" s="7" t="n">
        <v>3</v>
      </c>
    </row>
    <row r="1007" spans="1:9">
      <c r="A1007" t="s">
        <v>4</v>
      </c>
      <c r="B1007" s="4" t="s">
        <v>5</v>
      </c>
      <c r="C1007" s="4" t="s">
        <v>7</v>
      </c>
    </row>
    <row r="1008" spans="1:9">
      <c r="A1008" t="n">
        <v>9864</v>
      </c>
      <c r="B1008" s="45" t="n">
        <v>74</v>
      </c>
      <c r="C1008" s="7" t="n">
        <v>67</v>
      </c>
    </row>
    <row r="1009" spans="1:4">
      <c r="A1009" t="s">
        <v>4</v>
      </c>
      <c r="B1009" s="4" t="s">
        <v>5</v>
      </c>
      <c r="C1009" s="4" t="s">
        <v>7</v>
      </c>
      <c r="D1009" s="4" t="s">
        <v>7</v>
      </c>
      <c r="E1009" s="4" t="s">
        <v>11</v>
      </c>
    </row>
    <row r="1010" spans="1:4">
      <c r="A1010" t="n">
        <v>9866</v>
      </c>
      <c r="B1010" s="51" t="n">
        <v>45</v>
      </c>
      <c r="C1010" s="7" t="n">
        <v>8</v>
      </c>
      <c r="D1010" s="7" t="n">
        <v>1</v>
      </c>
      <c r="E1010" s="7" t="n">
        <v>0</v>
      </c>
    </row>
    <row r="1011" spans="1:4">
      <c r="A1011" t="s">
        <v>4</v>
      </c>
      <c r="B1011" s="4" t="s">
        <v>5</v>
      </c>
      <c r="C1011" s="4" t="s">
        <v>11</v>
      </c>
    </row>
    <row r="1012" spans="1:4">
      <c r="A1012" t="n">
        <v>9871</v>
      </c>
      <c r="B1012" s="12" t="n">
        <v>13</v>
      </c>
      <c r="C1012" s="7" t="n">
        <v>6409</v>
      </c>
    </row>
    <row r="1013" spans="1:4">
      <c r="A1013" t="s">
        <v>4</v>
      </c>
      <c r="B1013" s="4" t="s">
        <v>5</v>
      </c>
      <c r="C1013" s="4" t="s">
        <v>11</v>
      </c>
    </row>
    <row r="1014" spans="1:4">
      <c r="A1014" t="n">
        <v>9874</v>
      </c>
      <c r="B1014" s="12" t="n">
        <v>13</v>
      </c>
      <c r="C1014" s="7" t="n">
        <v>6408</v>
      </c>
    </row>
    <row r="1015" spans="1:4">
      <c r="A1015" t="s">
        <v>4</v>
      </c>
      <c r="B1015" s="4" t="s">
        <v>5</v>
      </c>
      <c r="C1015" s="4" t="s">
        <v>11</v>
      </c>
    </row>
    <row r="1016" spans="1:4">
      <c r="A1016" t="n">
        <v>9877</v>
      </c>
      <c r="B1016" s="43" t="n">
        <v>12</v>
      </c>
      <c r="C1016" s="7" t="n">
        <v>6464</v>
      </c>
    </row>
    <row r="1017" spans="1:4">
      <c r="A1017" t="s">
        <v>4</v>
      </c>
      <c r="B1017" s="4" t="s">
        <v>5</v>
      </c>
      <c r="C1017" s="4" t="s">
        <v>11</v>
      </c>
    </row>
    <row r="1018" spans="1:4">
      <c r="A1018" t="n">
        <v>9880</v>
      </c>
      <c r="B1018" s="12" t="n">
        <v>13</v>
      </c>
      <c r="C1018" s="7" t="n">
        <v>6465</v>
      </c>
    </row>
    <row r="1019" spans="1:4">
      <c r="A1019" t="s">
        <v>4</v>
      </c>
      <c r="B1019" s="4" t="s">
        <v>5</v>
      </c>
      <c r="C1019" s="4" t="s">
        <v>11</v>
      </c>
    </row>
    <row r="1020" spans="1:4">
      <c r="A1020" t="n">
        <v>9883</v>
      </c>
      <c r="B1020" s="12" t="n">
        <v>13</v>
      </c>
      <c r="C1020" s="7" t="n">
        <v>6466</v>
      </c>
    </row>
    <row r="1021" spans="1:4">
      <c r="A1021" t="s">
        <v>4</v>
      </c>
      <c r="B1021" s="4" t="s">
        <v>5</v>
      </c>
      <c r="C1021" s="4" t="s">
        <v>11</v>
      </c>
    </row>
    <row r="1022" spans="1:4">
      <c r="A1022" t="n">
        <v>9886</v>
      </c>
      <c r="B1022" s="12" t="n">
        <v>13</v>
      </c>
      <c r="C1022" s="7" t="n">
        <v>6467</v>
      </c>
    </row>
    <row r="1023" spans="1:4">
      <c r="A1023" t="s">
        <v>4</v>
      </c>
      <c r="B1023" s="4" t="s">
        <v>5</v>
      </c>
      <c r="C1023" s="4" t="s">
        <v>11</v>
      </c>
    </row>
    <row r="1024" spans="1:4">
      <c r="A1024" t="n">
        <v>9889</v>
      </c>
      <c r="B1024" s="12" t="n">
        <v>13</v>
      </c>
      <c r="C1024" s="7" t="n">
        <v>6468</v>
      </c>
    </row>
    <row r="1025" spans="1:5">
      <c r="A1025" t="s">
        <v>4</v>
      </c>
      <c r="B1025" s="4" t="s">
        <v>5</v>
      </c>
      <c r="C1025" s="4" t="s">
        <v>11</v>
      </c>
    </row>
    <row r="1026" spans="1:5">
      <c r="A1026" t="n">
        <v>9892</v>
      </c>
      <c r="B1026" s="12" t="n">
        <v>13</v>
      </c>
      <c r="C1026" s="7" t="n">
        <v>6469</v>
      </c>
    </row>
    <row r="1027" spans="1:5">
      <c r="A1027" t="s">
        <v>4</v>
      </c>
      <c r="B1027" s="4" t="s">
        <v>5</v>
      </c>
      <c r="C1027" s="4" t="s">
        <v>11</v>
      </c>
    </row>
    <row r="1028" spans="1:5">
      <c r="A1028" t="n">
        <v>9895</v>
      </c>
      <c r="B1028" s="12" t="n">
        <v>13</v>
      </c>
      <c r="C1028" s="7" t="n">
        <v>6470</v>
      </c>
    </row>
    <row r="1029" spans="1:5">
      <c r="A1029" t="s">
        <v>4</v>
      </c>
      <c r="B1029" s="4" t="s">
        <v>5</v>
      </c>
      <c r="C1029" s="4" t="s">
        <v>11</v>
      </c>
    </row>
    <row r="1030" spans="1:5">
      <c r="A1030" t="n">
        <v>9898</v>
      </c>
      <c r="B1030" s="12" t="n">
        <v>13</v>
      </c>
      <c r="C1030" s="7" t="n">
        <v>6471</v>
      </c>
    </row>
    <row r="1031" spans="1:5">
      <c r="A1031" t="s">
        <v>4</v>
      </c>
      <c r="B1031" s="4" t="s">
        <v>5</v>
      </c>
      <c r="C1031" s="4" t="s">
        <v>7</v>
      </c>
    </row>
    <row r="1032" spans="1:5">
      <c r="A1032" t="n">
        <v>9901</v>
      </c>
      <c r="B1032" s="45" t="n">
        <v>74</v>
      </c>
      <c r="C1032" s="7" t="n">
        <v>18</v>
      </c>
    </row>
    <row r="1033" spans="1:5">
      <c r="A1033" t="s">
        <v>4</v>
      </c>
      <c r="B1033" s="4" t="s">
        <v>5</v>
      </c>
      <c r="C1033" s="4" t="s">
        <v>7</v>
      </c>
    </row>
    <row r="1034" spans="1:5">
      <c r="A1034" t="n">
        <v>9903</v>
      </c>
      <c r="B1034" s="45" t="n">
        <v>74</v>
      </c>
      <c r="C1034" s="7" t="n">
        <v>45</v>
      </c>
    </row>
    <row r="1035" spans="1:5">
      <c r="A1035" t="s">
        <v>4</v>
      </c>
      <c r="B1035" s="4" t="s">
        <v>5</v>
      </c>
      <c r="C1035" s="4" t="s">
        <v>11</v>
      </c>
    </row>
    <row r="1036" spans="1:5">
      <c r="A1036" t="n">
        <v>9905</v>
      </c>
      <c r="B1036" s="29" t="n">
        <v>16</v>
      </c>
      <c r="C1036" s="7" t="n">
        <v>0</v>
      </c>
    </row>
    <row r="1037" spans="1:5">
      <c r="A1037" t="s">
        <v>4</v>
      </c>
      <c r="B1037" s="4" t="s">
        <v>5</v>
      </c>
      <c r="C1037" s="4" t="s">
        <v>7</v>
      </c>
      <c r="D1037" s="4" t="s">
        <v>7</v>
      </c>
      <c r="E1037" s="4" t="s">
        <v>7</v>
      </c>
      <c r="F1037" s="4" t="s">
        <v>7</v>
      </c>
    </row>
    <row r="1038" spans="1:5">
      <c r="A1038" t="n">
        <v>9908</v>
      </c>
      <c r="B1038" s="9" t="n">
        <v>14</v>
      </c>
      <c r="C1038" s="7" t="n">
        <v>0</v>
      </c>
      <c r="D1038" s="7" t="n">
        <v>8</v>
      </c>
      <c r="E1038" s="7" t="n">
        <v>0</v>
      </c>
      <c r="F1038" s="7" t="n">
        <v>0</v>
      </c>
    </row>
    <row r="1039" spans="1:5">
      <c r="A1039" t="s">
        <v>4</v>
      </c>
      <c r="B1039" s="4" t="s">
        <v>5</v>
      </c>
      <c r="C1039" s="4" t="s">
        <v>7</v>
      </c>
      <c r="D1039" s="4" t="s">
        <v>8</v>
      </c>
    </row>
    <row r="1040" spans="1:5">
      <c r="A1040" t="n">
        <v>9913</v>
      </c>
      <c r="B1040" s="6" t="n">
        <v>2</v>
      </c>
      <c r="C1040" s="7" t="n">
        <v>11</v>
      </c>
      <c r="D1040" s="7" t="s">
        <v>14</v>
      </c>
    </row>
    <row r="1041" spans="1:6">
      <c r="A1041" t="s">
        <v>4</v>
      </c>
      <c r="B1041" s="4" t="s">
        <v>5</v>
      </c>
      <c r="C1041" s="4" t="s">
        <v>11</v>
      </c>
    </row>
    <row r="1042" spans="1:6">
      <c r="A1042" t="n">
        <v>9927</v>
      </c>
      <c r="B1042" s="29" t="n">
        <v>16</v>
      </c>
      <c r="C1042" s="7" t="n">
        <v>0</v>
      </c>
    </row>
    <row r="1043" spans="1:6">
      <c r="A1043" t="s">
        <v>4</v>
      </c>
      <c r="B1043" s="4" t="s">
        <v>5</v>
      </c>
      <c r="C1043" s="4" t="s">
        <v>7</v>
      </c>
      <c r="D1043" s="4" t="s">
        <v>8</v>
      </c>
    </row>
    <row r="1044" spans="1:6">
      <c r="A1044" t="n">
        <v>9930</v>
      </c>
      <c r="B1044" s="6" t="n">
        <v>2</v>
      </c>
      <c r="C1044" s="7" t="n">
        <v>11</v>
      </c>
      <c r="D1044" s="7" t="s">
        <v>120</v>
      </c>
    </row>
    <row r="1045" spans="1:6">
      <c r="A1045" t="s">
        <v>4</v>
      </c>
      <c r="B1045" s="4" t="s">
        <v>5</v>
      </c>
      <c r="C1045" s="4" t="s">
        <v>11</v>
      </c>
    </row>
    <row r="1046" spans="1:6">
      <c r="A1046" t="n">
        <v>9939</v>
      </c>
      <c r="B1046" s="29" t="n">
        <v>16</v>
      </c>
      <c r="C1046" s="7" t="n">
        <v>0</v>
      </c>
    </row>
    <row r="1047" spans="1:6">
      <c r="A1047" t="s">
        <v>4</v>
      </c>
      <c r="B1047" s="4" t="s">
        <v>5</v>
      </c>
      <c r="C1047" s="4" t="s">
        <v>15</v>
      </c>
    </row>
    <row r="1048" spans="1:6">
      <c r="A1048" t="n">
        <v>9942</v>
      </c>
      <c r="B1048" s="61" t="n">
        <v>15</v>
      </c>
      <c r="C1048" s="7" t="n">
        <v>2048</v>
      </c>
    </row>
    <row r="1049" spans="1:6">
      <c r="A1049" t="s">
        <v>4</v>
      </c>
      <c r="B1049" s="4" t="s">
        <v>5</v>
      </c>
      <c r="C1049" s="4" t="s">
        <v>7</v>
      </c>
      <c r="D1049" s="4" t="s">
        <v>8</v>
      </c>
    </row>
    <row r="1050" spans="1:6">
      <c r="A1050" t="n">
        <v>9947</v>
      </c>
      <c r="B1050" s="6" t="n">
        <v>2</v>
      </c>
      <c r="C1050" s="7" t="n">
        <v>10</v>
      </c>
      <c r="D1050" s="7" t="s">
        <v>52</v>
      </c>
    </row>
    <row r="1051" spans="1:6">
      <c r="A1051" t="s">
        <v>4</v>
      </c>
      <c r="B1051" s="4" t="s">
        <v>5</v>
      </c>
      <c r="C1051" s="4" t="s">
        <v>11</v>
      </c>
    </row>
    <row r="1052" spans="1:6">
      <c r="A1052" t="n">
        <v>9965</v>
      </c>
      <c r="B1052" s="29" t="n">
        <v>16</v>
      </c>
      <c r="C1052" s="7" t="n">
        <v>0</v>
      </c>
    </row>
    <row r="1053" spans="1:6">
      <c r="A1053" t="s">
        <v>4</v>
      </c>
      <c r="B1053" s="4" t="s">
        <v>5</v>
      </c>
      <c r="C1053" s="4" t="s">
        <v>7</v>
      </c>
      <c r="D1053" s="4" t="s">
        <v>8</v>
      </c>
    </row>
    <row r="1054" spans="1:6">
      <c r="A1054" t="n">
        <v>9968</v>
      </c>
      <c r="B1054" s="6" t="n">
        <v>2</v>
      </c>
      <c r="C1054" s="7" t="n">
        <v>10</v>
      </c>
      <c r="D1054" s="7" t="s">
        <v>53</v>
      </c>
    </row>
    <row r="1055" spans="1:6">
      <c r="A1055" t="s">
        <v>4</v>
      </c>
      <c r="B1055" s="4" t="s">
        <v>5</v>
      </c>
      <c r="C1055" s="4" t="s">
        <v>11</v>
      </c>
    </row>
    <row r="1056" spans="1:6">
      <c r="A1056" t="n">
        <v>9987</v>
      </c>
      <c r="B1056" s="29" t="n">
        <v>16</v>
      </c>
      <c r="C1056" s="7" t="n">
        <v>0</v>
      </c>
    </row>
    <row r="1057" spans="1:4">
      <c r="A1057" t="s">
        <v>4</v>
      </c>
      <c r="B1057" s="4" t="s">
        <v>5</v>
      </c>
      <c r="C1057" s="4" t="s">
        <v>7</v>
      </c>
      <c r="D1057" s="4" t="s">
        <v>11</v>
      </c>
      <c r="E1057" s="4" t="s">
        <v>13</v>
      </c>
    </row>
    <row r="1058" spans="1:4">
      <c r="A1058" t="n">
        <v>9990</v>
      </c>
      <c r="B1058" s="23" t="n">
        <v>58</v>
      </c>
      <c r="C1058" s="7" t="n">
        <v>100</v>
      </c>
      <c r="D1058" s="7" t="n">
        <v>300</v>
      </c>
      <c r="E1058" s="7" t="n">
        <v>1</v>
      </c>
    </row>
    <row r="1059" spans="1:4">
      <c r="A1059" t="s">
        <v>4</v>
      </c>
      <c r="B1059" s="4" t="s">
        <v>5</v>
      </c>
      <c r="C1059" s="4" t="s">
        <v>7</v>
      </c>
      <c r="D1059" s="4" t="s">
        <v>11</v>
      </c>
    </row>
    <row r="1060" spans="1:4">
      <c r="A1060" t="n">
        <v>9998</v>
      </c>
      <c r="B1060" s="23" t="n">
        <v>58</v>
      </c>
      <c r="C1060" s="7" t="n">
        <v>255</v>
      </c>
      <c r="D1060" s="7" t="n">
        <v>0</v>
      </c>
    </row>
    <row r="1061" spans="1:4">
      <c r="A1061" t="s">
        <v>4</v>
      </c>
      <c r="B1061" s="4" t="s">
        <v>5</v>
      </c>
      <c r="C1061" s="4" t="s">
        <v>7</v>
      </c>
    </row>
    <row r="1062" spans="1:4">
      <c r="A1062" t="n">
        <v>10002</v>
      </c>
      <c r="B1062" s="30" t="n">
        <v>23</v>
      </c>
      <c r="C1062" s="7" t="n">
        <v>0</v>
      </c>
    </row>
    <row r="1063" spans="1:4">
      <c r="A1063" t="s">
        <v>4</v>
      </c>
      <c r="B1063" s="4" t="s">
        <v>5</v>
      </c>
    </row>
    <row r="1064" spans="1:4">
      <c r="A1064" t="n">
        <v>10004</v>
      </c>
      <c r="B1064" s="5" t="n">
        <v>1</v>
      </c>
    </row>
    <row r="1065" spans="1:4" s="3" customFormat="1" customHeight="0">
      <c r="A1065" s="3" t="s">
        <v>2</v>
      </c>
      <c r="B1065" s="3" t="s">
        <v>121</v>
      </c>
    </row>
    <row r="1066" spans="1:4">
      <c r="A1066" t="s">
        <v>4</v>
      </c>
      <c r="B1066" s="4" t="s">
        <v>5</v>
      </c>
      <c r="C1066" s="4" t="s">
        <v>7</v>
      </c>
      <c r="D1066" s="4" t="s">
        <v>7</v>
      </c>
      <c r="E1066" s="4" t="s">
        <v>7</v>
      </c>
      <c r="F1066" s="4" t="s">
        <v>7</v>
      </c>
    </row>
    <row r="1067" spans="1:4">
      <c r="A1067" t="n">
        <v>10008</v>
      </c>
      <c r="B1067" s="9" t="n">
        <v>14</v>
      </c>
      <c r="C1067" s="7" t="n">
        <v>2</v>
      </c>
      <c r="D1067" s="7" t="n">
        <v>0</v>
      </c>
      <c r="E1067" s="7" t="n">
        <v>0</v>
      </c>
      <c r="F1067" s="7" t="n">
        <v>0</v>
      </c>
    </row>
    <row r="1068" spans="1:4">
      <c r="A1068" t="s">
        <v>4</v>
      </c>
      <c r="B1068" s="4" t="s">
        <v>5</v>
      </c>
      <c r="C1068" s="4" t="s">
        <v>7</v>
      </c>
      <c r="D1068" s="20" t="s">
        <v>35</v>
      </c>
      <c r="E1068" s="4" t="s">
        <v>5</v>
      </c>
      <c r="F1068" s="4" t="s">
        <v>7</v>
      </c>
      <c r="G1068" s="4" t="s">
        <v>11</v>
      </c>
      <c r="H1068" s="20" t="s">
        <v>36</v>
      </c>
      <c r="I1068" s="4" t="s">
        <v>7</v>
      </c>
      <c r="J1068" s="4" t="s">
        <v>15</v>
      </c>
      <c r="K1068" s="4" t="s">
        <v>7</v>
      </c>
      <c r="L1068" s="4" t="s">
        <v>7</v>
      </c>
      <c r="M1068" s="20" t="s">
        <v>35</v>
      </c>
      <c r="N1068" s="4" t="s">
        <v>5</v>
      </c>
      <c r="O1068" s="4" t="s">
        <v>7</v>
      </c>
      <c r="P1068" s="4" t="s">
        <v>11</v>
      </c>
      <c r="Q1068" s="20" t="s">
        <v>36</v>
      </c>
      <c r="R1068" s="4" t="s">
        <v>7</v>
      </c>
      <c r="S1068" s="4" t="s">
        <v>15</v>
      </c>
      <c r="T1068" s="4" t="s">
        <v>7</v>
      </c>
      <c r="U1068" s="4" t="s">
        <v>7</v>
      </c>
      <c r="V1068" s="4" t="s">
        <v>7</v>
      </c>
      <c r="W1068" s="4" t="s">
        <v>12</v>
      </c>
    </row>
    <row r="1069" spans="1:4">
      <c r="A1069" t="n">
        <v>10013</v>
      </c>
      <c r="B1069" s="10" t="n">
        <v>5</v>
      </c>
      <c r="C1069" s="7" t="n">
        <v>28</v>
      </c>
      <c r="D1069" s="20" t="s">
        <v>3</v>
      </c>
      <c r="E1069" s="8" t="n">
        <v>162</v>
      </c>
      <c r="F1069" s="7" t="n">
        <v>3</v>
      </c>
      <c r="G1069" s="7" t="n">
        <v>24590</v>
      </c>
      <c r="H1069" s="20" t="s">
        <v>3</v>
      </c>
      <c r="I1069" s="7" t="n">
        <v>0</v>
      </c>
      <c r="J1069" s="7" t="n">
        <v>1</v>
      </c>
      <c r="K1069" s="7" t="n">
        <v>2</v>
      </c>
      <c r="L1069" s="7" t="n">
        <v>28</v>
      </c>
      <c r="M1069" s="20" t="s">
        <v>3</v>
      </c>
      <c r="N1069" s="8" t="n">
        <v>162</v>
      </c>
      <c r="O1069" s="7" t="n">
        <v>3</v>
      </c>
      <c r="P1069" s="7" t="n">
        <v>24590</v>
      </c>
      <c r="Q1069" s="20" t="s">
        <v>3</v>
      </c>
      <c r="R1069" s="7" t="n">
        <v>0</v>
      </c>
      <c r="S1069" s="7" t="n">
        <v>2</v>
      </c>
      <c r="T1069" s="7" t="n">
        <v>2</v>
      </c>
      <c r="U1069" s="7" t="n">
        <v>11</v>
      </c>
      <c r="V1069" s="7" t="n">
        <v>1</v>
      </c>
      <c r="W1069" s="11" t="n">
        <f t="normal" ca="1">A1073</f>
        <v>0</v>
      </c>
    </row>
    <row r="1070" spans="1:4">
      <c r="A1070" t="s">
        <v>4</v>
      </c>
      <c r="B1070" s="4" t="s">
        <v>5</v>
      </c>
      <c r="C1070" s="4" t="s">
        <v>7</v>
      </c>
      <c r="D1070" s="4" t="s">
        <v>11</v>
      </c>
      <c r="E1070" s="4" t="s">
        <v>13</v>
      </c>
    </row>
    <row r="1071" spans="1:4">
      <c r="A1071" t="n">
        <v>10042</v>
      </c>
      <c r="B1071" s="23" t="n">
        <v>58</v>
      </c>
      <c r="C1071" s="7" t="n">
        <v>0</v>
      </c>
      <c r="D1071" s="7" t="n">
        <v>0</v>
      </c>
      <c r="E1071" s="7" t="n">
        <v>1</v>
      </c>
    </row>
    <row r="1072" spans="1:4">
      <c r="A1072" t="s">
        <v>4</v>
      </c>
      <c r="B1072" s="4" t="s">
        <v>5</v>
      </c>
      <c r="C1072" s="4" t="s">
        <v>7</v>
      </c>
      <c r="D1072" s="20" t="s">
        <v>35</v>
      </c>
      <c r="E1072" s="4" t="s">
        <v>5</v>
      </c>
      <c r="F1072" s="4" t="s">
        <v>7</v>
      </c>
      <c r="G1072" s="4" t="s">
        <v>11</v>
      </c>
      <c r="H1072" s="20" t="s">
        <v>36</v>
      </c>
      <c r="I1072" s="4" t="s">
        <v>7</v>
      </c>
      <c r="J1072" s="4" t="s">
        <v>15</v>
      </c>
      <c r="K1072" s="4" t="s">
        <v>7</v>
      </c>
      <c r="L1072" s="4" t="s">
        <v>7</v>
      </c>
      <c r="M1072" s="20" t="s">
        <v>35</v>
      </c>
      <c r="N1072" s="4" t="s">
        <v>5</v>
      </c>
      <c r="O1072" s="4" t="s">
        <v>7</v>
      </c>
      <c r="P1072" s="4" t="s">
        <v>11</v>
      </c>
      <c r="Q1072" s="20" t="s">
        <v>36</v>
      </c>
      <c r="R1072" s="4" t="s">
        <v>7</v>
      </c>
      <c r="S1072" s="4" t="s">
        <v>15</v>
      </c>
      <c r="T1072" s="4" t="s">
        <v>7</v>
      </c>
      <c r="U1072" s="4" t="s">
        <v>7</v>
      </c>
      <c r="V1072" s="4" t="s">
        <v>7</v>
      </c>
      <c r="W1072" s="4" t="s">
        <v>12</v>
      </c>
    </row>
    <row r="1073" spans="1:23">
      <c r="A1073" t="n">
        <v>10050</v>
      </c>
      <c r="B1073" s="10" t="n">
        <v>5</v>
      </c>
      <c r="C1073" s="7" t="n">
        <v>28</v>
      </c>
      <c r="D1073" s="20" t="s">
        <v>3</v>
      </c>
      <c r="E1073" s="8" t="n">
        <v>162</v>
      </c>
      <c r="F1073" s="7" t="n">
        <v>3</v>
      </c>
      <c r="G1073" s="7" t="n">
        <v>24590</v>
      </c>
      <c r="H1073" s="20" t="s">
        <v>3</v>
      </c>
      <c r="I1073" s="7" t="n">
        <v>0</v>
      </c>
      <c r="J1073" s="7" t="n">
        <v>1</v>
      </c>
      <c r="K1073" s="7" t="n">
        <v>3</v>
      </c>
      <c r="L1073" s="7" t="n">
        <v>28</v>
      </c>
      <c r="M1073" s="20" t="s">
        <v>3</v>
      </c>
      <c r="N1073" s="8" t="n">
        <v>162</v>
      </c>
      <c r="O1073" s="7" t="n">
        <v>3</v>
      </c>
      <c r="P1073" s="7" t="n">
        <v>24590</v>
      </c>
      <c r="Q1073" s="20" t="s">
        <v>3</v>
      </c>
      <c r="R1073" s="7" t="n">
        <v>0</v>
      </c>
      <c r="S1073" s="7" t="n">
        <v>2</v>
      </c>
      <c r="T1073" s="7" t="n">
        <v>3</v>
      </c>
      <c r="U1073" s="7" t="n">
        <v>9</v>
      </c>
      <c r="V1073" s="7" t="n">
        <v>1</v>
      </c>
      <c r="W1073" s="11" t="n">
        <f t="normal" ca="1">A1083</f>
        <v>0</v>
      </c>
    </row>
    <row r="1074" spans="1:23">
      <c r="A1074" t="s">
        <v>4</v>
      </c>
      <c r="B1074" s="4" t="s">
        <v>5</v>
      </c>
      <c r="C1074" s="4" t="s">
        <v>7</v>
      </c>
      <c r="D1074" s="20" t="s">
        <v>35</v>
      </c>
      <c r="E1074" s="4" t="s">
        <v>5</v>
      </c>
      <c r="F1074" s="4" t="s">
        <v>11</v>
      </c>
      <c r="G1074" s="4" t="s">
        <v>7</v>
      </c>
      <c r="H1074" s="4" t="s">
        <v>7</v>
      </c>
      <c r="I1074" s="4" t="s">
        <v>8</v>
      </c>
      <c r="J1074" s="20" t="s">
        <v>36</v>
      </c>
      <c r="K1074" s="4" t="s">
        <v>7</v>
      </c>
      <c r="L1074" s="4" t="s">
        <v>7</v>
      </c>
      <c r="M1074" s="20" t="s">
        <v>35</v>
      </c>
      <c r="N1074" s="4" t="s">
        <v>5</v>
      </c>
      <c r="O1074" s="4" t="s">
        <v>7</v>
      </c>
      <c r="P1074" s="20" t="s">
        <v>36</v>
      </c>
      <c r="Q1074" s="4" t="s">
        <v>7</v>
      </c>
      <c r="R1074" s="4" t="s">
        <v>15</v>
      </c>
      <c r="S1074" s="4" t="s">
        <v>7</v>
      </c>
      <c r="T1074" s="4" t="s">
        <v>7</v>
      </c>
      <c r="U1074" s="4" t="s">
        <v>7</v>
      </c>
      <c r="V1074" s="20" t="s">
        <v>35</v>
      </c>
      <c r="W1074" s="4" t="s">
        <v>5</v>
      </c>
      <c r="X1074" s="4" t="s">
        <v>7</v>
      </c>
      <c r="Y1074" s="20" t="s">
        <v>36</v>
      </c>
      <c r="Z1074" s="4" t="s">
        <v>7</v>
      </c>
      <c r="AA1074" s="4" t="s">
        <v>15</v>
      </c>
      <c r="AB1074" s="4" t="s">
        <v>7</v>
      </c>
      <c r="AC1074" s="4" t="s">
        <v>7</v>
      </c>
      <c r="AD1074" s="4" t="s">
        <v>7</v>
      </c>
      <c r="AE1074" s="4" t="s">
        <v>12</v>
      </c>
    </row>
    <row r="1075" spans="1:23">
      <c r="A1075" t="n">
        <v>10079</v>
      </c>
      <c r="B1075" s="10" t="n">
        <v>5</v>
      </c>
      <c r="C1075" s="7" t="n">
        <v>28</v>
      </c>
      <c r="D1075" s="20" t="s">
        <v>3</v>
      </c>
      <c r="E1075" s="41" t="n">
        <v>47</v>
      </c>
      <c r="F1075" s="7" t="n">
        <v>61456</v>
      </c>
      <c r="G1075" s="7" t="n">
        <v>2</v>
      </c>
      <c r="H1075" s="7" t="n">
        <v>0</v>
      </c>
      <c r="I1075" s="7" t="s">
        <v>105</v>
      </c>
      <c r="J1075" s="20" t="s">
        <v>3</v>
      </c>
      <c r="K1075" s="7" t="n">
        <v>8</v>
      </c>
      <c r="L1075" s="7" t="n">
        <v>28</v>
      </c>
      <c r="M1075" s="20" t="s">
        <v>3</v>
      </c>
      <c r="N1075" s="45" t="n">
        <v>74</v>
      </c>
      <c r="O1075" s="7" t="n">
        <v>65</v>
      </c>
      <c r="P1075" s="20" t="s">
        <v>3</v>
      </c>
      <c r="Q1075" s="7" t="n">
        <v>0</v>
      </c>
      <c r="R1075" s="7" t="n">
        <v>1</v>
      </c>
      <c r="S1075" s="7" t="n">
        <v>3</v>
      </c>
      <c r="T1075" s="7" t="n">
        <v>9</v>
      </c>
      <c r="U1075" s="7" t="n">
        <v>28</v>
      </c>
      <c r="V1075" s="20" t="s">
        <v>3</v>
      </c>
      <c r="W1075" s="45" t="n">
        <v>74</v>
      </c>
      <c r="X1075" s="7" t="n">
        <v>65</v>
      </c>
      <c r="Y1075" s="20" t="s">
        <v>3</v>
      </c>
      <c r="Z1075" s="7" t="n">
        <v>0</v>
      </c>
      <c r="AA1075" s="7" t="n">
        <v>2</v>
      </c>
      <c r="AB1075" s="7" t="n">
        <v>3</v>
      </c>
      <c r="AC1075" s="7" t="n">
        <v>9</v>
      </c>
      <c r="AD1075" s="7" t="n">
        <v>1</v>
      </c>
      <c r="AE1075" s="11" t="n">
        <f t="normal" ca="1">A1079</f>
        <v>0</v>
      </c>
    </row>
    <row r="1076" spans="1:23">
      <c r="A1076" t="s">
        <v>4</v>
      </c>
      <c r="B1076" s="4" t="s">
        <v>5</v>
      </c>
      <c r="C1076" s="4" t="s">
        <v>11</v>
      </c>
      <c r="D1076" s="4" t="s">
        <v>7</v>
      </c>
      <c r="E1076" s="4" t="s">
        <v>7</v>
      </c>
      <c r="F1076" s="4" t="s">
        <v>8</v>
      </c>
    </row>
    <row r="1077" spans="1:23">
      <c r="A1077" t="n">
        <v>10127</v>
      </c>
      <c r="B1077" s="41" t="n">
        <v>47</v>
      </c>
      <c r="C1077" s="7" t="n">
        <v>61456</v>
      </c>
      <c r="D1077" s="7" t="n">
        <v>0</v>
      </c>
      <c r="E1077" s="7" t="n">
        <v>0</v>
      </c>
      <c r="F1077" s="7" t="s">
        <v>106</v>
      </c>
    </row>
    <row r="1078" spans="1:23">
      <c r="A1078" t="s">
        <v>4</v>
      </c>
      <c r="B1078" s="4" t="s">
        <v>5</v>
      </c>
      <c r="C1078" s="4" t="s">
        <v>7</v>
      </c>
      <c r="D1078" s="4" t="s">
        <v>11</v>
      </c>
      <c r="E1078" s="4" t="s">
        <v>13</v>
      </c>
    </row>
    <row r="1079" spans="1:23">
      <c r="A1079" t="n">
        <v>10140</v>
      </c>
      <c r="B1079" s="23" t="n">
        <v>58</v>
      </c>
      <c r="C1079" s="7" t="n">
        <v>0</v>
      </c>
      <c r="D1079" s="7" t="n">
        <v>300</v>
      </c>
      <c r="E1079" s="7" t="n">
        <v>1</v>
      </c>
    </row>
    <row r="1080" spans="1:23">
      <c r="A1080" t="s">
        <v>4</v>
      </c>
      <c r="B1080" s="4" t="s">
        <v>5</v>
      </c>
      <c r="C1080" s="4" t="s">
        <v>7</v>
      </c>
      <c r="D1080" s="4" t="s">
        <v>11</v>
      </c>
    </row>
    <row r="1081" spans="1:23">
      <c r="A1081" t="n">
        <v>10148</v>
      </c>
      <c r="B1081" s="23" t="n">
        <v>58</v>
      </c>
      <c r="C1081" s="7" t="n">
        <v>255</v>
      </c>
      <c r="D1081" s="7" t="n">
        <v>0</v>
      </c>
    </row>
    <row r="1082" spans="1:23">
      <c r="A1082" t="s">
        <v>4</v>
      </c>
      <c r="B1082" s="4" t="s">
        <v>5</v>
      </c>
      <c r="C1082" s="4" t="s">
        <v>7</v>
      </c>
      <c r="D1082" s="4" t="s">
        <v>7</v>
      </c>
      <c r="E1082" s="4" t="s">
        <v>7</v>
      </c>
      <c r="F1082" s="4" t="s">
        <v>7</v>
      </c>
    </row>
    <row r="1083" spans="1:23">
      <c r="A1083" t="n">
        <v>10152</v>
      </c>
      <c r="B1083" s="9" t="n">
        <v>14</v>
      </c>
      <c r="C1083" s="7" t="n">
        <v>0</v>
      </c>
      <c r="D1083" s="7" t="n">
        <v>0</v>
      </c>
      <c r="E1083" s="7" t="n">
        <v>0</v>
      </c>
      <c r="F1083" s="7" t="n">
        <v>64</v>
      </c>
    </row>
    <row r="1084" spans="1:23">
      <c r="A1084" t="s">
        <v>4</v>
      </c>
      <c r="B1084" s="4" t="s">
        <v>5</v>
      </c>
      <c r="C1084" s="4" t="s">
        <v>7</v>
      </c>
      <c r="D1084" s="4" t="s">
        <v>11</v>
      </c>
    </row>
    <row r="1085" spans="1:23">
      <c r="A1085" t="n">
        <v>10157</v>
      </c>
      <c r="B1085" s="22" t="n">
        <v>22</v>
      </c>
      <c r="C1085" s="7" t="n">
        <v>0</v>
      </c>
      <c r="D1085" s="7" t="n">
        <v>24590</v>
      </c>
    </row>
    <row r="1086" spans="1:23">
      <c r="A1086" t="s">
        <v>4</v>
      </c>
      <c r="B1086" s="4" t="s">
        <v>5</v>
      </c>
      <c r="C1086" s="4" t="s">
        <v>7</v>
      </c>
      <c r="D1086" s="4" t="s">
        <v>11</v>
      </c>
    </row>
    <row r="1087" spans="1:23">
      <c r="A1087" t="n">
        <v>10161</v>
      </c>
      <c r="B1087" s="23" t="n">
        <v>58</v>
      </c>
      <c r="C1087" s="7" t="n">
        <v>5</v>
      </c>
      <c r="D1087" s="7" t="n">
        <v>300</v>
      </c>
    </row>
    <row r="1088" spans="1:23">
      <c r="A1088" t="s">
        <v>4</v>
      </c>
      <c r="B1088" s="4" t="s">
        <v>5</v>
      </c>
      <c r="C1088" s="4" t="s">
        <v>13</v>
      </c>
      <c r="D1088" s="4" t="s">
        <v>11</v>
      </c>
    </row>
    <row r="1089" spans="1:31">
      <c r="A1089" t="n">
        <v>10165</v>
      </c>
      <c r="B1089" s="46" t="n">
        <v>103</v>
      </c>
      <c r="C1089" s="7" t="n">
        <v>0</v>
      </c>
      <c r="D1089" s="7" t="n">
        <v>300</v>
      </c>
    </row>
    <row r="1090" spans="1:31">
      <c r="A1090" t="s">
        <v>4</v>
      </c>
      <c r="B1090" s="4" t="s">
        <v>5</v>
      </c>
      <c r="C1090" s="4" t="s">
        <v>7</v>
      </c>
    </row>
    <row r="1091" spans="1:31">
      <c r="A1091" t="n">
        <v>10172</v>
      </c>
      <c r="B1091" s="47" t="n">
        <v>64</v>
      </c>
      <c r="C1091" s="7" t="n">
        <v>7</v>
      </c>
    </row>
    <row r="1092" spans="1:31">
      <c r="A1092" t="s">
        <v>4</v>
      </c>
      <c r="B1092" s="4" t="s">
        <v>5</v>
      </c>
      <c r="C1092" s="4" t="s">
        <v>7</v>
      </c>
      <c r="D1092" s="4" t="s">
        <v>11</v>
      </c>
    </row>
    <row r="1093" spans="1:31">
      <c r="A1093" t="n">
        <v>10174</v>
      </c>
      <c r="B1093" s="48" t="n">
        <v>72</v>
      </c>
      <c r="C1093" s="7" t="n">
        <v>5</v>
      </c>
      <c r="D1093" s="7" t="n">
        <v>0</v>
      </c>
    </row>
    <row r="1094" spans="1:31">
      <c r="A1094" t="s">
        <v>4</v>
      </c>
      <c r="B1094" s="4" t="s">
        <v>5</v>
      </c>
      <c r="C1094" s="4" t="s">
        <v>7</v>
      </c>
      <c r="D1094" s="20" t="s">
        <v>35</v>
      </c>
      <c r="E1094" s="4" t="s">
        <v>5</v>
      </c>
      <c r="F1094" s="4" t="s">
        <v>7</v>
      </c>
      <c r="G1094" s="4" t="s">
        <v>11</v>
      </c>
      <c r="H1094" s="20" t="s">
        <v>36</v>
      </c>
      <c r="I1094" s="4" t="s">
        <v>7</v>
      </c>
      <c r="J1094" s="4" t="s">
        <v>15</v>
      </c>
      <c r="K1094" s="4" t="s">
        <v>7</v>
      </c>
      <c r="L1094" s="4" t="s">
        <v>7</v>
      </c>
      <c r="M1094" s="4" t="s">
        <v>12</v>
      </c>
    </row>
    <row r="1095" spans="1:31">
      <c r="A1095" t="n">
        <v>10178</v>
      </c>
      <c r="B1095" s="10" t="n">
        <v>5</v>
      </c>
      <c r="C1095" s="7" t="n">
        <v>28</v>
      </c>
      <c r="D1095" s="20" t="s">
        <v>3</v>
      </c>
      <c r="E1095" s="8" t="n">
        <v>162</v>
      </c>
      <c r="F1095" s="7" t="n">
        <v>4</v>
      </c>
      <c r="G1095" s="7" t="n">
        <v>24590</v>
      </c>
      <c r="H1095" s="20" t="s">
        <v>3</v>
      </c>
      <c r="I1095" s="7" t="n">
        <v>0</v>
      </c>
      <c r="J1095" s="7" t="n">
        <v>1</v>
      </c>
      <c r="K1095" s="7" t="n">
        <v>2</v>
      </c>
      <c r="L1095" s="7" t="n">
        <v>1</v>
      </c>
      <c r="M1095" s="11" t="n">
        <f t="normal" ca="1">A1101</f>
        <v>0</v>
      </c>
    </row>
    <row r="1096" spans="1:31">
      <c r="A1096" t="s">
        <v>4</v>
      </c>
      <c r="B1096" s="4" t="s">
        <v>5</v>
      </c>
      <c r="C1096" s="4" t="s">
        <v>7</v>
      </c>
      <c r="D1096" s="4" t="s">
        <v>8</v>
      </c>
    </row>
    <row r="1097" spans="1:31">
      <c r="A1097" t="n">
        <v>10195</v>
      </c>
      <c r="B1097" s="6" t="n">
        <v>2</v>
      </c>
      <c r="C1097" s="7" t="n">
        <v>10</v>
      </c>
      <c r="D1097" s="7" t="s">
        <v>107</v>
      </c>
    </row>
    <row r="1098" spans="1:31">
      <c r="A1098" t="s">
        <v>4</v>
      </c>
      <c r="B1098" s="4" t="s">
        <v>5</v>
      </c>
      <c r="C1098" s="4" t="s">
        <v>11</v>
      </c>
    </row>
    <row r="1099" spans="1:31">
      <c r="A1099" t="n">
        <v>10212</v>
      </c>
      <c r="B1099" s="29" t="n">
        <v>16</v>
      </c>
      <c r="C1099" s="7" t="n">
        <v>0</v>
      </c>
    </row>
    <row r="1100" spans="1:31">
      <c r="A1100" t="s">
        <v>4</v>
      </c>
      <c r="B1100" s="4" t="s">
        <v>5</v>
      </c>
      <c r="C1100" s="4" t="s">
        <v>7</v>
      </c>
    </row>
    <row r="1101" spans="1:31">
      <c r="A1101" t="n">
        <v>10215</v>
      </c>
      <c r="B1101" s="49" t="n">
        <v>116</v>
      </c>
      <c r="C1101" s="7" t="n">
        <v>0</v>
      </c>
    </row>
    <row r="1102" spans="1:31">
      <c r="A1102" t="s">
        <v>4</v>
      </c>
      <c r="B1102" s="4" t="s">
        <v>5</v>
      </c>
      <c r="C1102" s="4" t="s">
        <v>7</v>
      </c>
      <c r="D1102" s="4" t="s">
        <v>11</v>
      </c>
    </row>
    <row r="1103" spans="1:31">
      <c r="A1103" t="n">
        <v>10217</v>
      </c>
      <c r="B1103" s="49" t="n">
        <v>116</v>
      </c>
      <c r="C1103" s="7" t="n">
        <v>2</v>
      </c>
      <c r="D1103" s="7" t="n">
        <v>1</v>
      </c>
    </row>
    <row r="1104" spans="1:31">
      <c r="A1104" t="s">
        <v>4</v>
      </c>
      <c r="B1104" s="4" t="s">
        <v>5</v>
      </c>
      <c r="C1104" s="4" t="s">
        <v>7</v>
      </c>
      <c r="D1104" s="4" t="s">
        <v>15</v>
      </c>
    </row>
    <row r="1105" spans="1:13">
      <c r="A1105" t="n">
        <v>10221</v>
      </c>
      <c r="B1105" s="49" t="n">
        <v>116</v>
      </c>
      <c r="C1105" s="7" t="n">
        <v>5</v>
      </c>
      <c r="D1105" s="7" t="n">
        <v>1106247680</v>
      </c>
    </row>
    <row r="1106" spans="1:13">
      <c r="A1106" t="s">
        <v>4</v>
      </c>
      <c r="B1106" s="4" t="s">
        <v>5</v>
      </c>
      <c r="C1106" s="4" t="s">
        <v>7</v>
      </c>
      <c r="D1106" s="4" t="s">
        <v>11</v>
      </c>
    </row>
    <row r="1107" spans="1:13">
      <c r="A1107" t="n">
        <v>10227</v>
      </c>
      <c r="B1107" s="49" t="n">
        <v>116</v>
      </c>
      <c r="C1107" s="7" t="n">
        <v>6</v>
      </c>
      <c r="D1107" s="7" t="n">
        <v>1</v>
      </c>
    </row>
    <row r="1108" spans="1:13">
      <c r="A1108" t="s">
        <v>4</v>
      </c>
      <c r="B1108" s="4" t="s">
        <v>5</v>
      </c>
      <c r="C1108" s="4" t="s">
        <v>7</v>
      </c>
      <c r="D1108" s="4" t="s">
        <v>11</v>
      </c>
      <c r="E1108" s="4" t="s">
        <v>11</v>
      </c>
      <c r="F1108" s="4" t="s">
        <v>11</v>
      </c>
      <c r="G1108" s="4" t="s">
        <v>11</v>
      </c>
      <c r="H1108" s="4" t="s">
        <v>11</v>
      </c>
      <c r="I1108" s="4" t="s">
        <v>11</v>
      </c>
      <c r="J1108" s="4" t="s">
        <v>11</v>
      </c>
      <c r="K1108" s="4" t="s">
        <v>11</v>
      </c>
      <c r="L1108" s="4" t="s">
        <v>11</v>
      </c>
      <c r="M1108" s="4" t="s">
        <v>11</v>
      </c>
      <c r="N1108" s="4" t="s">
        <v>15</v>
      </c>
      <c r="O1108" s="4" t="s">
        <v>15</v>
      </c>
      <c r="P1108" s="4" t="s">
        <v>15</v>
      </c>
      <c r="Q1108" s="4" t="s">
        <v>15</v>
      </c>
      <c r="R1108" s="4" t="s">
        <v>7</v>
      </c>
      <c r="S1108" s="4" t="s">
        <v>8</v>
      </c>
    </row>
    <row r="1109" spans="1:13">
      <c r="A1109" t="n">
        <v>10231</v>
      </c>
      <c r="B1109" s="24" t="n">
        <v>75</v>
      </c>
      <c r="C1109" s="7" t="n">
        <v>0</v>
      </c>
      <c r="D1109" s="7" t="n">
        <v>0</v>
      </c>
      <c r="E1109" s="7" t="n">
        <v>0</v>
      </c>
      <c r="F1109" s="7" t="n">
        <v>1024</v>
      </c>
      <c r="G1109" s="7" t="n">
        <v>720</v>
      </c>
      <c r="H1109" s="7" t="n">
        <v>0</v>
      </c>
      <c r="I1109" s="7" t="n">
        <v>0</v>
      </c>
      <c r="J1109" s="7" t="n">
        <v>0</v>
      </c>
      <c r="K1109" s="7" t="n">
        <v>0</v>
      </c>
      <c r="L1109" s="7" t="n">
        <v>1024</v>
      </c>
      <c r="M1109" s="7" t="n">
        <v>720</v>
      </c>
      <c r="N1109" s="7" t="n">
        <v>1065353216</v>
      </c>
      <c r="O1109" s="7" t="n">
        <v>1065353216</v>
      </c>
      <c r="P1109" s="7" t="n">
        <v>1065353216</v>
      </c>
      <c r="Q1109" s="7" t="n">
        <v>0</v>
      </c>
      <c r="R1109" s="7" t="n">
        <v>0</v>
      </c>
      <c r="S1109" s="7" t="s">
        <v>122</v>
      </c>
    </row>
    <row r="1110" spans="1:13">
      <c r="A1110" t="s">
        <v>4</v>
      </c>
      <c r="B1110" s="4" t="s">
        <v>5</v>
      </c>
      <c r="C1110" s="4" t="s">
        <v>7</v>
      </c>
      <c r="D1110" s="4" t="s">
        <v>7</v>
      </c>
      <c r="E1110" s="4" t="s">
        <v>7</v>
      </c>
      <c r="F1110" s="4" t="s">
        <v>13</v>
      </c>
      <c r="G1110" s="4" t="s">
        <v>13</v>
      </c>
      <c r="H1110" s="4" t="s">
        <v>13</v>
      </c>
      <c r="I1110" s="4" t="s">
        <v>13</v>
      </c>
      <c r="J1110" s="4" t="s">
        <v>13</v>
      </c>
    </row>
    <row r="1111" spans="1:13">
      <c r="A1111" t="n">
        <v>10280</v>
      </c>
      <c r="B1111" s="25" t="n">
        <v>76</v>
      </c>
      <c r="C1111" s="7" t="n">
        <v>0</v>
      </c>
      <c r="D1111" s="7" t="n">
        <v>9</v>
      </c>
      <c r="E1111" s="7" t="n">
        <v>2</v>
      </c>
      <c r="F1111" s="7" t="n">
        <v>0</v>
      </c>
      <c r="G1111" s="7" t="n">
        <v>0</v>
      </c>
      <c r="H1111" s="7" t="n">
        <v>0</v>
      </c>
      <c r="I1111" s="7" t="n">
        <v>0</v>
      </c>
      <c r="J1111" s="7" t="n">
        <v>0</v>
      </c>
    </row>
    <row r="1112" spans="1:13">
      <c r="A1112" t="s">
        <v>4</v>
      </c>
      <c r="B1112" s="4" t="s">
        <v>5</v>
      </c>
      <c r="C1112" s="4" t="s">
        <v>7</v>
      </c>
      <c r="D1112" s="4" t="s">
        <v>11</v>
      </c>
      <c r="E1112" s="4" t="s">
        <v>11</v>
      </c>
      <c r="F1112" s="4" t="s">
        <v>11</v>
      </c>
      <c r="G1112" s="4" t="s">
        <v>11</v>
      </c>
      <c r="H1112" s="4" t="s">
        <v>11</v>
      </c>
      <c r="I1112" s="4" t="s">
        <v>11</v>
      </c>
      <c r="J1112" s="4" t="s">
        <v>11</v>
      </c>
      <c r="K1112" s="4" t="s">
        <v>11</v>
      </c>
      <c r="L1112" s="4" t="s">
        <v>11</v>
      </c>
      <c r="M1112" s="4" t="s">
        <v>11</v>
      </c>
      <c r="N1112" s="4" t="s">
        <v>15</v>
      </c>
      <c r="O1112" s="4" t="s">
        <v>15</v>
      </c>
      <c r="P1112" s="4" t="s">
        <v>15</v>
      </c>
      <c r="Q1112" s="4" t="s">
        <v>15</v>
      </c>
      <c r="R1112" s="4" t="s">
        <v>7</v>
      </c>
      <c r="S1112" s="4" t="s">
        <v>8</v>
      </c>
    </row>
    <row r="1113" spans="1:13">
      <c r="A1113" t="n">
        <v>10304</v>
      </c>
      <c r="B1113" s="24" t="n">
        <v>75</v>
      </c>
      <c r="C1113" s="7" t="n">
        <v>1</v>
      </c>
      <c r="D1113" s="7" t="n">
        <v>0</v>
      </c>
      <c r="E1113" s="7" t="n">
        <v>0</v>
      </c>
      <c r="F1113" s="7" t="n">
        <v>1024</v>
      </c>
      <c r="G1113" s="7" t="n">
        <v>720</v>
      </c>
      <c r="H1113" s="7" t="n">
        <v>0</v>
      </c>
      <c r="I1113" s="7" t="n">
        <v>0</v>
      </c>
      <c r="J1113" s="7" t="n">
        <v>0</v>
      </c>
      <c r="K1113" s="7" t="n">
        <v>0</v>
      </c>
      <c r="L1113" s="7" t="n">
        <v>1024</v>
      </c>
      <c r="M1113" s="7" t="n">
        <v>720</v>
      </c>
      <c r="N1113" s="7" t="n">
        <v>1065353216</v>
      </c>
      <c r="O1113" s="7" t="n">
        <v>1065353216</v>
      </c>
      <c r="P1113" s="7" t="n">
        <v>1065353216</v>
      </c>
      <c r="Q1113" s="7" t="n">
        <v>0</v>
      </c>
      <c r="R1113" s="7" t="n">
        <v>1</v>
      </c>
      <c r="S1113" s="7" t="s">
        <v>123</v>
      </c>
    </row>
    <row r="1114" spans="1:13">
      <c r="A1114" t="s">
        <v>4</v>
      </c>
      <c r="B1114" s="4" t="s">
        <v>5</v>
      </c>
      <c r="C1114" s="4" t="s">
        <v>7</v>
      </c>
      <c r="D1114" s="4" t="s">
        <v>7</v>
      </c>
      <c r="E1114" s="4" t="s">
        <v>7</v>
      </c>
      <c r="F1114" s="4" t="s">
        <v>13</v>
      </c>
      <c r="G1114" s="4" t="s">
        <v>13</v>
      </c>
      <c r="H1114" s="4" t="s">
        <v>13</v>
      </c>
      <c r="I1114" s="4" t="s">
        <v>13</v>
      </c>
      <c r="J1114" s="4" t="s">
        <v>13</v>
      </c>
    </row>
    <row r="1115" spans="1:13">
      <c r="A1115" t="n">
        <v>10352</v>
      </c>
      <c r="B1115" s="25" t="n">
        <v>76</v>
      </c>
      <c r="C1115" s="7" t="n">
        <v>1</v>
      </c>
      <c r="D1115" s="7" t="n">
        <v>9</v>
      </c>
      <c r="E1115" s="7" t="n">
        <v>2</v>
      </c>
      <c r="F1115" s="7" t="n">
        <v>0</v>
      </c>
      <c r="G1115" s="7" t="n">
        <v>0</v>
      </c>
      <c r="H1115" s="7" t="n">
        <v>0</v>
      </c>
      <c r="I1115" s="7" t="n">
        <v>0</v>
      </c>
      <c r="J1115" s="7" t="n">
        <v>0</v>
      </c>
    </row>
    <row r="1116" spans="1:13">
      <c r="A1116" t="s">
        <v>4</v>
      </c>
      <c r="B1116" s="4" t="s">
        <v>5</v>
      </c>
      <c r="C1116" s="4" t="s">
        <v>11</v>
      </c>
      <c r="D1116" s="4" t="s">
        <v>8</v>
      </c>
      <c r="E1116" s="4" t="s">
        <v>8</v>
      </c>
      <c r="F1116" s="4" t="s">
        <v>8</v>
      </c>
      <c r="G1116" s="4" t="s">
        <v>7</v>
      </c>
      <c r="H1116" s="4" t="s">
        <v>15</v>
      </c>
      <c r="I1116" s="4" t="s">
        <v>13</v>
      </c>
      <c r="J1116" s="4" t="s">
        <v>13</v>
      </c>
      <c r="K1116" s="4" t="s">
        <v>13</v>
      </c>
      <c r="L1116" s="4" t="s">
        <v>13</v>
      </c>
      <c r="M1116" s="4" t="s">
        <v>13</v>
      </c>
      <c r="N1116" s="4" t="s">
        <v>13</v>
      </c>
      <c r="O1116" s="4" t="s">
        <v>13</v>
      </c>
      <c r="P1116" s="4" t="s">
        <v>8</v>
      </c>
      <c r="Q1116" s="4" t="s">
        <v>8</v>
      </c>
      <c r="R1116" s="4" t="s">
        <v>15</v>
      </c>
      <c r="S1116" s="4" t="s">
        <v>7</v>
      </c>
      <c r="T1116" s="4" t="s">
        <v>15</v>
      </c>
      <c r="U1116" s="4" t="s">
        <v>15</v>
      </c>
      <c r="V1116" s="4" t="s">
        <v>11</v>
      </c>
    </row>
    <row r="1117" spans="1:13">
      <c r="A1117" t="n">
        <v>10376</v>
      </c>
      <c r="B1117" s="62" t="n">
        <v>19</v>
      </c>
      <c r="C1117" s="7" t="n">
        <v>1600</v>
      </c>
      <c r="D1117" s="7" t="s">
        <v>124</v>
      </c>
      <c r="E1117" s="7" t="s">
        <v>125</v>
      </c>
      <c r="F1117" s="7" t="s">
        <v>16</v>
      </c>
      <c r="G1117" s="7" t="n">
        <v>0</v>
      </c>
      <c r="H1117" s="7" t="n">
        <v>1</v>
      </c>
      <c r="I1117" s="7" t="n">
        <v>0</v>
      </c>
      <c r="J1117" s="7" t="n">
        <v>0</v>
      </c>
      <c r="K1117" s="7" t="n">
        <v>0</v>
      </c>
      <c r="L1117" s="7" t="n">
        <v>0</v>
      </c>
      <c r="M1117" s="7" t="n">
        <v>1</v>
      </c>
      <c r="N1117" s="7" t="n">
        <v>1.60000002384186</v>
      </c>
      <c r="O1117" s="7" t="n">
        <v>0.0900000035762787</v>
      </c>
      <c r="P1117" s="7" t="s">
        <v>126</v>
      </c>
      <c r="Q1117" s="7" t="s">
        <v>16</v>
      </c>
      <c r="R1117" s="7" t="n">
        <v>-1</v>
      </c>
      <c r="S1117" s="7" t="n">
        <v>0</v>
      </c>
      <c r="T1117" s="7" t="n">
        <v>0</v>
      </c>
      <c r="U1117" s="7" t="n">
        <v>0</v>
      </c>
      <c r="V1117" s="7" t="n">
        <v>0</v>
      </c>
    </row>
    <row r="1118" spans="1:13">
      <c r="A1118" t="s">
        <v>4</v>
      </c>
      <c r="B1118" s="4" t="s">
        <v>5</v>
      </c>
      <c r="C1118" s="4" t="s">
        <v>11</v>
      </c>
      <c r="D1118" s="4" t="s">
        <v>7</v>
      </c>
      <c r="E1118" s="4" t="s">
        <v>7</v>
      </c>
      <c r="F1118" s="4" t="s">
        <v>8</v>
      </c>
    </row>
    <row r="1119" spans="1:13">
      <c r="A1119" t="n">
        <v>10451</v>
      </c>
      <c r="B1119" s="50" t="n">
        <v>20</v>
      </c>
      <c r="C1119" s="7" t="n">
        <v>0</v>
      </c>
      <c r="D1119" s="7" t="n">
        <v>3</v>
      </c>
      <c r="E1119" s="7" t="n">
        <v>10</v>
      </c>
      <c r="F1119" s="7" t="s">
        <v>108</v>
      </c>
    </row>
    <row r="1120" spans="1:13">
      <c r="A1120" t="s">
        <v>4</v>
      </c>
      <c r="B1120" s="4" t="s">
        <v>5</v>
      </c>
      <c r="C1120" s="4" t="s">
        <v>11</v>
      </c>
    </row>
    <row r="1121" spans="1:22">
      <c r="A1121" t="n">
        <v>10469</v>
      </c>
      <c r="B1121" s="29" t="n">
        <v>16</v>
      </c>
      <c r="C1121" s="7" t="n">
        <v>0</v>
      </c>
    </row>
    <row r="1122" spans="1:22">
      <c r="A1122" t="s">
        <v>4</v>
      </c>
      <c r="B1122" s="4" t="s">
        <v>5</v>
      </c>
      <c r="C1122" s="4" t="s">
        <v>11</v>
      </c>
      <c r="D1122" s="4" t="s">
        <v>7</v>
      </c>
      <c r="E1122" s="4" t="s">
        <v>7</v>
      </c>
      <c r="F1122" s="4" t="s">
        <v>8</v>
      </c>
    </row>
    <row r="1123" spans="1:22">
      <c r="A1123" t="n">
        <v>10472</v>
      </c>
      <c r="B1123" s="50" t="n">
        <v>20</v>
      </c>
      <c r="C1123" s="7" t="n">
        <v>1600</v>
      </c>
      <c r="D1123" s="7" t="n">
        <v>3</v>
      </c>
      <c r="E1123" s="7" t="n">
        <v>10</v>
      </c>
      <c r="F1123" s="7" t="s">
        <v>108</v>
      </c>
    </row>
    <row r="1124" spans="1:22">
      <c r="A1124" t="s">
        <v>4</v>
      </c>
      <c r="B1124" s="4" t="s">
        <v>5</v>
      </c>
      <c r="C1124" s="4" t="s">
        <v>11</v>
      </c>
    </row>
    <row r="1125" spans="1:22">
      <c r="A1125" t="n">
        <v>10490</v>
      </c>
      <c r="B1125" s="29" t="n">
        <v>16</v>
      </c>
      <c r="C1125" s="7" t="n">
        <v>0</v>
      </c>
    </row>
    <row r="1126" spans="1:22">
      <c r="A1126" t="s">
        <v>4</v>
      </c>
      <c r="B1126" s="4" t="s">
        <v>5</v>
      </c>
      <c r="C1126" s="4" t="s">
        <v>11</v>
      </c>
      <c r="D1126" s="4" t="s">
        <v>15</v>
      </c>
    </row>
    <row r="1127" spans="1:22">
      <c r="A1127" t="n">
        <v>10493</v>
      </c>
      <c r="B1127" s="39" t="n">
        <v>43</v>
      </c>
      <c r="C1127" s="7" t="n">
        <v>1600</v>
      </c>
      <c r="D1127" s="7" t="n">
        <v>128</v>
      </c>
    </row>
    <row r="1128" spans="1:22">
      <c r="A1128" t="s">
        <v>4</v>
      </c>
      <c r="B1128" s="4" t="s">
        <v>5</v>
      </c>
      <c r="C1128" s="4" t="s">
        <v>11</v>
      </c>
      <c r="D1128" s="4" t="s">
        <v>15</v>
      </c>
    </row>
    <row r="1129" spans="1:22">
      <c r="A1129" t="n">
        <v>10500</v>
      </c>
      <c r="B1129" s="39" t="n">
        <v>43</v>
      </c>
      <c r="C1129" s="7" t="n">
        <v>1600</v>
      </c>
      <c r="D1129" s="7" t="n">
        <v>32</v>
      </c>
    </row>
    <row r="1130" spans="1:22">
      <c r="A1130" t="s">
        <v>4</v>
      </c>
      <c r="B1130" s="4" t="s">
        <v>5</v>
      </c>
      <c r="C1130" s="4" t="s">
        <v>11</v>
      </c>
      <c r="D1130" s="4" t="s">
        <v>13</v>
      </c>
      <c r="E1130" s="4" t="s">
        <v>13</v>
      </c>
      <c r="F1130" s="4" t="s">
        <v>13</v>
      </c>
      <c r="G1130" s="4" t="s">
        <v>13</v>
      </c>
    </row>
    <row r="1131" spans="1:22">
      <c r="A1131" t="n">
        <v>10507</v>
      </c>
      <c r="B1131" s="36" t="n">
        <v>46</v>
      </c>
      <c r="C1131" s="7" t="n">
        <v>0</v>
      </c>
      <c r="D1131" s="7" t="n">
        <v>-2.41000008583069</v>
      </c>
      <c r="E1131" s="7" t="n">
        <v>5.01000022888184</v>
      </c>
      <c r="F1131" s="7" t="n">
        <v>32</v>
      </c>
      <c r="G1131" s="7" t="n">
        <v>90</v>
      </c>
    </row>
    <row r="1132" spans="1:22">
      <c r="A1132" t="s">
        <v>4</v>
      </c>
      <c r="B1132" s="4" t="s">
        <v>5</v>
      </c>
      <c r="C1132" s="4" t="s">
        <v>11</v>
      </c>
      <c r="D1132" s="4" t="s">
        <v>15</v>
      </c>
    </row>
    <row r="1133" spans="1:22">
      <c r="A1133" t="n">
        <v>10526</v>
      </c>
      <c r="B1133" s="39" t="n">
        <v>43</v>
      </c>
      <c r="C1133" s="7" t="n">
        <v>1600</v>
      </c>
      <c r="D1133" s="7" t="n">
        <v>512</v>
      </c>
    </row>
    <row r="1134" spans="1:22">
      <c r="A1134" t="s">
        <v>4</v>
      </c>
      <c r="B1134" s="4" t="s">
        <v>5</v>
      </c>
      <c r="C1134" s="4" t="s">
        <v>11</v>
      </c>
      <c r="D1134" s="4" t="s">
        <v>13</v>
      </c>
      <c r="E1134" s="4" t="s">
        <v>13</v>
      </c>
      <c r="F1134" s="4" t="s">
        <v>13</v>
      </c>
      <c r="G1134" s="4" t="s">
        <v>13</v>
      </c>
    </row>
    <row r="1135" spans="1:22">
      <c r="A1135" t="n">
        <v>10533</v>
      </c>
      <c r="B1135" s="36" t="n">
        <v>46</v>
      </c>
      <c r="C1135" s="7" t="n">
        <v>1600</v>
      </c>
      <c r="D1135" s="7" t="n">
        <v>1.10000002384186</v>
      </c>
      <c r="E1135" s="7" t="n">
        <v>4.80000019073486</v>
      </c>
      <c r="F1135" s="7" t="n">
        <v>35.2999992370605</v>
      </c>
      <c r="G1135" s="7" t="n">
        <v>90</v>
      </c>
    </row>
    <row r="1136" spans="1:22">
      <c r="A1136" t="s">
        <v>4</v>
      </c>
      <c r="B1136" s="4" t="s">
        <v>5</v>
      </c>
      <c r="C1136" s="4" t="s">
        <v>7</v>
      </c>
      <c r="D1136" s="4" t="s">
        <v>7</v>
      </c>
      <c r="E1136" s="4" t="s">
        <v>13</v>
      </c>
      <c r="F1136" s="4" t="s">
        <v>13</v>
      </c>
      <c r="G1136" s="4" t="s">
        <v>13</v>
      </c>
      <c r="H1136" s="4" t="s">
        <v>11</v>
      </c>
    </row>
    <row r="1137" spans="1:8">
      <c r="A1137" t="n">
        <v>10552</v>
      </c>
      <c r="B1137" s="51" t="n">
        <v>45</v>
      </c>
      <c r="C1137" s="7" t="n">
        <v>2</v>
      </c>
      <c r="D1137" s="7" t="n">
        <v>3</v>
      </c>
      <c r="E1137" s="7" t="n">
        <v>-2.32999992370605</v>
      </c>
      <c r="F1137" s="7" t="n">
        <v>6.23000001907349</v>
      </c>
      <c r="G1137" s="7" t="n">
        <v>31.9500007629395</v>
      </c>
      <c r="H1137" s="7" t="n">
        <v>0</v>
      </c>
    </row>
    <row r="1138" spans="1:8">
      <c r="A1138" t="s">
        <v>4</v>
      </c>
      <c r="B1138" s="4" t="s">
        <v>5</v>
      </c>
      <c r="C1138" s="4" t="s">
        <v>7</v>
      </c>
      <c r="D1138" s="4" t="s">
        <v>7</v>
      </c>
      <c r="E1138" s="4" t="s">
        <v>13</v>
      </c>
      <c r="F1138" s="4" t="s">
        <v>13</v>
      </c>
      <c r="G1138" s="4" t="s">
        <v>13</v>
      </c>
      <c r="H1138" s="4" t="s">
        <v>11</v>
      </c>
      <c r="I1138" s="4" t="s">
        <v>7</v>
      </c>
    </row>
    <row r="1139" spans="1:8">
      <c r="A1139" t="n">
        <v>10569</v>
      </c>
      <c r="B1139" s="51" t="n">
        <v>45</v>
      </c>
      <c r="C1139" s="7" t="n">
        <v>4</v>
      </c>
      <c r="D1139" s="7" t="n">
        <v>3</v>
      </c>
      <c r="E1139" s="7" t="n">
        <v>12.0200004577637</v>
      </c>
      <c r="F1139" s="7" t="n">
        <v>121.769996643066</v>
      </c>
      <c r="G1139" s="7" t="n">
        <v>0</v>
      </c>
      <c r="H1139" s="7" t="n">
        <v>0</v>
      </c>
      <c r="I1139" s="7" t="n">
        <v>1</v>
      </c>
    </row>
    <row r="1140" spans="1:8">
      <c r="A1140" t="s">
        <v>4</v>
      </c>
      <c r="B1140" s="4" t="s">
        <v>5</v>
      </c>
      <c r="C1140" s="4" t="s">
        <v>7</v>
      </c>
      <c r="D1140" s="4" t="s">
        <v>7</v>
      </c>
      <c r="E1140" s="4" t="s">
        <v>13</v>
      </c>
      <c r="F1140" s="4" t="s">
        <v>11</v>
      </c>
    </row>
    <row r="1141" spans="1:8">
      <c r="A1141" t="n">
        <v>10587</v>
      </c>
      <c r="B1141" s="51" t="n">
        <v>45</v>
      </c>
      <c r="C1141" s="7" t="n">
        <v>5</v>
      </c>
      <c r="D1141" s="7" t="n">
        <v>3</v>
      </c>
      <c r="E1141" s="7" t="n">
        <v>3.5</v>
      </c>
      <c r="F1141" s="7" t="n">
        <v>0</v>
      </c>
    </row>
    <row r="1142" spans="1:8">
      <c r="A1142" t="s">
        <v>4</v>
      </c>
      <c r="B1142" s="4" t="s">
        <v>5</v>
      </c>
      <c r="C1142" s="4" t="s">
        <v>7</v>
      </c>
      <c r="D1142" s="4" t="s">
        <v>7</v>
      </c>
      <c r="E1142" s="4" t="s">
        <v>13</v>
      </c>
      <c r="F1142" s="4" t="s">
        <v>11</v>
      </c>
    </row>
    <row r="1143" spans="1:8">
      <c r="A1143" t="n">
        <v>10596</v>
      </c>
      <c r="B1143" s="51" t="n">
        <v>45</v>
      </c>
      <c r="C1143" s="7" t="n">
        <v>11</v>
      </c>
      <c r="D1143" s="7" t="n">
        <v>3</v>
      </c>
      <c r="E1143" s="7" t="n">
        <v>34</v>
      </c>
      <c r="F1143" s="7" t="n">
        <v>0</v>
      </c>
    </row>
    <row r="1144" spans="1:8">
      <c r="A1144" t="s">
        <v>4</v>
      </c>
      <c r="B1144" s="4" t="s">
        <v>5</v>
      </c>
      <c r="C1144" s="4" t="s">
        <v>7</v>
      </c>
      <c r="D1144" s="4" t="s">
        <v>7</v>
      </c>
      <c r="E1144" s="4" t="s">
        <v>13</v>
      </c>
      <c r="F1144" s="4" t="s">
        <v>13</v>
      </c>
      <c r="G1144" s="4" t="s">
        <v>13</v>
      </c>
      <c r="H1144" s="4" t="s">
        <v>11</v>
      </c>
    </row>
    <row r="1145" spans="1:8">
      <c r="A1145" t="n">
        <v>10605</v>
      </c>
      <c r="B1145" s="51" t="n">
        <v>45</v>
      </c>
      <c r="C1145" s="7" t="n">
        <v>2</v>
      </c>
      <c r="D1145" s="7" t="n">
        <v>3</v>
      </c>
      <c r="E1145" s="7" t="n">
        <v>1.00999999046326</v>
      </c>
      <c r="F1145" s="7" t="n">
        <v>6.48999977111816</v>
      </c>
      <c r="G1145" s="7" t="n">
        <v>32.0200004577637</v>
      </c>
      <c r="H1145" s="7" t="n">
        <v>3200</v>
      </c>
    </row>
    <row r="1146" spans="1:8">
      <c r="A1146" t="s">
        <v>4</v>
      </c>
      <c r="B1146" s="4" t="s">
        <v>5</v>
      </c>
      <c r="C1146" s="4" t="s">
        <v>7</v>
      </c>
      <c r="D1146" s="4" t="s">
        <v>7</v>
      </c>
      <c r="E1146" s="4" t="s">
        <v>13</v>
      </c>
      <c r="F1146" s="4" t="s">
        <v>13</v>
      </c>
      <c r="G1146" s="4" t="s">
        <v>13</v>
      </c>
      <c r="H1146" s="4" t="s">
        <v>11</v>
      </c>
      <c r="I1146" s="4" t="s">
        <v>7</v>
      </c>
    </row>
    <row r="1147" spans="1:8">
      <c r="A1147" t="n">
        <v>10622</v>
      </c>
      <c r="B1147" s="51" t="n">
        <v>45</v>
      </c>
      <c r="C1147" s="7" t="n">
        <v>4</v>
      </c>
      <c r="D1147" s="7" t="n">
        <v>3</v>
      </c>
      <c r="E1147" s="7" t="n">
        <v>1.28999996185303</v>
      </c>
      <c r="F1147" s="7" t="n">
        <v>105.019996643066</v>
      </c>
      <c r="G1147" s="7" t="n">
        <v>0</v>
      </c>
      <c r="H1147" s="7" t="n">
        <v>3200</v>
      </c>
      <c r="I1147" s="7" t="n">
        <v>0</v>
      </c>
    </row>
    <row r="1148" spans="1:8">
      <c r="A1148" t="s">
        <v>4</v>
      </c>
      <c r="B1148" s="4" t="s">
        <v>5</v>
      </c>
      <c r="C1148" s="4" t="s">
        <v>7</v>
      </c>
      <c r="D1148" s="4" t="s">
        <v>7</v>
      </c>
      <c r="E1148" s="4" t="s">
        <v>13</v>
      </c>
      <c r="F1148" s="4" t="s">
        <v>11</v>
      </c>
    </row>
    <row r="1149" spans="1:8">
      <c r="A1149" t="n">
        <v>10640</v>
      </c>
      <c r="B1149" s="51" t="n">
        <v>45</v>
      </c>
      <c r="C1149" s="7" t="n">
        <v>5</v>
      </c>
      <c r="D1149" s="7" t="n">
        <v>3</v>
      </c>
      <c r="E1149" s="7" t="n">
        <v>1.29999995231628</v>
      </c>
      <c r="F1149" s="7" t="n">
        <v>3200</v>
      </c>
    </row>
    <row r="1150" spans="1:8">
      <c r="A1150" t="s">
        <v>4</v>
      </c>
      <c r="B1150" s="4" t="s">
        <v>5</v>
      </c>
      <c r="C1150" s="4" t="s">
        <v>7</v>
      </c>
      <c r="D1150" s="4" t="s">
        <v>7</v>
      </c>
      <c r="E1150" s="4" t="s">
        <v>13</v>
      </c>
      <c r="F1150" s="4" t="s">
        <v>11</v>
      </c>
    </row>
    <row r="1151" spans="1:8">
      <c r="A1151" t="n">
        <v>10649</v>
      </c>
      <c r="B1151" s="51" t="n">
        <v>45</v>
      </c>
      <c r="C1151" s="7" t="n">
        <v>11</v>
      </c>
      <c r="D1151" s="7" t="n">
        <v>3</v>
      </c>
      <c r="E1151" s="7" t="n">
        <v>34</v>
      </c>
      <c r="F1151" s="7" t="n">
        <v>3200</v>
      </c>
    </row>
    <row r="1152" spans="1:8">
      <c r="A1152" t="s">
        <v>4</v>
      </c>
      <c r="B1152" s="4" t="s">
        <v>5</v>
      </c>
      <c r="C1152" s="4" t="s">
        <v>11</v>
      </c>
      <c r="D1152" s="4" t="s">
        <v>11</v>
      </c>
      <c r="E1152" s="4" t="s">
        <v>13</v>
      </c>
      <c r="F1152" s="4" t="s">
        <v>13</v>
      </c>
      <c r="G1152" s="4" t="s">
        <v>13</v>
      </c>
      <c r="H1152" s="4" t="s">
        <v>13</v>
      </c>
      <c r="I1152" s="4" t="s">
        <v>7</v>
      </c>
      <c r="J1152" s="4" t="s">
        <v>11</v>
      </c>
    </row>
    <row r="1153" spans="1:10">
      <c r="A1153" t="n">
        <v>10658</v>
      </c>
      <c r="B1153" s="53" t="n">
        <v>55</v>
      </c>
      <c r="C1153" s="7" t="n">
        <v>0</v>
      </c>
      <c r="D1153" s="7" t="n">
        <v>65533</v>
      </c>
      <c r="E1153" s="7" t="n">
        <v>1</v>
      </c>
      <c r="F1153" s="7" t="n">
        <v>5.01000022888184</v>
      </c>
      <c r="G1153" s="7" t="n">
        <v>32</v>
      </c>
      <c r="H1153" s="7" t="n">
        <v>1.20000004768372</v>
      </c>
      <c r="I1153" s="7" t="n">
        <v>1</v>
      </c>
      <c r="J1153" s="7" t="n">
        <v>0</v>
      </c>
    </row>
    <row r="1154" spans="1:10">
      <c r="A1154" t="s">
        <v>4</v>
      </c>
      <c r="B1154" s="4" t="s">
        <v>5</v>
      </c>
      <c r="C1154" s="4" t="s">
        <v>7</v>
      </c>
      <c r="D1154" s="4" t="s">
        <v>11</v>
      </c>
      <c r="E1154" s="4" t="s">
        <v>13</v>
      </c>
    </row>
    <row r="1155" spans="1:10">
      <c r="A1155" t="n">
        <v>10682</v>
      </c>
      <c r="B1155" s="23" t="n">
        <v>58</v>
      </c>
      <c r="C1155" s="7" t="n">
        <v>100</v>
      </c>
      <c r="D1155" s="7" t="n">
        <v>1000</v>
      </c>
      <c r="E1155" s="7" t="n">
        <v>1</v>
      </c>
    </row>
    <row r="1156" spans="1:10">
      <c r="A1156" t="s">
        <v>4</v>
      </c>
      <c r="B1156" s="4" t="s">
        <v>5</v>
      </c>
      <c r="C1156" s="4" t="s">
        <v>7</v>
      </c>
      <c r="D1156" s="4" t="s">
        <v>11</v>
      </c>
    </row>
    <row r="1157" spans="1:10">
      <c r="A1157" t="n">
        <v>10690</v>
      </c>
      <c r="B1157" s="23" t="n">
        <v>58</v>
      </c>
      <c r="C1157" s="7" t="n">
        <v>255</v>
      </c>
      <c r="D1157" s="7" t="n">
        <v>0</v>
      </c>
    </row>
    <row r="1158" spans="1:10">
      <c r="A1158" t="s">
        <v>4</v>
      </c>
      <c r="B1158" s="4" t="s">
        <v>5</v>
      </c>
      <c r="C1158" s="4" t="s">
        <v>11</v>
      </c>
      <c r="D1158" s="4" t="s">
        <v>7</v>
      </c>
    </row>
    <row r="1159" spans="1:10">
      <c r="A1159" t="n">
        <v>10694</v>
      </c>
      <c r="B1159" s="54" t="n">
        <v>56</v>
      </c>
      <c r="C1159" s="7" t="n">
        <v>0</v>
      </c>
      <c r="D1159" s="7" t="n">
        <v>0</v>
      </c>
    </row>
    <row r="1160" spans="1:10">
      <c r="A1160" t="s">
        <v>4</v>
      </c>
      <c r="B1160" s="4" t="s">
        <v>5</v>
      </c>
      <c r="C1160" s="4" t="s">
        <v>7</v>
      </c>
      <c r="D1160" s="4" t="s">
        <v>11</v>
      </c>
    </row>
    <row r="1161" spans="1:10">
      <c r="A1161" t="n">
        <v>10698</v>
      </c>
      <c r="B1161" s="51" t="n">
        <v>45</v>
      </c>
      <c r="C1161" s="7" t="n">
        <v>7</v>
      </c>
      <c r="D1161" s="7" t="n">
        <v>255</v>
      </c>
    </row>
    <row r="1162" spans="1:10">
      <c r="A1162" t="s">
        <v>4</v>
      </c>
      <c r="B1162" s="4" t="s">
        <v>5</v>
      </c>
      <c r="C1162" s="4" t="s">
        <v>7</v>
      </c>
      <c r="D1162" s="4" t="s">
        <v>11</v>
      </c>
      <c r="E1162" s="4" t="s">
        <v>8</v>
      </c>
      <c r="F1162" s="4" t="s">
        <v>8</v>
      </c>
      <c r="G1162" s="4" t="s">
        <v>8</v>
      </c>
      <c r="H1162" s="4" t="s">
        <v>8</v>
      </c>
    </row>
    <row r="1163" spans="1:10">
      <c r="A1163" t="n">
        <v>10702</v>
      </c>
      <c r="B1163" s="38" t="n">
        <v>51</v>
      </c>
      <c r="C1163" s="7" t="n">
        <v>3</v>
      </c>
      <c r="D1163" s="7" t="n">
        <v>0</v>
      </c>
      <c r="E1163" s="7" t="s">
        <v>86</v>
      </c>
      <c r="F1163" s="7" t="s">
        <v>79</v>
      </c>
      <c r="G1163" s="7" t="s">
        <v>78</v>
      </c>
      <c r="H1163" s="7" t="s">
        <v>79</v>
      </c>
    </row>
    <row r="1164" spans="1:10">
      <c r="A1164" t="s">
        <v>4</v>
      </c>
      <c r="B1164" s="4" t="s">
        <v>5</v>
      </c>
      <c r="C1164" s="4" t="s">
        <v>11</v>
      </c>
      <c r="D1164" s="4" t="s">
        <v>7</v>
      </c>
      <c r="E1164" s="4" t="s">
        <v>13</v>
      </c>
      <c r="F1164" s="4" t="s">
        <v>11</v>
      </c>
    </row>
    <row r="1165" spans="1:10">
      <c r="A1165" t="n">
        <v>10715</v>
      </c>
      <c r="B1165" s="56" t="n">
        <v>59</v>
      </c>
      <c r="C1165" s="7" t="n">
        <v>0</v>
      </c>
      <c r="D1165" s="7" t="n">
        <v>8</v>
      </c>
      <c r="E1165" s="7" t="n">
        <v>0.150000005960464</v>
      </c>
      <c r="F1165" s="7" t="n">
        <v>0</v>
      </c>
    </row>
    <row r="1166" spans="1:10">
      <c r="A1166" t="s">
        <v>4</v>
      </c>
      <c r="B1166" s="4" t="s">
        <v>5</v>
      </c>
      <c r="C1166" s="4" t="s">
        <v>11</v>
      </c>
    </row>
    <row r="1167" spans="1:10">
      <c r="A1167" t="n">
        <v>10725</v>
      </c>
      <c r="B1167" s="29" t="n">
        <v>16</v>
      </c>
      <c r="C1167" s="7" t="n">
        <v>1500</v>
      </c>
    </row>
    <row r="1168" spans="1:10">
      <c r="A1168" t="s">
        <v>4</v>
      </c>
      <c r="B1168" s="4" t="s">
        <v>5</v>
      </c>
      <c r="C1168" s="4" t="s">
        <v>11</v>
      </c>
      <c r="D1168" s="4" t="s">
        <v>7</v>
      </c>
      <c r="E1168" s="4" t="s">
        <v>13</v>
      </c>
      <c r="F1168" s="4" t="s">
        <v>11</v>
      </c>
    </row>
    <row r="1169" spans="1:10">
      <c r="A1169" t="n">
        <v>10728</v>
      </c>
      <c r="B1169" s="56" t="n">
        <v>59</v>
      </c>
      <c r="C1169" s="7" t="n">
        <v>0</v>
      </c>
      <c r="D1169" s="7" t="n">
        <v>255</v>
      </c>
      <c r="E1169" s="7" t="n">
        <v>0</v>
      </c>
      <c r="F1169" s="7" t="n">
        <v>0</v>
      </c>
    </row>
    <row r="1170" spans="1:10">
      <c r="A1170" t="s">
        <v>4</v>
      </c>
      <c r="B1170" s="4" t="s">
        <v>5</v>
      </c>
      <c r="C1170" s="4" t="s">
        <v>7</v>
      </c>
      <c r="D1170" s="4" t="s">
        <v>11</v>
      </c>
      <c r="E1170" s="4" t="s">
        <v>8</v>
      </c>
      <c r="F1170" s="4" t="s">
        <v>8</v>
      </c>
      <c r="G1170" s="4" t="s">
        <v>8</v>
      </c>
      <c r="H1170" s="4" t="s">
        <v>8</v>
      </c>
    </row>
    <row r="1171" spans="1:10">
      <c r="A1171" t="n">
        <v>10738</v>
      </c>
      <c r="B1171" s="38" t="n">
        <v>51</v>
      </c>
      <c r="C1171" s="7" t="n">
        <v>3</v>
      </c>
      <c r="D1171" s="7" t="n">
        <v>0</v>
      </c>
      <c r="E1171" s="7" t="s">
        <v>99</v>
      </c>
      <c r="F1171" s="7" t="s">
        <v>99</v>
      </c>
      <c r="G1171" s="7" t="s">
        <v>78</v>
      </c>
      <c r="H1171" s="7" t="s">
        <v>79</v>
      </c>
    </row>
    <row r="1172" spans="1:10">
      <c r="A1172" t="s">
        <v>4</v>
      </c>
      <c r="B1172" s="4" t="s">
        <v>5</v>
      </c>
      <c r="C1172" s="4" t="s">
        <v>11</v>
      </c>
    </row>
    <row r="1173" spans="1:10">
      <c r="A1173" t="n">
        <v>10751</v>
      </c>
      <c r="B1173" s="29" t="n">
        <v>16</v>
      </c>
      <c r="C1173" s="7" t="n">
        <v>500</v>
      </c>
    </row>
    <row r="1174" spans="1:10">
      <c r="A1174" t="s">
        <v>4</v>
      </c>
      <c r="B1174" s="4" t="s">
        <v>5</v>
      </c>
      <c r="C1174" s="4" t="s">
        <v>7</v>
      </c>
      <c r="D1174" s="4" t="s">
        <v>11</v>
      </c>
      <c r="E1174" s="4" t="s">
        <v>8</v>
      </c>
    </row>
    <row r="1175" spans="1:10">
      <c r="A1175" t="n">
        <v>10754</v>
      </c>
      <c r="B1175" s="38" t="n">
        <v>51</v>
      </c>
      <c r="C1175" s="7" t="n">
        <v>4</v>
      </c>
      <c r="D1175" s="7" t="n">
        <v>0</v>
      </c>
      <c r="E1175" s="7" t="s">
        <v>127</v>
      </c>
    </row>
    <row r="1176" spans="1:10">
      <c r="A1176" t="s">
        <v>4</v>
      </c>
      <c r="B1176" s="4" t="s">
        <v>5</v>
      </c>
      <c r="C1176" s="4" t="s">
        <v>11</v>
      </c>
    </row>
    <row r="1177" spans="1:10">
      <c r="A1177" t="n">
        <v>10769</v>
      </c>
      <c r="B1177" s="29" t="n">
        <v>16</v>
      </c>
      <c r="C1177" s="7" t="n">
        <v>0</v>
      </c>
    </row>
    <row r="1178" spans="1:10">
      <c r="A1178" t="s">
        <v>4</v>
      </c>
      <c r="B1178" s="4" t="s">
        <v>5</v>
      </c>
      <c r="C1178" s="4" t="s">
        <v>11</v>
      </c>
      <c r="D1178" s="4" t="s">
        <v>7</v>
      </c>
      <c r="E1178" s="4" t="s">
        <v>15</v>
      </c>
      <c r="F1178" s="4" t="s">
        <v>55</v>
      </c>
      <c r="G1178" s="4" t="s">
        <v>7</v>
      </c>
      <c r="H1178" s="4" t="s">
        <v>7</v>
      </c>
    </row>
    <row r="1179" spans="1:10">
      <c r="A1179" t="n">
        <v>10772</v>
      </c>
      <c r="B1179" s="55" t="n">
        <v>26</v>
      </c>
      <c r="C1179" s="7" t="n">
        <v>0</v>
      </c>
      <c r="D1179" s="7" t="n">
        <v>17</v>
      </c>
      <c r="E1179" s="7" t="n">
        <v>64268</v>
      </c>
      <c r="F1179" s="7" t="s">
        <v>128</v>
      </c>
      <c r="G1179" s="7" t="n">
        <v>2</v>
      </c>
      <c r="H1179" s="7" t="n">
        <v>0</v>
      </c>
    </row>
    <row r="1180" spans="1:10">
      <c r="A1180" t="s">
        <v>4</v>
      </c>
      <c r="B1180" s="4" t="s">
        <v>5</v>
      </c>
    </row>
    <row r="1181" spans="1:10">
      <c r="A1181" t="n">
        <v>10793</v>
      </c>
      <c r="B1181" s="27" t="n">
        <v>28</v>
      </c>
    </row>
    <row r="1182" spans="1:10">
      <c r="A1182" t="s">
        <v>4</v>
      </c>
      <c r="B1182" s="4" t="s">
        <v>5</v>
      </c>
      <c r="C1182" s="4" t="s">
        <v>11</v>
      </c>
      <c r="D1182" s="4" t="s">
        <v>13</v>
      </c>
      <c r="E1182" s="4" t="s">
        <v>13</v>
      </c>
      <c r="F1182" s="4" t="s">
        <v>13</v>
      </c>
      <c r="G1182" s="4" t="s">
        <v>11</v>
      </c>
      <c r="H1182" s="4" t="s">
        <v>11</v>
      </c>
    </row>
    <row r="1183" spans="1:10">
      <c r="A1183" t="n">
        <v>10794</v>
      </c>
      <c r="B1183" s="37" t="n">
        <v>60</v>
      </c>
      <c r="C1183" s="7" t="n">
        <v>0</v>
      </c>
      <c r="D1183" s="7" t="n">
        <v>-20</v>
      </c>
      <c r="E1183" s="7" t="n">
        <v>0</v>
      </c>
      <c r="F1183" s="7" t="n">
        <v>0</v>
      </c>
      <c r="G1183" s="7" t="n">
        <v>500</v>
      </c>
      <c r="H1183" s="7" t="n">
        <v>0</v>
      </c>
    </row>
    <row r="1184" spans="1:10">
      <c r="A1184" t="s">
        <v>4</v>
      </c>
      <c r="B1184" s="4" t="s">
        <v>5</v>
      </c>
      <c r="C1184" s="4" t="s">
        <v>11</v>
      </c>
    </row>
    <row r="1185" spans="1:8">
      <c r="A1185" t="n">
        <v>10813</v>
      </c>
      <c r="B1185" s="29" t="n">
        <v>16</v>
      </c>
      <c r="C1185" s="7" t="n">
        <v>500</v>
      </c>
    </row>
    <row r="1186" spans="1:8">
      <c r="A1186" t="s">
        <v>4</v>
      </c>
      <c r="B1186" s="4" t="s">
        <v>5</v>
      </c>
      <c r="C1186" s="4" t="s">
        <v>7</v>
      </c>
      <c r="D1186" s="4" t="s">
        <v>11</v>
      </c>
      <c r="E1186" s="4" t="s">
        <v>8</v>
      </c>
    </row>
    <row r="1187" spans="1:8">
      <c r="A1187" t="n">
        <v>10816</v>
      </c>
      <c r="B1187" s="38" t="n">
        <v>51</v>
      </c>
      <c r="C1187" s="7" t="n">
        <v>4</v>
      </c>
      <c r="D1187" s="7" t="n">
        <v>0</v>
      </c>
      <c r="E1187" s="7" t="s">
        <v>129</v>
      </c>
    </row>
    <row r="1188" spans="1:8">
      <c r="A1188" t="s">
        <v>4</v>
      </c>
      <c r="B1188" s="4" t="s">
        <v>5</v>
      </c>
      <c r="C1188" s="4" t="s">
        <v>11</v>
      </c>
    </row>
    <row r="1189" spans="1:8">
      <c r="A1189" t="n">
        <v>10829</v>
      </c>
      <c r="B1189" s="29" t="n">
        <v>16</v>
      </c>
      <c r="C1189" s="7" t="n">
        <v>0</v>
      </c>
    </row>
    <row r="1190" spans="1:8">
      <c r="A1190" t="s">
        <v>4</v>
      </c>
      <c r="B1190" s="4" t="s">
        <v>5</v>
      </c>
      <c r="C1190" s="4" t="s">
        <v>11</v>
      </c>
      <c r="D1190" s="4" t="s">
        <v>55</v>
      </c>
      <c r="E1190" s="4" t="s">
        <v>7</v>
      </c>
      <c r="F1190" s="4" t="s">
        <v>7</v>
      </c>
    </row>
    <row r="1191" spans="1:8">
      <c r="A1191" t="n">
        <v>10832</v>
      </c>
      <c r="B1191" s="55" t="n">
        <v>26</v>
      </c>
      <c r="C1191" s="7" t="n">
        <v>0</v>
      </c>
      <c r="D1191" s="7" t="s">
        <v>130</v>
      </c>
      <c r="E1191" s="7" t="n">
        <v>2</v>
      </c>
      <c r="F1191" s="7" t="n">
        <v>0</v>
      </c>
    </row>
    <row r="1192" spans="1:8">
      <c r="A1192" t="s">
        <v>4</v>
      </c>
      <c r="B1192" s="4" t="s">
        <v>5</v>
      </c>
    </row>
    <row r="1193" spans="1:8">
      <c r="A1193" t="n">
        <v>10871</v>
      </c>
      <c r="B1193" s="27" t="n">
        <v>28</v>
      </c>
    </row>
    <row r="1194" spans="1:8">
      <c r="A1194" t="s">
        <v>4</v>
      </c>
      <c r="B1194" s="4" t="s">
        <v>5</v>
      </c>
      <c r="C1194" s="4" t="s">
        <v>7</v>
      </c>
      <c r="D1194" s="4" t="s">
        <v>11</v>
      </c>
      <c r="E1194" s="4" t="s">
        <v>13</v>
      </c>
    </row>
    <row r="1195" spans="1:8">
      <c r="A1195" t="n">
        <v>10872</v>
      </c>
      <c r="B1195" s="23" t="n">
        <v>58</v>
      </c>
      <c r="C1195" s="7" t="n">
        <v>0</v>
      </c>
      <c r="D1195" s="7" t="n">
        <v>1000</v>
      </c>
      <c r="E1195" s="7" t="n">
        <v>1</v>
      </c>
    </row>
    <row r="1196" spans="1:8">
      <c r="A1196" t="s">
        <v>4</v>
      </c>
      <c r="B1196" s="4" t="s">
        <v>5</v>
      </c>
      <c r="C1196" s="4" t="s">
        <v>7</v>
      </c>
      <c r="D1196" s="4" t="s">
        <v>11</v>
      </c>
    </row>
    <row r="1197" spans="1:8">
      <c r="A1197" t="n">
        <v>10880</v>
      </c>
      <c r="B1197" s="23" t="n">
        <v>58</v>
      </c>
      <c r="C1197" s="7" t="n">
        <v>255</v>
      </c>
      <c r="D1197" s="7" t="n">
        <v>0</v>
      </c>
    </row>
    <row r="1198" spans="1:8">
      <c r="A1198" t="s">
        <v>4</v>
      </c>
      <c r="B1198" s="4" t="s">
        <v>5</v>
      </c>
      <c r="C1198" s="4" t="s">
        <v>11</v>
      </c>
      <c r="D1198" s="4" t="s">
        <v>13</v>
      </c>
      <c r="E1198" s="4" t="s">
        <v>13</v>
      </c>
      <c r="F1198" s="4" t="s">
        <v>13</v>
      </c>
      <c r="G1198" s="4" t="s">
        <v>11</v>
      </c>
      <c r="H1198" s="4" t="s">
        <v>11</v>
      </c>
    </row>
    <row r="1199" spans="1:8">
      <c r="A1199" t="n">
        <v>10884</v>
      </c>
      <c r="B1199" s="37" t="n">
        <v>60</v>
      </c>
      <c r="C1199" s="7" t="n">
        <v>0</v>
      </c>
      <c r="D1199" s="7" t="n">
        <v>0</v>
      </c>
      <c r="E1199" s="7" t="n">
        <v>0</v>
      </c>
      <c r="F1199" s="7" t="n">
        <v>0</v>
      </c>
      <c r="G1199" s="7" t="n">
        <v>0</v>
      </c>
      <c r="H1199" s="7" t="n">
        <v>0</v>
      </c>
    </row>
    <row r="1200" spans="1:8">
      <c r="A1200" t="s">
        <v>4</v>
      </c>
      <c r="B1200" s="4" t="s">
        <v>5</v>
      </c>
      <c r="C1200" s="4" t="s">
        <v>7</v>
      </c>
      <c r="D1200" s="4" t="s">
        <v>7</v>
      </c>
      <c r="E1200" s="4" t="s">
        <v>13</v>
      </c>
      <c r="F1200" s="4" t="s">
        <v>13</v>
      </c>
      <c r="G1200" s="4" t="s">
        <v>13</v>
      </c>
      <c r="H1200" s="4" t="s">
        <v>11</v>
      </c>
    </row>
    <row r="1201" spans="1:8">
      <c r="A1201" t="n">
        <v>10903</v>
      </c>
      <c r="B1201" s="51" t="n">
        <v>45</v>
      </c>
      <c r="C1201" s="7" t="n">
        <v>2</v>
      </c>
      <c r="D1201" s="7" t="n">
        <v>3</v>
      </c>
      <c r="E1201" s="7" t="n">
        <v>1.0900000333786</v>
      </c>
      <c r="F1201" s="7" t="n">
        <v>6.36999988555908</v>
      </c>
      <c r="G1201" s="7" t="n">
        <v>34.939998626709</v>
      </c>
      <c r="H1201" s="7" t="n">
        <v>0</v>
      </c>
    </row>
    <row r="1202" spans="1:8">
      <c r="A1202" t="s">
        <v>4</v>
      </c>
      <c r="B1202" s="4" t="s">
        <v>5</v>
      </c>
      <c r="C1202" s="4" t="s">
        <v>7</v>
      </c>
      <c r="D1202" s="4" t="s">
        <v>7</v>
      </c>
      <c r="E1202" s="4" t="s">
        <v>13</v>
      </c>
      <c r="F1202" s="4" t="s">
        <v>13</v>
      </c>
      <c r="G1202" s="4" t="s">
        <v>13</v>
      </c>
      <c r="H1202" s="4" t="s">
        <v>11</v>
      </c>
      <c r="I1202" s="4" t="s">
        <v>7</v>
      </c>
    </row>
    <row r="1203" spans="1:8">
      <c r="A1203" t="n">
        <v>10920</v>
      </c>
      <c r="B1203" s="51" t="n">
        <v>45</v>
      </c>
      <c r="C1203" s="7" t="n">
        <v>4</v>
      </c>
      <c r="D1203" s="7" t="n">
        <v>3</v>
      </c>
      <c r="E1203" s="7" t="n">
        <v>13</v>
      </c>
      <c r="F1203" s="7" t="n">
        <v>240</v>
      </c>
      <c r="G1203" s="7" t="n">
        <v>0</v>
      </c>
      <c r="H1203" s="7" t="n">
        <v>0</v>
      </c>
      <c r="I1203" s="7" t="n">
        <v>1</v>
      </c>
    </row>
    <row r="1204" spans="1:8">
      <c r="A1204" t="s">
        <v>4</v>
      </c>
      <c r="B1204" s="4" t="s">
        <v>5</v>
      </c>
      <c r="C1204" s="4" t="s">
        <v>7</v>
      </c>
      <c r="D1204" s="4" t="s">
        <v>7</v>
      </c>
      <c r="E1204" s="4" t="s">
        <v>13</v>
      </c>
      <c r="F1204" s="4" t="s">
        <v>11</v>
      </c>
    </row>
    <row r="1205" spans="1:8">
      <c r="A1205" t="n">
        <v>10938</v>
      </c>
      <c r="B1205" s="51" t="n">
        <v>45</v>
      </c>
      <c r="C1205" s="7" t="n">
        <v>5</v>
      </c>
      <c r="D1205" s="7" t="n">
        <v>3</v>
      </c>
      <c r="E1205" s="7" t="n">
        <v>3.29999995231628</v>
      </c>
      <c r="F1205" s="7" t="n">
        <v>0</v>
      </c>
    </row>
    <row r="1206" spans="1:8">
      <c r="A1206" t="s">
        <v>4</v>
      </c>
      <c r="B1206" s="4" t="s">
        <v>5</v>
      </c>
      <c r="C1206" s="4" t="s">
        <v>7</v>
      </c>
      <c r="D1206" s="4" t="s">
        <v>7</v>
      </c>
      <c r="E1206" s="4" t="s">
        <v>13</v>
      </c>
      <c r="F1206" s="4" t="s">
        <v>11</v>
      </c>
    </row>
    <row r="1207" spans="1:8">
      <c r="A1207" t="n">
        <v>10947</v>
      </c>
      <c r="B1207" s="51" t="n">
        <v>45</v>
      </c>
      <c r="C1207" s="7" t="n">
        <v>11</v>
      </c>
      <c r="D1207" s="7" t="n">
        <v>3</v>
      </c>
      <c r="E1207" s="7" t="n">
        <v>30.6000003814697</v>
      </c>
      <c r="F1207" s="7" t="n">
        <v>0</v>
      </c>
    </row>
    <row r="1208" spans="1:8">
      <c r="A1208" t="s">
        <v>4</v>
      </c>
      <c r="B1208" s="4" t="s">
        <v>5</v>
      </c>
      <c r="C1208" s="4" t="s">
        <v>11</v>
      </c>
      <c r="D1208" s="4" t="s">
        <v>15</v>
      </c>
    </row>
    <row r="1209" spans="1:8">
      <c r="A1209" t="n">
        <v>10956</v>
      </c>
      <c r="B1209" s="39" t="n">
        <v>43</v>
      </c>
      <c r="C1209" s="7" t="n">
        <v>0</v>
      </c>
      <c r="D1209" s="7" t="n">
        <v>128</v>
      </c>
    </row>
    <row r="1210" spans="1:8">
      <c r="A1210" t="s">
        <v>4</v>
      </c>
      <c r="B1210" s="4" t="s">
        <v>5</v>
      </c>
      <c r="C1210" s="4" t="s">
        <v>11</v>
      </c>
      <c r="D1210" s="4" t="s">
        <v>15</v>
      </c>
    </row>
    <row r="1211" spans="1:8">
      <c r="A1211" t="n">
        <v>10963</v>
      </c>
      <c r="B1211" s="39" t="n">
        <v>43</v>
      </c>
      <c r="C1211" s="7" t="n">
        <v>0</v>
      </c>
      <c r="D1211" s="7" t="n">
        <v>32</v>
      </c>
    </row>
    <row r="1212" spans="1:8">
      <c r="A1212" t="s">
        <v>4</v>
      </c>
      <c r="B1212" s="4" t="s">
        <v>5</v>
      </c>
      <c r="C1212" s="4" t="s">
        <v>11</v>
      </c>
    </row>
    <row r="1213" spans="1:8">
      <c r="A1213" t="n">
        <v>10970</v>
      </c>
      <c r="B1213" s="29" t="n">
        <v>16</v>
      </c>
      <c r="C1213" s="7" t="n">
        <v>1</v>
      </c>
    </row>
    <row r="1214" spans="1:8">
      <c r="A1214" t="s">
        <v>4</v>
      </c>
      <c r="B1214" s="4" t="s">
        <v>5</v>
      </c>
      <c r="C1214" s="4" t="s">
        <v>7</v>
      </c>
    </row>
    <row r="1215" spans="1:8">
      <c r="A1215" t="n">
        <v>10973</v>
      </c>
      <c r="B1215" s="45" t="n">
        <v>74</v>
      </c>
      <c r="C1215" s="7" t="n">
        <v>19</v>
      </c>
    </row>
    <row r="1216" spans="1:8">
      <c r="A1216" t="s">
        <v>4</v>
      </c>
      <c r="B1216" s="4" t="s">
        <v>5</v>
      </c>
      <c r="C1216" s="4" t="s">
        <v>7</v>
      </c>
      <c r="D1216" s="4" t="s">
        <v>11</v>
      </c>
      <c r="E1216" s="4" t="s">
        <v>8</v>
      </c>
      <c r="F1216" s="4" t="s">
        <v>8</v>
      </c>
    </row>
    <row r="1217" spans="1:9">
      <c r="A1217" t="n">
        <v>10975</v>
      </c>
      <c r="B1217" s="40" t="n">
        <v>36</v>
      </c>
      <c r="C1217" s="7" t="n">
        <v>10</v>
      </c>
      <c r="D1217" s="7" t="n">
        <v>0</v>
      </c>
      <c r="E1217" s="7" t="s">
        <v>131</v>
      </c>
      <c r="F1217" s="7" t="s">
        <v>16</v>
      </c>
    </row>
    <row r="1218" spans="1:9">
      <c r="A1218" t="s">
        <v>4</v>
      </c>
      <c r="B1218" s="4" t="s">
        <v>5</v>
      </c>
      <c r="C1218" s="4" t="s">
        <v>7</v>
      </c>
      <c r="D1218" s="4" t="s">
        <v>11</v>
      </c>
      <c r="E1218" s="4" t="s">
        <v>7</v>
      </c>
      <c r="F1218" s="4" t="s">
        <v>8</v>
      </c>
      <c r="G1218" s="4" t="s">
        <v>8</v>
      </c>
      <c r="H1218" s="4" t="s">
        <v>8</v>
      </c>
      <c r="I1218" s="4" t="s">
        <v>8</v>
      </c>
      <c r="J1218" s="4" t="s">
        <v>8</v>
      </c>
      <c r="K1218" s="4" t="s">
        <v>8</v>
      </c>
      <c r="L1218" s="4" t="s">
        <v>8</v>
      </c>
      <c r="M1218" s="4" t="s">
        <v>8</v>
      </c>
      <c r="N1218" s="4" t="s">
        <v>8</v>
      </c>
      <c r="O1218" s="4" t="s">
        <v>8</v>
      </c>
      <c r="P1218" s="4" t="s">
        <v>8</v>
      </c>
      <c r="Q1218" s="4" t="s">
        <v>8</v>
      </c>
      <c r="R1218" s="4" t="s">
        <v>8</v>
      </c>
      <c r="S1218" s="4" t="s">
        <v>8</v>
      </c>
      <c r="T1218" s="4" t="s">
        <v>8</v>
      </c>
      <c r="U1218" s="4" t="s">
        <v>8</v>
      </c>
    </row>
    <row r="1219" spans="1:9">
      <c r="A1219" t="n">
        <v>10993</v>
      </c>
      <c r="B1219" s="40" t="n">
        <v>36</v>
      </c>
      <c r="C1219" s="7" t="n">
        <v>8</v>
      </c>
      <c r="D1219" s="7" t="n">
        <v>0</v>
      </c>
      <c r="E1219" s="7" t="n">
        <v>0</v>
      </c>
      <c r="F1219" s="7" t="s">
        <v>132</v>
      </c>
      <c r="G1219" s="7" t="s">
        <v>133</v>
      </c>
      <c r="H1219" s="7" t="s">
        <v>134</v>
      </c>
      <c r="I1219" s="7" t="s">
        <v>16</v>
      </c>
      <c r="J1219" s="7" t="s">
        <v>16</v>
      </c>
      <c r="K1219" s="7" t="s">
        <v>16</v>
      </c>
      <c r="L1219" s="7" t="s">
        <v>16</v>
      </c>
      <c r="M1219" s="7" t="s">
        <v>16</v>
      </c>
      <c r="N1219" s="7" t="s">
        <v>16</v>
      </c>
      <c r="O1219" s="7" t="s">
        <v>16</v>
      </c>
      <c r="P1219" s="7" t="s">
        <v>16</v>
      </c>
      <c r="Q1219" s="7" t="s">
        <v>16</v>
      </c>
      <c r="R1219" s="7" t="s">
        <v>16</v>
      </c>
      <c r="S1219" s="7" t="s">
        <v>16</v>
      </c>
      <c r="T1219" s="7" t="s">
        <v>16</v>
      </c>
      <c r="U1219" s="7" t="s">
        <v>16</v>
      </c>
    </row>
    <row r="1220" spans="1:9">
      <c r="A1220" t="s">
        <v>4</v>
      </c>
      <c r="B1220" s="4" t="s">
        <v>5</v>
      </c>
      <c r="C1220" s="4" t="s">
        <v>11</v>
      </c>
      <c r="D1220" s="4" t="s">
        <v>15</v>
      </c>
    </row>
    <row r="1221" spans="1:9">
      <c r="A1221" t="n">
        <v>11045</v>
      </c>
      <c r="B1221" s="63" t="n">
        <v>44</v>
      </c>
      <c r="C1221" s="7" t="n">
        <v>0</v>
      </c>
      <c r="D1221" s="7" t="n">
        <v>128</v>
      </c>
    </row>
    <row r="1222" spans="1:9">
      <c r="A1222" t="s">
        <v>4</v>
      </c>
      <c r="B1222" s="4" t="s">
        <v>5</v>
      </c>
      <c r="C1222" s="4" t="s">
        <v>11</v>
      </c>
      <c r="D1222" s="4" t="s">
        <v>15</v>
      </c>
    </row>
    <row r="1223" spans="1:9">
      <c r="A1223" t="n">
        <v>11052</v>
      </c>
      <c r="B1223" s="63" t="n">
        <v>44</v>
      </c>
      <c r="C1223" s="7" t="n">
        <v>0</v>
      </c>
      <c r="D1223" s="7" t="n">
        <v>32</v>
      </c>
    </row>
    <row r="1224" spans="1:9">
      <c r="A1224" t="s">
        <v>4</v>
      </c>
      <c r="B1224" s="4" t="s">
        <v>5</v>
      </c>
      <c r="C1224" s="4" t="s">
        <v>11</v>
      </c>
      <c r="D1224" s="4" t="s">
        <v>15</v>
      </c>
    </row>
    <row r="1225" spans="1:9">
      <c r="A1225" t="n">
        <v>11059</v>
      </c>
      <c r="B1225" s="39" t="n">
        <v>43</v>
      </c>
      <c r="C1225" s="7" t="n">
        <v>0</v>
      </c>
      <c r="D1225" s="7" t="n">
        <v>32</v>
      </c>
    </row>
    <row r="1226" spans="1:9">
      <c r="A1226" t="s">
        <v>4</v>
      </c>
      <c r="B1226" s="4" t="s">
        <v>5</v>
      </c>
      <c r="C1226" s="4" t="s">
        <v>11</v>
      </c>
      <c r="D1226" s="4" t="s">
        <v>13</v>
      </c>
      <c r="E1226" s="4" t="s">
        <v>13</v>
      </c>
      <c r="F1226" s="4" t="s">
        <v>13</v>
      </c>
      <c r="G1226" s="4" t="s">
        <v>13</v>
      </c>
    </row>
    <row r="1227" spans="1:9">
      <c r="A1227" t="n">
        <v>11066</v>
      </c>
      <c r="B1227" s="36" t="n">
        <v>46</v>
      </c>
      <c r="C1227" s="7" t="n">
        <v>0</v>
      </c>
      <c r="D1227" s="7" t="n">
        <v>3.59999990463257</v>
      </c>
      <c r="E1227" s="7" t="n">
        <v>5</v>
      </c>
      <c r="F1227" s="7" t="n">
        <v>31.4500007629395</v>
      </c>
      <c r="G1227" s="7" t="n">
        <v>0</v>
      </c>
    </row>
    <row r="1228" spans="1:9">
      <c r="A1228" t="s">
        <v>4</v>
      </c>
      <c r="B1228" s="4" t="s">
        <v>5</v>
      </c>
      <c r="C1228" s="4" t="s">
        <v>11</v>
      </c>
      <c r="D1228" s="4" t="s">
        <v>13</v>
      </c>
      <c r="E1228" s="4" t="s">
        <v>15</v>
      </c>
      <c r="F1228" s="4" t="s">
        <v>13</v>
      </c>
      <c r="G1228" s="4" t="s">
        <v>13</v>
      </c>
      <c r="H1228" s="4" t="s">
        <v>7</v>
      </c>
    </row>
    <row r="1229" spans="1:9">
      <c r="A1229" t="n">
        <v>11085</v>
      </c>
      <c r="B1229" s="64" t="n">
        <v>100</v>
      </c>
      <c r="C1229" s="7" t="n">
        <v>0</v>
      </c>
      <c r="D1229" s="7" t="n">
        <v>1.0900000333786</v>
      </c>
      <c r="E1229" s="7" t="n">
        <v>1084227584</v>
      </c>
      <c r="F1229" s="7" t="n">
        <v>34.5200004577637</v>
      </c>
      <c r="G1229" s="7" t="n">
        <v>0</v>
      </c>
      <c r="H1229" s="7" t="n">
        <v>0</v>
      </c>
    </row>
    <row r="1230" spans="1:9">
      <c r="A1230" t="s">
        <v>4</v>
      </c>
      <c r="B1230" s="4" t="s">
        <v>5</v>
      </c>
      <c r="C1230" s="4" t="s">
        <v>11</v>
      </c>
      <c r="D1230" s="4" t="s">
        <v>13</v>
      </c>
      <c r="E1230" s="4" t="s">
        <v>13</v>
      </c>
      <c r="F1230" s="4" t="s">
        <v>13</v>
      </c>
      <c r="G1230" s="4" t="s">
        <v>11</v>
      </c>
      <c r="H1230" s="4" t="s">
        <v>11</v>
      </c>
    </row>
    <row r="1231" spans="1:9">
      <c r="A1231" t="n">
        <v>11105</v>
      </c>
      <c r="B1231" s="37" t="n">
        <v>60</v>
      </c>
      <c r="C1231" s="7" t="n">
        <v>0</v>
      </c>
      <c r="D1231" s="7" t="n">
        <v>0</v>
      </c>
      <c r="E1231" s="7" t="n">
        <v>0</v>
      </c>
      <c r="F1231" s="7" t="n">
        <v>0</v>
      </c>
      <c r="G1231" s="7" t="n">
        <v>300</v>
      </c>
      <c r="H1231" s="7" t="n">
        <v>0</v>
      </c>
    </row>
    <row r="1232" spans="1:9">
      <c r="A1232" t="s">
        <v>4</v>
      </c>
      <c r="B1232" s="4" t="s">
        <v>5</v>
      </c>
      <c r="C1232" s="4" t="s">
        <v>11</v>
      </c>
      <c r="D1232" s="4" t="s">
        <v>7</v>
      </c>
      <c r="E1232" s="4" t="s">
        <v>8</v>
      </c>
      <c r="F1232" s="4" t="s">
        <v>13</v>
      </c>
      <c r="G1232" s="4" t="s">
        <v>13</v>
      </c>
      <c r="H1232" s="4" t="s">
        <v>13</v>
      </c>
    </row>
    <row r="1233" spans="1:21">
      <c r="A1233" t="n">
        <v>11124</v>
      </c>
      <c r="B1233" s="42" t="n">
        <v>48</v>
      </c>
      <c r="C1233" s="7" t="n">
        <v>0</v>
      </c>
      <c r="D1233" s="7" t="n">
        <v>0</v>
      </c>
      <c r="E1233" s="7" t="s">
        <v>106</v>
      </c>
      <c r="F1233" s="7" t="n">
        <v>-1</v>
      </c>
      <c r="G1233" s="7" t="n">
        <v>1</v>
      </c>
      <c r="H1233" s="7" t="n">
        <v>0</v>
      </c>
    </row>
    <row r="1234" spans="1:21">
      <c r="A1234" t="s">
        <v>4</v>
      </c>
      <c r="B1234" s="4" t="s">
        <v>5</v>
      </c>
      <c r="C1234" s="4" t="s">
        <v>7</v>
      </c>
      <c r="D1234" s="4" t="s">
        <v>11</v>
      </c>
      <c r="E1234" s="4" t="s">
        <v>8</v>
      </c>
      <c r="F1234" s="4" t="s">
        <v>8</v>
      </c>
      <c r="G1234" s="4" t="s">
        <v>8</v>
      </c>
      <c r="H1234" s="4" t="s">
        <v>8</v>
      </c>
    </row>
    <row r="1235" spans="1:21">
      <c r="A1235" t="n">
        <v>11148</v>
      </c>
      <c r="B1235" s="38" t="n">
        <v>51</v>
      </c>
      <c r="C1235" s="7" t="n">
        <v>3</v>
      </c>
      <c r="D1235" s="7" t="n">
        <v>0</v>
      </c>
      <c r="E1235" s="7" t="s">
        <v>135</v>
      </c>
      <c r="F1235" s="7" t="s">
        <v>79</v>
      </c>
      <c r="G1235" s="7" t="s">
        <v>78</v>
      </c>
      <c r="H1235" s="7" t="s">
        <v>79</v>
      </c>
    </row>
    <row r="1236" spans="1:21">
      <c r="A1236" t="s">
        <v>4</v>
      </c>
      <c r="B1236" s="4" t="s">
        <v>5</v>
      </c>
      <c r="C1236" s="4" t="s">
        <v>11</v>
      </c>
      <c r="D1236" s="4" t="s">
        <v>11</v>
      </c>
      <c r="E1236" s="4" t="s">
        <v>13</v>
      </c>
      <c r="F1236" s="4" t="s">
        <v>13</v>
      </c>
      <c r="G1236" s="4" t="s">
        <v>13</v>
      </c>
      <c r="H1236" s="4" t="s">
        <v>13</v>
      </c>
      <c r="I1236" s="4" t="s">
        <v>7</v>
      </c>
      <c r="J1236" s="4" t="s">
        <v>11</v>
      </c>
    </row>
    <row r="1237" spans="1:21">
      <c r="A1237" t="n">
        <v>11168</v>
      </c>
      <c r="B1237" s="53" t="n">
        <v>55</v>
      </c>
      <c r="C1237" s="7" t="n">
        <v>0</v>
      </c>
      <c r="D1237" s="7" t="n">
        <v>65533</v>
      </c>
      <c r="E1237" s="7" t="n">
        <v>1.0900000333786</v>
      </c>
      <c r="F1237" s="7" t="n">
        <v>5</v>
      </c>
      <c r="G1237" s="7" t="n">
        <v>34.5200004577637</v>
      </c>
      <c r="H1237" s="7" t="n">
        <v>1.20000004768372</v>
      </c>
      <c r="I1237" s="7" t="n">
        <v>1</v>
      </c>
      <c r="J1237" s="7" t="n">
        <v>0</v>
      </c>
    </row>
    <row r="1238" spans="1:21">
      <c r="A1238" t="s">
        <v>4</v>
      </c>
      <c r="B1238" s="4" t="s">
        <v>5</v>
      </c>
      <c r="C1238" s="4" t="s">
        <v>7</v>
      </c>
      <c r="D1238" s="4" t="s">
        <v>7</v>
      </c>
      <c r="E1238" s="4" t="s">
        <v>13</v>
      </c>
      <c r="F1238" s="4" t="s">
        <v>13</v>
      </c>
      <c r="G1238" s="4" t="s">
        <v>13</v>
      </c>
      <c r="H1238" s="4" t="s">
        <v>11</v>
      </c>
    </row>
    <row r="1239" spans="1:21">
      <c r="A1239" t="n">
        <v>11192</v>
      </c>
      <c r="B1239" s="51" t="n">
        <v>45</v>
      </c>
      <c r="C1239" s="7" t="n">
        <v>2</v>
      </c>
      <c r="D1239" s="7" t="n">
        <v>3</v>
      </c>
      <c r="E1239" s="7" t="n">
        <v>1.0900000333786</v>
      </c>
      <c r="F1239" s="7" t="n">
        <v>6.36999988555908</v>
      </c>
      <c r="G1239" s="7" t="n">
        <v>34.939998626709</v>
      </c>
      <c r="H1239" s="7" t="n">
        <v>3000</v>
      </c>
    </row>
    <row r="1240" spans="1:21">
      <c r="A1240" t="s">
        <v>4</v>
      </c>
      <c r="B1240" s="4" t="s">
        <v>5</v>
      </c>
      <c r="C1240" s="4" t="s">
        <v>7</v>
      </c>
      <c r="D1240" s="4" t="s">
        <v>7</v>
      </c>
      <c r="E1240" s="4" t="s">
        <v>13</v>
      </c>
      <c r="F1240" s="4" t="s">
        <v>13</v>
      </c>
      <c r="G1240" s="4" t="s">
        <v>13</v>
      </c>
      <c r="H1240" s="4" t="s">
        <v>11</v>
      </c>
      <c r="I1240" s="4" t="s">
        <v>7</v>
      </c>
    </row>
    <row r="1241" spans="1:21">
      <c r="A1241" t="n">
        <v>11209</v>
      </c>
      <c r="B1241" s="51" t="n">
        <v>45</v>
      </c>
      <c r="C1241" s="7" t="n">
        <v>4</v>
      </c>
      <c r="D1241" s="7" t="n">
        <v>3</v>
      </c>
      <c r="E1241" s="7" t="n">
        <v>9.25</v>
      </c>
      <c r="F1241" s="7" t="n">
        <v>240</v>
      </c>
      <c r="G1241" s="7" t="n">
        <v>0</v>
      </c>
      <c r="H1241" s="7" t="n">
        <v>3000</v>
      </c>
      <c r="I1241" s="7" t="n">
        <v>0</v>
      </c>
    </row>
    <row r="1242" spans="1:21">
      <c r="A1242" t="s">
        <v>4</v>
      </c>
      <c r="B1242" s="4" t="s">
        <v>5</v>
      </c>
      <c r="C1242" s="4" t="s">
        <v>7</v>
      </c>
      <c r="D1242" s="4" t="s">
        <v>7</v>
      </c>
      <c r="E1242" s="4" t="s">
        <v>13</v>
      </c>
      <c r="F1242" s="4" t="s">
        <v>11</v>
      </c>
    </row>
    <row r="1243" spans="1:21">
      <c r="A1243" t="n">
        <v>11227</v>
      </c>
      <c r="B1243" s="51" t="n">
        <v>45</v>
      </c>
      <c r="C1243" s="7" t="n">
        <v>5</v>
      </c>
      <c r="D1243" s="7" t="n">
        <v>3</v>
      </c>
      <c r="E1243" s="7" t="n">
        <v>2.40000009536743</v>
      </c>
      <c r="F1243" s="7" t="n">
        <v>3000</v>
      </c>
    </row>
    <row r="1244" spans="1:21">
      <c r="A1244" t="s">
        <v>4</v>
      </c>
      <c r="B1244" s="4" t="s">
        <v>5</v>
      </c>
      <c r="C1244" s="4" t="s">
        <v>7</v>
      </c>
      <c r="D1244" s="4" t="s">
        <v>7</v>
      </c>
      <c r="E1244" s="4" t="s">
        <v>13</v>
      </c>
      <c r="F1244" s="4" t="s">
        <v>11</v>
      </c>
    </row>
    <row r="1245" spans="1:21">
      <c r="A1245" t="n">
        <v>11236</v>
      </c>
      <c r="B1245" s="51" t="n">
        <v>45</v>
      </c>
      <c r="C1245" s="7" t="n">
        <v>11</v>
      </c>
      <c r="D1245" s="7" t="n">
        <v>3</v>
      </c>
      <c r="E1245" s="7" t="n">
        <v>30.6000003814697</v>
      </c>
      <c r="F1245" s="7" t="n">
        <v>3000</v>
      </c>
    </row>
    <row r="1246" spans="1:21">
      <c r="A1246" t="s">
        <v>4</v>
      </c>
      <c r="B1246" s="4" t="s">
        <v>5</v>
      </c>
      <c r="C1246" s="4" t="s">
        <v>7</v>
      </c>
      <c r="D1246" s="4" t="s">
        <v>11</v>
      </c>
      <c r="E1246" s="4" t="s">
        <v>13</v>
      </c>
    </row>
    <row r="1247" spans="1:21">
      <c r="A1247" t="n">
        <v>11245</v>
      </c>
      <c r="B1247" s="23" t="n">
        <v>58</v>
      </c>
      <c r="C1247" s="7" t="n">
        <v>100</v>
      </c>
      <c r="D1247" s="7" t="n">
        <v>1000</v>
      </c>
      <c r="E1247" s="7" t="n">
        <v>1</v>
      </c>
    </row>
    <row r="1248" spans="1:21">
      <c r="A1248" t="s">
        <v>4</v>
      </c>
      <c r="B1248" s="4" t="s">
        <v>5</v>
      </c>
      <c r="C1248" s="4" t="s">
        <v>7</v>
      </c>
      <c r="D1248" s="4" t="s">
        <v>11</v>
      </c>
    </row>
    <row r="1249" spans="1:10">
      <c r="A1249" t="n">
        <v>11253</v>
      </c>
      <c r="B1249" s="23" t="n">
        <v>58</v>
      </c>
      <c r="C1249" s="7" t="n">
        <v>255</v>
      </c>
      <c r="D1249" s="7" t="n">
        <v>0</v>
      </c>
    </row>
    <row r="1250" spans="1:10">
      <c r="A1250" t="s">
        <v>4</v>
      </c>
      <c r="B1250" s="4" t="s">
        <v>5</v>
      </c>
      <c r="C1250" s="4" t="s">
        <v>11</v>
      </c>
      <c r="D1250" s="4" t="s">
        <v>7</v>
      </c>
    </row>
    <row r="1251" spans="1:10">
      <c r="A1251" t="n">
        <v>11257</v>
      </c>
      <c r="B1251" s="54" t="n">
        <v>56</v>
      </c>
      <c r="C1251" s="7" t="n">
        <v>0</v>
      </c>
      <c r="D1251" s="7" t="n">
        <v>0</v>
      </c>
    </row>
    <row r="1252" spans="1:10">
      <c r="A1252" t="s">
        <v>4</v>
      </c>
      <c r="B1252" s="4" t="s">
        <v>5</v>
      </c>
      <c r="C1252" s="4" t="s">
        <v>11</v>
      </c>
      <c r="D1252" s="4" t="s">
        <v>13</v>
      </c>
      <c r="E1252" s="4" t="s">
        <v>13</v>
      </c>
      <c r="F1252" s="4" t="s">
        <v>7</v>
      </c>
    </row>
    <row r="1253" spans="1:10">
      <c r="A1253" t="n">
        <v>11261</v>
      </c>
      <c r="B1253" s="65" t="n">
        <v>52</v>
      </c>
      <c r="C1253" s="7" t="n">
        <v>0</v>
      </c>
      <c r="D1253" s="7" t="n">
        <v>0</v>
      </c>
      <c r="E1253" s="7" t="n">
        <v>10</v>
      </c>
      <c r="F1253" s="7" t="n">
        <v>0</v>
      </c>
    </row>
    <row r="1254" spans="1:10">
      <c r="A1254" t="s">
        <v>4</v>
      </c>
      <c r="B1254" s="4" t="s">
        <v>5</v>
      </c>
      <c r="C1254" s="4" t="s">
        <v>11</v>
      </c>
    </row>
    <row r="1255" spans="1:10">
      <c r="A1255" t="n">
        <v>11273</v>
      </c>
      <c r="B1255" s="66" t="n">
        <v>54</v>
      </c>
      <c r="C1255" s="7" t="n">
        <v>0</v>
      </c>
    </row>
    <row r="1256" spans="1:10">
      <c r="A1256" t="s">
        <v>4</v>
      </c>
      <c r="B1256" s="4" t="s">
        <v>5</v>
      </c>
      <c r="C1256" s="4" t="s">
        <v>11</v>
      </c>
    </row>
    <row r="1257" spans="1:10">
      <c r="A1257" t="n">
        <v>11276</v>
      </c>
      <c r="B1257" s="29" t="n">
        <v>16</v>
      </c>
      <c r="C1257" s="7" t="n">
        <v>1000</v>
      </c>
    </row>
    <row r="1258" spans="1:10">
      <c r="A1258" t="s">
        <v>4</v>
      </c>
      <c r="B1258" s="4" t="s">
        <v>5</v>
      </c>
      <c r="C1258" s="4" t="s">
        <v>7</v>
      </c>
      <c r="D1258" s="4" t="s">
        <v>13</v>
      </c>
      <c r="E1258" s="4" t="s">
        <v>11</v>
      </c>
      <c r="F1258" s="4" t="s">
        <v>7</v>
      </c>
    </row>
    <row r="1259" spans="1:10">
      <c r="A1259" t="n">
        <v>11279</v>
      </c>
      <c r="B1259" s="13" t="n">
        <v>49</v>
      </c>
      <c r="C1259" s="7" t="n">
        <v>3</v>
      </c>
      <c r="D1259" s="7" t="n">
        <v>0.5</v>
      </c>
      <c r="E1259" s="7" t="n">
        <v>2000</v>
      </c>
      <c r="F1259" s="7" t="n">
        <v>0</v>
      </c>
    </row>
    <row r="1260" spans="1:10">
      <c r="A1260" t="s">
        <v>4</v>
      </c>
      <c r="B1260" s="4" t="s">
        <v>5</v>
      </c>
      <c r="C1260" s="4" t="s">
        <v>7</v>
      </c>
      <c r="D1260" s="4" t="s">
        <v>11</v>
      </c>
      <c r="E1260" s="4" t="s">
        <v>13</v>
      </c>
      <c r="F1260" s="4" t="s">
        <v>11</v>
      </c>
      <c r="G1260" s="4" t="s">
        <v>15</v>
      </c>
      <c r="H1260" s="4" t="s">
        <v>15</v>
      </c>
      <c r="I1260" s="4" t="s">
        <v>11</v>
      </c>
      <c r="J1260" s="4" t="s">
        <v>11</v>
      </c>
      <c r="K1260" s="4" t="s">
        <v>15</v>
      </c>
      <c r="L1260" s="4" t="s">
        <v>15</v>
      </c>
      <c r="M1260" s="4" t="s">
        <v>15</v>
      </c>
      <c r="N1260" s="4" t="s">
        <v>15</v>
      </c>
      <c r="O1260" s="4" t="s">
        <v>8</v>
      </c>
    </row>
    <row r="1261" spans="1:10">
      <c r="A1261" t="n">
        <v>11288</v>
      </c>
      <c r="B1261" s="57" t="n">
        <v>50</v>
      </c>
      <c r="C1261" s="7" t="n">
        <v>0</v>
      </c>
      <c r="D1261" s="7" t="n">
        <v>2049</v>
      </c>
      <c r="E1261" s="7" t="n">
        <v>0.699999988079071</v>
      </c>
      <c r="F1261" s="7" t="n">
        <v>0</v>
      </c>
      <c r="G1261" s="7" t="n">
        <v>0</v>
      </c>
      <c r="H1261" s="7" t="n">
        <v>0</v>
      </c>
      <c r="I1261" s="7" t="n">
        <v>0</v>
      </c>
      <c r="J1261" s="7" t="n">
        <v>65533</v>
      </c>
      <c r="K1261" s="7" t="n">
        <v>0</v>
      </c>
      <c r="L1261" s="7" t="n">
        <v>0</v>
      </c>
      <c r="M1261" s="7" t="n">
        <v>0</v>
      </c>
      <c r="N1261" s="7" t="n">
        <v>0</v>
      </c>
      <c r="O1261" s="7" t="s">
        <v>16</v>
      </c>
    </row>
    <row r="1262" spans="1:10">
      <c r="A1262" t="s">
        <v>4</v>
      </c>
      <c r="B1262" s="4" t="s">
        <v>5</v>
      </c>
      <c r="C1262" s="4" t="s">
        <v>11</v>
      </c>
    </row>
    <row r="1263" spans="1:10">
      <c r="A1263" t="n">
        <v>11327</v>
      </c>
      <c r="B1263" s="29" t="n">
        <v>16</v>
      </c>
      <c r="C1263" s="7" t="n">
        <v>500</v>
      </c>
    </row>
    <row r="1264" spans="1:10">
      <c r="A1264" t="s">
        <v>4</v>
      </c>
      <c r="B1264" s="4" t="s">
        <v>5</v>
      </c>
      <c r="C1264" s="4" t="s">
        <v>7</v>
      </c>
      <c r="D1264" s="4" t="s">
        <v>11</v>
      </c>
      <c r="E1264" s="4" t="s">
        <v>13</v>
      </c>
      <c r="F1264" s="4" t="s">
        <v>11</v>
      </c>
      <c r="G1264" s="4" t="s">
        <v>15</v>
      </c>
      <c r="H1264" s="4" t="s">
        <v>15</v>
      </c>
      <c r="I1264" s="4" t="s">
        <v>11</v>
      </c>
      <c r="J1264" s="4" t="s">
        <v>11</v>
      </c>
      <c r="K1264" s="4" t="s">
        <v>15</v>
      </c>
      <c r="L1264" s="4" t="s">
        <v>15</v>
      </c>
      <c r="M1264" s="4" t="s">
        <v>15</v>
      </c>
      <c r="N1264" s="4" t="s">
        <v>15</v>
      </c>
      <c r="O1264" s="4" t="s">
        <v>8</v>
      </c>
    </row>
    <row r="1265" spans="1:15">
      <c r="A1265" t="n">
        <v>11330</v>
      </c>
      <c r="B1265" s="57" t="n">
        <v>50</v>
      </c>
      <c r="C1265" s="7" t="n">
        <v>0</v>
      </c>
      <c r="D1265" s="7" t="n">
        <v>2050</v>
      </c>
      <c r="E1265" s="7" t="n">
        <v>0.400000005960464</v>
      </c>
      <c r="F1265" s="7" t="n">
        <v>0</v>
      </c>
      <c r="G1265" s="7" t="n">
        <v>0</v>
      </c>
      <c r="H1265" s="7" t="n">
        <v>0</v>
      </c>
      <c r="I1265" s="7" t="n">
        <v>0</v>
      </c>
      <c r="J1265" s="7" t="n">
        <v>65533</v>
      </c>
      <c r="K1265" s="7" t="n">
        <v>0</v>
      </c>
      <c r="L1265" s="7" t="n">
        <v>0</v>
      </c>
      <c r="M1265" s="7" t="n">
        <v>0</v>
      </c>
      <c r="N1265" s="7" t="n">
        <v>0</v>
      </c>
      <c r="O1265" s="7" t="s">
        <v>16</v>
      </c>
    </row>
    <row r="1266" spans="1:15">
      <c r="A1266" t="s">
        <v>4</v>
      </c>
      <c r="B1266" s="4" t="s">
        <v>5</v>
      </c>
      <c r="C1266" s="4" t="s">
        <v>11</v>
      </c>
    </row>
    <row r="1267" spans="1:15">
      <c r="A1267" t="n">
        <v>11369</v>
      </c>
      <c r="B1267" s="29" t="n">
        <v>16</v>
      </c>
      <c r="C1267" s="7" t="n">
        <v>2000</v>
      </c>
    </row>
    <row r="1268" spans="1:15">
      <c r="A1268" t="s">
        <v>4</v>
      </c>
      <c r="B1268" s="4" t="s">
        <v>5</v>
      </c>
      <c r="C1268" s="4" t="s">
        <v>7</v>
      </c>
      <c r="D1268" s="4" t="s">
        <v>7</v>
      </c>
      <c r="E1268" s="4" t="s">
        <v>13</v>
      </c>
      <c r="F1268" s="4" t="s">
        <v>11</v>
      </c>
    </row>
    <row r="1269" spans="1:15">
      <c r="A1269" t="n">
        <v>11372</v>
      </c>
      <c r="B1269" s="51" t="n">
        <v>45</v>
      </c>
      <c r="C1269" s="7" t="n">
        <v>5</v>
      </c>
      <c r="D1269" s="7" t="n">
        <v>3</v>
      </c>
      <c r="E1269" s="7" t="n">
        <v>2.20000004768372</v>
      </c>
      <c r="F1269" s="7" t="n">
        <v>30000</v>
      </c>
    </row>
    <row r="1270" spans="1:15">
      <c r="A1270" t="s">
        <v>4</v>
      </c>
      <c r="B1270" s="4" t="s">
        <v>5</v>
      </c>
      <c r="C1270" s="4" t="s">
        <v>8</v>
      </c>
      <c r="D1270" s="4" t="s">
        <v>11</v>
      </c>
    </row>
    <row r="1271" spans="1:15">
      <c r="A1271" t="n">
        <v>11381</v>
      </c>
      <c r="B1271" s="67" t="n">
        <v>29</v>
      </c>
      <c r="C1271" s="7" t="s">
        <v>136</v>
      </c>
      <c r="D1271" s="7" t="n">
        <v>65533</v>
      </c>
    </row>
    <row r="1272" spans="1:15">
      <c r="A1272" t="s">
        <v>4</v>
      </c>
      <c r="B1272" s="4" t="s">
        <v>5</v>
      </c>
      <c r="C1272" s="4" t="s">
        <v>7</v>
      </c>
      <c r="D1272" s="4" t="s">
        <v>11</v>
      </c>
      <c r="E1272" s="4" t="s">
        <v>8</v>
      </c>
    </row>
    <row r="1273" spans="1:15">
      <c r="A1273" t="n">
        <v>11402</v>
      </c>
      <c r="B1273" s="38" t="n">
        <v>51</v>
      </c>
      <c r="C1273" s="7" t="n">
        <v>4</v>
      </c>
      <c r="D1273" s="7" t="n">
        <v>1600</v>
      </c>
      <c r="E1273" s="7" t="s">
        <v>137</v>
      </c>
    </row>
    <row r="1274" spans="1:15">
      <c r="A1274" t="s">
        <v>4</v>
      </c>
      <c r="B1274" s="4" t="s">
        <v>5</v>
      </c>
      <c r="C1274" s="4" t="s">
        <v>11</v>
      </c>
    </row>
    <row r="1275" spans="1:15">
      <c r="A1275" t="n">
        <v>11415</v>
      </c>
      <c r="B1275" s="29" t="n">
        <v>16</v>
      </c>
      <c r="C1275" s="7" t="n">
        <v>0</v>
      </c>
    </row>
    <row r="1276" spans="1:15">
      <c r="A1276" t="s">
        <v>4</v>
      </c>
      <c r="B1276" s="4" t="s">
        <v>5</v>
      </c>
      <c r="C1276" s="4" t="s">
        <v>11</v>
      </c>
      <c r="D1276" s="4" t="s">
        <v>7</v>
      </c>
      <c r="E1276" s="4" t="s">
        <v>15</v>
      </c>
      <c r="F1276" s="4" t="s">
        <v>55</v>
      </c>
      <c r="G1276" s="4" t="s">
        <v>7</v>
      </c>
      <c r="H1276" s="4" t="s">
        <v>7</v>
      </c>
      <c r="I1276" s="4" t="s">
        <v>7</v>
      </c>
      <c r="J1276" s="4" t="s">
        <v>15</v>
      </c>
      <c r="K1276" s="4" t="s">
        <v>55</v>
      </c>
      <c r="L1276" s="4" t="s">
        <v>7</v>
      </c>
      <c r="M1276" s="4" t="s">
        <v>7</v>
      </c>
    </row>
    <row r="1277" spans="1:15">
      <c r="A1277" t="n">
        <v>11418</v>
      </c>
      <c r="B1277" s="55" t="n">
        <v>26</v>
      </c>
      <c r="C1277" s="7" t="n">
        <v>1600</v>
      </c>
      <c r="D1277" s="7" t="n">
        <v>17</v>
      </c>
      <c r="E1277" s="7" t="n">
        <v>51900</v>
      </c>
      <c r="F1277" s="7" t="s">
        <v>138</v>
      </c>
      <c r="G1277" s="7" t="n">
        <v>2</v>
      </c>
      <c r="H1277" s="7" t="n">
        <v>3</v>
      </c>
      <c r="I1277" s="7" t="n">
        <v>17</v>
      </c>
      <c r="J1277" s="7" t="n">
        <v>51901</v>
      </c>
      <c r="K1277" s="7" t="s">
        <v>139</v>
      </c>
      <c r="L1277" s="7" t="n">
        <v>2</v>
      </c>
      <c r="M1277" s="7" t="n">
        <v>0</v>
      </c>
    </row>
    <row r="1278" spans="1:15">
      <c r="A1278" t="s">
        <v>4</v>
      </c>
      <c r="B1278" s="4" t="s">
        <v>5</v>
      </c>
    </row>
    <row r="1279" spans="1:15">
      <c r="A1279" t="n">
        <v>11709</v>
      </c>
      <c r="B1279" s="27" t="n">
        <v>28</v>
      </c>
    </row>
    <row r="1280" spans="1:15">
      <c r="A1280" t="s">
        <v>4</v>
      </c>
      <c r="B1280" s="4" t="s">
        <v>5</v>
      </c>
      <c r="C1280" s="4" t="s">
        <v>8</v>
      </c>
      <c r="D1280" s="4" t="s">
        <v>11</v>
      </c>
    </row>
    <row r="1281" spans="1:15">
      <c r="A1281" t="n">
        <v>11710</v>
      </c>
      <c r="B1281" s="67" t="n">
        <v>29</v>
      </c>
      <c r="C1281" s="7" t="s">
        <v>16</v>
      </c>
      <c r="D1281" s="7" t="n">
        <v>65533</v>
      </c>
    </row>
    <row r="1282" spans="1:15">
      <c r="A1282" t="s">
        <v>4</v>
      </c>
      <c r="B1282" s="4" t="s">
        <v>5</v>
      </c>
      <c r="C1282" s="4" t="s">
        <v>7</v>
      </c>
      <c r="D1282" s="4" t="s">
        <v>11</v>
      </c>
      <c r="E1282" s="4" t="s">
        <v>7</v>
      </c>
    </row>
    <row r="1283" spans="1:15">
      <c r="A1283" t="n">
        <v>11714</v>
      </c>
      <c r="B1283" s="13" t="n">
        <v>49</v>
      </c>
      <c r="C1283" s="7" t="n">
        <v>1</v>
      </c>
      <c r="D1283" s="7" t="n">
        <v>2000</v>
      </c>
      <c r="E1283" s="7" t="n">
        <v>0</v>
      </c>
    </row>
    <row r="1284" spans="1:15">
      <c r="A1284" t="s">
        <v>4</v>
      </c>
      <c r="B1284" s="4" t="s">
        <v>5</v>
      </c>
      <c r="C1284" s="4" t="s">
        <v>11</v>
      </c>
      <c r="D1284" s="4" t="s">
        <v>7</v>
      </c>
      <c r="E1284" s="4" t="s">
        <v>13</v>
      </c>
      <c r="F1284" s="4" t="s">
        <v>11</v>
      </c>
    </row>
    <row r="1285" spans="1:15">
      <c r="A1285" t="n">
        <v>11719</v>
      </c>
      <c r="B1285" s="56" t="n">
        <v>59</v>
      </c>
      <c r="C1285" s="7" t="n">
        <v>0</v>
      </c>
      <c r="D1285" s="7" t="n">
        <v>8</v>
      </c>
      <c r="E1285" s="7" t="n">
        <v>0.150000005960464</v>
      </c>
      <c r="F1285" s="7" t="n">
        <v>0</v>
      </c>
    </row>
    <row r="1286" spans="1:15">
      <c r="A1286" t="s">
        <v>4</v>
      </c>
      <c r="B1286" s="4" t="s">
        <v>5</v>
      </c>
      <c r="C1286" s="4" t="s">
        <v>11</v>
      </c>
    </row>
    <row r="1287" spans="1:15">
      <c r="A1287" t="n">
        <v>11729</v>
      </c>
      <c r="B1287" s="29" t="n">
        <v>16</v>
      </c>
      <c r="C1287" s="7" t="n">
        <v>1300</v>
      </c>
    </row>
    <row r="1288" spans="1:15">
      <c r="A1288" t="s">
        <v>4</v>
      </c>
      <c r="B1288" s="4" t="s">
        <v>5</v>
      </c>
      <c r="C1288" s="4" t="s">
        <v>11</v>
      </c>
      <c r="D1288" s="4" t="s">
        <v>7</v>
      </c>
      <c r="E1288" s="4" t="s">
        <v>13</v>
      </c>
      <c r="F1288" s="4" t="s">
        <v>11</v>
      </c>
    </row>
    <row r="1289" spans="1:15">
      <c r="A1289" t="n">
        <v>11732</v>
      </c>
      <c r="B1289" s="56" t="n">
        <v>59</v>
      </c>
      <c r="C1289" s="7" t="n">
        <v>0</v>
      </c>
      <c r="D1289" s="7" t="n">
        <v>255</v>
      </c>
      <c r="E1289" s="7" t="n">
        <v>0</v>
      </c>
      <c r="F1289" s="7" t="n">
        <v>0</v>
      </c>
    </row>
    <row r="1290" spans="1:15">
      <c r="A1290" t="s">
        <v>4</v>
      </c>
      <c r="B1290" s="4" t="s">
        <v>5</v>
      </c>
      <c r="C1290" s="4" t="s">
        <v>7</v>
      </c>
      <c r="D1290" s="4" t="s">
        <v>11</v>
      </c>
      <c r="E1290" s="4" t="s">
        <v>15</v>
      </c>
      <c r="F1290" s="4" t="s">
        <v>11</v>
      </c>
      <c r="G1290" s="4" t="s">
        <v>15</v>
      </c>
      <c r="H1290" s="4" t="s">
        <v>7</v>
      </c>
    </row>
    <row r="1291" spans="1:15">
      <c r="A1291" t="n">
        <v>11742</v>
      </c>
      <c r="B1291" s="13" t="n">
        <v>49</v>
      </c>
      <c r="C1291" s="7" t="n">
        <v>0</v>
      </c>
      <c r="D1291" s="7" t="n">
        <v>510</v>
      </c>
      <c r="E1291" s="7" t="n">
        <v>1056964608</v>
      </c>
      <c r="F1291" s="7" t="n">
        <v>500</v>
      </c>
      <c r="G1291" s="7" t="n">
        <v>450000</v>
      </c>
      <c r="H1291" s="7" t="n">
        <v>0</v>
      </c>
    </row>
    <row r="1292" spans="1:15">
      <c r="A1292" t="s">
        <v>4</v>
      </c>
      <c r="B1292" s="4" t="s">
        <v>5</v>
      </c>
      <c r="C1292" s="4" t="s">
        <v>11</v>
      </c>
    </row>
    <row r="1293" spans="1:15">
      <c r="A1293" t="n">
        <v>11757</v>
      </c>
      <c r="B1293" s="29" t="n">
        <v>16</v>
      </c>
      <c r="C1293" s="7" t="n">
        <v>500</v>
      </c>
    </row>
    <row r="1294" spans="1:15">
      <c r="A1294" t="s">
        <v>4</v>
      </c>
      <c r="B1294" s="4" t="s">
        <v>5</v>
      </c>
      <c r="C1294" s="4" t="s">
        <v>7</v>
      </c>
      <c r="D1294" s="4" t="s">
        <v>7</v>
      </c>
      <c r="E1294" s="4" t="s">
        <v>7</v>
      </c>
      <c r="F1294" s="4" t="s">
        <v>13</v>
      </c>
      <c r="G1294" s="4" t="s">
        <v>13</v>
      </c>
      <c r="H1294" s="4" t="s">
        <v>13</v>
      </c>
      <c r="I1294" s="4" t="s">
        <v>13</v>
      </c>
      <c r="J1294" s="4" t="s">
        <v>13</v>
      </c>
    </row>
    <row r="1295" spans="1:15">
      <c r="A1295" t="n">
        <v>11760</v>
      </c>
      <c r="B1295" s="25" t="n">
        <v>76</v>
      </c>
      <c r="C1295" s="7" t="n">
        <v>0</v>
      </c>
      <c r="D1295" s="7" t="n">
        <v>3</v>
      </c>
      <c r="E1295" s="7" t="n">
        <v>0</v>
      </c>
      <c r="F1295" s="7" t="n">
        <v>1</v>
      </c>
      <c r="G1295" s="7" t="n">
        <v>1</v>
      </c>
      <c r="H1295" s="7" t="n">
        <v>1</v>
      </c>
      <c r="I1295" s="7" t="n">
        <v>1</v>
      </c>
      <c r="J1295" s="7" t="n">
        <v>1000</v>
      </c>
    </row>
    <row r="1296" spans="1:15">
      <c r="A1296" t="s">
        <v>4</v>
      </c>
      <c r="B1296" s="4" t="s">
        <v>5</v>
      </c>
      <c r="C1296" s="4" t="s">
        <v>7</v>
      </c>
      <c r="D1296" s="4" t="s">
        <v>7</v>
      </c>
    </row>
    <row r="1297" spans="1:10">
      <c r="A1297" t="n">
        <v>11784</v>
      </c>
      <c r="B1297" s="26" t="n">
        <v>77</v>
      </c>
      <c r="C1297" s="7" t="n">
        <v>0</v>
      </c>
      <c r="D1297" s="7" t="n">
        <v>3</v>
      </c>
    </row>
    <row r="1298" spans="1:10">
      <c r="A1298" t="s">
        <v>4</v>
      </c>
      <c r="B1298" s="4" t="s">
        <v>5</v>
      </c>
      <c r="C1298" s="4" t="s">
        <v>11</v>
      </c>
    </row>
    <row r="1299" spans="1:10">
      <c r="A1299" t="n">
        <v>11787</v>
      </c>
      <c r="B1299" s="29" t="n">
        <v>16</v>
      </c>
      <c r="C1299" s="7" t="n">
        <v>1000</v>
      </c>
    </row>
    <row r="1300" spans="1:10">
      <c r="A1300" t="s">
        <v>4</v>
      </c>
      <c r="B1300" s="4" t="s">
        <v>5</v>
      </c>
      <c r="C1300" s="4" t="s">
        <v>7</v>
      </c>
      <c r="D1300" s="4" t="s">
        <v>7</v>
      </c>
      <c r="E1300" s="4" t="s">
        <v>7</v>
      </c>
      <c r="F1300" s="4" t="s">
        <v>7</v>
      </c>
    </row>
    <row r="1301" spans="1:10">
      <c r="A1301" t="n">
        <v>11790</v>
      </c>
      <c r="B1301" s="9" t="n">
        <v>14</v>
      </c>
      <c r="C1301" s="7" t="n">
        <v>0</v>
      </c>
      <c r="D1301" s="7" t="n">
        <v>128</v>
      </c>
      <c r="E1301" s="7" t="n">
        <v>0</v>
      </c>
      <c r="F1301" s="7" t="n">
        <v>0</v>
      </c>
    </row>
    <row r="1302" spans="1:10">
      <c r="A1302" t="s">
        <v>4</v>
      </c>
      <c r="B1302" s="4" t="s">
        <v>5</v>
      </c>
      <c r="C1302" s="4" t="s">
        <v>7</v>
      </c>
      <c r="D1302" s="4" t="s">
        <v>11</v>
      </c>
      <c r="E1302" s="4" t="s">
        <v>11</v>
      </c>
      <c r="F1302" s="4" t="s">
        <v>7</v>
      </c>
    </row>
    <row r="1303" spans="1:10">
      <c r="A1303" t="n">
        <v>11795</v>
      </c>
      <c r="B1303" s="31" t="n">
        <v>25</v>
      </c>
      <c r="C1303" s="7" t="n">
        <v>1</v>
      </c>
      <c r="D1303" s="7" t="n">
        <v>60</v>
      </c>
      <c r="E1303" s="7" t="n">
        <v>280</v>
      </c>
      <c r="F1303" s="7" t="n">
        <v>2</v>
      </c>
    </row>
    <row r="1304" spans="1:10">
      <c r="A1304" t="s">
        <v>4</v>
      </c>
      <c r="B1304" s="4" t="s">
        <v>5</v>
      </c>
      <c r="C1304" s="4" t="s">
        <v>8</v>
      </c>
      <c r="D1304" s="4" t="s">
        <v>11</v>
      </c>
    </row>
    <row r="1305" spans="1:10">
      <c r="A1305" t="n">
        <v>11802</v>
      </c>
      <c r="B1305" s="67" t="n">
        <v>29</v>
      </c>
      <c r="C1305" s="7" t="s">
        <v>140</v>
      </c>
      <c r="D1305" s="7" t="n">
        <v>65533</v>
      </c>
    </row>
    <row r="1306" spans="1:10">
      <c r="A1306" t="s">
        <v>4</v>
      </c>
      <c r="B1306" s="4" t="s">
        <v>5</v>
      </c>
      <c r="C1306" s="4" t="s">
        <v>7</v>
      </c>
      <c r="D1306" s="4" t="s">
        <v>11</v>
      </c>
      <c r="E1306" s="4" t="s">
        <v>8</v>
      </c>
    </row>
    <row r="1307" spans="1:10">
      <c r="A1307" t="n">
        <v>11818</v>
      </c>
      <c r="B1307" s="38" t="n">
        <v>51</v>
      </c>
      <c r="C1307" s="7" t="n">
        <v>4</v>
      </c>
      <c r="D1307" s="7" t="n">
        <v>1600</v>
      </c>
      <c r="E1307" s="7" t="s">
        <v>137</v>
      </c>
    </row>
    <row r="1308" spans="1:10">
      <c r="A1308" t="s">
        <v>4</v>
      </c>
      <c r="B1308" s="4" t="s">
        <v>5</v>
      </c>
      <c r="C1308" s="4" t="s">
        <v>11</v>
      </c>
    </row>
    <row r="1309" spans="1:10">
      <c r="A1309" t="n">
        <v>11831</v>
      </c>
      <c r="B1309" s="29" t="n">
        <v>16</v>
      </c>
      <c r="C1309" s="7" t="n">
        <v>0</v>
      </c>
    </row>
    <row r="1310" spans="1:10">
      <c r="A1310" t="s">
        <v>4</v>
      </c>
      <c r="B1310" s="4" t="s">
        <v>5</v>
      </c>
      <c r="C1310" s="4" t="s">
        <v>11</v>
      </c>
      <c r="D1310" s="4" t="s">
        <v>7</v>
      </c>
      <c r="E1310" s="4" t="s">
        <v>15</v>
      </c>
      <c r="F1310" s="4" t="s">
        <v>55</v>
      </c>
      <c r="G1310" s="4" t="s">
        <v>7</v>
      </c>
      <c r="H1310" s="4" t="s">
        <v>7</v>
      </c>
      <c r="I1310" s="4" t="s">
        <v>7</v>
      </c>
      <c r="J1310" s="4" t="s">
        <v>15</v>
      </c>
      <c r="K1310" s="4" t="s">
        <v>55</v>
      </c>
      <c r="L1310" s="4" t="s">
        <v>7</v>
      </c>
      <c r="M1310" s="4" t="s">
        <v>7</v>
      </c>
      <c r="N1310" s="4" t="s">
        <v>7</v>
      </c>
      <c r="O1310" s="4" t="s">
        <v>15</v>
      </c>
      <c r="P1310" s="4" t="s">
        <v>55</v>
      </c>
      <c r="Q1310" s="4" t="s">
        <v>7</v>
      </c>
      <c r="R1310" s="4" t="s">
        <v>7</v>
      </c>
      <c r="S1310" s="4" t="s">
        <v>7</v>
      </c>
      <c r="T1310" s="4" t="s">
        <v>15</v>
      </c>
      <c r="U1310" s="4" t="s">
        <v>55</v>
      </c>
      <c r="V1310" s="4" t="s">
        <v>7</v>
      </c>
      <c r="W1310" s="4" t="s">
        <v>7</v>
      </c>
    </row>
    <row r="1311" spans="1:10">
      <c r="A1311" t="n">
        <v>11834</v>
      </c>
      <c r="B1311" s="55" t="n">
        <v>26</v>
      </c>
      <c r="C1311" s="7" t="n">
        <v>1600</v>
      </c>
      <c r="D1311" s="7" t="n">
        <v>17</v>
      </c>
      <c r="E1311" s="7" t="n">
        <v>29516</v>
      </c>
      <c r="F1311" s="7" t="s">
        <v>141</v>
      </c>
      <c r="G1311" s="7" t="n">
        <v>2</v>
      </c>
      <c r="H1311" s="7" t="n">
        <v>3</v>
      </c>
      <c r="I1311" s="7" t="n">
        <v>17</v>
      </c>
      <c r="J1311" s="7" t="n">
        <v>29517</v>
      </c>
      <c r="K1311" s="7" t="s">
        <v>142</v>
      </c>
      <c r="L1311" s="7" t="n">
        <v>2</v>
      </c>
      <c r="M1311" s="7" t="n">
        <v>3</v>
      </c>
      <c r="N1311" s="7" t="n">
        <v>17</v>
      </c>
      <c r="O1311" s="7" t="n">
        <v>29518</v>
      </c>
      <c r="P1311" s="7" t="s">
        <v>143</v>
      </c>
      <c r="Q1311" s="7" t="n">
        <v>2</v>
      </c>
      <c r="R1311" s="7" t="n">
        <v>3</v>
      </c>
      <c r="S1311" s="7" t="n">
        <v>17</v>
      </c>
      <c r="T1311" s="7" t="n">
        <v>29519</v>
      </c>
      <c r="U1311" s="7" t="s">
        <v>144</v>
      </c>
      <c r="V1311" s="7" t="n">
        <v>2</v>
      </c>
      <c r="W1311" s="7" t="n">
        <v>0</v>
      </c>
    </row>
    <row r="1312" spans="1:10">
      <c r="A1312" t="s">
        <v>4</v>
      </c>
      <c r="B1312" s="4" t="s">
        <v>5</v>
      </c>
    </row>
    <row r="1313" spans="1:23">
      <c r="A1313" t="n">
        <v>12207</v>
      </c>
      <c r="B1313" s="27" t="n">
        <v>28</v>
      </c>
    </row>
    <row r="1314" spans="1:23">
      <c r="A1314" t="s">
        <v>4</v>
      </c>
      <c r="B1314" s="4" t="s">
        <v>5</v>
      </c>
      <c r="C1314" s="4" t="s">
        <v>8</v>
      </c>
      <c r="D1314" s="4" t="s">
        <v>11</v>
      </c>
    </row>
    <row r="1315" spans="1:23">
      <c r="A1315" t="n">
        <v>12208</v>
      </c>
      <c r="B1315" s="67" t="n">
        <v>29</v>
      </c>
      <c r="C1315" s="7" t="s">
        <v>16</v>
      </c>
      <c r="D1315" s="7" t="n">
        <v>65533</v>
      </c>
    </row>
    <row r="1316" spans="1:23">
      <c r="A1316" t="s">
        <v>4</v>
      </c>
      <c r="B1316" s="4" t="s">
        <v>5</v>
      </c>
      <c r="C1316" s="4" t="s">
        <v>15</v>
      </c>
    </row>
    <row r="1317" spans="1:23">
      <c r="A1317" t="n">
        <v>12212</v>
      </c>
      <c r="B1317" s="61" t="n">
        <v>15</v>
      </c>
      <c r="C1317" s="7" t="n">
        <v>32768</v>
      </c>
    </row>
    <row r="1318" spans="1:23">
      <c r="A1318" t="s">
        <v>4</v>
      </c>
      <c r="B1318" s="4" t="s">
        <v>5</v>
      </c>
      <c r="C1318" s="4" t="s">
        <v>7</v>
      </c>
      <c r="D1318" s="4" t="s">
        <v>11</v>
      </c>
      <c r="E1318" s="4" t="s">
        <v>7</v>
      </c>
    </row>
    <row r="1319" spans="1:23">
      <c r="A1319" t="n">
        <v>12217</v>
      </c>
      <c r="B1319" s="13" t="n">
        <v>49</v>
      </c>
      <c r="C1319" s="7" t="n">
        <v>1</v>
      </c>
      <c r="D1319" s="7" t="n">
        <v>2000</v>
      </c>
      <c r="E1319" s="7" t="n">
        <v>0</v>
      </c>
    </row>
    <row r="1320" spans="1:23">
      <c r="A1320" t="s">
        <v>4</v>
      </c>
      <c r="B1320" s="4" t="s">
        <v>5</v>
      </c>
      <c r="C1320" s="4" t="s">
        <v>11</v>
      </c>
    </row>
    <row r="1321" spans="1:23">
      <c r="A1321" t="n">
        <v>12222</v>
      </c>
      <c r="B1321" s="29" t="n">
        <v>16</v>
      </c>
      <c r="C1321" s="7" t="n">
        <v>1000</v>
      </c>
    </row>
    <row r="1322" spans="1:23">
      <c r="A1322" t="s">
        <v>4</v>
      </c>
      <c r="B1322" s="4" t="s">
        <v>5</v>
      </c>
      <c r="C1322" s="4" t="s">
        <v>7</v>
      </c>
      <c r="D1322" s="4" t="s">
        <v>11</v>
      </c>
      <c r="E1322" s="4" t="s">
        <v>11</v>
      </c>
      <c r="F1322" s="4" t="s">
        <v>7</v>
      </c>
    </row>
    <row r="1323" spans="1:23">
      <c r="A1323" t="n">
        <v>12225</v>
      </c>
      <c r="B1323" s="31" t="n">
        <v>25</v>
      </c>
      <c r="C1323" s="7" t="n">
        <v>1</v>
      </c>
      <c r="D1323" s="7" t="n">
        <v>65535</v>
      </c>
      <c r="E1323" s="7" t="n">
        <v>65535</v>
      </c>
      <c r="F1323" s="7" t="n">
        <v>0</v>
      </c>
    </row>
    <row r="1324" spans="1:23">
      <c r="A1324" t="s">
        <v>4</v>
      </c>
      <c r="B1324" s="4" t="s">
        <v>5</v>
      </c>
      <c r="C1324" s="4" t="s">
        <v>7</v>
      </c>
      <c r="D1324" s="4" t="s">
        <v>11</v>
      </c>
      <c r="E1324" s="4" t="s">
        <v>15</v>
      </c>
      <c r="F1324" s="4" t="s">
        <v>11</v>
      </c>
      <c r="G1324" s="4" t="s">
        <v>15</v>
      </c>
      <c r="H1324" s="4" t="s">
        <v>7</v>
      </c>
    </row>
    <row r="1325" spans="1:23">
      <c r="A1325" t="n">
        <v>12232</v>
      </c>
      <c r="B1325" s="13" t="n">
        <v>49</v>
      </c>
      <c r="C1325" s="7" t="n">
        <v>0</v>
      </c>
      <c r="D1325" s="7" t="n">
        <v>501</v>
      </c>
      <c r="E1325" s="7" t="n">
        <v>1065353216</v>
      </c>
      <c r="F1325" s="7" t="n">
        <v>1000</v>
      </c>
      <c r="G1325" s="7" t="n">
        <v>900000</v>
      </c>
      <c r="H1325" s="7" t="n">
        <v>0</v>
      </c>
    </row>
    <row r="1326" spans="1:23">
      <c r="A1326" t="s">
        <v>4</v>
      </c>
      <c r="B1326" s="4" t="s">
        <v>5</v>
      </c>
      <c r="C1326" s="4" t="s">
        <v>7</v>
      </c>
      <c r="D1326" s="4" t="s">
        <v>7</v>
      </c>
      <c r="E1326" s="4" t="s">
        <v>7</v>
      </c>
      <c r="F1326" s="4" t="s">
        <v>13</v>
      </c>
      <c r="G1326" s="4" t="s">
        <v>13</v>
      </c>
      <c r="H1326" s="4" t="s">
        <v>13</v>
      </c>
      <c r="I1326" s="4" t="s">
        <v>13</v>
      </c>
      <c r="J1326" s="4" t="s">
        <v>13</v>
      </c>
    </row>
    <row r="1327" spans="1:23">
      <c r="A1327" t="n">
        <v>12247</v>
      </c>
      <c r="B1327" s="25" t="n">
        <v>76</v>
      </c>
      <c r="C1327" s="7" t="n">
        <v>0</v>
      </c>
      <c r="D1327" s="7" t="n">
        <v>3</v>
      </c>
      <c r="E1327" s="7" t="n">
        <v>0</v>
      </c>
      <c r="F1327" s="7" t="n">
        <v>1</v>
      </c>
      <c r="G1327" s="7" t="n">
        <v>1</v>
      </c>
      <c r="H1327" s="7" t="n">
        <v>1</v>
      </c>
      <c r="I1327" s="7" t="n">
        <v>0</v>
      </c>
      <c r="J1327" s="7" t="n">
        <v>1000</v>
      </c>
    </row>
    <row r="1328" spans="1:23">
      <c r="A1328" t="s">
        <v>4</v>
      </c>
      <c r="B1328" s="4" t="s">
        <v>5</v>
      </c>
      <c r="C1328" s="4" t="s">
        <v>7</v>
      </c>
      <c r="D1328" s="4" t="s">
        <v>7</v>
      </c>
    </row>
    <row r="1329" spans="1:10">
      <c r="A1329" t="n">
        <v>12271</v>
      </c>
      <c r="B1329" s="26" t="n">
        <v>77</v>
      </c>
      <c r="C1329" s="7" t="n">
        <v>0</v>
      </c>
      <c r="D1329" s="7" t="n">
        <v>3</v>
      </c>
    </row>
    <row r="1330" spans="1:10">
      <c r="A1330" t="s">
        <v>4</v>
      </c>
      <c r="B1330" s="4" t="s">
        <v>5</v>
      </c>
      <c r="C1330" s="4" t="s">
        <v>11</v>
      </c>
    </row>
    <row r="1331" spans="1:10">
      <c r="A1331" t="n">
        <v>12274</v>
      </c>
      <c r="B1331" s="29" t="n">
        <v>16</v>
      </c>
      <c r="C1331" s="7" t="n">
        <v>300</v>
      </c>
    </row>
    <row r="1332" spans="1:10">
      <c r="A1332" t="s">
        <v>4</v>
      </c>
      <c r="B1332" s="4" t="s">
        <v>5</v>
      </c>
      <c r="C1332" s="4" t="s">
        <v>7</v>
      </c>
      <c r="D1332" s="4" t="s">
        <v>11</v>
      </c>
      <c r="E1332" s="4" t="s">
        <v>8</v>
      </c>
    </row>
    <row r="1333" spans="1:10">
      <c r="A1333" t="n">
        <v>12277</v>
      </c>
      <c r="B1333" s="38" t="n">
        <v>51</v>
      </c>
      <c r="C1333" s="7" t="n">
        <v>4</v>
      </c>
      <c r="D1333" s="7" t="n">
        <v>0</v>
      </c>
      <c r="E1333" s="7" t="s">
        <v>110</v>
      </c>
    </row>
    <row r="1334" spans="1:10">
      <c r="A1334" t="s">
        <v>4</v>
      </c>
      <c r="B1334" s="4" t="s">
        <v>5</v>
      </c>
      <c r="C1334" s="4" t="s">
        <v>11</v>
      </c>
    </row>
    <row r="1335" spans="1:10">
      <c r="A1335" t="n">
        <v>12292</v>
      </c>
      <c r="B1335" s="29" t="n">
        <v>16</v>
      </c>
      <c r="C1335" s="7" t="n">
        <v>0</v>
      </c>
    </row>
    <row r="1336" spans="1:10">
      <c r="A1336" t="s">
        <v>4</v>
      </c>
      <c r="B1336" s="4" t="s">
        <v>5</v>
      </c>
      <c r="C1336" s="4" t="s">
        <v>11</v>
      </c>
      <c r="D1336" s="4" t="s">
        <v>55</v>
      </c>
      <c r="E1336" s="4" t="s">
        <v>7</v>
      </c>
      <c r="F1336" s="4" t="s">
        <v>7</v>
      </c>
      <c r="G1336" s="4" t="s">
        <v>55</v>
      </c>
      <c r="H1336" s="4" t="s">
        <v>7</v>
      </c>
      <c r="I1336" s="4" t="s">
        <v>7</v>
      </c>
    </row>
    <row r="1337" spans="1:10">
      <c r="A1337" t="n">
        <v>12295</v>
      </c>
      <c r="B1337" s="55" t="n">
        <v>26</v>
      </c>
      <c r="C1337" s="7" t="n">
        <v>0</v>
      </c>
      <c r="D1337" s="7" t="s">
        <v>145</v>
      </c>
      <c r="E1337" s="7" t="n">
        <v>2</v>
      </c>
      <c r="F1337" s="7" t="n">
        <v>3</v>
      </c>
      <c r="G1337" s="7" t="s">
        <v>146</v>
      </c>
      <c r="H1337" s="7" t="n">
        <v>2</v>
      </c>
      <c r="I1337" s="7" t="n">
        <v>0</v>
      </c>
    </row>
    <row r="1338" spans="1:10">
      <c r="A1338" t="s">
        <v>4</v>
      </c>
      <c r="B1338" s="4" t="s">
        <v>5</v>
      </c>
    </row>
    <row r="1339" spans="1:10">
      <c r="A1339" t="n">
        <v>12465</v>
      </c>
      <c r="B1339" s="27" t="n">
        <v>28</v>
      </c>
    </row>
    <row r="1340" spans="1:10">
      <c r="A1340" t="s">
        <v>4</v>
      </c>
      <c r="B1340" s="4" t="s">
        <v>5</v>
      </c>
      <c r="C1340" s="4" t="s">
        <v>7</v>
      </c>
      <c r="D1340" s="4" t="s">
        <v>11</v>
      </c>
      <c r="E1340" s="4" t="s">
        <v>13</v>
      </c>
      <c r="F1340" s="4" t="s">
        <v>11</v>
      </c>
      <c r="G1340" s="4" t="s">
        <v>15</v>
      </c>
      <c r="H1340" s="4" t="s">
        <v>15</v>
      </c>
      <c r="I1340" s="4" t="s">
        <v>11</v>
      </c>
      <c r="J1340" s="4" t="s">
        <v>11</v>
      </c>
      <c r="K1340" s="4" t="s">
        <v>15</v>
      </c>
      <c r="L1340" s="4" t="s">
        <v>15</v>
      </c>
      <c r="M1340" s="4" t="s">
        <v>15</v>
      </c>
      <c r="N1340" s="4" t="s">
        <v>15</v>
      </c>
      <c r="O1340" s="4" t="s">
        <v>8</v>
      </c>
    </row>
    <row r="1341" spans="1:10">
      <c r="A1341" t="n">
        <v>12466</v>
      </c>
      <c r="B1341" s="57" t="n">
        <v>50</v>
      </c>
      <c r="C1341" s="7" t="n">
        <v>0</v>
      </c>
      <c r="D1341" s="7" t="n">
        <v>2072</v>
      </c>
      <c r="E1341" s="7" t="n">
        <v>1</v>
      </c>
      <c r="F1341" s="7" t="n">
        <v>0</v>
      </c>
      <c r="G1341" s="7" t="n">
        <v>0</v>
      </c>
      <c r="H1341" s="7" t="n">
        <v>0</v>
      </c>
      <c r="I1341" s="7" t="n">
        <v>0</v>
      </c>
      <c r="J1341" s="7" t="n">
        <v>65533</v>
      </c>
      <c r="K1341" s="7" t="n">
        <v>0</v>
      </c>
      <c r="L1341" s="7" t="n">
        <v>0</v>
      </c>
      <c r="M1341" s="7" t="n">
        <v>0</v>
      </c>
      <c r="N1341" s="7" t="n">
        <v>0</v>
      </c>
      <c r="O1341" s="7" t="s">
        <v>16</v>
      </c>
    </row>
    <row r="1342" spans="1:10">
      <c r="A1342" t="s">
        <v>4</v>
      </c>
      <c r="B1342" s="4" t="s">
        <v>5</v>
      </c>
      <c r="C1342" s="4" t="s">
        <v>11</v>
      </c>
    </row>
    <row r="1343" spans="1:10">
      <c r="A1343" t="n">
        <v>12505</v>
      </c>
      <c r="B1343" s="29" t="n">
        <v>16</v>
      </c>
      <c r="C1343" s="7" t="n">
        <v>500</v>
      </c>
    </row>
    <row r="1344" spans="1:10">
      <c r="A1344" t="s">
        <v>4</v>
      </c>
      <c r="B1344" s="4" t="s">
        <v>5</v>
      </c>
      <c r="C1344" s="4" t="s">
        <v>11</v>
      </c>
      <c r="D1344" s="4" t="s">
        <v>7</v>
      </c>
      <c r="E1344" s="4" t="s">
        <v>13</v>
      </c>
      <c r="F1344" s="4" t="s">
        <v>11</v>
      </c>
    </row>
    <row r="1345" spans="1:15">
      <c r="A1345" t="n">
        <v>12508</v>
      </c>
      <c r="B1345" s="56" t="n">
        <v>59</v>
      </c>
      <c r="C1345" s="7" t="n">
        <v>0</v>
      </c>
      <c r="D1345" s="7" t="n">
        <v>13</v>
      </c>
      <c r="E1345" s="7" t="n">
        <v>0.150000005960464</v>
      </c>
      <c r="F1345" s="7" t="n">
        <v>0</v>
      </c>
    </row>
    <row r="1346" spans="1:15">
      <c r="A1346" t="s">
        <v>4</v>
      </c>
      <c r="B1346" s="4" t="s">
        <v>5</v>
      </c>
      <c r="C1346" s="4" t="s">
        <v>11</v>
      </c>
    </row>
    <row r="1347" spans="1:15">
      <c r="A1347" t="n">
        <v>12518</v>
      </c>
      <c r="B1347" s="29" t="n">
        <v>16</v>
      </c>
      <c r="C1347" s="7" t="n">
        <v>1300</v>
      </c>
    </row>
    <row r="1348" spans="1:15">
      <c r="A1348" t="s">
        <v>4</v>
      </c>
      <c r="B1348" s="4" t="s">
        <v>5</v>
      </c>
      <c r="C1348" s="4" t="s">
        <v>7</v>
      </c>
      <c r="D1348" s="4" t="s">
        <v>11</v>
      </c>
      <c r="E1348" s="4" t="s">
        <v>8</v>
      </c>
    </row>
    <row r="1349" spans="1:15">
      <c r="A1349" t="n">
        <v>12521</v>
      </c>
      <c r="B1349" s="38" t="n">
        <v>51</v>
      </c>
      <c r="C1349" s="7" t="n">
        <v>4</v>
      </c>
      <c r="D1349" s="7" t="n">
        <v>0</v>
      </c>
      <c r="E1349" s="7" t="s">
        <v>147</v>
      </c>
    </row>
    <row r="1350" spans="1:15">
      <c r="A1350" t="s">
        <v>4</v>
      </c>
      <c r="B1350" s="4" t="s">
        <v>5</v>
      </c>
      <c r="C1350" s="4" t="s">
        <v>11</v>
      </c>
    </row>
    <row r="1351" spans="1:15">
      <c r="A1351" t="n">
        <v>12535</v>
      </c>
      <c r="B1351" s="29" t="n">
        <v>16</v>
      </c>
      <c r="C1351" s="7" t="n">
        <v>0</v>
      </c>
    </row>
    <row r="1352" spans="1:15">
      <c r="A1352" t="s">
        <v>4</v>
      </c>
      <c r="B1352" s="4" t="s">
        <v>5</v>
      </c>
      <c r="C1352" s="4" t="s">
        <v>11</v>
      </c>
      <c r="D1352" s="4" t="s">
        <v>55</v>
      </c>
      <c r="E1352" s="4" t="s">
        <v>7</v>
      </c>
      <c r="F1352" s="4" t="s">
        <v>7</v>
      </c>
    </row>
    <row r="1353" spans="1:15">
      <c r="A1353" t="n">
        <v>12538</v>
      </c>
      <c r="B1353" s="55" t="n">
        <v>26</v>
      </c>
      <c r="C1353" s="7" t="n">
        <v>0</v>
      </c>
      <c r="D1353" s="7" t="s">
        <v>148</v>
      </c>
      <c r="E1353" s="7" t="n">
        <v>2</v>
      </c>
      <c r="F1353" s="7" t="n">
        <v>0</v>
      </c>
    </row>
    <row r="1354" spans="1:15">
      <c r="A1354" t="s">
        <v>4</v>
      </c>
      <c r="B1354" s="4" t="s">
        <v>5</v>
      </c>
    </row>
    <row r="1355" spans="1:15">
      <c r="A1355" t="n">
        <v>12575</v>
      </c>
      <c r="B1355" s="27" t="n">
        <v>28</v>
      </c>
    </row>
    <row r="1356" spans="1:15">
      <c r="A1356" t="s">
        <v>4</v>
      </c>
      <c r="B1356" s="4" t="s">
        <v>5</v>
      </c>
      <c r="C1356" s="4" t="s">
        <v>7</v>
      </c>
      <c r="D1356" s="4" t="s">
        <v>11</v>
      </c>
      <c r="E1356" s="4" t="s">
        <v>13</v>
      </c>
      <c r="F1356" s="4" t="s">
        <v>11</v>
      </c>
      <c r="G1356" s="4" t="s">
        <v>15</v>
      </c>
      <c r="H1356" s="4" t="s">
        <v>15</v>
      </c>
      <c r="I1356" s="4" t="s">
        <v>11</v>
      </c>
      <c r="J1356" s="4" t="s">
        <v>11</v>
      </c>
      <c r="K1356" s="4" t="s">
        <v>15</v>
      </c>
      <c r="L1356" s="4" t="s">
        <v>15</v>
      </c>
      <c r="M1356" s="4" t="s">
        <v>15</v>
      </c>
      <c r="N1356" s="4" t="s">
        <v>15</v>
      </c>
      <c r="O1356" s="4" t="s">
        <v>8</v>
      </c>
    </row>
    <row r="1357" spans="1:15">
      <c r="A1357" t="n">
        <v>12576</v>
      </c>
      <c r="B1357" s="57" t="n">
        <v>50</v>
      </c>
      <c r="C1357" s="7" t="n">
        <v>0</v>
      </c>
      <c r="D1357" s="7" t="n">
        <v>2049</v>
      </c>
      <c r="E1357" s="7" t="n">
        <v>0.699999988079071</v>
      </c>
      <c r="F1357" s="7" t="n">
        <v>0</v>
      </c>
      <c r="G1357" s="7" t="n">
        <v>0</v>
      </c>
      <c r="H1357" s="7" t="n">
        <v>0</v>
      </c>
      <c r="I1357" s="7" t="n">
        <v>0</v>
      </c>
      <c r="J1357" s="7" t="n">
        <v>65533</v>
      </c>
      <c r="K1357" s="7" t="n">
        <v>0</v>
      </c>
      <c r="L1357" s="7" t="n">
        <v>0</v>
      </c>
      <c r="M1357" s="7" t="n">
        <v>0</v>
      </c>
      <c r="N1357" s="7" t="n">
        <v>0</v>
      </c>
      <c r="O1357" s="7" t="s">
        <v>16</v>
      </c>
    </row>
    <row r="1358" spans="1:15">
      <c r="A1358" t="s">
        <v>4</v>
      </c>
      <c r="B1358" s="4" t="s">
        <v>5</v>
      </c>
      <c r="C1358" s="4" t="s">
        <v>11</v>
      </c>
    </row>
    <row r="1359" spans="1:15">
      <c r="A1359" t="n">
        <v>12615</v>
      </c>
      <c r="B1359" s="29" t="n">
        <v>16</v>
      </c>
      <c r="C1359" s="7" t="n">
        <v>500</v>
      </c>
    </row>
    <row r="1360" spans="1:15">
      <c r="A1360" t="s">
        <v>4</v>
      </c>
      <c r="B1360" s="4" t="s">
        <v>5</v>
      </c>
      <c r="C1360" s="4" t="s">
        <v>7</v>
      </c>
      <c r="D1360" s="4" t="s">
        <v>11</v>
      </c>
      <c r="E1360" s="4" t="s">
        <v>13</v>
      </c>
    </row>
    <row r="1361" spans="1:15">
      <c r="A1361" t="n">
        <v>12618</v>
      </c>
      <c r="B1361" s="23" t="n">
        <v>58</v>
      </c>
      <c r="C1361" s="7" t="n">
        <v>101</v>
      </c>
      <c r="D1361" s="7" t="n">
        <v>300</v>
      </c>
      <c r="E1361" s="7" t="n">
        <v>1</v>
      </c>
    </row>
    <row r="1362" spans="1:15">
      <c r="A1362" t="s">
        <v>4</v>
      </c>
      <c r="B1362" s="4" t="s">
        <v>5</v>
      </c>
      <c r="C1362" s="4" t="s">
        <v>7</v>
      </c>
      <c r="D1362" s="4" t="s">
        <v>11</v>
      </c>
    </row>
    <row r="1363" spans="1:15">
      <c r="A1363" t="n">
        <v>12626</v>
      </c>
      <c r="B1363" s="23" t="n">
        <v>58</v>
      </c>
      <c r="C1363" s="7" t="n">
        <v>254</v>
      </c>
      <c r="D1363" s="7" t="n">
        <v>0</v>
      </c>
    </row>
    <row r="1364" spans="1:15">
      <c r="A1364" t="s">
        <v>4</v>
      </c>
      <c r="B1364" s="4" t="s">
        <v>5</v>
      </c>
      <c r="C1364" s="4" t="s">
        <v>11</v>
      </c>
      <c r="D1364" s="4" t="s">
        <v>13</v>
      </c>
      <c r="E1364" s="4" t="s">
        <v>13</v>
      </c>
      <c r="F1364" s="4" t="s">
        <v>13</v>
      </c>
      <c r="G1364" s="4" t="s">
        <v>13</v>
      </c>
    </row>
    <row r="1365" spans="1:15">
      <c r="A1365" t="n">
        <v>12630</v>
      </c>
      <c r="B1365" s="36" t="n">
        <v>46</v>
      </c>
      <c r="C1365" s="7" t="n">
        <v>0</v>
      </c>
      <c r="D1365" s="7" t="n">
        <v>1.0900000333786</v>
      </c>
      <c r="E1365" s="7" t="n">
        <v>5</v>
      </c>
      <c r="F1365" s="7" t="n">
        <v>34.5200004577637</v>
      </c>
      <c r="G1365" s="7" t="n">
        <v>240</v>
      </c>
    </row>
    <row r="1366" spans="1:15">
      <c r="A1366" t="s">
        <v>4</v>
      </c>
      <c r="B1366" s="4" t="s">
        <v>5</v>
      </c>
      <c r="C1366" s="4" t="s">
        <v>7</v>
      </c>
      <c r="D1366" s="4" t="s">
        <v>7</v>
      </c>
      <c r="E1366" s="4" t="s">
        <v>13</v>
      </c>
      <c r="F1366" s="4" t="s">
        <v>13</v>
      </c>
      <c r="G1366" s="4" t="s">
        <v>13</v>
      </c>
      <c r="H1366" s="4" t="s">
        <v>11</v>
      </c>
    </row>
    <row r="1367" spans="1:15">
      <c r="A1367" t="n">
        <v>12649</v>
      </c>
      <c r="B1367" s="51" t="n">
        <v>45</v>
      </c>
      <c r="C1367" s="7" t="n">
        <v>2</v>
      </c>
      <c r="D1367" s="7" t="n">
        <v>3</v>
      </c>
      <c r="E1367" s="7" t="n">
        <v>1.07000005245209</v>
      </c>
      <c r="F1367" s="7" t="n">
        <v>6.3899998664856</v>
      </c>
      <c r="G1367" s="7" t="n">
        <v>34.6500015258789</v>
      </c>
      <c r="H1367" s="7" t="n">
        <v>0</v>
      </c>
    </row>
    <row r="1368" spans="1:15">
      <c r="A1368" t="s">
        <v>4</v>
      </c>
      <c r="B1368" s="4" t="s">
        <v>5</v>
      </c>
      <c r="C1368" s="4" t="s">
        <v>7</v>
      </c>
      <c r="D1368" s="4" t="s">
        <v>7</v>
      </c>
      <c r="E1368" s="4" t="s">
        <v>13</v>
      </c>
      <c r="F1368" s="4" t="s">
        <v>13</v>
      </c>
      <c r="G1368" s="4" t="s">
        <v>13</v>
      </c>
      <c r="H1368" s="4" t="s">
        <v>11</v>
      </c>
      <c r="I1368" s="4" t="s">
        <v>7</v>
      </c>
    </row>
    <row r="1369" spans="1:15">
      <c r="A1369" t="n">
        <v>12666</v>
      </c>
      <c r="B1369" s="51" t="n">
        <v>45</v>
      </c>
      <c r="C1369" s="7" t="n">
        <v>4</v>
      </c>
      <c r="D1369" s="7" t="n">
        <v>3</v>
      </c>
      <c r="E1369" s="7" t="n">
        <v>1.74000000953674</v>
      </c>
      <c r="F1369" s="7" t="n">
        <v>213.539993286133</v>
      </c>
      <c r="G1369" s="7" t="n">
        <v>0</v>
      </c>
      <c r="H1369" s="7" t="n">
        <v>0</v>
      </c>
      <c r="I1369" s="7" t="n">
        <v>0</v>
      </c>
    </row>
    <row r="1370" spans="1:15">
      <c r="A1370" t="s">
        <v>4</v>
      </c>
      <c r="B1370" s="4" t="s">
        <v>5</v>
      </c>
      <c r="C1370" s="4" t="s">
        <v>7</v>
      </c>
      <c r="D1370" s="4" t="s">
        <v>7</v>
      </c>
      <c r="E1370" s="4" t="s">
        <v>13</v>
      </c>
      <c r="F1370" s="4" t="s">
        <v>11</v>
      </c>
    </row>
    <row r="1371" spans="1:15">
      <c r="A1371" t="n">
        <v>12684</v>
      </c>
      <c r="B1371" s="51" t="n">
        <v>45</v>
      </c>
      <c r="C1371" s="7" t="n">
        <v>5</v>
      </c>
      <c r="D1371" s="7" t="n">
        <v>3</v>
      </c>
      <c r="E1371" s="7" t="n">
        <v>2</v>
      </c>
      <c r="F1371" s="7" t="n">
        <v>0</v>
      </c>
    </row>
    <row r="1372" spans="1:15">
      <c r="A1372" t="s">
        <v>4</v>
      </c>
      <c r="B1372" s="4" t="s">
        <v>5</v>
      </c>
      <c r="C1372" s="4" t="s">
        <v>7</v>
      </c>
      <c r="D1372" s="4" t="s">
        <v>7</v>
      </c>
      <c r="E1372" s="4" t="s">
        <v>13</v>
      </c>
      <c r="F1372" s="4" t="s">
        <v>11</v>
      </c>
    </row>
    <row r="1373" spans="1:15">
      <c r="A1373" t="n">
        <v>12693</v>
      </c>
      <c r="B1373" s="51" t="n">
        <v>45</v>
      </c>
      <c r="C1373" s="7" t="n">
        <v>11</v>
      </c>
      <c r="D1373" s="7" t="n">
        <v>3</v>
      </c>
      <c r="E1373" s="7" t="n">
        <v>30.6000003814697</v>
      </c>
      <c r="F1373" s="7" t="n">
        <v>0</v>
      </c>
    </row>
    <row r="1374" spans="1:15">
      <c r="A1374" t="s">
        <v>4</v>
      </c>
      <c r="B1374" s="4" t="s">
        <v>5</v>
      </c>
      <c r="C1374" s="4" t="s">
        <v>7</v>
      </c>
      <c r="D1374" s="4" t="s">
        <v>11</v>
      </c>
      <c r="E1374" s="4" t="s">
        <v>8</v>
      </c>
      <c r="F1374" s="4" t="s">
        <v>8</v>
      </c>
      <c r="G1374" s="4" t="s">
        <v>8</v>
      </c>
      <c r="H1374" s="4" t="s">
        <v>8</v>
      </c>
    </row>
    <row r="1375" spans="1:15">
      <c r="A1375" t="n">
        <v>12702</v>
      </c>
      <c r="B1375" s="38" t="n">
        <v>51</v>
      </c>
      <c r="C1375" s="7" t="n">
        <v>3</v>
      </c>
      <c r="D1375" s="7" t="n">
        <v>0</v>
      </c>
      <c r="E1375" s="7" t="s">
        <v>135</v>
      </c>
      <c r="F1375" s="7" t="s">
        <v>79</v>
      </c>
      <c r="G1375" s="7" t="s">
        <v>78</v>
      </c>
      <c r="H1375" s="7" t="s">
        <v>79</v>
      </c>
    </row>
    <row r="1376" spans="1:15">
      <c r="A1376" t="s">
        <v>4</v>
      </c>
      <c r="B1376" s="4" t="s">
        <v>5</v>
      </c>
      <c r="C1376" s="4" t="s">
        <v>11</v>
      </c>
      <c r="D1376" s="4" t="s">
        <v>7</v>
      </c>
      <c r="E1376" s="4" t="s">
        <v>8</v>
      </c>
      <c r="F1376" s="4" t="s">
        <v>13</v>
      </c>
      <c r="G1376" s="4" t="s">
        <v>13</v>
      </c>
      <c r="H1376" s="4" t="s">
        <v>13</v>
      </c>
    </row>
    <row r="1377" spans="1:9">
      <c r="A1377" t="n">
        <v>12722</v>
      </c>
      <c r="B1377" s="42" t="n">
        <v>48</v>
      </c>
      <c r="C1377" s="7" t="n">
        <v>0</v>
      </c>
      <c r="D1377" s="7" t="n">
        <v>0</v>
      </c>
      <c r="E1377" s="7" t="s">
        <v>149</v>
      </c>
      <c r="F1377" s="7" t="n">
        <v>-1</v>
      </c>
      <c r="G1377" s="7" t="n">
        <v>1</v>
      </c>
      <c r="H1377" s="7" t="n">
        <v>0</v>
      </c>
    </row>
    <row r="1378" spans="1:9">
      <c r="A1378" t="s">
        <v>4</v>
      </c>
      <c r="B1378" s="4" t="s">
        <v>5</v>
      </c>
      <c r="C1378" s="4" t="s">
        <v>11</v>
      </c>
      <c r="D1378" s="4" t="s">
        <v>7</v>
      </c>
      <c r="E1378" s="4" t="s">
        <v>8</v>
      </c>
      <c r="F1378" s="4" t="s">
        <v>13</v>
      </c>
      <c r="G1378" s="4" t="s">
        <v>13</v>
      </c>
      <c r="H1378" s="4" t="s">
        <v>13</v>
      </c>
    </row>
    <row r="1379" spans="1:9">
      <c r="A1379" t="n">
        <v>12754</v>
      </c>
      <c r="B1379" s="42" t="n">
        <v>48</v>
      </c>
      <c r="C1379" s="7" t="n">
        <v>0</v>
      </c>
      <c r="D1379" s="7" t="n">
        <v>0</v>
      </c>
      <c r="E1379" s="7" t="s">
        <v>132</v>
      </c>
      <c r="F1379" s="7" t="n">
        <v>-1</v>
      </c>
      <c r="G1379" s="7" t="n">
        <v>1</v>
      </c>
      <c r="H1379" s="7" t="n">
        <v>0</v>
      </c>
    </row>
    <row r="1380" spans="1:9">
      <c r="A1380" t="s">
        <v>4</v>
      </c>
      <c r="B1380" s="4" t="s">
        <v>5</v>
      </c>
      <c r="C1380" s="4" t="s">
        <v>7</v>
      </c>
      <c r="D1380" s="4" t="s">
        <v>11</v>
      </c>
    </row>
    <row r="1381" spans="1:9">
      <c r="A1381" t="n">
        <v>12780</v>
      </c>
      <c r="B1381" s="23" t="n">
        <v>58</v>
      </c>
      <c r="C1381" s="7" t="n">
        <v>255</v>
      </c>
      <c r="D1381" s="7" t="n">
        <v>0</v>
      </c>
    </row>
    <row r="1382" spans="1:9">
      <c r="A1382" t="s">
        <v>4</v>
      </c>
      <c r="B1382" s="4" t="s">
        <v>5</v>
      </c>
      <c r="C1382" s="4" t="s">
        <v>11</v>
      </c>
    </row>
    <row r="1383" spans="1:9">
      <c r="A1383" t="n">
        <v>12784</v>
      </c>
      <c r="B1383" s="29" t="n">
        <v>16</v>
      </c>
      <c r="C1383" s="7" t="n">
        <v>333</v>
      </c>
    </row>
    <row r="1384" spans="1:9">
      <c r="A1384" t="s">
        <v>4</v>
      </c>
      <c r="B1384" s="4" t="s">
        <v>5</v>
      </c>
      <c r="C1384" s="4" t="s">
        <v>7</v>
      </c>
      <c r="D1384" s="4" t="s">
        <v>11</v>
      </c>
      <c r="E1384" s="4" t="s">
        <v>11</v>
      </c>
    </row>
    <row r="1385" spans="1:9">
      <c r="A1385" t="n">
        <v>12787</v>
      </c>
      <c r="B1385" s="57" t="n">
        <v>50</v>
      </c>
      <c r="C1385" s="7" t="n">
        <v>1</v>
      </c>
      <c r="D1385" s="7" t="n">
        <v>2072</v>
      </c>
      <c r="E1385" s="7" t="n">
        <v>0</v>
      </c>
    </row>
    <row r="1386" spans="1:9">
      <c r="A1386" t="s">
        <v>4</v>
      </c>
      <c r="B1386" s="4" t="s">
        <v>5</v>
      </c>
      <c r="C1386" s="4" t="s">
        <v>7</v>
      </c>
      <c r="D1386" s="4" t="s">
        <v>11</v>
      </c>
      <c r="E1386" s="4" t="s">
        <v>13</v>
      </c>
      <c r="F1386" s="4" t="s">
        <v>11</v>
      </c>
      <c r="G1386" s="4" t="s">
        <v>15</v>
      </c>
      <c r="H1386" s="4" t="s">
        <v>15</v>
      </c>
      <c r="I1386" s="4" t="s">
        <v>11</v>
      </c>
      <c r="J1386" s="4" t="s">
        <v>11</v>
      </c>
      <c r="K1386" s="4" t="s">
        <v>15</v>
      </c>
      <c r="L1386" s="4" t="s">
        <v>15</v>
      </c>
      <c r="M1386" s="4" t="s">
        <v>15</v>
      </c>
      <c r="N1386" s="4" t="s">
        <v>15</v>
      </c>
      <c r="O1386" s="4" t="s">
        <v>8</v>
      </c>
    </row>
    <row r="1387" spans="1:9">
      <c r="A1387" t="n">
        <v>12793</v>
      </c>
      <c r="B1387" s="57" t="n">
        <v>50</v>
      </c>
      <c r="C1387" s="7" t="n">
        <v>0</v>
      </c>
      <c r="D1387" s="7" t="n">
        <v>2073</v>
      </c>
      <c r="E1387" s="7" t="n">
        <v>1</v>
      </c>
      <c r="F1387" s="7" t="n">
        <v>0</v>
      </c>
      <c r="G1387" s="7" t="n">
        <v>0</v>
      </c>
      <c r="H1387" s="7" t="n">
        <v>0</v>
      </c>
      <c r="I1387" s="7" t="n">
        <v>0</v>
      </c>
      <c r="J1387" s="7" t="n">
        <v>65533</v>
      </c>
      <c r="K1387" s="7" t="n">
        <v>0</v>
      </c>
      <c r="L1387" s="7" t="n">
        <v>0</v>
      </c>
      <c r="M1387" s="7" t="n">
        <v>0</v>
      </c>
      <c r="N1387" s="7" t="n">
        <v>0</v>
      </c>
      <c r="O1387" s="7" t="s">
        <v>16</v>
      </c>
    </row>
    <row r="1388" spans="1:9">
      <c r="A1388" t="s">
        <v>4</v>
      </c>
      <c r="B1388" s="4" t="s">
        <v>5</v>
      </c>
      <c r="C1388" s="4" t="s">
        <v>11</v>
      </c>
    </row>
    <row r="1389" spans="1:9">
      <c r="A1389" t="n">
        <v>12832</v>
      </c>
      <c r="B1389" s="29" t="n">
        <v>16</v>
      </c>
      <c r="C1389" s="7" t="n">
        <v>1000</v>
      </c>
    </row>
    <row r="1390" spans="1:9">
      <c r="A1390" t="s">
        <v>4</v>
      </c>
      <c r="B1390" s="4" t="s">
        <v>5</v>
      </c>
      <c r="C1390" s="4" t="s">
        <v>7</v>
      </c>
      <c r="D1390" s="4" t="s">
        <v>11</v>
      </c>
      <c r="E1390" s="4" t="s">
        <v>8</v>
      </c>
    </row>
    <row r="1391" spans="1:9">
      <c r="A1391" t="n">
        <v>12835</v>
      </c>
      <c r="B1391" s="38" t="n">
        <v>51</v>
      </c>
      <c r="C1391" s="7" t="n">
        <v>4</v>
      </c>
      <c r="D1391" s="7" t="n">
        <v>0</v>
      </c>
      <c r="E1391" s="7" t="s">
        <v>137</v>
      </c>
    </row>
    <row r="1392" spans="1:9">
      <c r="A1392" t="s">
        <v>4</v>
      </c>
      <c r="B1392" s="4" t="s">
        <v>5</v>
      </c>
      <c r="C1392" s="4" t="s">
        <v>11</v>
      </c>
    </row>
    <row r="1393" spans="1:15">
      <c r="A1393" t="n">
        <v>12848</v>
      </c>
      <c r="B1393" s="29" t="n">
        <v>16</v>
      </c>
      <c r="C1393" s="7" t="n">
        <v>0</v>
      </c>
    </row>
    <row r="1394" spans="1:15">
      <c r="A1394" t="s">
        <v>4</v>
      </c>
      <c r="B1394" s="4" t="s">
        <v>5</v>
      </c>
      <c r="C1394" s="4" t="s">
        <v>11</v>
      </c>
      <c r="D1394" s="4" t="s">
        <v>55</v>
      </c>
      <c r="E1394" s="4" t="s">
        <v>7</v>
      </c>
      <c r="F1394" s="4" t="s">
        <v>7</v>
      </c>
    </row>
    <row r="1395" spans="1:15">
      <c r="A1395" t="n">
        <v>12851</v>
      </c>
      <c r="B1395" s="55" t="n">
        <v>26</v>
      </c>
      <c r="C1395" s="7" t="n">
        <v>0</v>
      </c>
      <c r="D1395" s="7" t="s">
        <v>150</v>
      </c>
      <c r="E1395" s="7" t="n">
        <v>2</v>
      </c>
      <c r="F1395" s="7" t="n">
        <v>0</v>
      </c>
    </row>
    <row r="1396" spans="1:15">
      <c r="A1396" t="s">
        <v>4</v>
      </c>
      <c r="B1396" s="4" t="s">
        <v>5</v>
      </c>
    </row>
    <row r="1397" spans="1:15">
      <c r="A1397" t="n">
        <v>12862</v>
      </c>
      <c r="B1397" s="27" t="n">
        <v>28</v>
      </c>
    </row>
    <row r="1398" spans="1:15">
      <c r="A1398" t="s">
        <v>4</v>
      </c>
      <c r="B1398" s="4" t="s">
        <v>5</v>
      </c>
      <c r="C1398" s="4" t="s">
        <v>11</v>
      </c>
      <c r="D1398" s="4" t="s">
        <v>7</v>
      </c>
    </row>
    <row r="1399" spans="1:15">
      <c r="A1399" t="n">
        <v>12863</v>
      </c>
      <c r="B1399" s="68" t="n">
        <v>89</v>
      </c>
      <c r="C1399" s="7" t="n">
        <v>0</v>
      </c>
      <c r="D1399" s="7" t="n">
        <v>1</v>
      </c>
    </row>
    <row r="1400" spans="1:15">
      <c r="A1400" t="s">
        <v>4</v>
      </c>
      <c r="B1400" s="4" t="s">
        <v>5</v>
      </c>
      <c r="C1400" s="4" t="s">
        <v>7</v>
      </c>
      <c r="D1400" s="4" t="s">
        <v>11</v>
      </c>
      <c r="E1400" s="4" t="s">
        <v>7</v>
      </c>
    </row>
    <row r="1401" spans="1:15">
      <c r="A1401" t="n">
        <v>12867</v>
      </c>
      <c r="B1401" s="13" t="n">
        <v>49</v>
      </c>
      <c r="C1401" s="7" t="n">
        <v>1</v>
      </c>
      <c r="D1401" s="7" t="n">
        <v>4000</v>
      </c>
      <c r="E1401" s="7" t="n">
        <v>0</v>
      </c>
    </row>
    <row r="1402" spans="1:15">
      <c r="A1402" t="s">
        <v>4</v>
      </c>
      <c r="B1402" s="4" t="s">
        <v>5</v>
      </c>
      <c r="C1402" s="4" t="s">
        <v>7</v>
      </c>
      <c r="D1402" s="4" t="s">
        <v>11</v>
      </c>
      <c r="E1402" s="4" t="s">
        <v>11</v>
      </c>
      <c r="F1402" s="4" t="s">
        <v>7</v>
      </c>
    </row>
    <row r="1403" spans="1:15">
      <c r="A1403" t="n">
        <v>12872</v>
      </c>
      <c r="B1403" s="31" t="n">
        <v>25</v>
      </c>
      <c r="C1403" s="7" t="n">
        <v>1</v>
      </c>
      <c r="D1403" s="7" t="n">
        <v>100</v>
      </c>
      <c r="E1403" s="7" t="n">
        <v>80</v>
      </c>
      <c r="F1403" s="7" t="n">
        <v>0</v>
      </c>
    </row>
    <row r="1404" spans="1:15">
      <c r="A1404" t="s">
        <v>4</v>
      </c>
      <c r="B1404" s="4" t="s">
        <v>5</v>
      </c>
      <c r="C1404" s="4" t="s">
        <v>8</v>
      </c>
      <c r="D1404" s="4" t="s">
        <v>11</v>
      </c>
    </row>
    <row r="1405" spans="1:15">
      <c r="A1405" t="n">
        <v>12879</v>
      </c>
      <c r="B1405" s="67" t="n">
        <v>29</v>
      </c>
      <c r="C1405" s="7" t="s">
        <v>151</v>
      </c>
      <c r="D1405" s="7" t="n">
        <v>65533</v>
      </c>
    </row>
    <row r="1406" spans="1:15">
      <c r="A1406" t="s">
        <v>4</v>
      </c>
      <c r="B1406" s="4" t="s">
        <v>5</v>
      </c>
      <c r="C1406" s="4" t="s">
        <v>7</v>
      </c>
      <c r="D1406" s="4" t="s">
        <v>11</v>
      </c>
      <c r="E1406" s="4" t="s">
        <v>8</v>
      </c>
    </row>
    <row r="1407" spans="1:15">
      <c r="A1407" t="n">
        <v>12895</v>
      </c>
      <c r="B1407" s="38" t="n">
        <v>51</v>
      </c>
      <c r="C1407" s="7" t="n">
        <v>4</v>
      </c>
      <c r="D1407" s="7" t="n">
        <v>1600</v>
      </c>
      <c r="E1407" s="7" t="s">
        <v>152</v>
      </c>
    </row>
    <row r="1408" spans="1:15">
      <c r="A1408" t="s">
        <v>4</v>
      </c>
      <c r="B1408" s="4" t="s">
        <v>5</v>
      </c>
      <c r="C1408" s="4" t="s">
        <v>11</v>
      </c>
    </row>
    <row r="1409" spans="1:6">
      <c r="A1409" t="n">
        <v>12905</v>
      </c>
      <c r="B1409" s="29" t="n">
        <v>16</v>
      </c>
      <c r="C1409" s="7" t="n">
        <v>0</v>
      </c>
    </row>
    <row r="1410" spans="1:6">
      <c r="A1410" t="s">
        <v>4</v>
      </c>
      <c r="B1410" s="4" t="s">
        <v>5</v>
      </c>
      <c r="C1410" s="4" t="s">
        <v>11</v>
      </c>
      <c r="D1410" s="4" t="s">
        <v>7</v>
      </c>
      <c r="E1410" s="4" t="s">
        <v>15</v>
      </c>
      <c r="F1410" s="4" t="s">
        <v>55</v>
      </c>
      <c r="G1410" s="4" t="s">
        <v>7</v>
      </c>
      <c r="H1410" s="4" t="s">
        <v>7</v>
      </c>
    </row>
    <row r="1411" spans="1:6">
      <c r="A1411" t="n">
        <v>12908</v>
      </c>
      <c r="B1411" s="55" t="n">
        <v>26</v>
      </c>
      <c r="C1411" s="7" t="n">
        <v>1600</v>
      </c>
      <c r="D1411" s="7" t="n">
        <v>17</v>
      </c>
      <c r="E1411" s="7" t="n">
        <v>16425</v>
      </c>
      <c r="F1411" s="7" t="s">
        <v>153</v>
      </c>
      <c r="G1411" s="7" t="n">
        <v>2</v>
      </c>
      <c r="H1411" s="7" t="n">
        <v>0</v>
      </c>
    </row>
    <row r="1412" spans="1:6">
      <c r="A1412" t="s">
        <v>4</v>
      </c>
      <c r="B1412" s="4" t="s">
        <v>5</v>
      </c>
    </row>
    <row r="1413" spans="1:6">
      <c r="A1413" t="n">
        <v>12962</v>
      </c>
      <c r="B1413" s="27" t="n">
        <v>28</v>
      </c>
    </row>
    <row r="1414" spans="1:6">
      <c r="A1414" t="s">
        <v>4</v>
      </c>
      <c r="B1414" s="4" t="s">
        <v>5</v>
      </c>
      <c r="C1414" s="4" t="s">
        <v>11</v>
      </c>
      <c r="D1414" s="4" t="s">
        <v>7</v>
      </c>
    </row>
    <row r="1415" spans="1:6">
      <c r="A1415" t="n">
        <v>12963</v>
      </c>
      <c r="B1415" s="68" t="n">
        <v>89</v>
      </c>
      <c r="C1415" s="7" t="n">
        <v>65533</v>
      </c>
      <c r="D1415" s="7" t="n">
        <v>1</v>
      </c>
    </row>
    <row r="1416" spans="1:6">
      <c r="A1416" t="s">
        <v>4</v>
      </c>
      <c r="B1416" s="4" t="s">
        <v>5</v>
      </c>
      <c r="C1416" s="4" t="s">
        <v>7</v>
      </c>
      <c r="D1416" s="4" t="s">
        <v>11</v>
      </c>
      <c r="E1416" s="4" t="s">
        <v>11</v>
      </c>
      <c r="F1416" s="4" t="s">
        <v>7</v>
      </c>
    </row>
    <row r="1417" spans="1:6">
      <c r="A1417" t="n">
        <v>12967</v>
      </c>
      <c r="B1417" s="31" t="n">
        <v>25</v>
      </c>
      <c r="C1417" s="7" t="n">
        <v>1</v>
      </c>
      <c r="D1417" s="7" t="n">
        <v>65535</v>
      </c>
      <c r="E1417" s="7" t="n">
        <v>65535</v>
      </c>
      <c r="F1417" s="7" t="n">
        <v>0</v>
      </c>
    </row>
    <row r="1418" spans="1:6">
      <c r="A1418" t="s">
        <v>4</v>
      </c>
      <c r="B1418" s="4" t="s">
        <v>5</v>
      </c>
      <c r="C1418" s="4" t="s">
        <v>8</v>
      </c>
      <c r="D1418" s="4" t="s">
        <v>11</v>
      </c>
    </row>
    <row r="1419" spans="1:6">
      <c r="A1419" t="n">
        <v>12974</v>
      </c>
      <c r="B1419" s="67" t="n">
        <v>29</v>
      </c>
      <c r="C1419" s="7" t="s">
        <v>16</v>
      </c>
      <c r="D1419" s="7" t="n">
        <v>65533</v>
      </c>
    </row>
    <row r="1420" spans="1:6">
      <c r="A1420" t="s">
        <v>4</v>
      </c>
      <c r="B1420" s="4" t="s">
        <v>5</v>
      </c>
      <c r="C1420" s="4" t="s">
        <v>7</v>
      </c>
      <c r="D1420" s="4" t="s">
        <v>11</v>
      </c>
      <c r="E1420" s="4" t="s">
        <v>8</v>
      </c>
      <c r="F1420" s="4" t="s">
        <v>8</v>
      </c>
      <c r="G1420" s="4" t="s">
        <v>8</v>
      </c>
      <c r="H1420" s="4" t="s">
        <v>8</v>
      </c>
    </row>
    <row r="1421" spans="1:6">
      <c r="A1421" t="n">
        <v>12978</v>
      </c>
      <c r="B1421" s="38" t="n">
        <v>51</v>
      </c>
      <c r="C1421" s="7" t="n">
        <v>3</v>
      </c>
      <c r="D1421" s="7" t="n">
        <v>0</v>
      </c>
      <c r="E1421" s="7" t="s">
        <v>154</v>
      </c>
      <c r="F1421" s="7" t="s">
        <v>155</v>
      </c>
      <c r="G1421" s="7" t="s">
        <v>78</v>
      </c>
      <c r="H1421" s="7" t="s">
        <v>79</v>
      </c>
    </row>
    <row r="1422" spans="1:6">
      <c r="A1422" t="s">
        <v>4</v>
      </c>
      <c r="B1422" s="4" t="s">
        <v>5</v>
      </c>
      <c r="C1422" s="4" t="s">
        <v>11</v>
      </c>
      <c r="D1422" s="4" t="s">
        <v>7</v>
      </c>
      <c r="E1422" s="4" t="s">
        <v>13</v>
      </c>
      <c r="F1422" s="4" t="s">
        <v>11</v>
      </c>
    </row>
    <row r="1423" spans="1:6">
      <c r="A1423" t="n">
        <v>12991</v>
      </c>
      <c r="B1423" s="56" t="n">
        <v>59</v>
      </c>
      <c r="C1423" s="7" t="n">
        <v>0</v>
      </c>
      <c r="D1423" s="7" t="n">
        <v>1</v>
      </c>
      <c r="E1423" s="7" t="n">
        <v>0.150000005960464</v>
      </c>
      <c r="F1423" s="7" t="n">
        <v>0</v>
      </c>
    </row>
    <row r="1424" spans="1:6">
      <c r="A1424" t="s">
        <v>4</v>
      </c>
      <c r="B1424" s="4" t="s">
        <v>5</v>
      </c>
      <c r="C1424" s="4" t="s">
        <v>11</v>
      </c>
    </row>
    <row r="1425" spans="1:8">
      <c r="A1425" t="n">
        <v>13001</v>
      </c>
      <c r="B1425" s="29" t="n">
        <v>16</v>
      </c>
      <c r="C1425" s="7" t="n">
        <v>1300</v>
      </c>
    </row>
    <row r="1426" spans="1:8">
      <c r="A1426" t="s">
        <v>4</v>
      </c>
      <c r="B1426" s="4" t="s">
        <v>5</v>
      </c>
      <c r="C1426" s="4" t="s">
        <v>7</v>
      </c>
      <c r="D1426" s="4" t="s">
        <v>11</v>
      </c>
      <c r="E1426" s="4" t="s">
        <v>8</v>
      </c>
    </row>
    <row r="1427" spans="1:8">
      <c r="A1427" t="n">
        <v>13004</v>
      </c>
      <c r="B1427" s="38" t="n">
        <v>51</v>
      </c>
      <c r="C1427" s="7" t="n">
        <v>4</v>
      </c>
      <c r="D1427" s="7" t="n">
        <v>0</v>
      </c>
      <c r="E1427" s="7" t="s">
        <v>147</v>
      </c>
    </row>
    <row r="1428" spans="1:8">
      <c r="A1428" t="s">
        <v>4</v>
      </c>
      <c r="B1428" s="4" t="s">
        <v>5</v>
      </c>
      <c r="C1428" s="4" t="s">
        <v>11</v>
      </c>
    </row>
    <row r="1429" spans="1:8">
      <c r="A1429" t="n">
        <v>13018</v>
      </c>
      <c r="B1429" s="29" t="n">
        <v>16</v>
      </c>
      <c r="C1429" s="7" t="n">
        <v>0</v>
      </c>
    </row>
    <row r="1430" spans="1:8">
      <c r="A1430" t="s">
        <v>4</v>
      </c>
      <c r="B1430" s="4" t="s">
        <v>5</v>
      </c>
      <c r="C1430" s="4" t="s">
        <v>11</v>
      </c>
      <c r="D1430" s="4" t="s">
        <v>55</v>
      </c>
      <c r="E1430" s="4" t="s">
        <v>7</v>
      </c>
      <c r="F1430" s="4" t="s">
        <v>7</v>
      </c>
    </row>
    <row r="1431" spans="1:8">
      <c r="A1431" t="n">
        <v>13021</v>
      </c>
      <c r="B1431" s="55" t="n">
        <v>26</v>
      </c>
      <c r="C1431" s="7" t="n">
        <v>0</v>
      </c>
      <c r="D1431" s="7" t="s">
        <v>156</v>
      </c>
      <c r="E1431" s="7" t="n">
        <v>2</v>
      </c>
      <c r="F1431" s="7" t="n">
        <v>0</v>
      </c>
    </row>
    <row r="1432" spans="1:8">
      <c r="A1432" t="s">
        <v>4</v>
      </c>
      <c r="B1432" s="4" t="s">
        <v>5</v>
      </c>
    </row>
    <row r="1433" spans="1:8">
      <c r="A1433" t="n">
        <v>13032</v>
      </c>
      <c r="B1433" s="27" t="n">
        <v>28</v>
      </c>
    </row>
    <row r="1434" spans="1:8">
      <c r="A1434" t="s">
        <v>4</v>
      </c>
      <c r="B1434" s="4" t="s">
        <v>5</v>
      </c>
      <c r="C1434" s="4" t="s">
        <v>11</v>
      </c>
      <c r="D1434" s="4" t="s">
        <v>7</v>
      </c>
    </row>
    <row r="1435" spans="1:8">
      <c r="A1435" t="n">
        <v>13033</v>
      </c>
      <c r="B1435" s="68" t="n">
        <v>89</v>
      </c>
      <c r="C1435" s="7" t="n">
        <v>65533</v>
      </c>
      <c r="D1435" s="7" t="n">
        <v>1</v>
      </c>
    </row>
    <row r="1436" spans="1:8">
      <c r="A1436" t="s">
        <v>4</v>
      </c>
      <c r="B1436" s="4" t="s">
        <v>5</v>
      </c>
      <c r="C1436" s="4" t="s">
        <v>7</v>
      </c>
      <c r="D1436" s="4" t="s">
        <v>7</v>
      </c>
    </row>
    <row r="1437" spans="1:8">
      <c r="A1437" t="n">
        <v>13037</v>
      </c>
      <c r="B1437" s="13" t="n">
        <v>49</v>
      </c>
      <c r="C1437" s="7" t="n">
        <v>2</v>
      </c>
      <c r="D1437" s="7" t="n">
        <v>0</v>
      </c>
    </row>
    <row r="1438" spans="1:8">
      <c r="A1438" t="s">
        <v>4</v>
      </c>
      <c r="B1438" s="4" t="s">
        <v>5</v>
      </c>
      <c r="C1438" s="4" t="s">
        <v>7</v>
      </c>
      <c r="D1438" s="4" t="s">
        <v>11</v>
      </c>
      <c r="E1438" s="4" t="s">
        <v>15</v>
      </c>
      <c r="F1438" s="4" t="s">
        <v>11</v>
      </c>
      <c r="G1438" s="4" t="s">
        <v>15</v>
      </c>
      <c r="H1438" s="4" t="s">
        <v>7</v>
      </c>
    </row>
    <row r="1439" spans="1:8">
      <c r="A1439" t="n">
        <v>13040</v>
      </c>
      <c r="B1439" s="13" t="n">
        <v>49</v>
      </c>
      <c r="C1439" s="7" t="n">
        <v>0</v>
      </c>
      <c r="D1439" s="7" t="n">
        <v>517</v>
      </c>
      <c r="E1439" s="7" t="n">
        <v>1060320051</v>
      </c>
      <c r="F1439" s="7" t="n">
        <v>0</v>
      </c>
      <c r="G1439" s="7" t="n">
        <v>0</v>
      </c>
      <c r="H1439" s="7" t="n">
        <v>0</v>
      </c>
    </row>
    <row r="1440" spans="1:8">
      <c r="A1440" t="s">
        <v>4</v>
      </c>
      <c r="B1440" s="4" t="s">
        <v>5</v>
      </c>
      <c r="C1440" s="4" t="s">
        <v>7</v>
      </c>
      <c r="D1440" s="4" t="s">
        <v>11</v>
      </c>
      <c r="E1440" s="4" t="s">
        <v>13</v>
      </c>
    </row>
    <row r="1441" spans="1:8">
      <c r="A1441" t="n">
        <v>13055</v>
      </c>
      <c r="B1441" s="23" t="n">
        <v>58</v>
      </c>
      <c r="C1441" s="7" t="n">
        <v>101</v>
      </c>
      <c r="D1441" s="7" t="n">
        <v>1000</v>
      </c>
      <c r="E1441" s="7" t="n">
        <v>1</v>
      </c>
    </row>
    <row r="1442" spans="1:8">
      <c r="A1442" t="s">
        <v>4</v>
      </c>
      <c r="B1442" s="4" t="s">
        <v>5</v>
      </c>
      <c r="C1442" s="4" t="s">
        <v>7</v>
      </c>
      <c r="D1442" s="4" t="s">
        <v>11</v>
      </c>
    </row>
    <row r="1443" spans="1:8">
      <c r="A1443" t="n">
        <v>13063</v>
      </c>
      <c r="B1443" s="23" t="n">
        <v>58</v>
      </c>
      <c r="C1443" s="7" t="n">
        <v>254</v>
      </c>
      <c r="D1443" s="7" t="n">
        <v>0</v>
      </c>
    </row>
    <row r="1444" spans="1:8">
      <c r="A1444" t="s">
        <v>4</v>
      </c>
      <c r="B1444" s="4" t="s">
        <v>5</v>
      </c>
      <c r="C1444" s="4" t="s">
        <v>7</v>
      </c>
      <c r="D1444" s="4" t="s">
        <v>7</v>
      </c>
      <c r="E1444" s="4" t="s">
        <v>13</v>
      </c>
      <c r="F1444" s="4" t="s">
        <v>13</v>
      </c>
      <c r="G1444" s="4" t="s">
        <v>13</v>
      </c>
      <c r="H1444" s="4" t="s">
        <v>11</v>
      </c>
    </row>
    <row r="1445" spans="1:8">
      <c r="A1445" t="n">
        <v>13067</v>
      </c>
      <c r="B1445" s="51" t="n">
        <v>45</v>
      </c>
      <c r="C1445" s="7" t="n">
        <v>2</v>
      </c>
      <c r="D1445" s="7" t="n">
        <v>3</v>
      </c>
      <c r="E1445" s="7" t="n">
        <v>1.02999997138977</v>
      </c>
      <c r="F1445" s="7" t="n">
        <v>6.51000022888184</v>
      </c>
      <c r="G1445" s="7" t="n">
        <v>34.5400009155273</v>
      </c>
      <c r="H1445" s="7" t="n">
        <v>0</v>
      </c>
    </row>
    <row r="1446" spans="1:8">
      <c r="A1446" t="s">
        <v>4</v>
      </c>
      <c r="B1446" s="4" t="s">
        <v>5</v>
      </c>
      <c r="C1446" s="4" t="s">
        <v>7</v>
      </c>
      <c r="D1446" s="4" t="s">
        <v>7</v>
      </c>
      <c r="E1446" s="4" t="s">
        <v>13</v>
      </c>
      <c r="F1446" s="4" t="s">
        <v>13</v>
      </c>
      <c r="G1446" s="4" t="s">
        <v>13</v>
      </c>
      <c r="H1446" s="4" t="s">
        <v>11</v>
      </c>
      <c r="I1446" s="4" t="s">
        <v>7</v>
      </c>
    </row>
    <row r="1447" spans="1:8">
      <c r="A1447" t="n">
        <v>13084</v>
      </c>
      <c r="B1447" s="51" t="n">
        <v>45</v>
      </c>
      <c r="C1447" s="7" t="n">
        <v>4</v>
      </c>
      <c r="D1447" s="7" t="n">
        <v>3</v>
      </c>
      <c r="E1447" s="7" t="n">
        <v>359.790008544922</v>
      </c>
      <c r="F1447" s="7" t="n">
        <v>273.850006103516</v>
      </c>
      <c r="G1447" s="7" t="n">
        <v>0</v>
      </c>
      <c r="H1447" s="7" t="n">
        <v>0</v>
      </c>
      <c r="I1447" s="7" t="n">
        <v>0</v>
      </c>
    </row>
    <row r="1448" spans="1:8">
      <c r="A1448" t="s">
        <v>4</v>
      </c>
      <c r="B1448" s="4" t="s">
        <v>5</v>
      </c>
      <c r="C1448" s="4" t="s">
        <v>7</v>
      </c>
      <c r="D1448" s="4" t="s">
        <v>7</v>
      </c>
      <c r="E1448" s="4" t="s">
        <v>13</v>
      </c>
      <c r="F1448" s="4" t="s">
        <v>11</v>
      </c>
    </row>
    <row r="1449" spans="1:8">
      <c r="A1449" t="n">
        <v>13102</v>
      </c>
      <c r="B1449" s="51" t="n">
        <v>45</v>
      </c>
      <c r="C1449" s="7" t="n">
        <v>5</v>
      </c>
      <c r="D1449" s="7" t="n">
        <v>3</v>
      </c>
      <c r="E1449" s="7" t="n">
        <v>1.60000002384186</v>
      </c>
      <c r="F1449" s="7" t="n">
        <v>0</v>
      </c>
    </row>
    <row r="1450" spans="1:8">
      <c r="A1450" t="s">
        <v>4</v>
      </c>
      <c r="B1450" s="4" t="s">
        <v>5</v>
      </c>
      <c r="C1450" s="4" t="s">
        <v>7</v>
      </c>
      <c r="D1450" s="4" t="s">
        <v>7</v>
      </c>
      <c r="E1450" s="4" t="s">
        <v>13</v>
      </c>
      <c r="F1450" s="4" t="s">
        <v>11</v>
      </c>
    </row>
    <row r="1451" spans="1:8">
      <c r="A1451" t="n">
        <v>13111</v>
      </c>
      <c r="B1451" s="51" t="n">
        <v>45</v>
      </c>
      <c r="C1451" s="7" t="n">
        <v>11</v>
      </c>
      <c r="D1451" s="7" t="n">
        <v>3</v>
      </c>
      <c r="E1451" s="7" t="n">
        <v>30.6000003814697</v>
      </c>
      <c r="F1451" s="7" t="n">
        <v>0</v>
      </c>
    </row>
    <row r="1452" spans="1:8">
      <c r="A1452" t="s">
        <v>4</v>
      </c>
      <c r="B1452" s="4" t="s">
        <v>5</v>
      </c>
      <c r="C1452" s="4" t="s">
        <v>7</v>
      </c>
      <c r="D1452" s="4" t="s">
        <v>7</v>
      </c>
      <c r="E1452" s="4" t="s">
        <v>13</v>
      </c>
      <c r="F1452" s="4" t="s">
        <v>13</v>
      </c>
      <c r="G1452" s="4" t="s">
        <v>13</v>
      </c>
      <c r="H1452" s="4" t="s">
        <v>11</v>
      </c>
    </row>
    <row r="1453" spans="1:8">
      <c r="A1453" t="n">
        <v>13120</v>
      </c>
      <c r="B1453" s="51" t="n">
        <v>45</v>
      </c>
      <c r="C1453" s="7" t="n">
        <v>2</v>
      </c>
      <c r="D1453" s="7" t="n">
        <v>3</v>
      </c>
      <c r="E1453" s="7" t="n">
        <v>1.02999997138977</v>
      </c>
      <c r="F1453" s="7" t="n">
        <v>6.51000022888184</v>
      </c>
      <c r="G1453" s="7" t="n">
        <v>34.5400009155273</v>
      </c>
      <c r="H1453" s="7" t="n">
        <v>30000</v>
      </c>
    </row>
    <row r="1454" spans="1:8">
      <c r="A1454" t="s">
        <v>4</v>
      </c>
      <c r="B1454" s="4" t="s">
        <v>5</v>
      </c>
      <c r="C1454" s="4" t="s">
        <v>7</v>
      </c>
      <c r="D1454" s="4" t="s">
        <v>7</v>
      </c>
      <c r="E1454" s="4" t="s">
        <v>13</v>
      </c>
      <c r="F1454" s="4" t="s">
        <v>13</v>
      </c>
      <c r="G1454" s="4" t="s">
        <v>13</v>
      </c>
      <c r="H1454" s="4" t="s">
        <v>11</v>
      </c>
      <c r="I1454" s="4" t="s">
        <v>7</v>
      </c>
    </row>
    <row r="1455" spans="1:8">
      <c r="A1455" t="n">
        <v>13137</v>
      </c>
      <c r="B1455" s="51" t="n">
        <v>45</v>
      </c>
      <c r="C1455" s="7" t="n">
        <v>4</v>
      </c>
      <c r="D1455" s="7" t="n">
        <v>3</v>
      </c>
      <c r="E1455" s="7" t="n">
        <v>351.679992675781</v>
      </c>
      <c r="F1455" s="7" t="n">
        <v>261.079986572266</v>
      </c>
      <c r="G1455" s="7" t="n">
        <v>0</v>
      </c>
      <c r="H1455" s="7" t="n">
        <v>30000</v>
      </c>
      <c r="I1455" s="7" t="n">
        <v>1</v>
      </c>
    </row>
    <row r="1456" spans="1:8">
      <c r="A1456" t="s">
        <v>4</v>
      </c>
      <c r="B1456" s="4" t="s">
        <v>5</v>
      </c>
      <c r="C1456" s="4" t="s">
        <v>7</v>
      </c>
      <c r="D1456" s="4" t="s">
        <v>7</v>
      </c>
      <c r="E1456" s="4" t="s">
        <v>13</v>
      </c>
      <c r="F1456" s="4" t="s">
        <v>11</v>
      </c>
    </row>
    <row r="1457" spans="1:9">
      <c r="A1457" t="n">
        <v>13155</v>
      </c>
      <c r="B1457" s="51" t="n">
        <v>45</v>
      </c>
      <c r="C1457" s="7" t="n">
        <v>5</v>
      </c>
      <c r="D1457" s="7" t="n">
        <v>3</v>
      </c>
      <c r="E1457" s="7" t="n">
        <v>1.60000002384186</v>
      </c>
      <c r="F1457" s="7" t="n">
        <v>30000</v>
      </c>
    </row>
    <row r="1458" spans="1:9">
      <c r="A1458" t="s">
        <v>4</v>
      </c>
      <c r="B1458" s="4" t="s">
        <v>5</v>
      </c>
      <c r="C1458" s="4" t="s">
        <v>7</v>
      </c>
      <c r="D1458" s="4" t="s">
        <v>7</v>
      </c>
      <c r="E1458" s="4" t="s">
        <v>13</v>
      </c>
      <c r="F1458" s="4" t="s">
        <v>11</v>
      </c>
    </row>
    <row r="1459" spans="1:9">
      <c r="A1459" t="n">
        <v>13164</v>
      </c>
      <c r="B1459" s="51" t="n">
        <v>45</v>
      </c>
      <c r="C1459" s="7" t="n">
        <v>11</v>
      </c>
      <c r="D1459" s="7" t="n">
        <v>3</v>
      </c>
      <c r="E1459" s="7" t="n">
        <v>30.6000003814697</v>
      </c>
      <c r="F1459" s="7" t="n">
        <v>30000</v>
      </c>
    </row>
    <row r="1460" spans="1:9">
      <c r="A1460" t="s">
        <v>4</v>
      </c>
      <c r="B1460" s="4" t="s">
        <v>5</v>
      </c>
      <c r="C1460" s="4" t="s">
        <v>7</v>
      </c>
      <c r="D1460" s="4" t="s">
        <v>11</v>
      </c>
    </row>
    <row r="1461" spans="1:9">
      <c r="A1461" t="n">
        <v>13173</v>
      </c>
      <c r="B1461" s="23" t="n">
        <v>58</v>
      </c>
      <c r="C1461" s="7" t="n">
        <v>255</v>
      </c>
      <c r="D1461" s="7" t="n">
        <v>0</v>
      </c>
    </row>
    <row r="1462" spans="1:9">
      <c r="A1462" t="s">
        <v>4</v>
      </c>
      <c r="B1462" s="4" t="s">
        <v>5</v>
      </c>
      <c r="C1462" s="4" t="s">
        <v>7</v>
      </c>
      <c r="D1462" s="4" t="s">
        <v>11</v>
      </c>
      <c r="E1462" s="4" t="s">
        <v>11</v>
      </c>
      <c r="F1462" s="4" t="s">
        <v>7</v>
      </c>
    </row>
    <row r="1463" spans="1:9">
      <c r="A1463" t="n">
        <v>13177</v>
      </c>
      <c r="B1463" s="31" t="n">
        <v>25</v>
      </c>
      <c r="C1463" s="7" t="n">
        <v>1</v>
      </c>
      <c r="D1463" s="7" t="n">
        <v>80</v>
      </c>
      <c r="E1463" s="7" t="n">
        <v>90</v>
      </c>
      <c r="F1463" s="7" t="n">
        <v>0</v>
      </c>
    </row>
    <row r="1464" spans="1:9">
      <c r="A1464" t="s">
        <v>4</v>
      </c>
      <c r="B1464" s="4" t="s">
        <v>5</v>
      </c>
      <c r="C1464" s="4" t="s">
        <v>7</v>
      </c>
      <c r="D1464" s="4" t="s">
        <v>7</v>
      </c>
      <c r="E1464" s="4" t="s">
        <v>7</v>
      </c>
      <c r="F1464" s="4" t="s">
        <v>7</v>
      </c>
    </row>
    <row r="1465" spans="1:9">
      <c r="A1465" t="n">
        <v>13184</v>
      </c>
      <c r="B1465" s="9" t="n">
        <v>14</v>
      </c>
      <c r="C1465" s="7" t="n">
        <v>0</v>
      </c>
      <c r="D1465" s="7" t="n">
        <v>128</v>
      </c>
      <c r="E1465" s="7" t="n">
        <v>0</v>
      </c>
      <c r="F1465" s="7" t="n">
        <v>0</v>
      </c>
    </row>
    <row r="1466" spans="1:9">
      <c r="A1466" t="s">
        <v>4</v>
      </c>
      <c r="B1466" s="4" t="s">
        <v>5</v>
      </c>
      <c r="C1466" s="4" t="s">
        <v>8</v>
      </c>
      <c r="D1466" s="4" t="s">
        <v>11</v>
      </c>
    </row>
    <row r="1467" spans="1:9">
      <c r="A1467" t="n">
        <v>13189</v>
      </c>
      <c r="B1467" s="67" t="n">
        <v>29</v>
      </c>
      <c r="C1467" s="7" t="s">
        <v>157</v>
      </c>
      <c r="D1467" s="7" t="n">
        <v>65533</v>
      </c>
    </row>
    <row r="1468" spans="1:9">
      <c r="A1468" t="s">
        <v>4</v>
      </c>
      <c r="B1468" s="4" t="s">
        <v>5</v>
      </c>
      <c r="C1468" s="4" t="s">
        <v>7</v>
      </c>
      <c r="D1468" s="4" t="s">
        <v>11</v>
      </c>
      <c r="E1468" s="4" t="s">
        <v>8</v>
      </c>
    </row>
    <row r="1469" spans="1:9">
      <c r="A1469" t="n">
        <v>13206</v>
      </c>
      <c r="B1469" s="38" t="n">
        <v>51</v>
      </c>
      <c r="C1469" s="7" t="n">
        <v>4</v>
      </c>
      <c r="D1469" s="7" t="n">
        <v>1600</v>
      </c>
      <c r="E1469" s="7" t="s">
        <v>158</v>
      </c>
    </row>
    <row r="1470" spans="1:9">
      <c r="A1470" t="s">
        <v>4</v>
      </c>
      <c r="B1470" s="4" t="s">
        <v>5</v>
      </c>
      <c r="C1470" s="4" t="s">
        <v>11</v>
      </c>
    </row>
    <row r="1471" spans="1:9">
      <c r="A1471" t="n">
        <v>13220</v>
      </c>
      <c r="B1471" s="29" t="n">
        <v>16</v>
      </c>
      <c r="C1471" s="7" t="n">
        <v>0</v>
      </c>
    </row>
    <row r="1472" spans="1:9">
      <c r="A1472" t="s">
        <v>4</v>
      </c>
      <c r="B1472" s="4" t="s">
        <v>5</v>
      </c>
      <c r="C1472" s="4" t="s">
        <v>11</v>
      </c>
      <c r="D1472" s="4" t="s">
        <v>7</v>
      </c>
      <c r="E1472" s="4" t="s">
        <v>15</v>
      </c>
      <c r="F1472" s="4" t="s">
        <v>55</v>
      </c>
      <c r="G1472" s="4" t="s">
        <v>7</v>
      </c>
      <c r="H1472" s="4" t="s">
        <v>7</v>
      </c>
      <c r="I1472" s="4" t="s">
        <v>7</v>
      </c>
      <c r="J1472" s="4" t="s">
        <v>15</v>
      </c>
      <c r="K1472" s="4" t="s">
        <v>55</v>
      </c>
      <c r="L1472" s="4" t="s">
        <v>7</v>
      </c>
      <c r="M1472" s="4" t="s">
        <v>7</v>
      </c>
      <c r="N1472" s="4" t="s">
        <v>7</v>
      </c>
      <c r="O1472" s="4" t="s">
        <v>15</v>
      </c>
      <c r="P1472" s="4" t="s">
        <v>55</v>
      </c>
      <c r="Q1472" s="4" t="s">
        <v>7</v>
      </c>
      <c r="R1472" s="4" t="s">
        <v>7</v>
      </c>
    </row>
    <row r="1473" spans="1:18">
      <c r="A1473" t="n">
        <v>13223</v>
      </c>
      <c r="B1473" s="55" t="n">
        <v>26</v>
      </c>
      <c r="C1473" s="7" t="n">
        <v>1600</v>
      </c>
      <c r="D1473" s="7" t="n">
        <v>17</v>
      </c>
      <c r="E1473" s="7" t="n">
        <v>16426</v>
      </c>
      <c r="F1473" s="7" t="s">
        <v>159</v>
      </c>
      <c r="G1473" s="7" t="n">
        <v>2</v>
      </c>
      <c r="H1473" s="7" t="n">
        <v>3</v>
      </c>
      <c r="I1473" s="7" t="n">
        <v>17</v>
      </c>
      <c r="J1473" s="7" t="n">
        <v>16427</v>
      </c>
      <c r="K1473" s="7" t="s">
        <v>160</v>
      </c>
      <c r="L1473" s="7" t="n">
        <v>2</v>
      </c>
      <c r="M1473" s="7" t="n">
        <v>3</v>
      </c>
      <c r="N1473" s="7" t="n">
        <v>17</v>
      </c>
      <c r="O1473" s="7" t="n">
        <v>16428</v>
      </c>
      <c r="P1473" s="7" t="s">
        <v>161</v>
      </c>
      <c r="Q1473" s="7" t="n">
        <v>2</v>
      </c>
      <c r="R1473" s="7" t="n">
        <v>0</v>
      </c>
    </row>
    <row r="1474" spans="1:18">
      <c r="A1474" t="s">
        <v>4</v>
      </c>
      <c r="B1474" s="4" t="s">
        <v>5</v>
      </c>
    </row>
    <row r="1475" spans="1:18">
      <c r="A1475" t="n">
        <v>13371</v>
      </c>
      <c r="B1475" s="27" t="n">
        <v>28</v>
      </c>
    </row>
    <row r="1476" spans="1:18">
      <c r="A1476" t="s">
        <v>4</v>
      </c>
      <c r="B1476" s="4" t="s">
        <v>5</v>
      </c>
      <c r="C1476" s="4" t="s">
        <v>11</v>
      </c>
      <c r="D1476" s="4" t="s">
        <v>7</v>
      </c>
    </row>
    <row r="1477" spans="1:18">
      <c r="A1477" t="n">
        <v>13372</v>
      </c>
      <c r="B1477" s="68" t="n">
        <v>89</v>
      </c>
      <c r="C1477" s="7" t="n">
        <v>65533</v>
      </c>
      <c r="D1477" s="7" t="n">
        <v>1</v>
      </c>
    </row>
    <row r="1478" spans="1:18">
      <c r="A1478" t="s">
        <v>4</v>
      </c>
      <c r="B1478" s="4" t="s">
        <v>5</v>
      </c>
      <c r="C1478" s="4" t="s">
        <v>7</v>
      </c>
      <c r="D1478" s="4" t="s">
        <v>11</v>
      </c>
      <c r="E1478" s="4" t="s">
        <v>11</v>
      </c>
      <c r="F1478" s="4" t="s">
        <v>7</v>
      </c>
    </row>
    <row r="1479" spans="1:18">
      <c r="A1479" t="n">
        <v>13376</v>
      </c>
      <c r="B1479" s="31" t="n">
        <v>25</v>
      </c>
      <c r="C1479" s="7" t="n">
        <v>1</v>
      </c>
      <c r="D1479" s="7" t="n">
        <v>65535</v>
      </c>
      <c r="E1479" s="7" t="n">
        <v>65535</v>
      </c>
      <c r="F1479" s="7" t="n">
        <v>0</v>
      </c>
    </row>
    <row r="1480" spans="1:18">
      <c r="A1480" t="s">
        <v>4</v>
      </c>
      <c r="B1480" s="4" t="s">
        <v>5</v>
      </c>
      <c r="C1480" s="4" t="s">
        <v>15</v>
      </c>
    </row>
    <row r="1481" spans="1:18">
      <c r="A1481" t="n">
        <v>13383</v>
      </c>
      <c r="B1481" s="61" t="n">
        <v>15</v>
      </c>
      <c r="C1481" s="7" t="n">
        <v>32768</v>
      </c>
    </row>
    <row r="1482" spans="1:18">
      <c r="A1482" t="s">
        <v>4</v>
      </c>
      <c r="B1482" s="4" t="s">
        <v>5</v>
      </c>
      <c r="C1482" s="4" t="s">
        <v>8</v>
      </c>
      <c r="D1482" s="4" t="s">
        <v>11</v>
      </c>
    </row>
    <row r="1483" spans="1:18">
      <c r="A1483" t="n">
        <v>13388</v>
      </c>
      <c r="B1483" s="67" t="n">
        <v>29</v>
      </c>
      <c r="C1483" s="7" t="s">
        <v>16</v>
      </c>
      <c r="D1483" s="7" t="n">
        <v>65533</v>
      </c>
    </row>
    <row r="1484" spans="1:18">
      <c r="A1484" t="s">
        <v>4</v>
      </c>
      <c r="B1484" s="4" t="s">
        <v>5</v>
      </c>
      <c r="C1484" s="4" t="s">
        <v>7</v>
      </c>
      <c r="D1484" s="4" t="s">
        <v>11</v>
      </c>
      <c r="E1484" s="4" t="s">
        <v>8</v>
      </c>
    </row>
    <row r="1485" spans="1:18">
      <c r="A1485" t="n">
        <v>13392</v>
      </c>
      <c r="B1485" s="38" t="n">
        <v>51</v>
      </c>
      <c r="C1485" s="7" t="n">
        <v>4</v>
      </c>
      <c r="D1485" s="7" t="n">
        <v>0</v>
      </c>
      <c r="E1485" s="7" t="s">
        <v>162</v>
      </c>
    </row>
    <row r="1486" spans="1:18">
      <c r="A1486" t="s">
        <v>4</v>
      </c>
      <c r="B1486" s="4" t="s">
        <v>5</v>
      </c>
      <c r="C1486" s="4" t="s">
        <v>11</v>
      </c>
    </row>
    <row r="1487" spans="1:18">
      <c r="A1487" t="n">
        <v>13405</v>
      </c>
      <c r="B1487" s="29" t="n">
        <v>16</v>
      </c>
      <c r="C1487" s="7" t="n">
        <v>0</v>
      </c>
    </row>
    <row r="1488" spans="1:18">
      <c r="A1488" t="s">
        <v>4</v>
      </c>
      <c r="B1488" s="4" t="s">
        <v>5</v>
      </c>
      <c r="C1488" s="4" t="s">
        <v>11</v>
      </c>
      <c r="D1488" s="4" t="s">
        <v>55</v>
      </c>
      <c r="E1488" s="4" t="s">
        <v>7</v>
      </c>
      <c r="F1488" s="4" t="s">
        <v>7</v>
      </c>
      <c r="G1488" s="4" t="s">
        <v>55</v>
      </c>
      <c r="H1488" s="4" t="s">
        <v>7</v>
      </c>
      <c r="I1488" s="4" t="s">
        <v>7</v>
      </c>
    </row>
    <row r="1489" spans="1:18">
      <c r="A1489" t="n">
        <v>13408</v>
      </c>
      <c r="B1489" s="55" t="n">
        <v>26</v>
      </c>
      <c r="C1489" s="7" t="n">
        <v>0</v>
      </c>
      <c r="D1489" s="7" t="s">
        <v>163</v>
      </c>
      <c r="E1489" s="7" t="n">
        <v>2</v>
      </c>
      <c r="F1489" s="7" t="n">
        <v>3</v>
      </c>
      <c r="G1489" s="7" t="s">
        <v>164</v>
      </c>
      <c r="H1489" s="7" t="n">
        <v>2</v>
      </c>
      <c r="I1489" s="7" t="n">
        <v>0</v>
      </c>
    </row>
    <row r="1490" spans="1:18">
      <c r="A1490" t="s">
        <v>4</v>
      </c>
      <c r="B1490" s="4" t="s">
        <v>5</v>
      </c>
    </row>
    <row r="1491" spans="1:18">
      <c r="A1491" t="n">
        <v>13498</v>
      </c>
      <c r="B1491" s="27" t="n">
        <v>28</v>
      </c>
    </row>
    <row r="1492" spans="1:18">
      <c r="A1492" t="s">
        <v>4</v>
      </c>
      <c r="B1492" s="4" t="s">
        <v>5</v>
      </c>
      <c r="C1492" s="4" t="s">
        <v>11</v>
      </c>
      <c r="D1492" s="4" t="s">
        <v>7</v>
      </c>
    </row>
    <row r="1493" spans="1:18">
      <c r="A1493" t="n">
        <v>13499</v>
      </c>
      <c r="B1493" s="68" t="n">
        <v>89</v>
      </c>
      <c r="C1493" s="7" t="n">
        <v>65533</v>
      </c>
      <c r="D1493" s="7" t="n">
        <v>1</v>
      </c>
    </row>
    <row r="1494" spans="1:18">
      <c r="A1494" t="s">
        <v>4</v>
      </c>
      <c r="B1494" s="4" t="s">
        <v>5</v>
      </c>
      <c r="C1494" s="4" t="s">
        <v>7</v>
      </c>
      <c r="D1494" s="4" t="s">
        <v>11</v>
      </c>
      <c r="E1494" s="4" t="s">
        <v>11</v>
      </c>
      <c r="F1494" s="4" t="s">
        <v>7</v>
      </c>
    </row>
    <row r="1495" spans="1:18">
      <c r="A1495" t="n">
        <v>13503</v>
      </c>
      <c r="B1495" s="31" t="n">
        <v>25</v>
      </c>
      <c r="C1495" s="7" t="n">
        <v>1</v>
      </c>
      <c r="D1495" s="7" t="n">
        <v>70</v>
      </c>
      <c r="E1495" s="7" t="n">
        <v>80</v>
      </c>
      <c r="F1495" s="7" t="n">
        <v>0</v>
      </c>
    </row>
    <row r="1496" spans="1:18">
      <c r="A1496" t="s">
        <v>4</v>
      </c>
      <c r="B1496" s="4" t="s">
        <v>5</v>
      </c>
      <c r="C1496" s="4" t="s">
        <v>7</v>
      </c>
      <c r="D1496" s="4" t="s">
        <v>7</v>
      </c>
      <c r="E1496" s="4" t="s">
        <v>7</v>
      </c>
      <c r="F1496" s="4" t="s">
        <v>7</v>
      </c>
    </row>
    <row r="1497" spans="1:18">
      <c r="A1497" t="n">
        <v>13510</v>
      </c>
      <c r="B1497" s="9" t="n">
        <v>14</v>
      </c>
      <c r="C1497" s="7" t="n">
        <v>0</v>
      </c>
      <c r="D1497" s="7" t="n">
        <v>128</v>
      </c>
      <c r="E1497" s="7" t="n">
        <v>0</v>
      </c>
      <c r="F1497" s="7" t="n">
        <v>0</v>
      </c>
    </row>
    <row r="1498" spans="1:18">
      <c r="A1498" t="s">
        <v>4</v>
      </c>
      <c r="B1498" s="4" t="s">
        <v>5</v>
      </c>
      <c r="C1498" s="4" t="s">
        <v>8</v>
      </c>
      <c r="D1498" s="4" t="s">
        <v>11</v>
      </c>
    </row>
    <row r="1499" spans="1:18">
      <c r="A1499" t="n">
        <v>13515</v>
      </c>
      <c r="B1499" s="67" t="n">
        <v>29</v>
      </c>
      <c r="C1499" s="7" t="s">
        <v>157</v>
      </c>
      <c r="D1499" s="7" t="n">
        <v>65533</v>
      </c>
    </row>
    <row r="1500" spans="1:18">
      <c r="A1500" t="s">
        <v>4</v>
      </c>
      <c r="B1500" s="4" t="s">
        <v>5</v>
      </c>
      <c r="C1500" s="4" t="s">
        <v>7</v>
      </c>
      <c r="D1500" s="4" t="s">
        <v>11</v>
      </c>
      <c r="E1500" s="4" t="s">
        <v>8</v>
      </c>
    </row>
    <row r="1501" spans="1:18">
      <c r="A1501" t="n">
        <v>13532</v>
      </c>
      <c r="B1501" s="38" t="n">
        <v>51</v>
      </c>
      <c r="C1501" s="7" t="n">
        <v>4</v>
      </c>
      <c r="D1501" s="7" t="n">
        <v>1600</v>
      </c>
      <c r="E1501" s="7" t="s">
        <v>137</v>
      </c>
    </row>
    <row r="1502" spans="1:18">
      <c r="A1502" t="s">
        <v>4</v>
      </c>
      <c r="B1502" s="4" t="s">
        <v>5</v>
      </c>
      <c r="C1502" s="4" t="s">
        <v>11</v>
      </c>
    </row>
    <row r="1503" spans="1:18">
      <c r="A1503" t="n">
        <v>13545</v>
      </c>
      <c r="B1503" s="29" t="n">
        <v>16</v>
      </c>
      <c r="C1503" s="7" t="n">
        <v>0</v>
      </c>
    </row>
    <row r="1504" spans="1:18">
      <c r="A1504" t="s">
        <v>4</v>
      </c>
      <c r="B1504" s="4" t="s">
        <v>5</v>
      </c>
      <c r="C1504" s="4" t="s">
        <v>11</v>
      </c>
      <c r="D1504" s="4" t="s">
        <v>7</v>
      </c>
      <c r="E1504" s="4" t="s">
        <v>15</v>
      </c>
      <c r="F1504" s="4" t="s">
        <v>55</v>
      </c>
      <c r="G1504" s="4" t="s">
        <v>7</v>
      </c>
      <c r="H1504" s="4" t="s">
        <v>7</v>
      </c>
      <c r="I1504" s="4" t="s">
        <v>7</v>
      </c>
      <c r="J1504" s="4" t="s">
        <v>15</v>
      </c>
      <c r="K1504" s="4" t="s">
        <v>55</v>
      </c>
      <c r="L1504" s="4" t="s">
        <v>7</v>
      </c>
      <c r="M1504" s="4" t="s">
        <v>7</v>
      </c>
    </row>
    <row r="1505" spans="1:13">
      <c r="A1505" t="n">
        <v>13548</v>
      </c>
      <c r="B1505" s="55" t="n">
        <v>26</v>
      </c>
      <c r="C1505" s="7" t="n">
        <v>1600</v>
      </c>
      <c r="D1505" s="7" t="n">
        <v>17</v>
      </c>
      <c r="E1505" s="7" t="n">
        <v>16429</v>
      </c>
      <c r="F1505" s="7" t="s">
        <v>165</v>
      </c>
      <c r="G1505" s="7" t="n">
        <v>2</v>
      </c>
      <c r="H1505" s="7" t="n">
        <v>3</v>
      </c>
      <c r="I1505" s="7" t="n">
        <v>17</v>
      </c>
      <c r="J1505" s="7" t="n">
        <v>16430</v>
      </c>
      <c r="K1505" s="7" t="s">
        <v>166</v>
      </c>
      <c r="L1505" s="7" t="n">
        <v>2</v>
      </c>
      <c r="M1505" s="7" t="n">
        <v>0</v>
      </c>
    </row>
    <row r="1506" spans="1:13">
      <c r="A1506" t="s">
        <v>4</v>
      </c>
      <c r="B1506" s="4" t="s">
        <v>5</v>
      </c>
    </row>
    <row r="1507" spans="1:13">
      <c r="A1507" t="n">
        <v>13739</v>
      </c>
      <c r="B1507" s="27" t="n">
        <v>28</v>
      </c>
    </row>
    <row r="1508" spans="1:13">
      <c r="A1508" t="s">
        <v>4</v>
      </c>
      <c r="B1508" s="4" t="s">
        <v>5</v>
      </c>
      <c r="C1508" s="4" t="s">
        <v>15</v>
      </c>
    </row>
    <row r="1509" spans="1:13">
      <c r="A1509" t="n">
        <v>13740</v>
      </c>
      <c r="B1509" s="61" t="n">
        <v>15</v>
      </c>
      <c r="C1509" s="7" t="n">
        <v>32768</v>
      </c>
    </row>
    <row r="1510" spans="1:13">
      <c r="A1510" t="s">
        <v>4</v>
      </c>
      <c r="B1510" s="4" t="s">
        <v>5</v>
      </c>
      <c r="C1510" s="4" t="s">
        <v>11</v>
      </c>
      <c r="D1510" s="4" t="s">
        <v>7</v>
      </c>
    </row>
    <row r="1511" spans="1:13">
      <c r="A1511" t="n">
        <v>13745</v>
      </c>
      <c r="B1511" s="68" t="n">
        <v>89</v>
      </c>
      <c r="C1511" s="7" t="n">
        <v>65533</v>
      </c>
      <c r="D1511" s="7" t="n">
        <v>1</v>
      </c>
    </row>
    <row r="1512" spans="1:13">
      <c r="A1512" t="s">
        <v>4</v>
      </c>
      <c r="B1512" s="4" t="s">
        <v>5</v>
      </c>
      <c r="C1512" s="4" t="s">
        <v>7</v>
      </c>
      <c r="D1512" s="4" t="s">
        <v>11</v>
      </c>
      <c r="E1512" s="4" t="s">
        <v>11</v>
      </c>
      <c r="F1512" s="4" t="s">
        <v>7</v>
      </c>
    </row>
    <row r="1513" spans="1:13">
      <c r="A1513" t="n">
        <v>13749</v>
      </c>
      <c r="B1513" s="31" t="n">
        <v>25</v>
      </c>
      <c r="C1513" s="7" t="n">
        <v>1</v>
      </c>
      <c r="D1513" s="7" t="n">
        <v>65535</v>
      </c>
      <c r="E1513" s="7" t="n">
        <v>65535</v>
      </c>
      <c r="F1513" s="7" t="n">
        <v>0</v>
      </c>
    </row>
    <row r="1514" spans="1:13">
      <c r="A1514" t="s">
        <v>4</v>
      </c>
      <c r="B1514" s="4" t="s">
        <v>5</v>
      </c>
      <c r="C1514" s="4" t="s">
        <v>8</v>
      </c>
      <c r="D1514" s="4" t="s">
        <v>11</v>
      </c>
    </row>
    <row r="1515" spans="1:13">
      <c r="A1515" t="n">
        <v>13756</v>
      </c>
      <c r="B1515" s="67" t="n">
        <v>29</v>
      </c>
      <c r="C1515" s="7" t="s">
        <v>16</v>
      </c>
      <c r="D1515" s="7" t="n">
        <v>65533</v>
      </c>
    </row>
    <row r="1516" spans="1:13">
      <c r="A1516" t="s">
        <v>4</v>
      </c>
      <c r="B1516" s="4" t="s">
        <v>5</v>
      </c>
      <c r="C1516" s="4" t="s">
        <v>7</v>
      </c>
      <c r="D1516" s="4" t="s">
        <v>11</v>
      </c>
      <c r="E1516" s="4" t="s">
        <v>8</v>
      </c>
    </row>
    <row r="1517" spans="1:13">
      <c r="A1517" t="n">
        <v>13760</v>
      </c>
      <c r="B1517" s="38" t="n">
        <v>51</v>
      </c>
      <c r="C1517" s="7" t="n">
        <v>4</v>
      </c>
      <c r="D1517" s="7" t="n">
        <v>0</v>
      </c>
      <c r="E1517" s="7" t="s">
        <v>167</v>
      </c>
    </row>
    <row r="1518" spans="1:13">
      <c r="A1518" t="s">
        <v>4</v>
      </c>
      <c r="B1518" s="4" t="s">
        <v>5</v>
      </c>
      <c r="C1518" s="4" t="s">
        <v>11</v>
      </c>
    </row>
    <row r="1519" spans="1:13">
      <c r="A1519" t="n">
        <v>13774</v>
      </c>
      <c r="B1519" s="29" t="n">
        <v>16</v>
      </c>
      <c r="C1519" s="7" t="n">
        <v>0</v>
      </c>
    </row>
    <row r="1520" spans="1:13">
      <c r="A1520" t="s">
        <v>4</v>
      </c>
      <c r="B1520" s="4" t="s">
        <v>5</v>
      </c>
      <c r="C1520" s="4" t="s">
        <v>11</v>
      </c>
      <c r="D1520" s="4" t="s">
        <v>55</v>
      </c>
      <c r="E1520" s="4" t="s">
        <v>7</v>
      </c>
      <c r="F1520" s="4" t="s">
        <v>7</v>
      </c>
      <c r="G1520" s="4" t="s">
        <v>55</v>
      </c>
      <c r="H1520" s="4" t="s">
        <v>7</v>
      </c>
      <c r="I1520" s="4" t="s">
        <v>7</v>
      </c>
    </row>
    <row r="1521" spans="1:13">
      <c r="A1521" t="n">
        <v>13777</v>
      </c>
      <c r="B1521" s="55" t="n">
        <v>26</v>
      </c>
      <c r="C1521" s="7" t="n">
        <v>0</v>
      </c>
      <c r="D1521" s="7" t="s">
        <v>168</v>
      </c>
      <c r="E1521" s="7" t="n">
        <v>2</v>
      </c>
      <c r="F1521" s="7" t="n">
        <v>3</v>
      </c>
      <c r="G1521" s="7" t="s">
        <v>169</v>
      </c>
      <c r="H1521" s="7" t="n">
        <v>2</v>
      </c>
      <c r="I1521" s="7" t="n">
        <v>0</v>
      </c>
    </row>
    <row r="1522" spans="1:13">
      <c r="A1522" t="s">
        <v>4</v>
      </c>
      <c r="B1522" s="4" t="s">
        <v>5</v>
      </c>
    </row>
    <row r="1523" spans="1:13">
      <c r="A1523" t="n">
        <v>13916</v>
      </c>
      <c r="B1523" s="27" t="n">
        <v>28</v>
      </c>
    </row>
    <row r="1524" spans="1:13">
      <c r="A1524" t="s">
        <v>4</v>
      </c>
      <c r="B1524" s="4" t="s">
        <v>5</v>
      </c>
      <c r="C1524" s="4" t="s">
        <v>11</v>
      </c>
      <c r="D1524" s="4" t="s">
        <v>7</v>
      </c>
    </row>
    <row r="1525" spans="1:13">
      <c r="A1525" t="n">
        <v>13917</v>
      </c>
      <c r="B1525" s="68" t="n">
        <v>89</v>
      </c>
      <c r="C1525" s="7" t="n">
        <v>65533</v>
      </c>
      <c r="D1525" s="7" t="n">
        <v>1</v>
      </c>
    </row>
    <row r="1526" spans="1:13">
      <c r="A1526" t="s">
        <v>4</v>
      </c>
      <c r="B1526" s="4" t="s">
        <v>5</v>
      </c>
      <c r="C1526" s="4" t="s">
        <v>7</v>
      </c>
      <c r="D1526" s="4" t="s">
        <v>11</v>
      </c>
      <c r="E1526" s="4" t="s">
        <v>13</v>
      </c>
    </row>
    <row r="1527" spans="1:13">
      <c r="A1527" t="n">
        <v>13921</v>
      </c>
      <c r="B1527" s="23" t="n">
        <v>58</v>
      </c>
      <c r="C1527" s="7" t="n">
        <v>101</v>
      </c>
      <c r="D1527" s="7" t="n">
        <v>300</v>
      </c>
      <c r="E1527" s="7" t="n">
        <v>1</v>
      </c>
    </row>
    <row r="1528" spans="1:13">
      <c r="A1528" t="s">
        <v>4</v>
      </c>
      <c r="B1528" s="4" t="s">
        <v>5</v>
      </c>
      <c r="C1528" s="4" t="s">
        <v>7</v>
      </c>
      <c r="D1528" s="4" t="s">
        <v>11</v>
      </c>
    </row>
    <row r="1529" spans="1:13">
      <c r="A1529" t="n">
        <v>13929</v>
      </c>
      <c r="B1529" s="23" t="n">
        <v>58</v>
      </c>
      <c r="C1529" s="7" t="n">
        <v>254</v>
      </c>
      <c r="D1529" s="7" t="n">
        <v>0</v>
      </c>
    </row>
    <row r="1530" spans="1:13">
      <c r="A1530" t="s">
        <v>4</v>
      </c>
      <c r="B1530" s="4" t="s">
        <v>5</v>
      </c>
      <c r="C1530" s="4" t="s">
        <v>7</v>
      </c>
      <c r="D1530" s="4" t="s">
        <v>7</v>
      </c>
      <c r="E1530" s="4" t="s">
        <v>13</v>
      </c>
      <c r="F1530" s="4" t="s">
        <v>13</v>
      </c>
      <c r="G1530" s="4" t="s">
        <v>13</v>
      </c>
      <c r="H1530" s="4" t="s">
        <v>11</v>
      </c>
    </row>
    <row r="1531" spans="1:13">
      <c r="A1531" t="n">
        <v>13933</v>
      </c>
      <c r="B1531" s="51" t="n">
        <v>45</v>
      </c>
      <c r="C1531" s="7" t="n">
        <v>2</v>
      </c>
      <c r="D1531" s="7" t="n">
        <v>3</v>
      </c>
      <c r="E1531" s="7" t="n">
        <v>1</v>
      </c>
      <c r="F1531" s="7" t="n">
        <v>6.46000003814697</v>
      </c>
      <c r="G1531" s="7" t="n">
        <v>34.560001373291</v>
      </c>
      <c r="H1531" s="7" t="n">
        <v>0</v>
      </c>
    </row>
    <row r="1532" spans="1:13">
      <c r="A1532" t="s">
        <v>4</v>
      </c>
      <c r="B1532" s="4" t="s">
        <v>5</v>
      </c>
      <c r="C1532" s="4" t="s">
        <v>7</v>
      </c>
      <c r="D1532" s="4" t="s">
        <v>7</v>
      </c>
      <c r="E1532" s="4" t="s">
        <v>13</v>
      </c>
      <c r="F1532" s="4" t="s">
        <v>13</v>
      </c>
      <c r="G1532" s="4" t="s">
        <v>13</v>
      </c>
      <c r="H1532" s="4" t="s">
        <v>11</v>
      </c>
      <c r="I1532" s="4" t="s">
        <v>7</v>
      </c>
    </row>
    <row r="1533" spans="1:13">
      <c r="A1533" t="n">
        <v>13950</v>
      </c>
      <c r="B1533" s="51" t="n">
        <v>45</v>
      </c>
      <c r="C1533" s="7" t="n">
        <v>4</v>
      </c>
      <c r="D1533" s="7" t="n">
        <v>3</v>
      </c>
      <c r="E1533" s="7" t="n">
        <v>9.02999973297119</v>
      </c>
      <c r="F1533" s="7" t="n">
        <v>212.639999389648</v>
      </c>
      <c r="G1533" s="7" t="n">
        <v>0</v>
      </c>
      <c r="H1533" s="7" t="n">
        <v>0</v>
      </c>
      <c r="I1533" s="7" t="n">
        <v>0</v>
      </c>
    </row>
    <row r="1534" spans="1:13">
      <c r="A1534" t="s">
        <v>4</v>
      </c>
      <c r="B1534" s="4" t="s">
        <v>5</v>
      </c>
      <c r="C1534" s="4" t="s">
        <v>7</v>
      </c>
      <c r="D1534" s="4" t="s">
        <v>7</v>
      </c>
      <c r="E1534" s="4" t="s">
        <v>13</v>
      </c>
      <c r="F1534" s="4" t="s">
        <v>11</v>
      </c>
    </row>
    <row r="1535" spans="1:13">
      <c r="A1535" t="n">
        <v>13968</v>
      </c>
      <c r="B1535" s="51" t="n">
        <v>45</v>
      </c>
      <c r="C1535" s="7" t="n">
        <v>5</v>
      </c>
      <c r="D1535" s="7" t="n">
        <v>3</v>
      </c>
      <c r="E1535" s="7" t="n">
        <v>1.60000002384186</v>
      </c>
      <c r="F1535" s="7" t="n">
        <v>0</v>
      </c>
    </row>
    <row r="1536" spans="1:13">
      <c r="A1536" t="s">
        <v>4</v>
      </c>
      <c r="B1536" s="4" t="s">
        <v>5</v>
      </c>
      <c r="C1536" s="4" t="s">
        <v>7</v>
      </c>
      <c r="D1536" s="4" t="s">
        <v>7</v>
      </c>
      <c r="E1536" s="4" t="s">
        <v>13</v>
      </c>
      <c r="F1536" s="4" t="s">
        <v>11</v>
      </c>
    </row>
    <row r="1537" spans="1:9">
      <c r="A1537" t="n">
        <v>13977</v>
      </c>
      <c r="B1537" s="51" t="n">
        <v>45</v>
      </c>
      <c r="C1537" s="7" t="n">
        <v>11</v>
      </c>
      <c r="D1537" s="7" t="n">
        <v>3</v>
      </c>
      <c r="E1537" s="7" t="n">
        <v>30.6000003814697</v>
      </c>
      <c r="F1537" s="7" t="n">
        <v>0</v>
      </c>
    </row>
    <row r="1538" spans="1:9">
      <c r="A1538" t="s">
        <v>4</v>
      </c>
      <c r="B1538" s="4" t="s">
        <v>5</v>
      </c>
      <c r="C1538" s="4" t="s">
        <v>7</v>
      </c>
      <c r="D1538" s="4" t="s">
        <v>7</v>
      </c>
      <c r="E1538" s="4" t="s">
        <v>13</v>
      </c>
      <c r="F1538" s="4" t="s">
        <v>13</v>
      </c>
      <c r="G1538" s="4" t="s">
        <v>13</v>
      </c>
      <c r="H1538" s="4" t="s">
        <v>11</v>
      </c>
    </row>
    <row r="1539" spans="1:9">
      <c r="A1539" t="n">
        <v>13986</v>
      </c>
      <c r="B1539" s="51" t="n">
        <v>45</v>
      </c>
      <c r="C1539" s="7" t="n">
        <v>2</v>
      </c>
      <c r="D1539" s="7" t="n">
        <v>3</v>
      </c>
      <c r="E1539" s="7" t="n">
        <v>0.850000023841858</v>
      </c>
      <c r="F1539" s="7" t="n">
        <v>6.46000003814697</v>
      </c>
      <c r="G1539" s="7" t="n">
        <v>34.5900001525879</v>
      </c>
      <c r="H1539" s="7" t="n">
        <v>30000</v>
      </c>
    </row>
    <row r="1540" spans="1:9">
      <c r="A1540" t="s">
        <v>4</v>
      </c>
      <c r="B1540" s="4" t="s">
        <v>5</v>
      </c>
      <c r="C1540" s="4" t="s">
        <v>7</v>
      </c>
      <c r="D1540" s="4" t="s">
        <v>7</v>
      </c>
      <c r="E1540" s="4" t="s">
        <v>13</v>
      </c>
      <c r="F1540" s="4" t="s">
        <v>13</v>
      </c>
      <c r="G1540" s="4" t="s">
        <v>13</v>
      </c>
      <c r="H1540" s="4" t="s">
        <v>11</v>
      </c>
      <c r="I1540" s="4" t="s">
        <v>7</v>
      </c>
    </row>
    <row r="1541" spans="1:9">
      <c r="A1541" t="n">
        <v>14003</v>
      </c>
      <c r="B1541" s="51" t="n">
        <v>45</v>
      </c>
      <c r="C1541" s="7" t="n">
        <v>4</v>
      </c>
      <c r="D1541" s="7" t="n">
        <v>3</v>
      </c>
      <c r="E1541" s="7" t="n">
        <v>357.279998779297</v>
      </c>
      <c r="F1541" s="7" t="n">
        <v>200.160003662109</v>
      </c>
      <c r="G1541" s="7" t="n">
        <v>0</v>
      </c>
      <c r="H1541" s="7" t="n">
        <v>30000</v>
      </c>
      <c r="I1541" s="7" t="n">
        <v>1</v>
      </c>
    </row>
    <row r="1542" spans="1:9">
      <c r="A1542" t="s">
        <v>4</v>
      </c>
      <c r="B1542" s="4" t="s">
        <v>5</v>
      </c>
      <c r="C1542" s="4" t="s">
        <v>7</v>
      </c>
      <c r="D1542" s="4" t="s">
        <v>7</v>
      </c>
      <c r="E1542" s="4" t="s">
        <v>13</v>
      </c>
      <c r="F1542" s="4" t="s">
        <v>11</v>
      </c>
    </row>
    <row r="1543" spans="1:9">
      <c r="A1543" t="n">
        <v>14021</v>
      </c>
      <c r="B1543" s="51" t="n">
        <v>45</v>
      </c>
      <c r="C1543" s="7" t="n">
        <v>5</v>
      </c>
      <c r="D1543" s="7" t="n">
        <v>3</v>
      </c>
      <c r="E1543" s="7" t="n">
        <v>1.60000002384186</v>
      </c>
      <c r="F1543" s="7" t="n">
        <v>30000</v>
      </c>
    </row>
    <row r="1544" spans="1:9">
      <c r="A1544" t="s">
        <v>4</v>
      </c>
      <c r="B1544" s="4" t="s">
        <v>5</v>
      </c>
      <c r="C1544" s="4" t="s">
        <v>7</v>
      </c>
      <c r="D1544" s="4" t="s">
        <v>7</v>
      </c>
      <c r="E1544" s="4" t="s">
        <v>13</v>
      </c>
      <c r="F1544" s="4" t="s">
        <v>11</v>
      </c>
    </row>
    <row r="1545" spans="1:9">
      <c r="A1545" t="n">
        <v>14030</v>
      </c>
      <c r="B1545" s="51" t="n">
        <v>45</v>
      </c>
      <c r="C1545" s="7" t="n">
        <v>11</v>
      </c>
      <c r="D1545" s="7" t="n">
        <v>3</v>
      </c>
      <c r="E1545" s="7" t="n">
        <v>30.6000003814697</v>
      </c>
      <c r="F1545" s="7" t="n">
        <v>30000</v>
      </c>
    </row>
    <row r="1546" spans="1:9">
      <c r="A1546" t="s">
        <v>4</v>
      </c>
      <c r="B1546" s="4" t="s">
        <v>5</v>
      </c>
      <c r="C1546" s="4" t="s">
        <v>7</v>
      </c>
      <c r="D1546" s="4" t="s">
        <v>11</v>
      </c>
    </row>
    <row r="1547" spans="1:9">
      <c r="A1547" t="n">
        <v>14039</v>
      </c>
      <c r="B1547" s="23" t="n">
        <v>58</v>
      </c>
      <c r="C1547" s="7" t="n">
        <v>255</v>
      </c>
      <c r="D1547" s="7" t="n">
        <v>0</v>
      </c>
    </row>
    <row r="1548" spans="1:9">
      <c r="A1548" t="s">
        <v>4</v>
      </c>
      <c r="B1548" s="4" t="s">
        <v>5</v>
      </c>
      <c r="C1548" s="4" t="s">
        <v>11</v>
      </c>
    </row>
    <row r="1549" spans="1:9">
      <c r="A1549" t="n">
        <v>14043</v>
      </c>
      <c r="B1549" s="29" t="n">
        <v>16</v>
      </c>
      <c r="C1549" s="7" t="n">
        <v>500</v>
      </c>
    </row>
    <row r="1550" spans="1:9">
      <c r="A1550" t="s">
        <v>4</v>
      </c>
      <c r="B1550" s="4" t="s">
        <v>5</v>
      </c>
      <c r="C1550" s="4" t="s">
        <v>7</v>
      </c>
      <c r="D1550" s="4" t="s">
        <v>11</v>
      </c>
      <c r="E1550" s="4" t="s">
        <v>11</v>
      </c>
      <c r="F1550" s="4" t="s">
        <v>7</v>
      </c>
    </row>
    <row r="1551" spans="1:9">
      <c r="A1551" t="n">
        <v>14046</v>
      </c>
      <c r="B1551" s="31" t="n">
        <v>25</v>
      </c>
      <c r="C1551" s="7" t="n">
        <v>1</v>
      </c>
      <c r="D1551" s="7" t="n">
        <v>750</v>
      </c>
      <c r="E1551" s="7" t="n">
        <v>80</v>
      </c>
      <c r="F1551" s="7" t="n">
        <v>0</v>
      </c>
    </row>
    <row r="1552" spans="1:9">
      <c r="A1552" t="s">
        <v>4</v>
      </c>
      <c r="B1552" s="4" t="s">
        <v>5</v>
      </c>
      <c r="C1552" s="4" t="s">
        <v>7</v>
      </c>
      <c r="D1552" s="4" t="s">
        <v>7</v>
      </c>
      <c r="E1552" s="4" t="s">
        <v>7</v>
      </c>
      <c r="F1552" s="4" t="s">
        <v>7</v>
      </c>
    </row>
    <row r="1553" spans="1:9">
      <c r="A1553" t="n">
        <v>14053</v>
      </c>
      <c r="B1553" s="9" t="n">
        <v>14</v>
      </c>
      <c r="C1553" s="7" t="n">
        <v>0</v>
      </c>
      <c r="D1553" s="7" t="n">
        <v>128</v>
      </c>
      <c r="E1553" s="7" t="n">
        <v>0</v>
      </c>
      <c r="F1553" s="7" t="n">
        <v>0</v>
      </c>
    </row>
    <row r="1554" spans="1:9">
      <c r="A1554" t="s">
        <v>4</v>
      </c>
      <c r="B1554" s="4" t="s">
        <v>5</v>
      </c>
      <c r="C1554" s="4" t="s">
        <v>8</v>
      </c>
      <c r="D1554" s="4" t="s">
        <v>11</v>
      </c>
    </row>
    <row r="1555" spans="1:9">
      <c r="A1555" t="n">
        <v>14058</v>
      </c>
      <c r="B1555" s="67" t="n">
        <v>29</v>
      </c>
      <c r="C1555" s="7" t="s">
        <v>157</v>
      </c>
      <c r="D1555" s="7" t="n">
        <v>65533</v>
      </c>
    </row>
    <row r="1556" spans="1:9">
      <c r="A1556" t="s">
        <v>4</v>
      </c>
      <c r="B1556" s="4" t="s">
        <v>5</v>
      </c>
      <c r="C1556" s="4" t="s">
        <v>7</v>
      </c>
      <c r="D1556" s="4" t="s">
        <v>11</v>
      </c>
      <c r="E1556" s="4" t="s">
        <v>8</v>
      </c>
    </row>
    <row r="1557" spans="1:9">
      <c r="A1557" t="n">
        <v>14075</v>
      </c>
      <c r="B1557" s="38" t="n">
        <v>51</v>
      </c>
      <c r="C1557" s="7" t="n">
        <v>4</v>
      </c>
      <c r="D1557" s="7" t="n">
        <v>1600</v>
      </c>
      <c r="E1557" s="7" t="s">
        <v>137</v>
      </c>
    </row>
    <row r="1558" spans="1:9">
      <c r="A1558" t="s">
        <v>4</v>
      </c>
      <c r="B1558" s="4" t="s">
        <v>5</v>
      </c>
      <c r="C1558" s="4" t="s">
        <v>11</v>
      </c>
    </row>
    <row r="1559" spans="1:9">
      <c r="A1559" t="n">
        <v>14088</v>
      </c>
      <c r="B1559" s="29" t="n">
        <v>16</v>
      </c>
      <c r="C1559" s="7" t="n">
        <v>0</v>
      </c>
    </row>
    <row r="1560" spans="1:9">
      <c r="A1560" t="s">
        <v>4</v>
      </c>
      <c r="B1560" s="4" t="s">
        <v>5</v>
      </c>
      <c r="C1560" s="4" t="s">
        <v>11</v>
      </c>
      <c r="D1560" s="4" t="s">
        <v>7</v>
      </c>
      <c r="E1560" s="4" t="s">
        <v>15</v>
      </c>
      <c r="F1560" s="4" t="s">
        <v>55</v>
      </c>
      <c r="G1560" s="4" t="s">
        <v>7</v>
      </c>
      <c r="H1560" s="4" t="s">
        <v>7</v>
      </c>
      <c r="I1560" s="4" t="s">
        <v>7</v>
      </c>
      <c r="J1560" s="4" t="s">
        <v>15</v>
      </c>
      <c r="K1560" s="4" t="s">
        <v>55</v>
      </c>
      <c r="L1560" s="4" t="s">
        <v>7</v>
      </c>
      <c r="M1560" s="4" t="s">
        <v>7</v>
      </c>
      <c r="N1560" s="4" t="s">
        <v>7</v>
      </c>
      <c r="O1560" s="4" t="s">
        <v>15</v>
      </c>
      <c r="P1560" s="4" t="s">
        <v>55</v>
      </c>
      <c r="Q1560" s="4" t="s">
        <v>7</v>
      </c>
      <c r="R1560" s="4" t="s">
        <v>7</v>
      </c>
    </row>
    <row r="1561" spans="1:9">
      <c r="A1561" t="n">
        <v>14091</v>
      </c>
      <c r="B1561" s="55" t="n">
        <v>26</v>
      </c>
      <c r="C1561" s="7" t="n">
        <v>1600</v>
      </c>
      <c r="D1561" s="7" t="n">
        <v>17</v>
      </c>
      <c r="E1561" s="7" t="n">
        <v>16431</v>
      </c>
      <c r="F1561" s="7" t="s">
        <v>170</v>
      </c>
      <c r="G1561" s="7" t="n">
        <v>2</v>
      </c>
      <c r="H1561" s="7" t="n">
        <v>3</v>
      </c>
      <c r="I1561" s="7" t="n">
        <v>17</v>
      </c>
      <c r="J1561" s="7" t="n">
        <v>16432</v>
      </c>
      <c r="K1561" s="7" t="s">
        <v>171</v>
      </c>
      <c r="L1561" s="7" t="n">
        <v>2</v>
      </c>
      <c r="M1561" s="7" t="n">
        <v>3</v>
      </c>
      <c r="N1561" s="7" t="n">
        <v>17</v>
      </c>
      <c r="O1561" s="7" t="n">
        <v>16433</v>
      </c>
      <c r="P1561" s="7" t="s">
        <v>172</v>
      </c>
      <c r="Q1561" s="7" t="n">
        <v>2</v>
      </c>
      <c r="R1561" s="7" t="n">
        <v>0</v>
      </c>
    </row>
    <row r="1562" spans="1:9">
      <c r="A1562" t="s">
        <v>4</v>
      </c>
      <c r="B1562" s="4" t="s">
        <v>5</v>
      </c>
    </row>
    <row r="1563" spans="1:9">
      <c r="A1563" t="n">
        <v>14277</v>
      </c>
      <c r="B1563" s="27" t="n">
        <v>28</v>
      </c>
    </row>
    <row r="1564" spans="1:9">
      <c r="A1564" t="s">
        <v>4</v>
      </c>
      <c r="B1564" s="4" t="s">
        <v>5</v>
      </c>
      <c r="C1564" s="4" t="s">
        <v>15</v>
      </c>
    </row>
    <row r="1565" spans="1:9">
      <c r="A1565" t="n">
        <v>14278</v>
      </c>
      <c r="B1565" s="61" t="n">
        <v>15</v>
      </c>
      <c r="C1565" s="7" t="n">
        <v>32768</v>
      </c>
    </row>
    <row r="1566" spans="1:9">
      <c r="A1566" t="s">
        <v>4</v>
      </c>
      <c r="B1566" s="4" t="s">
        <v>5</v>
      </c>
      <c r="C1566" s="4" t="s">
        <v>11</v>
      </c>
      <c r="D1566" s="4" t="s">
        <v>7</v>
      </c>
    </row>
    <row r="1567" spans="1:9">
      <c r="A1567" t="n">
        <v>14283</v>
      </c>
      <c r="B1567" s="68" t="n">
        <v>89</v>
      </c>
      <c r="C1567" s="7" t="n">
        <v>65533</v>
      </c>
      <c r="D1567" s="7" t="n">
        <v>1</v>
      </c>
    </row>
    <row r="1568" spans="1:9">
      <c r="A1568" t="s">
        <v>4</v>
      </c>
      <c r="B1568" s="4" t="s">
        <v>5</v>
      </c>
      <c r="C1568" s="4" t="s">
        <v>7</v>
      </c>
      <c r="D1568" s="4" t="s">
        <v>11</v>
      </c>
      <c r="E1568" s="4" t="s">
        <v>11</v>
      </c>
      <c r="F1568" s="4" t="s">
        <v>7</v>
      </c>
    </row>
    <row r="1569" spans="1:18">
      <c r="A1569" t="n">
        <v>14287</v>
      </c>
      <c r="B1569" s="31" t="n">
        <v>25</v>
      </c>
      <c r="C1569" s="7" t="n">
        <v>1</v>
      </c>
      <c r="D1569" s="7" t="n">
        <v>65535</v>
      </c>
      <c r="E1569" s="7" t="n">
        <v>65535</v>
      </c>
      <c r="F1569" s="7" t="n">
        <v>0</v>
      </c>
    </row>
    <row r="1570" spans="1:18">
      <c r="A1570" t="s">
        <v>4</v>
      </c>
      <c r="B1570" s="4" t="s">
        <v>5</v>
      </c>
      <c r="C1570" s="4" t="s">
        <v>8</v>
      </c>
      <c r="D1570" s="4" t="s">
        <v>11</v>
      </c>
    </row>
    <row r="1571" spans="1:18">
      <c r="A1571" t="n">
        <v>14294</v>
      </c>
      <c r="B1571" s="67" t="n">
        <v>29</v>
      </c>
      <c r="C1571" s="7" t="s">
        <v>16</v>
      </c>
      <c r="D1571" s="7" t="n">
        <v>65533</v>
      </c>
    </row>
    <row r="1572" spans="1:18">
      <c r="A1572" t="s">
        <v>4</v>
      </c>
      <c r="B1572" s="4" t="s">
        <v>5</v>
      </c>
      <c r="C1572" s="4" t="s">
        <v>7</v>
      </c>
      <c r="D1572" s="4" t="s">
        <v>11</v>
      </c>
      <c r="E1572" s="4" t="s">
        <v>8</v>
      </c>
    </row>
    <row r="1573" spans="1:18">
      <c r="A1573" t="n">
        <v>14298</v>
      </c>
      <c r="B1573" s="38" t="n">
        <v>51</v>
      </c>
      <c r="C1573" s="7" t="n">
        <v>4</v>
      </c>
      <c r="D1573" s="7" t="n">
        <v>0</v>
      </c>
      <c r="E1573" s="7" t="s">
        <v>173</v>
      </c>
    </row>
    <row r="1574" spans="1:18">
      <c r="A1574" t="s">
        <v>4</v>
      </c>
      <c r="B1574" s="4" t="s">
        <v>5</v>
      </c>
      <c r="C1574" s="4" t="s">
        <v>11</v>
      </c>
    </row>
    <row r="1575" spans="1:18">
      <c r="A1575" t="n">
        <v>14311</v>
      </c>
      <c r="B1575" s="29" t="n">
        <v>16</v>
      </c>
      <c r="C1575" s="7" t="n">
        <v>0</v>
      </c>
    </row>
    <row r="1576" spans="1:18">
      <c r="A1576" t="s">
        <v>4</v>
      </c>
      <c r="B1576" s="4" t="s">
        <v>5</v>
      </c>
      <c r="C1576" s="4" t="s">
        <v>11</v>
      </c>
      <c r="D1576" s="4" t="s">
        <v>55</v>
      </c>
      <c r="E1576" s="4" t="s">
        <v>7</v>
      </c>
      <c r="F1576" s="4" t="s">
        <v>7</v>
      </c>
      <c r="G1576" s="4" t="s">
        <v>55</v>
      </c>
      <c r="H1576" s="4" t="s">
        <v>7</v>
      </c>
      <c r="I1576" s="4" t="s">
        <v>7</v>
      </c>
    </row>
    <row r="1577" spans="1:18">
      <c r="A1577" t="n">
        <v>14314</v>
      </c>
      <c r="B1577" s="55" t="n">
        <v>26</v>
      </c>
      <c r="C1577" s="7" t="n">
        <v>0</v>
      </c>
      <c r="D1577" s="7" t="s">
        <v>174</v>
      </c>
      <c r="E1577" s="7" t="n">
        <v>2</v>
      </c>
      <c r="F1577" s="7" t="n">
        <v>3</v>
      </c>
      <c r="G1577" s="7" t="s">
        <v>175</v>
      </c>
      <c r="H1577" s="7" t="n">
        <v>2</v>
      </c>
      <c r="I1577" s="7" t="n">
        <v>0</v>
      </c>
    </row>
    <row r="1578" spans="1:18">
      <c r="A1578" t="s">
        <v>4</v>
      </c>
      <c r="B1578" s="4" t="s">
        <v>5</v>
      </c>
    </row>
    <row r="1579" spans="1:18">
      <c r="A1579" t="n">
        <v>14490</v>
      </c>
      <c r="B1579" s="27" t="n">
        <v>28</v>
      </c>
    </row>
    <row r="1580" spans="1:18">
      <c r="A1580" t="s">
        <v>4</v>
      </c>
      <c r="B1580" s="4" t="s">
        <v>5</v>
      </c>
      <c r="C1580" s="4" t="s">
        <v>11</v>
      </c>
      <c r="D1580" s="4" t="s">
        <v>7</v>
      </c>
    </row>
    <row r="1581" spans="1:18">
      <c r="A1581" t="n">
        <v>14491</v>
      </c>
      <c r="B1581" s="68" t="n">
        <v>89</v>
      </c>
      <c r="C1581" s="7" t="n">
        <v>0</v>
      </c>
      <c r="D1581" s="7" t="n">
        <v>1</v>
      </c>
    </row>
    <row r="1582" spans="1:18">
      <c r="A1582" t="s">
        <v>4</v>
      </c>
      <c r="B1582" s="4" t="s">
        <v>5</v>
      </c>
      <c r="C1582" s="4" t="s">
        <v>7</v>
      </c>
      <c r="D1582" s="4" t="s">
        <v>11</v>
      </c>
      <c r="E1582" s="4" t="s">
        <v>11</v>
      </c>
      <c r="F1582" s="4" t="s">
        <v>7</v>
      </c>
    </row>
    <row r="1583" spans="1:18">
      <c r="A1583" t="n">
        <v>14495</v>
      </c>
      <c r="B1583" s="31" t="n">
        <v>25</v>
      </c>
      <c r="C1583" s="7" t="n">
        <v>1</v>
      </c>
      <c r="D1583" s="7" t="n">
        <v>700</v>
      </c>
      <c r="E1583" s="7" t="n">
        <v>100</v>
      </c>
      <c r="F1583" s="7" t="n">
        <v>0</v>
      </c>
    </row>
    <row r="1584" spans="1:18">
      <c r="A1584" t="s">
        <v>4</v>
      </c>
      <c r="B1584" s="4" t="s">
        <v>5</v>
      </c>
      <c r="C1584" s="4" t="s">
        <v>7</v>
      </c>
      <c r="D1584" s="4" t="s">
        <v>7</v>
      </c>
      <c r="E1584" s="4" t="s">
        <v>7</v>
      </c>
      <c r="F1584" s="4" t="s">
        <v>7</v>
      </c>
    </row>
    <row r="1585" spans="1:9">
      <c r="A1585" t="n">
        <v>14502</v>
      </c>
      <c r="B1585" s="9" t="n">
        <v>14</v>
      </c>
      <c r="C1585" s="7" t="n">
        <v>0</v>
      </c>
      <c r="D1585" s="7" t="n">
        <v>128</v>
      </c>
      <c r="E1585" s="7" t="n">
        <v>0</v>
      </c>
      <c r="F1585" s="7" t="n">
        <v>0</v>
      </c>
    </row>
    <row r="1586" spans="1:9">
      <c r="A1586" t="s">
        <v>4</v>
      </c>
      <c r="B1586" s="4" t="s">
        <v>5</v>
      </c>
      <c r="C1586" s="4" t="s">
        <v>8</v>
      </c>
      <c r="D1586" s="4" t="s">
        <v>11</v>
      </c>
    </row>
    <row r="1587" spans="1:9">
      <c r="A1587" t="n">
        <v>14507</v>
      </c>
      <c r="B1587" s="67" t="n">
        <v>29</v>
      </c>
      <c r="C1587" s="7" t="s">
        <v>157</v>
      </c>
      <c r="D1587" s="7" t="n">
        <v>65533</v>
      </c>
    </row>
    <row r="1588" spans="1:9">
      <c r="A1588" t="s">
        <v>4</v>
      </c>
      <c r="B1588" s="4" t="s">
        <v>5</v>
      </c>
      <c r="C1588" s="4" t="s">
        <v>7</v>
      </c>
      <c r="D1588" s="4" t="s">
        <v>11</v>
      </c>
      <c r="E1588" s="4" t="s">
        <v>8</v>
      </c>
    </row>
    <row r="1589" spans="1:9">
      <c r="A1589" t="n">
        <v>14524</v>
      </c>
      <c r="B1589" s="38" t="n">
        <v>51</v>
      </c>
      <c r="C1589" s="7" t="n">
        <v>4</v>
      </c>
      <c r="D1589" s="7" t="n">
        <v>1600</v>
      </c>
      <c r="E1589" s="7" t="s">
        <v>137</v>
      </c>
    </row>
    <row r="1590" spans="1:9">
      <c r="A1590" t="s">
        <v>4</v>
      </c>
      <c r="B1590" s="4" t="s">
        <v>5</v>
      </c>
      <c r="C1590" s="4" t="s">
        <v>11</v>
      </c>
    </row>
    <row r="1591" spans="1:9">
      <c r="A1591" t="n">
        <v>14537</v>
      </c>
      <c r="B1591" s="29" t="n">
        <v>16</v>
      </c>
      <c r="C1591" s="7" t="n">
        <v>0</v>
      </c>
    </row>
    <row r="1592" spans="1:9">
      <c r="A1592" t="s">
        <v>4</v>
      </c>
      <c r="B1592" s="4" t="s">
        <v>5</v>
      </c>
      <c r="C1592" s="4" t="s">
        <v>11</v>
      </c>
      <c r="D1592" s="4" t="s">
        <v>7</v>
      </c>
      <c r="E1592" s="4" t="s">
        <v>15</v>
      </c>
      <c r="F1592" s="4" t="s">
        <v>55</v>
      </c>
      <c r="G1592" s="4" t="s">
        <v>7</v>
      </c>
      <c r="H1592" s="4" t="s">
        <v>7</v>
      </c>
      <c r="I1592" s="4" t="s">
        <v>7</v>
      </c>
      <c r="J1592" s="4" t="s">
        <v>15</v>
      </c>
      <c r="K1592" s="4" t="s">
        <v>55</v>
      </c>
      <c r="L1592" s="4" t="s">
        <v>7</v>
      </c>
      <c r="M1592" s="4" t="s">
        <v>7</v>
      </c>
      <c r="N1592" s="4" t="s">
        <v>7</v>
      </c>
      <c r="O1592" s="4" t="s">
        <v>15</v>
      </c>
      <c r="P1592" s="4" t="s">
        <v>55</v>
      </c>
      <c r="Q1592" s="4" t="s">
        <v>7</v>
      </c>
      <c r="R1592" s="4" t="s">
        <v>7</v>
      </c>
    </row>
    <row r="1593" spans="1:9">
      <c r="A1593" t="n">
        <v>14540</v>
      </c>
      <c r="B1593" s="55" t="n">
        <v>26</v>
      </c>
      <c r="C1593" s="7" t="n">
        <v>1600</v>
      </c>
      <c r="D1593" s="7" t="n">
        <v>17</v>
      </c>
      <c r="E1593" s="7" t="n">
        <v>16434</v>
      </c>
      <c r="F1593" s="7" t="s">
        <v>176</v>
      </c>
      <c r="G1593" s="7" t="n">
        <v>2</v>
      </c>
      <c r="H1593" s="7" t="n">
        <v>3</v>
      </c>
      <c r="I1593" s="7" t="n">
        <v>17</v>
      </c>
      <c r="J1593" s="7" t="n">
        <v>16435</v>
      </c>
      <c r="K1593" s="7" t="s">
        <v>177</v>
      </c>
      <c r="L1593" s="7" t="n">
        <v>2</v>
      </c>
      <c r="M1593" s="7" t="n">
        <v>3</v>
      </c>
      <c r="N1593" s="7" t="n">
        <v>17</v>
      </c>
      <c r="O1593" s="7" t="n">
        <v>16436</v>
      </c>
      <c r="P1593" s="7" t="s">
        <v>178</v>
      </c>
      <c r="Q1593" s="7" t="n">
        <v>2</v>
      </c>
      <c r="R1593" s="7" t="n">
        <v>0</v>
      </c>
    </row>
    <row r="1594" spans="1:9">
      <c r="A1594" t="s">
        <v>4</v>
      </c>
      <c r="B1594" s="4" t="s">
        <v>5</v>
      </c>
    </row>
    <row r="1595" spans="1:9">
      <c r="A1595" t="n">
        <v>14829</v>
      </c>
      <c r="B1595" s="27" t="n">
        <v>28</v>
      </c>
    </row>
    <row r="1596" spans="1:9">
      <c r="A1596" t="s">
        <v>4</v>
      </c>
      <c r="B1596" s="4" t="s">
        <v>5</v>
      </c>
      <c r="C1596" s="4" t="s">
        <v>15</v>
      </c>
    </row>
    <row r="1597" spans="1:9">
      <c r="A1597" t="n">
        <v>14830</v>
      </c>
      <c r="B1597" s="61" t="n">
        <v>15</v>
      </c>
      <c r="C1597" s="7" t="n">
        <v>32768</v>
      </c>
    </row>
    <row r="1598" spans="1:9">
      <c r="A1598" t="s">
        <v>4</v>
      </c>
      <c r="B1598" s="4" t="s">
        <v>5</v>
      </c>
      <c r="C1598" s="4" t="s">
        <v>11</v>
      </c>
      <c r="D1598" s="4" t="s">
        <v>7</v>
      </c>
    </row>
    <row r="1599" spans="1:9">
      <c r="A1599" t="n">
        <v>14835</v>
      </c>
      <c r="B1599" s="68" t="n">
        <v>89</v>
      </c>
      <c r="C1599" s="7" t="n">
        <v>65533</v>
      </c>
      <c r="D1599" s="7" t="n">
        <v>1</v>
      </c>
    </row>
    <row r="1600" spans="1:9">
      <c r="A1600" t="s">
        <v>4</v>
      </c>
      <c r="B1600" s="4" t="s">
        <v>5</v>
      </c>
      <c r="C1600" s="4" t="s">
        <v>7</v>
      </c>
      <c r="D1600" s="4" t="s">
        <v>11</v>
      </c>
      <c r="E1600" s="4" t="s">
        <v>11</v>
      </c>
      <c r="F1600" s="4" t="s">
        <v>7</v>
      </c>
    </row>
    <row r="1601" spans="1:18">
      <c r="A1601" t="n">
        <v>14839</v>
      </c>
      <c r="B1601" s="31" t="n">
        <v>25</v>
      </c>
      <c r="C1601" s="7" t="n">
        <v>1</v>
      </c>
      <c r="D1601" s="7" t="n">
        <v>65535</v>
      </c>
      <c r="E1601" s="7" t="n">
        <v>65535</v>
      </c>
      <c r="F1601" s="7" t="n">
        <v>0</v>
      </c>
    </row>
    <row r="1602" spans="1:18">
      <c r="A1602" t="s">
        <v>4</v>
      </c>
      <c r="B1602" s="4" t="s">
        <v>5</v>
      </c>
      <c r="C1602" s="4" t="s">
        <v>8</v>
      </c>
      <c r="D1602" s="4" t="s">
        <v>11</v>
      </c>
    </row>
    <row r="1603" spans="1:18">
      <c r="A1603" t="n">
        <v>14846</v>
      </c>
      <c r="B1603" s="67" t="n">
        <v>29</v>
      </c>
      <c r="C1603" s="7" t="s">
        <v>16</v>
      </c>
      <c r="D1603" s="7" t="n">
        <v>65533</v>
      </c>
    </row>
    <row r="1604" spans="1:18">
      <c r="A1604" t="s">
        <v>4</v>
      </c>
      <c r="B1604" s="4" t="s">
        <v>5</v>
      </c>
      <c r="C1604" s="4" t="s">
        <v>7</v>
      </c>
      <c r="D1604" s="4" t="s">
        <v>11</v>
      </c>
      <c r="E1604" s="4" t="s">
        <v>8</v>
      </c>
    </row>
    <row r="1605" spans="1:18">
      <c r="A1605" t="n">
        <v>14850</v>
      </c>
      <c r="B1605" s="38" t="n">
        <v>51</v>
      </c>
      <c r="C1605" s="7" t="n">
        <v>4</v>
      </c>
      <c r="D1605" s="7" t="n">
        <v>0</v>
      </c>
      <c r="E1605" s="7" t="s">
        <v>179</v>
      </c>
    </row>
    <row r="1606" spans="1:18">
      <c r="A1606" t="s">
        <v>4</v>
      </c>
      <c r="B1606" s="4" t="s">
        <v>5</v>
      </c>
      <c r="C1606" s="4" t="s">
        <v>11</v>
      </c>
    </row>
    <row r="1607" spans="1:18">
      <c r="A1607" t="n">
        <v>14864</v>
      </c>
      <c r="B1607" s="29" t="n">
        <v>16</v>
      </c>
      <c r="C1607" s="7" t="n">
        <v>0</v>
      </c>
    </row>
    <row r="1608" spans="1:18">
      <c r="A1608" t="s">
        <v>4</v>
      </c>
      <c r="B1608" s="4" t="s">
        <v>5</v>
      </c>
      <c r="C1608" s="4" t="s">
        <v>11</v>
      </c>
      <c r="D1608" s="4" t="s">
        <v>55</v>
      </c>
      <c r="E1608" s="4" t="s">
        <v>7</v>
      </c>
      <c r="F1608" s="4" t="s">
        <v>7</v>
      </c>
      <c r="G1608" s="4" t="s">
        <v>55</v>
      </c>
      <c r="H1608" s="4" t="s">
        <v>7</v>
      </c>
      <c r="I1608" s="4" t="s">
        <v>7</v>
      </c>
      <c r="J1608" s="4" t="s">
        <v>55</v>
      </c>
      <c r="K1608" s="4" t="s">
        <v>7</v>
      </c>
      <c r="L1608" s="4" t="s">
        <v>7</v>
      </c>
    </row>
    <row r="1609" spans="1:18">
      <c r="A1609" t="n">
        <v>14867</v>
      </c>
      <c r="B1609" s="55" t="n">
        <v>26</v>
      </c>
      <c r="C1609" s="7" t="n">
        <v>0</v>
      </c>
      <c r="D1609" s="7" t="s">
        <v>180</v>
      </c>
      <c r="E1609" s="7" t="n">
        <v>2</v>
      </c>
      <c r="F1609" s="7" t="n">
        <v>3</v>
      </c>
      <c r="G1609" s="7" t="s">
        <v>181</v>
      </c>
      <c r="H1609" s="7" t="n">
        <v>2</v>
      </c>
      <c r="I1609" s="7" t="n">
        <v>3</v>
      </c>
      <c r="J1609" s="7" t="s">
        <v>182</v>
      </c>
      <c r="K1609" s="7" t="n">
        <v>2</v>
      </c>
      <c r="L1609" s="7" t="n">
        <v>0</v>
      </c>
    </row>
    <row r="1610" spans="1:18">
      <c r="A1610" t="s">
        <v>4</v>
      </c>
      <c r="B1610" s="4" t="s">
        <v>5</v>
      </c>
    </row>
    <row r="1611" spans="1:18">
      <c r="A1611" t="n">
        <v>15008</v>
      </c>
      <c r="B1611" s="27" t="n">
        <v>28</v>
      </c>
    </row>
    <row r="1612" spans="1:18">
      <c r="A1612" t="s">
        <v>4</v>
      </c>
      <c r="B1612" s="4" t="s">
        <v>5</v>
      </c>
      <c r="C1612" s="4" t="s">
        <v>11</v>
      </c>
      <c r="D1612" s="4" t="s">
        <v>7</v>
      </c>
    </row>
    <row r="1613" spans="1:18">
      <c r="A1613" t="n">
        <v>15009</v>
      </c>
      <c r="B1613" s="68" t="n">
        <v>89</v>
      </c>
      <c r="C1613" s="7" t="n">
        <v>0</v>
      </c>
      <c r="D1613" s="7" t="n">
        <v>1</v>
      </c>
    </row>
    <row r="1614" spans="1:18">
      <c r="A1614" t="s">
        <v>4</v>
      </c>
      <c r="B1614" s="4" t="s">
        <v>5</v>
      </c>
      <c r="C1614" s="4" t="s">
        <v>7</v>
      </c>
      <c r="D1614" s="4" t="s">
        <v>11</v>
      </c>
      <c r="E1614" s="4" t="s">
        <v>11</v>
      </c>
      <c r="F1614" s="4" t="s">
        <v>7</v>
      </c>
    </row>
    <row r="1615" spans="1:18">
      <c r="A1615" t="n">
        <v>15013</v>
      </c>
      <c r="B1615" s="31" t="n">
        <v>25</v>
      </c>
      <c r="C1615" s="7" t="n">
        <v>1</v>
      </c>
      <c r="D1615" s="7" t="n">
        <v>700</v>
      </c>
      <c r="E1615" s="7" t="n">
        <v>120</v>
      </c>
      <c r="F1615" s="7" t="n">
        <v>0</v>
      </c>
    </row>
    <row r="1616" spans="1:18">
      <c r="A1616" t="s">
        <v>4</v>
      </c>
      <c r="B1616" s="4" t="s">
        <v>5</v>
      </c>
      <c r="C1616" s="4" t="s">
        <v>7</v>
      </c>
      <c r="D1616" s="4" t="s">
        <v>7</v>
      </c>
      <c r="E1616" s="4" t="s">
        <v>7</v>
      </c>
      <c r="F1616" s="4" t="s">
        <v>7</v>
      </c>
    </row>
    <row r="1617" spans="1:12">
      <c r="A1617" t="n">
        <v>15020</v>
      </c>
      <c r="B1617" s="9" t="n">
        <v>14</v>
      </c>
      <c r="C1617" s="7" t="n">
        <v>0</v>
      </c>
      <c r="D1617" s="7" t="n">
        <v>128</v>
      </c>
      <c r="E1617" s="7" t="n">
        <v>0</v>
      </c>
      <c r="F1617" s="7" t="n">
        <v>0</v>
      </c>
    </row>
    <row r="1618" spans="1:12">
      <c r="A1618" t="s">
        <v>4</v>
      </c>
      <c r="B1618" s="4" t="s">
        <v>5</v>
      </c>
      <c r="C1618" s="4" t="s">
        <v>8</v>
      </c>
      <c r="D1618" s="4" t="s">
        <v>11</v>
      </c>
    </row>
    <row r="1619" spans="1:12">
      <c r="A1619" t="n">
        <v>15025</v>
      </c>
      <c r="B1619" s="67" t="n">
        <v>29</v>
      </c>
      <c r="C1619" s="7" t="s">
        <v>157</v>
      </c>
      <c r="D1619" s="7" t="n">
        <v>65533</v>
      </c>
    </row>
    <row r="1620" spans="1:12">
      <c r="A1620" t="s">
        <v>4</v>
      </c>
      <c r="B1620" s="4" t="s">
        <v>5</v>
      </c>
      <c r="C1620" s="4" t="s">
        <v>7</v>
      </c>
      <c r="D1620" s="4" t="s">
        <v>11</v>
      </c>
      <c r="E1620" s="4" t="s">
        <v>8</v>
      </c>
    </row>
    <row r="1621" spans="1:12">
      <c r="A1621" t="n">
        <v>15042</v>
      </c>
      <c r="B1621" s="38" t="n">
        <v>51</v>
      </c>
      <c r="C1621" s="7" t="n">
        <v>4</v>
      </c>
      <c r="D1621" s="7" t="n">
        <v>1600</v>
      </c>
      <c r="E1621" s="7" t="s">
        <v>137</v>
      </c>
    </row>
    <row r="1622" spans="1:12">
      <c r="A1622" t="s">
        <v>4</v>
      </c>
      <c r="B1622" s="4" t="s">
        <v>5</v>
      </c>
      <c r="C1622" s="4" t="s">
        <v>11</v>
      </c>
    </row>
    <row r="1623" spans="1:12">
      <c r="A1623" t="n">
        <v>15055</v>
      </c>
      <c r="B1623" s="29" t="n">
        <v>16</v>
      </c>
      <c r="C1623" s="7" t="n">
        <v>0</v>
      </c>
    </row>
    <row r="1624" spans="1:12">
      <c r="A1624" t="s">
        <v>4</v>
      </c>
      <c r="B1624" s="4" t="s">
        <v>5</v>
      </c>
      <c r="C1624" s="4" t="s">
        <v>11</v>
      </c>
      <c r="D1624" s="4" t="s">
        <v>7</v>
      </c>
      <c r="E1624" s="4" t="s">
        <v>15</v>
      </c>
      <c r="F1624" s="4" t="s">
        <v>55</v>
      </c>
      <c r="G1624" s="4" t="s">
        <v>7</v>
      </c>
      <c r="H1624" s="4" t="s">
        <v>7</v>
      </c>
      <c r="I1624" s="4" t="s">
        <v>7</v>
      </c>
      <c r="J1624" s="4" t="s">
        <v>15</v>
      </c>
      <c r="K1624" s="4" t="s">
        <v>55</v>
      </c>
      <c r="L1624" s="4" t="s">
        <v>7</v>
      </c>
      <c r="M1624" s="4" t="s">
        <v>7</v>
      </c>
    </row>
    <row r="1625" spans="1:12">
      <c r="A1625" t="n">
        <v>15058</v>
      </c>
      <c r="B1625" s="55" t="n">
        <v>26</v>
      </c>
      <c r="C1625" s="7" t="n">
        <v>1600</v>
      </c>
      <c r="D1625" s="7" t="n">
        <v>17</v>
      </c>
      <c r="E1625" s="7" t="n">
        <v>16437</v>
      </c>
      <c r="F1625" s="7" t="s">
        <v>183</v>
      </c>
      <c r="G1625" s="7" t="n">
        <v>2</v>
      </c>
      <c r="H1625" s="7" t="n">
        <v>3</v>
      </c>
      <c r="I1625" s="7" t="n">
        <v>17</v>
      </c>
      <c r="J1625" s="7" t="n">
        <v>16954</v>
      </c>
      <c r="K1625" s="7" t="s">
        <v>184</v>
      </c>
      <c r="L1625" s="7" t="n">
        <v>2</v>
      </c>
      <c r="M1625" s="7" t="n">
        <v>0</v>
      </c>
    </row>
    <row r="1626" spans="1:12">
      <c r="A1626" t="s">
        <v>4</v>
      </c>
      <c r="B1626" s="4" t="s">
        <v>5</v>
      </c>
    </row>
    <row r="1627" spans="1:12">
      <c r="A1627" t="n">
        <v>15115</v>
      </c>
      <c r="B1627" s="27" t="n">
        <v>28</v>
      </c>
    </row>
    <row r="1628" spans="1:12">
      <c r="A1628" t="s">
        <v>4</v>
      </c>
      <c r="B1628" s="4" t="s">
        <v>5</v>
      </c>
      <c r="C1628" s="4" t="s">
        <v>15</v>
      </c>
    </row>
    <row r="1629" spans="1:12">
      <c r="A1629" t="n">
        <v>15116</v>
      </c>
      <c r="B1629" s="61" t="n">
        <v>15</v>
      </c>
      <c r="C1629" s="7" t="n">
        <v>32768</v>
      </c>
    </row>
    <row r="1630" spans="1:12">
      <c r="A1630" t="s">
        <v>4</v>
      </c>
      <c r="B1630" s="4" t="s">
        <v>5</v>
      </c>
      <c r="C1630" s="4" t="s">
        <v>11</v>
      </c>
      <c r="D1630" s="4" t="s">
        <v>7</v>
      </c>
    </row>
    <row r="1631" spans="1:12">
      <c r="A1631" t="n">
        <v>15121</v>
      </c>
      <c r="B1631" s="68" t="n">
        <v>89</v>
      </c>
      <c r="C1631" s="7" t="n">
        <v>65533</v>
      </c>
      <c r="D1631" s="7" t="n">
        <v>1</v>
      </c>
    </row>
    <row r="1632" spans="1:12">
      <c r="A1632" t="s">
        <v>4</v>
      </c>
      <c r="B1632" s="4" t="s">
        <v>5</v>
      </c>
      <c r="C1632" s="4" t="s">
        <v>7</v>
      </c>
      <c r="D1632" s="4" t="s">
        <v>11</v>
      </c>
      <c r="E1632" s="4" t="s">
        <v>11</v>
      </c>
      <c r="F1632" s="4" t="s">
        <v>7</v>
      </c>
    </row>
    <row r="1633" spans="1:13">
      <c r="A1633" t="n">
        <v>15125</v>
      </c>
      <c r="B1633" s="31" t="n">
        <v>25</v>
      </c>
      <c r="C1633" s="7" t="n">
        <v>1</v>
      </c>
      <c r="D1633" s="7" t="n">
        <v>65535</v>
      </c>
      <c r="E1633" s="7" t="n">
        <v>65535</v>
      </c>
      <c r="F1633" s="7" t="n">
        <v>0</v>
      </c>
    </row>
    <row r="1634" spans="1:13">
      <c r="A1634" t="s">
        <v>4</v>
      </c>
      <c r="B1634" s="4" t="s">
        <v>5</v>
      </c>
      <c r="C1634" s="4" t="s">
        <v>8</v>
      </c>
      <c r="D1634" s="4" t="s">
        <v>11</v>
      </c>
    </row>
    <row r="1635" spans="1:13">
      <c r="A1635" t="n">
        <v>15132</v>
      </c>
      <c r="B1635" s="67" t="n">
        <v>29</v>
      </c>
      <c r="C1635" s="7" t="s">
        <v>16</v>
      </c>
      <c r="D1635" s="7" t="n">
        <v>65533</v>
      </c>
    </row>
    <row r="1636" spans="1:13">
      <c r="A1636" t="s">
        <v>4</v>
      </c>
      <c r="B1636" s="4" t="s">
        <v>5</v>
      </c>
      <c r="C1636" s="4" t="s">
        <v>7</v>
      </c>
      <c r="D1636" s="4" t="s">
        <v>11</v>
      </c>
      <c r="E1636" s="4" t="s">
        <v>8</v>
      </c>
    </row>
    <row r="1637" spans="1:13">
      <c r="A1637" t="n">
        <v>15136</v>
      </c>
      <c r="B1637" s="38" t="n">
        <v>51</v>
      </c>
      <c r="C1637" s="7" t="n">
        <v>4</v>
      </c>
      <c r="D1637" s="7" t="n">
        <v>0</v>
      </c>
      <c r="E1637" s="7" t="s">
        <v>147</v>
      </c>
    </row>
    <row r="1638" spans="1:13">
      <c r="A1638" t="s">
        <v>4</v>
      </c>
      <c r="B1638" s="4" t="s">
        <v>5</v>
      </c>
      <c r="C1638" s="4" t="s">
        <v>11</v>
      </c>
    </row>
    <row r="1639" spans="1:13">
      <c r="A1639" t="n">
        <v>15150</v>
      </c>
      <c r="B1639" s="29" t="n">
        <v>16</v>
      </c>
      <c r="C1639" s="7" t="n">
        <v>0</v>
      </c>
    </row>
    <row r="1640" spans="1:13">
      <c r="A1640" t="s">
        <v>4</v>
      </c>
      <c r="B1640" s="4" t="s">
        <v>5</v>
      </c>
      <c r="C1640" s="4" t="s">
        <v>11</v>
      </c>
      <c r="D1640" s="4" t="s">
        <v>55</v>
      </c>
      <c r="E1640" s="4" t="s">
        <v>7</v>
      </c>
      <c r="F1640" s="4" t="s">
        <v>7</v>
      </c>
    </row>
    <row r="1641" spans="1:13">
      <c r="A1641" t="n">
        <v>15153</v>
      </c>
      <c r="B1641" s="55" t="n">
        <v>26</v>
      </c>
      <c r="C1641" s="7" t="n">
        <v>0</v>
      </c>
      <c r="D1641" s="7" t="s">
        <v>185</v>
      </c>
      <c r="E1641" s="7" t="n">
        <v>2</v>
      </c>
      <c r="F1641" s="7" t="n">
        <v>0</v>
      </c>
    </row>
    <row r="1642" spans="1:13">
      <c r="A1642" t="s">
        <v>4</v>
      </c>
      <c r="B1642" s="4" t="s">
        <v>5</v>
      </c>
    </row>
    <row r="1643" spans="1:13">
      <c r="A1643" t="n">
        <v>15182</v>
      </c>
      <c r="B1643" s="27" t="n">
        <v>28</v>
      </c>
    </row>
    <row r="1644" spans="1:13">
      <c r="A1644" t="s">
        <v>4</v>
      </c>
      <c r="B1644" s="4" t="s">
        <v>5</v>
      </c>
      <c r="C1644" s="4" t="s">
        <v>11</v>
      </c>
      <c r="D1644" s="4" t="s">
        <v>7</v>
      </c>
    </row>
    <row r="1645" spans="1:13">
      <c r="A1645" t="n">
        <v>15183</v>
      </c>
      <c r="B1645" s="68" t="n">
        <v>89</v>
      </c>
      <c r="C1645" s="7" t="n">
        <v>0</v>
      </c>
      <c r="D1645" s="7" t="n">
        <v>1</v>
      </c>
    </row>
    <row r="1646" spans="1:13">
      <c r="A1646" t="s">
        <v>4</v>
      </c>
      <c r="B1646" s="4" t="s">
        <v>5</v>
      </c>
      <c r="C1646" s="4" t="s">
        <v>7</v>
      </c>
      <c r="D1646" s="4" t="s">
        <v>11</v>
      </c>
      <c r="E1646" s="4" t="s">
        <v>11</v>
      </c>
      <c r="F1646" s="4" t="s">
        <v>7</v>
      </c>
    </row>
    <row r="1647" spans="1:13">
      <c r="A1647" t="n">
        <v>15187</v>
      </c>
      <c r="B1647" s="31" t="n">
        <v>25</v>
      </c>
      <c r="C1647" s="7" t="n">
        <v>1</v>
      </c>
      <c r="D1647" s="7" t="n">
        <v>700</v>
      </c>
      <c r="E1647" s="7" t="n">
        <v>100</v>
      </c>
      <c r="F1647" s="7" t="n">
        <v>0</v>
      </c>
    </row>
    <row r="1648" spans="1:13">
      <c r="A1648" t="s">
        <v>4</v>
      </c>
      <c r="B1648" s="4" t="s">
        <v>5</v>
      </c>
      <c r="C1648" s="4" t="s">
        <v>7</v>
      </c>
      <c r="D1648" s="4" t="s">
        <v>7</v>
      </c>
      <c r="E1648" s="4" t="s">
        <v>7</v>
      </c>
      <c r="F1648" s="4" t="s">
        <v>7</v>
      </c>
    </row>
    <row r="1649" spans="1:6">
      <c r="A1649" t="n">
        <v>15194</v>
      </c>
      <c r="B1649" s="9" t="n">
        <v>14</v>
      </c>
      <c r="C1649" s="7" t="n">
        <v>0</v>
      </c>
      <c r="D1649" s="7" t="n">
        <v>128</v>
      </c>
      <c r="E1649" s="7" t="n">
        <v>0</v>
      </c>
      <c r="F1649" s="7" t="n">
        <v>0</v>
      </c>
    </row>
    <row r="1650" spans="1:6">
      <c r="A1650" t="s">
        <v>4</v>
      </c>
      <c r="B1650" s="4" t="s">
        <v>5</v>
      </c>
      <c r="C1650" s="4" t="s">
        <v>8</v>
      </c>
      <c r="D1650" s="4" t="s">
        <v>11</v>
      </c>
    </row>
    <row r="1651" spans="1:6">
      <c r="A1651" t="n">
        <v>15199</v>
      </c>
      <c r="B1651" s="67" t="n">
        <v>29</v>
      </c>
      <c r="C1651" s="7" t="s">
        <v>157</v>
      </c>
      <c r="D1651" s="7" t="n">
        <v>65533</v>
      </c>
    </row>
    <row r="1652" spans="1:6">
      <c r="A1652" t="s">
        <v>4</v>
      </c>
      <c r="B1652" s="4" t="s">
        <v>5</v>
      </c>
      <c r="C1652" s="4" t="s">
        <v>7</v>
      </c>
      <c r="D1652" s="4" t="s">
        <v>11</v>
      </c>
      <c r="E1652" s="4" t="s">
        <v>8</v>
      </c>
    </row>
    <row r="1653" spans="1:6">
      <c r="A1653" t="n">
        <v>15216</v>
      </c>
      <c r="B1653" s="38" t="n">
        <v>51</v>
      </c>
      <c r="C1653" s="7" t="n">
        <v>4</v>
      </c>
      <c r="D1653" s="7" t="n">
        <v>1600</v>
      </c>
      <c r="E1653" s="7" t="s">
        <v>137</v>
      </c>
    </row>
    <row r="1654" spans="1:6">
      <c r="A1654" t="s">
        <v>4</v>
      </c>
      <c r="B1654" s="4" t="s">
        <v>5</v>
      </c>
      <c r="C1654" s="4" t="s">
        <v>11</v>
      </c>
    </row>
    <row r="1655" spans="1:6">
      <c r="A1655" t="n">
        <v>15229</v>
      </c>
      <c r="B1655" s="29" t="n">
        <v>16</v>
      </c>
      <c r="C1655" s="7" t="n">
        <v>0</v>
      </c>
    </row>
    <row r="1656" spans="1:6">
      <c r="A1656" t="s">
        <v>4</v>
      </c>
      <c r="B1656" s="4" t="s">
        <v>5</v>
      </c>
      <c r="C1656" s="4" t="s">
        <v>11</v>
      </c>
      <c r="D1656" s="4" t="s">
        <v>7</v>
      </c>
      <c r="E1656" s="4" t="s">
        <v>15</v>
      </c>
      <c r="F1656" s="4" t="s">
        <v>55</v>
      </c>
      <c r="G1656" s="4" t="s">
        <v>7</v>
      </c>
      <c r="H1656" s="4" t="s">
        <v>7</v>
      </c>
      <c r="I1656" s="4" t="s">
        <v>7</v>
      </c>
      <c r="J1656" s="4" t="s">
        <v>15</v>
      </c>
      <c r="K1656" s="4" t="s">
        <v>55</v>
      </c>
      <c r="L1656" s="4" t="s">
        <v>7</v>
      </c>
      <c r="M1656" s="4" t="s">
        <v>7</v>
      </c>
    </row>
    <row r="1657" spans="1:6">
      <c r="A1657" t="n">
        <v>15232</v>
      </c>
      <c r="B1657" s="55" t="n">
        <v>26</v>
      </c>
      <c r="C1657" s="7" t="n">
        <v>1600</v>
      </c>
      <c r="D1657" s="7" t="n">
        <v>17</v>
      </c>
      <c r="E1657" s="7" t="n">
        <v>16438</v>
      </c>
      <c r="F1657" s="7" t="s">
        <v>186</v>
      </c>
      <c r="G1657" s="7" t="n">
        <v>2</v>
      </c>
      <c r="H1657" s="7" t="n">
        <v>3</v>
      </c>
      <c r="I1657" s="7" t="n">
        <v>17</v>
      </c>
      <c r="J1657" s="7" t="n">
        <v>16439</v>
      </c>
      <c r="K1657" s="7" t="s">
        <v>187</v>
      </c>
      <c r="L1657" s="7" t="n">
        <v>2</v>
      </c>
      <c r="M1657" s="7" t="n">
        <v>0</v>
      </c>
    </row>
    <row r="1658" spans="1:6">
      <c r="A1658" t="s">
        <v>4</v>
      </c>
      <c r="B1658" s="4" t="s">
        <v>5</v>
      </c>
    </row>
    <row r="1659" spans="1:6">
      <c r="A1659" t="n">
        <v>15399</v>
      </c>
      <c r="B1659" s="27" t="n">
        <v>28</v>
      </c>
    </row>
    <row r="1660" spans="1:6">
      <c r="A1660" t="s">
        <v>4</v>
      </c>
      <c r="B1660" s="4" t="s">
        <v>5</v>
      </c>
      <c r="C1660" s="4" t="s">
        <v>15</v>
      </c>
    </row>
    <row r="1661" spans="1:6">
      <c r="A1661" t="n">
        <v>15400</v>
      </c>
      <c r="B1661" s="61" t="n">
        <v>15</v>
      </c>
      <c r="C1661" s="7" t="n">
        <v>32768</v>
      </c>
    </row>
    <row r="1662" spans="1:6">
      <c r="A1662" t="s">
        <v>4</v>
      </c>
      <c r="B1662" s="4" t="s">
        <v>5</v>
      </c>
      <c r="C1662" s="4" t="s">
        <v>11</v>
      </c>
      <c r="D1662" s="4" t="s">
        <v>7</v>
      </c>
    </row>
    <row r="1663" spans="1:6">
      <c r="A1663" t="n">
        <v>15405</v>
      </c>
      <c r="B1663" s="68" t="n">
        <v>89</v>
      </c>
      <c r="C1663" s="7" t="n">
        <v>65533</v>
      </c>
      <c r="D1663" s="7" t="n">
        <v>1</v>
      </c>
    </row>
    <row r="1664" spans="1:6">
      <c r="A1664" t="s">
        <v>4</v>
      </c>
      <c r="B1664" s="4" t="s">
        <v>5</v>
      </c>
      <c r="C1664" s="4" t="s">
        <v>7</v>
      </c>
      <c r="D1664" s="4" t="s">
        <v>11</v>
      </c>
      <c r="E1664" s="4" t="s">
        <v>11</v>
      </c>
      <c r="F1664" s="4" t="s">
        <v>7</v>
      </c>
    </row>
    <row r="1665" spans="1:13">
      <c r="A1665" t="n">
        <v>15409</v>
      </c>
      <c r="B1665" s="31" t="n">
        <v>25</v>
      </c>
      <c r="C1665" s="7" t="n">
        <v>1</v>
      </c>
      <c r="D1665" s="7" t="n">
        <v>65535</v>
      </c>
      <c r="E1665" s="7" t="n">
        <v>65535</v>
      </c>
      <c r="F1665" s="7" t="n">
        <v>0</v>
      </c>
    </row>
    <row r="1666" spans="1:13">
      <c r="A1666" t="s">
        <v>4</v>
      </c>
      <c r="B1666" s="4" t="s">
        <v>5</v>
      </c>
      <c r="C1666" s="4" t="s">
        <v>8</v>
      </c>
      <c r="D1666" s="4" t="s">
        <v>11</v>
      </c>
    </row>
    <row r="1667" spans="1:13">
      <c r="A1667" t="n">
        <v>15416</v>
      </c>
      <c r="B1667" s="67" t="n">
        <v>29</v>
      </c>
      <c r="C1667" s="7" t="s">
        <v>16</v>
      </c>
      <c r="D1667" s="7" t="n">
        <v>65533</v>
      </c>
    </row>
    <row r="1668" spans="1:13">
      <c r="A1668" t="s">
        <v>4</v>
      </c>
      <c r="B1668" s="4" t="s">
        <v>5</v>
      </c>
      <c r="C1668" s="4" t="s">
        <v>7</v>
      </c>
      <c r="D1668" s="4" t="s">
        <v>11</v>
      </c>
      <c r="E1668" s="4" t="s">
        <v>8</v>
      </c>
    </row>
    <row r="1669" spans="1:13">
      <c r="A1669" t="n">
        <v>15420</v>
      </c>
      <c r="B1669" s="38" t="n">
        <v>51</v>
      </c>
      <c r="C1669" s="7" t="n">
        <v>4</v>
      </c>
      <c r="D1669" s="7" t="n">
        <v>0</v>
      </c>
      <c r="E1669" s="7" t="s">
        <v>173</v>
      </c>
    </row>
    <row r="1670" spans="1:13">
      <c r="A1670" t="s">
        <v>4</v>
      </c>
      <c r="B1670" s="4" t="s">
        <v>5</v>
      </c>
      <c r="C1670" s="4" t="s">
        <v>11</v>
      </c>
    </row>
    <row r="1671" spans="1:13">
      <c r="A1671" t="n">
        <v>15433</v>
      </c>
      <c r="B1671" s="29" t="n">
        <v>16</v>
      </c>
      <c r="C1671" s="7" t="n">
        <v>0</v>
      </c>
    </row>
    <row r="1672" spans="1:13">
      <c r="A1672" t="s">
        <v>4</v>
      </c>
      <c r="B1672" s="4" t="s">
        <v>5</v>
      </c>
      <c r="C1672" s="4" t="s">
        <v>11</v>
      </c>
      <c r="D1672" s="4" t="s">
        <v>55</v>
      </c>
      <c r="E1672" s="4" t="s">
        <v>7</v>
      </c>
      <c r="F1672" s="4" t="s">
        <v>7</v>
      </c>
      <c r="G1672" s="4" t="s">
        <v>55</v>
      </c>
      <c r="H1672" s="4" t="s">
        <v>7</v>
      </c>
      <c r="I1672" s="4" t="s">
        <v>7</v>
      </c>
    </row>
    <row r="1673" spans="1:13">
      <c r="A1673" t="n">
        <v>15436</v>
      </c>
      <c r="B1673" s="55" t="n">
        <v>26</v>
      </c>
      <c r="C1673" s="7" t="n">
        <v>0</v>
      </c>
      <c r="D1673" s="7" t="s">
        <v>188</v>
      </c>
      <c r="E1673" s="7" t="n">
        <v>2</v>
      </c>
      <c r="F1673" s="7" t="n">
        <v>3</v>
      </c>
      <c r="G1673" s="7" t="s">
        <v>189</v>
      </c>
      <c r="H1673" s="7" t="n">
        <v>2</v>
      </c>
      <c r="I1673" s="7" t="n">
        <v>0</v>
      </c>
    </row>
    <row r="1674" spans="1:13">
      <c r="A1674" t="s">
        <v>4</v>
      </c>
      <c r="B1674" s="4" t="s">
        <v>5</v>
      </c>
    </row>
    <row r="1675" spans="1:13">
      <c r="A1675" t="n">
        <v>15521</v>
      </c>
      <c r="B1675" s="27" t="n">
        <v>28</v>
      </c>
    </row>
    <row r="1676" spans="1:13">
      <c r="A1676" t="s">
        <v>4</v>
      </c>
      <c r="B1676" s="4" t="s">
        <v>5</v>
      </c>
      <c r="C1676" s="4" t="s">
        <v>11</v>
      </c>
      <c r="D1676" s="4" t="s">
        <v>7</v>
      </c>
    </row>
    <row r="1677" spans="1:13">
      <c r="A1677" t="n">
        <v>15522</v>
      </c>
      <c r="B1677" s="68" t="n">
        <v>89</v>
      </c>
      <c r="C1677" s="7" t="n">
        <v>65533</v>
      </c>
      <c r="D1677" s="7" t="n">
        <v>1</v>
      </c>
    </row>
    <row r="1678" spans="1:13">
      <c r="A1678" t="s">
        <v>4</v>
      </c>
      <c r="B1678" s="4" t="s">
        <v>5</v>
      </c>
      <c r="C1678" s="4" t="s">
        <v>7</v>
      </c>
      <c r="D1678" s="4" t="s">
        <v>11</v>
      </c>
      <c r="E1678" s="4" t="s">
        <v>11</v>
      </c>
      <c r="F1678" s="4" t="s">
        <v>7</v>
      </c>
    </row>
    <row r="1679" spans="1:13">
      <c r="A1679" t="n">
        <v>15526</v>
      </c>
      <c r="B1679" s="31" t="n">
        <v>25</v>
      </c>
      <c r="C1679" s="7" t="n">
        <v>1</v>
      </c>
      <c r="D1679" s="7" t="n">
        <v>700</v>
      </c>
      <c r="E1679" s="7" t="n">
        <v>100</v>
      </c>
      <c r="F1679" s="7" t="n">
        <v>0</v>
      </c>
    </row>
    <row r="1680" spans="1:13">
      <c r="A1680" t="s">
        <v>4</v>
      </c>
      <c r="B1680" s="4" t="s">
        <v>5</v>
      </c>
      <c r="C1680" s="4" t="s">
        <v>7</v>
      </c>
      <c r="D1680" s="4" t="s">
        <v>7</v>
      </c>
      <c r="E1680" s="4" t="s">
        <v>7</v>
      </c>
      <c r="F1680" s="4" t="s">
        <v>7</v>
      </c>
    </row>
    <row r="1681" spans="1:9">
      <c r="A1681" t="n">
        <v>15533</v>
      </c>
      <c r="B1681" s="9" t="n">
        <v>14</v>
      </c>
      <c r="C1681" s="7" t="n">
        <v>0</v>
      </c>
      <c r="D1681" s="7" t="n">
        <v>128</v>
      </c>
      <c r="E1681" s="7" t="n">
        <v>0</v>
      </c>
      <c r="F1681" s="7" t="n">
        <v>0</v>
      </c>
    </row>
    <row r="1682" spans="1:9">
      <c r="A1682" t="s">
        <v>4</v>
      </c>
      <c r="B1682" s="4" t="s">
        <v>5</v>
      </c>
      <c r="C1682" s="4" t="s">
        <v>8</v>
      </c>
      <c r="D1682" s="4" t="s">
        <v>11</v>
      </c>
    </row>
    <row r="1683" spans="1:9">
      <c r="A1683" t="n">
        <v>15538</v>
      </c>
      <c r="B1683" s="67" t="n">
        <v>29</v>
      </c>
      <c r="C1683" s="7" t="s">
        <v>157</v>
      </c>
      <c r="D1683" s="7" t="n">
        <v>65533</v>
      </c>
    </row>
    <row r="1684" spans="1:9">
      <c r="A1684" t="s">
        <v>4</v>
      </c>
      <c r="B1684" s="4" t="s">
        <v>5</v>
      </c>
      <c r="C1684" s="4" t="s">
        <v>7</v>
      </c>
      <c r="D1684" s="4" t="s">
        <v>11</v>
      </c>
      <c r="E1684" s="4" t="s">
        <v>8</v>
      </c>
    </row>
    <row r="1685" spans="1:9">
      <c r="A1685" t="n">
        <v>15555</v>
      </c>
      <c r="B1685" s="38" t="n">
        <v>51</v>
      </c>
      <c r="C1685" s="7" t="n">
        <v>4</v>
      </c>
      <c r="D1685" s="7" t="n">
        <v>1600</v>
      </c>
      <c r="E1685" s="7" t="s">
        <v>137</v>
      </c>
    </row>
    <row r="1686" spans="1:9">
      <c r="A1686" t="s">
        <v>4</v>
      </c>
      <c r="B1686" s="4" t="s">
        <v>5</v>
      </c>
      <c r="C1686" s="4" t="s">
        <v>11</v>
      </c>
    </row>
    <row r="1687" spans="1:9">
      <c r="A1687" t="n">
        <v>15568</v>
      </c>
      <c r="B1687" s="29" t="n">
        <v>16</v>
      </c>
      <c r="C1687" s="7" t="n">
        <v>0</v>
      </c>
    </row>
    <row r="1688" spans="1:9">
      <c r="A1688" t="s">
        <v>4</v>
      </c>
      <c r="B1688" s="4" t="s">
        <v>5</v>
      </c>
      <c r="C1688" s="4" t="s">
        <v>11</v>
      </c>
      <c r="D1688" s="4" t="s">
        <v>7</v>
      </c>
      <c r="E1688" s="4" t="s">
        <v>15</v>
      </c>
      <c r="F1688" s="4" t="s">
        <v>55</v>
      </c>
      <c r="G1688" s="4" t="s">
        <v>7</v>
      </c>
      <c r="H1688" s="4" t="s">
        <v>7</v>
      </c>
      <c r="I1688" s="4" t="s">
        <v>7</v>
      </c>
      <c r="J1688" s="4" t="s">
        <v>15</v>
      </c>
      <c r="K1688" s="4" t="s">
        <v>55</v>
      </c>
      <c r="L1688" s="4" t="s">
        <v>7</v>
      </c>
      <c r="M1688" s="4" t="s">
        <v>7</v>
      </c>
    </row>
    <row r="1689" spans="1:9">
      <c r="A1689" t="n">
        <v>15571</v>
      </c>
      <c r="B1689" s="55" t="n">
        <v>26</v>
      </c>
      <c r="C1689" s="7" t="n">
        <v>1600</v>
      </c>
      <c r="D1689" s="7" t="n">
        <v>17</v>
      </c>
      <c r="E1689" s="7" t="n">
        <v>16440</v>
      </c>
      <c r="F1689" s="7" t="s">
        <v>190</v>
      </c>
      <c r="G1689" s="7" t="n">
        <v>2</v>
      </c>
      <c r="H1689" s="7" t="n">
        <v>3</v>
      </c>
      <c r="I1689" s="7" t="n">
        <v>17</v>
      </c>
      <c r="J1689" s="7" t="n">
        <v>16441</v>
      </c>
      <c r="K1689" s="7" t="s">
        <v>191</v>
      </c>
      <c r="L1689" s="7" t="n">
        <v>2</v>
      </c>
      <c r="M1689" s="7" t="n">
        <v>0</v>
      </c>
    </row>
    <row r="1690" spans="1:9">
      <c r="A1690" t="s">
        <v>4</v>
      </c>
      <c r="B1690" s="4" t="s">
        <v>5</v>
      </c>
    </row>
    <row r="1691" spans="1:9">
      <c r="A1691" t="n">
        <v>15663</v>
      </c>
      <c r="B1691" s="27" t="n">
        <v>28</v>
      </c>
    </row>
    <row r="1692" spans="1:9">
      <c r="A1692" t="s">
        <v>4</v>
      </c>
      <c r="B1692" s="4" t="s">
        <v>5</v>
      </c>
      <c r="C1692" s="4" t="s">
        <v>15</v>
      </c>
    </row>
    <row r="1693" spans="1:9">
      <c r="A1693" t="n">
        <v>15664</v>
      </c>
      <c r="B1693" s="61" t="n">
        <v>15</v>
      </c>
      <c r="C1693" s="7" t="n">
        <v>32768</v>
      </c>
    </row>
    <row r="1694" spans="1:9">
      <c r="A1694" t="s">
        <v>4</v>
      </c>
      <c r="B1694" s="4" t="s">
        <v>5</v>
      </c>
      <c r="C1694" s="4" t="s">
        <v>11</v>
      </c>
      <c r="D1694" s="4" t="s">
        <v>7</v>
      </c>
    </row>
    <row r="1695" spans="1:9">
      <c r="A1695" t="n">
        <v>15669</v>
      </c>
      <c r="B1695" s="68" t="n">
        <v>89</v>
      </c>
      <c r="C1695" s="7" t="n">
        <v>65533</v>
      </c>
      <c r="D1695" s="7" t="n">
        <v>1</v>
      </c>
    </row>
    <row r="1696" spans="1:9">
      <c r="A1696" t="s">
        <v>4</v>
      </c>
      <c r="B1696" s="4" t="s">
        <v>5</v>
      </c>
      <c r="C1696" s="4" t="s">
        <v>7</v>
      </c>
      <c r="D1696" s="4" t="s">
        <v>11</v>
      </c>
      <c r="E1696" s="4" t="s">
        <v>11</v>
      </c>
      <c r="F1696" s="4" t="s">
        <v>7</v>
      </c>
    </row>
    <row r="1697" spans="1:13">
      <c r="A1697" t="n">
        <v>15673</v>
      </c>
      <c r="B1697" s="31" t="n">
        <v>25</v>
      </c>
      <c r="C1697" s="7" t="n">
        <v>1</v>
      </c>
      <c r="D1697" s="7" t="n">
        <v>65535</v>
      </c>
      <c r="E1697" s="7" t="n">
        <v>65535</v>
      </c>
      <c r="F1697" s="7" t="n">
        <v>0</v>
      </c>
    </row>
    <row r="1698" spans="1:13">
      <c r="A1698" t="s">
        <v>4</v>
      </c>
      <c r="B1698" s="4" t="s">
        <v>5</v>
      </c>
      <c r="C1698" s="4" t="s">
        <v>8</v>
      </c>
      <c r="D1698" s="4" t="s">
        <v>11</v>
      </c>
    </row>
    <row r="1699" spans="1:13">
      <c r="A1699" t="n">
        <v>15680</v>
      </c>
      <c r="B1699" s="67" t="n">
        <v>29</v>
      </c>
      <c r="C1699" s="7" t="s">
        <v>16</v>
      </c>
      <c r="D1699" s="7" t="n">
        <v>65533</v>
      </c>
    </row>
    <row r="1700" spans="1:13">
      <c r="A1700" t="s">
        <v>4</v>
      </c>
      <c r="B1700" s="4" t="s">
        <v>5</v>
      </c>
      <c r="C1700" s="4" t="s">
        <v>7</v>
      </c>
      <c r="D1700" s="4" t="s">
        <v>11</v>
      </c>
      <c r="E1700" s="4" t="s">
        <v>7</v>
      </c>
    </row>
    <row r="1701" spans="1:13">
      <c r="A1701" t="n">
        <v>15684</v>
      </c>
      <c r="B1701" s="13" t="n">
        <v>49</v>
      </c>
      <c r="C1701" s="7" t="n">
        <v>1</v>
      </c>
      <c r="D1701" s="7" t="n">
        <v>4000</v>
      </c>
      <c r="E1701" s="7" t="n">
        <v>0</v>
      </c>
    </row>
    <row r="1702" spans="1:13">
      <c r="A1702" t="s">
        <v>4</v>
      </c>
      <c r="B1702" s="4" t="s">
        <v>5</v>
      </c>
      <c r="C1702" s="4" t="s">
        <v>7</v>
      </c>
      <c r="D1702" s="4" t="s">
        <v>11</v>
      </c>
      <c r="E1702" s="4" t="s">
        <v>13</v>
      </c>
      <c r="F1702" s="4" t="s">
        <v>11</v>
      </c>
      <c r="G1702" s="4" t="s">
        <v>15</v>
      </c>
      <c r="H1702" s="4" t="s">
        <v>15</v>
      </c>
      <c r="I1702" s="4" t="s">
        <v>11</v>
      </c>
      <c r="J1702" s="4" t="s">
        <v>11</v>
      </c>
      <c r="K1702" s="4" t="s">
        <v>15</v>
      </c>
      <c r="L1702" s="4" t="s">
        <v>15</v>
      </c>
      <c r="M1702" s="4" t="s">
        <v>15</v>
      </c>
      <c r="N1702" s="4" t="s">
        <v>15</v>
      </c>
      <c r="O1702" s="4" t="s">
        <v>8</v>
      </c>
    </row>
    <row r="1703" spans="1:13">
      <c r="A1703" t="n">
        <v>15689</v>
      </c>
      <c r="B1703" s="57" t="n">
        <v>50</v>
      </c>
      <c r="C1703" s="7" t="n">
        <v>0</v>
      </c>
      <c r="D1703" s="7" t="n">
        <v>2081</v>
      </c>
      <c r="E1703" s="7" t="n">
        <v>0.400000005960464</v>
      </c>
      <c r="F1703" s="7" t="n">
        <v>0</v>
      </c>
      <c r="G1703" s="7" t="n">
        <v>0</v>
      </c>
      <c r="H1703" s="7" t="n">
        <v>0</v>
      </c>
      <c r="I1703" s="7" t="n">
        <v>0</v>
      </c>
      <c r="J1703" s="7" t="n">
        <v>65533</v>
      </c>
      <c r="K1703" s="7" t="n">
        <v>0</v>
      </c>
      <c r="L1703" s="7" t="n">
        <v>0</v>
      </c>
      <c r="M1703" s="7" t="n">
        <v>0</v>
      </c>
      <c r="N1703" s="7" t="n">
        <v>0</v>
      </c>
      <c r="O1703" s="7" t="s">
        <v>16</v>
      </c>
    </row>
    <row r="1704" spans="1:13">
      <c r="A1704" t="s">
        <v>4</v>
      </c>
      <c r="B1704" s="4" t="s">
        <v>5</v>
      </c>
      <c r="C1704" s="4" t="s">
        <v>7</v>
      </c>
      <c r="D1704" s="4" t="s">
        <v>11</v>
      </c>
      <c r="E1704" s="4" t="s">
        <v>13</v>
      </c>
    </row>
    <row r="1705" spans="1:13">
      <c r="A1705" t="n">
        <v>15728</v>
      </c>
      <c r="B1705" s="23" t="n">
        <v>58</v>
      </c>
      <c r="C1705" s="7" t="n">
        <v>101</v>
      </c>
      <c r="D1705" s="7" t="n">
        <v>1000</v>
      </c>
      <c r="E1705" s="7" t="n">
        <v>1</v>
      </c>
    </row>
    <row r="1706" spans="1:13">
      <c r="A1706" t="s">
        <v>4</v>
      </c>
      <c r="B1706" s="4" t="s">
        <v>5</v>
      </c>
      <c r="C1706" s="4" t="s">
        <v>7</v>
      </c>
      <c r="D1706" s="4" t="s">
        <v>11</v>
      </c>
    </row>
    <row r="1707" spans="1:13">
      <c r="A1707" t="n">
        <v>15736</v>
      </c>
      <c r="B1707" s="23" t="n">
        <v>58</v>
      </c>
      <c r="C1707" s="7" t="n">
        <v>254</v>
      </c>
      <c r="D1707" s="7" t="n">
        <v>0</v>
      </c>
    </row>
    <row r="1708" spans="1:13">
      <c r="A1708" t="s">
        <v>4</v>
      </c>
      <c r="B1708" s="4" t="s">
        <v>5</v>
      </c>
      <c r="C1708" s="4" t="s">
        <v>7</v>
      </c>
      <c r="D1708" s="4" t="s">
        <v>7</v>
      </c>
      <c r="E1708" s="4" t="s">
        <v>13</v>
      </c>
      <c r="F1708" s="4" t="s">
        <v>13</v>
      </c>
      <c r="G1708" s="4" t="s">
        <v>13</v>
      </c>
      <c r="H1708" s="4" t="s">
        <v>11</v>
      </c>
    </row>
    <row r="1709" spans="1:13">
      <c r="A1709" t="n">
        <v>15740</v>
      </c>
      <c r="B1709" s="51" t="n">
        <v>45</v>
      </c>
      <c r="C1709" s="7" t="n">
        <v>2</v>
      </c>
      <c r="D1709" s="7" t="n">
        <v>3</v>
      </c>
      <c r="E1709" s="7" t="n">
        <v>1.12000000476837</v>
      </c>
      <c r="F1709" s="7" t="n">
        <v>6.32999992370605</v>
      </c>
      <c r="G1709" s="7" t="n">
        <v>34.4900016784668</v>
      </c>
      <c r="H1709" s="7" t="n">
        <v>0</v>
      </c>
    </row>
    <row r="1710" spans="1:13">
      <c r="A1710" t="s">
        <v>4</v>
      </c>
      <c r="B1710" s="4" t="s">
        <v>5</v>
      </c>
      <c r="C1710" s="4" t="s">
        <v>7</v>
      </c>
      <c r="D1710" s="4" t="s">
        <v>7</v>
      </c>
      <c r="E1710" s="4" t="s">
        <v>13</v>
      </c>
      <c r="F1710" s="4" t="s">
        <v>13</v>
      </c>
      <c r="G1710" s="4" t="s">
        <v>13</v>
      </c>
      <c r="H1710" s="4" t="s">
        <v>11</v>
      </c>
      <c r="I1710" s="4" t="s">
        <v>7</v>
      </c>
    </row>
    <row r="1711" spans="1:13">
      <c r="A1711" t="n">
        <v>15757</v>
      </c>
      <c r="B1711" s="51" t="n">
        <v>45</v>
      </c>
      <c r="C1711" s="7" t="n">
        <v>4</v>
      </c>
      <c r="D1711" s="7" t="n">
        <v>3</v>
      </c>
      <c r="E1711" s="7" t="n">
        <v>13.4200000762939</v>
      </c>
      <c r="F1711" s="7" t="n">
        <v>280.929992675781</v>
      </c>
      <c r="G1711" s="7" t="n">
        <v>0</v>
      </c>
      <c r="H1711" s="7" t="n">
        <v>0</v>
      </c>
      <c r="I1711" s="7" t="n">
        <v>0</v>
      </c>
    </row>
    <row r="1712" spans="1:13">
      <c r="A1712" t="s">
        <v>4</v>
      </c>
      <c r="B1712" s="4" t="s">
        <v>5</v>
      </c>
      <c r="C1712" s="4" t="s">
        <v>7</v>
      </c>
      <c r="D1712" s="4" t="s">
        <v>7</v>
      </c>
      <c r="E1712" s="4" t="s">
        <v>13</v>
      </c>
      <c r="F1712" s="4" t="s">
        <v>11</v>
      </c>
    </row>
    <row r="1713" spans="1:15">
      <c r="A1713" t="n">
        <v>15775</v>
      </c>
      <c r="B1713" s="51" t="n">
        <v>45</v>
      </c>
      <c r="C1713" s="7" t="n">
        <v>5</v>
      </c>
      <c r="D1713" s="7" t="n">
        <v>3</v>
      </c>
      <c r="E1713" s="7" t="n">
        <v>2</v>
      </c>
      <c r="F1713" s="7" t="n">
        <v>0</v>
      </c>
    </row>
    <row r="1714" spans="1:15">
      <c r="A1714" t="s">
        <v>4</v>
      </c>
      <c r="B1714" s="4" t="s">
        <v>5</v>
      </c>
      <c r="C1714" s="4" t="s">
        <v>7</v>
      </c>
      <c r="D1714" s="4" t="s">
        <v>7</v>
      </c>
      <c r="E1714" s="4" t="s">
        <v>13</v>
      </c>
      <c r="F1714" s="4" t="s">
        <v>11</v>
      </c>
    </row>
    <row r="1715" spans="1:15">
      <c r="A1715" t="n">
        <v>15784</v>
      </c>
      <c r="B1715" s="51" t="n">
        <v>45</v>
      </c>
      <c r="C1715" s="7" t="n">
        <v>11</v>
      </c>
      <c r="D1715" s="7" t="n">
        <v>3</v>
      </c>
      <c r="E1715" s="7" t="n">
        <v>30.6000003814697</v>
      </c>
      <c r="F1715" s="7" t="n">
        <v>0</v>
      </c>
    </row>
    <row r="1716" spans="1:15">
      <c r="A1716" t="s">
        <v>4</v>
      </c>
      <c r="B1716" s="4" t="s">
        <v>5</v>
      </c>
      <c r="C1716" s="4" t="s">
        <v>7</v>
      </c>
      <c r="D1716" s="4" t="s">
        <v>11</v>
      </c>
      <c r="E1716" s="4" t="s">
        <v>8</v>
      </c>
      <c r="F1716" s="4" t="s">
        <v>8</v>
      </c>
      <c r="G1716" s="4" t="s">
        <v>8</v>
      </c>
      <c r="H1716" s="4" t="s">
        <v>8</v>
      </c>
    </row>
    <row r="1717" spans="1:15">
      <c r="A1717" t="n">
        <v>15793</v>
      </c>
      <c r="B1717" s="38" t="n">
        <v>51</v>
      </c>
      <c r="C1717" s="7" t="n">
        <v>3</v>
      </c>
      <c r="D1717" s="7" t="n">
        <v>0</v>
      </c>
      <c r="E1717" s="7" t="s">
        <v>154</v>
      </c>
      <c r="F1717" s="7" t="s">
        <v>155</v>
      </c>
      <c r="G1717" s="7" t="s">
        <v>78</v>
      </c>
      <c r="H1717" s="7" t="s">
        <v>79</v>
      </c>
    </row>
    <row r="1718" spans="1:15">
      <c r="A1718" t="s">
        <v>4</v>
      </c>
      <c r="B1718" s="4" t="s">
        <v>5</v>
      </c>
      <c r="C1718" s="4" t="s">
        <v>11</v>
      </c>
      <c r="D1718" s="4" t="s">
        <v>7</v>
      </c>
      <c r="E1718" s="4" t="s">
        <v>8</v>
      </c>
      <c r="F1718" s="4" t="s">
        <v>13</v>
      </c>
      <c r="G1718" s="4" t="s">
        <v>13</v>
      </c>
      <c r="H1718" s="4" t="s">
        <v>13</v>
      </c>
    </row>
    <row r="1719" spans="1:15">
      <c r="A1719" t="n">
        <v>15806</v>
      </c>
      <c r="B1719" s="42" t="n">
        <v>48</v>
      </c>
      <c r="C1719" s="7" t="n">
        <v>0</v>
      </c>
      <c r="D1719" s="7" t="n">
        <v>0</v>
      </c>
      <c r="E1719" s="7" t="s">
        <v>133</v>
      </c>
      <c r="F1719" s="7" t="n">
        <v>0</v>
      </c>
      <c r="G1719" s="7" t="n">
        <v>1</v>
      </c>
      <c r="H1719" s="7" t="n">
        <v>0</v>
      </c>
    </row>
    <row r="1720" spans="1:15">
      <c r="A1720" t="s">
        <v>4</v>
      </c>
      <c r="B1720" s="4" t="s">
        <v>5</v>
      </c>
      <c r="C1720" s="4" t="s">
        <v>7</v>
      </c>
      <c r="D1720" s="4" t="s">
        <v>11</v>
      </c>
    </row>
    <row r="1721" spans="1:15">
      <c r="A1721" t="n">
        <v>15832</v>
      </c>
      <c r="B1721" s="23" t="n">
        <v>58</v>
      </c>
      <c r="C1721" s="7" t="n">
        <v>255</v>
      </c>
      <c r="D1721" s="7" t="n">
        <v>0</v>
      </c>
    </row>
    <row r="1722" spans="1:15">
      <c r="A1722" t="s">
        <v>4</v>
      </c>
      <c r="B1722" s="4" t="s">
        <v>5</v>
      </c>
      <c r="C1722" s="4" t="s">
        <v>11</v>
      </c>
    </row>
    <row r="1723" spans="1:15">
      <c r="A1723" t="n">
        <v>15836</v>
      </c>
      <c r="B1723" s="29" t="n">
        <v>16</v>
      </c>
      <c r="C1723" s="7" t="n">
        <v>300</v>
      </c>
    </row>
    <row r="1724" spans="1:15">
      <c r="A1724" t="s">
        <v>4</v>
      </c>
      <c r="B1724" s="4" t="s">
        <v>5</v>
      </c>
      <c r="C1724" s="4" t="s">
        <v>7</v>
      </c>
      <c r="D1724" s="4" t="s">
        <v>11</v>
      </c>
      <c r="E1724" s="4" t="s">
        <v>8</v>
      </c>
    </row>
    <row r="1725" spans="1:15">
      <c r="A1725" t="n">
        <v>15839</v>
      </c>
      <c r="B1725" s="38" t="n">
        <v>51</v>
      </c>
      <c r="C1725" s="7" t="n">
        <v>4</v>
      </c>
      <c r="D1725" s="7" t="n">
        <v>0</v>
      </c>
      <c r="E1725" s="7" t="s">
        <v>192</v>
      </c>
    </row>
    <row r="1726" spans="1:15">
      <c r="A1726" t="s">
        <v>4</v>
      </c>
      <c r="B1726" s="4" t="s">
        <v>5</v>
      </c>
      <c r="C1726" s="4" t="s">
        <v>11</v>
      </c>
    </row>
    <row r="1727" spans="1:15">
      <c r="A1727" t="n">
        <v>15852</v>
      </c>
      <c r="B1727" s="29" t="n">
        <v>16</v>
      </c>
      <c r="C1727" s="7" t="n">
        <v>0</v>
      </c>
    </row>
    <row r="1728" spans="1:15">
      <c r="A1728" t="s">
        <v>4</v>
      </c>
      <c r="B1728" s="4" t="s">
        <v>5</v>
      </c>
      <c r="C1728" s="4" t="s">
        <v>11</v>
      </c>
      <c r="D1728" s="4" t="s">
        <v>55</v>
      </c>
      <c r="E1728" s="4" t="s">
        <v>7</v>
      </c>
      <c r="F1728" s="4" t="s">
        <v>7</v>
      </c>
      <c r="G1728" s="4" t="s">
        <v>55</v>
      </c>
      <c r="H1728" s="4" t="s">
        <v>7</v>
      </c>
      <c r="I1728" s="4" t="s">
        <v>7</v>
      </c>
    </row>
    <row r="1729" spans="1:9">
      <c r="A1729" t="n">
        <v>15855</v>
      </c>
      <c r="B1729" s="55" t="n">
        <v>26</v>
      </c>
      <c r="C1729" s="7" t="n">
        <v>0</v>
      </c>
      <c r="D1729" s="7" t="s">
        <v>193</v>
      </c>
      <c r="E1729" s="7" t="n">
        <v>2</v>
      </c>
      <c r="F1729" s="7" t="n">
        <v>3</v>
      </c>
      <c r="G1729" s="7" t="s">
        <v>194</v>
      </c>
      <c r="H1729" s="7" t="n">
        <v>2</v>
      </c>
      <c r="I1729" s="7" t="n">
        <v>0</v>
      </c>
    </row>
    <row r="1730" spans="1:9">
      <c r="A1730" t="s">
        <v>4</v>
      </c>
      <c r="B1730" s="4" t="s">
        <v>5</v>
      </c>
    </row>
    <row r="1731" spans="1:9">
      <c r="A1731" t="n">
        <v>16018</v>
      </c>
      <c r="B1731" s="27" t="n">
        <v>28</v>
      </c>
    </row>
    <row r="1732" spans="1:9">
      <c r="A1732" t="s">
        <v>4</v>
      </c>
      <c r="B1732" s="4" t="s">
        <v>5</v>
      </c>
      <c r="C1732" s="4" t="s">
        <v>11</v>
      </c>
    </row>
    <row r="1733" spans="1:9">
      <c r="A1733" t="n">
        <v>16019</v>
      </c>
      <c r="B1733" s="29" t="n">
        <v>16</v>
      </c>
      <c r="C1733" s="7" t="n">
        <v>500</v>
      </c>
    </row>
    <row r="1734" spans="1:9">
      <c r="A1734" t="s">
        <v>4</v>
      </c>
      <c r="B1734" s="4" t="s">
        <v>5</v>
      </c>
      <c r="C1734" s="4" t="s">
        <v>7</v>
      </c>
      <c r="D1734" s="4" t="s">
        <v>7</v>
      </c>
      <c r="E1734" s="4" t="s">
        <v>13</v>
      </c>
      <c r="F1734" s="4" t="s">
        <v>13</v>
      </c>
      <c r="G1734" s="4" t="s">
        <v>13</v>
      </c>
      <c r="H1734" s="4" t="s">
        <v>11</v>
      </c>
    </row>
    <row r="1735" spans="1:9">
      <c r="A1735" t="n">
        <v>16022</v>
      </c>
      <c r="B1735" s="51" t="n">
        <v>45</v>
      </c>
      <c r="C1735" s="7" t="n">
        <v>2</v>
      </c>
      <c r="D1735" s="7" t="n">
        <v>3</v>
      </c>
      <c r="E1735" s="7" t="n">
        <v>1.12000000476837</v>
      </c>
      <c r="F1735" s="7" t="n">
        <v>6.34999990463257</v>
      </c>
      <c r="G1735" s="7" t="n">
        <v>34.4900016784668</v>
      </c>
      <c r="H1735" s="7" t="n">
        <v>3000</v>
      </c>
    </row>
    <row r="1736" spans="1:9">
      <c r="A1736" t="s">
        <v>4</v>
      </c>
      <c r="B1736" s="4" t="s">
        <v>5</v>
      </c>
      <c r="C1736" s="4" t="s">
        <v>7</v>
      </c>
      <c r="D1736" s="4" t="s">
        <v>7</v>
      </c>
      <c r="E1736" s="4" t="s">
        <v>13</v>
      </c>
      <c r="F1736" s="4" t="s">
        <v>13</v>
      </c>
      <c r="G1736" s="4" t="s">
        <v>13</v>
      </c>
      <c r="H1736" s="4" t="s">
        <v>11</v>
      </c>
      <c r="I1736" s="4" t="s">
        <v>7</v>
      </c>
    </row>
    <row r="1737" spans="1:9">
      <c r="A1737" t="n">
        <v>16039</v>
      </c>
      <c r="B1737" s="51" t="n">
        <v>45</v>
      </c>
      <c r="C1737" s="7" t="n">
        <v>4</v>
      </c>
      <c r="D1737" s="7" t="n">
        <v>3</v>
      </c>
      <c r="E1737" s="7" t="n">
        <v>0.490000009536743</v>
      </c>
      <c r="F1737" s="7" t="n">
        <v>258.149993896484</v>
      </c>
      <c r="G1737" s="7" t="n">
        <v>0</v>
      </c>
      <c r="H1737" s="7" t="n">
        <v>3000</v>
      </c>
      <c r="I1737" s="7" t="n">
        <v>0</v>
      </c>
    </row>
    <row r="1738" spans="1:9">
      <c r="A1738" t="s">
        <v>4</v>
      </c>
      <c r="B1738" s="4" t="s">
        <v>5</v>
      </c>
      <c r="C1738" s="4" t="s">
        <v>7</v>
      </c>
      <c r="D1738" s="4" t="s">
        <v>7</v>
      </c>
      <c r="E1738" s="4" t="s">
        <v>13</v>
      </c>
      <c r="F1738" s="4" t="s">
        <v>11</v>
      </c>
    </row>
    <row r="1739" spans="1:9">
      <c r="A1739" t="n">
        <v>16057</v>
      </c>
      <c r="B1739" s="51" t="n">
        <v>45</v>
      </c>
      <c r="C1739" s="7" t="n">
        <v>5</v>
      </c>
      <c r="D1739" s="7" t="n">
        <v>3</v>
      </c>
      <c r="E1739" s="7" t="n">
        <v>2</v>
      </c>
      <c r="F1739" s="7" t="n">
        <v>3000</v>
      </c>
    </row>
    <row r="1740" spans="1:9">
      <c r="A1740" t="s">
        <v>4</v>
      </c>
      <c r="B1740" s="4" t="s">
        <v>5</v>
      </c>
      <c r="C1740" s="4" t="s">
        <v>7</v>
      </c>
      <c r="D1740" s="4" t="s">
        <v>7</v>
      </c>
      <c r="E1740" s="4" t="s">
        <v>13</v>
      </c>
      <c r="F1740" s="4" t="s">
        <v>11</v>
      </c>
    </row>
    <row r="1741" spans="1:9">
      <c r="A1741" t="n">
        <v>16066</v>
      </c>
      <c r="B1741" s="51" t="n">
        <v>45</v>
      </c>
      <c r="C1741" s="7" t="n">
        <v>11</v>
      </c>
      <c r="D1741" s="7" t="n">
        <v>3</v>
      </c>
      <c r="E1741" s="7" t="n">
        <v>30.6000003814697</v>
      </c>
      <c r="F1741" s="7" t="n">
        <v>3000</v>
      </c>
    </row>
    <row r="1742" spans="1:9">
      <c r="A1742" t="s">
        <v>4</v>
      </c>
      <c r="B1742" s="4" t="s">
        <v>5</v>
      </c>
      <c r="C1742" s="4" t="s">
        <v>7</v>
      </c>
      <c r="D1742" s="4" t="s">
        <v>11</v>
      </c>
      <c r="E1742" s="4" t="s">
        <v>8</v>
      </c>
      <c r="F1742" s="4" t="s">
        <v>8</v>
      </c>
      <c r="G1742" s="4" t="s">
        <v>8</v>
      </c>
      <c r="H1742" s="4" t="s">
        <v>8</v>
      </c>
    </row>
    <row r="1743" spans="1:9">
      <c r="A1743" t="n">
        <v>16075</v>
      </c>
      <c r="B1743" s="38" t="n">
        <v>51</v>
      </c>
      <c r="C1743" s="7" t="n">
        <v>3</v>
      </c>
      <c r="D1743" s="7" t="n">
        <v>0</v>
      </c>
      <c r="E1743" s="7" t="s">
        <v>86</v>
      </c>
      <c r="F1743" s="7" t="s">
        <v>79</v>
      </c>
      <c r="G1743" s="7" t="s">
        <v>78</v>
      </c>
      <c r="H1743" s="7" t="s">
        <v>79</v>
      </c>
    </row>
    <row r="1744" spans="1:9">
      <c r="A1744" t="s">
        <v>4</v>
      </c>
      <c r="B1744" s="4" t="s">
        <v>5</v>
      </c>
      <c r="C1744" s="4" t="s">
        <v>11</v>
      </c>
      <c r="D1744" s="4" t="s">
        <v>8</v>
      </c>
      <c r="E1744" s="4" t="s">
        <v>8</v>
      </c>
      <c r="F1744" s="4" t="s">
        <v>7</v>
      </c>
    </row>
    <row r="1745" spans="1:9">
      <c r="A1745" t="n">
        <v>16088</v>
      </c>
      <c r="B1745" s="69" t="n">
        <v>108</v>
      </c>
      <c r="C1745" s="7" t="n">
        <v>0</v>
      </c>
      <c r="D1745" s="7" t="s">
        <v>195</v>
      </c>
      <c r="E1745" s="7" t="s">
        <v>196</v>
      </c>
      <c r="F1745" s="7" t="n">
        <v>0</v>
      </c>
    </row>
    <row r="1746" spans="1:9">
      <c r="A1746" t="s">
        <v>4</v>
      </c>
      <c r="B1746" s="4" t="s">
        <v>5</v>
      </c>
      <c r="C1746" s="4" t="s">
        <v>11</v>
      </c>
    </row>
    <row r="1747" spans="1:9">
      <c r="A1747" t="n">
        <v>16112</v>
      </c>
      <c r="B1747" s="29" t="n">
        <v>16</v>
      </c>
      <c r="C1747" s="7" t="n">
        <v>1333</v>
      </c>
    </row>
    <row r="1748" spans="1:9">
      <c r="A1748" t="s">
        <v>4</v>
      </c>
      <c r="B1748" s="4" t="s">
        <v>5</v>
      </c>
      <c r="C1748" s="4" t="s">
        <v>11</v>
      </c>
      <c r="D1748" s="4" t="s">
        <v>7</v>
      </c>
      <c r="E1748" s="4" t="s">
        <v>8</v>
      </c>
      <c r="F1748" s="4" t="s">
        <v>13</v>
      </c>
      <c r="G1748" s="4" t="s">
        <v>13</v>
      </c>
      <c r="H1748" s="4" t="s">
        <v>13</v>
      </c>
    </row>
    <row r="1749" spans="1:9">
      <c r="A1749" t="n">
        <v>16115</v>
      </c>
      <c r="B1749" s="42" t="n">
        <v>48</v>
      </c>
      <c r="C1749" s="7" t="n">
        <v>0</v>
      </c>
      <c r="D1749" s="7" t="n">
        <v>0</v>
      </c>
      <c r="E1749" s="7" t="s">
        <v>134</v>
      </c>
      <c r="F1749" s="7" t="n">
        <v>-1</v>
      </c>
      <c r="G1749" s="7" t="n">
        <v>1</v>
      </c>
      <c r="H1749" s="7" t="n">
        <v>0</v>
      </c>
    </row>
    <row r="1750" spans="1:9">
      <c r="A1750" t="s">
        <v>4</v>
      </c>
      <c r="B1750" s="4" t="s">
        <v>5</v>
      </c>
      <c r="C1750" s="4" t="s">
        <v>7</v>
      </c>
      <c r="D1750" s="4" t="s">
        <v>11</v>
      </c>
      <c r="E1750" s="4" t="s">
        <v>13</v>
      </c>
      <c r="F1750" s="4" t="s">
        <v>11</v>
      </c>
      <c r="G1750" s="4" t="s">
        <v>15</v>
      </c>
      <c r="H1750" s="4" t="s">
        <v>15</v>
      </c>
      <c r="I1750" s="4" t="s">
        <v>11</v>
      </c>
      <c r="J1750" s="4" t="s">
        <v>11</v>
      </c>
      <c r="K1750" s="4" t="s">
        <v>15</v>
      </c>
      <c r="L1750" s="4" t="s">
        <v>15</v>
      </c>
      <c r="M1750" s="4" t="s">
        <v>15</v>
      </c>
      <c r="N1750" s="4" t="s">
        <v>15</v>
      </c>
      <c r="O1750" s="4" t="s">
        <v>8</v>
      </c>
    </row>
    <row r="1751" spans="1:9">
      <c r="A1751" t="n">
        <v>16145</v>
      </c>
      <c r="B1751" s="57" t="n">
        <v>50</v>
      </c>
      <c r="C1751" s="7" t="n">
        <v>0</v>
      </c>
      <c r="D1751" s="7" t="n">
        <v>2000</v>
      </c>
      <c r="E1751" s="7" t="n">
        <v>0.400000005960464</v>
      </c>
      <c r="F1751" s="7" t="n">
        <v>0</v>
      </c>
      <c r="G1751" s="7" t="n">
        <v>0</v>
      </c>
      <c r="H1751" s="7" t="n">
        <v>0</v>
      </c>
      <c r="I1751" s="7" t="n">
        <v>0</v>
      </c>
      <c r="J1751" s="7" t="n">
        <v>65533</v>
      </c>
      <c r="K1751" s="7" t="n">
        <v>0</v>
      </c>
      <c r="L1751" s="7" t="n">
        <v>0</v>
      </c>
      <c r="M1751" s="7" t="n">
        <v>0</v>
      </c>
      <c r="N1751" s="7" t="n">
        <v>0</v>
      </c>
      <c r="O1751" s="7" t="s">
        <v>16</v>
      </c>
    </row>
    <row r="1752" spans="1:9">
      <c r="A1752" t="s">
        <v>4</v>
      </c>
      <c r="B1752" s="4" t="s">
        <v>5</v>
      </c>
      <c r="C1752" s="4" t="s">
        <v>11</v>
      </c>
    </row>
    <row r="1753" spans="1:9">
      <c r="A1753" t="n">
        <v>16184</v>
      </c>
      <c r="B1753" s="29" t="n">
        <v>16</v>
      </c>
      <c r="C1753" s="7" t="n">
        <v>1333</v>
      </c>
    </row>
    <row r="1754" spans="1:9">
      <c r="A1754" t="s">
        <v>4</v>
      </c>
      <c r="B1754" s="4" t="s">
        <v>5</v>
      </c>
      <c r="C1754" s="4" t="s">
        <v>7</v>
      </c>
      <c r="D1754" s="4" t="s">
        <v>11</v>
      </c>
      <c r="E1754" s="4" t="s">
        <v>8</v>
      </c>
      <c r="F1754" s="4" t="s">
        <v>8</v>
      </c>
      <c r="G1754" s="4" t="s">
        <v>7</v>
      </c>
    </row>
    <row r="1755" spans="1:9">
      <c r="A1755" t="n">
        <v>16187</v>
      </c>
      <c r="B1755" s="18" t="n">
        <v>32</v>
      </c>
      <c r="C1755" s="7" t="n">
        <v>0</v>
      </c>
      <c r="D1755" s="7" t="n">
        <v>0</v>
      </c>
      <c r="E1755" s="7" t="s">
        <v>16</v>
      </c>
      <c r="F1755" s="7" t="s">
        <v>195</v>
      </c>
      <c r="G1755" s="7" t="n">
        <v>0</v>
      </c>
    </row>
    <row r="1756" spans="1:9">
      <c r="A1756" t="s">
        <v>4</v>
      </c>
      <c r="B1756" s="4" t="s">
        <v>5</v>
      </c>
      <c r="C1756" s="4" t="s">
        <v>11</v>
      </c>
    </row>
    <row r="1757" spans="1:9">
      <c r="A1757" t="n">
        <v>16205</v>
      </c>
      <c r="B1757" s="29" t="n">
        <v>16</v>
      </c>
      <c r="C1757" s="7" t="n">
        <v>1333</v>
      </c>
    </row>
    <row r="1758" spans="1:9">
      <c r="A1758" t="s">
        <v>4</v>
      </c>
      <c r="B1758" s="4" t="s">
        <v>5</v>
      </c>
      <c r="C1758" s="4" t="s">
        <v>7</v>
      </c>
      <c r="D1758" s="4" t="s">
        <v>11</v>
      </c>
      <c r="E1758" s="4" t="s">
        <v>8</v>
      </c>
    </row>
    <row r="1759" spans="1:9">
      <c r="A1759" t="n">
        <v>16208</v>
      </c>
      <c r="B1759" s="38" t="n">
        <v>51</v>
      </c>
      <c r="C1759" s="7" t="n">
        <v>4</v>
      </c>
      <c r="D1759" s="7" t="n">
        <v>0</v>
      </c>
      <c r="E1759" s="7" t="s">
        <v>127</v>
      </c>
    </row>
    <row r="1760" spans="1:9">
      <c r="A1760" t="s">
        <v>4</v>
      </c>
      <c r="B1760" s="4" t="s">
        <v>5</v>
      </c>
      <c r="C1760" s="4" t="s">
        <v>11</v>
      </c>
    </row>
    <row r="1761" spans="1:15">
      <c r="A1761" t="n">
        <v>16223</v>
      </c>
      <c r="B1761" s="29" t="n">
        <v>16</v>
      </c>
      <c r="C1761" s="7" t="n">
        <v>0</v>
      </c>
    </row>
    <row r="1762" spans="1:15">
      <c r="A1762" t="s">
        <v>4</v>
      </c>
      <c r="B1762" s="4" t="s">
        <v>5</v>
      </c>
      <c r="C1762" s="4" t="s">
        <v>11</v>
      </c>
      <c r="D1762" s="4" t="s">
        <v>55</v>
      </c>
      <c r="E1762" s="4" t="s">
        <v>7</v>
      </c>
      <c r="F1762" s="4" t="s">
        <v>7</v>
      </c>
      <c r="G1762" s="4" t="s">
        <v>55</v>
      </c>
      <c r="H1762" s="4" t="s">
        <v>7</v>
      </c>
      <c r="I1762" s="4" t="s">
        <v>7</v>
      </c>
    </row>
    <row r="1763" spans="1:15">
      <c r="A1763" t="n">
        <v>16226</v>
      </c>
      <c r="B1763" s="55" t="n">
        <v>26</v>
      </c>
      <c r="C1763" s="7" t="n">
        <v>0</v>
      </c>
      <c r="D1763" s="7" t="s">
        <v>197</v>
      </c>
      <c r="E1763" s="7" t="n">
        <v>2</v>
      </c>
      <c r="F1763" s="7" t="n">
        <v>3</v>
      </c>
      <c r="G1763" s="7" t="s">
        <v>198</v>
      </c>
      <c r="H1763" s="7" t="n">
        <v>2</v>
      </c>
      <c r="I1763" s="7" t="n">
        <v>0</v>
      </c>
    </row>
    <row r="1764" spans="1:15">
      <c r="A1764" t="s">
        <v>4</v>
      </c>
      <c r="B1764" s="4" t="s">
        <v>5</v>
      </c>
    </row>
    <row r="1765" spans="1:15">
      <c r="A1765" t="n">
        <v>16388</v>
      </c>
      <c r="B1765" s="27" t="n">
        <v>28</v>
      </c>
    </row>
    <row r="1766" spans="1:15">
      <c r="A1766" t="s">
        <v>4</v>
      </c>
      <c r="B1766" s="4" t="s">
        <v>5</v>
      </c>
      <c r="C1766" s="4" t="s">
        <v>11</v>
      </c>
    </row>
    <row r="1767" spans="1:15">
      <c r="A1767" t="n">
        <v>16389</v>
      </c>
      <c r="B1767" s="29" t="n">
        <v>16</v>
      </c>
      <c r="C1767" s="7" t="n">
        <v>200</v>
      </c>
    </row>
    <row r="1768" spans="1:15">
      <c r="A1768" t="s">
        <v>4</v>
      </c>
      <c r="B1768" s="4" t="s">
        <v>5</v>
      </c>
      <c r="C1768" s="4" t="s">
        <v>11</v>
      </c>
      <c r="D1768" s="4" t="s">
        <v>13</v>
      </c>
      <c r="E1768" s="4" t="s">
        <v>13</v>
      </c>
      <c r="F1768" s="4" t="s">
        <v>7</v>
      </c>
    </row>
    <row r="1769" spans="1:15">
      <c r="A1769" t="n">
        <v>16392</v>
      </c>
      <c r="B1769" s="65" t="n">
        <v>52</v>
      </c>
      <c r="C1769" s="7" t="n">
        <v>0</v>
      </c>
      <c r="D1769" s="7" t="n">
        <v>150.399993896484</v>
      </c>
      <c r="E1769" s="7" t="n">
        <v>10</v>
      </c>
      <c r="F1769" s="7" t="n">
        <v>0</v>
      </c>
    </row>
    <row r="1770" spans="1:15">
      <c r="A1770" t="s">
        <v>4</v>
      </c>
      <c r="B1770" s="4" t="s">
        <v>5</v>
      </c>
      <c r="C1770" s="4" t="s">
        <v>11</v>
      </c>
    </row>
    <row r="1771" spans="1:15">
      <c r="A1771" t="n">
        <v>16404</v>
      </c>
      <c r="B1771" s="66" t="n">
        <v>54</v>
      </c>
      <c r="C1771" s="7" t="n">
        <v>0</v>
      </c>
    </row>
    <row r="1772" spans="1:15">
      <c r="A1772" t="s">
        <v>4</v>
      </c>
      <c r="B1772" s="4" t="s">
        <v>5</v>
      </c>
      <c r="C1772" s="4" t="s">
        <v>7</v>
      </c>
      <c r="D1772" s="4" t="s">
        <v>7</v>
      </c>
      <c r="E1772" s="4" t="s">
        <v>13</v>
      </c>
      <c r="F1772" s="4" t="s">
        <v>11</v>
      </c>
    </row>
    <row r="1773" spans="1:15">
      <c r="A1773" t="n">
        <v>16407</v>
      </c>
      <c r="B1773" s="51" t="n">
        <v>45</v>
      </c>
      <c r="C1773" s="7" t="n">
        <v>5</v>
      </c>
      <c r="D1773" s="7" t="n">
        <v>3</v>
      </c>
      <c r="E1773" s="7" t="n">
        <v>2.20000004768372</v>
      </c>
      <c r="F1773" s="7" t="n">
        <v>3000</v>
      </c>
    </row>
    <row r="1774" spans="1:15">
      <c r="A1774" t="s">
        <v>4</v>
      </c>
      <c r="B1774" s="4" t="s">
        <v>5</v>
      </c>
      <c r="C1774" s="4" t="s">
        <v>11</v>
      </c>
      <c r="D1774" s="4" t="s">
        <v>11</v>
      </c>
      <c r="E1774" s="4" t="s">
        <v>13</v>
      </c>
      <c r="F1774" s="4" t="s">
        <v>13</v>
      </c>
      <c r="G1774" s="4" t="s">
        <v>13</v>
      </c>
      <c r="H1774" s="4" t="s">
        <v>13</v>
      </c>
      <c r="I1774" s="4" t="s">
        <v>7</v>
      </c>
      <c r="J1774" s="4" t="s">
        <v>11</v>
      </c>
    </row>
    <row r="1775" spans="1:15">
      <c r="A1775" t="n">
        <v>16416</v>
      </c>
      <c r="B1775" s="53" t="n">
        <v>55</v>
      </c>
      <c r="C1775" s="7" t="n">
        <v>0</v>
      </c>
      <c r="D1775" s="7" t="n">
        <v>65533</v>
      </c>
      <c r="E1775" s="7" t="n">
        <v>2.69000005722046</v>
      </c>
      <c r="F1775" s="7" t="n">
        <v>5.01000022888184</v>
      </c>
      <c r="G1775" s="7" t="n">
        <v>31.7000007629395</v>
      </c>
      <c r="H1775" s="7" t="n">
        <v>1.20000004768372</v>
      </c>
      <c r="I1775" s="7" t="n">
        <v>1</v>
      </c>
      <c r="J1775" s="7" t="n">
        <v>0</v>
      </c>
    </row>
    <row r="1776" spans="1:15">
      <c r="A1776" t="s">
        <v>4</v>
      </c>
      <c r="B1776" s="4" t="s">
        <v>5</v>
      </c>
      <c r="C1776" s="4" t="s">
        <v>11</v>
      </c>
    </row>
    <row r="1777" spans="1:10">
      <c r="A1777" t="n">
        <v>16440</v>
      </c>
      <c r="B1777" s="29" t="n">
        <v>16</v>
      </c>
      <c r="C1777" s="7" t="n">
        <v>200</v>
      </c>
    </row>
    <row r="1778" spans="1:10">
      <c r="A1778" t="s">
        <v>4</v>
      </c>
      <c r="B1778" s="4" t="s">
        <v>5</v>
      </c>
      <c r="C1778" s="4" t="s">
        <v>7</v>
      </c>
      <c r="D1778" s="4" t="s">
        <v>11</v>
      </c>
      <c r="E1778" s="4" t="s">
        <v>13</v>
      </c>
    </row>
    <row r="1779" spans="1:10">
      <c r="A1779" t="n">
        <v>16443</v>
      </c>
      <c r="B1779" s="23" t="n">
        <v>58</v>
      </c>
      <c r="C1779" s="7" t="n">
        <v>0</v>
      </c>
      <c r="D1779" s="7" t="n">
        <v>1000</v>
      </c>
      <c r="E1779" s="7" t="n">
        <v>1</v>
      </c>
    </row>
    <row r="1780" spans="1:10">
      <c r="A1780" t="s">
        <v>4</v>
      </c>
      <c r="B1780" s="4" t="s">
        <v>5</v>
      </c>
      <c r="C1780" s="4" t="s">
        <v>7</v>
      </c>
      <c r="D1780" s="4" t="s">
        <v>11</v>
      </c>
    </row>
    <row r="1781" spans="1:10">
      <c r="A1781" t="n">
        <v>16451</v>
      </c>
      <c r="B1781" s="23" t="n">
        <v>58</v>
      </c>
      <c r="C1781" s="7" t="n">
        <v>255</v>
      </c>
      <c r="D1781" s="7" t="n">
        <v>0</v>
      </c>
    </row>
    <row r="1782" spans="1:10">
      <c r="A1782" t="s">
        <v>4</v>
      </c>
      <c r="B1782" s="4" t="s">
        <v>5</v>
      </c>
      <c r="C1782" s="4" t="s">
        <v>11</v>
      </c>
      <c r="D1782" s="4" t="s">
        <v>7</v>
      </c>
    </row>
    <row r="1783" spans="1:10">
      <c r="A1783" t="n">
        <v>16455</v>
      </c>
      <c r="B1783" s="54" t="n">
        <v>56</v>
      </c>
      <c r="C1783" s="7" t="n">
        <v>0</v>
      </c>
      <c r="D1783" s="7" t="n">
        <v>1</v>
      </c>
    </row>
    <row r="1784" spans="1:10">
      <c r="A1784" t="s">
        <v>4</v>
      </c>
      <c r="B1784" s="4" t="s">
        <v>5</v>
      </c>
      <c r="C1784" s="4" t="s">
        <v>11</v>
      </c>
    </row>
    <row r="1785" spans="1:10">
      <c r="A1785" t="n">
        <v>16459</v>
      </c>
      <c r="B1785" s="29" t="n">
        <v>16</v>
      </c>
      <c r="C1785" s="7" t="n">
        <v>500</v>
      </c>
    </row>
    <row r="1786" spans="1:10">
      <c r="A1786" t="s">
        <v>4</v>
      </c>
      <c r="B1786" s="4" t="s">
        <v>5</v>
      </c>
      <c r="C1786" s="4" t="s">
        <v>7</v>
      </c>
      <c r="D1786" s="4" t="s">
        <v>7</v>
      </c>
    </row>
    <row r="1787" spans="1:10">
      <c r="A1787" t="n">
        <v>16462</v>
      </c>
      <c r="B1787" s="13" t="n">
        <v>49</v>
      </c>
      <c r="C1787" s="7" t="n">
        <v>2</v>
      </c>
      <c r="D1787" s="7" t="n">
        <v>0</v>
      </c>
    </row>
    <row r="1788" spans="1:10">
      <c r="A1788" t="s">
        <v>4</v>
      </c>
      <c r="B1788" s="4" t="s">
        <v>5</v>
      </c>
      <c r="C1788" s="4" t="s">
        <v>7</v>
      </c>
      <c r="D1788" s="4" t="s">
        <v>7</v>
      </c>
      <c r="E1788" s="4" t="s">
        <v>7</v>
      </c>
      <c r="F1788" s="4" t="s">
        <v>13</v>
      </c>
      <c r="G1788" s="4" t="s">
        <v>13</v>
      </c>
      <c r="H1788" s="4" t="s">
        <v>13</v>
      </c>
      <c r="I1788" s="4" t="s">
        <v>13</v>
      </c>
      <c r="J1788" s="4" t="s">
        <v>13</v>
      </c>
    </row>
    <row r="1789" spans="1:10">
      <c r="A1789" t="n">
        <v>16465</v>
      </c>
      <c r="B1789" s="25" t="n">
        <v>76</v>
      </c>
      <c r="C1789" s="7" t="n">
        <v>1</v>
      </c>
      <c r="D1789" s="7" t="n">
        <v>3</v>
      </c>
      <c r="E1789" s="7" t="n">
        <v>0</v>
      </c>
      <c r="F1789" s="7" t="n">
        <v>1</v>
      </c>
      <c r="G1789" s="7" t="n">
        <v>1</v>
      </c>
      <c r="H1789" s="7" t="n">
        <v>1</v>
      </c>
      <c r="I1789" s="7" t="n">
        <v>1</v>
      </c>
      <c r="J1789" s="7" t="n">
        <v>1000</v>
      </c>
    </row>
    <row r="1790" spans="1:10">
      <c r="A1790" t="s">
        <v>4</v>
      </c>
      <c r="B1790" s="4" t="s">
        <v>5</v>
      </c>
      <c r="C1790" s="4" t="s">
        <v>7</v>
      </c>
      <c r="D1790" s="4" t="s">
        <v>7</v>
      </c>
    </row>
    <row r="1791" spans="1:10">
      <c r="A1791" t="n">
        <v>16489</v>
      </c>
      <c r="B1791" s="26" t="n">
        <v>77</v>
      </c>
      <c r="C1791" s="7" t="n">
        <v>1</v>
      </c>
      <c r="D1791" s="7" t="n">
        <v>3</v>
      </c>
    </row>
    <row r="1792" spans="1:10">
      <c r="A1792" t="s">
        <v>4</v>
      </c>
      <c r="B1792" s="4" t="s">
        <v>5</v>
      </c>
      <c r="C1792" s="4" t="s">
        <v>11</v>
      </c>
    </row>
    <row r="1793" spans="1:10">
      <c r="A1793" t="n">
        <v>16492</v>
      </c>
      <c r="B1793" s="29" t="n">
        <v>16</v>
      </c>
      <c r="C1793" s="7" t="n">
        <v>2500</v>
      </c>
    </row>
    <row r="1794" spans="1:10">
      <c r="A1794" t="s">
        <v>4</v>
      </c>
      <c r="B1794" s="4" t="s">
        <v>5</v>
      </c>
      <c r="C1794" s="4" t="s">
        <v>7</v>
      </c>
      <c r="D1794" s="4" t="s">
        <v>7</v>
      </c>
      <c r="E1794" s="4" t="s">
        <v>7</v>
      </c>
      <c r="F1794" s="4" t="s">
        <v>13</v>
      </c>
      <c r="G1794" s="4" t="s">
        <v>13</v>
      </c>
      <c r="H1794" s="4" t="s">
        <v>13</v>
      </c>
      <c r="I1794" s="4" t="s">
        <v>13</v>
      </c>
      <c r="J1794" s="4" t="s">
        <v>13</v>
      </c>
    </row>
    <row r="1795" spans="1:10">
      <c r="A1795" t="n">
        <v>16495</v>
      </c>
      <c r="B1795" s="25" t="n">
        <v>76</v>
      </c>
      <c r="C1795" s="7" t="n">
        <v>1</v>
      </c>
      <c r="D1795" s="7" t="n">
        <v>3</v>
      </c>
      <c r="E1795" s="7" t="n">
        <v>0</v>
      </c>
      <c r="F1795" s="7" t="n">
        <v>1</v>
      </c>
      <c r="G1795" s="7" t="n">
        <v>1</v>
      </c>
      <c r="H1795" s="7" t="n">
        <v>1</v>
      </c>
      <c r="I1795" s="7" t="n">
        <v>0</v>
      </c>
      <c r="J1795" s="7" t="n">
        <v>1000</v>
      </c>
    </row>
    <row r="1796" spans="1:10">
      <c r="A1796" t="s">
        <v>4</v>
      </c>
      <c r="B1796" s="4" t="s">
        <v>5</v>
      </c>
      <c r="C1796" s="4" t="s">
        <v>7</v>
      </c>
      <c r="D1796" s="4" t="s">
        <v>7</v>
      </c>
    </row>
    <row r="1797" spans="1:10">
      <c r="A1797" t="n">
        <v>16519</v>
      </c>
      <c r="B1797" s="26" t="n">
        <v>77</v>
      </c>
      <c r="C1797" s="7" t="n">
        <v>1</v>
      </c>
      <c r="D1797" s="7" t="n">
        <v>3</v>
      </c>
    </row>
    <row r="1798" spans="1:10">
      <c r="A1798" t="s">
        <v>4</v>
      </c>
      <c r="B1798" s="4" t="s">
        <v>5</v>
      </c>
      <c r="C1798" s="4" t="s">
        <v>7</v>
      </c>
      <c r="D1798" s="4" t="s">
        <v>11</v>
      </c>
      <c r="E1798" s="4" t="s">
        <v>11</v>
      </c>
    </row>
    <row r="1799" spans="1:10">
      <c r="A1799" t="n">
        <v>16522</v>
      </c>
      <c r="B1799" s="13" t="n">
        <v>49</v>
      </c>
      <c r="C1799" s="7" t="n">
        <v>5</v>
      </c>
      <c r="D1799" s="7" t="n">
        <v>1</v>
      </c>
      <c r="E1799" s="7" t="n">
        <v>1</v>
      </c>
    </row>
    <row r="1800" spans="1:10">
      <c r="A1800" t="s">
        <v>4</v>
      </c>
      <c r="B1800" s="4" t="s">
        <v>5</v>
      </c>
      <c r="C1800" s="4" t="s">
        <v>7</v>
      </c>
    </row>
    <row r="1801" spans="1:10">
      <c r="A1801" t="n">
        <v>16528</v>
      </c>
      <c r="B1801" s="28" t="n">
        <v>78</v>
      </c>
      <c r="C1801" s="7" t="n">
        <v>255</v>
      </c>
    </row>
    <row r="1802" spans="1:10">
      <c r="A1802" t="s">
        <v>4</v>
      </c>
      <c r="B1802" s="4" t="s">
        <v>5</v>
      </c>
      <c r="C1802" s="4" t="s">
        <v>11</v>
      </c>
    </row>
    <row r="1803" spans="1:10">
      <c r="A1803" t="n">
        <v>16530</v>
      </c>
      <c r="B1803" s="43" t="n">
        <v>12</v>
      </c>
      <c r="C1803" s="7" t="n">
        <v>6767</v>
      </c>
    </row>
    <row r="1804" spans="1:10">
      <c r="A1804" t="s">
        <v>4</v>
      </c>
      <c r="B1804" s="4" t="s">
        <v>5</v>
      </c>
      <c r="C1804" s="4" t="s">
        <v>11</v>
      </c>
      <c r="D1804" s="4" t="s">
        <v>7</v>
      </c>
      <c r="E1804" s="4" t="s">
        <v>8</v>
      </c>
      <c r="F1804" s="4" t="s">
        <v>13</v>
      </c>
      <c r="G1804" s="4" t="s">
        <v>13</v>
      </c>
      <c r="H1804" s="4" t="s">
        <v>13</v>
      </c>
    </row>
    <row r="1805" spans="1:10">
      <c r="A1805" t="n">
        <v>16533</v>
      </c>
      <c r="B1805" s="42" t="n">
        <v>48</v>
      </c>
      <c r="C1805" s="7" t="n">
        <v>0</v>
      </c>
      <c r="D1805" s="7" t="n">
        <v>0</v>
      </c>
      <c r="E1805" s="7" t="s">
        <v>199</v>
      </c>
      <c r="F1805" s="7" t="n">
        <v>-1</v>
      </c>
      <c r="G1805" s="7" t="n">
        <v>1</v>
      </c>
      <c r="H1805" s="7" t="n">
        <v>0</v>
      </c>
    </row>
    <row r="1806" spans="1:10">
      <c r="A1806" t="s">
        <v>4</v>
      </c>
      <c r="B1806" s="4" t="s">
        <v>5</v>
      </c>
      <c r="C1806" s="4" t="s">
        <v>7</v>
      </c>
      <c r="D1806" s="4" t="s">
        <v>11</v>
      </c>
      <c r="E1806" s="4" t="s">
        <v>7</v>
      </c>
    </row>
    <row r="1807" spans="1:10">
      <c r="A1807" t="n">
        <v>16565</v>
      </c>
      <c r="B1807" s="40" t="n">
        <v>36</v>
      </c>
      <c r="C1807" s="7" t="n">
        <v>9</v>
      </c>
      <c r="D1807" s="7" t="n">
        <v>0</v>
      </c>
      <c r="E1807" s="7" t="n">
        <v>0</v>
      </c>
    </row>
    <row r="1808" spans="1:10">
      <c r="A1808" t="s">
        <v>4</v>
      </c>
      <c r="B1808" s="4" t="s">
        <v>5</v>
      </c>
      <c r="C1808" s="4" t="s">
        <v>7</v>
      </c>
      <c r="D1808" s="4" t="s">
        <v>11</v>
      </c>
      <c r="E1808" s="4" t="s">
        <v>8</v>
      </c>
      <c r="F1808" s="4" t="s">
        <v>8</v>
      </c>
    </row>
    <row r="1809" spans="1:10">
      <c r="A1809" t="n">
        <v>16570</v>
      </c>
      <c r="B1809" s="40" t="n">
        <v>36</v>
      </c>
      <c r="C1809" s="7" t="n">
        <v>10</v>
      </c>
      <c r="D1809" s="7" t="n">
        <v>0</v>
      </c>
      <c r="E1809" s="7" t="s">
        <v>16</v>
      </c>
      <c r="F1809" s="7" t="s">
        <v>16</v>
      </c>
    </row>
    <row r="1810" spans="1:10">
      <c r="A1810" t="s">
        <v>4</v>
      </c>
      <c r="B1810" s="4" t="s">
        <v>5</v>
      </c>
      <c r="C1810" s="4" t="s">
        <v>11</v>
      </c>
      <c r="D1810" s="4" t="s">
        <v>13</v>
      </c>
      <c r="E1810" s="4" t="s">
        <v>13</v>
      </c>
      <c r="F1810" s="4" t="s">
        <v>13</v>
      </c>
      <c r="G1810" s="4" t="s">
        <v>13</v>
      </c>
    </row>
    <row r="1811" spans="1:10">
      <c r="A1811" t="n">
        <v>16576</v>
      </c>
      <c r="B1811" s="36" t="n">
        <v>46</v>
      </c>
      <c r="C1811" s="7" t="n">
        <v>61456</v>
      </c>
      <c r="D1811" s="7" t="n">
        <v>0</v>
      </c>
      <c r="E1811" s="7" t="n">
        <v>0</v>
      </c>
      <c r="F1811" s="7" t="n">
        <v>0</v>
      </c>
      <c r="G1811" s="7" t="n">
        <v>0</v>
      </c>
    </row>
    <row r="1812" spans="1:10">
      <c r="A1812" t="s">
        <v>4</v>
      </c>
      <c r="B1812" s="4" t="s">
        <v>5</v>
      </c>
      <c r="C1812" s="4" t="s">
        <v>7</v>
      </c>
      <c r="D1812" s="4" t="s">
        <v>11</v>
      </c>
    </row>
    <row r="1813" spans="1:10">
      <c r="A1813" t="n">
        <v>16595</v>
      </c>
      <c r="B1813" s="8" t="n">
        <v>162</v>
      </c>
      <c r="C1813" s="7" t="n">
        <v>1</v>
      </c>
      <c r="D1813" s="7" t="n">
        <v>0</v>
      </c>
    </row>
    <row r="1814" spans="1:10">
      <c r="A1814" t="s">
        <v>4</v>
      </c>
      <c r="B1814" s="4" t="s">
        <v>5</v>
      </c>
    </row>
    <row r="1815" spans="1:10">
      <c r="A1815" t="n">
        <v>16599</v>
      </c>
      <c r="B1815" s="5" t="n">
        <v>1</v>
      </c>
    </row>
    <row r="1816" spans="1:10" s="3" customFormat="1" customHeight="0">
      <c r="A1816" s="3" t="s">
        <v>2</v>
      </c>
      <c r="B1816" s="3" t="s">
        <v>200</v>
      </c>
    </row>
    <row r="1817" spans="1:10">
      <c r="A1817" t="s">
        <v>4</v>
      </c>
      <c r="B1817" s="4" t="s">
        <v>5</v>
      </c>
      <c r="C1817" s="4" t="s">
        <v>7</v>
      </c>
      <c r="D1817" s="4" t="s">
        <v>7</v>
      </c>
      <c r="E1817" s="4" t="s">
        <v>7</v>
      </c>
      <c r="F1817" s="4" t="s">
        <v>7</v>
      </c>
    </row>
    <row r="1818" spans="1:10">
      <c r="A1818" t="n">
        <v>16600</v>
      </c>
      <c r="B1818" s="9" t="n">
        <v>14</v>
      </c>
      <c r="C1818" s="7" t="n">
        <v>2</v>
      </c>
      <c r="D1818" s="7" t="n">
        <v>0</v>
      </c>
      <c r="E1818" s="7" t="n">
        <v>0</v>
      </c>
      <c r="F1818" s="7" t="n">
        <v>0</v>
      </c>
    </row>
    <row r="1819" spans="1:10">
      <c r="A1819" t="s">
        <v>4</v>
      </c>
      <c r="B1819" s="4" t="s">
        <v>5</v>
      </c>
      <c r="C1819" s="4" t="s">
        <v>7</v>
      </c>
      <c r="D1819" s="20" t="s">
        <v>35</v>
      </c>
      <c r="E1819" s="4" t="s">
        <v>5</v>
      </c>
      <c r="F1819" s="4" t="s">
        <v>7</v>
      </c>
      <c r="G1819" s="4" t="s">
        <v>11</v>
      </c>
      <c r="H1819" s="20" t="s">
        <v>36</v>
      </c>
      <c r="I1819" s="4" t="s">
        <v>7</v>
      </c>
      <c r="J1819" s="4" t="s">
        <v>15</v>
      </c>
      <c r="K1819" s="4" t="s">
        <v>7</v>
      </c>
      <c r="L1819" s="4" t="s">
        <v>7</v>
      </c>
      <c r="M1819" s="20" t="s">
        <v>35</v>
      </c>
      <c r="N1819" s="4" t="s">
        <v>5</v>
      </c>
      <c r="O1819" s="4" t="s">
        <v>7</v>
      </c>
      <c r="P1819" s="4" t="s">
        <v>11</v>
      </c>
      <c r="Q1819" s="20" t="s">
        <v>36</v>
      </c>
      <c r="R1819" s="4" t="s">
        <v>7</v>
      </c>
      <c r="S1819" s="4" t="s">
        <v>15</v>
      </c>
      <c r="T1819" s="4" t="s">
        <v>7</v>
      </c>
      <c r="U1819" s="4" t="s">
        <v>7</v>
      </c>
      <c r="V1819" s="4" t="s">
        <v>7</v>
      </c>
      <c r="W1819" s="4" t="s">
        <v>12</v>
      </c>
    </row>
    <row r="1820" spans="1:10">
      <c r="A1820" t="n">
        <v>16605</v>
      </c>
      <c r="B1820" s="10" t="n">
        <v>5</v>
      </c>
      <c r="C1820" s="7" t="n">
        <v>28</v>
      </c>
      <c r="D1820" s="20" t="s">
        <v>3</v>
      </c>
      <c r="E1820" s="8" t="n">
        <v>162</v>
      </c>
      <c r="F1820" s="7" t="n">
        <v>3</v>
      </c>
      <c r="G1820" s="7" t="n">
        <v>24592</v>
      </c>
      <c r="H1820" s="20" t="s">
        <v>3</v>
      </c>
      <c r="I1820" s="7" t="n">
        <v>0</v>
      </c>
      <c r="J1820" s="7" t="n">
        <v>1</v>
      </c>
      <c r="K1820" s="7" t="n">
        <v>2</v>
      </c>
      <c r="L1820" s="7" t="n">
        <v>28</v>
      </c>
      <c r="M1820" s="20" t="s">
        <v>3</v>
      </c>
      <c r="N1820" s="8" t="n">
        <v>162</v>
      </c>
      <c r="O1820" s="7" t="n">
        <v>3</v>
      </c>
      <c r="P1820" s="7" t="n">
        <v>24592</v>
      </c>
      <c r="Q1820" s="20" t="s">
        <v>3</v>
      </c>
      <c r="R1820" s="7" t="n">
        <v>0</v>
      </c>
      <c r="S1820" s="7" t="n">
        <v>2</v>
      </c>
      <c r="T1820" s="7" t="n">
        <v>2</v>
      </c>
      <c r="U1820" s="7" t="n">
        <v>11</v>
      </c>
      <c r="V1820" s="7" t="n">
        <v>1</v>
      </c>
      <c r="W1820" s="11" t="n">
        <f t="normal" ca="1">A1824</f>
        <v>0</v>
      </c>
    </row>
    <row r="1821" spans="1:10">
      <c r="A1821" t="s">
        <v>4</v>
      </c>
      <c r="B1821" s="4" t="s">
        <v>5</v>
      </c>
      <c r="C1821" s="4" t="s">
        <v>7</v>
      </c>
      <c r="D1821" s="4" t="s">
        <v>11</v>
      </c>
      <c r="E1821" s="4" t="s">
        <v>13</v>
      </c>
    </row>
    <row r="1822" spans="1:10">
      <c r="A1822" t="n">
        <v>16634</v>
      </c>
      <c r="B1822" s="23" t="n">
        <v>58</v>
      </c>
      <c r="C1822" s="7" t="n">
        <v>0</v>
      </c>
      <c r="D1822" s="7" t="n">
        <v>0</v>
      </c>
      <c r="E1822" s="7" t="n">
        <v>1</v>
      </c>
    </row>
    <row r="1823" spans="1:10">
      <c r="A1823" t="s">
        <v>4</v>
      </c>
      <c r="B1823" s="4" t="s">
        <v>5</v>
      </c>
      <c r="C1823" s="4" t="s">
        <v>7</v>
      </c>
      <c r="D1823" s="20" t="s">
        <v>35</v>
      </c>
      <c r="E1823" s="4" t="s">
        <v>5</v>
      </c>
      <c r="F1823" s="4" t="s">
        <v>7</v>
      </c>
      <c r="G1823" s="4" t="s">
        <v>11</v>
      </c>
      <c r="H1823" s="20" t="s">
        <v>36</v>
      </c>
      <c r="I1823" s="4" t="s">
        <v>7</v>
      </c>
      <c r="J1823" s="4" t="s">
        <v>15</v>
      </c>
      <c r="K1823" s="4" t="s">
        <v>7</v>
      </c>
      <c r="L1823" s="4" t="s">
        <v>7</v>
      </c>
      <c r="M1823" s="20" t="s">
        <v>35</v>
      </c>
      <c r="N1823" s="4" t="s">
        <v>5</v>
      </c>
      <c r="O1823" s="4" t="s">
        <v>7</v>
      </c>
      <c r="P1823" s="4" t="s">
        <v>11</v>
      </c>
      <c r="Q1823" s="20" t="s">
        <v>36</v>
      </c>
      <c r="R1823" s="4" t="s">
        <v>7</v>
      </c>
      <c r="S1823" s="4" t="s">
        <v>15</v>
      </c>
      <c r="T1823" s="4" t="s">
        <v>7</v>
      </c>
      <c r="U1823" s="4" t="s">
        <v>7</v>
      </c>
      <c r="V1823" s="4" t="s">
        <v>7</v>
      </c>
      <c r="W1823" s="4" t="s">
        <v>12</v>
      </c>
    </row>
    <row r="1824" spans="1:10">
      <c r="A1824" t="n">
        <v>16642</v>
      </c>
      <c r="B1824" s="10" t="n">
        <v>5</v>
      </c>
      <c r="C1824" s="7" t="n">
        <v>28</v>
      </c>
      <c r="D1824" s="20" t="s">
        <v>3</v>
      </c>
      <c r="E1824" s="8" t="n">
        <v>162</v>
      </c>
      <c r="F1824" s="7" t="n">
        <v>3</v>
      </c>
      <c r="G1824" s="7" t="n">
        <v>24592</v>
      </c>
      <c r="H1824" s="20" t="s">
        <v>3</v>
      </c>
      <c r="I1824" s="7" t="n">
        <v>0</v>
      </c>
      <c r="J1824" s="7" t="n">
        <v>1</v>
      </c>
      <c r="K1824" s="7" t="n">
        <v>3</v>
      </c>
      <c r="L1824" s="7" t="n">
        <v>28</v>
      </c>
      <c r="M1824" s="20" t="s">
        <v>3</v>
      </c>
      <c r="N1824" s="8" t="n">
        <v>162</v>
      </c>
      <c r="O1824" s="7" t="n">
        <v>3</v>
      </c>
      <c r="P1824" s="7" t="n">
        <v>24592</v>
      </c>
      <c r="Q1824" s="20" t="s">
        <v>3</v>
      </c>
      <c r="R1824" s="7" t="n">
        <v>0</v>
      </c>
      <c r="S1824" s="7" t="n">
        <v>2</v>
      </c>
      <c r="T1824" s="7" t="n">
        <v>3</v>
      </c>
      <c r="U1824" s="7" t="n">
        <v>9</v>
      </c>
      <c r="V1824" s="7" t="n">
        <v>1</v>
      </c>
      <c r="W1824" s="11" t="n">
        <f t="normal" ca="1">A1834</f>
        <v>0</v>
      </c>
    </row>
    <row r="1825" spans="1:23">
      <c r="A1825" t="s">
        <v>4</v>
      </c>
      <c r="B1825" s="4" t="s">
        <v>5</v>
      </c>
      <c r="C1825" s="4" t="s">
        <v>7</v>
      </c>
      <c r="D1825" s="20" t="s">
        <v>35</v>
      </c>
      <c r="E1825" s="4" t="s">
        <v>5</v>
      </c>
      <c r="F1825" s="4" t="s">
        <v>11</v>
      </c>
      <c r="G1825" s="4" t="s">
        <v>7</v>
      </c>
      <c r="H1825" s="4" t="s">
        <v>7</v>
      </c>
      <c r="I1825" s="4" t="s">
        <v>8</v>
      </c>
      <c r="J1825" s="20" t="s">
        <v>36</v>
      </c>
      <c r="K1825" s="4" t="s">
        <v>7</v>
      </c>
      <c r="L1825" s="4" t="s">
        <v>7</v>
      </c>
      <c r="M1825" s="20" t="s">
        <v>35</v>
      </c>
      <c r="N1825" s="4" t="s">
        <v>5</v>
      </c>
      <c r="O1825" s="4" t="s">
        <v>7</v>
      </c>
      <c r="P1825" s="20" t="s">
        <v>36</v>
      </c>
      <c r="Q1825" s="4" t="s">
        <v>7</v>
      </c>
      <c r="R1825" s="4" t="s">
        <v>15</v>
      </c>
      <c r="S1825" s="4" t="s">
        <v>7</v>
      </c>
      <c r="T1825" s="4" t="s">
        <v>7</v>
      </c>
      <c r="U1825" s="4" t="s">
        <v>7</v>
      </c>
      <c r="V1825" s="20" t="s">
        <v>35</v>
      </c>
      <c r="W1825" s="4" t="s">
        <v>5</v>
      </c>
      <c r="X1825" s="4" t="s">
        <v>7</v>
      </c>
      <c r="Y1825" s="20" t="s">
        <v>36</v>
      </c>
      <c r="Z1825" s="4" t="s">
        <v>7</v>
      </c>
      <c r="AA1825" s="4" t="s">
        <v>15</v>
      </c>
      <c r="AB1825" s="4" t="s">
        <v>7</v>
      </c>
      <c r="AC1825" s="4" t="s">
        <v>7</v>
      </c>
      <c r="AD1825" s="4" t="s">
        <v>7</v>
      </c>
      <c r="AE1825" s="4" t="s">
        <v>12</v>
      </c>
    </row>
    <row r="1826" spans="1:23">
      <c r="A1826" t="n">
        <v>16671</v>
      </c>
      <c r="B1826" s="10" t="n">
        <v>5</v>
      </c>
      <c r="C1826" s="7" t="n">
        <v>28</v>
      </c>
      <c r="D1826" s="20" t="s">
        <v>3</v>
      </c>
      <c r="E1826" s="41" t="n">
        <v>47</v>
      </c>
      <c r="F1826" s="7" t="n">
        <v>61456</v>
      </c>
      <c r="G1826" s="7" t="n">
        <v>2</v>
      </c>
      <c r="H1826" s="7" t="n">
        <v>0</v>
      </c>
      <c r="I1826" s="7" t="s">
        <v>105</v>
      </c>
      <c r="J1826" s="20" t="s">
        <v>3</v>
      </c>
      <c r="K1826" s="7" t="n">
        <v>8</v>
      </c>
      <c r="L1826" s="7" t="n">
        <v>28</v>
      </c>
      <c r="M1826" s="20" t="s">
        <v>3</v>
      </c>
      <c r="N1826" s="45" t="n">
        <v>74</v>
      </c>
      <c r="O1826" s="7" t="n">
        <v>65</v>
      </c>
      <c r="P1826" s="20" t="s">
        <v>3</v>
      </c>
      <c r="Q1826" s="7" t="n">
        <v>0</v>
      </c>
      <c r="R1826" s="7" t="n">
        <v>1</v>
      </c>
      <c r="S1826" s="7" t="n">
        <v>3</v>
      </c>
      <c r="T1826" s="7" t="n">
        <v>9</v>
      </c>
      <c r="U1826" s="7" t="n">
        <v>28</v>
      </c>
      <c r="V1826" s="20" t="s">
        <v>3</v>
      </c>
      <c r="W1826" s="45" t="n">
        <v>74</v>
      </c>
      <c r="X1826" s="7" t="n">
        <v>65</v>
      </c>
      <c r="Y1826" s="20" t="s">
        <v>3</v>
      </c>
      <c r="Z1826" s="7" t="n">
        <v>0</v>
      </c>
      <c r="AA1826" s="7" t="n">
        <v>2</v>
      </c>
      <c r="AB1826" s="7" t="n">
        <v>3</v>
      </c>
      <c r="AC1826" s="7" t="n">
        <v>9</v>
      </c>
      <c r="AD1826" s="7" t="n">
        <v>1</v>
      </c>
      <c r="AE1826" s="11" t="n">
        <f t="normal" ca="1">A1830</f>
        <v>0</v>
      </c>
    </row>
    <row r="1827" spans="1:23">
      <c r="A1827" t="s">
        <v>4</v>
      </c>
      <c r="B1827" s="4" t="s">
        <v>5</v>
      </c>
      <c r="C1827" s="4" t="s">
        <v>11</v>
      </c>
      <c r="D1827" s="4" t="s">
        <v>7</v>
      </c>
      <c r="E1827" s="4" t="s">
        <v>7</v>
      </c>
      <c r="F1827" s="4" t="s">
        <v>8</v>
      </c>
    </row>
    <row r="1828" spans="1:23">
      <c r="A1828" t="n">
        <v>16719</v>
      </c>
      <c r="B1828" s="41" t="n">
        <v>47</v>
      </c>
      <c r="C1828" s="7" t="n">
        <v>61456</v>
      </c>
      <c r="D1828" s="7" t="n">
        <v>0</v>
      </c>
      <c r="E1828" s="7" t="n">
        <v>0</v>
      </c>
      <c r="F1828" s="7" t="s">
        <v>106</v>
      </c>
    </row>
    <row r="1829" spans="1:23">
      <c r="A1829" t="s">
        <v>4</v>
      </c>
      <c r="B1829" s="4" t="s">
        <v>5</v>
      </c>
      <c r="C1829" s="4" t="s">
        <v>7</v>
      </c>
      <c r="D1829" s="4" t="s">
        <v>11</v>
      </c>
      <c r="E1829" s="4" t="s">
        <v>13</v>
      </c>
    </row>
    <row r="1830" spans="1:23">
      <c r="A1830" t="n">
        <v>16732</v>
      </c>
      <c r="B1830" s="23" t="n">
        <v>58</v>
      </c>
      <c r="C1830" s="7" t="n">
        <v>0</v>
      </c>
      <c r="D1830" s="7" t="n">
        <v>300</v>
      </c>
      <c r="E1830" s="7" t="n">
        <v>1</v>
      </c>
    </row>
    <row r="1831" spans="1:23">
      <c r="A1831" t="s">
        <v>4</v>
      </c>
      <c r="B1831" s="4" t="s">
        <v>5</v>
      </c>
      <c r="C1831" s="4" t="s">
        <v>7</v>
      </c>
      <c r="D1831" s="4" t="s">
        <v>11</v>
      </c>
    </row>
    <row r="1832" spans="1:23">
      <c r="A1832" t="n">
        <v>16740</v>
      </c>
      <c r="B1832" s="23" t="n">
        <v>58</v>
      </c>
      <c r="C1832" s="7" t="n">
        <v>255</v>
      </c>
      <c r="D1832" s="7" t="n">
        <v>0</v>
      </c>
    </row>
    <row r="1833" spans="1:23">
      <c r="A1833" t="s">
        <v>4</v>
      </c>
      <c r="B1833" s="4" t="s">
        <v>5</v>
      </c>
      <c r="C1833" s="4" t="s">
        <v>7</v>
      </c>
      <c r="D1833" s="4" t="s">
        <v>7</v>
      </c>
      <c r="E1833" s="4" t="s">
        <v>7</v>
      </c>
      <c r="F1833" s="4" t="s">
        <v>7</v>
      </c>
    </row>
    <row r="1834" spans="1:23">
      <c r="A1834" t="n">
        <v>16744</v>
      </c>
      <c r="B1834" s="9" t="n">
        <v>14</v>
      </c>
      <c r="C1834" s="7" t="n">
        <v>0</v>
      </c>
      <c r="D1834" s="7" t="n">
        <v>0</v>
      </c>
      <c r="E1834" s="7" t="n">
        <v>0</v>
      </c>
      <c r="F1834" s="7" t="n">
        <v>64</v>
      </c>
    </row>
    <row r="1835" spans="1:23">
      <c r="A1835" t="s">
        <v>4</v>
      </c>
      <c r="B1835" s="4" t="s">
        <v>5</v>
      </c>
      <c r="C1835" s="4" t="s">
        <v>7</v>
      </c>
      <c r="D1835" s="4" t="s">
        <v>11</v>
      </c>
    </row>
    <row r="1836" spans="1:23">
      <c r="A1836" t="n">
        <v>16749</v>
      </c>
      <c r="B1836" s="22" t="n">
        <v>22</v>
      </c>
      <c r="C1836" s="7" t="n">
        <v>0</v>
      </c>
      <c r="D1836" s="7" t="n">
        <v>24592</v>
      </c>
    </row>
    <row r="1837" spans="1:23">
      <c r="A1837" t="s">
        <v>4</v>
      </c>
      <c r="B1837" s="4" t="s">
        <v>5</v>
      </c>
      <c r="C1837" s="4" t="s">
        <v>7</v>
      </c>
      <c r="D1837" s="4" t="s">
        <v>11</v>
      </c>
    </row>
    <row r="1838" spans="1:23">
      <c r="A1838" t="n">
        <v>16753</v>
      </c>
      <c r="B1838" s="23" t="n">
        <v>58</v>
      </c>
      <c r="C1838" s="7" t="n">
        <v>5</v>
      </c>
      <c r="D1838" s="7" t="n">
        <v>300</v>
      </c>
    </row>
    <row r="1839" spans="1:23">
      <c r="A1839" t="s">
        <v>4</v>
      </c>
      <c r="B1839" s="4" t="s">
        <v>5</v>
      </c>
      <c r="C1839" s="4" t="s">
        <v>13</v>
      </c>
      <c r="D1839" s="4" t="s">
        <v>11</v>
      </c>
    </row>
    <row r="1840" spans="1:23">
      <c r="A1840" t="n">
        <v>16757</v>
      </c>
      <c r="B1840" s="46" t="n">
        <v>103</v>
      </c>
      <c r="C1840" s="7" t="n">
        <v>0</v>
      </c>
      <c r="D1840" s="7" t="n">
        <v>300</v>
      </c>
    </row>
    <row r="1841" spans="1:31">
      <c r="A1841" t="s">
        <v>4</v>
      </c>
      <c r="B1841" s="4" t="s">
        <v>5</v>
      </c>
      <c r="C1841" s="4" t="s">
        <v>7</v>
      </c>
    </row>
    <row r="1842" spans="1:31">
      <c r="A1842" t="n">
        <v>16764</v>
      </c>
      <c r="B1842" s="47" t="n">
        <v>64</v>
      </c>
      <c r="C1842" s="7" t="n">
        <v>7</v>
      </c>
    </row>
    <row r="1843" spans="1:31">
      <c r="A1843" t="s">
        <v>4</v>
      </c>
      <c r="B1843" s="4" t="s">
        <v>5</v>
      </c>
      <c r="C1843" s="4" t="s">
        <v>7</v>
      </c>
      <c r="D1843" s="4" t="s">
        <v>11</v>
      </c>
    </row>
    <row r="1844" spans="1:31">
      <c r="A1844" t="n">
        <v>16766</v>
      </c>
      <c r="B1844" s="48" t="n">
        <v>72</v>
      </c>
      <c r="C1844" s="7" t="n">
        <v>5</v>
      </c>
      <c r="D1844" s="7" t="n">
        <v>0</v>
      </c>
    </row>
    <row r="1845" spans="1:31">
      <c r="A1845" t="s">
        <v>4</v>
      </c>
      <c r="B1845" s="4" t="s">
        <v>5</v>
      </c>
      <c r="C1845" s="4" t="s">
        <v>7</v>
      </c>
      <c r="D1845" s="20" t="s">
        <v>35</v>
      </c>
      <c r="E1845" s="4" t="s">
        <v>5</v>
      </c>
      <c r="F1845" s="4" t="s">
        <v>7</v>
      </c>
      <c r="G1845" s="4" t="s">
        <v>11</v>
      </c>
      <c r="H1845" s="20" t="s">
        <v>36</v>
      </c>
      <c r="I1845" s="4" t="s">
        <v>7</v>
      </c>
      <c r="J1845" s="4" t="s">
        <v>15</v>
      </c>
      <c r="K1845" s="4" t="s">
        <v>7</v>
      </c>
      <c r="L1845" s="4" t="s">
        <v>7</v>
      </c>
      <c r="M1845" s="4" t="s">
        <v>12</v>
      </c>
    </row>
    <row r="1846" spans="1:31">
      <c r="A1846" t="n">
        <v>16770</v>
      </c>
      <c r="B1846" s="10" t="n">
        <v>5</v>
      </c>
      <c r="C1846" s="7" t="n">
        <v>28</v>
      </c>
      <c r="D1846" s="20" t="s">
        <v>3</v>
      </c>
      <c r="E1846" s="8" t="n">
        <v>162</v>
      </c>
      <c r="F1846" s="7" t="n">
        <v>4</v>
      </c>
      <c r="G1846" s="7" t="n">
        <v>24592</v>
      </c>
      <c r="H1846" s="20" t="s">
        <v>3</v>
      </c>
      <c r="I1846" s="7" t="n">
        <v>0</v>
      </c>
      <c r="J1846" s="7" t="n">
        <v>1</v>
      </c>
      <c r="K1846" s="7" t="n">
        <v>2</v>
      </c>
      <c r="L1846" s="7" t="n">
        <v>1</v>
      </c>
      <c r="M1846" s="11" t="n">
        <f t="normal" ca="1">A1852</f>
        <v>0</v>
      </c>
    </row>
    <row r="1847" spans="1:31">
      <c r="A1847" t="s">
        <v>4</v>
      </c>
      <c r="B1847" s="4" t="s">
        <v>5</v>
      </c>
      <c r="C1847" s="4" t="s">
        <v>7</v>
      </c>
      <c r="D1847" s="4" t="s">
        <v>8</v>
      </c>
    </row>
    <row r="1848" spans="1:31">
      <c r="A1848" t="n">
        <v>16787</v>
      </c>
      <c r="B1848" s="6" t="n">
        <v>2</v>
      </c>
      <c r="C1848" s="7" t="n">
        <v>10</v>
      </c>
      <c r="D1848" s="7" t="s">
        <v>107</v>
      </c>
    </row>
    <row r="1849" spans="1:31">
      <c r="A1849" t="s">
        <v>4</v>
      </c>
      <c r="B1849" s="4" t="s">
        <v>5</v>
      </c>
      <c r="C1849" s="4" t="s">
        <v>11</v>
      </c>
    </row>
    <row r="1850" spans="1:31">
      <c r="A1850" t="n">
        <v>16804</v>
      </c>
      <c r="B1850" s="29" t="n">
        <v>16</v>
      </c>
      <c r="C1850" s="7" t="n">
        <v>0</v>
      </c>
    </row>
    <row r="1851" spans="1:31">
      <c r="A1851" t="s">
        <v>4</v>
      </c>
      <c r="B1851" s="4" t="s">
        <v>5</v>
      </c>
      <c r="C1851" s="4" t="s">
        <v>11</v>
      </c>
      <c r="D1851" s="4" t="s">
        <v>7</v>
      </c>
      <c r="E1851" s="4" t="s">
        <v>7</v>
      </c>
      <c r="F1851" s="4" t="s">
        <v>8</v>
      </c>
    </row>
    <row r="1852" spans="1:31">
      <c r="A1852" t="n">
        <v>16807</v>
      </c>
      <c r="B1852" s="50" t="n">
        <v>20</v>
      </c>
      <c r="C1852" s="7" t="n">
        <v>0</v>
      </c>
      <c r="D1852" s="7" t="n">
        <v>3</v>
      </c>
      <c r="E1852" s="7" t="n">
        <v>10</v>
      </c>
      <c r="F1852" s="7" t="s">
        <v>108</v>
      </c>
    </row>
    <row r="1853" spans="1:31">
      <c r="A1853" t="s">
        <v>4</v>
      </c>
      <c r="B1853" s="4" t="s">
        <v>5</v>
      </c>
      <c r="C1853" s="4" t="s">
        <v>11</v>
      </c>
    </row>
    <row r="1854" spans="1:31">
      <c r="A1854" t="n">
        <v>16825</v>
      </c>
      <c r="B1854" s="29" t="n">
        <v>16</v>
      </c>
      <c r="C1854" s="7" t="n">
        <v>0</v>
      </c>
    </row>
    <row r="1855" spans="1:31">
      <c r="A1855" t="s">
        <v>4</v>
      </c>
      <c r="B1855" s="4" t="s">
        <v>5</v>
      </c>
      <c r="C1855" s="4" t="s">
        <v>7</v>
      </c>
      <c r="D1855" s="4" t="s">
        <v>11</v>
      </c>
      <c r="E1855" s="4" t="s">
        <v>7</v>
      </c>
      <c r="F1855" s="4" t="s">
        <v>8</v>
      </c>
      <c r="G1855" s="4" t="s">
        <v>8</v>
      </c>
      <c r="H1855" s="4" t="s">
        <v>8</v>
      </c>
      <c r="I1855" s="4" t="s">
        <v>8</v>
      </c>
      <c r="J1855" s="4" t="s">
        <v>8</v>
      </c>
      <c r="K1855" s="4" t="s">
        <v>8</v>
      </c>
      <c r="L1855" s="4" t="s">
        <v>8</v>
      </c>
      <c r="M1855" s="4" t="s">
        <v>8</v>
      </c>
      <c r="N1855" s="4" t="s">
        <v>8</v>
      </c>
      <c r="O1855" s="4" t="s">
        <v>8</v>
      </c>
      <c r="P1855" s="4" t="s">
        <v>8</v>
      </c>
      <c r="Q1855" s="4" t="s">
        <v>8</v>
      </c>
      <c r="R1855" s="4" t="s">
        <v>8</v>
      </c>
      <c r="S1855" s="4" t="s">
        <v>8</v>
      </c>
      <c r="T1855" s="4" t="s">
        <v>8</v>
      </c>
      <c r="U1855" s="4" t="s">
        <v>8</v>
      </c>
    </row>
    <row r="1856" spans="1:31">
      <c r="A1856" t="n">
        <v>16828</v>
      </c>
      <c r="B1856" s="40" t="n">
        <v>36</v>
      </c>
      <c r="C1856" s="7" t="n">
        <v>8</v>
      </c>
      <c r="D1856" s="7" t="n">
        <v>0</v>
      </c>
      <c r="E1856" s="7" t="n">
        <v>0</v>
      </c>
      <c r="F1856" s="7" t="s">
        <v>201</v>
      </c>
      <c r="G1856" s="7" t="s">
        <v>202</v>
      </c>
      <c r="H1856" s="7" t="s">
        <v>16</v>
      </c>
      <c r="I1856" s="7" t="s">
        <v>16</v>
      </c>
      <c r="J1856" s="7" t="s">
        <v>16</v>
      </c>
      <c r="K1856" s="7" t="s">
        <v>16</v>
      </c>
      <c r="L1856" s="7" t="s">
        <v>16</v>
      </c>
      <c r="M1856" s="7" t="s">
        <v>16</v>
      </c>
      <c r="N1856" s="7" t="s">
        <v>16</v>
      </c>
      <c r="O1856" s="7" t="s">
        <v>16</v>
      </c>
      <c r="P1856" s="7" t="s">
        <v>16</v>
      </c>
      <c r="Q1856" s="7" t="s">
        <v>16</v>
      </c>
      <c r="R1856" s="7" t="s">
        <v>16</v>
      </c>
      <c r="S1856" s="7" t="s">
        <v>16</v>
      </c>
      <c r="T1856" s="7" t="s">
        <v>16</v>
      </c>
      <c r="U1856" s="7" t="s">
        <v>16</v>
      </c>
    </row>
    <row r="1857" spans="1:21">
      <c r="A1857" t="s">
        <v>4</v>
      </c>
      <c r="B1857" s="4" t="s">
        <v>5</v>
      </c>
      <c r="C1857" s="4" t="s">
        <v>11</v>
      </c>
      <c r="D1857" s="4" t="s">
        <v>13</v>
      </c>
      <c r="E1857" s="4" t="s">
        <v>13</v>
      </c>
      <c r="F1857" s="4" t="s">
        <v>13</v>
      </c>
      <c r="G1857" s="4" t="s">
        <v>13</v>
      </c>
    </row>
    <row r="1858" spans="1:21">
      <c r="A1858" t="n">
        <v>16866</v>
      </c>
      <c r="B1858" s="36" t="n">
        <v>46</v>
      </c>
      <c r="C1858" s="7" t="n">
        <v>0</v>
      </c>
      <c r="D1858" s="7" t="n">
        <v>6.19999980926514</v>
      </c>
      <c r="E1858" s="7" t="n">
        <v>0</v>
      </c>
      <c r="F1858" s="7" t="n">
        <v>41.2000007629395</v>
      </c>
      <c r="G1858" s="7" t="n">
        <v>90</v>
      </c>
    </row>
    <row r="1859" spans="1:21">
      <c r="A1859" t="s">
        <v>4</v>
      </c>
      <c r="B1859" s="4" t="s">
        <v>5</v>
      </c>
      <c r="C1859" s="4" t="s">
        <v>7</v>
      </c>
      <c r="D1859" s="4" t="s">
        <v>7</v>
      </c>
      <c r="E1859" s="4" t="s">
        <v>13</v>
      </c>
      <c r="F1859" s="4" t="s">
        <v>13</v>
      </c>
      <c r="G1859" s="4" t="s">
        <v>13</v>
      </c>
      <c r="H1859" s="4" t="s">
        <v>11</v>
      </c>
    </row>
    <row r="1860" spans="1:21">
      <c r="A1860" t="n">
        <v>16885</v>
      </c>
      <c r="B1860" s="51" t="n">
        <v>45</v>
      </c>
      <c r="C1860" s="7" t="n">
        <v>2</v>
      </c>
      <c r="D1860" s="7" t="n">
        <v>3</v>
      </c>
      <c r="E1860" s="7" t="n">
        <v>6.44999980926514</v>
      </c>
      <c r="F1860" s="7" t="n">
        <v>1.39999997615814</v>
      </c>
      <c r="G1860" s="7" t="n">
        <v>43.2999992370605</v>
      </c>
      <c r="H1860" s="7" t="n">
        <v>0</v>
      </c>
    </row>
    <row r="1861" spans="1:21">
      <c r="A1861" t="s">
        <v>4</v>
      </c>
      <c r="B1861" s="4" t="s">
        <v>5</v>
      </c>
      <c r="C1861" s="4" t="s">
        <v>7</v>
      </c>
      <c r="D1861" s="4" t="s">
        <v>7</v>
      </c>
      <c r="E1861" s="4" t="s">
        <v>13</v>
      </c>
      <c r="F1861" s="4" t="s">
        <v>13</v>
      </c>
      <c r="G1861" s="4" t="s">
        <v>13</v>
      </c>
      <c r="H1861" s="4" t="s">
        <v>11</v>
      </c>
      <c r="I1861" s="4" t="s">
        <v>7</v>
      </c>
    </row>
    <row r="1862" spans="1:21">
      <c r="A1862" t="n">
        <v>16902</v>
      </c>
      <c r="B1862" s="51" t="n">
        <v>45</v>
      </c>
      <c r="C1862" s="7" t="n">
        <v>4</v>
      </c>
      <c r="D1862" s="7" t="n">
        <v>3</v>
      </c>
      <c r="E1862" s="7" t="n">
        <v>10</v>
      </c>
      <c r="F1862" s="7" t="n">
        <v>325</v>
      </c>
      <c r="G1862" s="7" t="n">
        <v>0</v>
      </c>
      <c r="H1862" s="7" t="n">
        <v>0</v>
      </c>
      <c r="I1862" s="7" t="n">
        <v>1</v>
      </c>
    </row>
    <row r="1863" spans="1:21">
      <c r="A1863" t="s">
        <v>4</v>
      </c>
      <c r="B1863" s="4" t="s">
        <v>5</v>
      </c>
      <c r="C1863" s="4" t="s">
        <v>7</v>
      </c>
      <c r="D1863" s="4" t="s">
        <v>7</v>
      </c>
      <c r="E1863" s="4" t="s">
        <v>13</v>
      </c>
      <c r="F1863" s="4" t="s">
        <v>11</v>
      </c>
    </row>
    <row r="1864" spans="1:21">
      <c r="A1864" t="n">
        <v>16920</v>
      </c>
      <c r="B1864" s="51" t="n">
        <v>45</v>
      </c>
      <c r="C1864" s="7" t="n">
        <v>5</v>
      </c>
      <c r="D1864" s="7" t="n">
        <v>3</v>
      </c>
      <c r="E1864" s="7" t="n">
        <v>4.80000019073486</v>
      </c>
      <c r="F1864" s="7" t="n">
        <v>0</v>
      </c>
    </row>
    <row r="1865" spans="1:21">
      <c r="A1865" t="s">
        <v>4</v>
      </c>
      <c r="B1865" s="4" t="s">
        <v>5</v>
      </c>
      <c r="C1865" s="4" t="s">
        <v>7</v>
      </c>
      <c r="D1865" s="4" t="s">
        <v>7</v>
      </c>
      <c r="E1865" s="4" t="s">
        <v>13</v>
      </c>
      <c r="F1865" s="4" t="s">
        <v>11</v>
      </c>
    </row>
    <row r="1866" spans="1:21">
      <c r="A1866" t="n">
        <v>16929</v>
      </c>
      <c r="B1866" s="51" t="n">
        <v>45</v>
      </c>
      <c r="C1866" s="7" t="n">
        <v>11</v>
      </c>
      <c r="D1866" s="7" t="n">
        <v>3</v>
      </c>
      <c r="E1866" s="7" t="n">
        <v>28.7999992370605</v>
      </c>
      <c r="F1866" s="7" t="n">
        <v>0</v>
      </c>
    </row>
    <row r="1867" spans="1:21">
      <c r="A1867" t="s">
        <v>4</v>
      </c>
      <c r="B1867" s="4" t="s">
        <v>5</v>
      </c>
      <c r="C1867" s="4" t="s">
        <v>7</v>
      </c>
    </row>
    <row r="1868" spans="1:21">
      <c r="A1868" t="n">
        <v>16938</v>
      </c>
      <c r="B1868" s="49" t="n">
        <v>116</v>
      </c>
      <c r="C1868" s="7" t="n">
        <v>0</v>
      </c>
    </row>
    <row r="1869" spans="1:21">
      <c r="A1869" t="s">
        <v>4</v>
      </c>
      <c r="B1869" s="4" t="s">
        <v>5</v>
      </c>
      <c r="C1869" s="4" t="s">
        <v>7</v>
      </c>
      <c r="D1869" s="4" t="s">
        <v>11</v>
      </c>
    </row>
    <row r="1870" spans="1:21">
      <c r="A1870" t="n">
        <v>16940</v>
      </c>
      <c r="B1870" s="49" t="n">
        <v>116</v>
      </c>
      <c r="C1870" s="7" t="n">
        <v>2</v>
      </c>
      <c r="D1870" s="7" t="n">
        <v>1</v>
      </c>
    </row>
    <row r="1871" spans="1:21">
      <c r="A1871" t="s">
        <v>4</v>
      </c>
      <c r="B1871" s="4" t="s">
        <v>5</v>
      </c>
      <c r="C1871" s="4" t="s">
        <v>7</v>
      </c>
      <c r="D1871" s="4" t="s">
        <v>15</v>
      </c>
    </row>
    <row r="1872" spans="1:21">
      <c r="A1872" t="n">
        <v>16944</v>
      </c>
      <c r="B1872" s="49" t="n">
        <v>116</v>
      </c>
      <c r="C1872" s="7" t="n">
        <v>5</v>
      </c>
      <c r="D1872" s="7" t="n">
        <v>1106247680</v>
      </c>
    </row>
    <row r="1873" spans="1:9">
      <c r="A1873" t="s">
        <v>4</v>
      </c>
      <c r="B1873" s="4" t="s">
        <v>5</v>
      </c>
      <c r="C1873" s="4" t="s">
        <v>7</v>
      </c>
      <c r="D1873" s="4" t="s">
        <v>11</v>
      </c>
    </row>
    <row r="1874" spans="1:9">
      <c r="A1874" t="n">
        <v>16950</v>
      </c>
      <c r="B1874" s="49" t="n">
        <v>116</v>
      </c>
      <c r="C1874" s="7" t="n">
        <v>6</v>
      </c>
      <c r="D1874" s="7" t="n">
        <v>1</v>
      </c>
    </row>
    <row r="1875" spans="1:9">
      <c r="A1875" t="s">
        <v>4</v>
      </c>
      <c r="B1875" s="4" t="s">
        <v>5</v>
      </c>
      <c r="C1875" s="4" t="s">
        <v>7</v>
      </c>
      <c r="D1875" s="4" t="s">
        <v>7</v>
      </c>
      <c r="E1875" s="4" t="s">
        <v>13</v>
      </c>
      <c r="F1875" s="4" t="s">
        <v>13</v>
      </c>
      <c r="G1875" s="4" t="s">
        <v>13</v>
      </c>
      <c r="H1875" s="4" t="s">
        <v>11</v>
      </c>
    </row>
    <row r="1876" spans="1:9">
      <c r="A1876" t="n">
        <v>16954</v>
      </c>
      <c r="B1876" s="51" t="n">
        <v>45</v>
      </c>
      <c r="C1876" s="7" t="n">
        <v>2</v>
      </c>
      <c r="D1876" s="7" t="n">
        <v>3</v>
      </c>
      <c r="E1876" s="7" t="n">
        <v>6.44999980926514</v>
      </c>
      <c r="F1876" s="7" t="n">
        <v>1.39999997615814</v>
      </c>
      <c r="G1876" s="7" t="n">
        <v>41.2999992370605</v>
      </c>
      <c r="H1876" s="7" t="n">
        <v>4000</v>
      </c>
    </row>
    <row r="1877" spans="1:9">
      <c r="A1877" t="s">
        <v>4</v>
      </c>
      <c r="B1877" s="4" t="s">
        <v>5</v>
      </c>
      <c r="C1877" s="4" t="s">
        <v>7</v>
      </c>
      <c r="D1877" s="4" t="s">
        <v>7</v>
      </c>
      <c r="E1877" s="4" t="s">
        <v>13</v>
      </c>
      <c r="F1877" s="4" t="s">
        <v>11</v>
      </c>
    </row>
    <row r="1878" spans="1:9">
      <c r="A1878" t="n">
        <v>16971</v>
      </c>
      <c r="B1878" s="51" t="n">
        <v>45</v>
      </c>
      <c r="C1878" s="7" t="n">
        <v>5</v>
      </c>
      <c r="D1878" s="7" t="n">
        <v>3</v>
      </c>
      <c r="E1878" s="7" t="n">
        <v>4</v>
      </c>
      <c r="F1878" s="7" t="n">
        <v>4000</v>
      </c>
    </row>
    <row r="1879" spans="1:9">
      <c r="A1879" t="s">
        <v>4</v>
      </c>
      <c r="B1879" s="4" t="s">
        <v>5</v>
      </c>
      <c r="C1879" s="4" t="s">
        <v>11</v>
      </c>
      <c r="D1879" s="4" t="s">
        <v>7</v>
      </c>
      <c r="E1879" s="4" t="s">
        <v>8</v>
      </c>
      <c r="F1879" s="4" t="s">
        <v>13</v>
      </c>
      <c r="G1879" s="4" t="s">
        <v>13</v>
      </c>
      <c r="H1879" s="4" t="s">
        <v>13</v>
      </c>
    </row>
    <row r="1880" spans="1:9">
      <c r="A1880" t="n">
        <v>16980</v>
      </c>
      <c r="B1880" s="42" t="n">
        <v>48</v>
      </c>
      <c r="C1880" s="7" t="n">
        <v>0</v>
      </c>
      <c r="D1880" s="7" t="n">
        <v>0</v>
      </c>
      <c r="E1880" s="7" t="s">
        <v>203</v>
      </c>
      <c r="F1880" s="7" t="n">
        <v>-1</v>
      </c>
      <c r="G1880" s="7" t="n">
        <v>1</v>
      </c>
      <c r="H1880" s="7" t="n">
        <v>0</v>
      </c>
    </row>
    <row r="1881" spans="1:9">
      <c r="A1881" t="s">
        <v>4</v>
      </c>
      <c r="B1881" s="4" t="s">
        <v>5</v>
      </c>
      <c r="C1881" s="4" t="s">
        <v>11</v>
      </c>
      <c r="D1881" s="4" t="s">
        <v>7</v>
      </c>
      <c r="E1881" s="4" t="s">
        <v>8</v>
      </c>
      <c r="F1881" s="4" t="s">
        <v>13</v>
      </c>
      <c r="G1881" s="4" t="s">
        <v>13</v>
      </c>
      <c r="H1881" s="4" t="s">
        <v>13</v>
      </c>
    </row>
    <row r="1882" spans="1:9">
      <c r="A1882" t="n">
        <v>17012</v>
      </c>
      <c r="B1882" s="42" t="n">
        <v>48</v>
      </c>
      <c r="C1882" s="7" t="n">
        <v>0</v>
      </c>
      <c r="D1882" s="7" t="n">
        <v>0</v>
      </c>
      <c r="E1882" s="7" t="s">
        <v>201</v>
      </c>
      <c r="F1882" s="7" t="n">
        <v>-1</v>
      </c>
      <c r="G1882" s="7" t="n">
        <v>1</v>
      </c>
      <c r="H1882" s="7" t="n">
        <v>0</v>
      </c>
    </row>
    <row r="1883" spans="1:9">
      <c r="A1883" t="s">
        <v>4</v>
      </c>
      <c r="B1883" s="4" t="s">
        <v>5</v>
      </c>
      <c r="C1883" s="4" t="s">
        <v>7</v>
      </c>
      <c r="D1883" s="4" t="s">
        <v>11</v>
      </c>
      <c r="E1883" s="4" t="s">
        <v>13</v>
      </c>
    </row>
    <row r="1884" spans="1:9">
      <c r="A1884" t="n">
        <v>17038</v>
      </c>
      <c r="B1884" s="23" t="n">
        <v>58</v>
      </c>
      <c r="C1884" s="7" t="n">
        <v>100</v>
      </c>
      <c r="D1884" s="7" t="n">
        <v>1000</v>
      </c>
      <c r="E1884" s="7" t="n">
        <v>1</v>
      </c>
    </row>
    <row r="1885" spans="1:9">
      <c r="A1885" t="s">
        <v>4</v>
      </c>
      <c r="B1885" s="4" t="s">
        <v>5</v>
      </c>
      <c r="C1885" s="4" t="s">
        <v>7</v>
      </c>
      <c r="D1885" s="4" t="s">
        <v>11</v>
      </c>
    </row>
    <row r="1886" spans="1:9">
      <c r="A1886" t="n">
        <v>17046</v>
      </c>
      <c r="B1886" s="23" t="n">
        <v>58</v>
      </c>
      <c r="C1886" s="7" t="n">
        <v>255</v>
      </c>
      <c r="D1886" s="7" t="n">
        <v>0</v>
      </c>
    </row>
    <row r="1887" spans="1:9">
      <c r="A1887" t="s">
        <v>4</v>
      </c>
      <c r="B1887" s="4" t="s">
        <v>5</v>
      </c>
      <c r="C1887" s="4" t="s">
        <v>7</v>
      </c>
      <c r="D1887" s="4" t="s">
        <v>11</v>
      </c>
    </row>
    <row r="1888" spans="1:9">
      <c r="A1888" t="n">
        <v>17050</v>
      </c>
      <c r="B1888" s="51" t="n">
        <v>45</v>
      </c>
      <c r="C1888" s="7" t="n">
        <v>7</v>
      </c>
      <c r="D1888" s="7" t="n">
        <v>255</v>
      </c>
    </row>
    <row r="1889" spans="1:8">
      <c r="A1889" t="s">
        <v>4</v>
      </c>
      <c r="B1889" s="4" t="s">
        <v>5</v>
      </c>
      <c r="C1889" s="4" t="s">
        <v>7</v>
      </c>
      <c r="D1889" s="4" t="s">
        <v>11</v>
      </c>
      <c r="E1889" s="4" t="s">
        <v>13</v>
      </c>
    </row>
    <row r="1890" spans="1:8">
      <c r="A1890" t="n">
        <v>17054</v>
      </c>
      <c r="B1890" s="23" t="n">
        <v>58</v>
      </c>
      <c r="C1890" s="7" t="n">
        <v>0</v>
      </c>
      <c r="D1890" s="7" t="n">
        <v>300</v>
      </c>
      <c r="E1890" s="7" t="n">
        <v>0.300000011920929</v>
      </c>
    </row>
    <row r="1891" spans="1:8">
      <c r="A1891" t="s">
        <v>4</v>
      </c>
      <c r="B1891" s="4" t="s">
        <v>5</v>
      </c>
      <c r="C1891" s="4" t="s">
        <v>7</v>
      </c>
      <c r="D1891" s="4" t="s">
        <v>11</v>
      </c>
    </row>
    <row r="1892" spans="1:8">
      <c r="A1892" t="n">
        <v>17062</v>
      </c>
      <c r="B1892" s="23" t="n">
        <v>58</v>
      </c>
      <c r="C1892" s="7" t="n">
        <v>255</v>
      </c>
      <c r="D1892" s="7" t="n">
        <v>0</v>
      </c>
    </row>
    <row r="1893" spans="1:8">
      <c r="A1893" t="s">
        <v>4</v>
      </c>
      <c r="B1893" s="4" t="s">
        <v>5</v>
      </c>
      <c r="C1893" s="4" t="s">
        <v>7</v>
      </c>
      <c r="D1893" s="4" t="s">
        <v>11</v>
      </c>
      <c r="E1893" s="4" t="s">
        <v>11</v>
      </c>
      <c r="F1893" s="4" t="s">
        <v>11</v>
      </c>
      <c r="G1893" s="4" t="s">
        <v>11</v>
      </c>
      <c r="H1893" s="4" t="s">
        <v>7</v>
      </c>
    </row>
    <row r="1894" spans="1:8">
      <c r="A1894" t="n">
        <v>17066</v>
      </c>
      <c r="B1894" s="31" t="n">
        <v>25</v>
      </c>
      <c r="C1894" s="7" t="n">
        <v>5</v>
      </c>
      <c r="D1894" s="7" t="n">
        <v>65535</v>
      </c>
      <c r="E1894" s="7" t="n">
        <v>65535</v>
      </c>
      <c r="F1894" s="7" t="n">
        <v>65535</v>
      </c>
      <c r="G1894" s="7" t="n">
        <v>65535</v>
      </c>
      <c r="H1894" s="7" t="n">
        <v>0</v>
      </c>
    </row>
    <row r="1895" spans="1:8">
      <c r="A1895" t="s">
        <v>4</v>
      </c>
      <c r="B1895" s="4" t="s">
        <v>5</v>
      </c>
      <c r="C1895" s="4" t="s">
        <v>7</v>
      </c>
      <c r="D1895" s="4" t="s">
        <v>11</v>
      </c>
      <c r="E1895" s="4" t="s">
        <v>13</v>
      </c>
      <c r="F1895" s="4" t="s">
        <v>11</v>
      </c>
      <c r="G1895" s="4" t="s">
        <v>15</v>
      </c>
      <c r="H1895" s="4" t="s">
        <v>15</v>
      </c>
      <c r="I1895" s="4" t="s">
        <v>11</v>
      </c>
      <c r="J1895" s="4" t="s">
        <v>11</v>
      </c>
      <c r="K1895" s="4" t="s">
        <v>15</v>
      </c>
      <c r="L1895" s="4" t="s">
        <v>15</v>
      </c>
      <c r="M1895" s="4" t="s">
        <v>15</v>
      </c>
      <c r="N1895" s="4" t="s">
        <v>15</v>
      </c>
      <c r="O1895" s="4" t="s">
        <v>8</v>
      </c>
    </row>
    <row r="1896" spans="1:8">
      <c r="A1896" t="n">
        <v>17077</v>
      </c>
      <c r="B1896" s="57" t="n">
        <v>50</v>
      </c>
      <c r="C1896" s="7" t="n">
        <v>0</v>
      </c>
      <c r="D1896" s="7" t="n">
        <v>12010</v>
      </c>
      <c r="E1896" s="7" t="n">
        <v>1</v>
      </c>
      <c r="F1896" s="7" t="n">
        <v>0</v>
      </c>
      <c r="G1896" s="7" t="n">
        <v>0</v>
      </c>
      <c r="H1896" s="7" t="n">
        <v>0</v>
      </c>
      <c r="I1896" s="7" t="n">
        <v>0</v>
      </c>
      <c r="J1896" s="7" t="n">
        <v>65533</v>
      </c>
      <c r="K1896" s="7" t="n">
        <v>0</v>
      </c>
      <c r="L1896" s="7" t="n">
        <v>0</v>
      </c>
      <c r="M1896" s="7" t="n">
        <v>0</v>
      </c>
      <c r="N1896" s="7" t="n">
        <v>0</v>
      </c>
      <c r="O1896" s="7" t="s">
        <v>16</v>
      </c>
    </row>
    <row r="1897" spans="1:8">
      <c r="A1897" t="s">
        <v>4</v>
      </c>
      <c r="B1897" s="4" t="s">
        <v>5</v>
      </c>
      <c r="C1897" s="4" t="s">
        <v>11</v>
      </c>
      <c r="D1897" s="4" t="s">
        <v>55</v>
      </c>
      <c r="E1897" s="4" t="s">
        <v>7</v>
      </c>
      <c r="F1897" s="4" t="s">
        <v>7</v>
      </c>
      <c r="G1897" s="4" t="s">
        <v>11</v>
      </c>
      <c r="H1897" s="4" t="s">
        <v>7</v>
      </c>
      <c r="I1897" s="4" t="s">
        <v>55</v>
      </c>
      <c r="J1897" s="4" t="s">
        <v>7</v>
      </c>
      <c r="K1897" s="4" t="s">
        <v>7</v>
      </c>
      <c r="L1897" s="4" t="s">
        <v>7</v>
      </c>
    </row>
    <row r="1898" spans="1:8">
      <c r="A1898" t="n">
        <v>17116</v>
      </c>
      <c r="B1898" s="32" t="n">
        <v>24</v>
      </c>
      <c r="C1898" s="7" t="n">
        <v>65533</v>
      </c>
      <c r="D1898" s="7" t="s">
        <v>204</v>
      </c>
      <c r="E1898" s="7" t="n">
        <v>12</v>
      </c>
      <c r="F1898" s="7" t="n">
        <v>16</v>
      </c>
      <c r="G1898" s="7" t="n">
        <v>104</v>
      </c>
      <c r="H1898" s="7" t="n">
        <v>7</v>
      </c>
      <c r="I1898" s="7" t="s">
        <v>205</v>
      </c>
      <c r="J1898" s="7" t="n">
        <v>6</v>
      </c>
      <c r="K1898" s="7" t="n">
        <v>2</v>
      </c>
      <c r="L1898" s="7" t="n">
        <v>0</v>
      </c>
    </row>
    <row r="1899" spans="1:8">
      <c r="A1899" t="s">
        <v>4</v>
      </c>
      <c r="B1899" s="4" t="s">
        <v>5</v>
      </c>
    </row>
    <row r="1900" spans="1:8">
      <c r="A1900" t="n">
        <v>17137</v>
      </c>
      <c r="B1900" s="27" t="n">
        <v>28</v>
      </c>
    </row>
    <row r="1901" spans="1:8">
      <c r="A1901" t="s">
        <v>4</v>
      </c>
      <c r="B1901" s="4" t="s">
        <v>5</v>
      </c>
      <c r="C1901" s="4" t="s">
        <v>7</v>
      </c>
    </row>
    <row r="1902" spans="1:8">
      <c r="A1902" t="n">
        <v>17138</v>
      </c>
      <c r="B1902" s="33" t="n">
        <v>27</v>
      </c>
      <c r="C1902" s="7" t="n">
        <v>0</v>
      </c>
    </row>
    <row r="1903" spans="1:8">
      <c r="A1903" t="s">
        <v>4</v>
      </c>
      <c r="B1903" s="4" t="s">
        <v>5</v>
      </c>
      <c r="C1903" s="4" t="s">
        <v>7</v>
      </c>
      <c r="D1903" s="4" t="s">
        <v>11</v>
      </c>
      <c r="E1903" s="4" t="s">
        <v>11</v>
      </c>
      <c r="F1903" s="4" t="s">
        <v>11</v>
      </c>
      <c r="G1903" s="4" t="s">
        <v>11</v>
      </c>
      <c r="H1903" s="4" t="s">
        <v>7</v>
      </c>
    </row>
    <row r="1904" spans="1:8">
      <c r="A1904" t="n">
        <v>17140</v>
      </c>
      <c r="B1904" s="31" t="n">
        <v>25</v>
      </c>
      <c r="C1904" s="7" t="n">
        <v>5</v>
      </c>
      <c r="D1904" s="7" t="n">
        <v>65535</v>
      </c>
      <c r="E1904" s="7" t="n">
        <v>65535</v>
      </c>
      <c r="F1904" s="7" t="n">
        <v>65535</v>
      </c>
      <c r="G1904" s="7" t="n">
        <v>65535</v>
      </c>
      <c r="H1904" s="7" t="n">
        <v>0</v>
      </c>
    </row>
    <row r="1905" spans="1:15">
      <c r="A1905" t="s">
        <v>4</v>
      </c>
      <c r="B1905" s="4" t="s">
        <v>5</v>
      </c>
      <c r="C1905" s="4" t="s">
        <v>7</v>
      </c>
      <c r="D1905" s="4" t="s">
        <v>11</v>
      </c>
      <c r="E1905" s="4" t="s">
        <v>15</v>
      </c>
    </row>
    <row r="1906" spans="1:15">
      <c r="A1906" t="n">
        <v>17151</v>
      </c>
      <c r="B1906" s="21" t="n">
        <v>101</v>
      </c>
      <c r="C1906" s="7" t="n">
        <v>0</v>
      </c>
      <c r="D1906" s="7" t="n">
        <v>104</v>
      </c>
      <c r="E1906" s="7" t="n">
        <v>1</v>
      </c>
    </row>
    <row r="1907" spans="1:15">
      <c r="A1907" t="s">
        <v>4</v>
      </c>
      <c r="B1907" s="4" t="s">
        <v>5</v>
      </c>
      <c r="C1907" s="4" t="s">
        <v>7</v>
      </c>
      <c r="D1907" s="4" t="s">
        <v>7</v>
      </c>
      <c r="E1907" s="4" t="s">
        <v>11</v>
      </c>
      <c r="F1907" s="4" t="s">
        <v>11</v>
      </c>
      <c r="G1907" s="4" t="s">
        <v>11</v>
      </c>
      <c r="H1907" s="4" t="s">
        <v>11</v>
      </c>
      <c r="I1907" s="4" t="s">
        <v>11</v>
      </c>
      <c r="J1907" s="4" t="s">
        <v>11</v>
      </c>
      <c r="K1907" s="4" t="s">
        <v>11</v>
      </c>
    </row>
    <row r="1908" spans="1:15">
      <c r="A1908" t="n">
        <v>17159</v>
      </c>
      <c r="B1908" s="70" t="n">
        <v>114</v>
      </c>
      <c r="C1908" s="7" t="n">
        <v>0</v>
      </c>
      <c r="D1908" s="7" t="n">
        <v>0</v>
      </c>
      <c r="E1908" s="7" t="n">
        <v>32</v>
      </c>
      <c r="F1908" s="7" t="n">
        <v>33</v>
      </c>
      <c r="G1908" s="7" t="n">
        <v>34</v>
      </c>
      <c r="H1908" s="7" t="n">
        <v>35</v>
      </c>
      <c r="I1908" s="7" t="n">
        <v>36</v>
      </c>
      <c r="J1908" s="7" t="n">
        <v>9999</v>
      </c>
      <c r="K1908" s="7" t="n">
        <v>9999</v>
      </c>
    </row>
    <row r="1909" spans="1:15">
      <c r="A1909" t="s">
        <v>4</v>
      </c>
      <c r="B1909" s="4" t="s">
        <v>5</v>
      </c>
      <c r="C1909" s="4" t="s">
        <v>7</v>
      </c>
    </row>
    <row r="1910" spans="1:15">
      <c r="A1910" t="n">
        <v>17176</v>
      </c>
      <c r="B1910" s="70" t="n">
        <v>114</v>
      </c>
      <c r="C1910" s="7" t="n">
        <v>1</v>
      </c>
    </row>
    <row r="1911" spans="1:15">
      <c r="A1911" t="s">
        <v>4</v>
      </c>
      <c r="B1911" s="4" t="s">
        <v>5</v>
      </c>
      <c r="C1911" s="4" t="s">
        <v>7</v>
      </c>
      <c r="D1911" s="4" t="s">
        <v>11</v>
      </c>
      <c r="E1911" s="4" t="s">
        <v>13</v>
      </c>
    </row>
    <row r="1912" spans="1:15">
      <c r="A1912" t="n">
        <v>17178</v>
      </c>
      <c r="B1912" s="23" t="n">
        <v>58</v>
      </c>
      <c r="C1912" s="7" t="n">
        <v>100</v>
      </c>
      <c r="D1912" s="7" t="n">
        <v>300</v>
      </c>
      <c r="E1912" s="7" t="n">
        <v>0.300000011920929</v>
      </c>
    </row>
    <row r="1913" spans="1:15">
      <c r="A1913" t="s">
        <v>4</v>
      </c>
      <c r="B1913" s="4" t="s">
        <v>5</v>
      </c>
      <c r="C1913" s="4" t="s">
        <v>7</v>
      </c>
      <c r="D1913" s="4" t="s">
        <v>11</v>
      </c>
    </row>
    <row r="1914" spans="1:15">
      <c r="A1914" t="n">
        <v>17186</v>
      </c>
      <c r="B1914" s="23" t="n">
        <v>58</v>
      </c>
      <c r="C1914" s="7" t="n">
        <v>255</v>
      </c>
      <c r="D1914" s="7" t="n">
        <v>0</v>
      </c>
    </row>
    <row r="1915" spans="1:15">
      <c r="A1915" t="s">
        <v>4</v>
      </c>
      <c r="B1915" s="4" t="s">
        <v>5</v>
      </c>
      <c r="C1915" s="4" t="s">
        <v>7</v>
      </c>
      <c r="D1915" s="4" t="s">
        <v>11</v>
      </c>
      <c r="E1915" s="4" t="s">
        <v>8</v>
      </c>
    </row>
    <row r="1916" spans="1:15">
      <c r="A1916" t="n">
        <v>17190</v>
      </c>
      <c r="B1916" s="38" t="n">
        <v>51</v>
      </c>
      <c r="C1916" s="7" t="n">
        <v>4</v>
      </c>
      <c r="D1916" s="7" t="n">
        <v>0</v>
      </c>
      <c r="E1916" s="7" t="s">
        <v>206</v>
      </c>
    </row>
    <row r="1917" spans="1:15">
      <c r="A1917" t="s">
        <v>4</v>
      </c>
      <c r="B1917" s="4" t="s">
        <v>5</v>
      </c>
      <c r="C1917" s="4" t="s">
        <v>11</v>
      </c>
    </row>
    <row r="1918" spans="1:15">
      <c r="A1918" t="n">
        <v>17205</v>
      </c>
      <c r="B1918" s="29" t="n">
        <v>16</v>
      </c>
      <c r="C1918" s="7" t="n">
        <v>0</v>
      </c>
    </row>
    <row r="1919" spans="1:15">
      <c r="A1919" t="s">
        <v>4</v>
      </c>
      <c r="B1919" s="4" t="s">
        <v>5</v>
      </c>
      <c r="C1919" s="4" t="s">
        <v>11</v>
      </c>
      <c r="D1919" s="4" t="s">
        <v>55</v>
      </c>
      <c r="E1919" s="4" t="s">
        <v>7</v>
      </c>
      <c r="F1919" s="4" t="s">
        <v>7</v>
      </c>
      <c r="G1919" s="4" t="s">
        <v>55</v>
      </c>
      <c r="H1919" s="4" t="s">
        <v>7</v>
      </c>
      <c r="I1919" s="4" t="s">
        <v>7</v>
      </c>
    </row>
    <row r="1920" spans="1:15">
      <c r="A1920" t="n">
        <v>17208</v>
      </c>
      <c r="B1920" s="55" t="n">
        <v>26</v>
      </c>
      <c r="C1920" s="7" t="n">
        <v>0</v>
      </c>
      <c r="D1920" s="7" t="s">
        <v>207</v>
      </c>
      <c r="E1920" s="7" t="n">
        <v>2</v>
      </c>
      <c r="F1920" s="7" t="n">
        <v>3</v>
      </c>
      <c r="G1920" s="7" t="s">
        <v>208</v>
      </c>
      <c r="H1920" s="7" t="n">
        <v>2</v>
      </c>
      <c r="I1920" s="7" t="n">
        <v>0</v>
      </c>
    </row>
    <row r="1921" spans="1:11">
      <c r="A1921" t="s">
        <v>4</v>
      </c>
      <c r="B1921" s="4" t="s">
        <v>5</v>
      </c>
    </row>
    <row r="1922" spans="1:11">
      <c r="A1922" t="n">
        <v>17396</v>
      </c>
      <c r="B1922" s="27" t="n">
        <v>28</v>
      </c>
    </row>
    <row r="1923" spans="1:11">
      <c r="A1923" t="s">
        <v>4</v>
      </c>
      <c r="B1923" s="4" t="s">
        <v>5</v>
      </c>
      <c r="C1923" s="4" t="s">
        <v>7</v>
      </c>
      <c r="D1923" s="4" t="s">
        <v>11</v>
      </c>
      <c r="E1923" s="4" t="s">
        <v>13</v>
      </c>
    </row>
    <row r="1924" spans="1:11">
      <c r="A1924" t="n">
        <v>17397</v>
      </c>
      <c r="B1924" s="23" t="n">
        <v>58</v>
      </c>
      <c r="C1924" s="7" t="n">
        <v>101</v>
      </c>
      <c r="D1924" s="7" t="n">
        <v>500</v>
      </c>
      <c r="E1924" s="7" t="n">
        <v>1</v>
      </c>
    </row>
    <row r="1925" spans="1:11">
      <c r="A1925" t="s">
        <v>4</v>
      </c>
      <c r="B1925" s="4" t="s">
        <v>5</v>
      </c>
      <c r="C1925" s="4" t="s">
        <v>7</v>
      </c>
      <c r="D1925" s="4" t="s">
        <v>11</v>
      </c>
    </row>
    <row r="1926" spans="1:11">
      <c r="A1926" t="n">
        <v>17405</v>
      </c>
      <c r="B1926" s="23" t="n">
        <v>58</v>
      </c>
      <c r="C1926" s="7" t="n">
        <v>254</v>
      </c>
      <c r="D1926" s="7" t="n">
        <v>0</v>
      </c>
    </row>
    <row r="1927" spans="1:11">
      <c r="A1927" t="s">
        <v>4</v>
      </c>
      <c r="B1927" s="4" t="s">
        <v>5</v>
      </c>
      <c r="C1927" s="4" t="s">
        <v>11</v>
      </c>
      <c r="D1927" s="4" t="s">
        <v>7</v>
      </c>
      <c r="E1927" s="4" t="s">
        <v>8</v>
      </c>
      <c r="F1927" s="4" t="s">
        <v>13</v>
      </c>
      <c r="G1927" s="4" t="s">
        <v>13</v>
      </c>
      <c r="H1927" s="4" t="s">
        <v>13</v>
      </c>
    </row>
    <row r="1928" spans="1:11">
      <c r="A1928" t="n">
        <v>17409</v>
      </c>
      <c r="B1928" s="42" t="n">
        <v>48</v>
      </c>
      <c r="C1928" s="7" t="n">
        <v>0</v>
      </c>
      <c r="D1928" s="7" t="n">
        <v>0</v>
      </c>
      <c r="E1928" s="7" t="s">
        <v>209</v>
      </c>
      <c r="F1928" s="7" t="n">
        <v>-1</v>
      </c>
      <c r="G1928" s="7" t="n">
        <v>1</v>
      </c>
      <c r="H1928" s="7" t="n">
        <v>0</v>
      </c>
    </row>
    <row r="1929" spans="1:11">
      <c r="A1929" t="s">
        <v>4</v>
      </c>
      <c r="B1929" s="4" t="s">
        <v>5</v>
      </c>
      <c r="C1929" s="4" t="s">
        <v>7</v>
      </c>
      <c r="D1929" s="4" t="s">
        <v>11</v>
      </c>
      <c r="E1929" s="4" t="s">
        <v>13</v>
      </c>
      <c r="F1929" s="4" t="s">
        <v>11</v>
      </c>
      <c r="G1929" s="4" t="s">
        <v>15</v>
      </c>
      <c r="H1929" s="4" t="s">
        <v>15</v>
      </c>
      <c r="I1929" s="4" t="s">
        <v>11</v>
      </c>
      <c r="J1929" s="4" t="s">
        <v>11</v>
      </c>
      <c r="K1929" s="4" t="s">
        <v>15</v>
      </c>
      <c r="L1929" s="4" t="s">
        <v>15</v>
      </c>
      <c r="M1929" s="4" t="s">
        <v>15</v>
      </c>
      <c r="N1929" s="4" t="s">
        <v>15</v>
      </c>
      <c r="O1929" s="4" t="s">
        <v>8</v>
      </c>
    </row>
    <row r="1930" spans="1:11">
      <c r="A1930" t="n">
        <v>17441</v>
      </c>
      <c r="B1930" s="57" t="n">
        <v>50</v>
      </c>
      <c r="C1930" s="7" t="n">
        <v>0</v>
      </c>
      <c r="D1930" s="7" t="n">
        <v>2002</v>
      </c>
      <c r="E1930" s="7" t="n">
        <v>0.400000005960464</v>
      </c>
      <c r="F1930" s="7" t="n">
        <v>0</v>
      </c>
      <c r="G1930" s="7" t="n">
        <v>0</v>
      </c>
      <c r="H1930" s="7" t="n">
        <v>-1069547520</v>
      </c>
      <c r="I1930" s="7" t="n">
        <v>0</v>
      </c>
      <c r="J1930" s="7" t="n">
        <v>65533</v>
      </c>
      <c r="K1930" s="7" t="n">
        <v>0</v>
      </c>
      <c r="L1930" s="7" t="n">
        <v>0</v>
      </c>
      <c r="M1930" s="7" t="n">
        <v>0</v>
      </c>
      <c r="N1930" s="7" t="n">
        <v>0</v>
      </c>
      <c r="O1930" s="7" t="s">
        <v>16</v>
      </c>
    </row>
    <row r="1931" spans="1:11">
      <c r="A1931" t="s">
        <v>4</v>
      </c>
      <c r="B1931" s="4" t="s">
        <v>5</v>
      </c>
      <c r="C1931" s="4" t="s">
        <v>7</v>
      </c>
      <c r="D1931" s="4" t="s">
        <v>11</v>
      </c>
    </row>
    <row r="1932" spans="1:11">
      <c r="A1932" t="n">
        <v>17480</v>
      </c>
      <c r="B1932" s="23" t="n">
        <v>58</v>
      </c>
      <c r="C1932" s="7" t="n">
        <v>254</v>
      </c>
      <c r="D1932" s="7" t="n">
        <v>0</v>
      </c>
    </row>
    <row r="1933" spans="1:11">
      <c r="A1933" t="s">
        <v>4</v>
      </c>
      <c r="B1933" s="4" t="s">
        <v>5</v>
      </c>
      <c r="C1933" s="4" t="s">
        <v>11</v>
      </c>
    </row>
    <row r="1934" spans="1:11">
      <c r="A1934" t="n">
        <v>17484</v>
      </c>
      <c r="B1934" s="29" t="n">
        <v>16</v>
      </c>
      <c r="C1934" s="7" t="n">
        <v>500</v>
      </c>
    </row>
    <row r="1935" spans="1:11">
      <c r="A1935" t="s">
        <v>4</v>
      </c>
      <c r="B1935" s="4" t="s">
        <v>5</v>
      </c>
      <c r="C1935" s="4" t="s">
        <v>7</v>
      </c>
      <c r="D1935" s="4" t="s">
        <v>11</v>
      </c>
      <c r="E1935" s="4" t="s">
        <v>8</v>
      </c>
      <c r="F1935" s="4" t="s">
        <v>8</v>
      </c>
      <c r="G1935" s="4" t="s">
        <v>8</v>
      </c>
      <c r="H1935" s="4" t="s">
        <v>8</v>
      </c>
    </row>
    <row r="1936" spans="1:11">
      <c r="A1936" t="n">
        <v>17487</v>
      </c>
      <c r="B1936" s="38" t="n">
        <v>51</v>
      </c>
      <c r="C1936" s="7" t="n">
        <v>3</v>
      </c>
      <c r="D1936" s="7" t="n">
        <v>0</v>
      </c>
      <c r="E1936" s="7" t="s">
        <v>79</v>
      </c>
      <c r="F1936" s="7" t="s">
        <v>99</v>
      </c>
      <c r="G1936" s="7" t="s">
        <v>78</v>
      </c>
      <c r="H1936" s="7" t="s">
        <v>79</v>
      </c>
    </row>
    <row r="1937" spans="1:15">
      <c r="A1937" t="s">
        <v>4</v>
      </c>
      <c r="B1937" s="4" t="s">
        <v>5</v>
      </c>
      <c r="C1937" s="4" t="s">
        <v>11</v>
      </c>
      <c r="D1937" s="4" t="s">
        <v>7</v>
      </c>
      <c r="E1937" s="4" t="s">
        <v>8</v>
      </c>
      <c r="F1937" s="4" t="s">
        <v>13</v>
      </c>
      <c r="G1937" s="4" t="s">
        <v>13</v>
      </c>
      <c r="H1937" s="4" t="s">
        <v>13</v>
      </c>
    </row>
    <row r="1938" spans="1:15">
      <c r="A1938" t="n">
        <v>17500</v>
      </c>
      <c r="B1938" s="42" t="n">
        <v>48</v>
      </c>
      <c r="C1938" s="7" t="n">
        <v>0</v>
      </c>
      <c r="D1938" s="7" t="n">
        <v>0</v>
      </c>
      <c r="E1938" s="7" t="s">
        <v>210</v>
      </c>
      <c r="F1938" s="7" t="n">
        <v>0.400000005960464</v>
      </c>
      <c r="G1938" s="7" t="n">
        <v>1</v>
      </c>
      <c r="H1938" s="7" t="n">
        <v>0</v>
      </c>
    </row>
    <row r="1939" spans="1:15">
      <c r="A1939" t="s">
        <v>4</v>
      </c>
      <c r="B1939" s="4" t="s">
        <v>5</v>
      </c>
      <c r="C1939" s="4" t="s">
        <v>11</v>
      </c>
    </row>
    <row r="1940" spans="1:15">
      <c r="A1940" t="n">
        <v>17525</v>
      </c>
      <c r="B1940" s="29" t="n">
        <v>16</v>
      </c>
      <c r="C1940" s="7" t="n">
        <v>400</v>
      </c>
    </row>
    <row r="1941" spans="1:15">
      <c r="A1941" t="s">
        <v>4</v>
      </c>
      <c r="B1941" s="4" t="s">
        <v>5</v>
      </c>
      <c r="C1941" s="4" t="s">
        <v>7</v>
      </c>
      <c r="D1941" s="4" t="s">
        <v>7</v>
      </c>
      <c r="E1941" s="4" t="s">
        <v>13</v>
      </c>
      <c r="F1941" s="4" t="s">
        <v>13</v>
      </c>
      <c r="G1941" s="4" t="s">
        <v>13</v>
      </c>
      <c r="H1941" s="4" t="s">
        <v>11</v>
      </c>
    </row>
    <row r="1942" spans="1:15">
      <c r="A1942" t="n">
        <v>17528</v>
      </c>
      <c r="B1942" s="51" t="n">
        <v>45</v>
      </c>
      <c r="C1942" s="7" t="n">
        <v>2</v>
      </c>
      <c r="D1942" s="7" t="n">
        <v>3</v>
      </c>
      <c r="E1942" s="7" t="n">
        <v>6.48999977111816</v>
      </c>
      <c r="F1942" s="7" t="n">
        <v>1.37000000476837</v>
      </c>
      <c r="G1942" s="7" t="n">
        <v>40.939998626709</v>
      </c>
      <c r="H1942" s="7" t="n">
        <v>1500</v>
      </c>
    </row>
    <row r="1943" spans="1:15">
      <c r="A1943" t="s">
        <v>4</v>
      </c>
      <c r="B1943" s="4" t="s">
        <v>5</v>
      </c>
      <c r="C1943" s="4" t="s">
        <v>7</v>
      </c>
      <c r="D1943" s="4" t="s">
        <v>7</v>
      </c>
      <c r="E1943" s="4" t="s">
        <v>13</v>
      </c>
      <c r="F1943" s="4" t="s">
        <v>13</v>
      </c>
      <c r="G1943" s="4" t="s">
        <v>13</v>
      </c>
      <c r="H1943" s="4" t="s">
        <v>11</v>
      </c>
      <c r="I1943" s="4" t="s">
        <v>7</v>
      </c>
    </row>
    <row r="1944" spans="1:15">
      <c r="A1944" t="n">
        <v>17545</v>
      </c>
      <c r="B1944" s="51" t="n">
        <v>45</v>
      </c>
      <c r="C1944" s="7" t="n">
        <v>4</v>
      </c>
      <c r="D1944" s="7" t="n">
        <v>3</v>
      </c>
      <c r="E1944" s="7" t="n">
        <v>355.470001220703</v>
      </c>
      <c r="F1944" s="7" t="n">
        <v>325</v>
      </c>
      <c r="G1944" s="7" t="n">
        <v>0</v>
      </c>
      <c r="H1944" s="7" t="n">
        <v>1500</v>
      </c>
      <c r="I1944" s="7" t="n">
        <v>1</v>
      </c>
    </row>
    <row r="1945" spans="1:15">
      <c r="A1945" t="s">
        <v>4</v>
      </c>
      <c r="B1945" s="4" t="s">
        <v>5</v>
      </c>
      <c r="C1945" s="4" t="s">
        <v>7</v>
      </c>
      <c r="D1945" s="4" t="s">
        <v>7</v>
      </c>
      <c r="E1945" s="4" t="s">
        <v>13</v>
      </c>
      <c r="F1945" s="4" t="s">
        <v>11</v>
      </c>
    </row>
    <row r="1946" spans="1:15">
      <c r="A1946" t="n">
        <v>17563</v>
      </c>
      <c r="B1946" s="51" t="n">
        <v>45</v>
      </c>
      <c r="C1946" s="7" t="n">
        <v>5</v>
      </c>
      <c r="D1946" s="7" t="n">
        <v>3</v>
      </c>
      <c r="E1946" s="7" t="n">
        <v>3.20000004768372</v>
      </c>
      <c r="F1946" s="7" t="n">
        <v>1500</v>
      </c>
    </row>
    <row r="1947" spans="1:15">
      <c r="A1947" t="s">
        <v>4</v>
      </c>
      <c r="B1947" s="4" t="s">
        <v>5</v>
      </c>
      <c r="C1947" s="4" t="s">
        <v>11</v>
      </c>
      <c r="D1947" s="4" t="s">
        <v>13</v>
      </c>
      <c r="E1947" s="4" t="s">
        <v>13</v>
      </c>
      <c r="F1947" s="4" t="s">
        <v>7</v>
      </c>
    </row>
    <row r="1948" spans="1:15">
      <c r="A1948" t="n">
        <v>17572</v>
      </c>
      <c r="B1948" s="65" t="n">
        <v>52</v>
      </c>
      <c r="C1948" s="7" t="n">
        <v>0</v>
      </c>
      <c r="D1948" s="7" t="n">
        <v>0</v>
      </c>
      <c r="E1948" s="7" t="n">
        <v>10</v>
      </c>
      <c r="F1948" s="7" t="n">
        <v>0</v>
      </c>
    </row>
    <row r="1949" spans="1:15">
      <c r="A1949" t="s">
        <v>4</v>
      </c>
      <c r="B1949" s="4" t="s">
        <v>5</v>
      </c>
      <c r="C1949" s="4" t="s">
        <v>11</v>
      </c>
    </row>
    <row r="1950" spans="1:15">
      <c r="A1950" t="n">
        <v>17584</v>
      </c>
      <c r="B1950" s="66" t="n">
        <v>54</v>
      </c>
      <c r="C1950" s="7" t="n">
        <v>0</v>
      </c>
    </row>
    <row r="1951" spans="1:15">
      <c r="A1951" t="s">
        <v>4</v>
      </c>
      <c r="B1951" s="4" t="s">
        <v>5</v>
      </c>
      <c r="C1951" s="4" t="s">
        <v>11</v>
      </c>
      <c r="D1951" s="4" t="s">
        <v>7</v>
      </c>
      <c r="E1951" s="4" t="s">
        <v>8</v>
      </c>
      <c r="F1951" s="4" t="s">
        <v>13</v>
      </c>
      <c r="G1951" s="4" t="s">
        <v>13</v>
      </c>
      <c r="H1951" s="4" t="s">
        <v>13</v>
      </c>
    </row>
    <row r="1952" spans="1:15">
      <c r="A1952" t="n">
        <v>17587</v>
      </c>
      <c r="B1952" s="42" t="n">
        <v>48</v>
      </c>
      <c r="C1952" s="7" t="n">
        <v>0</v>
      </c>
      <c r="D1952" s="7" t="n">
        <v>0</v>
      </c>
      <c r="E1952" s="7" t="s">
        <v>202</v>
      </c>
      <c r="F1952" s="7" t="n">
        <v>-1</v>
      </c>
      <c r="G1952" s="7" t="n">
        <v>1</v>
      </c>
      <c r="H1952" s="7" t="n">
        <v>0</v>
      </c>
    </row>
    <row r="1953" spans="1:9">
      <c r="A1953" t="s">
        <v>4</v>
      </c>
      <c r="B1953" s="4" t="s">
        <v>5</v>
      </c>
      <c r="C1953" s="4" t="s">
        <v>11</v>
      </c>
    </row>
    <row r="1954" spans="1:9">
      <c r="A1954" t="n">
        <v>17612</v>
      </c>
      <c r="B1954" s="29" t="n">
        <v>16</v>
      </c>
      <c r="C1954" s="7" t="n">
        <v>1000</v>
      </c>
    </row>
    <row r="1955" spans="1:9">
      <c r="A1955" t="s">
        <v>4</v>
      </c>
      <c r="B1955" s="4" t="s">
        <v>5</v>
      </c>
      <c r="C1955" s="4" t="s">
        <v>7</v>
      </c>
      <c r="D1955" s="4" t="s">
        <v>11</v>
      </c>
      <c r="E1955" s="4" t="s">
        <v>8</v>
      </c>
    </row>
    <row r="1956" spans="1:9">
      <c r="A1956" t="n">
        <v>17615</v>
      </c>
      <c r="B1956" s="38" t="n">
        <v>51</v>
      </c>
      <c r="C1956" s="7" t="n">
        <v>4</v>
      </c>
      <c r="D1956" s="7" t="n">
        <v>0</v>
      </c>
      <c r="E1956" s="7" t="s">
        <v>211</v>
      </c>
    </row>
    <row r="1957" spans="1:9">
      <c r="A1957" t="s">
        <v>4</v>
      </c>
      <c r="B1957" s="4" t="s">
        <v>5</v>
      </c>
      <c r="C1957" s="4" t="s">
        <v>11</v>
      </c>
    </row>
    <row r="1958" spans="1:9">
      <c r="A1958" t="n">
        <v>17630</v>
      </c>
      <c r="B1958" s="29" t="n">
        <v>16</v>
      </c>
      <c r="C1958" s="7" t="n">
        <v>0</v>
      </c>
    </row>
    <row r="1959" spans="1:9">
      <c r="A1959" t="s">
        <v>4</v>
      </c>
      <c r="B1959" s="4" t="s">
        <v>5</v>
      </c>
      <c r="C1959" s="4" t="s">
        <v>11</v>
      </c>
      <c r="D1959" s="4" t="s">
        <v>55</v>
      </c>
      <c r="E1959" s="4" t="s">
        <v>7</v>
      </c>
      <c r="F1959" s="4" t="s">
        <v>7</v>
      </c>
      <c r="G1959" s="4" t="s">
        <v>55</v>
      </c>
      <c r="H1959" s="4" t="s">
        <v>7</v>
      </c>
      <c r="I1959" s="4" t="s">
        <v>7</v>
      </c>
    </row>
    <row r="1960" spans="1:9">
      <c r="A1960" t="n">
        <v>17633</v>
      </c>
      <c r="B1960" s="55" t="n">
        <v>26</v>
      </c>
      <c r="C1960" s="7" t="n">
        <v>0</v>
      </c>
      <c r="D1960" s="7" t="s">
        <v>212</v>
      </c>
      <c r="E1960" s="7" t="n">
        <v>2</v>
      </c>
      <c r="F1960" s="7" t="n">
        <v>3</v>
      </c>
      <c r="G1960" s="7" t="s">
        <v>213</v>
      </c>
      <c r="H1960" s="7" t="n">
        <v>2</v>
      </c>
      <c r="I1960" s="7" t="n">
        <v>0</v>
      </c>
    </row>
    <row r="1961" spans="1:9">
      <c r="A1961" t="s">
        <v>4</v>
      </c>
      <c r="B1961" s="4" t="s">
        <v>5</v>
      </c>
    </row>
    <row r="1962" spans="1:9">
      <c r="A1962" t="n">
        <v>17765</v>
      </c>
      <c r="B1962" s="27" t="n">
        <v>28</v>
      </c>
    </row>
    <row r="1963" spans="1:9">
      <c r="A1963" t="s">
        <v>4</v>
      </c>
      <c r="B1963" s="4" t="s">
        <v>5</v>
      </c>
      <c r="C1963" s="4" t="s">
        <v>7</v>
      </c>
      <c r="D1963" s="4" t="s">
        <v>11</v>
      </c>
      <c r="E1963" s="4" t="s">
        <v>13</v>
      </c>
    </row>
    <row r="1964" spans="1:9">
      <c r="A1964" t="n">
        <v>17766</v>
      </c>
      <c r="B1964" s="23" t="n">
        <v>58</v>
      </c>
      <c r="C1964" s="7" t="n">
        <v>0</v>
      </c>
      <c r="D1964" s="7" t="n">
        <v>1000</v>
      </c>
      <c r="E1964" s="7" t="n">
        <v>1</v>
      </c>
    </row>
    <row r="1965" spans="1:9">
      <c r="A1965" t="s">
        <v>4</v>
      </c>
      <c r="B1965" s="4" t="s">
        <v>5</v>
      </c>
      <c r="C1965" s="4" t="s">
        <v>7</v>
      </c>
      <c r="D1965" s="4" t="s">
        <v>11</v>
      </c>
    </row>
    <row r="1966" spans="1:9">
      <c r="A1966" t="n">
        <v>17774</v>
      </c>
      <c r="B1966" s="23" t="n">
        <v>58</v>
      </c>
      <c r="C1966" s="7" t="n">
        <v>255</v>
      </c>
      <c r="D1966" s="7" t="n">
        <v>0</v>
      </c>
    </row>
    <row r="1967" spans="1:9">
      <c r="A1967" t="s">
        <v>4</v>
      </c>
      <c r="B1967" s="4" t="s">
        <v>5</v>
      </c>
      <c r="C1967" s="4" t="s">
        <v>7</v>
      </c>
      <c r="D1967" s="4" t="s">
        <v>11</v>
      </c>
      <c r="E1967" s="4" t="s">
        <v>15</v>
      </c>
    </row>
    <row r="1968" spans="1:9">
      <c r="A1968" t="n">
        <v>17778</v>
      </c>
      <c r="B1968" s="21" t="n">
        <v>101</v>
      </c>
      <c r="C1968" s="7" t="n">
        <v>0</v>
      </c>
      <c r="D1968" s="7" t="n">
        <v>104</v>
      </c>
      <c r="E1968" s="7" t="n">
        <v>1</v>
      </c>
    </row>
    <row r="1969" spans="1:9">
      <c r="A1969" t="s">
        <v>4</v>
      </c>
      <c r="B1969" s="4" t="s">
        <v>5</v>
      </c>
      <c r="C1969" s="4" t="s">
        <v>11</v>
      </c>
    </row>
    <row r="1970" spans="1:9">
      <c r="A1970" t="n">
        <v>17786</v>
      </c>
      <c r="B1970" s="29" t="n">
        <v>16</v>
      </c>
      <c r="C1970" s="7" t="n">
        <v>500</v>
      </c>
    </row>
    <row r="1971" spans="1:9">
      <c r="A1971" t="s">
        <v>4</v>
      </c>
      <c r="B1971" s="4" t="s">
        <v>5</v>
      </c>
      <c r="C1971" s="4" t="s">
        <v>7</v>
      </c>
      <c r="D1971" s="4" t="s">
        <v>11</v>
      </c>
      <c r="E1971" s="4" t="s">
        <v>13</v>
      </c>
      <c r="F1971" s="4" t="s">
        <v>11</v>
      </c>
      <c r="G1971" s="4" t="s">
        <v>15</v>
      </c>
      <c r="H1971" s="4" t="s">
        <v>15</v>
      </c>
      <c r="I1971" s="4" t="s">
        <v>11</v>
      </c>
      <c r="J1971" s="4" t="s">
        <v>11</v>
      </c>
      <c r="K1971" s="4" t="s">
        <v>15</v>
      </c>
      <c r="L1971" s="4" t="s">
        <v>15</v>
      </c>
      <c r="M1971" s="4" t="s">
        <v>15</v>
      </c>
      <c r="N1971" s="4" t="s">
        <v>15</v>
      </c>
      <c r="O1971" s="4" t="s">
        <v>8</v>
      </c>
    </row>
    <row r="1972" spans="1:9">
      <c r="A1972" t="n">
        <v>17789</v>
      </c>
      <c r="B1972" s="57" t="n">
        <v>50</v>
      </c>
      <c r="C1972" s="7" t="n">
        <v>0</v>
      </c>
      <c r="D1972" s="7" t="n">
        <v>12105</v>
      </c>
      <c r="E1972" s="7" t="n">
        <v>1</v>
      </c>
      <c r="F1972" s="7" t="n">
        <v>0</v>
      </c>
      <c r="G1972" s="7" t="n">
        <v>0</v>
      </c>
      <c r="H1972" s="7" t="n">
        <v>0</v>
      </c>
      <c r="I1972" s="7" t="n">
        <v>0</v>
      </c>
      <c r="J1972" s="7" t="n">
        <v>65533</v>
      </c>
      <c r="K1972" s="7" t="n">
        <v>0</v>
      </c>
      <c r="L1972" s="7" t="n">
        <v>0</v>
      </c>
      <c r="M1972" s="7" t="n">
        <v>0</v>
      </c>
      <c r="N1972" s="7" t="n">
        <v>0</v>
      </c>
      <c r="O1972" s="7" t="s">
        <v>16</v>
      </c>
    </row>
    <row r="1973" spans="1:9">
      <c r="A1973" t="s">
        <v>4</v>
      </c>
      <c r="B1973" s="4" t="s">
        <v>5</v>
      </c>
      <c r="C1973" s="4" t="s">
        <v>7</v>
      </c>
      <c r="D1973" s="4" t="s">
        <v>11</v>
      </c>
      <c r="E1973" s="4" t="s">
        <v>11</v>
      </c>
      <c r="F1973" s="4" t="s">
        <v>11</v>
      </c>
      <c r="G1973" s="4" t="s">
        <v>11</v>
      </c>
      <c r="H1973" s="4" t="s">
        <v>7</v>
      </c>
    </row>
    <row r="1974" spans="1:9">
      <c r="A1974" t="n">
        <v>17828</v>
      </c>
      <c r="B1974" s="31" t="n">
        <v>25</v>
      </c>
      <c r="C1974" s="7" t="n">
        <v>5</v>
      </c>
      <c r="D1974" s="7" t="n">
        <v>65535</v>
      </c>
      <c r="E1974" s="7" t="n">
        <v>65535</v>
      </c>
      <c r="F1974" s="7" t="n">
        <v>65535</v>
      </c>
      <c r="G1974" s="7" t="n">
        <v>65535</v>
      </c>
      <c r="H1974" s="7" t="n">
        <v>0</v>
      </c>
    </row>
    <row r="1975" spans="1:9">
      <c r="A1975" t="s">
        <v>4</v>
      </c>
      <c r="B1975" s="4" t="s">
        <v>5</v>
      </c>
      <c r="C1975" s="4" t="s">
        <v>11</v>
      </c>
      <c r="D1975" s="4" t="s">
        <v>7</v>
      </c>
      <c r="E1975" s="4" t="s">
        <v>55</v>
      </c>
      <c r="F1975" s="4" t="s">
        <v>7</v>
      </c>
      <c r="G1975" s="4" t="s">
        <v>7</v>
      </c>
    </row>
    <row r="1976" spans="1:9">
      <c r="A1976" t="n">
        <v>17839</v>
      </c>
      <c r="B1976" s="32" t="n">
        <v>24</v>
      </c>
      <c r="C1976" s="7" t="n">
        <v>65533</v>
      </c>
      <c r="D1976" s="7" t="n">
        <v>11</v>
      </c>
      <c r="E1976" s="7" t="s">
        <v>214</v>
      </c>
      <c r="F1976" s="7" t="n">
        <v>2</v>
      </c>
      <c r="G1976" s="7" t="n">
        <v>0</v>
      </c>
    </row>
    <row r="1977" spans="1:9">
      <c r="A1977" t="s">
        <v>4</v>
      </c>
      <c r="B1977" s="4" t="s">
        <v>5</v>
      </c>
    </row>
    <row r="1978" spans="1:9">
      <c r="A1978" t="n">
        <v>17869</v>
      </c>
      <c r="B1978" s="27" t="n">
        <v>28</v>
      </c>
    </row>
    <row r="1979" spans="1:9">
      <c r="A1979" t="s">
        <v>4</v>
      </c>
      <c r="B1979" s="4" t="s">
        <v>5</v>
      </c>
      <c r="C1979" s="4" t="s">
        <v>7</v>
      </c>
    </row>
    <row r="1980" spans="1:9">
      <c r="A1980" t="n">
        <v>17870</v>
      </c>
      <c r="B1980" s="33" t="n">
        <v>27</v>
      </c>
      <c r="C1980" s="7" t="n">
        <v>0</v>
      </c>
    </row>
    <row r="1981" spans="1:9">
      <c r="A1981" t="s">
        <v>4</v>
      </c>
      <c r="B1981" s="4" t="s">
        <v>5</v>
      </c>
      <c r="C1981" s="4" t="s">
        <v>7</v>
      </c>
    </row>
    <row r="1982" spans="1:9">
      <c r="A1982" t="n">
        <v>17872</v>
      </c>
      <c r="B1982" s="33" t="n">
        <v>27</v>
      </c>
      <c r="C1982" s="7" t="n">
        <v>1</v>
      </c>
    </row>
    <row r="1983" spans="1:9">
      <c r="A1983" t="s">
        <v>4</v>
      </c>
      <c r="B1983" s="4" t="s">
        <v>5</v>
      </c>
      <c r="C1983" s="4" t="s">
        <v>7</v>
      </c>
      <c r="D1983" s="4" t="s">
        <v>11</v>
      </c>
      <c r="E1983" s="4" t="s">
        <v>11</v>
      </c>
      <c r="F1983" s="4" t="s">
        <v>11</v>
      </c>
      <c r="G1983" s="4" t="s">
        <v>11</v>
      </c>
      <c r="H1983" s="4" t="s">
        <v>7</v>
      </c>
    </row>
    <row r="1984" spans="1:9">
      <c r="A1984" t="n">
        <v>17874</v>
      </c>
      <c r="B1984" s="31" t="n">
        <v>25</v>
      </c>
      <c r="C1984" s="7" t="n">
        <v>5</v>
      </c>
      <c r="D1984" s="7" t="n">
        <v>65535</v>
      </c>
      <c r="E1984" s="7" t="n">
        <v>500</v>
      </c>
      <c r="F1984" s="7" t="n">
        <v>800</v>
      </c>
      <c r="G1984" s="7" t="n">
        <v>140</v>
      </c>
      <c r="H1984" s="7" t="n">
        <v>0</v>
      </c>
    </row>
    <row r="1985" spans="1:15">
      <c r="A1985" t="s">
        <v>4</v>
      </c>
      <c r="B1985" s="4" t="s">
        <v>5</v>
      </c>
      <c r="C1985" s="4" t="s">
        <v>11</v>
      </c>
      <c r="D1985" s="4" t="s">
        <v>7</v>
      </c>
      <c r="E1985" s="4" t="s">
        <v>55</v>
      </c>
      <c r="F1985" s="4" t="s">
        <v>7</v>
      </c>
      <c r="G1985" s="4" t="s">
        <v>7</v>
      </c>
    </row>
    <row r="1986" spans="1:15">
      <c r="A1986" t="n">
        <v>17885</v>
      </c>
      <c r="B1986" s="32" t="n">
        <v>24</v>
      </c>
      <c r="C1986" s="7" t="n">
        <v>65533</v>
      </c>
      <c r="D1986" s="7" t="n">
        <v>11</v>
      </c>
      <c r="E1986" s="7" t="s">
        <v>215</v>
      </c>
      <c r="F1986" s="7" t="n">
        <v>2</v>
      </c>
      <c r="G1986" s="7" t="n">
        <v>0</v>
      </c>
    </row>
    <row r="1987" spans="1:15">
      <c r="A1987" t="s">
        <v>4</v>
      </c>
      <c r="B1987" s="4" t="s">
        <v>5</v>
      </c>
    </row>
    <row r="1988" spans="1:15">
      <c r="A1988" t="n">
        <v>17962</v>
      </c>
      <c r="B1988" s="27" t="n">
        <v>28</v>
      </c>
    </row>
    <row r="1989" spans="1:15">
      <c r="A1989" t="s">
        <v>4</v>
      </c>
      <c r="B1989" s="4" t="s">
        <v>5</v>
      </c>
      <c r="C1989" s="4" t="s">
        <v>11</v>
      </c>
      <c r="D1989" s="4" t="s">
        <v>7</v>
      </c>
      <c r="E1989" s="4" t="s">
        <v>55</v>
      </c>
      <c r="F1989" s="4" t="s">
        <v>7</v>
      </c>
      <c r="G1989" s="4" t="s">
        <v>7</v>
      </c>
    </row>
    <row r="1990" spans="1:15">
      <c r="A1990" t="n">
        <v>17963</v>
      </c>
      <c r="B1990" s="32" t="n">
        <v>24</v>
      </c>
      <c r="C1990" s="7" t="n">
        <v>65533</v>
      </c>
      <c r="D1990" s="7" t="n">
        <v>11</v>
      </c>
      <c r="E1990" s="7" t="s">
        <v>216</v>
      </c>
      <c r="F1990" s="7" t="n">
        <v>2</v>
      </c>
      <c r="G1990" s="7" t="n">
        <v>0</v>
      </c>
    </row>
    <row r="1991" spans="1:15">
      <c r="A1991" t="s">
        <v>4</v>
      </c>
      <c r="B1991" s="4" t="s">
        <v>5</v>
      </c>
    </row>
    <row r="1992" spans="1:15">
      <c r="A1992" t="n">
        <v>18050</v>
      </c>
      <c r="B1992" s="27" t="n">
        <v>28</v>
      </c>
    </row>
    <row r="1993" spans="1:15">
      <c r="A1993" t="s">
        <v>4</v>
      </c>
      <c r="B1993" s="4" t="s">
        <v>5</v>
      </c>
      <c r="C1993" s="4" t="s">
        <v>7</v>
      </c>
    </row>
    <row r="1994" spans="1:15">
      <c r="A1994" t="n">
        <v>18051</v>
      </c>
      <c r="B1994" s="33" t="n">
        <v>27</v>
      </c>
      <c r="C1994" s="7" t="n">
        <v>0</v>
      </c>
    </row>
    <row r="1995" spans="1:15">
      <c r="A1995" t="s">
        <v>4</v>
      </c>
      <c r="B1995" s="4" t="s">
        <v>5</v>
      </c>
      <c r="C1995" s="4" t="s">
        <v>7</v>
      </c>
    </row>
    <row r="1996" spans="1:15">
      <c r="A1996" t="n">
        <v>18053</v>
      </c>
      <c r="B1996" s="33" t="n">
        <v>27</v>
      </c>
      <c r="C1996" s="7" t="n">
        <v>1</v>
      </c>
    </row>
    <row r="1997" spans="1:15">
      <c r="A1997" t="s">
        <v>4</v>
      </c>
      <c r="B1997" s="4" t="s">
        <v>5</v>
      </c>
      <c r="C1997" s="4" t="s">
        <v>7</v>
      </c>
      <c r="D1997" s="4" t="s">
        <v>11</v>
      </c>
    </row>
    <row r="1998" spans="1:15">
      <c r="A1998" t="n">
        <v>18055</v>
      </c>
      <c r="B1998" s="13" t="n">
        <v>49</v>
      </c>
      <c r="C1998" s="7" t="n">
        <v>6</v>
      </c>
      <c r="D1998" s="7" t="n">
        <v>1</v>
      </c>
    </row>
    <row r="1999" spans="1:15">
      <c r="A1999" t="s">
        <v>4</v>
      </c>
      <c r="B1999" s="4" t="s">
        <v>5</v>
      </c>
      <c r="C1999" s="4" t="s">
        <v>7</v>
      </c>
      <c r="D1999" s="4" t="s">
        <v>11</v>
      </c>
      <c r="E1999" s="4" t="s">
        <v>11</v>
      </c>
    </row>
    <row r="2000" spans="1:15">
      <c r="A2000" t="n">
        <v>18059</v>
      </c>
      <c r="B2000" s="13" t="n">
        <v>49</v>
      </c>
      <c r="C2000" s="7" t="n">
        <v>5</v>
      </c>
      <c r="D2000" s="7" t="n">
        <v>100</v>
      </c>
      <c r="E2000" s="7" t="n">
        <v>123</v>
      </c>
    </row>
    <row r="2001" spans="1:7">
      <c r="A2001" t="s">
        <v>4</v>
      </c>
      <c r="B2001" s="4" t="s">
        <v>5</v>
      </c>
      <c r="C2001" s="4" t="s">
        <v>7</v>
      </c>
      <c r="D2001" s="4" t="s">
        <v>11</v>
      </c>
      <c r="E2001" s="4" t="s">
        <v>11</v>
      </c>
    </row>
    <row r="2002" spans="1:7">
      <c r="A2002" t="n">
        <v>18065</v>
      </c>
      <c r="B2002" s="13" t="n">
        <v>49</v>
      </c>
      <c r="C2002" s="7" t="n">
        <v>5</v>
      </c>
      <c r="D2002" s="7" t="n">
        <v>0</v>
      </c>
      <c r="E2002" s="7" t="n">
        <v>123</v>
      </c>
    </row>
    <row r="2003" spans="1:7">
      <c r="A2003" t="s">
        <v>4</v>
      </c>
      <c r="B2003" s="4" t="s">
        <v>5</v>
      </c>
      <c r="C2003" s="4" t="s">
        <v>11</v>
      </c>
    </row>
    <row r="2004" spans="1:7">
      <c r="A2004" t="n">
        <v>18071</v>
      </c>
      <c r="B2004" s="43" t="n">
        <v>12</v>
      </c>
      <c r="C2004" s="7" t="n">
        <v>10500</v>
      </c>
    </row>
    <row r="2005" spans="1:7">
      <c r="A2005" t="s">
        <v>4</v>
      </c>
      <c r="B2005" s="4" t="s">
        <v>5</v>
      </c>
      <c r="C2005" s="4" t="s">
        <v>11</v>
      </c>
    </row>
    <row r="2006" spans="1:7">
      <c r="A2006" t="n">
        <v>18074</v>
      </c>
      <c r="B2006" s="43" t="n">
        <v>12</v>
      </c>
      <c r="C2006" s="7" t="n">
        <v>10994</v>
      </c>
    </row>
    <row r="2007" spans="1:7">
      <c r="A2007" t="s">
        <v>4</v>
      </c>
      <c r="B2007" s="4" t="s">
        <v>5</v>
      </c>
      <c r="C2007" s="4" t="s">
        <v>11</v>
      </c>
      <c r="D2007" s="4" t="s">
        <v>7</v>
      </c>
      <c r="E2007" s="4" t="s">
        <v>11</v>
      </c>
    </row>
    <row r="2008" spans="1:7">
      <c r="A2008" t="n">
        <v>18077</v>
      </c>
      <c r="B2008" s="58" t="n">
        <v>104</v>
      </c>
      <c r="C2008" s="7" t="n">
        <v>131</v>
      </c>
      <c r="D2008" s="7" t="n">
        <v>1</v>
      </c>
      <c r="E2008" s="7" t="n">
        <v>4</v>
      </c>
    </row>
    <row r="2009" spans="1:7">
      <c r="A2009" t="s">
        <v>4</v>
      </c>
      <c r="B2009" s="4" t="s">
        <v>5</v>
      </c>
    </row>
    <row r="2010" spans="1:7">
      <c r="A2010" t="n">
        <v>18083</v>
      </c>
      <c r="B2010" s="5" t="n">
        <v>1</v>
      </c>
    </row>
    <row r="2011" spans="1:7">
      <c r="A2011" t="s">
        <v>4</v>
      </c>
      <c r="B2011" s="4" t="s">
        <v>5</v>
      </c>
      <c r="C2011" s="4" t="s">
        <v>7</v>
      </c>
      <c r="D2011" s="4" t="s">
        <v>11</v>
      </c>
      <c r="E2011" s="4" t="s">
        <v>7</v>
      </c>
      <c r="F2011" s="4" t="s">
        <v>11</v>
      </c>
      <c r="G2011" s="4" t="s">
        <v>7</v>
      </c>
      <c r="H2011" s="4" t="s">
        <v>7</v>
      </c>
      <c r="I2011" s="4" t="s">
        <v>11</v>
      </c>
      <c r="J2011" s="4" t="s">
        <v>7</v>
      </c>
      <c r="K2011" s="4" t="s">
        <v>7</v>
      </c>
      <c r="L2011" s="4" t="s">
        <v>11</v>
      </c>
      <c r="M2011" s="4" t="s">
        <v>7</v>
      </c>
      <c r="N2011" s="4" t="s">
        <v>7</v>
      </c>
      <c r="O2011" s="4" t="s">
        <v>11</v>
      </c>
      <c r="P2011" s="4" t="s">
        <v>7</v>
      </c>
      <c r="Q2011" s="4" t="s">
        <v>7</v>
      </c>
      <c r="R2011" s="4" t="s">
        <v>11</v>
      </c>
      <c r="S2011" s="4" t="s">
        <v>7</v>
      </c>
      <c r="T2011" s="4" t="s">
        <v>7</v>
      </c>
      <c r="U2011" s="4" t="s">
        <v>12</v>
      </c>
    </row>
    <row r="2012" spans="1:7">
      <c r="A2012" t="n">
        <v>18084</v>
      </c>
      <c r="B2012" s="10" t="n">
        <v>5</v>
      </c>
      <c r="C2012" s="7" t="n">
        <v>30</v>
      </c>
      <c r="D2012" s="7" t="n">
        <v>6403</v>
      </c>
      <c r="E2012" s="7" t="n">
        <v>30</v>
      </c>
      <c r="F2012" s="7" t="n">
        <v>6769</v>
      </c>
      <c r="G2012" s="7" t="n">
        <v>9</v>
      </c>
      <c r="H2012" s="7" t="n">
        <v>30</v>
      </c>
      <c r="I2012" s="7" t="n">
        <v>6770</v>
      </c>
      <c r="J2012" s="7" t="n">
        <v>9</v>
      </c>
      <c r="K2012" s="7" t="n">
        <v>30</v>
      </c>
      <c r="L2012" s="7" t="n">
        <v>6771</v>
      </c>
      <c r="M2012" s="7" t="n">
        <v>9</v>
      </c>
      <c r="N2012" s="7" t="n">
        <v>30</v>
      </c>
      <c r="O2012" s="7" t="n">
        <v>6772</v>
      </c>
      <c r="P2012" s="7" t="n">
        <v>9</v>
      </c>
      <c r="Q2012" s="7" t="n">
        <v>30</v>
      </c>
      <c r="R2012" s="7" t="n">
        <v>6773</v>
      </c>
      <c r="S2012" s="7" t="n">
        <v>9</v>
      </c>
      <c r="T2012" s="7" t="n">
        <v>1</v>
      </c>
      <c r="U2012" s="11" t="n">
        <f t="normal" ca="1">A2016</f>
        <v>0</v>
      </c>
    </row>
    <row r="2013" spans="1:7">
      <c r="A2013" t="s">
        <v>4</v>
      </c>
      <c r="B2013" s="4" t="s">
        <v>5</v>
      </c>
      <c r="C2013" s="4" t="s">
        <v>11</v>
      </c>
    </row>
    <row r="2014" spans="1:7">
      <c r="A2014" t="n">
        <v>18113</v>
      </c>
      <c r="B2014" s="43" t="n">
        <v>12</v>
      </c>
      <c r="C2014" s="7" t="n">
        <v>10302</v>
      </c>
    </row>
    <row r="2015" spans="1:7">
      <c r="A2015" t="s">
        <v>4</v>
      </c>
      <c r="B2015" s="4" t="s">
        <v>5</v>
      </c>
      <c r="C2015" s="4" t="s">
        <v>11</v>
      </c>
      <c r="D2015" s="4" t="s">
        <v>7</v>
      </c>
      <c r="E2015" s="4" t="s">
        <v>8</v>
      </c>
      <c r="F2015" s="4" t="s">
        <v>13</v>
      </c>
      <c r="G2015" s="4" t="s">
        <v>13</v>
      </c>
      <c r="H2015" s="4" t="s">
        <v>13</v>
      </c>
    </row>
    <row r="2016" spans="1:7">
      <c r="A2016" t="n">
        <v>18116</v>
      </c>
      <c r="B2016" s="42" t="n">
        <v>48</v>
      </c>
      <c r="C2016" s="7" t="n">
        <v>0</v>
      </c>
      <c r="D2016" s="7" t="n">
        <v>0</v>
      </c>
      <c r="E2016" s="7" t="s">
        <v>106</v>
      </c>
      <c r="F2016" s="7" t="n">
        <v>-1</v>
      </c>
      <c r="G2016" s="7" t="n">
        <v>1</v>
      </c>
      <c r="H2016" s="7" t="n">
        <v>0</v>
      </c>
    </row>
    <row r="2017" spans="1:21">
      <c r="A2017" t="s">
        <v>4</v>
      </c>
      <c r="B2017" s="4" t="s">
        <v>5</v>
      </c>
      <c r="C2017" s="4" t="s">
        <v>7</v>
      </c>
      <c r="D2017" s="4" t="s">
        <v>11</v>
      </c>
      <c r="E2017" s="4" t="s">
        <v>7</v>
      </c>
    </row>
    <row r="2018" spans="1:21">
      <c r="A2018" t="n">
        <v>18140</v>
      </c>
      <c r="B2018" s="40" t="n">
        <v>36</v>
      </c>
      <c r="C2018" s="7" t="n">
        <v>9</v>
      </c>
      <c r="D2018" s="7" t="n">
        <v>0</v>
      </c>
      <c r="E2018" s="7" t="n">
        <v>0</v>
      </c>
    </row>
    <row r="2019" spans="1:21">
      <c r="A2019" t="s">
        <v>4</v>
      </c>
      <c r="B2019" s="4" t="s">
        <v>5</v>
      </c>
      <c r="C2019" s="4" t="s">
        <v>7</v>
      </c>
      <c r="D2019" s="4" t="s">
        <v>11</v>
      </c>
      <c r="E2019" s="4" t="s">
        <v>11</v>
      </c>
      <c r="F2019" s="4" t="s">
        <v>11</v>
      </c>
    </row>
    <row r="2020" spans="1:21">
      <c r="A2020" t="n">
        <v>18145</v>
      </c>
      <c r="B2020" s="60" t="n">
        <v>63</v>
      </c>
      <c r="C2020" s="7" t="n">
        <v>0</v>
      </c>
      <c r="D2020" s="7" t="n">
        <v>65535</v>
      </c>
      <c r="E2020" s="7" t="n">
        <v>45</v>
      </c>
      <c r="F2020" s="7" t="n">
        <v>0</v>
      </c>
    </row>
    <row r="2021" spans="1:21">
      <c r="A2021" t="s">
        <v>4</v>
      </c>
      <c r="B2021" s="4" t="s">
        <v>5</v>
      </c>
      <c r="C2021" s="4" t="s">
        <v>7</v>
      </c>
      <c r="D2021" s="4" t="s">
        <v>11</v>
      </c>
      <c r="E2021" s="4" t="s">
        <v>11</v>
      </c>
      <c r="F2021" s="4" t="s">
        <v>11</v>
      </c>
    </row>
    <row r="2022" spans="1:21">
      <c r="A2022" t="n">
        <v>18153</v>
      </c>
      <c r="B2022" s="60" t="n">
        <v>63</v>
      </c>
      <c r="C2022" s="7" t="n">
        <v>0</v>
      </c>
      <c r="D2022" s="7" t="n">
        <v>65535</v>
      </c>
      <c r="E2022" s="7" t="n">
        <v>32</v>
      </c>
      <c r="F2022" s="7" t="n">
        <v>100</v>
      </c>
    </row>
    <row r="2023" spans="1:21">
      <c r="A2023" t="s">
        <v>4</v>
      </c>
      <c r="B2023" s="4" t="s">
        <v>5</v>
      </c>
      <c r="C2023" s="4" t="s">
        <v>11</v>
      </c>
      <c r="D2023" s="4" t="s">
        <v>11</v>
      </c>
    </row>
    <row r="2024" spans="1:21">
      <c r="A2024" t="n">
        <v>18161</v>
      </c>
      <c r="B2024" s="71" t="n">
        <v>126</v>
      </c>
      <c r="C2024" s="7" t="n">
        <v>1</v>
      </c>
      <c r="D2024" s="7" t="n">
        <v>6531</v>
      </c>
    </row>
    <row r="2025" spans="1:21">
      <c r="A2025" t="s">
        <v>4</v>
      </c>
      <c r="B2025" s="4" t="s">
        <v>5</v>
      </c>
      <c r="C2025" s="4" t="s">
        <v>11</v>
      </c>
      <c r="D2025" s="4" t="s">
        <v>13</v>
      </c>
      <c r="E2025" s="4" t="s">
        <v>13</v>
      </c>
      <c r="F2025" s="4" t="s">
        <v>13</v>
      </c>
      <c r="G2025" s="4" t="s">
        <v>13</v>
      </c>
    </row>
    <row r="2026" spans="1:21">
      <c r="A2026" t="n">
        <v>18166</v>
      </c>
      <c r="B2026" s="36" t="n">
        <v>46</v>
      </c>
      <c r="C2026" s="7" t="n">
        <v>61456</v>
      </c>
      <c r="D2026" s="7" t="n">
        <v>5.69000005722046</v>
      </c>
      <c r="E2026" s="7" t="n">
        <v>0</v>
      </c>
      <c r="F2026" s="7" t="n">
        <v>42.7900009155273</v>
      </c>
      <c r="G2026" s="7" t="n">
        <v>342.600006103516</v>
      </c>
    </row>
    <row r="2027" spans="1:21">
      <c r="A2027" t="s">
        <v>4</v>
      </c>
      <c r="B2027" s="4" t="s">
        <v>5</v>
      </c>
      <c r="C2027" s="4" t="s">
        <v>7</v>
      </c>
      <c r="D2027" s="4" t="s">
        <v>7</v>
      </c>
      <c r="E2027" s="4" t="s">
        <v>13</v>
      </c>
      <c r="F2027" s="4" t="s">
        <v>13</v>
      </c>
      <c r="G2027" s="4" t="s">
        <v>13</v>
      </c>
      <c r="H2027" s="4" t="s">
        <v>11</v>
      </c>
      <c r="I2027" s="4" t="s">
        <v>7</v>
      </c>
    </row>
    <row r="2028" spans="1:21">
      <c r="A2028" t="n">
        <v>18185</v>
      </c>
      <c r="B2028" s="51" t="n">
        <v>45</v>
      </c>
      <c r="C2028" s="7" t="n">
        <v>4</v>
      </c>
      <c r="D2028" s="7" t="n">
        <v>3</v>
      </c>
      <c r="E2028" s="7" t="n">
        <v>6.51000022888184</v>
      </c>
      <c r="F2028" s="7" t="n">
        <v>308.269989013672</v>
      </c>
      <c r="G2028" s="7" t="n">
        <v>0</v>
      </c>
      <c r="H2028" s="7" t="n">
        <v>0</v>
      </c>
      <c r="I2028" s="7" t="n">
        <v>0</v>
      </c>
    </row>
    <row r="2029" spans="1:21">
      <c r="A2029" t="s">
        <v>4</v>
      </c>
      <c r="B2029" s="4" t="s">
        <v>5</v>
      </c>
      <c r="C2029" s="4" t="s">
        <v>11</v>
      </c>
    </row>
    <row r="2030" spans="1:21">
      <c r="A2030" t="n">
        <v>18203</v>
      </c>
      <c r="B2030" s="29" t="n">
        <v>16</v>
      </c>
      <c r="C2030" s="7" t="n">
        <v>500</v>
      </c>
    </row>
    <row r="2031" spans="1:21">
      <c r="A2031" t="s">
        <v>4</v>
      </c>
      <c r="B2031" s="4" t="s">
        <v>5</v>
      </c>
      <c r="C2031" s="4" t="s">
        <v>7</v>
      </c>
      <c r="D2031" s="4" t="s">
        <v>8</v>
      </c>
    </row>
    <row r="2032" spans="1:21">
      <c r="A2032" t="n">
        <v>18206</v>
      </c>
      <c r="B2032" s="6" t="n">
        <v>2</v>
      </c>
      <c r="C2032" s="7" t="n">
        <v>10</v>
      </c>
      <c r="D2032" s="7" t="s">
        <v>119</v>
      </c>
    </row>
    <row r="2033" spans="1:9">
      <c r="A2033" t="s">
        <v>4</v>
      </c>
      <c r="B2033" s="4" t="s">
        <v>5</v>
      </c>
      <c r="C2033" s="4" t="s">
        <v>11</v>
      </c>
    </row>
    <row r="2034" spans="1:9">
      <c r="A2034" t="n">
        <v>18221</v>
      </c>
      <c r="B2034" s="29" t="n">
        <v>16</v>
      </c>
      <c r="C2034" s="7" t="n">
        <v>0</v>
      </c>
    </row>
    <row r="2035" spans="1:9">
      <c r="A2035" t="s">
        <v>4</v>
      </c>
      <c r="B2035" s="4" t="s">
        <v>5</v>
      </c>
      <c r="C2035" s="4" t="s">
        <v>7</v>
      </c>
      <c r="D2035" s="4" t="s">
        <v>11</v>
      </c>
    </row>
    <row r="2036" spans="1:9">
      <c r="A2036" t="n">
        <v>18224</v>
      </c>
      <c r="B2036" s="23" t="n">
        <v>58</v>
      </c>
      <c r="C2036" s="7" t="n">
        <v>105</v>
      </c>
      <c r="D2036" s="7" t="n">
        <v>300</v>
      </c>
    </row>
    <row r="2037" spans="1:9">
      <c r="A2037" t="s">
        <v>4</v>
      </c>
      <c r="B2037" s="4" t="s">
        <v>5</v>
      </c>
      <c r="C2037" s="4" t="s">
        <v>13</v>
      </c>
      <c r="D2037" s="4" t="s">
        <v>11</v>
      </c>
    </row>
    <row r="2038" spans="1:9">
      <c r="A2038" t="n">
        <v>18228</v>
      </c>
      <c r="B2038" s="46" t="n">
        <v>103</v>
      </c>
      <c r="C2038" s="7" t="n">
        <v>1</v>
      </c>
      <c r="D2038" s="7" t="n">
        <v>300</v>
      </c>
    </row>
    <row r="2039" spans="1:9">
      <c r="A2039" t="s">
        <v>4</v>
      </c>
      <c r="B2039" s="4" t="s">
        <v>5</v>
      </c>
      <c r="C2039" s="4" t="s">
        <v>7</v>
      </c>
      <c r="D2039" s="4" t="s">
        <v>11</v>
      </c>
    </row>
    <row r="2040" spans="1:9">
      <c r="A2040" t="n">
        <v>18235</v>
      </c>
      <c r="B2040" s="48" t="n">
        <v>72</v>
      </c>
      <c r="C2040" s="7" t="n">
        <v>4</v>
      </c>
      <c r="D2040" s="7" t="n">
        <v>0</v>
      </c>
    </row>
    <row r="2041" spans="1:9">
      <c r="A2041" t="s">
        <v>4</v>
      </c>
      <c r="B2041" s="4" t="s">
        <v>5</v>
      </c>
      <c r="C2041" s="4" t="s">
        <v>15</v>
      </c>
    </row>
    <row r="2042" spans="1:9">
      <c r="A2042" t="n">
        <v>18239</v>
      </c>
      <c r="B2042" s="61" t="n">
        <v>15</v>
      </c>
      <c r="C2042" s="7" t="n">
        <v>1073741824</v>
      </c>
    </row>
    <row r="2043" spans="1:9">
      <c r="A2043" t="s">
        <v>4</v>
      </c>
      <c r="B2043" s="4" t="s">
        <v>5</v>
      </c>
      <c r="C2043" s="4" t="s">
        <v>7</v>
      </c>
    </row>
    <row r="2044" spans="1:9">
      <c r="A2044" t="n">
        <v>18244</v>
      </c>
      <c r="B2044" s="47" t="n">
        <v>64</v>
      </c>
      <c r="C2044" s="7" t="n">
        <v>3</v>
      </c>
    </row>
    <row r="2045" spans="1:9">
      <c r="A2045" t="s">
        <v>4</v>
      </c>
      <c r="B2045" s="4" t="s">
        <v>5</v>
      </c>
      <c r="C2045" s="4" t="s">
        <v>7</v>
      </c>
    </row>
    <row r="2046" spans="1:9">
      <c r="A2046" t="n">
        <v>18246</v>
      </c>
      <c r="B2046" s="45" t="n">
        <v>74</v>
      </c>
      <c r="C2046" s="7" t="n">
        <v>67</v>
      </c>
    </row>
    <row r="2047" spans="1:9">
      <c r="A2047" t="s">
        <v>4</v>
      </c>
      <c r="B2047" s="4" t="s">
        <v>5</v>
      </c>
      <c r="C2047" s="4" t="s">
        <v>7</v>
      </c>
      <c r="D2047" s="4" t="s">
        <v>7</v>
      </c>
      <c r="E2047" s="4" t="s">
        <v>11</v>
      </c>
    </row>
    <row r="2048" spans="1:9">
      <c r="A2048" t="n">
        <v>18248</v>
      </c>
      <c r="B2048" s="51" t="n">
        <v>45</v>
      </c>
      <c r="C2048" s="7" t="n">
        <v>8</v>
      </c>
      <c r="D2048" s="7" t="n">
        <v>1</v>
      </c>
      <c r="E2048" s="7" t="n">
        <v>0</v>
      </c>
    </row>
    <row r="2049" spans="1:5">
      <c r="A2049" t="s">
        <v>4</v>
      </c>
      <c r="B2049" s="4" t="s">
        <v>5</v>
      </c>
      <c r="C2049" s="4" t="s">
        <v>11</v>
      </c>
    </row>
    <row r="2050" spans="1:5">
      <c r="A2050" t="n">
        <v>18253</v>
      </c>
      <c r="B2050" s="12" t="n">
        <v>13</v>
      </c>
      <c r="C2050" s="7" t="n">
        <v>6409</v>
      </c>
    </row>
    <row r="2051" spans="1:5">
      <c r="A2051" t="s">
        <v>4</v>
      </c>
      <c r="B2051" s="4" t="s">
        <v>5</v>
      </c>
      <c r="C2051" s="4" t="s">
        <v>11</v>
      </c>
    </row>
    <row r="2052" spans="1:5">
      <c r="A2052" t="n">
        <v>18256</v>
      </c>
      <c r="B2052" s="12" t="n">
        <v>13</v>
      </c>
      <c r="C2052" s="7" t="n">
        <v>6408</v>
      </c>
    </row>
    <row r="2053" spans="1:5">
      <c r="A2053" t="s">
        <v>4</v>
      </c>
      <c r="B2053" s="4" t="s">
        <v>5</v>
      </c>
      <c r="C2053" s="4" t="s">
        <v>11</v>
      </c>
    </row>
    <row r="2054" spans="1:5">
      <c r="A2054" t="n">
        <v>18259</v>
      </c>
      <c r="B2054" s="43" t="n">
        <v>12</v>
      </c>
      <c r="C2054" s="7" t="n">
        <v>6464</v>
      </c>
    </row>
    <row r="2055" spans="1:5">
      <c r="A2055" t="s">
        <v>4</v>
      </c>
      <c r="B2055" s="4" t="s">
        <v>5</v>
      </c>
      <c r="C2055" s="4" t="s">
        <v>11</v>
      </c>
    </row>
    <row r="2056" spans="1:5">
      <c r="A2056" t="n">
        <v>18262</v>
      </c>
      <c r="B2056" s="12" t="n">
        <v>13</v>
      </c>
      <c r="C2056" s="7" t="n">
        <v>6465</v>
      </c>
    </row>
    <row r="2057" spans="1:5">
      <c r="A2057" t="s">
        <v>4</v>
      </c>
      <c r="B2057" s="4" t="s">
        <v>5</v>
      </c>
      <c r="C2057" s="4" t="s">
        <v>11</v>
      </c>
    </row>
    <row r="2058" spans="1:5">
      <c r="A2058" t="n">
        <v>18265</v>
      </c>
      <c r="B2058" s="12" t="n">
        <v>13</v>
      </c>
      <c r="C2058" s="7" t="n">
        <v>6466</v>
      </c>
    </row>
    <row r="2059" spans="1:5">
      <c r="A2059" t="s">
        <v>4</v>
      </c>
      <c r="B2059" s="4" t="s">
        <v>5</v>
      </c>
      <c r="C2059" s="4" t="s">
        <v>11</v>
      </c>
    </row>
    <row r="2060" spans="1:5">
      <c r="A2060" t="n">
        <v>18268</v>
      </c>
      <c r="B2060" s="12" t="n">
        <v>13</v>
      </c>
      <c r="C2060" s="7" t="n">
        <v>6467</v>
      </c>
    </row>
    <row r="2061" spans="1:5">
      <c r="A2061" t="s">
        <v>4</v>
      </c>
      <c r="B2061" s="4" t="s">
        <v>5</v>
      </c>
      <c r="C2061" s="4" t="s">
        <v>11</v>
      </c>
    </row>
    <row r="2062" spans="1:5">
      <c r="A2062" t="n">
        <v>18271</v>
      </c>
      <c r="B2062" s="12" t="n">
        <v>13</v>
      </c>
      <c r="C2062" s="7" t="n">
        <v>6468</v>
      </c>
    </row>
    <row r="2063" spans="1:5">
      <c r="A2063" t="s">
        <v>4</v>
      </c>
      <c r="B2063" s="4" t="s">
        <v>5</v>
      </c>
      <c r="C2063" s="4" t="s">
        <v>11</v>
      </c>
    </row>
    <row r="2064" spans="1:5">
      <c r="A2064" t="n">
        <v>18274</v>
      </c>
      <c r="B2064" s="12" t="n">
        <v>13</v>
      </c>
      <c r="C2064" s="7" t="n">
        <v>6469</v>
      </c>
    </row>
    <row r="2065" spans="1:3">
      <c r="A2065" t="s">
        <v>4</v>
      </c>
      <c r="B2065" s="4" t="s">
        <v>5</v>
      </c>
      <c r="C2065" s="4" t="s">
        <v>11</v>
      </c>
    </row>
    <row r="2066" spans="1:3">
      <c r="A2066" t="n">
        <v>18277</v>
      </c>
      <c r="B2066" s="12" t="n">
        <v>13</v>
      </c>
      <c r="C2066" s="7" t="n">
        <v>6470</v>
      </c>
    </row>
    <row r="2067" spans="1:3">
      <c r="A2067" t="s">
        <v>4</v>
      </c>
      <c r="B2067" s="4" t="s">
        <v>5</v>
      </c>
      <c r="C2067" s="4" t="s">
        <v>11</v>
      </c>
    </row>
    <row r="2068" spans="1:3">
      <c r="A2068" t="n">
        <v>18280</v>
      </c>
      <c r="B2068" s="12" t="n">
        <v>13</v>
      </c>
      <c r="C2068" s="7" t="n">
        <v>6471</v>
      </c>
    </row>
    <row r="2069" spans="1:3">
      <c r="A2069" t="s">
        <v>4</v>
      </c>
      <c r="B2069" s="4" t="s">
        <v>5</v>
      </c>
      <c r="C2069" s="4" t="s">
        <v>7</v>
      </c>
    </row>
    <row r="2070" spans="1:3">
      <c r="A2070" t="n">
        <v>18283</v>
      </c>
      <c r="B2070" s="45" t="n">
        <v>74</v>
      </c>
      <c r="C2070" s="7" t="n">
        <v>18</v>
      </c>
    </row>
    <row r="2071" spans="1:3">
      <c r="A2071" t="s">
        <v>4</v>
      </c>
      <c r="B2071" s="4" t="s">
        <v>5</v>
      </c>
      <c r="C2071" s="4" t="s">
        <v>7</v>
      </c>
    </row>
    <row r="2072" spans="1:3">
      <c r="A2072" t="n">
        <v>18285</v>
      </c>
      <c r="B2072" s="45" t="n">
        <v>74</v>
      </c>
      <c r="C2072" s="7" t="n">
        <v>45</v>
      </c>
    </row>
    <row r="2073" spans="1:3">
      <c r="A2073" t="s">
        <v>4</v>
      </c>
      <c r="B2073" s="4" t="s">
        <v>5</v>
      </c>
      <c r="C2073" s="4" t="s">
        <v>11</v>
      </c>
    </row>
    <row r="2074" spans="1:3">
      <c r="A2074" t="n">
        <v>18287</v>
      </c>
      <c r="B2074" s="29" t="n">
        <v>16</v>
      </c>
      <c r="C2074" s="7" t="n">
        <v>0</v>
      </c>
    </row>
    <row r="2075" spans="1:3">
      <c r="A2075" t="s">
        <v>4</v>
      </c>
      <c r="B2075" s="4" t="s">
        <v>5</v>
      </c>
      <c r="C2075" s="4" t="s">
        <v>7</v>
      </c>
      <c r="D2075" s="4" t="s">
        <v>7</v>
      </c>
      <c r="E2075" s="4" t="s">
        <v>7</v>
      </c>
      <c r="F2075" s="4" t="s">
        <v>7</v>
      </c>
    </row>
    <row r="2076" spans="1:3">
      <c r="A2076" t="n">
        <v>18290</v>
      </c>
      <c r="B2076" s="9" t="n">
        <v>14</v>
      </c>
      <c r="C2076" s="7" t="n">
        <v>0</v>
      </c>
      <c r="D2076" s="7" t="n">
        <v>8</v>
      </c>
      <c r="E2076" s="7" t="n">
        <v>0</v>
      </c>
      <c r="F2076" s="7" t="n">
        <v>0</v>
      </c>
    </row>
    <row r="2077" spans="1:3">
      <c r="A2077" t="s">
        <v>4</v>
      </c>
      <c r="B2077" s="4" t="s">
        <v>5</v>
      </c>
      <c r="C2077" s="4" t="s">
        <v>7</v>
      </c>
      <c r="D2077" s="4" t="s">
        <v>8</v>
      </c>
    </row>
    <row r="2078" spans="1:3">
      <c r="A2078" t="n">
        <v>18295</v>
      </c>
      <c r="B2078" s="6" t="n">
        <v>2</v>
      </c>
      <c r="C2078" s="7" t="n">
        <v>11</v>
      </c>
      <c r="D2078" s="7" t="s">
        <v>14</v>
      </c>
    </row>
    <row r="2079" spans="1:3">
      <c r="A2079" t="s">
        <v>4</v>
      </c>
      <c r="B2079" s="4" t="s">
        <v>5</v>
      </c>
      <c r="C2079" s="4" t="s">
        <v>11</v>
      </c>
    </row>
    <row r="2080" spans="1:3">
      <c r="A2080" t="n">
        <v>18309</v>
      </c>
      <c r="B2080" s="29" t="n">
        <v>16</v>
      </c>
      <c r="C2080" s="7" t="n">
        <v>0</v>
      </c>
    </row>
    <row r="2081" spans="1:6">
      <c r="A2081" t="s">
        <v>4</v>
      </c>
      <c r="B2081" s="4" t="s">
        <v>5</v>
      </c>
      <c r="C2081" s="4" t="s">
        <v>7</v>
      </c>
      <c r="D2081" s="4" t="s">
        <v>8</v>
      </c>
    </row>
    <row r="2082" spans="1:6">
      <c r="A2082" t="n">
        <v>18312</v>
      </c>
      <c r="B2082" s="6" t="n">
        <v>2</v>
      </c>
      <c r="C2082" s="7" t="n">
        <v>11</v>
      </c>
      <c r="D2082" s="7" t="s">
        <v>120</v>
      </c>
    </row>
    <row r="2083" spans="1:6">
      <c r="A2083" t="s">
        <v>4</v>
      </c>
      <c r="B2083" s="4" t="s">
        <v>5</v>
      </c>
      <c r="C2083" s="4" t="s">
        <v>11</v>
      </c>
    </row>
    <row r="2084" spans="1:6">
      <c r="A2084" t="n">
        <v>18321</v>
      </c>
      <c r="B2084" s="29" t="n">
        <v>16</v>
      </c>
      <c r="C2084" s="7" t="n">
        <v>0</v>
      </c>
    </row>
    <row r="2085" spans="1:6">
      <c r="A2085" t="s">
        <v>4</v>
      </c>
      <c r="B2085" s="4" t="s">
        <v>5</v>
      </c>
      <c r="C2085" s="4" t="s">
        <v>15</v>
      </c>
    </row>
    <row r="2086" spans="1:6">
      <c r="A2086" t="n">
        <v>18324</v>
      </c>
      <c r="B2086" s="61" t="n">
        <v>15</v>
      </c>
      <c r="C2086" s="7" t="n">
        <v>2048</v>
      </c>
    </row>
    <row r="2087" spans="1:6">
      <c r="A2087" t="s">
        <v>4</v>
      </c>
      <c r="B2087" s="4" t="s">
        <v>5</v>
      </c>
      <c r="C2087" s="4" t="s">
        <v>7</v>
      </c>
      <c r="D2087" s="4" t="s">
        <v>8</v>
      </c>
    </row>
    <row r="2088" spans="1:6">
      <c r="A2088" t="n">
        <v>18329</v>
      </c>
      <c r="B2088" s="6" t="n">
        <v>2</v>
      </c>
      <c r="C2088" s="7" t="n">
        <v>10</v>
      </c>
      <c r="D2088" s="7" t="s">
        <v>52</v>
      </c>
    </row>
    <row r="2089" spans="1:6">
      <c r="A2089" t="s">
        <v>4</v>
      </c>
      <c r="B2089" s="4" t="s">
        <v>5</v>
      </c>
      <c r="C2089" s="4" t="s">
        <v>11</v>
      </c>
    </row>
    <row r="2090" spans="1:6">
      <c r="A2090" t="n">
        <v>18347</v>
      </c>
      <c r="B2090" s="29" t="n">
        <v>16</v>
      </c>
      <c r="C2090" s="7" t="n">
        <v>0</v>
      </c>
    </row>
    <row r="2091" spans="1:6">
      <c r="A2091" t="s">
        <v>4</v>
      </c>
      <c r="B2091" s="4" t="s">
        <v>5</v>
      </c>
      <c r="C2091" s="4" t="s">
        <v>7</v>
      </c>
      <c r="D2091" s="4" t="s">
        <v>8</v>
      </c>
    </row>
    <row r="2092" spans="1:6">
      <c r="A2092" t="n">
        <v>18350</v>
      </c>
      <c r="B2092" s="6" t="n">
        <v>2</v>
      </c>
      <c r="C2092" s="7" t="n">
        <v>10</v>
      </c>
      <c r="D2092" s="7" t="s">
        <v>53</v>
      </c>
    </row>
    <row r="2093" spans="1:6">
      <c r="A2093" t="s">
        <v>4</v>
      </c>
      <c r="B2093" s="4" t="s">
        <v>5</v>
      </c>
      <c r="C2093" s="4" t="s">
        <v>11</v>
      </c>
    </row>
    <row r="2094" spans="1:6">
      <c r="A2094" t="n">
        <v>18369</v>
      </c>
      <c r="B2094" s="29" t="n">
        <v>16</v>
      </c>
      <c r="C2094" s="7" t="n">
        <v>0</v>
      </c>
    </row>
    <row r="2095" spans="1:6">
      <c r="A2095" t="s">
        <v>4</v>
      </c>
      <c r="B2095" s="4" t="s">
        <v>5</v>
      </c>
      <c r="C2095" s="4" t="s">
        <v>7</v>
      </c>
      <c r="D2095" s="4" t="s">
        <v>11</v>
      </c>
      <c r="E2095" s="4" t="s">
        <v>13</v>
      </c>
    </row>
    <row r="2096" spans="1:6">
      <c r="A2096" t="n">
        <v>18372</v>
      </c>
      <c r="B2096" s="23" t="n">
        <v>58</v>
      </c>
      <c r="C2096" s="7" t="n">
        <v>100</v>
      </c>
      <c r="D2096" s="7" t="n">
        <v>300</v>
      </c>
      <c r="E2096" s="7" t="n">
        <v>1</v>
      </c>
    </row>
    <row r="2097" spans="1:5">
      <c r="A2097" t="s">
        <v>4</v>
      </c>
      <c r="B2097" s="4" t="s">
        <v>5</v>
      </c>
      <c r="C2097" s="4" t="s">
        <v>7</v>
      </c>
      <c r="D2097" s="4" t="s">
        <v>11</v>
      </c>
    </row>
    <row r="2098" spans="1:5">
      <c r="A2098" t="n">
        <v>18380</v>
      </c>
      <c r="B2098" s="23" t="n">
        <v>58</v>
      </c>
      <c r="C2098" s="7" t="n">
        <v>255</v>
      </c>
      <c r="D2098" s="7" t="n">
        <v>0</v>
      </c>
    </row>
    <row r="2099" spans="1:5">
      <c r="A2099" t="s">
        <v>4</v>
      </c>
      <c r="B2099" s="4" t="s">
        <v>5</v>
      </c>
      <c r="C2099" s="4" t="s">
        <v>7</v>
      </c>
    </row>
    <row r="2100" spans="1:5">
      <c r="A2100" t="n">
        <v>18384</v>
      </c>
      <c r="B2100" s="30" t="n">
        <v>23</v>
      </c>
      <c r="C2100" s="7" t="n">
        <v>0</v>
      </c>
    </row>
    <row r="2101" spans="1:5">
      <c r="A2101" t="s">
        <v>4</v>
      </c>
      <c r="B2101" s="4" t="s">
        <v>5</v>
      </c>
    </row>
    <row r="2102" spans="1:5">
      <c r="A2102" t="n">
        <v>18386</v>
      </c>
      <c r="B2102" s="5" t="n">
        <v>1</v>
      </c>
    </row>
    <row r="2103" spans="1:5" s="3" customFormat="1" customHeight="0">
      <c r="A2103" s="3" t="s">
        <v>2</v>
      </c>
      <c r="B2103" s="3" t="s">
        <v>217</v>
      </c>
    </row>
    <row r="2104" spans="1:5">
      <c r="A2104" t="s">
        <v>4</v>
      </c>
      <c r="B2104" s="4" t="s">
        <v>5</v>
      </c>
      <c r="C2104" s="4" t="s">
        <v>7</v>
      </c>
      <c r="D2104" s="4" t="s">
        <v>7</v>
      </c>
      <c r="E2104" s="4" t="s">
        <v>7</v>
      </c>
      <c r="F2104" s="4" t="s">
        <v>7</v>
      </c>
    </row>
    <row r="2105" spans="1:5">
      <c r="A2105" t="n">
        <v>18388</v>
      </c>
      <c r="B2105" s="9" t="n">
        <v>14</v>
      </c>
      <c r="C2105" s="7" t="n">
        <v>2</v>
      </c>
      <c r="D2105" s="7" t="n">
        <v>0</v>
      </c>
      <c r="E2105" s="7" t="n">
        <v>0</v>
      </c>
      <c r="F2105" s="7" t="n">
        <v>0</v>
      </c>
    </row>
    <row r="2106" spans="1:5">
      <c r="A2106" t="s">
        <v>4</v>
      </c>
      <c r="B2106" s="4" t="s">
        <v>5</v>
      </c>
      <c r="C2106" s="4" t="s">
        <v>7</v>
      </c>
      <c r="D2106" s="20" t="s">
        <v>35</v>
      </c>
      <c r="E2106" s="4" t="s">
        <v>5</v>
      </c>
      <c r="F2106" s="4" t="s">
        <v>7</v>
      </c>
      <c r="G2106" s="4" t="s">
        <v>11</v>
      </c>
      <c r="H2106" s="20" t="s">
        <v>36</v>
      </c>
      <c r="I2106" s="4" t="s">
        <v>7</v>
      </c>
      <c r="J2106" s="4" t="s">
        <v>15</v>
      </c>
      <c r="K2106" s="4" t="s">
        <v>7</v>
      </c>
      <c r="L2106" s="4" t="s">
        <v>7</v>
      </c>
      <c r="M2106" s="20" t="s">
        <v>35</v>
      </c>
      <c r="N2106" s="4" t="s">
        <v>5</v>
      </c>
      <c r="O2106" s="4" t="s">
        <v>7</v>
      </c>
      <c r="P2106" s="4" t="s">
        <v>11</v>
      </c>
      <c r="Q2106" s="20" t="s">
        <v>36</v>
      </c>
      <c r="R2106" s="4" t="s">
        <v>7</v>
      </c>
      <c r="S2106" s="4" t="s">
        <v>15</v>
      </c>
      <c r="T2106" s="4" t="s">
        <v>7</v>
      </c>
      <c r="U2106" s="4" t="s">
        <v>7</v>
      </c>
      <c r="V2106" s="4" t="s">
        <v>7</v>
      </c>
      <c r="W2106" s="4" t="s">
        <v>12</v>
      </c>
    </row>
    <row r="2107" spans="1:5">
      <c r="A2107" t="n">
        <v>18393</v>
      </c>
      <c r="B2107" s="10" t="n">
        <v>5</v>
      </c>
      <c r="C2107" s="7" t="n">
        <v>28</v>
      </c>
      <c r="D2107" s="20" t="s">
        <v>3</v>
      </c>
      <c r="E2107" s="8" t="n">
        <v>162</v>
      </c>
      <c r="F2107" s="7" t="n">
        <v>3</v>
      </c>
      <c r="G2107" s="7" t="n">
        <v>28814</v>
      </c>
      <c r="H2107" s="20" t="s">
        <v>3</v>
      </c>
      <c r="I2107" s="7" t="n">
        <v>0</v>
      </c>
      <c r="J2107" s="7" t="n">
        <v>1</v>
      </c>
      <c r="K2107" s="7" t="n">
        <v>2</v>
      </c>
      <c r="L2107" s="7" t="n">
        <v>28</v>
      </c>
      <c r="M2107" s="20" t="s">
        <v>3</v>
      </c>
      <c r="N2107" s="8" t="n">
        <v>162</v>
      </c>
      <c r="O2107" s="7" t="n">
        <v>3</v>
      </c>
      <c r="P2107" s="7" t="n">
        <v>28814</v>
      </c>
      <c r="Q2107" s="20" t="s">
        <v>3</v>
      </c>
      <c r="R2107" s="7" t="n">
        <v>0</v>
      </c>
      <c r="S2107" s="7" t="n">
        <v>2</v>
      </c>
      <c r="T2107" s="7" t="n">
        <v>2</v>
      </c>
      <c r="U2107" s="7" t="n">
        <v>11</v>
      </c>
      <c r="V2107" s="7" t="n">
        <v>1</v>
      </c>
      <c r="W2107" s="11" t="n">
        <f t="normal" ca="1">A2111</f>
        <v>0</v>
      </c>
    </row>
    <row r="2108" spans="1:5">
      <c r="A2108" t="s">
        <v>4</v>
      </c>
      <c r="B2108" s="4" t="s">
        <v>5</v>
      </c>
      <c r="C2108" s="4" t="s">
        <v>7</v>
      </c>
      <c r="D2108" s="4" t="s">
        <v>11</v>
      </c>
      <c r="E2108" s="4" t="s">
        <v>13</v>
      </c>
    </row>
    <row r="2109" spans="1:5">
      <c r="A2109" t="n">
        <v>18422</v>
      </c>
      <c r="B2109" s="23" t="n">
        <v>58</v>
      </c>
      <c r="C2109" s="7" t="n">
        <v>0</v>
      </c>
      <c r="D2109" s="7" t="n">
        <v>0</v>
      </c>
      <c r="E2109" s="7" t="n">
        <v>1</v>
      </c>
    </row>
    <row r="2110" spans="1:5">
      <c r="A2110" t="s">
        <v>4</v>
      </c>
      <c r="B2110" s="4" t="s">
        <v>5</v>
      </c>
      <c r="C2110" s="4" t="s">
        <v>7</v>
      </c>
      <c r="D2110" s="20" t="s">
        <v>35</v>
      </c>
      <c r="E2110" s="4" t="s">
        <v>5</v>
      </c>
      <c r="F2110" s="4" t="s">
        <v>7</v>
      </c>
      <c r="G2110" s="4" t="s">
        <v>11</v>
      </c>
      <c r="H2110" s="20" t="s">
        <v>36</v>
      </c>
      <c r="I2110" s="4" t="s">
        <v>7</v>
      </c>
      <c r="J2110" s="4" t="s">
        <v>15</v>
      </c>
      <c r="K2110" s="4" t="s">
        <v>7</v>
      </c>
      <c r="L2110" s="4" t="s">
        <v>7</v>
      </c>
      <c r="M2110" s="20" t="s">
        <v>35</v>
      </c>
      <c r="N2110" s="4" t="s">
        <v>5</v>
      </c>
      <c r="O2110" s="4" t="s">
        <v>7</v>
      </c>
      <c r="P2110" s="4" t="s">
        <v>11</v>
      </c>
      <c r="Q2110" s="20" t="s">
        <v>36</v>
      </c>
      <c r="R2110" s="4" t="s">
        <v>7</v>
      </c>
      <c r="S2110" s="4" t="s">
        <v>15</v>
      </c>
      <c r="T2110" s="4" t="s">
        <v>7</v>
      </c>
      <c r="U2110" s="4" t="s">
        <v>7</v>
      </c>
      <c r="V2110" s="4" t="s">
        <v>7</v>
      </c>
      <c r="W2110" s="4" t="s">
        <v>12</v>
      </c>
    </row>
    <row r="2111" spans="1:5">
      <c r="A2111" t="n">
        <v>18430</v>
      </c>
      <c r="B2111" s="10" t="n">
        <v>5</v>
      </c>
      <c r="C2111" s="7" t="n">
        <v>28</v>
      </c>
      <c r="D2111" s="20" t="s">
        <v>3</v>
      </c>
      <c r="E2111" s="8" t="n">
        <v>162</v>
      </c>
      <c r="F2111" s="7" t="n">
        <v>3</v>
      </c>
      <c r="G2111" s="7" t="n">
        <v>28814</v>
      </c>
      <c r="H2111" s="20" t="s">
        <v>3</v>
      </c>
      <c r="I2111" s="7" t="n">
        <v>0</v>
      </c>
      <c r="J2111" s="7" t="n">
        <v>1</v>
      </c>
      <c r="K2111" s="7" t="n">
        <v>3</v>
      </c>
      <c r="L2111" s="7" t="n">
        <v>28</v>
      </c>
      <c r="M2111" s="20" t="s">
        <v>3</v>
      </c>
      <c r="N2111" s="8" t="n">
        <v>162</v>
      </c>
      <c r="O2111" s="7" t="n">
        <v>3</v>
      </c>
      <c r="P2111" s="7" t="n">
        <v>28814</v>
      </c>
      <c r="Q2111" s="20" t="s">
        <v>3</v>
      </c>
      <c r="R2111" s="7" t="n">
        <v>0</v>
      </c>
      <c r="S2111" s="7" t="n">
        <v>2</v>
      </c>
      <c r="T2111" s="7" t="n">
        <v>3</v>
      </c>
      <c r="U2111" s="7" t="n">
        <v>9</v>
      </c>
      <c r="V2111" s="7" t="n">
        <v>1</v>
      </c>
      <c r="W2111" s="11" t="n">
        <f t="normal" ca="1">A2121</f>
        <v>0</v>
      </c>
    </row>
    <row r="2112" spans="1:5">
      <c r="A2112" t="s">
        <v>4</v>
      </c>
      <c r="B2112" s="4" t="s">
        <v>5</v>
      </c>
      <c r="C2112" s="4" t="s">
        <v>7</v>
      </c>
      <c r="D2112" s="20" t="s">
        <v>35</v>
      </c>
      <c r="E2112" s="4" t="s">
        <v>5</v>
      </c>
      <c r="F2112" s="4" t="s">
        <v>11</v>
      </c>
      <c r="G2112" s="4" t="s">
        <v>7</v>
      </c>
      <c r="H2112" s="4" t="s">
        <v>7</v>
      </c>
      <c r="I2112" s="4" t="s">
        <v>8</v>
      </c>
      <c r="J2112" s="20" t="s">
        <v>36</v>
      </c>
      <c r="K2112" s="4" t="s">
        <v>7</v>
      </c>
      <c r="L2112" s="4" t="s">
        <v>7</v>
      </c>
      <c r="M2112" s="20" t="s">
        <v>35</v>
      </c>
      <c r="N2112" s="4" t="s">
        <v>5</v>
      </c>
      <c r="O2112" s="4" t="s">
        <v>7</v>
      </c>
      <c r="P2112" s="20" t="s">
        <v>36</v>
      </c>
      <c r="Q2112" s="4" t="s">
        <v>7</v>
      </c>
      <c r="R2112" s="4" t="s">
        <v>15</v>
      </c>
      <c r="S2112" s="4" t="s">
        <v>7</v>
      </c>
      <c r="T2112" s="4" t="s">
        <v>7</v>
      </c>
      <c r="U2112" s="4" t="s">
        <v>7</v>
      </c>
      <c r="V2112" s="20" t="s">
        <v>35</v>
      </c>
      <c r="W2112" s="4" t="s">
        <v>5</v>
      </c>
      <c r="X2112" s="4" t="s">
        <v>7</v>
      </c>
      <c r="Y2112" s="20" t="s">
        <v>36</v>
      </c>
      <c r="Z2112" s="4" t="s">
        <v>7</v>
      </c>
      <c r="AA2112" s="4" t="s">
        <v>15</v>
      </c>
      <c r="AB2112" s="4" t="s">
        <v>7</v>
      </c>
      <c r="AC2112" s="4" t="s">
        <v>7</v>
      </c>
      <c r="AD2112" s="4" t="s">
        <v>7</v>
      </c>
      <c r="AE2112" s="4" t="s">
        <v>12</v>
      </c>
    </row>
    <row r="2113" spans="1:31">
      <c r="A2113" t="n">
        <v>18459</v>
      </c>
      <c r="B2113" s="10" t="n">
        <v>5</v>
      </c>
      <c r="C2113" s="7" t="n">
        <v>28</v>
      </c>
      <c r="D2113" s="20" t="s">
        <v>3</v>
      </c>
      <c r="E2113" s="41" t="n">
        <v>47</v>
      </c>
      <c r="F2113" s="7" t="n">
        <v>61456</v>
      </c>
      <c r="G2113" s="7" t="n">
        <v>2</v>
      </c>
      <c r="H2113" s="7" t="n">
        <v>0</v>
      </c>
      <c r="I2113" s="7" t="s">
        <v>105</v>
      </c>
      <c r="J2113" s="20" t="s">
        <v>3</v>
      </c>
      <c r="K2113" s="7" t="n">
        <v>8</v>
      </c>
      <c r="L2113" s="7" t="n">
        <v>28</v>
      </c>
      <c r="M2113" s="20" t="s">
        <v>3</v>
      </c>
      <c r="N2113" s="45" t="n">
        <v>74</v>
      </c>
      <c r="O2113" s="7" t="n">
        <v>65</v>
      </c>
      <c r="P2113" s="20" t="s">
        <v>3</v>
      </c>
      <c r="Q2113" s="7" t="n">
        <v>0</v>
      </c>
      <c r="R2113" s="7" t="n">
        <v>1</v>
      </c>
      <c r="S2113" s="7" t="n">
        <v>3</v>
      </c>
      <c r="T2113" s="7" t="n">
        <v>9</v>
      </c>
      <c r="U2113" s="7" t="n">
        <v>28</v>
      </c>
      <c r="V2113" s="20" t="s">
        <v>3</v>
      </c>
      <c r="W2113" s="45" t="n">
        <v>74</v>
      </c>
      <c r="X2113" s="7" t="n">
        <v>65</v>
      </c>
      <c r="Y2113" s="20" t="s">
        <v>3</v>
      </c>
      <c r="Z2113" s="7" t="n">
        <v>0</v>
      </c>
      <c r="AA2113" s="7" t="n">
        <v>2</v>
      </c>
      <c r="AB2113" s="7" t="n">
        <v>3</v>
      </c>
      <c r="AC2113" s="7" t="n">
        <v>9</v>
      </c>
      <c r="AD2113" s="7" t="n">
        <v>1</v>
      </c>
      <c r="AE2113" s="11" t="n">
        <f t="normal" ca="1">A2117</f>
        <v>0</v>
      </c>
    </row>
    <row r="2114" spans="1:31">
      <c r="A2114" t="s">
        <v>4</v>
      </c>
      <c r="B2114" s="4" t="s">
        <v>5</v>
      </c>
      <c r="C2114" s="4" t="s">
        <v>11</v>
      </c>
      <c r="D2114" s="4" t="s">
        <v>7</v>
      </c>
      <c r="E2114" s="4" t="s">
        <v>7</v>
      </c>
      <c r="F2114" s="4" t="s">
        <v>8</v>
      </c>
    </row>
    <row r="2115" spans="1:31">
      <c r="A2115" t="n">
        <v>18507</v>
      </c>
      <c r="B2115" s="41" t="n">
        <v>47</v>
      </c>
      <c r="C2115" s="7" t="n">
        <v>61456</v>
      </c>
      <c r="D2115" s="7" t="n">
        <v>0</v>
      </c>
      <c r="E2115" s="7" t="n">
        <v>0</v>
      </c>
      <c r="F2115" s="7" t="s">
        <v>106</v>
      </c>
    </row>
    <row r="2116" spans="1:31">
      <c r="A2116" t="s">
        <v>4</v>
      </c>
      <c r="B2116" s="4" t="s">
        <v>5</v>
      </c>
      <c r="C2116" s="4" t="s">
        <v>7</v>
      </c>
      <c r="D2116" s="4" t="s">
        <v>11</v>
      </c>
      <c r="E2116" s="4" t="s">
        <v>13</v>
      </c>
    </row>
    <row r="2117" spans="1:31">
      <c r="A2117" t="n">
        <v>18520</v>
      </c>
      <c r="B2117" s="23" t="n">
        <v>58</v>
      </c>
      <c r="C2117" s="7" t="n">
        <v>0</v>
      </c>
      <c r="D2117" s="7" t="n">
        <v>300</v>
      </c>
      <c r="E2117" s="7" t="n">
        <v>1</v>
      </c>
    </row>
    <row r="2118" spans="1:31">
      <c r="A2118" t="s">
        <v>4</v>
      </c>
      <c r="B2118" s="4" t="s">
        <v>5</v>
      </c>
      <c r="C2118" s="4" t="s">
        <v>7</v>
      </c>
      <c r="D2118" s="4" t="s">
        <v>11</v>
      </c>
    </row>
    <row r="2119" spans="1:31">
      <c r="A2119" t="n">
        <v>18528</v>
      </c>
      <c r="B2119" s="23" t="n">
        <v>58</v>
      </c>
      <c r="C2119" s="7" t="n">
        <v>255</v>
      </c>
      <c r="D2119" s="7" t="n">
        <v>0</v>
      </c>
    </row>
    <row r="2120" spans="1:31">
      <c r="A2120" t="s">
        <v>4</v>
      </c>
      <c r="B2120" s="4" t="s">
        <v>5</v>
      </c>
      <c r="C2120" s="4" t="s">
        <v>7</v>
      </c>
      <c r="D2120" s="4" t="s">
        <v>7</v>
      </c>
      <c r="E2120" s="4" t="s">
        <v>7</v>
      </c>
      <c r="F2120" s="4" t="s">
        <v>7</v>
      </c>
    </row>
    <row r="2121" spans="1:31">
      <c r="A2121" t="n">
        <v>18532</v>
      </c>
      <c r="B2121" s="9" t="n">
        <v>14</v>
      </c>
      <c r="C2121" s="7" t="n">
        <v>0</v>
      </c>
      <c r="D2121" s="7" t="n">
        <v>0</v>
      </c>
      <c r="E2121" s="7" t="n">
        <v>0</v>
      </c>
      <c r="F2121" s="7" t="n">
        <v>64</v>
      </c>
    </row>
    <row r="2122" spans="1:31">
      <c r="A2122" t="s">
        <v>4</v>
      </c>
      <c r="B2122" s="4" t="s">
        <v>5</v>
      </c>
      <c r="C2122" s="4" t="s">
        <v>7</v>
      </c>
      <c r="D2122" s="4" t="s">
        <v>11</v>
      </c>
    </row>
    <row r="2123" spans="1:31">
      <c r="A2123" t="n">
        <v>18537</v>
      </c>
      <c r="B2123" s="22" t="n">
        <v>22</v>
      </c>
      <c r="C2123" s="7" t="n">
        <v>0</v>
      </c>
      <c r="D2123" s="7" t="n">
        <v>28814</v>
      </c>
    </row>
    <row r="2124" spans="1:31">
      <c r="A2124" t="s">
        <v>4</v>
      </c>
      <c r="B2124" s="4" t="s">
        <v>5</v>
      </c>
      <c r="C2124" s="4" t="s">
        <v>7</v>
      </c>
      <c r="D2124" s="4" t="s">
        <v>11</v>
      </c>
    </row>
    <row r="2125" spans="1:31">
      <c r="A2125" t="n">
        <v>18541</v>
      </c>
      <c r="B2125" s="23" t="n">
        <v>58</v>
      </c>
      <c r="C2125" s="7" t="n">
        <v>5</v>
      </c>
      <c r="D2125" s="7" t="n">
        <v>300</v>
      </c>
    </row>
    <row r="2126" spans="1:31">
      <c r="A2126" t="s">
        <v>4</v>
      </c>
      <c r="B2126" s="4" t="s">
        <v>5</v>
      </c>
      <c r="C2126" s="4" t="s">
        <v>13</v>
      </c>
      <c r="D2126" s="4" t="s">
        <v>11</v>
      </c>
    </row>
    <row r="2127" spans="1:31">
      <c r="A2127" t="n">
        <v>18545</v>
      </c>
      <c r="B2127" s="46" t="n">
        <v>103</v>
      </c>
      <c r="C2127" s="7" t="n">
        <v>0</v>
      </c>
      <c r="D2127" s="7" t="n">
        <v>300</v>
      </c>
    </row>
    <row r="2128" spans="1:31">
      <c r="A2128" t="s">
        <v>4</v>
      </c>
      <c r="B2128" s="4" t="s">
        <v>5</v>
      </c>
      <c r="C2128" s="4" t="s">
        <v>7</v>
      </c>
    </row>
    <row r="2129" spans="1:31">
      <c r="A2129" t="n">
        <v>18552</v>
      </c>
      <c r="B2129" s="47" t="n">
        <v>64</v>
      </c>
      <c r="C2129" s="7" t="n">
        <v>7</v>
      </c>
    </row>
    <row r="2130" spans="1:31">
      <c r="A2130" t="s">
        <v>4</v>
      </c>
      <c r="B2130" s="4" t="s">
        <v>5</v>
      </c>
      <c r="C2130" s="4" t="s">
        <v>7</v>
      </c>
      <c r="D2130" s="4" t="s">
        <v>11</v>
      </c>
    </row>
    <row r="2131" spans="1:31">
      <c r="A2131" t="n">
        <v>18554</v>
      </c>
      <c r="B2131" s="48" t="n">
        <v>72</v>
      </c>
      <c r="C2131" s="7" t="n">
        <v>5</v>
      </c>
      <c r="D2131" s="7" t="n">
        <v>0</v>
      </c>
    </row>
    <row r="2132" spans="1:31">
      <c r="A2132" t="s">
        <v>4</v>
      </c>
      <c r="B2132" s="4" t="s">
        <v>5</v>
      </c>
      <c r="C2132" s="4" t="s">
        <v>7</v>
      </c>
      <c r="D2132" s="20" t="s">
        <v>35</v>
      </c>
      <c r="E2132" s="4" t="s">
        <v>5</v>
      </c>
      <c r="F2132" s="4" t="s">
        <v>7</v>
      </c>
      <c r="G2132" s="4" t="s">
        <v>11</v>
      </c>
      <c r="H2132" s="20" t="s">
        <v>36</v>
      </c>
      <c r="I2132" s="4" t="s">
        <v>7</v>
      </c>
      <c r="J2132" s="4" t="s">
        <v>15</v>
      </c>
      <c r="K2132" s="4" t="s">
        <v>7</v>
      </c>
      <c r="L2132" s="4" t="s">
        <v>7</v>
      </c>
      <c r="M2132" s="4" t="s">
        <v>12</v>
      </c>
    </row>
    <row r="2133" spans="1:31">
      <c r="A2133" t="n">
        <v>18558</v>
      </c>
      <c r="B2133" s="10" t="n">
        <v>5</v>
      </c>
      <c r="C2133" s="7" t="n">
        <v>28</v>
      </c>
      <c r="D2133" s="20" t="s">
        <v>3</v>
      </c>
      <c r="E2133" s="8" t="n">
        <v>162</v>
      </c>
      <c r="F2133" s="7" t="n">
        <v>4</v>
      </c>
      <c r="G2133" s="7" t="n">
        <v>28814</v>
      </c>
      <c r="H2133" s="20" t="s">
        <v>3</v>
      </c>
      <c r="I2133" s="7" t="n">
        <v>0</v>
      </c>
      <c r="J2133" s="7" t="n">
        <v>1</v>
      </c>
      <c r="K2133" s="7" t="n">
        <v>2</v>
      </c>
      <c r="L2133" s="7" t="n">
        <v>1</v>
      </c>
      <c r="M2133" s="11" t="n">
        <f t="normal" ca="1">A2139</f>
        <v>0</v>
      </c>
    </row>
    <row r="2134" spans="1:31">
      <c r="A2134" t="s">
        <v>4</v>
      </c>
      <c r="B2134" s="4" t="s">
        <v>5</v>
      </c>
      <c r="C2134" s="4" t="s">
        <v>7</v>
      </c>
      <c r="D2134" s="4" t="s">
        <v>8</v>
      </c>
    </row>
    <row r="2135" spans="1:31">
      <c r="A2135" t="n">
        <v>18575</v>
      </c>
      <c r="B2135" s="6" t="n">
        <v>2</v>
      </c>
      <c r="C2135" s="7" t="n">
        <v>10</v>
      </c>
      <c r="D2135" s="7" t="s">
        <v>107</v>
      </c>
    </row>
    <row r="2136" spans="1:31">
      <c r="A2136" t="s">
        <v>4</v>
      </c>
      <c r="B2136" s="4" t="s">
        <v>5</v>
      </c>
      <c r="C2136" s="4" t="s">
        <v>11</v>
      </c>
    </row>
    <row r="2137" spans="1:31">
      <c r="A2137" t="n">
        <v>18592</v>
      </c>
      <c r="B2137" s="29" t="n">
        <v>16</v>
      </c>
      <c r="C2137" s="7" t="n">
        <v>0</v>
      </c>
    </row>
    <row r="2138" spans="1:31">
      <c r="A2138" t="s">
        <v>4</v>
      </c>
      <c r="B2138" s="4" t="s">
        <v>5</v>
      </c>
      <c r="C2138" s="4" t="s">
        <v>11</v>
      </c>
      <c r="D2138" s="4" t="s">
        <v>15</v>
      </c>
    </row>
    <row r="2139" spans="1:31">
      <c r="A2139" t="n">
        <v>18595</v>
      </c>
      <c r="B2139" s="39" t="n">
        <v>43</v>
      </c>
      <c r="C2139" s="7" t="n">
        <v>61456</v>
      </c>
      <c r="D2139" s="7" t="n">
        <v>1</v>
      </c>
    </row>
    <row r="2140" spans="1:31">
      <c r="A2140" t="s">
        <v>4</v>
      </c>
      <c r="B2140" s="4" t="s">
        <v>5</v>
      </c>
      <c r="C2140" s="4" t="s">
        <v>11</v>
      </c>
      <c r="D2140" s="4" t="s">
        <v>7</v>
      </c>
      <c r="E2140" s="4" t="s">
        <v>7</v>
      </c>
      <c r="F2140" s="4" t="s">
        <v>8</v>
      </c>
    </row>
    <row r="2141" spans="1:31">
      <c r="A2141" t="n">
        <v>18602</v>
      </c>
      <c r="B2141" s="50" t="n">
        <v>20</v>
      </c>
      <c r="C2141" s="7" t="n">
        <v>0</v>
      </c>
      <c r="D2141" s="7" t="n">
        <v>3</v>
      </c>
      <c r="E2141" s="7" t="n">
        <v>10</v>
      </c>
      <c r="F2141" s="7" t="s">
        <v>108</v>
      </c>
    </row>
    <row r="2142" spans="1:31">
      <c r="A2142" t="s">
        <v>4</v>
      </c>
      <c r="B2142" s="4" t="s">
        <v>5</v>
      </c>
      <c r="C2142" s="4" t="s">
        <v>11</v>
      </c>
    </row>
    <row r="2143" spans="1:31">
      <c r="A2143" t="n">
        <v>18620</v>
      </c>
      <c r="B2143" s="29" t="n">
        <v>16</v>
      </c>
      <c r="C2143" s="7" t="n">
        <v>0</v>
      </c>
    </row>
    <row r="2144" spans="1:31">
      <c r="A2144" t="s">
        <v>4</v>
      </c>
      <c r="B2144" s="4" t="s">
        <v>5</v>
      </c>
      <c r="C2144" s="4" t="s">
        <v>7</v>
      </c>
      <c r="D2144" s="4" t="s">
        <v>11</v>
      </c>
      <c r="E2144" s="4" t="s">
        <v>7</v>
      </c>
      <c r="F2144" s="4" t="s">
        <v>8</v>
      </c>
      <c r="G2144" s="4" t="s">
        <v>8</v>
      </c>
      <c r="H2144" s="4" t="s">
        <v>8</v>
      </c>
      <c r="I2144" s="4" t="s">
        <v>8</v>
      </c>
      <c r="J2144" s="4" t="s">
        <v>8</v>
      </c>
      <c r="K2144" s="4" t="s">
        <v>8</v>
      </c>
      <c r="L2144" s="4" t="s">
        <v>8</v>
      </c>
      <c r="M2144" s="4" t="s">
        <v>8</v>
      </c>
      <c r="N2144" s="4" t="s">
        <v>8</v>
      </c>
      <c r="O2144" s="4" t="s">
        <v>8</v>
      </c>
      <c r="P2144" s="4" t="s">
        <v>8</v>
      </c>
      <c r="Q2144" s="4" t="s">
        <v>8</v>
      </c>
      <c r="R2144" s="4" t="s">
        <v>8</v>
      </c>
      <c r="S2144" s="4" t="s">
        <v>8</v>
      </c>
      <c r="T2144" s="4" t="s">
        <v>8</v>
      </c>
      <c r="U2144" s="4" t="s">
        <v>8</v>
      </c>
    </row>
    <row r="2145" spans="1:21">
      <c r="A2145" t="n">
        <v>18623</v>
      </c>
      <c r="B2145" s="40" t="n">
        <v>36</v>
      </c>
      <c r="C2145" s="7" t="n">
        <v>8</v>
      </c>
      <c r="D2145" s="7" t="n">
        <v>0</v>
      </c>
      <c r="E2145" s="7" t="n">
        <v>0</v>
      </c>
      <c r="F2145" s="7" t="s">
        <v>89</v>
      </c>
      <c r="G2145" s="7" t="s">
        <v>16</v>
      </c>
      <c r="H2145" s="7" t="s">
        <v>16</v>
      </c>
      <c r="I2145" s="7" t="s">
        <v>16</v>
      </c>
      <c r="J2145" s="7" t="s">
        <v>16</v>
      </c>
      <c r="K2145" s="7" t="s">
        <v>16</v>
      </c>
      <c r="L2145" s="7" t="s">
        <v>16</v>
      </c>
      <c r="M2145" s="7" t="s">
        <v>16</v>
      </c>
      <c r="N2145" s="7" t="s">
        <v>16</v>
      </c>
      <c r="O2145" s="7" t="s">
        <v>16</v>
      </c>
      <c r="P2145" s="7" t="s">
        <v>16</v>
      </c>
      <c r="Q2145" s="7" t="s">
        <v>16</v>
      </c>
      <c r="R2145" s="7" t="s">
        <v>16</v>
      </c>
      <c r="S2145" s="7" t="s">
        <v>16</v>
      </c>
      <c r="T2145" s="7" t="s">
        <v>16</v>
      </c>
      <c r="U2145" s="7" t="s">
        <v>16</v>
      </c>
    </row>
    <row r="2146" spans="1:21">
      <c r="A2146" t="s">
        <v>4</v>
      </c>
      <c r="B2146" s="4" t="s">
        <v>5</v>
      </c>
      <c r="C2146" s="4" t="s">
        <v>11</v>
      </c>
      <c r="D2146" s="4" t="s">
        <v>15</v>
      </c>
    </row>
    <row r="2147" spans="1:21">
      <c r="A2147" t="n">
        <v>18655</v>
      </c>
      <c r="B2147" s="39" t="n">
        <v>43</v>
      </c>
      <c r="C2147" s="7" t="n">
        <v>61456</v>
      </c>
      <c r="D2147" s="7" t="n">
        <v>128</v>
      </c>
    </row>
    <row r="2148" spans="1:21">
      <c r="A2148" t="s">
        <v>4</v>
      </c>
      <c r="B2148" s="4" t="s">
        <v>5</v>
      </c>
      <c r="C2148" s="4" t="s">
        <v>11</v>
      </c>
      <c r="D2148" s="4" t="s">
        <v>13</v>
      </c>
      <c r="E2148" s="4" t="s">
        <v>13</v>
      </c>
      <c r="F2148" s="4" t="s">
        <v>13</v>
      </c>
      <c r="G2148" s="4" t="s">
        <v>13</v>
      </c>
    </row>
    <row r="2149" spans="1:21">
      <c r="A2149" t="n">
        <v>18662</v>
      </c>
      <c r="B2149" s="36" t="n">
        <v>46</v>
      </c>
      <c r="C2149" s="7" t="n">
        <v>61456</v>
      </c>
      <c r="D2149" s="7" t="n">
        <v>-3.11999988555908</v>
      </c>
      <c r="E2149" s="7" t="n">
        <v>10.0100002288818</v>
      </c>
      <c r="F2149" s="7" t="n">
        <v>32.0499992370605</v>
      </c>
      <c r="G2149" s="7" t="n">
        <v>85.8000030517578</v>
      </c>
    </row>
    <row r="2150" spans="1:21">
      <c r="A2150" t="s">
        <v>4</v>
      </c>
      <c r="B2150" s="4" t="s">
        <v>5</v>
      </c>
      <c r="C2150" s="4" t="s">
        <v>7</v>
      </c>
      <c r="D2150" s="4" t="s">
        <v>7</v>
      </c>
      <c r="E2150" s="4" t="s">
        <v>13</v>
      </c>
      <c r="F2150" s="4" t="s">
        <v>13</v>
      </c>
      <c r="G2150" s="4" t="s">
        <v>13</v>
      </c>
      <c r="H2150" s="4" t="s">
        <v>11</v>
      </c>
    </row>
    <row r="2151" spans="1:21">
      <c r="A2151" t="n">
        <v>18681</v>
      </c>
      <c r="B2151" s="51" t="n">
        <v>45</v>
      </c>
      <c r="C2151" s="7" t="n">
        <v>2</v>
      </c>
      <c r="D2151" s="7" t="n">
        <v>3</v>
      </c>
      <c r="E2151" s="7" t="n">
        <v>4.73999977111816</v>
      </c>
      <c r="F2151" s="7" t="n">
        <v>11.0500001907349</v>
      </c>
      <c r="G2151" s="7" t="n">
        <v>30.7700004577637</v>
      </c>
      <c r="H2151" s="7" t="n">
        <v>0</v>
      </c>
    </row>
    <row r="2152" spans="1:21">
      <c r="A2152" t="s">
        <v>4</v>
      </c>
      <c r="B2152" s="4" t="s">
        <v>5</v>
      </c>
      <c r="C2152" s="4" t="s">
        <v>7</v>
      </c>
      <c r="D2152" s="4" t="s">
        <v>7</v>
      </c>
      <c r="E2152" s="4" t="s">
        <v>13</v>
      </c>
      <c r="F2152" s="4" t="s">
        <v>13</v>
      </c>
      <c r="G2152" s="4" t="s">
        <v>13</v>
      </c>
      <c r="H2152" s="4" t="s">
        <v>11</v>
      </c>
      <c r="I2152" s="4" t="s">
        <v>7</v>
      </c>
    </row>
    <row r="2153" spans="1:21">
      <c r="A2153" t="n">
        <v>18698</v>
      </c>
      <c r="B2153" s="51" t="n">
        <v>45</v>
      </c>
      <c r="C2153" s="7" t="n">
        <v>4</v>
      </c>
      <c r="D2153" s="7" t="n">
        <v>3</v>
      </c>
      <c r="E2153" s="7" t="n">
        <v>13.5600004196167</v>
      </c>
      <c r="F2153" s="7" t="n">
        <v>307.980010986328</v>
      </c>
      <c r="G2153" s="7" t="n">
        <v>0</v>
      </c>
      <c r="H2153" s="7" t="n">
        <v>0</v>
      </c>
      <c r="I2153" s="7" t="n">
        <v>0</v>
      </c>
    </row>
    <row r="2154" spans="1:21">
      <c r="A2154" t="s">
        <v>4</v>
      </c>
      <c r="B2154" s="4" t="s">
        <v>5</v>
      </c>
      <c r="C2154" s="4" t="s">
        <v>7</v>
      </c>
      <c r="D2154" s="4" t="s">
        <v>7</v>
      </c>
      <c r="E2154" s="4" t="s">
        <v>13</v>
      </c>
      <c r="F2154" s="4" t="s">
        <v>11</v>
      </c>
    </row>
    <row r="2155" spans="1:21">
      <c r="A2155" t="n">
        <v>18716</v>
      </c>
      <c r="B2155" s="51" t="n">
        <v>45</v>
      </c>
      <c r="C2155" s="7" t="n">
        <v>5</v>
      </c>
      <c r="D2155" s="7" t="n">
        <v>3</v>
      </c>
      <c r="E2155" s="7" t="n">
        <v>4.40000009536743</v>
      </c>
      <c r="F2155" s="7" t="n">
        <v>0</v>
      </c>
    </row>
    <row r="2156" spans="1:21">
      <c r="A2156" t="s">
        <v>4</v>
      </c>
      <c r="B2156" s="4" t="s">
        <v>5</v>
      </c>
      <c r="C2156" s="4" t="s">
        <v>7</v>
      </c>
      <c r="D2156" s="4" t="s">
        <v>7</v>
      </c>
      <c r="E2156" s="4" t="s">
        <v>13</v>
      </c>
      <c r="F2156" s="4" t="s">
        <v>11</v>
      </c>
    </row>
    <row r="2157" spans="1:21">
      <c r="A2157" t="n">
        <v>18725</v>
      </c>
      <c r="B2157" s="51" t="n">
        <v>45</v>
      </c>
      <c r="C2157" s="7" t="n">
        <v>11</v>
      </c>
      <c r="D2157" s="7" t="n">
        <v>3</v>
      </c>
      <c r="E2157" s="7" t="n">
        <v>34</v>
      </c>
      <c r="F2157" s="7" t="n">
        <v>0</v>
      </c>
    </row>
    <row r="2158" spans="1:21">
      <c r="A2158" t="s">
        <v>4</v>
      </c>
      <c r="B2158" s="4" t="s">
        <v>5</v>
      </c>
      <c r="C2158" s="4" t="s">
        <v>7</v>
      </c>
      <c r="D2158" s="4" t="s">
        <v>7</v>
      </c>
      <c r="E2158" s="4" t="s">
        <v>13</v>
      </c>
      <c r="F2158" s="4" t="s">
        <v>13</v>
      </c>
      <c r="G2158" s="4" t="s">
        <v>13</v>
      </c>
      <c r="H2158" s="4" t="s">
        <v>11</v>
      </c>
      <c r="I2158" s="4" t="s">
        <v>7</v>
      </c>
    </row>
    <row r="2159" spans="1:21">
      <c r="A2159" t="n">
        <v>18734</v>
      </c>
      <c r="B2159" s="51" t="n">
        <v>45</v>
      </c>
      <c r="C2159" s="7" t="n">
        <v>4</v>
      </c>
      <c r="D2159" s="7" t="n">
        <v>3</v>
      </c>
      <c r="E2159" s="7" t="n">
        <v>13.5600004196167</v>
      </c>
      <c r="F2159" s="7" t="n">
        <v>287.149993896484</v>
      </c>
      <c r="G2159" s="7" t="n">
        <v>0</v>
      </c>
      <c r="H2159" s="7" t="n">
        <v>3500</v>
      </c>
      <c r="I2159" s="7" t="n">
        <v>0</v>
      </c>
    </row>
    <row r="2160" spans="1:21">
      <c r="A2160" t="s">
        <v>4</v>
      </c>
      <c r="B2160" s="4" t="s">
        <v>5</v>
      </c>
      <c r="C2160" s="4" t="s">
        <v>7</v>
      </c>
      <c r="D2160" s="4" t="s">
        <v>11</v>
      </c>
      <c r="E2160" s="4" t="s">
        <v>13</v>
      </c>
    </row>
    <row r="2161" spans="1:21">
      <c r="A2161" t="n">
        <v>18752</v>
      </c>
      <c r="B2161" s="23" t="n">
        <v>58</v>
      </c>
      <c r="C2161" s="7" t="n">
        <v>100</v>
      </c>
      <c r="D2161" s="7" t="n">
        <v>1000</v>
      </c>
      <c r="E2161" s="7" t="n">
        <v>1</v>
      </c>
    </row>
    <row r="2162" spans="1:21">
      <c r="A2162" t="s">
        <v>4</v>
      </c>
      <c r="B2162" s="4" t="s">
        <v>5</v>
      </c>
      <c r="C2162" s="4" t="s">
        <v>7</v>
      </c>
      <c r="D2162" s="4" t="s">
        <v>11</v>
      </c>
    </row>
    <row r="2163" spans="1:21">
      <c r="A2163" t="n">
        <v>18760</v>
      </c>
      <c r="B2163" s="23" t="n">
        <v>58</v>
      </c>
      <c r="C2163" s="7" t="n">
        <v>255</v>
      </c>
      <c r="D2163" s="7" t="n">
        <v>0</v>
      </c>
    </row>
    <row r="2164" spans="1:21">
      <c r="A2164" t="s">
        <v>4</v>
      </c>
      <c r="B2164" s="4" t="s">
        <v>5</v>
      </c>
      <c r="C2164" s="4" t="s">
        <v>7</v>
      </c>
      <c r="D2164" s="4" t="s">
        <v>11</v>
      </c>
    </row>
    <row r="2165" spans="1:21">
      <c r="A2165" t="n">
        <v>18764</v>
      </c>
      <c r="B2165" s="51" t="n">
        <v>45</v>
      </c>
      <c r="C2165" s="7" t="n">
        <v>7</v>
      </c>
      <c r="D2165" s="7" t="n">
        <v>255</v>
      </c>
    </row>
    <row r="2166" spans="1:21">
      <c r="A2166" t="s">
        <v>4</v>
      </c>
      <c r="B2166" s="4" t="s">
        <v>5</v>
      </c>
      <c r="C2166" s="4" t="s">
        <v>7</v>
      </c>
      <c r="D2166" s="4" t="s">
        <v>11</v>
      </c>
      <c r="E2166" s="4" t="s">
        <v>13</v>
      </c>
    </row>
    <row r="2167" spans="1:21">
      <c r="A2167" t="n">
        <v>18768</v>
      </c>
      <c r="B2167" s="23" t="n">
        <v>58</v>
      </c>
      <c r="C2167" s="7" t="n">
        <v>101</v>
      </c>
      <c r="D2167" s="7" t="n">
        <v>500</v>
      </c>
      <c r="E2167" s="7" t="n">
        <v>1</v>
      </c>
    </row>
    <row r="2168" spans="1:21">
      <c r="A2168" t="s">
        <v>4</v>
      </c>
      <c r="B2168" s="4" t="s">
        <v>5</v>
      </c>
      <c r="C2168" s="4" t="s">
        <v>7</v>
      </c>
      <c r="D2168" s="4" t="s">
        <v>11</v>
      </c>
    </row>
    <row r="2169" spans="1:21">
      <c r="A2169" t="n">
        <v>18776</v>
      </c>
      <c r="B2169" s="23" t="n">
        <v>58</v>
      </c>
      <c r="C2169" s="7" t="n">
        <v>254</v>
      </c>
      <c r="D2169" s="7" t="n">
        <v>0</v>
      </c>
    </row>
    <row r="2170" spans="1:21">
      <c r="A2170" t="s">
        <v>4</v>
      </c>
      <c r="B2170" s="4" t="s">
        <v>5</v>
      </c>
      <c r="C2170" s="4" t="s">
        <v>7</v>
      </c>
      <c r="D2170" s="4" t="s">
        <v>7</v>
      </c>
      <c r="E2170" s="4" t="s">
        <v>13</v>
      </c>
      <c r="F2170" s="4" t="s">
        <v>13</v>
      </c>
      <c r="G2170" s="4" t="s">
        <v>13</v>
      </c>
      <c r="H2170" s="4" t="s">
        <v>11</v>
      </c>
    </row>
    <row r="2171" spans="1:21">
      <c r="A2171" t="n">
        <v>18780</v>
      </c>
      <c r="B2171" s="51" t="n">
        <v>45</v>
      </c>
      <c r="C2171" s="7" t="n">
        <v>2</v>
      </c>
      <c r="D2171" s="7" t="n">
        <v>3</v>
      </c>
      <c r="E2171" s="7" t="n">
        <v>0.0299999993294477</v>
      </c>
      <c r="F2171" s="7" t="n">
        <v>11.0500001907349</v>
      </c>
      <c r="G2171" s="7" t="n">
        <v>34.4199981689453</v>
      </c>
      <c r="H2171" s="7" t="n">
        <v>0</v>
      </c>
    </row>
    <row r="2172" spans="1:21">
      <c r="A2172" t="s">
        <v>4</v>
      </c>
      <c r="B2172" s="4" t="s">
        <v>5</v>
      </c>
      <c r="C2172" s="4" t="s">
        <v>7</v>
      </c>
      <c r="D2172" s="4" t="s">
        <v>7</v>
      </c>
      <c r="E2172" s="4" t="s">
        <v>13</v>
      </c>
      <c r="F2172" s="4" t="s">
        <v>13</v>
      </c>
      <c r="G2172" s="4" t="s">
        <v>13</v>
      </c>
      <c r="H2172" s="4" t="s">
        <v>11</v>
      </c>
      <c r="I2172" s="4" t="s">
        <v>7</v>
      </c>
    </row>
    <row r="2173" spans="1:21">
      <c r="A2173" t="n">
        <v>18797</v>
      </c>
      <c r="B2173" s="51" t="n">
        <v>45</v>
      </c>
      <c r="C2173" s="7" t="n">
        <v>4</v>
      </c>
      <c r="D2173" s="7" t="n">
        <v>3</v>
      </c>
      <c r="E2173" s="7" t="n">
        <v>9.8100004196167</v>
      </c>
      <c r="F2173" s="7" t="n">
        <v>204.539993286133</v>
      </c>
      <c r="G2173" s="7" t="n">
        <v>0</v>
      </c>
      <c r="H2173" s="7" t="n">
        <v>0</v>
      </c>
      <c r="I2173" s="7" t="n">
        <v>0</v>
      </c>
    </row>
    <row r="2174" spans="1:21">
      <c r="A2174" t="s">
        <v>4</v>
      </c>
      <c r="B2174" s="4" t="s">
        <v>5</v>
      </c>
      <c r="C2174" s="4" t="s">
        <v>7</v>
      </c>
      <c r="D2174" s="4" t="s">
        <v>7</v>
      </c>
      <c r="E2174" s="4" t="s">
        <v>13</v>
      </c>
      <c r="F2174" s="4" t="s">
        <v>11</v>
      </c>
    </row>
    <row r="2175" spans="1:21">
      <c r="A2175" t="n">
        <v>18815</v>
      </c>
      <c r="B2175" s="51" t="n">
        <v>45</v>
      </c>
      <c r="C2175" s="7" t="n">
        <v>5</v>
      </c>
      <c r="D2175" s="7" t="n">
        <v>3</v>
      </c>
      <c r="E2175" s="7" t="n">
        <v>4</v>
      </c>
      <c r="F2175" s="7" t="n">
        <v>0</v>
      </c>
    </row>
    <row r="2176" spans="1:21">
      <c r="A2176" t="s">
        <v>4</v>
      </c>
      <c r="B2176" s="4" t="s">
        <v>5</v>
      </c>
      <c r="C2176" s="4" t="s">
        <v>7</v>
      </c>
      <c r="D2176" s="4" t="s">
        <v>7</v>
      </c>
      <c r="E2176" s="4" t="s">
        <v>13</v>
      </c>
      <c r="F2176" s="4" t="s">
        <v>11</v>
      </c>
    </row>
    <row r="2177" spans="1:9">
      <c r="A2177" t="n">
        <v>18824</v>
      </c>
      <c r="B2177" s="51" t="n">
        <v>45</v>
      </c>
      <c r="C2177" s="7" t="n">
        <v>11</v>
      </c>
      <c r="D2177" s="7" t="n">
        <v>3</v>
      </c>
      <c r="E2177" s="7" t="n">
        <v>34</v>
      </c>
      <c r="F2177" s="7" t="n">
        <v>0</v>
      </c>
    </row>
    <row r="2178" spans="1:9">
      <c r="A2178" t="s">
        <v>4</v>
      </c>
      <c r="B2178" s="4" t="s">
        <v>5</v>
      </c>
      <c r="C2178" s="4" t="s">
        <v>7</v>
      </c>
      <c r="D2178" s="4" t="s">
        <v>7</v>
      </c>
      <c r="E2178" s="4" t="s">
        <v>13</v>
      </c>
      <c r="F2178" s="4" t="s">
        <v>11</v>
      </c>
    </row>
    <row r="2179" spans="1:9">
      <c r="A2179" t="n">
        <v>18833</v>
      </c>
      <c r="B2179" s="51" t="n">
        <v>45</v>
      </c>
      <c r="C2179" s="7" t="n">
        <v>5</v>
      </c>
      <c r="D2179" s="7" t="n">
        <v>3</v>
      </c>
      <c r="E2179" s="7" t="n">
        <v>3.59999990463257</v>
      </c>
      <c r="F2179" s="7" t="n">
        <v>2500</v>
      </c>
    </row>
    <row r="2180" spans="1:9">
      <c r="A2180" t="s">
        <v>4</v>
      </c>
      <c r="B2180" s="4" t="s">
        <v>5</v>
      </c>
      <c r="C2180" s="4" t="s">
        <v>7</v>
      </c>
      <c r="D2180" s="4" t="s">
        <v>11</v>
      </c>
    </row>
    <row r="2181" spans="1:9">
      <c r="A2181" t="n">
        <v>18842</v>
      </c>
      <c r="B2181" s="51" t="n">
        <v>45</v>
      </c>
      <c r="C2181" s="7" t="n">
        <v>7</v>
      </c>
      <c r="D2181" s="7" t="n">
        <v>255</v>
      </c>
    </row>
    <row r="2182" spans="1:9">
      <c r="A2182" t="s">
        <v>4</v>
      </c>
      <c r="B2182" s="4" t="s">
        <v>5</v>
      </c>
      <c r="C2182" s="4" t="s">
        <v>7</v>
      </c>
      <c r="D2182" s="4" t="s">
        <v>11</v>
      </c>
      <c r="E2182" s="4" t="s">
        <v>13</v>
      </c>
    </row>
    <row r="2183" spans="1:9">
      <c r="A2183" t="n">
        <v>18846</v>
      </c>
      <c r="B2183" s="23" t="n">
        <v>58</v>
      </c>
      <c r="C2183" s="7" t="n">
        <v>101</v>
      </c>
      <c r="D2183" s="7" t="n">
        <v>500</v>
      </c>
      <c r="E2183" s="7" t="n">
        <v>1</v>
      </c>
    </row>
    <row r="2184" spans="1:9">
      <c r="A2184" t="s">
        <v>4</v>
      </c>
      <c r="B2184" s="4" t="s">
        <v>5</v>
      </c>
      <c r="C2184" s="4" t="s">
        <v>7</v>
      </c>
      <c r="D2184" s="4" t="s">
        <v>11</v>
      </c>
    </row>
    <row r="2185" spans="1:9">
      <c r="A2185" t="n">
        <v>18854</v>
      </c>
      <c r="B2185" s="23" t="n">
        <v>58</v>
      </c>
      <c r="C2185" s="7" t="n">
        <v>254</v>
      </c>
      <c r="D2185" s="7" t="n">
        <v>0</v>
      </c>
    </row>
    <row r="2186" spans="1:9">
      <c r="A2186" t="s">
        <v>4</v>
      </c>
      <c r="B2186" s="4" t="s">
        <v>5</v>
      </c>
      <c r="C2186" s="4" t="s">
        <v>7</v>
      </c>
      <c r="D2186" s="4" t="s">
        <v>7</v>
      </c>
      <c r="E2186" s="4" t="s">
        <v>13</v>
      </c>
      <c r="F2186" s="4" t="s">
        <v>13</v>
      </c>
      <c r="G2186" s="4" t="s">
        <v>13</v>
      </c>
      <c r="H2186" s="4" t="s">
        <v>11</v>
      </c>
    </row>
    <row r="2187" spans="1:9">
      <c r="A2187" t="n">
        <v>18858</v>
      </c>
      <c r="B2187" s="51" t="n">
        <v>45</v>
      </c>
      <c r="C2187" s="7" t="n">
        <v>2</v>
      </c>
      <c r="D2187" s="7" t="n">
        <v>3</v>
      </c>
      <c r="E2187" s="7" t="n">
        <v>-1.71000003814697</v>
      </c>
      <c r="F2187" s="7" t="n">
        <v>11.0500001907349</v>
      </c>
      <c r="G2187" s="7" t="n">
        <v>29.8999996185303</v>
      </c>
      <c r="H2187" s="7" t="n">
        <v>0</v>
      </c>
    </row>
    <row r="2188" spans="1:9">
      <c r="A2188" t="s">
        <v>4</v>
      </c>
      <c r="B2188" s="4" t="s">
        <v>5</v>
      </c>
      <c r="C2188" s="4" t="s">
        <v>7</v>
      </c>
      <c r="D2188" s="4" t="s">
        <v>7</v>
      </c>
      <c r="E2188" s="4" t="s">
        <v>13</v>
      </c>
      <c r="F2188" s="4" t="s">
        <v>13</v>
      </c>
      <c r="G2188" s="4" t="s">
        <v>13</v>
      </c>
      <c r="H2188" s="4" t="s">
        <v>11</v>
      </c>
      <c r="I2188" s="4" t="s">
        <v>7</v>
      </c>
    </row>
    <row r="2189" spans="1:9">
      <c r="A2189" t="n">
        <v>18875</v>
      </c>
      <c r="B2189" s="51" t="n">
        <v>45</v>
      </c>
      <c r="C2189" s="7" t="n">
        <v>4</v>
      </c>
      <c r="D2189" s="7" t="n">
        <v>3</v>
      </c>
      <c r="E2189" s="7" t="n">
        <v>11.5600004196167</v>
      </c>
      <c r="F2189" s="7" t="n">
        <v>26.8199996948242</v>
      </c>
      <c r="G2189" s="7" t="n">
        <v>0</v>
      </c>
      <c r="H2189" s="7" t="n">
        <v>0</v>
      </c>
      <c r="I2189" s="7" t="n">
        <v>0</v>
      </c>
    </row>
    <row r="2190" spans="1:9">
      <c r="A2190" t="s">
        <v>4</v>
      </c>
      <c r="B2190" s="4" t="s">
        <v>5</v>
      </c>
      <c r="C2190" s="4" t="s">
        <v>7</v>
      </c>
      <c r="D2190" s="4" t="s">
        <v>7</v>
      </c>
      <c r="E2190" s="4" t="s">
        <v>13</v>
      </c>
      <c r="F2190" s="4" t="s">
        <v>11</v>
      </c>
    </row>
    <row r="2191" spans="1:9">
      <c r="A2191" t="n">
        <v>18893</v>
      </c>
      <c r="B2191" s="51" t="n">
        <v>45</v>
      </c>
      <c r="C2191" s="7" t="n">
        <v>5</v>
      </c>
      <c r="D2191" s="7" t="n">
        <v>3</v>
      </c>
      <c r="E2191" s="7" t="n">
        <v>3.59999990463257</v>
      </c>
      <c r="F2191" s="7" t="n">
        <v>0</v>
      </c>
    </row>
    <row r="2192" spans="1:9">
      <c r="A2192" t="s">
        <v>4</v>
      </c>
      <c r="B2192" s="4" t="s">
        <v>5</v>
      </c>
      <c r="C2192" s="4" t="s">
        <v>7</v>
      </c>
      <c r="D2192" s="4" t="s">
        <v>7</v>
      </c>
      <c r="E2192" s="4" t="s">
        <v>13</v>
      </c>
      <c r="F2192" s="4" t="s">
        <v>11</v>
      </c>
    </row>
    <row r="2193" spans="1:9">
      <c r="A2193" t="n">
        <v>18902</v>
      </c>
      <c r="B2193" s="51" t="n">
        <v>45</v>
      </c>
      <c r="C2193" s="7" t="n">
        <v>11</v>
      </c>
      <c r="D2193" s="7" t="n">
        <v>3</v>
      </c>
      <c r="E2193" s="7" t="n">
        <v>34</v>
      </c>
      <c r="F2193" s="7" t="n">
        <v>0</v>
      </c>
    </row>
    <row r="2194" spans="1:9">
      <c r="A2194" t="s">
        <v>4</v>
      </c>
      <c r="B2194" s="4" t="s">
        <v>5</v>
      </c>
      <c r="C2194" s="4" t="s">
        <v>7</v>
      </c>
      <c r="D2194" s="4" t="s">
        <v>7</v>
      </c>
      <c r="E2194" s="4" t="s">
        <v>13</v>
      </c>
      <c r="F2194" s="4" t="s">
        <v>13</v>
      </c>
      <c r="G2194" s="4" t="s">
        <v>13</v>
      </c>
      <c r="H2194" s="4" t="s">
        <v>11</v>
      </c>
      <c r="I2194" s="4" t="s">
        <v>7</v>
      </c>
    </row>
    <row r="2195" spans="1:9">
      <c r="A2195" t="n">
        <v>18911</v>
      </c>
      <c r="B2195" s="51" t="n">
        <v>45</v>
      </c>
      <c r="C2195" s="7" t="n">
        <v>4</v>
      </c>
      <c r="D2195" s="7" t="n">
        <v>3</v>
      </c>
      <c r="E2195" s="7" t="n">
        <v>11.5600004196167</v>
      </c>
      <c r="F2195" s="7" t="n">
        <v>40.1199989318848</v>
      </c>
      <c r="G2195" s="7" t="n">
        <v>0</v>
      </c>
      <c r="H2195" s="7" t="n">
        <v>2500</v>
      </c>
      <c r="I2195" s="7" t="n">
        <v>0</v>
      </c>
    </row>
    <row r="2196" spans="1:9">
      <c r="A2196" t="s">
        <v>4</v>
      </c>
      <c r="B2196" s="4" t="s">
        <v>5</v>
      </c>
      <c r="C2196" s="4" t="s">
        <v>7</v>
      </c>
      <c r="D2196" s="4" t="s">
        <v>11</v>
      </c>
    </row>
    <row r="2197" spans="1:9">
      <c r="A2197" t="n">
        <v>18929</v>
      </c>
      <c r="B2197" s="51" t="n">
        <v>45</v>
      </c>
      <c r="C2197" s="7" t="n">
        <v>7</v>
      </c>
      <c r="D2197" s="7" t="n">
        <v>255</v>
      </c>
    </row>
    <row r="2198" spans="1:9">
      <c r="A2198" t="s">
        <v>4</v>
      </c>
      <c r="B2198" s="4" t="s">
        <v>5</v>
      </c>
      <c r="C2198" s="4" t="s">
        <v>7</v>
      </c>
      <c r="D2198" s="4" t="s">
        <v>11</v>
      </c>
      <c r="E2198" s="4" t="s">
        <v>13</v>
      </c>
    </row>
    <row r="2199" spans="1:9">
      <c r="A2199" t="n">
        <v>18933</v>
      </c>
      <c r="B2199" s="23" t="n">
        <v>58</v>
      </c>
      <c r="C2199" s="7" t="n">
        <v>101</v>
      </c>
      <c r="D2199" s="7" t="n">
        <v>500</v>
      </c>
      <c r="E2199" s="7" t="n">
        <v>1</v>
      </c>
    </row>
    <row r="2200" spans="1:9">
      <c r="A2200" t="s">
        <v>4</v>
      </c>
      <c r="B2200" s="4" t="s">
        <v>5</v>
      </c>
      <c r="C2200" s="4" t="s">
        <v>7</v>
      </c>
      <c r="D2200" s="4" t="s">
        <v>11</v>
      </c>
    </row>
    <row r="2201" spans="1:9">
      <c r="A2201" t="n">
        <v>18941</v>
      </c>
      <c r="B2201" s="23" t="n">
        <v>58</v>
      </c>
      <c r="C2201" s="7" t="n">
        <v>254</v>
      </c>
      <c r="D2201" s="7" t="n">
        <v>0</v>
      </c>
    </row>
    <row r="2202" spans="1:9">
      <c r="A2202" t="s">
        <v>4</v>
      </c>
      <c r="B2202" s="4" t="s">
        <v>5</v>
      </c>
      <c r="C2202" s="4" t="s">
        <v>7</v>
      </c>
      <c r="D2202" s="4" t="s">
        <v>7</v>
      </c>
      <c r="E2202" s="4" t="s">
        <v>13</v>
      </c>
      <c r="F2202" s="4" t="s">
        <v>13</v>
      </c>
      <c r="G2202" s="4" t="s">
        <v>13</v>
      </c>
      <c r="H2202" s="4" t="s">
        <v>11</v>
      </c>
    </row>
    <row r="2203" spans="1:9">
      <c r="A2203" t="n">
        <v>18945</v>
      </c>
      <c r="B2203" s="51" t="n">
        <v>45</v>
      </c>
      <c r="C2203" s="7" t="n">
        <v>2</v>
      </c>
      <c r="D2203" s="7" t="n">
        <v>3</v>
      </c>
      <c r="E2203" s="7" t="n">
        <v>-2.95000004768372</v>
      </c>
      <c r="F2203" s="7" t="n">
        <v>10.4899997711182</v>
      </c>
      <c r="G2203" s="7" t="n">
        <v>34.1599998474121</v>
      </c>
      <c r="H2203" s="7" t="n">
        <v>0</v>
      </c>
    </row>
    <row r="2204" spans="1:9">
      <c r="A2204" t="s">
        <v>4</v>
      </c>
      <c r="B2204" s="4" t="s">
        <v>5</v>
      </c>
      <c r="C2204" s="4" t="s">
        <v>7</v>
      </c>
      <c r="D2204" s="4" t="s">
        <v>7</v>
      </c>
      <c r="E2204" s="4" t="s">
        <v>13</v>
      </c>
      <c r="F2204" s="4" t="s">
        <v>13</v>
      </c>
      <c r="G2204" s="4" t="s">
        <v>13</v>
      </c>
      <c r="H2204" s="4" t="s">
        <v>11</v>
      </c>
      <c r="I2204" s="4" t="s">
        <v>7</v>
      </c>
    </row>
    <row r="2205" spans="1:9">
      <c r="A2205" t="n">
        <v>18962</v>
      </c>
      <c r="B2205" s="51" t="n">
        <v>45</v>
      </c>
      <c r="C2205" s="7" t="n">
        <v>4</v>
      </c>
      <c r="D2205" s="7" t="n">
        <v>3</v>
      </c>
      <c r="E2205" s="7" t="n">
        <v>22.3099994659424</v>
      </c>
      <c r="F2205" s="7" t="n">
        <v>124.379997253418</v>
      </c>
      <c r="G2205" s="7" t="n">
        <v>0</v>
      </c>
      <c r="H2205" s="7" t="n">
        <v>0</v>
      </c>
      <c r="I2205" s="7" t="n">
        <v>0</v>
      </c>
    </row>
    <row r="2206" spans="1:9">
      <c r="A2206" t="s">
        <v>4</v>
      </c>
      <c r="B2206" s="4" t="s">
        <v>5</v>
      </c>
      <c r="C2206" s="4" t="s">
        <v>7</v>
      </c>
      <c r="D2206" s="4" t="s">
        <v>7</v>
      </c>
      <c r="E2206" s="4" t="s">
        <v>13</v>
      </c>
      <c r="F2206" s="4" t="s">
        <v>11</v>
      </c>
    </row>
    <row r="2207" spans="1:9">
      <c r="A2207" t="n">
        <v>18980</v>
      </c>
      <c r="B2207" s="51" t="n">
        <v>45</v>
      </c>
      <c r="C2207" s="7" t="n">
        <v>5</v>
      </c>
      <c r="D2207" s="7" t="n">
        <v>3</v>
      </c>
      <c r="E2207" s="7" t="n">
        <v>3.5</v>
      </c>
      <c r="F2207" s="7" t="n">
        <v>0</v>
      </c>
    </row>
    <row r="2208" spans="1:9">
      <c r="A2208" t="s">
        <v>4</v>
      </c>
      <c r="B2208" s="4" t="s">
        <v>5</v>
      </c>
      <c r="C2208" s="4" t="s">
        <v>7</v>
      </c>
      <c r="D2208" s="4" t="s">
        <v>7</v>
      </c>
      <c r="E2208" s="4" t="s">
        <v>13</v>
      </c>
      <c r="F2208" s="4" t="s">
        <v>11</v>
      </c>
    </row>
    <row r="2209" spans="1:9">
      <c r="A2209" t="n">
        <v>18989</v>
      </c>
      <c r="B2209" s="51" t="n">
        <v>45</v>
      </c>
      <c r="C2209" s="7" t="n">
        <v>11</v>
      </c>
      <c r="D2209" s="7" t="n">
        <v>3</v>
      </c>
      <c r="E2209" s="7" t="n">
        <v>34</v>
      </c>
      <c r="F2209" s="7" t="n">
        <v>0</v>
      </c>
    </row>
    <row r="2210" spans="1:9">
      <c r="A2210" t="s">
        <v>4</v>
      </c>
      <c r="B2210" s="4" t="s">
        <v>5</v>
      </c>
      <c r="C2210" s="4" t="s">
        <v>7</v>
      </c>
      <c r="D2210" s="4" t="s">
        <v>7</v>
      </c>
      <c r="E2210" s="4" t="s">
        <v>13</v>
      </c>
      <c r="F2210" s="4" t="s">
        <v>11</v>
      </c>
    </row>
    <row r="2211" spans="1:9">
      <c r="A2211" t="n">
        <v>18998</v>
      </c>
      <c r="B2211" s="51" t="n">
        <v>45</v>
      </c>
      <c r="C2211" s="7" t="n">
        <v>5</v>
      </c>
      <c r="D2211" s="7" t="n">
        <v>3</v>
      </c>
      <c r="E2211" s="7" t="n">
        <v>3.29999995231628</v>
      </c>
      <c r="F2211" s="7" t="n">
        <v>2500</v>
      </c>
    </row>
    <row r="2212" spans="1:9">
      <c r="A2212" t="s">
        <v>4</v>
      </c>
      <c r="B2212" s="4" t="s">
        <v>5</v>
      </c>
      <c r="C2212" s="4" t="s">
        <v>7</v>
      </c>
      <c r="D2212" s="4" t="s">
        <v>11</v>
      </c>
    </row>
    <row r="2213" spans="1:9">
      <c r="A2213" t="n">
        <v>19007</v>
      </c>
      <c r="B2213" s="51" t="n">
        <v>45</v>
      </c>
      <c r="C2213" s="7" t="n">
        <v>7</v>
      </c>
      <c r="D2213" s="7" t="n">
        <v>255</v>
      </c>
    </row>
    <row r="2214" spans="1:9">
      <c r="A2214" t="s">
        <v>4</v>
      </c>
      <c r="B2214" s="4" t="s">
        <v>5</v>
      </c>
      <c r="C2214" s="4" t="s">
        <v>7</v>
      </c>
      <c r="D2214" s="4" t="s">
        <v>11</v>
      </c>
      <c r="E2214" s="4" t="s">
        <v>13</v>
      </c>
    </row>
    <row r="2215" spans="1:9">
      <c r="A2215" t="n">
        <v>19011</v>
      </c>
      <c r="B2215" s="23" t="n">
        <v>58</v>
      </c>
      <c r="C2215" s="7" t="n">
        <v>101</v>
      </c>
      <c r="D2215" s="7" t="n">
        <v>500</v>
      </c>
      <c r="E2215" s="7" t="n">
        <v>1</v>
      </c>
    </row>
    <row r="2216" spans="1:9">
      <c r="A2216" t="s">
        <v>4</v>
      </c>
      <c r="B2216" s="4" t="s">
        <v>5</v>
      </c>
      <c r="C2216" s="4" t="s">
        <v>7</v>
      </c>
      <c r="D2216" s="4" t="s">
        <v>11</v>
      </c>
    </row>
    <row r="2217" spans="1:9">
      <c r="A2217" t="n">
        <v>19019</v>
      </c>
      <c r="B2217" s="23" t="n">
        <v>58</v>
      </c>
      <c r="C2217" s="7" t="n">
        <v>254</v>
      </c>
      <c r="D2217" s="7" t="n">
        <v>0</v>
      </c>
    </row>
    <row r="2218" spans="1:9">
      <c r="A2218" t="s">
        <v>4</v>
      </c>
      <c r="B2218" s="4" t="s">
        <v>5</v>
      </c>
      <c r="C2218" s="4" t="s">
        <v>11</v>
      </c>
      <c r="D2218" s="4" t="s">
        <v>15</v>
      </c>
    </row>
    <row r="2219" spans="1:9">
      <c r="A2219" t="n">
        <v>19023</v>
      </c>
      <c r="B2219" s="63" t="n">
        <v>44</v>
      </c>
      <c r="C2219" s="7" t="n">
        <v>61456</v>
      </c>
      <c r="D2219" s="7" t="n">
        <v>128</v>
      </c>
    </row>
    <row r="2220" spans="1:9">
      <c r="A2220" t="s">
        <v>4</v>
      </c>
      <c r="B2220" s="4" t="s">
        <v>5</v>
      </c>
      <c r="C2220" s="4" t="s">
        <v>7</v>
      </c>
      <c r="D2220" s="4" t="s">
        <v>7</v>
      </c>
      <c r="E2220" s="4" t="s">
        <v>13</v>
      </c>
      <c r="F2220" s="4" t="s">
        <v>13</v>
      </c>
      <c r="G2220" s="4" t="s">
        <v>13</v>
      </c>
      <c r="H2220" s="4" t="s">
        <v>11</v>
      </c>
    </row>
    <row r="2221" spans="1:9">
      <c r="A2221" t="n">
        <v>19030</v>
      </c>
      <c r="B2221" s="51" t="n">
        <v>45</v>
      </c>
      <c r="C2221" s="7" t="n">
        <v>2</v>
      </c>
      <c r="D2221" s="7" t="n">
        <v>3</v>
      </c>
      <c r="E2221" s="7" t="n">
        <v>-3.21000003814697</v>
      </c>
      <c r="F2221" s="7" t="n">
        <v>11.3900003433228</v>
      </c>
      <c r="G2221" s="7" t="n">
        <v>31.9400005340576</v>
      </c>
      <c r="H2221" s="7" t="n">
        <v>0</v>
      </c>
    </row>
    <row r="2222" spans="1:9">
      <c r="A2222" t="s">
        <v>4</v>
      </c>
      <c r="B2222" s="4" t="s">
        <v>5</v>
      </c>
      <c r="C2222" s="4" t="s">
        <v>7</v>
      </c>
      <c r="D2222" s="4" t="s">
        <v>7</v>
      </c>
      <c r="E2222" s="4" t="s">
        <v>13</v>
      </c>
      <c r="F2222" s="4" t="s">
        <v>13</v>
      </c>
      <c r="G2222" s="4" t="s">
        <v>13</v>
      </c>
      <c r="H2222" s="4" t="s">
        <v>11</v>
      </c>
      <c r="I2222" s="4" t="s">
        <v>7</v>
      </c>
    </row>
    <row r="2223" spans="1:9">
      <c r="A2223" t="n">
        <v>19047</v>
      </c>
      <c r="B2223" s="51" t="n">
        <v>45</v>
      </c>
      <c r="C2223" s="7" t="n">
        <v>4</v>
      </c>
      <c r="D2223" s="7" t="n">
        <v>3</v>
      </c>
      <c r="E2223" s="7" t="n">
        <v>6.63000011444092</v>
      </c>
      <c r="F2223" s="7" t="n">
        <v>46.3400001525879</v>
      </c>
      <c r="G2223" s="7" t="n">
        <v>0</v>
      </c>
      <c r="H2223" s="7" t="n">
        <v>0</v>
      </c>
      <c r="I2223" s="7" t="n">
        <v>0</v>
      </c>
    </row>
    <row r="2224" spans="1:9">
      <c r="A2224" t="s">
        <v>4</v>
      </c>
      <c r="B2224" s="4" t="s">
        <v>5</v>
      </c>
      <c r="C2224" s="4" t="s">
        <v>7</v>
      </c>
      <c r="D2224" s="4" t="s">
        <v>7</v>
      </c>
      <c r="E2224" s="4" t="s">
        <v>13</v>
      </c>
      <c r="F2224" s="4" t="s">
        <v>11</v>
      </c>
    </row>
    <row r="2225" spans="1:9">
      <c r="A2225" t="n">
        <v>19065</v>
      </c>
      <c r="B2225" s="51" t="n">
        <v>45</v>
      </c>
      <c r="C2225" s="7" t="n">
        <v>5</v>
      </c>
      <c r="D2225" s="7" t="n">
        <v>3</v>
      </c>
      <c r="E2225" s="7" t="n">
        <v>3.40000009536743</v>
      </c>
      <c r="F2225" s="7" t="n">
        <v>0</v>
      </c>
    </row>
    <row r="2226" spans="1:9">
      <c r="A2226" t="s">
        <v>4</v>
      </c>
      <c r="B2226" s="4" t="s">
        <v>5</v>
      </c>
      <c r="C2226" s="4" t="s">
        <v>7</v>
      </c>
      <c r="D2226" s="4" t="s">
        <v>7</v>
      </c>
      <c r="E2226" s="4" t="s">
        <v>13</v>
      </c>
      <c r="F2226" s="4" t="s">
        <v>11</v>
      </c>
    </row>
    <row r="2227" spans="1:9">
      <c r="A2227" t="n">
        <v>19074</v>
      </c>
      <c r="B2227" s="51" t="n">
        <v>45</v>
      </c>
      <c r="C2227" s="7" t="n">
        <v>11</v>
      </c>
      <c r="D2227" s="7" t="n">
        <v>3</v>
      </c>
      <c r="E2227" s="7" t="n">
        <v>34</v>
      </c>
      <c r="F2227" s="7" t="n">
        <v>0</v>
      </c>
    </row>
    <row r="2228" spans="1:9">
      <c r="A2228" t="s">
        <v>4</v>
      </c>
      <c r="B2228" s="4" t="s">
        <v>5</v>
      </c>
      <c r="C2228" s="4" t="s">
        <v>11</v>
      </c>
    </row>
    <row r="2229" spans="1:9">
      <c r="A2229" t="n">
        <v>19083</v>
      </c>
      <c r="B2229" s="29" t="n">
        <v>16</v>
      </c>
      <c r="C2229" s="7" t="n">
        <v>1000</v>
      </c>
    </row>
    <row r="2230" spans="1:9">
      <c r="A2230" t="s">
        <v>4</v>
      </c>
      <c r="B2230" s="4" t="s">
        <v>5</v>
      </c>
      <c r="C2230" s="4" t="s">
        <v>7</v>
      </c>
      <c r="D2230" s="4" t="s">
        <v>11</v>
      </c>
    </row>
    <row r="2231" spans="1:9">
      <c r="A2231" t="n">
        <v>19086</v>
      </c>
      <c r="B2231" s="23" t="n">
        <v>58</v>
      </c>
      <c r="C2231" s="7" t="n">
        <v>255</v>
      </c>
      <c r="D2231" s="7" t="n">
        <v>0</v>
      </c>
    </row>
    <row r="2232" spans="1:9">
      <c r="A2232" t="s">
        <v>4</v>
      </c>
      <c r="B2232" s="4" t="s">
        <v>5</v>
      </c>
      <c r="C2232" s="4" t="s">
        <v>7</v>
      </c>
      <c r="D2232" s="4" t="s">
        <v>11</v>
      </c>
    </row>
    <row r="2233" spans="1:9">
      <c r="A2233" t="n">
        <v>19090</v>
      </c>
      <c r="B2233" s="51" t="n">
        <v>45</v>
      </c>
      <c r="C2233" s="7" t="n">
        <v>7</v>
      </c>
      <c r="D2233" s="7" t="n">
        <v>255</v>
      </c>
    </row>
    <row r="2234" spans="1:9">
      <c r="A2234" t="s">
        <v>4</v>
      </c>
      <c r="B2234" s="4" t="s">
        <v>5</v>
      </c>
      <c r="C2234" s="4" t="s">
        <v>7</v>
      </c>
      <c r="D2234" s="4" t="s">
        <v>11</v>
      </c>
      <c r="E2234" s="4" t="s">
        <v>8</v>
      </c>
      <c r="F2234" s="4" t="s">
        <v>8</v>
      </c>
      <c r="G2234" s="4" t="s">
        <v>8</v>
      </c>
      <c r="H2234" s="4" t="s">
        <v>8</v>
      </c>
    </row>
    <row r="2235" spans="1:9">
      <c r="A2235" t="n">
        <v>19094</v>
      </c>
      <c r="B2235" s="38" t="n">
        <v>51</v>
      </c>
      <c r="C2235" s="7" t="n">
        <v>3</v>
      </c>
      <c r="D2235" s="7" t="n">
        <v>0</v>
      </c>
      <c r="E2235" s="7" t="s">
        <v>99</v>
      </c>
      <c r="F2235" s="7" t="s">
        <v>218</v>
      </c>
      <c r="G2235" s="7" t="s">
        <v>78</v>
      </c>
      <c r="H2235" s="7" t="s">
        <v>79</v>
      </c>
    </row>
    <row r="2236" spans="1:9">
      <c r="A2236" t="s">
        <v>4</v>
      </c>
      <c r="B2236" s="4" t="s">
        <v>5</v>
      </c>
      <c r="C2236" s="4" t="s">
        <v>11</v>
      </c>
      <c r="D2236" s="4" t="s">
        <v>7</v>
      </c>
      <c r="E2236" s="4" t="s">
        <v>13</v>
      </c>
      <c r="F2236" s="4" t="s">
        <v>11</v>
      </c>
    </row>
    <row r="2237" spans="1:9">
      <c r="A2237" t="n">
        <v>19107</v>
      </c>
      <c r="B2237" s="56" t="n">
        <v>59</v>
      </c>
      <c r="C2237" s="7" t="n">
        <v>0</v>
      </c>
      <c r="D2237" s="7" t="n">
        <v>6</v>
      </c>
      <c r="E2237" s="7" t="n">
        <v>0</v>
      </c>
      <c r="F2237" s="7" t="n">
        <v>0</v>
      </c>
    </row>
    <row r="2238" spans="1:9">
      <c r="A2238" t="s">
        <v>4</v>
      </c>
      <c r="B2238" s="4" t="s">
        <v>5</v>
      </c>
      <c r="C2238" s="4" t="s">
        <v>11</v>
      </c>
    </row>
    <row r="2239" spans="1:9">
      <c r="A2239" t="n">
        <v>19117</v>
      </c>
      <c r="B2239" s="29" t="n">
        <v>16</v>
      </c>
      <c r="C2239" s="7" t="n">
        <v>1300</v>
      </c>
    </row>
    <row r="2240" spans="1:9">
      <c r="A2240" t="s">
        <v>4</v>
      </c>
      <c r="B2240" s="4" t="s">
        <v>5</v>
      </c>
      <c r="C2240" s="4" t="s">
        <v>7</v>
      </c>
      <c r="D2240" s="4" t="s">
        <v>11</v>
      </c>
      <c r="E2240" s="4" t="s">
        <v>8</v>
      </c>
    </row>
    <row r="2241" spans="1:8">
      <c r="A2241" t="n">
        <v>19120</v>
      </c>
      <c r="B2241" s="38" t="n">
        <v>51</v>
      </c>
      <c r="C2241" s="7" t="n">
        <v>4</v>
      </c>
      <c r="D2241" s="7" t="n">
        <v>0</v>
      </c>
      <c r="E2241" s="7" t="s">
        <v>219</v>
      </c>
    </row>
    <row r="2242" spans="1:8">
      <c r="A2242" t="s">
        <v>4</v>
      </c>
      <c r="B2242" s="4" t="s">
        <v>5</v>
      </c>
      <c r="C2242" s="4" t="s">
        <v>11</v>
      </c>
    </row>
    <row r="2243" spans="1:8">
      <c r="A2243" t="n">
        <v>19133</v>
      </c>
      <c r="B2243" s="29" t="n">
        <v>16</v>
      </c>
      <c r="C2243" s="7" t="n">
        <v>0</v>
      </c>
    </row>
    <row r="2244" spans="1:8">
      <c r="A2244" t="s">
        <v>4</v>
      </c>
      <c r="B2244" s="4" t="s">
        <v>5</v>
      </c>
      <c r="C2244" s="4" t="s">
        <v>11</v>
      </c>
      <c r="D2244" s="4" t="s">
        <v>55</v>
      </c>
      <c r="E2244" s="4" t="s">
        <v>7</v>
      </c>
      <c r="F2244" s="4" t="s">
        <v>7</v>
      </c>
      <c r="G2244" s="4" t="s">
        <v>55</v>
      </c>
      <c r="H2244" s="4" t="s">
        <v>7</v>
      </c>
      <c r="I2244" s="4" t="s">
        <v>7</v>
      </c>
      <c r="J2244" s="4" t="s">
        <v>55</v>
      </c>
      <c r="K2244" s="4" t="s">
        <v>7</v>
      </c>
      <c r="L2244" s="4" t="s">
        <v>7</v>
      </c>
    </row>
    <row r="2245" spans="1:8">
      <c r="A2245" t="n">
        <v>19136</v>
      </c>
      <c r="B2245" s="55" t="n">
        <v>26</v>
      </c>
      <c r="C2245" s="7" t="n">
        <v>0</v>
      </c>
      <c r="D2245" s="7" t="s">
        <v>220</v>
      </c>
      <c r="E2245" s="7" t="n">
        <v>2</v>
      </c>
      <c r="F2245" s="7" t="n">
        <v>3</v>
      </c>
      <c r="G2245" s="7" t="s">
        <v>221</v>
      </c>
      <c r="H2245" s="7" t="n">
        <v>2</v>
      </c>
      <c r="I2245" s="7" t="n">
        <v>3</v>
      </c>
      <c r="J2245" s="7" t="s">
        <v>222</v>
      </c>
      <c r="K2245" s="7" t="n">
        <v>2</v>
      </c>
      <c r="L2245" s="7" t="n">
        <v>0</v>
      </c>
    </row>
    <row r="2246" spans="1:8">
      <c r="A2246" t="s">
        <v>4</v>
      </c>
      <c r="B2246" s="4" t="s">
        <v>5</v>
      </c>
    </row>
    <row r="2247" spans="1:8">
      <c r="A2247" t="n">
        <v>19414</v>
      </c>
      <c r="B2247" s="27" t="n">
        <v>28</v>
      </c>
    </row>
    <row r="2248" spans="1:8">
      <c r="A2248" t="s">
        <v>4</v>
      </c>
      <c r="B2248" s="4" t="s">
        <v>5</v>
      </c>
      <c r="C2248" s="4" t="s">
        <v>11</v>
      </c>
      <c r="D2248" s="4" t="s">
        <v>7</v>
      </c>
    </row>
    <row r="2249" spans="1:8">
      <c r="A2249" t="n">
        <v>19415</v>
      </c>
      <c r="B2249" s="68" t="n">
        <v>89</v>
      </c>
      <c r="C2249" s="7" t="n">
        <v>65533</v>
      </c>
      <c r="D2249" s="7" t="n">
        <v>1</v>
      </c>
    </row>
    <row r="2250" spans="1:8">
      <c r="A2250" t="s">
        <v>4</v>
      </c>
      <c r="B2250" s="4" t="s">
        <v>5</v>
      </c>
      <c r="C2250" s="4" t="s">
        <v>11</v>
      </c>
      <c r="D2250" s="4" t="s">
        <v>7</v>
      </c>
      <c r="E2250" s="4" t="s">
        <v>7</v>
      </c>
      <c r="F2250" s="4" t="s">
        <v>8</v>
      </c>
    </row>
    <row r="2251" spans="1:8">
      <c r="A2251" t="n">
        <v>19419</v>
      </c>
      <c r="B2251" s="41" t="n">
        <v>47</v>
      </c>
      <c r="C2251" s="7" t="n">
        <v>0</v>
      </c>
      <c r="D2251" s="7" t="n">
        <v>0</v>
      </c>
      <c r="E2251" s="7" t="n">
        <v>0</v>
      </c>
      <c r="F2251" s="7" t="s">
        <v>89</v>
      </c>
    </row>
    <row r="2252" spans="1:8">
      <c r="A2252" t="s">
        <v>4</v>
      </c>
      <c r="B2252" s="4" t="s">
        <v>5</v>
      </c>
      <c r="C2252" s="4" t="s">
        <v>7</v>
      </c>
      <c r="D2252" s="4" t="s">
        <v>11</v>
      </c>
      <c r="E2252" s="4" t="s">
        <v>8</v>
      </c>
      <c r="F2252" s="4" t="s">
        <v>8</v>
      </c>
      <c r="G2252" s="4" t="s">
        <v>8</v>
      </c>
      <c r="H2252" s="4" t="s">
        <v>8</v>
      </c>
    </row>
    <row r="2253" spans="1:8">
      <c r="A2253" t="n">
        <v>19436</v>
      </c>
      <c r="B2253" s="38" t="n">
        <v>51</v>
      </c>
      <c r="C2253" s="7" t="n">
        <v>3</v>
      </c>
      <c r="D2253" s="7" t="n">
        <v>0</v>
      </c>
      <c r="E2253" s="7" t="s">
        <v>86</v>
      </c>
      <c r="F2253" s="7" t="s">
        <v>218</v>
      </c>
      <c r="G2253" s="7" t="s">
        <v>78</v>
      </c>
      <c r="H2253" s="7" t="s">
        <v>79</v>
      </c>
    </row>
    <row r="2254" spans="1:8">
      <c r="A2254" t="s">
        <v>4</v>
      </c>
      <c r="B2254" s="4" t="s">
        <v>5</v>
      </c>
      <c r="C2254" s="4" t="s">
        <v>11</v>
      </c>
    </row>
    <row r="2255" spans="1:8">
      <c r="A2255" t="n">
        <v>19449</v>
      </c>
      <c r="B2255" s="29" t="n">
        <v>16</v>
      </c>
      <c r="C2255" s="7" t="n">
        <v>500</v>
      </c>
    </row>
    <row r="2256" spans="1:8">
      <c r="A2256" t="s">
        <v>4</v>
      </c>
      <c r="B2256" s="4" t="s">
        <v>5</v>
      </c>
      <c r="C2256" s="4" t="s">
        <v>11</v>
      </c>
      <c r="D2256" s="4" t="s">
        <v>7</v>
      </c>
      <c r="E2256" s="4" t="s">
        <v>7</v>
      </c>
      <c r="F2256" s="4" t="s">
        <v>8</v>
      </c>
    </row>
    <row r="2257" spans="1:12">
      <c r="A2257" t="n">
        <v>19452</v>
      </c>
      <c r="B2257" s="50" t="n">
        <v>20</v>
      </c>
      <c r="C2257" s="7" t="n">
        <v>0</v>
      </c>
      <c r="D2257" s="7" t="n">
        <v>2</v>
      </c>
      <c r="E2257" s="7" t="n">
        <v>10</v>
      </c>
      <c r="F2257" s="7" t="s">
        <v>223</v>
      </c>
    </row>
    <row r="2258" spans="1:12">
      <c r="A2258" t="s">
        <v>4</v>
      </c>
      <c r="B2258" s="4" t="s">
        <v>5</v>
      </c>
      <c r="C2258" s="4" t="s">
        <v>7</v>
      </c>
      <c r="D2258" s="4" t="s">
        <v>11</v>
      </c>
      <c r="E2258" s="4" t="s">
        <v>8</v>
      </c>
    </row>
    <row r="2259" spans="1:12">
      <c r="A2259" t="n">
        <v>19473</v>
      </c>
      <c r="B2259" s="38" t="n">
        <v>51</v>
      </c>
      <c r="C2259" s="7" t="n">
        <v>4</v>
      </c>
      <c r="D2259" s="7" t="n">
        <v>0</v>
      </c>
      <c r="E2259" s="7" t="s">
        <v>224</v>
      </c>
    </row>
    <row r="2260" spans="1:12">
      <c r="A2260" t="s">
        <v>4</v>
      </c>
      <c r="B2260" s="4" t="s">
        <v>5</v>
      </c>
      <c r="C2260" s="4" t="s">
        <v>11</v>
      </c>
    </row>
    <row r="2261" spans="1:12">
      <c r="A2261" t="n">
        <v>19487</v>
      </c>
      <c r="B2261" s="29" t="n">
        <v>16</v>
      </c>
      <c r="C2261" s="7" t="n">
        <v>0</v>
      </c>
    </row>
    <row r="2262" spans="1:12">
      <c r="A2262" t="s">
        <v>4</v>
      </c>
      <c r="B2262" s="4" t="s">
        <v>5</v>
      </c>
      <c r="C2262" s="4" t="s">
        <v>11</v>
      </c>
      <c r="D2262" s="4" t="s">
        <v>55</v>
      </c>
      <c r="E2262" s="4" t="s">
        <v>7</v>
      </c>
      <c r="F2262" s="4" t="s">
        <v>7</v>
      </c>
      <c r="G2262" s="4" t="s">
        <v>55</v>
      </c>
      <c r="H2262" s="4" t="s">
        <v>7</v>
      </c>
      <c r="I2262" s="4" t="s">
        <v>7</v>
      </c>
    </row>
    <row r="2263" spans="1:12">
      <c r="A2263" t="n">
        <v>19490</v>
      </c>
      <c r="B2263" s="55" t="n">
        <v>26</v>
      </c>
      <c r="C2263" s="7" t="n">
        <v>0</v>
      </c>
      <c r="D2263" s="7" t="s">
        <v>225</v>
      </c>
      <c r="E2263" s="7" t="n">
        <v>2</v>
      </c>
      <c r="F2263" s="7" t="n">
        <v>3</v>
      </c>
      <c r="G2263" s="7" t="s">
        <v>226</v>
      </c>
      <c r="H2263" s="7" t="n">
        <v>2</v>
      </c>
      <c r="I2263" s="7" t="n">
        <v>0</v>
      </c>
    </row>
    <row r="2264" spans="1:12">
      <c r="A2264" t="s">
        <v>4</v>
      </c>
      <c r="B2264" s="4" t="s">
        <v>5</v>
      </c>
    </row>
    <row r="2265" spans="1:12">
      <c r="A2265" t="n">
        <v>19603</v>
      </c>
      <c r="B2265" s="27" t="n">
        <v>28</v>
      </c>
    </row>
    <row r="2266" spans="1:12">
      <c r="A2266" t="s">
        <v>4</v>
      </c>
      <c r="B2266" s="4" t="s">
        <v>5</v>
      </c>
      <c r="C2266" s="4" t="s">
        <v>11</v>
      </c>
      <c r="D2266" s="4" t="s">
        <v>7</v>
      </c>
    </row>
    <row r="2267" spans="1:12">
      <c r="A2267" t="n">
        <v>19604</v>
      </c>
      <c r="B2267" s="68" t="n">
        <v>89</v>
      </c>
      <c r="C2267" s="7" t="n">
        <v>65533</v>
      </c>
      <c r="D2267" s="7" t="n">
        <v>1</v>
      </c>
    </row>
    <row r="2268" spans="1:12">
      <c r="A2268" t="s">
        <v>4</v>
      </c>
      <c r="B2268" s="4" t="s">
        <v>5</v>
      </c>
      <c r="C2268" s="4" t="s">
        <v>7</v>
      </c>
      <c r="D2268" s="4" t="s">
        <v>11</v>
      </c>
      <c r="E2268" s="4" t="s">
        <v>13</v>
      </c>
    </row>
    <row r="2269" spans="1:12">
      <c r="A2269" t="n">
        <v>19608</v>
      </c>
      <c r="B2269" s="23" t="n">
        <v>58</v>
      </c>
      <c r="C2269" s="7" t="n">
        <v>0</v>
      </c>
      <c r="D2269" s="7" t="n">
        <v>1000</v>
      </c>
      <c r="E2269" s="7" t="n">
        <v>1</v>
      </c>
    </row>
    <row r="2270" spans="1:12">
      <c r="A2270" t="s">
        <v>4</v>
      </c>
      <c r="B2270" s="4" t="s">
        <v>5</v>
      </c>
      <c r="C2270" s="4" t="s">
        <v>7</v>
      </c>
      <c r="D2270" s="4" t="s">
        <v>11</v>
      </c>
    </row>
    <row r="2271" spans="1:12">
      <c r="A2271" t="n">
        <v>19616</v>
      </c>
      <c r="B2271" s="23" t="n">
        <v>58</v>
      </c>
      <c r="C2271" s="7" t="n">
        <v>255</v>
      </c>
      <c r="D2271" s="7" t="n">
        <v>0</v>
      </c>
    </row>
    <row r="2272" spans="1:12">
      <c r="A2272" t="s">
        <v>4</v>
      </c>
      <c r="B2272" s="4" t="s">
        <v>5</v>
      </c>
      <c r="C2272" s="4" t="s">
        <v>7</v>
      </c>
      <c r="D2272" s="4" t="s">
        <v>11</v>
      </c>
      <c r="E2272" s="4" t="s">
        <v>7</v>
      </c>
    </row>
    <row r="2273" spans="1:9">
      <c r="A2273" t="n">
        <v>19620</v>
      </c>
      <c r="B2273" s="40" t="n">
        <v>36</v>
      </c>
      <c r="C2273" s="7" t="n">
        <v>9</v>
      </c>
      <c r="D2273" s="7" t="n">
        <v>0</v>
      </c>
      <c r="E2273" s="7" t="n">
        <v>0</v>
      </c>
    </row>
    <row r="2274" spans="1:9">
      <c r="A2274" t="s">
        <v>4</v>
      </c>
      <c r="B2274" s="4" t="s">
        <v>5</v>
      </c>
      <c r="C2274" s="4" t="s">
        <v>11</v>
      </c>
    </row>
    <row r="2275" spans="1:9">
      <c r="A2275" t="n">
        <v>19625</v>
      </c>
      <c r="B2275" s="43" t="n">
        <v>12</v>
      </c>
      <c r="C2275" s="7" t="n">
        <v>10921</v>
      </c>
    </row>
    <row r="2276" spans="1:9">
      <c r="A2276" t="s">
        <v>4</v>
      </c>
      <c r="B2276" s="4" t="s">
        <v>5</v>
      </c>
      <c r="C2276" s="4" t="s">
        <v>11</v>
      </c>
      <c r="D2276" s="4" t="s">
        <v>13</v>
      </c>
      <c r="E2276" s="4" t="s">
        <v>13</v>
      </c>
      <c r="F2276" s="4" t="s">
        <v>13</v>
      </c>
      <c r="G2276" s="4" t="s">
        <v>13</v>
      </c>
    </row>
    <row r="2277" spans="1:9">
      <c r="A2277" t="n">
        <v>19628</v>
      </c>
      <c r="B2277" s="36" t="n">
        <v>46</v>
      </c>
      <c r="C2277" s="7" t="n">
        <v>61456</v>
      </c>
      <c r="D2277" s="7" t="n">
        <v>-3.11999988555908</v>
      </c>
      <c r="E2277" s="7" t="n">
        <v>10.0100002288818</v>
      </c>
      <c r="F2277" s="7" t="n">
        <v>32.0499992370605</v>
      </c>
      <c r="G2277" s="7" t="n">
        <v>90</v>
      </c>
    </row>
    <row r="2278" spans="1:9">
      <c r="A2278" t="s">
        <v>4</v>
      </c>
      <c r="B2278" s="4" t="s">
        <v>5</v>
      </c>
      <c r="C2278" s="4" t="s">
        <v>7</v>
      </c>
      <c r="D2278" s="4" t="s">
        <v>7</v>
      </c>
      <c r="E2278" s="4" t="s">
        <v>13</v>
      </c>
      <c r="F2278" s="4" t="s">
        <v>13</v>
      </c>
      <c r="G2278" s="4" t="s">
        <v>13</v>
      </c>
      <c r="H2278" s="4" t="s">
        <v>11</v>
      </c>
      <c r="I2278" s="4" t="s">
        <v>7</v>
      </c>
    </row>
    <row r="2279" spans="1:9">
      <c r="A2279" t="n">
        <v>19647</v>
      </c>
      <c r="B2279" s="51" t="n">
        <v>45</v>
      </c>
      <c r="C2279" s="7" t="n">
        <v>4</v>
      </c>
      <c r="D2279" s="7" t="n">
        <v>3</v>
      </c>
      <c r="E2279" s="7" t="n">
        <v>7</v>
      </c>
      <c r="F2279" s="7" t="n">
        <v>270</v>
      </c>
      <c r="G2279" s="7" t="n">
        <v>0</v>
      </c>
      <c r="H2279" s="7" t="n">
        <v>0</v>
      </c>
      <c r="I2279" s="7" t="n">
        <v>0</v>
      </c>
    </row>
    <row r="2280" spans="1:9">
      <c r="A2280" t="s">
        <v>4</v>
      </c>
      <c r="B2280" s="4" t="s">
        <v>5</v>
      </c>
      <c r="C2280" s="4" t="s">
        <v>7</v>
      </c>
      <c r="D2280" s="4" t="s">
        <v>8</v>
      </c>
    </row>
    <row r="2281" spans="1:9">
      <c r="A2281" t="n">
        <v>19665</v>
      </c>
      <c r="B2281" s="6" t="n">
        <v>2</v>
      </c>
      <c r="C2281" s="7" t="n">
        <v>10</v>
      </c>
      <c r="D2281" s="7" t="s">
        <v>119</v>
      </c>
    </row>
    <row r="2282" spans="1:9">
      <c r="A2282" t="s">
        <v>4</v>
      </c>
      <c r="B2282" s="4" t="s">
        <v>5</v>
      </c>
      <c r="C2282" s="4" t="s">
        <v>11</v>
      </c>
    </row>
    <row r="2283" spans="1:9">
      <c r="A2283" t="n">
        <v>19680</v>
      </c>
      <c r="B2283" s="29" t="n">
        <v>16</v>
      </c>
      <c r="C2283" s="7" t="n">
        <v>0</v>
      </c>
    </row>
    <row r="2284" spans="1:9">
      <c r="A2284" t="s">
        <v>4</v>
      </c>
      <c r="B2284" s="4" t="s">
        <v>5</v>
      </c>
      <c r="C2284" s="4" t="s">
        <v>7</v>
      </c>
      <c r="D2284" s="4" t="s">
        <v>11</v>
      </c>
    </row>
    <row r="2285" spans="1:9">
      <c r="A2285" t="n">
        <v>19683</v>
      </c>
      <c r="B2285" s="23" t="n">
        <v>58</v>
      </c>
      <c r="C2285" s="7" t="n">
        <v>105</v>
      </c>
      <c r="D2285" s="7" t="n">
        <v>300</v>
      </c>
    </row>
    <row r="2286" spans="1:9">
      <c r="A2286" t="s">
        <v>4</v>
      </c>
      <c r="B2286" s="4" t="s">
        <v>5</v>
      </c>
      <c r="C2286" s="4" t="s">
        <v>13</v>
      </c>
      <c r="D2286" s="4" t="s">
        <v>11</v>
      </c>
    </row>
    <row r="2287" spans="1:9">
      <c r="A2287" t="n">
        <v>19687</v>
      </c>
      <c r="B2287" s="46" t="n">
        <v>103</v>
      </c>
      <c r="C2287" s="7" t="n">
        <v>1</v>
      </c>
      <c r="D2287" s="7" t="n">
        <v>300</v>
      </c>
    </row>
    <row r="2288" spans="1:9">
      <c r="A2288" t="s">
        <v>4</v>
      </c>
      <c r="B2288" s="4" t="s">
        <v>5</v>
      </c>
      <c r="C2288" s="4" t="s">
        <v>7</v>
      </c>
      <c r="D2288" s="4" t="s">
        <v>11</v>
      </c>
    </row>
    <row r="2289" spans="1:9">
      <c r="A2289" t="n">
        <v>19694</v>
      </c>
      <c r="B2289" s="48" t="n">
        <v>72</v>
      </c>
      <c r="C2289" s="7" t="n">
        <v>4</v>
      </c>
      <c r="D2289" s="7" t="n">
        <v>0</v>
      </c>
    </row>
    <row r="2290" spans="1:9">
      <c r="A2290" t="s">
        <v>4</v>
      </c>
      <c r="B2290" s="4" t="s">
        <v>5</v>
      </c>
      <c r="C2290" s="4" t="s">
        <v>15</v>
      </c>
    </row>
    <row r="2291" spans="1:9">
      <c r="A2291" t="n">
        <v>19698</v>
      </c>
      <c r="B2291" s="61" t="n">
        <v>15</v>
      </c>
      <c r="C2291" s="7" t="n">
        <v>1073741824</v>
      </c>
    </row>
    <row r="2292" spans="1:9">
      <c r="A2292" t="s">
        <v>4</v>
      </c>
      <c r="B2292" s="4" t="s">
        <v>5</v>
      </c>
      <c r="C2292" s="4" t="s">
        <v>7</v>
      </c>
    </row>
    <row r="2293" spans="1:9">
      <c r="A2293" t="n">
        <v>19703</v>
      </c>
      <c r="B2293" s="47" t="n">
        <v>64</v>
      </c>
      <c r="C2293" s="7" t="n">
        <v>3</v>
      </c>
    </row>
    <row r="2294" spans="1:9">
      <c r="A2294" t="s">
        <v>4</v>
      </c>
      <c r="B2294" s="4" t="s">
        <v>5</v>
      </c>
      <c r="C2294" s="4" t="s">
        <v>7</v>
      </c>
    </row>
    <row r="2295" spans="1:9">
      <c r="A2295" t="n">
        <v>19705</v>
      </c>
      <c r="B2295" s="45" t="n">
        <v>74</v>
      </c>
      <c r="C2295" s="7" t="n">
        <v>67</v>
      </c>
    </row>
    <row r="2296" spans="1:9">
      <c r="A2296" t="s">
        <v>4</v>
      </c>
      <c r="B2296" s="4" t="s">
        <v>5</v>
      </c>
      <c r="C2296" s="4" t="s">
        <v>7</v>
      </c>
      <c r="D2296" s="4" t="s">
        <v>7</v>
      </c>
      <c r="E2296" s="4" t="s">
        <v>11</v>
      </c>
    </row>
    <row r="2297" spans="1:9">
      <c r="A2297" t="n">
        <v>19707</v>
      </c>
      <c r="B2297" s="51" t="n">
        <v>45</v>
      </c>
      <c r="C2297" s="7" t="n">
        <v>8</v>
      </c>
      <c r="D2297" s="7" t="n">
        <v>1</v>
      </c>
      <c r="E2297" s="7" t="n">
        <v>0</v>
      </c>
    </row>
    <row r="2298" spans="1:9">
      <c r="A2298" t="s">
        <v>4</v>
      </c>
      <c r="B2298" s="4" t="s">
        <v>5</v>
      </c>
      <c r="C2298" s="4" t="s">
        <v>11</v>
      </c>
    </row>
    <row r="2299" spans="1:9">
      <c r="A2299" t="n">
        <v>19712</v>
      </c>
      <c r="B2299" s="12" t="n">
        <v>13</v>
      </c>
      <c r="C2299" s="7" t="n">
        <v>6409</v>
      </c>
    </row>
    <row r="2300" spans="1:9">
      <c r="A2300" t="s">
        <v>4</v>
      </c>
      <c r="B2300" s="4" t="s">
        <v>5</v>
      </c>
      <c r="C2300" s="4" t="s">
        <v>11</v>
      </c>
    </row>
    <row r="2301" spans="1:9">
      <c r="A2301" t="n">
        <v>19715</v>
      </c>
      <c r="B2301" s="12" t="n">
        <v>13</v>
      </c>
      <c r="C2301" s="7" t="n">
        <v>6408</v>
      </c>
    </row>
    <row r="2302" spans="1:9">
      <c r="A2302" t="s">
        <v>4</v>
      </c>
      <c r="B2302" s="4" t="s">
        <v>5</v>
      </c>
      <c r="C2302" s="4" t="s">
        <v>11</v>
      </c>
    </row>
    <row r="2303" spans="1:9">
      <c r="A2303" t="n">
        <v>19718</v>
      </c>
      <c r="B2303" s="43" t="n">
        <v>12</v>
      </c>
      <c r="C2303" s="7" t="n">
        <v>6464</v>
      </c>
    </row>
    <row r="2304" spans="1:9">
      <c r="A2304" t="s">
        <v>4</v>
      </c>
      <c r="B2304" s="4" t="s">
        <v>5</v>
      </c>
      <c r="C2304" s="4" t="s">
        <v>11</v>
      </c>
    </row>
    <row r="2305" spans="1:5">
      <c r="A2305" t="n">
        <v>19721</v>
      </c>
      <c r="B2305" s="12" t="n">
        <v>13</v>
      </c>
      <c r="C2305" s="7" t="n">
        <v>6465</v>
      </c>
    </row>
    <row r="2306" spans="1:5">
      <c r="A2306" t="s">
        <v>4</v>
      </c>
      <c r="B2306" s="4" t="s">
        <v>5</v>
      </c>
      <c r="C2306" s="4" t="s">
        <v>11</v>
      </c>
    </row>
    <row r="2307" spans="1:5">
      <c r="A2307" t="n">
        <v>19724</v>
      </c>
      <c r="B2307" s="12" t="n">
        <v>13</v>
      </c>
      <c r="C2307" s="7" t="n">
        <v>6466</v>
      </c>
    </row>
    <row r="2308" spans="1:5">
      <c r="A2308" t="s">
        <v>4</v>
      </c>
      <c r="B2308" s="4" t="s">
        <v>5</v>
      </c>
      <c r="C2308" s="4" t="s">
        <v>11</v>
      </c>
    </row>
    <row r="2309" spans="1:5">
      <c r="A2309" t="n">
        <v>19727</v>
      </c>
      <c r="B2309" s="12" t="n">
        <v>13</v>
      </c>
      <c r="C2309" s="7" t="n">
        <v>6467</v>
      </c>
    </row>
    <row r="2310" spans="1:5">
      <c r="A2310" t="s">
        <v>4</v>
      </c>
      <c r="B2310" s="4" t="s">
        <v>5</v>
      </c>
      <c r="C2310" s="4" t="s">
        <v>11</v>
      </c>
    </row>
    <row r="2311" spans="1:5">
      <c r="A2311" t="n">
        <v>19730</v>
      </c>
      <c r="B2311" s="12" t="n">
        <v>13</v>
      </c>
      <c r="C2311" s="7" t="n">
        <v>6468</v>
      </c>
    </row>
    <row r="2312" spans="1:5">
      <c r="A2312" t="s">
        <v>4</v>
      </c>
      <c r="B2312" s="4" t="s">
        <v>5</v>
      </c>
      <c r="C2312" s="4" t="s">
        <v>11</v>
      </c>
    </row>
    <row r="2313" spans="1:5">
      <c r="A2313" t="n">
        <v>19733</v>
      </c>
      <c r="B2313" s="12" t="n">
        <v>13</v>
      </c>
      <c r="C2313" s="7" t="n">
        <v>6469</v>
      </c>
    </row>
    <row r="2314" spans="1:5">
      <c r="A2314" t="s">
        <v>4</v>
      </c>
      <c r="B2314" s="4" t="s">
        <v>5</v>
      </c>
      <c r="C2314" s="4" t="s">
        <v>11</v>
      </c>
    </row>
    <row r="2315" spans="1:5">
      <c r="A2315" t="n">
        <v>19736</v>
      </c>
      <c r="B2315" s="12" t="n">
        <v>13</v>
      </c>
      <c r="C2315" s="7" t="n">
        <v>6470</v>
      </c>
    </row>
    <row r="2316" spans="1:5">
      <c r="A2316" t="s">
        <v>4</v>
      </c>
      <c r="B2316" s="4" t="s">
        <v>5</v>
      </c>
      <c r="C2316" s="4" t="s">
        <v>11</v>
      </c>
    </row>
    <row r="2317" spans="1:5">
      <c r="A2317" t="n">
        <v>19739</v>
      </c>
      <c r="B2317" s="12" t="n">
        <v>13</v>
      </c>
      <c r="C2317" s="7" t="n">
        <v>6471</v>
      </c>
    </row>
    <row r="2318" spans="1:5">
      <c r="A2318" t="s">
        <v>4</v>
      </c>
      <c r="B2318" s="4" t="s">
        <v>5</v>
      </c>
      <c r="C2318" s="4" t="s">
        <v>7</v>
      </c>
    </row>
    <row r="2319" spans="1:5">
      <c r="A2319" t="n">
        <v>19742</v>
      </c>
      <c r="B2319" s="45" t="n">
        <v>74</v>
      </c>
      <c r="C2319" s="7" t="n">
        <v>18</v>
      </c>
    </row>
    <row r="2320" spans="1:5">
      <c r="A2320" t="s">
        <v>4</v>
      </c>
      <c r="B2320" s="4" t="s">
        <v>5</v>
      </c>
      <c r="C2320" s="4" t="s">
        <v>7</v>
      </c>
    </row>
    <row r="2321" spans="1:3">
      <c r="A2321" t="n">
        <v>19744</v>
      </c>
      <c r="B2321" s="45" t="n">
        <v>74</v>
      </c>
      <c r="C2321" s="7" t="n">
        <v>45</v>
      </c>
    </row>
    <row r="2322" spans="1:3">
      <c r="A2322" t="s">
        <v>4</v>
      </c>
      <c r="B2322" s="4" t="s">
        <v>5</v>
      </c>
      <c r="C2322" s="4" t="s">
        <v>11</v>
      </c>
    </row>
    <row r="2323" spans="1:3">
      <c r="A2323" t="n">
        <v>19746</v>
      </c>
      <c r="B2323" s="29" t="n">
        <v>16</v>
      </c>
      <c r="C2323" s="7" t="n">
        <v>0</v>
      </c>
    </row>
    <row r="2324" spans="1:3">
      <c r="A2324" t="s">
        <v>4</v>
      </c>
      <c r="B2324" s="4" t="s">
        <v>5</v>
      </c>
      <c r="C2324" s="4" t="s">
        <v>7</v>
      </c>
      <c r="D2324" s="4" t="s">
        <v>7</v>
      </c>
      <c r="E2324" s="4" t="s">
        <v>7</v>
      </c>
      <c r="F2324" s="4" t="s">
        <v>7</v>
      </c>
    </row>
    <row r="2325" spans="1:3">
      <c r="A2325" t="n">
        <v>19749</v>
      </c>
      <c r="B2325" s="9" t="n">
        <v>14</v>
      </c>
      <c r="C2325" s="7" t="n">
        <v>0</v>
      </c>
      <c r="D2325" s="7" t="n">
        <v>8</v>
      </c>
      <c r="E2325" s="7" t="n">
        <v>0</v>
      </c>
      <c r="F2325" s="7" t="n">
        <v>0</v>
      </c>
    </row>
    <row r="2326" spans="1:3">
      <c r="A2326" t="s">
        <v>4</v>
      </c>
      <c r="B2326" s="4" t="s">
        <v>5</v>
      </c>
      <c r="C2326" s="4" t="s">
        <v>7</v>
      </c>
      <c r="D2326" s="4" t="s">
        <v>8</v>
      </c>
    </row>
    <row r="2327" spans="1:3">
      <c r="A2327" t="n">
        <v>19754</v>
      </c>
      <c r="B2327" s="6" t="n">
        <v>2</v>
      </c>
      <c r="C2327" s="7" t="n">
        <v>11</v>
      </c>
      <c r="D2327" s="7" t="s">
        <v>14</v>
      </c>
    </row>
    <row r="2328" spans="1:3">
      <c r="A2328" t="s">
        <v>4</v>
      </c>
      <c r="B2328" s="4" t="s">
        <v>5</v>
      </c>
      <c r="C2328" s="4" t="s">
        <v>11</v>
      </c>
    </row>
    <row r="2329" spans="1:3">
      <c r="A2329" t="n">
        <v>19768</v>
      </c>
      <c r="B2329" s="29" t="n">
        <v>16</v>
      </c>
      <c r="C2329" s="7" t="n">
        <v>0</v>
      </c>
    </row>
    <row r="2330" spans="1:3">
      <c r="A2330" t="s">
        <v>4</v>
      </c>
      <c r="B2330" s="4" t="s">
        <v>5</v>
      </c>
      <c r="C2330" s="4" t="s">
        <v>7</v>
      </c>
      <c r="D2330" s="4" t="s">
        <v>8</v>
      </c>
    </row>
    <row r="2331" spans="1:3">
      <c r="A2331" t="n">
        <v>19771</v>
      </c>
      <c r="B2331" s="6" t="n">
        <v>2</v>
      </c>
      <c r="C2331" s="7" t="n">
        <v>11</v>
      </c>
      <c r="D2331" s="7" t="s">
        <v>120</v>
      </c>
    </row>
    <row r="2332" spans="1:3">
      <c r="A2332" t="s">
        <v>4</v>
      </c>
      <c r="B2332" s="4" t="s">
        <v>5</v>
      </c>
      <c r="C2332" s="4" t="s">
        <v>11</v>
      </c>
    </row>
    <row r="2333" spans="1:3">
      <c r="A2333" t="n">
        <v>19780</v>
      </c>
      <c r="B2333" s="29" t="n">
        <v>16</v>
      </c>
      <c r="C2333" s="7" t="n">
        <v>0</v>
      </c>
    </row>
    <row r="2334" spans="1:3">
      <c r="A2334" t="s">
        <v>4</v>
      </c>
      <c r="B2334" s="4" t="s">
        <v>5</v>
      </c>
      <c r="C2334" s="4" t="s">
        <v>15</v>
      </c>
    </row>
    <row r="2335" spans="1:3">
      <c r="A2335" t="n">
        <v>19783</v>
      </c>
      <c r="B2335" s="61" t="n">
        <v>15</v>
      </c>
      <c r="C2335" s="7" t="n">
        <v>2048</v>
      </c>
    </row>
    <row r="2336" spans="1:3">
      <c r="A2336" t="s">
        <v>4</v>
      </c>
      <c r="B2336" s="4" t="s">
        <v>5</v>
      </c>
      <c r="C2336" s="4" t="s">
        <v>7</v>
      </c>
      <c r="D2336" s="4" t="s">
        <v>8</v>
      </c>
    </row>
    <row r="2337" spans="1:6">
      <c r="A2337" t="n">
        <v>19788</v>
      </c>
      <c r="B2337" s="6" t="n">
        <v>2</v>
      </c>
      <c r="C2337" s="7" t="n">
        <v>10</v>
      </c>
      <c r="D2337" s="7" t="s">
        <v>52</v>
      </c>
    </row>
    <row r="2338" spans="1:6">
      <c r="A2338" t="s">
        <v>4</v>
      </c>
      <c r="B2338" s="4" t="s">
        <v>5</v>
      </c>
      <c r="C2338" s="4" t="s">
        <v>11</v>
      </c>
    </row>
    <row r="2339" spans="1:6">
      <c r="A2339" t="n">
        <v>19806</v>
      </c>
      <c r="B2339" s="29" t="n">
        <v>16</v>
      </c>
      <c r="C2339" s="7" t="n">
        <v>0</v>
      </c>
    </row>
    <row r="2340" spans="1:6">
      <c r="A2340" t="s">
        <v>4</v>
      </c>
      <c r="B2340" s="4" t="s">
        <v>5</v>
      </c>
      <c r="C2340" s="4" t="s">
        <v>7</v>
      </c>
      <c r="D2340" s="4" t="s">
        <v>8</v>
      </c>
    </row>
    <row r="2341" spans="1:6">
      <c r="A2341" t="n">
        <v>19809</v>
      </c>
      <c r="B2341" s="6" t="n">
        <v>2</v>
      </c>
      <c r="C2341" s="7" t="n">
        <v>10</v>
      </c>
      <c r="D2341" s="7" t="s">
        <v>53</v>
      </c>
    </row>
    <row r="2342" spans="1:6">
      <c r="A2342" t="s">
        <v>4</v>
      </c>
      <c r="B2342" s="4" t="s">
        <v>5</v>
      </c>
      <c r="C2342" s="4" t="s">
        <v>11</v>
      </c>
    </row>
    <row r="2343" spans="1:6">
      <c r="A2343" t="n">
        <v>19828</v>
      </c>
      <c r="B2343" s="29" t="n">
        <v>16</v>
      </c>
      <c r="C2343" s="7" t="n">
        <v>0</v>
      </c>
    </row>
    <row r="2344" spans="1:6">
      <c r="A2344" t="s">
        <v>4</v>
      </c>
      <c r="B2344" s="4" t="s">
        <v>5</v>
      </c>
      <c r="C2344" s="4" t="s">
        <v>7</v>
      </c>
      <c r="D2344" s="4" t="s">
        <v>11</v>
      </c>
      <c r="E2344" s="4" t="s">
        <v>13</v>
      </c>
    </row>
    <row r="2345" spans="1:6">
      <c r="A2345" t="n">
        <v>19831</v>
      </c>
      <c r="B2345" s="23" t="n">
        <v>58</v>
      </c>
      <c r="C2345" s="7" t="n">
        <v>100</v>
      </c>
      <c r="D2345" s="7" t="n">
        <v>300</v>
      </c>
      <c r="E2345" s="7" t="n">
        <v>1</v>
      </c>
    </row>
    <row r="2346" spans="1:6">
      <c r="A2346" t="s">
        <v>4</v>
      </c>
      <c r="B2346" s="4" t="s">
        <v>5</v>
      </c>
      <c r="C2346" s="4" t="s">
        <v>7</v>
      </c>
      <c r="D2346" s="4" t="s">
        <v>11</v>
      </c>
    </row>
    <row r="2347" spans="1:6">
      <c r="A2347" t="n">
        <v>19839</v>
      </c>
      <c r="B2347" s="23" t="n">
        <v>58</v>
      </c>
      <c r="C2347" s="7" t="n">
        <v>255</v>
      </c>
      <c r="D2347" s="7" t="n">
        <v>0</v>
      </c>
    </row>
    <row r="2348" spans="1:6">
      <c r="A2348" t="s">
        <v>4</v>
      </c>
      <c r="B2348" s="4" t="s">
        <v>5</v>
      </c>
      <c r="C2348" s="4" t="s">
        <v>7</v>
      </c>
    </row>
    <row r="2349" spans="1:6">
      <c r="A2349" t="n">
        <v>19843</v>
      </c>
      <c r="B2349" s="30" t="n">
        <v>23</v>
      </c>
      <c r="C2349" s="7" t="n">
        <v>0</v>
      </c>
    </row>
    <row r="2350" spans="1:6">
      <c r="A2350" t="s">
        <v>4</v>
      </c>
      <c r="B2350" s="4" t="s">
        <v>5</v>
      </c>
    </row>
    <row r="2351" spans="1:6">
      <c r="A2351" t="n">
        <v>19845</v>
      </c>
      <c r="B2351" s="5" t="n">
        <v>1</v>
      </c>
    </row>
    <row r="2352" spans="1:6" s="3" customFormat="1" customHeight="0">
      <c r="A2352" s="3" t="s">
        <v>2</v>
      </c>
      <c r="B2352" s="3" t="s">
        <v>227</v>
      </c>
    </row>
    <row r="2353" spans="1:5">
      <c r="A2353" t="s">
        <v>4</v>
      </c>
      <c r="B2353" s="4" t="s">
        <v>5</v>
      </c>
      <c r="C2353" s="4" t="s">
        <v>7</v>
      </c>
      <c r="D2353" s="4" t="s">
        <v>7</v>
      </c>
      <c r="E2353" s="4" t="s">
        <v>7</v>
      </c>
      <c r="F2353" s="4" t="s">
        <v>7</v>
      </c>
    </row>
    <row r="2354" spans="1:5">
      <c r="A2354" t="n">
        <v>19848</v>
      </c>
      <c r="B2354" s="9" t="n">
        <v>14</v>
      </c>
      <c r="C2354" s="7" t="n">
        <v>2</v>
      </c>
      <c r="D2354" s="7" t="n">
        <v>0</v>
      </c>
      <c r="E2354" s="7" t="n">
        <v>0</v>
      </c>
      <c r="F2354" s="7" t="n">
        <v>0</v>
      </c>
    </row>
    <row r="2355" spans="1:5">
      <c r="A2355" t="s">
        <v>4</v>
      </c>
      <c r="B2355" s="4" t="s">
        <v>5</v>
      </c>
      <c r="C2355" s="4" t="s">
        <v>7</v>
      </c>
      <c r="D2355" s="20" t="s">
        <v>35</v>
      </c>
      <c r="E2355" s="4" t="s">
        <v>5</v>
      </c>
      <c r="F2355" s="4" t="s">
        <v>7</v>
      </c>
      <c r="G2355" s="4" t="s">
        <v>11</v>
      </c>
      <c r="H2355" s="20" t="s">
        <v>36</v>
      </c>
      <c r="I2355" s="4" t="s">
        <v>7</v>
      </c>
      <c r="J2355" s="4" t="s">
        <v>15</v>
      </c>
      <c r="K2355" s="4" t="s">
        <v>7</v>
      </c>
      <c r="L2355" s="4" t="s">
        <v>7</v>
      </c>
      <c r="M2355" s="20" t="s">
        <v>35</v>
      </c>
      <c r="N2355" s="4" t="s">
        <v>5</v>
      </c>
      <c r="O2355" s="4" t="s">
        <v>7</v>
      </c>
      <c r="P2355" s="4" t="s">
        <v>11</v>
      </c>
      <c r="Q2355" s="20" t="s">
        <v>36</v>
      </c>
      <c r="R2355" s="4" t="s">
        <v>7</v>
      </c>
      <c r="S2355" s="4" t="s">
        <v>15</v>
      </c>
      <c r="T2355" s="4" t="s">
        <v>7</v>
      </c>
      <c r="U2355" s="4" t="s">
        <v>7</v>
      </c>
      <c r="V2355" s="4" t="s">
        <v>7</v>
      </c>
      <c r="W2355" s="4" t="s">
        <v>12</v>
      </c>
    </row>
    <row r="2356" spans="1:5">
      <c r="A2356" t="n">
        <v>19853</v>
      </c>
      <c r="B2356" s="10" t="n">
        <v>5</v>
      </c>
      <c r="C2356" s="7" t="n">
        <v>28</v>
      </c>
      <c r="D2356" s="20" t="s">
        <v>3</v>
      </c>
      <c r="E2356" s="8" t="n">
        <v>162</v>
      </c>
      <c r="F2356" s="7" t="n">
        <v>3</v>
      </c>
      <c r="G2356" s="7" t="n">
        <v>28816</v>
      </c>
      <c r="H2356" s="20" t="s">
        <v>3</v>
      </c>
      <c r="I2356" s="7" t="n">
        <v>0</v>
      </c>
      <c r="J2356" s="7" t="n">
        <v>1</v>
      </c>
      <c r="K2356" s="7" t="n">
        <v>2</v>
      </c>
      <c r="L2356" s="7" t="n">
        <v>28</v>
      </c>
      <c r="M2356" s="20" t="s">
        <v>3</v>
      </c>
      <c r="N2356" s="8" t="n">
        <v>162</v>
      </c>
      <c r="O2356" s="7" t="n">
        <v>3</v>
      </c>
      <c r="P2356" s="7" t="n">
        <v>28816</v>
      </c>
      <c r="Q2356" s="20" t="s">
        <v>3</v>
      </c>
      <c r="R2356" s="7" t="n">
        <v>0</v>
      </c>
      <c r="S2356" s="7" t="n">
        <v>2</v>
      </c>
      <c r="T2356" s="7" t="n">
        <v>2</v>
      </c>
      <c r="U2356" s="7" t="n">
        <v>11</v>
      </c>
      <c r="V2356" s="7" t="n">
        <v>1</v>
      </c>
      <c r="W2356" s="11" t="n">
        <f t="normal" ca="1">A2360</f>
        <v>0</v>
      </c>
    </row>
    <row r="2357" spans="1:5">
      <c r="A2357" t="s">
        <v>4</v>
      </c>
      <c r="B2357" s="4" t="s">
        <v>5</v>
      </c>
      <c r="C2357" s="4" t="s">
        <v>7</v>
      </c>
      <c r="D2357" s="4" t="s">
        <v>11</v>
      </c>
      <c r="E2357" s="4" t="s">
        <v>13</v>
      </c>
    </row>
    <row r="2358" spans="1:5">
      <c r="A2358" t="n">
        <v>19882</v>
      </c>
      <c r="B2358" s="23" t="n">
        <v>58</v>
      </c>
      <c r="C2358" s="7" t="n">
        <v>0</v>
      </c>
      <c r="D2358" s="7" t="n">
        <v>0</v>
      </c>
      <c r="E2358" s="7" t="n">
        <v>1</v>
      </c>
    </row>
    <row r="2359" spans="1:5">
      <c r="A2359" t="s">
        <v>4</v>
      </c>
      <c r="B2359" s="4" t="s">
        <v>5</v>
      </c>
      <c r="C2359" s="4" t="s">
        <v>7</v>
      </c>
      <c r="D2359" s="20" t="s">
        <v>35</v>
      </c>
      <c r="E2359" s="4" t="s">
        <v>5</v>
      </c>
      <c r="F2359" s="4" t="s">
        <v>7</v>
      </c>
      <c r="G2359" s="4" t="s">
        <v>11</v>
      </c>
      <c r="H2359" s="20" t="s">
        <v>36</v>
      </c>
      <c r="I2359" s="4" t="s">
        <v>7</v>
      </c>
      <c r="J2359" s="4" t="s">
        <v>15</v>
      </c>
      <c r="K2359" s="4" t="s">
        <v>7</v>
      </c>
      <c r="L2359" s="4" t="s">
        <v>7</v>
      </c>
      <c r="M2359" s="20" t="s">
        <v>35</v>
      </c>
      <c r="N2359" s="4" t="s">
        <v>5</v>
      </c>
      <c r="O2359" s="4" t="s">
        <v>7</v>
      </c>
      <c r="P2359" s="4" t="s">
        <v>11</v>
      </c>
      <c r="Q2359" s="20" t="s">
        <v>36</v>
      </c>
      <c r="R2359" s="4" t="s">
        <v>7</v>
      </c>
      <c r="S2359" s="4" t="s">
        <v>15</v>
      </c>
      <c r="T2359" s="4" t="s">
        <v>7</v>
      </c>
      <c r="U2359" s="4" t="s">
        <v>7</v>
      </c>
      <c r="V2359" s="4" t="s">
        <v>7</v>
      </c>
      <c r="W2359" s="4" t="s">
        <v>12</v>
      </c>
    </row>
    <row r="2360" spans="1:5">
      <c r="A2360" t="n">
        <v>19890</v>
      </c>
      <c r="B2360" s="10" t="n">
        <v>5</v>
      </c>
      <c r="C2360" s="7" t="n">
        <v>28</v>
      </c>
      <c r="D2360" s="20" t="s">
        <v>3</v>
      </c>
      <c r="E2360" s="8" t="n">
        <v>162</v>
      </c>
      <c r="F2360" s="7" t="n">
        <v>3</v>
      </c>
      <c r="G2360" s="7" t="n">
        <v>28816</v>
      </c>
      <c r="H2360" s="20" t="s">
        <v>3</v>
      </c>
      <c r="I2360" s="7" t="n">
        <v>0</v>
      </c>
      <c r="J2360" s="7" t="n">
        <v>1</v>
      </c>
      <c r="K2360" s="7" t="n">
        <v>3</v>
      </c>
      <c r="L2360" s="7" t="n">
        <v>28</v>
      </c>
      <c r="M2360" s="20" t="s">
        <v>3</v>
      </c>
      <c r="N2360" s="8" t="n">
        <v>162</v>
      </c>
      <c r="O2360" s="7" t="n">
        <v>3</v>
      </c>
      <c r="P2360" s="7" t="n">
        <v>28816</v>
      </c>
      <c r="Q2360" s="20" t="s">
        <v>3</v>
      </c>
      <c r="R2360" s="7" t="n">
        <v>0</v>
      </c>
      <c r="S2360" s="7" t="n">
        <v>2</v>
      </c>
      <c r="T2360" s="7" t="n">
        <v>3</v>
      </c>
      <c r="U2360" s="7" t="n">
        <v>9</v>
      </c>
      <c r="V2360" s="7" t="n">
        <v>1</v>
      </c>
      <c r="W2360" s="11" t="n">
        <f t="normal" ca="1">A2370</f>
        <v>0</v>
      </c>
    </row>
    <row r="2361" spans="1:5">
      <c r="A2361" t="s">
        <v>4</v>
      </c>
      <c r="B2361" s="4" t="s">
        <v>5</v>
      </c>
      <c r="C2361" s="4" t="s">
        <v>7</v>
      </c>
      <c r="D2361" s="20" t="s">
        <v>35</v>
      </c>
      <c r="E2361" s="4" t="s">
        <v>5</v>
      </c>
      <c r="F2361" s="4" t="s">
        <v>11</v>
      </c>
      <c r="G2361" s="4" t="s">
        <v>7</v>
      </c>
      <c r="H2361" s="4" t="s">
        <v>7</v>
      </c>
      <c r="I2361" s="4" t="s">
        <v>8</v>
      </c>
      <c r="J2361" s="20" t="s">
        <v>36</v>
      </c>
      <c r="K2361" s="4" t="s">
        <v>7</v>
      </c>
      <c r="L2361" s="4" t="s">
        <v>7</v>
      </c>
      <c r="M2361" s="20" t="s">
        <v>35</v>
      </c>
      <c r="N2361" s="4" t="s">
        <v>5</v>
      </c>
      <c r="O2361" s="4" t="s">
        <v>7</v>
      </c>
      <c r="P2361" s="20" t="s">
        <v>36</v>
      </c>
      <c r="Q2361" s="4" t="s">
        <v>7</v>
      </c>
      <c r="R2361" s="4" t="s">
        <v>15</v>
      </c>
      <c r="S2361" s="4" t="s">
        <v>7</v>
      </c>
      <c r="T2361" s="4" t="s">
        <v>7</v>
      </c>
      <c r="U2361" s="4" t="s">
        <v>7</v>
      </c>
      <c r="V2361" s="20" t="s">
        <v>35</v>
      </c>
      <c r="W2361" s="4" t="s">
        <v>5</v>
      </c>
      <c r="X2361" s="4" t="s">
        <v>7</v>
      </c>
      <c r="Y2361" s="20" t="s">
        <v>36</v>
      </c>
      <c r="Z2361" s="4" t="s">
        <v>7</v>
      </c>
      <c r="AA2361" s="4" t="s">
        <v>15</v>
      </c>
      <c r="AB2361" s="4" t="s">
        <v>7</v>
      </c>
      <c r="AC2361" s="4" t="s">
        <v>7</v>
      </c>
      <c r="AD2361" s="4" t="s">
        <v>7</v>
      </c>
      <c r="AE2361" s="4" t="s">
        <v>12</v>
      </c>
    </row>
    <row r="2362" spans="1:5">
      <c r="A2362" t="n">
        <v>19919</v>
      </c>
      <c r="B2362" s="10" t="n">
        <v>5</v>
      </c>
      <c r="C2362" s="7" t="n">
        <v>28</v>
      </c>
      <c r="D2362" s="20" t="s">
        <v>3</v>
      </c>
      <c r="E2362" s="41" t="n">
        <v>47</v>
      </c>
      <c r="F2362" s="7" t="n">
        <v>61456</v>
      </c>
      <c r="G2362" s="7" t="n">
        <v>2</v>
      </c>
      <c r="H2362" s="7" t="n">
        <v>0</v>
      </c>
      <c r="I2362" s="7" t="s">
        <v>105</v>
      </c>
      <c r="J2362" s="20" t="s">
        <v>3</v>
      </c>
      <c r="K2362" s="7" t="n">
        <v>8</v>
      </c>
      <c r="L2362" s="7" t="n">
        <v>28</v>
      </c>
      <c r="M2362" s="20" t="s">
        <v>3</v>
      </c>
      <c r="N2362" s="45" t="n">
        <v>74</v>
      </c>
      <c r="O2362" s="7" t="n">
        <v>65</v>
      </c>
      <c r="P2362" s="20" t="s">
        <v>3</v>
      </c>
      <c r="Q2362" s="7" t="n">
        <v>0</v>
      </c>
      <c r="R2362" s="7" t="n">
        <v>1</v>
      </c>
      <c r="S2362" s="7" t="n">
        <v>3</v>
      </c>
      <c r="T2362" s="7" t="n">
        <v>9</v>
      </c>
      <c r="U2362" s="7" t="n">
        <v>28</v>
      </c>
      <c r="V2362" s="20" t="s">
        <v>3</v>
      </c>
      <c r="W2362" s="45" t="n">
        <v>74</v>
      </c>
      <c r="X2362" s="7" t="n">
        <v>65</v>
      </c>
      <c r="Y2362" s="20" t="s">
        <v>3</v>
      </c>
      <c r="Z2362" s="7" t="n">
        <v>0</v>
      </c>
      <c r="AA2362" s="7" t="n">
        <v>2</v>
      </c>
      <c r="AB2362" s="7" t="n">
        <v>3</v>
      </c>
      <c r="AC2362" s="7" t="n">
        <v>9</v>
      </c>
      <c r="AD2362" s="7" t="n">
        <v>1</v>
      </c>
      <c r="AE2362" s="11" t="n">
        <f t="normal" ca="1">A2366</f>
        <v>0</v>
      </c>
    </row>
    <row r="2363" spans="1:5">
      <c r="A2363" t="s">
        <v>4</v>
      </c>
      <c r="B2363" s="4" t="s">
        <v>5</v>
      </c>
      <c r="C2363" s="4" t="s">
        <v>11</v>
      </c>
      <c r="D2363" s="4" t="s">
        <v>7</v>
      </c>
      <c r="E2363" s="4" t="s">
        <v>7</v>
      </c>
      <c r="F2363" s="4" t="s">
        <v>8</v>
      </c>
    </row>
    <row r="2364" spans="1:5">
      <c r="A2364" t="n">
        <v>19967</v>
      </c>
      <c r="B2364" s="41" t="n">
        <v>47</v>
      </c>
      <c r="C2364" s="7" t="n">
        <v>61456</v>
      </c>
      <c r="D2364" s="7" t="n">
        <v>0</v>
      </c>
      <c r="E2364" s="7" t="n">
        <v>0</v>
      </c>
      <c r="F2364" s="7" t="s">
        <v>106</v>
      </c>
    </row>
    <row r="2365" spans="1:5">
      <c r="A2365" t="s">
        <v>4</v>
      </c>
      <c r="B2365" s="4" t="s">
        <v>5</v>
      </c>
      <c r="C2365" s="4" t="s">
        <v>7</v>
      </c>
      <c r="D2365" s="4" t="s">
        <v>11</v>
      </c>
      <c r="E2365" s="4" t="s">
        <v>13</v>
      </c>
    </row>
    <row r="2366" spans="1:5">
      <c r="A2366" t="n">
        <v>19980</v>
      </c>
      <c r="B2366" s="23" t="n">
        <v>58</v>
      </c>
      <c r="C2366" s="7" t="n">
        <v>0</v>
      </c>
      <c r="D2366" s="7" t="n">
        <v>300</v>
      </c>
      <c r="E2366" s="7" t="n">
        <v>1</v>
      </c>
    </row>
    <row r="2367" spans="1:5">
      <c r="A2367" t="s">
        <v>4</v>
      </c>
      <c r="B2367" s="4" t="s">
        <v>5</v>
      </c>
      <c r="C2367" s="4" t="s">
        <v>7</v>
      </c>
      <c r="D2367" s="4" t="s">
        <v>11</v>
      </c>
    </row>
    <row r="2368" spans="1:5">
      <c r="A2368" t="n">
        <v>19988</v>
      </c>
      <c r="B2368" s="23" t="n">
        <v>58</v>
      </c>
      <c r="C2368" s="7" t="n">
        <v>255</v>
      </c>
      <c r="D2368" s="7" t="n">
        <v>0</v>
      </c>
    </row>
    <row r="2369" spans="1:31">
      <c r="A2369" t="s">
        <v>4</v>
      </c>
      <c r="B2369" s="4" t="s">
        <v>5</v>
      </c>
      <c r="C2369" s="4" t="s">
        <v>7</v>
      </c>
      <c r="D2369" s="4" t="s">
        <v>7</v>
      </c>
      <c r="E2369" s="4" t="s">
        <v>7</v>
      </c>
      <c r="F2369" s="4" t="s">
        <v>7</v>
      </c>
    </row>
    <row r="2370" spans="1:31">
      <c r="A2370" t="n">
        <v>19992</v>
      </c>
      <c r="B2370" s="9" t="n">
        <v>14</v>
      </c>
      <c r="C2370" s="7" t="n">
        <v>0</v>
      </c>
      <c r="D2370" s="7" t="n">
        <v>0</v>
      </c>
      <c r="E2370" s="7" t="n">
        <v>0</v>
      </c>
      <c r="F2370" s="7" t="n">
        <v>64</v>
      </c>
    </row>
    <row r="2371" spans="1:31">
      <c r="A2371" t="s">
        <v>4</v>
      </c>
      <c r="B2371" s="4" t="s">
        <v>5</v>
      </c>
      <c r="C2371" s="4" t="s">
        <v>7</v>
      </c>
      <c r="D2371" s="4" t="s">
        <v>11</v>
      </c>
    </row>
    <row r="2372" spans="1:31">
      <c r="A2372" t="n">
        <v>19997</v>
      </c>
      <c r="B2372" s="22" t="n">
        <v>22</v>
      </c>
      <c r="C2372" s="7" t="n">
        <v>0</v>
      </c>
      <c r="D2372" s="7" t="n">
        <v>28816</v>
      </c>
    </row>
    <row r="2373" spans="1:31">
      <c r="A2373" t="s">
        <v>4</v>
      </c>
      <c r="B2373" s="4" t="s">
        <v>5</v>
      </c>
      <c r="C2373" s="4" t="s">
        <v>7</v>
      </c>
      <c r="D2373" s="4" t="s">
        <v>11</v>
      </c>
    </row>
    <row r="2374" spans="1:31">
      <c r="A2374" t="n">
        <v>20001</v>
      </c>
      <c r="B2374" s="23" t="n">
        <v>58</v>
      </c>
      <c r="C2374" s="7" t="n">
        <v>5</v>
      </c>
      <c r="D2374" s="7" t="n">
        <v>300</v>
      </c>
    </row>
    <row r="2375" spans="1:31">
      <c r="A2375" t="s">
        <v>4</v>
      </c>
      <c r="B2375" s="4" t="s">
        <v>5</v>
      </c>
      <c r="C2375" s="4" t="s">
        <v>13</v>
      </c>
      <c r="D2375" s="4" t="s">
        <v>11</v>
      </c>
    </row>
    <row r="2376" spans="1:31">
      <c r="A2376" t="n">
        <v>20005</v>
      </c>
      <c r="B2376" s="46" t="n">
        <v>103</v>
      </c>
      <c r="C2376" s="7" t="n">
        <v>0</v>
      </c>
      <c r="D2376" s="7" t="n">
        <v>300</v>
      </c>
    </row>
    <row r="2377" spans="1:31">
      <c r="A2377" t="s">
        <v>4</v>
      </c>
      <c r="B2377" s="4" t="s">
        <v>5</v>
      </c>
      <c r="C2377" s="4" t="s">
        <v>7</v>
      </c>
    </row>
    <row r="2378" spans="1:31">
      <c r="A2378" t="n">
        <v>20012</v>
      </c>
      <c r="B2378" s="47" t="n">
        <v>64</v>
      </c>
      <c r="C2378" s="7" t="n">
        <v>7</v>
      </c>
    </row>
    <row r="2379" spans="1:31">
      <c r="A2379" t="s">
        <v>4</v>
      </c>
      <c r="B2379" s="4" t="s">
        <v>5</v>
      </c>
      <c r="C2379" s="4" t="s">
        <v>7</v>
      </c>
      <c r="D2379" s="4" t="s">
        <v>11</v>
      </c>
    </row>
    <row r="2380" spans="1:31">
      <c r="A2380" t="n">
        <v>20014</v>
      </c>
      <c r="B2380" s="48" t="n">
        <v>72</v>
      </c>
      <c r="C2380" s="7" t="n">
        <v>5</v>
      </c>
      <c r="D2380" s="7" t="n">
        <v>0</v>
      </c>
    </row>
    <row r="2381" spans="1:31">
      <c r="A2381" t="s">
        <v>4</v>
      </c>
      <c r="B2381" s="4" t="s">
        <v>5</v>
      </c>
      <c r="C2381" s="4" t="s">
        <v>7</v>
      </c>
      <c r="D2381" s="20" t="s">
        <v>35</v>
      </c>
      <c r="E2381" s="4" t="s">
        <v>5</v>
      </c>
      <c r="F2381" s="4" t="s">
        <v>7</v>
      </c>
      <c r="G2381" s="4" t="s">
        <v>11</v>
      </c>
      <c r="H2381" s="20" t="s">
        <v>36</v>
      </c>
      <c r="I2381" s="4" t="s">
        <v>7</v>
      </c>
      <c r="J2381" s="4" t="s">
        <v>15</v>
      </c>
      <c r="K2381" s="4" t="s">
        <v>7</v>
      </c>
      <c r="L2381" s="4" t="s">
        <v>7</v>
      </c>
      <c r="M2381" s="4" t="s">
        <v>12</v>
      </c>
    </row>
    <row r="2382" spans="1:31">
      <c r="A2382" t="n">
        <v>20018</v>
      </c>
      <c r="B2382" s="10" t="n">
        <v>5</v>
      </c>
      <c r="C2382" s="7" t="n">
        <v>28</v>
      </c>
      <c r="D2382" s="20" t="s">
        <v>3</v>
      </c>
      <c r="E2382" s="8" t="n">
        <v>162</v>
      </c>
      <c r="F2382" s="7" t="n">
        <v>4</v>
      </c>
      <c r="G2382" s="7" t="n">
        <v>28816</v>
      </c>
      <c r="H2382" s="20" t="s">
        <v>3</v>
      </c>
      <c r="I2382" s="7" t="n">
        <v>0</v>
      </c>
      <c r="J2382" s="7" t="n">
        <v>1</v>
      </c>
      <c r="K2382" s="7" t="n">
        <v>2</v>
      </c>
      <c r="L2382" s="7" t="n">
        <v>1</v>
      </c>
      <c r="M2382" s="11" t="n">
        <f t="normal" ca="1">A2388</f>
        <v>0</v>
      </c>
    </row>
    <row r="2383" spans="1:31">
      <c r="A2383" t="s">
        <v>4</v>
      </c>
      <c r="B2383" s="4" t="s">
        <v>5</v>
      </c>
      <c r="C2383" s="4" t="s">
        <v>7</v>
      </c>
      <c r="D2383" s="4" t="s">
        <v>8</v>
      </c>
    </row>
    <row r="2384" spans="1:31">
      <c r="A2384" t="n">
        <v>20035</v>
      </c>
      <c r="B2384" s="6" t="n">
        <v>2</v>
      </c>
      <c r="C2384" s="7" t="n">
        <v>10</v>
      </c>
      <c r="D2384" s="7" t="s">
        <v>107</v>
      </c>
    </row>
    <row r="2385" spans="1:13">
      <c r="A2385" t="s">
        <v>4</v>
      </c>
      <c r="B2385" s="4" t="s">
        <v>5</v>
      </c>
      <c r="C2385" s="4" t="s">
        <v>11</v>
      </c>
    </row>
    <row r="2386" spans="1:13">
      <c r="A2386" t="n">
        <v>20052</v>
      </c>
      <c r="B2386" s="29" t="n">
        <v>16</v>
      </c>
      <c r="C2386" s="7" t="n">
        <v>0</v>
      </c>
    </row>
    <row r="2387" spans="1:13">
      <c r="A2387" t="s">
        <v>4</v>
      </c>
      <c r="B2387" s="4" t="s">
        <v>5</v>
      </c>
      <c r="C2387" s="4" t="s">
        <v>11</v>
      </c>
      <c r="D2387" s="4" t="s">
        <v>15</v>
      </c>
    </row>
    <row r="2388" spans="1:13">
      <c r="A2388" t="n">
        <v>20055</v>
      </c>
      <c r="B2388" s="39" t="n">
        <v>43</v>
      </c>
      <c r="C2388" s="7" t="n">
        <v>61456</v>
      </c>
      <c r="D2388" s="7" t="n">
        <v>1</v>
      </c>
    </row>
    <row r="2389" spans="1:13">
      <c r="A2389" t="s">
        <v>4</v>
      </c>
      <c r="B2389" s="4" t="s">
        <v>5</v>
      </c>
      <c r="C2389" s="4" t="s">
        <v>11</v>
      </c>
      <c r="D2389" s="4" t="s">
        <v>8</v>
      </c>
      <c r="E2389" s="4" t="s">
        <v>8</v>
      </c>
      <c r="F2389" s="4" t="s">
        <v>8</v>
      </c>
      <c r="G2389" s="4" t="s">
        <v>7</v>
      </c>
      <c r="H2389" s="4" t="s">
        <v>15</v>
      </c>
      <c r="I2389" s="4" t="s">
        <v>13</v>
      </c>
      <c r="J2389" s="4" t="s">
        <v>13</v>
      </c>
      <c r="K2389" s="4" t="s">
        <v>13</v>
      </c>
      <c r="L2389" s="4" t="s">
        <v>13</v>
      </c>
      <c r="M2389" s="4" t="s">
        <v>13</v>
      </c>
      <c r="N2389" s="4" t="s">
        <v>13</v>
      </c>
      <c r="O2389" s="4" t="s">
        <v>13</v>
      </c>
      <c r="P2389" s="4" t="s">
        <v>8</v>
      </c>
      <c r="Q2389" s="4" t="s">
        <v>8</v>
      </c>
      <c r="R2389" s="4" t="s">
        <v>15</v>
      </c>
      <c r="S2389" s="4" t="s">
        <v>7</v>
      </c>
      <c r="T2389" s="4" t="s">
        <v>15</v>
      </c>
      <c r="U2389" s="4" t="s">
        <v>15</v>
      </c>
      <c r="V2389" s="4" t="s">
        <v>11</v>
      </c>
    </row>
    <row r="2390" spans="1:13">
      <c r="A2390" t="n">
        <v>20062</v>
      </c>
      <c r="B2390" s="62" t="n">
        <v>19</v>
      </c>
      <c r="C2390" s="7" t="n">
        <v>11</v>
      </c>
      <c r="D2390" s="7" t="s">
        <v>228</v>
      </c>
      <c r="E2390" s="7" t="s">
        <v>229</v>
      </c>
      <c r="F2390" s="7" t="s">
        <v>16</v>
      </c>
      <c r="G2390" s="7" t="n">
        <v>0</v>
      </c>
      <c r="H2390" s="7" t="n">
        <v>1</v>
      </c>
      <c r="I2390" s="7" t="n">
        <v>0</v>
      </c>
      <c r="J2390" s="7" t="n">
        <v>0</v>
      </c>
      <c r="K2390" s="7" t="n">
        <v>0</v>
      </c>
      <c r="L2390" s="7" t="n">
        <v>0</v>
      </c>
      <c r="M2390" s="7" t="n">
        <v>1</v>
      </c>
      <c r="N2390" s="7" t="n">
        <v>1.60000002384186</v>
      </c>
      <c r="O2390" s="7" t="n">
        <v>0.0900000035762787</v>
      </c>
      <c r="P2390" s="7" t="s">
        <v>16</v>
      </c>
      <c r="Q2390" s="7" t="s">
        <v>16</v>
      </c>
      <c r="R2390" s="7" t="n">
        <v>-1</v>
      </c>
      <c r="S2390" s="7" t="n">
        <v>0</v>
      </c>
      <c r="T2390" s="7" t="n">
        <v>0</v>
      </c>
      <c r="U2390" s="7" t="n">
        <v>0</v>
      </c>
      <c r="V2390" s="7" t="n">
        <v>0</v>
      </c>
    </row>
    <row r="2391" spans="1:13">
      <c r="A2391" t="s">
        <v>4</v>
      </c>
      <c r="B2391" s="4" t="s">
        <v>5</v>
      </c>
      <c r="C2391" s="4" t="s">
        <v>11</v>
      </c>
      <c r="D2391" s="4" t="s">
        <v>7</v>
      </c>
      <c r="E2391" s="4" t="s">
        <v>7</v>
      </c>
      <c r="F2391" s="4" t="s">
        <v>8</v>
      </c>
    </row>
    <row r="2392" spans="1:13">
      <c r="A2392" t="n">
        <v>20141</v>
      </c>
      <c r="B2392" s="50" t="n">
        <v>20</v>
      </c>
      <c r="C2392" s="7" t="n">
        <v>0</v>
      </c>
      <c r="D2392" s="7" t="n">
        <v>3</v>
      </c>
      <c r="E2392" s="7" t="n">
        <v>10</v>
      </c>
      <c r="F2392" s="7" t="s">
        <v>108</v>
      </c>
    </row>
    <row r="2393" spans="1:13">
      <c r="A2393" t="s">
        <v>4</v>
      </c>
      <c r="B2393" s="4" t="s">
        <v>5</v>
      </c>
      <c r="C2393" s="4" t="s">
        <v>11</v>
      </c>
    </row>
    <row r="2394" spans="1:13">
      <c r="A2394" t="n">
        <v>20159</v>
      </c>
      <c r="B2394" s="29" t="n">
        <v>16</v>
      </c>
      <c r="C2394" s="7" t="n">
        <v>0</v>
      </c>
    </row>
    <row r="2395" spans="1:13">
      <c r="A2395" t="s">
        <v>4</v>
      </c>
      <c r="B2395" s="4" t="s">
        <v>5</v>
      </c>
      <c r="C2395" s="4" t="s">
        <v>11</v>
      </c>
      <c r="D2395" s="4" t="s">
        <v>7</v>
      </c>
      <c r="E2395" s="4" t="s">
        <v>7</v>
      </c>
      <c r="F2395" s="4" t="s">
        <v>8</v>
      </c>
    </row>
    <row r="2396" spans="1:13">
      <c r="A2396" t="n">
        <v>20162</v>
      </c>
      <c r="B2396" s="50" t="n">
        <v>20</v>
      </c>
      <c r="C2396" s="7" t="n">
        <v>11</v>
      </c>
      <c r="D2396" s="7" t="n">
        <v>3</v>
      </c>
      <c r="E2396" s="7" t="n">
        <v>10</v>
      </c>
      <c r="F2396" s="7" t="s">
        <v>108</v>
      </c>
    </row>
    <row r="2397" spans="1:13">
      <c r="A2397" t="s">
        <v>4</v>
      </c>
      <c r="B2397" s="4" t="s">
        <v>5</v>
      </c>
      <c r="C2397" s="4" t="s">
        <v>11</v>
      </c>
    </row>
    <row r="2398" spans="1:13">
      <c r="A2398" t="n">
        <v>20180</v>
      </c>
      <c r="B2398" s="29" t="n">
        <v>16</v>
      </c>
      <c r="C2398" s="7" t="n">
        <v>0</v>
      </c>
    </row>
    <row r="2399" spans="1:13">
      <c r="A2399" t="s">
        <v>4</v>
      </c>
      <c r="B2399" s="4" t="s">
        <v>5</v>
      </c>
      <c r="C2399" s="4" t="s">
        <v>7</v>
      </c>
      <c r="D2399" s="4" t="s">
        <v>11</v>
      </c>
      <c r="E2399" s="4" t="s">
        <v>7</v>
      </c>
      <c r="F2399" s="4" t="s">
        <v>8</v>
      </c>
      <c r="G2399" s="4" t="s">
        <v>8</v>
      </c>
      <c r="H2399" s="4" t="s">
        <v>8</v>
      </c>
      <c r="I2399" s="4" t="s">
        <v>8</v>
      </c>
      <c r="J2399" s="4" t="s">
        <v>8</v>
      </c>
      <c r="K2399" s="4" t="s">
        <v>8</v>
      </c>
      <c r="L2399" s="4" t="s">
        <v>8</v>
      </c>
      <c r="M2399" s="4" t="s">
        <v>8</v>
      </c>
      <c r="N2399" s="4" t="s">
        <v>8</v>
      </c>
      <c r="O2399" s="4" t="s">
        <v>8</v>
      </c>
      <c r="P2399" s="4" t="s">
        <v>8</v>
      </c>
      <c r="Q2399" s="4" t="s">
        <v>8</v>
      </c>
      <c r="R2399" s="4" t="s">
        <v>8</v>
      </c>
      <c r="S2399" s="4" t="s">
        <v>8</v>
      </c>
      <c r="T2399" s="4" t="s">
        <v>8</v>
      </c>
      <c r="U2399" s="4" t="s">
        <v>8</v>
      </c>
    </row>
    <row r="2400" spans="1:13">
      <c r="A2400" t="n">
        <v>20183</v>
      </c>
      <c r="B2400" s="40" t="n">
        <v>36</v>
      </c>
      <c r="C2400" s="7" t="n">
        <v>8</v>
      </c>
      <c r="D2400" s="7" t="n">
        <v>0</v>
      </c>
      <c r="E2400" s="7" t="n">
        <v>0</v>
      </c>
      <c r="F2400" s="7" t="s">
        <v>230</v>
      </c>
      <c r="G2400" s="7" t="s">
        <v>16</v>
      </c>
      <c r="H2400" s="7" t="s">
        <v>16</v>
      </c>
      <c r="I2400" s="7" t="s">
        <v>16</v>
      </c>
      <c r="J2400" s="7" t="s">
        <v>16</v>
      </c>
      <c r="K2400" s="7" t="s">
        <v>16</v>
      </c>
      <c r="L2400" s="7" t="s">
        <v>16</v>
      </c>
      <c r="M2400" s="7" t="s">
        <v>16</v>
      </c>
      <c r="N2400" s="7" t="s">
        <v>16</v>
      </c>
      <c r="O2400" s="7" t="s">
        <v>16</v>
      </c>
      <c r="P2400" s="7" t="s">
        <v>16</v>
      </c>
      <c r="Q2400" s="7" t="s">
        <v>16</v>
      </c>
      <c r="R2400" s="7" t="s">
        <v>16</v>
      </c>
      <c r="S2400" s="7" t="s">
        <v>16</v>
      </c>
      <c r="T2400" s="7" t="s">
        <v>16</v>
      </c>
      <c r="U2400" s="7" t="s">
        <v>16</v>
      </c>
    </row>
    <row r="2401" spans="1:22">
      <c r="A2401" t="s">
        <v>4</v>
      </c>
      <c r="B2401" s="4" t="s">
        <v>5</v>
      </c>
      <c r="C2401" s="4" t="s">
        <v>7</v>
      </c>
      <c r="D2401" s="4" t="s">
        <v>11</v>
      </c>
      <c r="E2401" s="4" t="s">
        <v>7</v>
      </c>
      <c r="F2401" s="4" t="s">
        <v>8</v>
      </c>
      <c r="G2401" s="4" t="s">
        <v>8</v>
      </c>
      <c r="H2401" s="4" t="s">
        <v>8</v>
      </c>
      <c r="I2401" s="4" t="s">
        <v>8</v>
      </c>
      <c r="J2401" s="4" t="s">
        <v>8</v>
      </c>
      <c r="K2401" s="4" t="s">
        <v>8</v>
      </c>
      <c r="L2401" s="4" t="s">
        <v>8</v>
      </c>
      <c r="M2401" s="4" t="s">
        <v>8</v>
      </c>
      <c r="N2401" s="4" t="s">
        <v>8</v>
      </c>
      <c r="O2401" s="4" t="s">
        <v>8</v>
      </c>
      <c r="P2401" s="4" t="s">
        <v>8</v>
      </c>
      <c r="Q2401" s="4" t="s">
        <v>8</v>
      </c>
      <c r="R2401" s="4" t="s">
        <v>8</v>
      </c>
      <c r="S2401" s="4" t="s">
        <v>8</v>
      </c>
      <c r="T2401" s="4" t="s">
        <v>8</v>
      </c>
      <c r="U2401" s="4" t="s">
        <v>8</v>
      </c>
    </row>
    <row r="2402" spans="1:22">
      <c r="A2402" t="n">
        <v>20218</v>
      </c>
      <c r="B2402" s="40" t="n">
        <v>36</v>
      </c>
      <c r="C2402" s="7" t="n">
        <v>8</v>
      </c>
      <c r="D2402" s="7" t="n">
        <v>11</v>
      </c>
      <c r="E2402" s="7" t="n">
        <v>0</v>
      </c>
      <c r="F2402" s="7" t="s">
        <v>231</v>
      </c>
      <c r="G2402" s="7" t="s">
        <v>16</v>
      </c>
      <c r="H2402" s="7" t="s">
        <v>16</v>
      </c>
      <c r="I2402" s="7" t="s">
        <v>16</v>
      </c>
      <c r="J2402" s="7" t="s">
        <v>16</v>
      </c>
      <c r="K2402" s="7" t="s">
        <v>16</v>
      </c>
      <c r="L2402" s="7" t="s">
        <v>16</v>
      </c>
      <c r="M2402" s="7" t="s">
        <v>16</v>
      </c>
      <c r="N2402" s="7" t="s">
        <v>16</v>
      </c>
      <c r="O2402" s="7" t="s">
        <v>16</v>
      </c>
      <c r="P2402" s="7" t="s">
        <v>16</v>
      </c>
      <c r="Q2402" s="7" t="s">
        <v>16</v>
      </c>
      <c r="R2402" s="7" t="s">
        <v>16</v>
      </c>
      <c r="S2402" s="7" t="s">
        <v>16</v>
      </c>
      <c r="T2402" s="7" t="s">
        <v>16</v>
      </c>
      <c r="U2402" s="7" t="s">
        <v>16</v>
      </c>
    </row>
    <row r="2403" spans="1:22">
      <c r="A2403" t="s">
        <v>4</v>
      </c>
      <c r="B2403" s="4" t="s">
        <v>5</v>
      </c>
      <c r="C2403" s="4" t="s">
        <v>11</v>
      </c>
      <c r="D2403" s="4" t="s">
        <v>13</v>
      </c>
      <c r="E2403" s="4" t="s">
        <v>13</v>
      </c>
      <c r="F2403" s="4" t="s">
        <v>13</v>
      </c>
      <c r="G2403" s="4" t="s">
        <v>13</v>
      </c>
    </row>
    <row r="2404" spans="1:22">
      <c r="A2404" t="n">
        <v>20250</v>
      </c>
      <c r="B2404" s="36" t="n">
        <v>46</v>
      </c>
      <c r="C2404" s="7" t="n">
        <v>61456</v>
      </c>
      <c r="D2404" s="7" t="n">
        <v>0.239999994635582</v>
      </c>
      <c r="E2404" s="7" t="n">
        <v>10.0100002288818</v>
      </c>
      <c r="F2404" s="7" t="n">
        <v>32.1599998474121</v>
      </c>
      <c r="G2404" s="7" t="n">
        <v>75.5999984741211</v>
      </c>
    </row>
    <row r="2405" spans="1:22">
      <c r="A2405" t="s">
        <v>4</v>
      </c>
      <c r="B2405" s="4" t="s">
        <v>5</v>
      </c>
      <c r="C2405" s="4" t="s">
        <v>11</v>
      </c>
      <c r="D2405" s="4" t="s">
        <v>13</v>
      </c>
      <c r="E2405" s="4" t="s">
        <v>13</v>
      </c>
      <c r="F2405" s="4" t="s">
        <v>13</v>
      </c>
      <c r="G2405" s="4" t="s">
        <v>13</v>
      </c>
    </row>
    <row r="2406" spans="1:22">
      <c r="A2406" t="n">
        <v>20269</v>
      </c>
      <c r="B2406" s="36" t="n">
        <v>46</v>
      </c>
      <c r="C2406" s="7" t="n">
        <v>11</v>
      </c>
      <c r="D2406" s="7" t="n">
        <v>1.08000004291534</v>
      </c>
      <c r="E2406" s="7" t="n">
        <v>10.0100002288818</v>
      </c>
      <c r="F2406" s="7" t="n">
        <v>32.9199981689453</v>
      </c>
      <c r="G2406" s="7" t="n">
        <v>89.5</v>
      </c>
    </row>
    <row r="2407" spans="1:22">
      <c r="A2407" t="s">
        <v>4</v>
      </c>
      <c r="B2407" s="4" t="s">
        <v>5</v>
      </c>
      <c r="C2407" s="4" t="s">
        <v>7</v>
      </c>
      <c r="D2407" s="4" t="s">
        <v>7</v>
      </c>
      <c r="E2407" s="4" t="s">
        <v>13</v>
      </c>
      <c r="F2407" s="4" t="s">
        <v>13</v>
      </c>
      <c r="G2407" s="4" t="s">
        <v>13</v>
      </c>
      <c r="H2407" s="4" t="s">
        <v>11</v>
      </c>
    </row>
    <row r="2408" spans="1:22">
      <c r="A2408" t="n">
        <v>20288</v>
      </c>
      <c r="B2408" s="51" t="n">
        <v>45</v>
      </c>
      <c r="C2408" s="7" t="n">
        <v>2</v>
      </c>
      <c r="D2408" s="7" t="n">
        <v>3</v>
      </c>
      <c r="E2408" s="7" t="n">
        <v>0.310000002384186</v>
      </c>
      <c r="F2408" s="7" t="n">
        <v>11.9099998474121</v>
      </c>
      <c r="G2408" s="7" t="n">
        <v>32.5</v>
      </c>
      <c r="H2408" s="7" t="n">
        <v>0</v>
      </c>
    </row>
    <row r="2409" spans="1:22">
      <c r="A2409" t="s">
        <v>4</v>
      </c>
      <c r="B2409" s="4" t="s">
        <v>5</v>
      </c>
      <c r="C2409" s="4" t="s">
        <v>7</v>
      </c>
      <c r="D2409" s="4" t="s">
        <v>7</v>
      </c>
      <c r="E2409" s="4" t="s">
        <v>13</v>
      </c>
      <c r="F2409" s="4" t="s">
        <v>13</v>
      </c>
      <c r="G2409" s="4" t="s">
        <v>13</v>
      </c>
      <c r="H2409" s="4" t="s">
        <v>11</v>
      </c>
      <c r="I2409" s="4" t="s">
        <v>7</v>
      </c>
    </row>
    <row r="2410" spans="1:22">
      <c r="A2410" t="n">
        <v>20305</v>
      </c>
      <c r="B2410" s="51" t="n">
        <v>45</v>
      </c>
      <c r="C2410" s="7" t="n">
        <v>4</v>
      </c>
      <c r="D2410" s="7" t="n">
        <v>3</v>
      </c>
      <c r="E2410" s="7" t="n">
        <v>23.8700008392334</v>
      </c>
      <c r="F2410" s="7" t="n">
        <v>241.419998168945</v>
      </c>
      <c r="G2410" s="7" t="n">
        <v>0</v>
      </c>
      <c r="H2410" s="7" t="n">
        <v>0</v>
      </c>
      <c r="I2410" s="7" t="n">
        <v>0</v>
      </c>
    </row>
    <row r="2411" spans="1:22">
      <c r="A2411" t="s">
        <v>4</v>
      </c>
      <c r="B2411" s="4" t="s">
        <v>5</v>
      </c>
      <c r="C2411" s="4" t="s">
        <v>7</v>
      </c>
      <c r="D2411" s="4" t="s">
        <v>7</v>
      </c>
      <c r="E2411" s="4" t="s">
        <v>13</v>
      </c>
      <c r="F2411" s="4" t="s">
        <v>11</v>
      </c>
    </row>
    <row r="2412" spans="1:22">
      <c r="A2412" t="n">
        <v>20323</v>
      </c>
      <c r="B2412" s="51" t="n">
        <v>45</v>
      </c>
      <c r="C2412" s="7" t="n">
        <v>5</v>
      </c>
      <c r="D2412" s="7" t="n">
        <v>3</v>
      </c>
      <c r="E2412" s="7" t="n">
        <v>3.29999995231628</v>
      </c>
      <c r="F2412" s="7" t="n">
        <v>0</v>
      </c>
    </row>
    <row r="2413" spans="1:22">
      <c r="A2413" t="s">
        <v>4</v>
      </c>
      <c r="B2413" s="4" t="s">
        <v>5</v>
      </c>
      <c r="C2413" s="4" t="s">
        <v>7</v>
      </c>
      <c r="D2413" s="4" t="s">
        <v>7</v>
      </c>
      <c r="E2413" s="4" t="s">
        <v>13</v>
      </c>
      <c r="F2413" s="4" t="s">
        <v>11</v>
      </c>
    </row>
    <row r="2414" spans="1:22">
      <c r="A2414" t="n">
        <v>20332</v>
      </c>
      <c r="B2414" s="51" t="n">
        <v>45</v>
      </c>
      <c r="C2414" s="7" t="n">
        <v>11</v>
      </c>
      <c r="D2414" s="7" t="n">
        <v>3</v>
      </c>
      <c r="E2414" s="7" t="n">
        <v>40</v>
      </c>
      <c r="F2414" s="7" t="n">
        <v>0</v>
      </c>
    </row>
    <row r="2415" spans="1:22">
      <c r="A2415" t="s">
        <v>4</v>
      </c>
      <c r="B2415" s="4" t="s">
        <v>5</v>
      </c>
      <c r="C2415" s="4" t="s">
        <v>7</v>
      </c>
      <c r="D2415" s="4" t="s">
        <v>7</v>
      </c>
      <c r="E2415" s="4" t="s">
        <v>13</v>
      </c>
      <c r="F2415" s="4" t="s">
        <v>13</v>
      </c>
      <c r="G2415" s="4" t="s">
        <v>13</v>
      </c>
      <c r="H2415" s="4" t="s">
        <v>11</v>
      </c>
      <c r="I2415" s="4" t="s">
        <v>7</v>
      </c>
    </row>
    <row r="2416" spans="1:22">
      <c r="A2416" t="n">
        <v>20341</v>
      </c>
      <c r="B2416" s="51" t="n">
        <v>45</v>
      </c>
      <c r="C2416" s="7" t="n">
        <v>4</v>
      </c>
      <c r="D2416" s="7" t="n">
        <v>3</v>
      </c>
      <c r="E2416" s="7" t="n">
        <v>23.8700008392334</v>
      </c>
      <c r="F2416" s="7" t="n">
        <v>285.839996337891</v>
      </c>
      <c r="G2416" s="7" t="n">
        <v>0</v>
      </c>
      <c r="H2416" s="7" t="n">
        <v>5000</v>
      </c>
      <c r="I2416" s="7" t="n">
        <v>0</v>
      </c>
    </row>
    <row r="2417" spans="1:21">
      <c r="A2417" t="s">
        <v>4</v>
      </c>
      <c r="B2417" s="4" t="s">
        <v>5</v>
      </c>
      <c r="C2417" s="4" t="s">
        <v>7</v>
      </c>
      <c r="D2417" s="4" t="s">
        <v>11</v>
      </c>
      <c r="E2417" s="4" t="s">
        <v>13</v>
      </c>
    </row>
    <row r="2418" spans="1:21">
      <c r="A2418" t="n">
        <v>20359</v>
      </c>
      <c r="B2418" s="23" t="n">
        <v>58</v>
      </c>
      <c r="C2418" s="7" t="n">
        <v>100</v>
      </c>
      <c r="D2418" s="7" t="n">
        <v>1000</v>
      </c>
      <c r="E2418" s="7" t="n">
        <v>1</v>
      </c>
    </row>
    <row r="2419" spans="1:21">
      <c r="A2419" t="s">
        <v>4</v>
      </c>
      <c r="B2419" s="4" t="s">
        <v>5</v>
      </c>
      <c r="C2419" s="4" t="s">
        <v>7</v>
      </c>
      <c r="D2419" s="4" t="s">
        <v>11</v>
      </c>
    </row>
    <row r="2420" spans="1:21">
      <c r="A2420" t="n">
        <v>20367</v>
      </c>
      <c r="B2420" s="23" t="n">
        <v>58</v>
      </c>
      <c r="C2420" s="7" t="n">
        <v>255</v>
      </c>
      <c r="D2420" s="7" t="n">
        <v>0</v>
      </c>
    </row>
    <row r="2421" spans="1:21">
      <c r="A2421" t="s">
        <v>4</v>
      </c>
      <c r="B2421" s="4" t="s">
        <v>5</v>
      </c>
      <c r="C2421" s="4" t="s">
        <v>7</v>
      </c>
      <c r="D2421" s="4" t="s">
        <v>11</v>
      </c>
    </row>
    <row r="2422" spans="1:21">
      <c r="A2422" t="n">
        <v>20371</v>
      </c>
      <c r="B2422" s="51" t="n">
        <v>45</v>
      </c>
      <c r="C2422" s="7" t="n">
        <v>7</v>
      </c>
      <c r="D2422" s="7" t="n">
        <v>255</v>
      </c>
    </row>
    <row r="2423" spans="1:21">
      <c r="A2423" t="s">
        <v>4</v>
      </c>
      <c r="B2423" s="4" t="s">
        <v>5</v>
      </c>
      <c r="C2423" s="4" t="s">
        <v>7</v>
      </c>
      <c r="D2423" s="4" t="s">
        <v>11</v>
      </c>
      <c r="E2423" s="4" t="s">
        <v>13</v>
      </c>
    </row>
    <row r="2424" spans="1:21">
      <c r="A2424" t="n">
        <v>20375</v>
      </c>
      <c r="B2424" s="23" t="n">
        <v>58</v>
      </c>
      <c r="C2424" s="7" t="n">
        <v>101</v>
      </c>
      <c r="D2424" s="7" t="n">
        <v>800</v>
      </c>
      <c r="E2424" s="7" t="n">
        <v>1</v>
      </c>
    </row>
    <row r="2425" spans="1:21">
      <c r="A2425" t="s">
        <v>4</v>
      </c>
      <c r="B2425" s="4" t="s">
        <v>5</v>
      </c>
      <c r="C2425" s="4" t="s">
        <v>7</v>
      </c>
      <c r="D2425" s="4" t="s">
        <v>11</v>
      </c>
    </row>
    <row r="2426" spans="1:21">
      <c r="A2426" t="n">
        <v>20383</v>
      </c>
      <c r="B2426" s="23" t="n">
        <v>58</v>
      </c>
      <c r="C2426" s="7" t="n">
        <v>254</v>
      </c>
      <c r="D2426" s="7" t="n">
        <v>0</v>
      </c>
    </row>
    <row r="2427" spans="1:21">
      <c r="A2427" t="s">
        <v>4</v>
      </c>
      <c r="B2427" s="4" t="s">
        <v>5</v>
      </c>
      <c r="C2427" s="4" t="s">
        <v>7</v>
      </c>
      <c r="D2427" s="4" t="s">
        <v>7</v>
      </c>
      <c r="E2427" s="4" t="s">
        <v>13</v>
      </c>
      <c r="F2427" s="4" t="s">
        <v>13</v>
      </c>
      <c r="G2427" s="4" t="s">
        <v>13</v>
      </c>
      <c r="H2427" s="4" t="s">
        <v>11</v>
      </c>
    </row>
    <row r="2428" spans="1:21">
      <c r="A2428" t="n">
        <v>20387</v>
      </c>
      <c r="B2428" s="51" t="n">
        <v>45</v>
      </c>
      <c r="C2428" s="7" t="n">
        <v>2</v>
      </c>
      <c r="D2428" s="7" t="n">
        <v>3</v>
      </c>
      <c r="E2428" s="7" t="n">
        <v>0.769999980926514</v>
      </c>
      <c r="F2428" s="7" t="n">
        <v>11.3299999237061</v>
      </c>
      <c r="G2428" s="7" t="n">
        <v>32.5499992370605</v>
      </c>
      <c r="H2428" s="7" t="n">
        <v>0</v>
      </c>
    </row>
    <row r="2429" spans="1:21">
      <c r="A2429" t="s">
        <v>4</v>
      </c>
      <c r="B2429" s="4" t="s">
        <v>5</v>
      </c>
      <c r="C2429" s="4" t="s">
        <v>7</v>
      </c>
      <c r="D2429" s="4" t="s">
        <v>7</v>
      </c>
      <c r="E2429" s="4" t="s">
        <v>13</v>
      </c>
      <c r="F2429" s="4" t="s">
        <v>13</v>
      </c>
      <c r="G2429" s="4" t="s">
        <v>13</v>
      </c>
      <c r="H2429" s="4" t="s">
        <v>11</v>
      </c>
      <c r="I2429" s="4" t="s">
        <v>7</v>
      </c>
    </row>
    <row r="2430" spans="1:21">
      <c r="A2430" t="n">
        <v>20404</v>
      </c>
      <c r="B2430" s="51" t="n">
        <v>45</v>
      </c>
      <c r="C2430" s="7" t="n">
        <v>4</v>
      </c>
      <c r="D2430" s="7" t="n">
        <v>3</v>
      </c>
      <c r="E2430" s="7" t="n">
        <v>358.529998779297</v>
      </c>
      <c r="F2430" s="7" t="n">
        <v>109.839996337891</v>
      </c>
      <c r="G2430" s="7" t="n">
        <v>0</v>
      </c>
      <c r="H2430" s="7" t="n">
        <v>0</v>
      </c>
      <c r="I2430" s="7" t="n">
        <v>0</v>
      </c>
    </row>
    <row r="2431" spans="1:21">
      <c r="A2431" t="s">
        <v>4</v>
      </c>
      <c r="B2431" s="4" t="s">
        <v>5</v>
      </c>
      <c r="C2431" s="4" t="s">
        <v>7</v>
      </c>
      <c r="D2431" s="4" t="s">
        <v>7</v>
      </c>
      <c r="E2431" s="4" t="s">
        <v>13</v>
      </c>
      <c r="F2431" s="4" t="s">
        <v>11</v>
      </c>
    </row>
    <row r="2432" spans="1:21">
      <c r="A2432" t="n">
        <v>20422</v>
      </c>
      <c r="B2432" s="51" t="n">
        <v>45</v>
      </c>
      <c r="C2432" s="7" t="n">
        <v>5</v>
      </c>
      <c r="D2432" s="7" t="n">
        <v>3</v>
      </c>
      <c r="E2432" s="7" t="n">
        <v>4.30000019073486</v>
      </c>
      <c r="F2432" s="7" t="n">
        <v>0</v>
      </c>
    </row>
    <row r="2433" spans="1:9">
      <c r="A2433" t="s">
        <v>4</v>
      </c>
      <c r="B2433" s="4" t="s">
        <v>5</v>
      </c>
      <c r="C2433" s="4" t="s">
        <v>7</v>
      </c>
      <c r="D2433" s="4" t="s">
        <v>7</v>
      </c>
      <c r="E2433" s="4" t="s">
        <v>13</v>
      </c>
      <c r="F2433" s="4" t="s">
        <v>11</v>
      </c>
    </row>
    <row r="2434" spans="1:9">
      <c r="A2434" t="n">
        <v>20431</v>
      </c>
      <c r="B2434" s="51" t="n">
        <v>45</v>
      </c>
      <c r="C2434" s="7" t="n">
        <v>11</v>
      </c>
      <c r="D2434" s="7" t="n">
        <v>3</v>
      </c>
      <c r="E2434" s="7" t="n">
        <v>34.7999992370605</v>
      </c>
      <c r="F2434" s="7" t="n">
        <v>0</v>
      </c>
    </row>
    <row r="2435" spans="1:9">
      <c r="A2435" t="s">
        <v>4</v>
      </c>
      <c r="B2435" s="4" t="s">
        <v>5</v>
      </c>
      <c r="C2435" s="4" t="s">
        <v>7</v>
      </c>
      <c r="D2435" s="4" t="s">
        <v>7</v>
      </c>
      <c r="E2435" s="4" t="s">
        <v>13</v>
      </c>
      <c r="F2435" s="4" t="s">
        <v>11</v>
      </c>
    </row>
    <row r="2436" spans="1:9">
      <c r="A2436" t="n">
        <v>20440</v>
      </c>
      <c r="B2436" s="51" t="n">
        <v>45</v>
      </c>
      <c r="C2436" s="7" t="n">
        <v>5</v>
      </c>
      <c r="D2436" s="7" t="n">
        <v>3</v>
      </c>
      <c r="E2436" s="7" t="n">
        <v>4</v>
      </c>
      <c r="F2436" s="7" t="n">
        <v>2000</v>
      </c>
    </row>
    <row r="2437" spans="1:9">
      <c r="A2437" t="s">
        <v>4</v>
      </c>
      <c r="B2437" s="4" t="s">
        <v>5</v>
      </c>
      <c r="C2437" s="4" t="s">
        <v>7</v>
      </c>
      <c r="D2437" s="4" t="s">
        <v>11</v>
      </c>
      <c r="E2437" s="4" t="s">
        <v>8</v>
      </c>
      <c r="F2437" s="4" t="s">
        <v>8</v>
      </c>
      <c r="G2437" s="4" t="s">
        <v>8</v>
      </c>
      <c r="H2437" s="4" t="s">
        <v>8</v>
      </c>
    </row>
    <row r="2438" spans="1:9">
      <c r="A2438" t="n">
        <v>20449</v>
      </c>
      <c r="B2438" s="38" t="n">
        <v>51</v>
      </c>
      <c r="C2438" s="7" t="n">
        <v>3</v>
      </c>
      <c r="D2438" s="7" t="n">
        <v>11</v>
      </c>
      <c r="E2438" s="7" t="s">
        <v>98</v>
      </c>
      <c r="F2438" s="7" t="s">
        <v>232</v>
      </c>
      <c r="G2438" s="7" t="s">
        <v>78</v>
      </c>
      <c r="H2438" s="7" t="s">
        <v>79</v>
      </c>
    </row>
    <row r="2439" spans="1:9">
      <c r="A2439" t="s">
        <v>4</v>
      </c>
      <c r="B2439" s="4" t="s">
        <v>5</v>
      </c>
      <c r="C2439" s="4" t="s">
        <v>11</v>
      </c>
    </row>
    <row r="2440" spans="1:9">
      <c r="A2440" t="n">
        <v>20462</v>
      </c>
      <c r="B2440" s="29" t="n">
        <v>16</v>
      </c>
      <c r="C2440" s="7" t="n">
        <v>1000</v>
      </c>
    </row>
    <row r="2441" spans="1:9">
      <c r="A2441" t="s">
        <v>4</v>
      </c>
      <c r="B2441" s="4" t="s">
        <v>5</v>
      </c>
      <c r="C2441" s="4" t="s">
        <v>11</v>
      </c>
      <c r="D2441" s="4" t="s">
        <v>7</v>
      </c>
      <c r="E2441" s="4" t="s">
        <v>13</v>
      </c>
      <c r="F2441" s="4" t="s">
        <v>11</v>
      </c>
    </row>
    <row r="2442" spans="1:9">
      <c r="A2442" t="n">
        <v>20465</v>
      </c>
      <c r="B2442" s="56" t="n">
        <v>59</v>
      </c>
      <c r="C2442" s="7" t="n">
        <v>11</v>
      </c>
      <c r="D2442" s="7" t="n">
        <v>2</v>
      </c>
      <c r="E2442" s="7" t="n">
        <v>0.150000005960464</v>
      </c>
      <c r="F2442" s="7" t="n">
        <v>0</v>
      </c>
    </row>
    <row r="2443" spans="1:9">
      <c r="A2443" t="s">
        <v>4</v>
      </c>
      <c r="B2443" s="4" t="s">
        <v>5</v>
      </c>
      <c r="C2443" s="4" t="s">
        <v>11</v>
      </c>
    </row>
    <row r="2444" spans="1:9">
      <c r="A2444" t="n">
        <v>20475</v>
      </c>
      <c r="B2444" s="29" t="n">
        <v>16</v>
      </c>
      <c r="C2444" s="7" t="n">
        <v>1500</v>
      </c>
    </row>
    <row r="2445" spans="1:9">
      <c r="A2445" t="s">
        <v>4</v>
      </c>
      <c r="B2445" s="4" t="s">
        <v>5</v>
      </c>
      <c r="C2445" s="4" t="s">
        <v>7</v>
      </c>
      <c r="D2445" s="4" t="s">
        <v>11</v>
      </c>
      <c r="E2445" s="4" t="s">
        <v>8</v>
      </c>
    </row>
    <row r="2446" spans="1:9">
      <c r="A2446" t="n">
        <v>20478</v>
      </c>
      <c r="B2446" s="38" t="n">
        <v>51</v>
      </c>
      <c r="C2446" s="7" t="n">
        <v>4</v>
      </c>
      <c r="D2446" s="7" t="n">
        <v>11</v>
      </c>
      <c r="E2446" s="7" t="s">
        <v>233</v>
      </c>
    </row>
    <row r="2447" spans="1:9">
      <c r="A2447" t="s">
        <v>4</v>
      </c>
      <c r="B2447" s="4" t="s">
        <v>5</v>
      </c>
      <c r="C2447" s="4" t="s">
        <v>11</v>
      </c>
    </row>
    <row r="2448" spans="1:9">
      <c r="A2448" t="n">
        <v>20491</v>
      </c>
      <c r="B2448" s="29" t="n">
        <v>16</v>
      </c>
      <c r="C2448" s="7" t="n">
        <v>0</v>
      </c>
    </row>
    <row r="2449" spans="1:8">
      <c r="A2449" t="s">
        <v>4</v>
      </c>
      <c r="B2449" s="4" t="s">
        <v>5</v>
      </c>
      <c r="C2449" s="4" t="s">
        <v>11</v>
      </c>
      <c r="D2449" s="4" t="s">
        <v>55</v>
      </c>
      <c r="E2449" s="4" t="s">
        <v>7</v>
      </c>
      <c r="F2449" s="4" t="s">
        <v>7</v>
      </c>
    </row>
    <row r="2450" spans="1:8">
      <c r="A2450" t="n">
        <v>20494</v>
      </c>
      <c r="B2450" s="55" t="n">
        <v>26</v>
      </c>
      <c r="C2450" s="7" t="n">
        <v>11</v>
      </c>
      <c r="D2450" s="7" t="s">
        <v>234</v>
      </c>
      <c r="E2450" s="7" t="n">
        <v>2</v>
      </c>
      <c r="F2450" s="7" t="n">
        <v>0</v>
      </c>
    </row>
    <row r="2451" spans="1:8">
      <c r="A2451" t="s">
        <v>4</v>
      </c>
      <c r="B2451" s="4" t="s">
        <v>5</v>
      </c>
    </row>
    <row r="2452" spans="1:8">
      <c r="A2452" t="n">
        <v>20531</v>
      </c>
      <c r="B2452" s="27" t="n">
        <v>28</v>
      </c>
    </row>
    <row r="2453" spans="1:8">
      <c r="A2453" t="s">
        <v>4</v>
      </c>
      <c r="B2453" s="4" t="s">
        <v>5</v>
      </c>
      <c r="C2453" s="4" t="s">
        <v>11</v>
      </c>
      <c r="D2453" s="4" t="s">
        <v>7</v>
      </c>
      <c r="E2453" s="4" t="s">
        <v>7</v>
      </c>
      <c r="F2453" s="4" t="s">
        <v>8</v>
      </c>
    </row>
    <row r="2454" spans="1:8">
      <c r="A2454" t="n">
        <v>20532</v>
      </c>
      <c r="B2454" s="41" t="n">
        <v>47</v>
      </c>
      <c r="C2454" s="7" t="n">
        <v>0</v>
      </c>
      <c r="D2454" s="7" t="n">
        <v>0</v>
      </c>
      <c r="E2454" s="7" t="n">
        <v>0</v>
      </c>
      <c r="F2454" s="7" t="s">
        <v>230</v>
      </c>
    </row>
    <row r="2455" spans="1:8">
      <c r="A2455" t="s">
        <v>4</v>
      </c>
      <c r="B2455" s="4" t="s">
        <v>5</v>
      </c>
      <c r="C2455" s="4" t="s">
        <v>7</v>
      </c>
      <c r="D2455" s="4" t="s">
        <v>11</v>
      </c>
      <c r="E2455" s="4" t="s">
        <v>8</v>
      </c>
    </row>
    <row r="2456" spans="1:8">
      <c r="A2456" t="n">
        <v>20552</v>
      </c>
      <c r="B2456" s="38" t="n">
        <v>51</v>
      </c>
      <c r="C2456" s="7" t="n">
        <v>4</v>
      </c>
      <c r="D2456" s="7" t="n">
        <v>0</v>
      </c>
      <c r="E2456" s="7" t="s">
        <v>235</v>
      </c>
    </row>
    <row r="2457" spans="1:8">
      <c r="A2457" t="s">
        <v>4</v>
      </c>
      <c r="B2457" s="4" t="s">
        <v>5</v>
      </c>
      <c r="C2457" s="4" t="s">
        <v>11</v>
      </c>
    </row>
    <row r="2458" spans="1:8">
      <c r="A2458" t="n">
        <v>20566</v>
      </c>
      <c r="B2458" s="29" t="n">
        <v>16</v>
      </c>
      <c r="C2458" s="7" t="n">
        <v>0</v>
      </c>
    </row>
    <row r="2459" spans="1:8">
      <c r="A2459" t="s">
        <v>4</v>
      </c>
      <c r="B2459" s="4" t="s">
        <v>5</v>
      </c>
      <c r="C2459" s="4" t="s">
        <v>11</v>
      </c>
      <c r="D2459" s="4" t="s">
        <v>55</v>
      </c>
      <c r="E2459" s="4" t="s">
        <v>7</v>
      </c>
      <c r="F2459" s="4" t="s">
        <v>7</v>
      </c>
      <c r="G2459" s="4" t="s">
        <v>55</v>
      </c>
      <c r="H2459" s="4" t="s">
        <v>7</v>
      </c>
      <c r="I2459" s="4" t="s">
        <v>7</v>
      </c>
    </row>
    <row r="2460" spans="1:8">
      <c r="A2460" t="n">
        <v>20569</v>
      </c>
      <c r="B2460" s="55" t="n">
        <v>26</v>
      </c>
      <c r="C2460" s="7" t="n">
        <v>0</v>
      </c>
      <c r="D2460" s="7" t="s">
        <v>236</v>
      </c>
      <c r="E2460" s="7" t="n">
        <v>2</v>
      </c>
      <c r="F2460" s="7" t="n">
        <v>3</v>
      </c>
      <c r="G2460" s="7" t="s">
        <v>237</v>
      </c>
      <c r="H2460" s="7" t="n">
        <v>2</v>
      </c>
      <c r="I2460" s="7" t="n">
        <v>0</v>
      </c>
    </row>
    <row r="2461" spans="1:8">
      <c r="A2461" t="s">
        <v>4</v>
      </c>
      <c r="B2461" s="4" t="s">
        <v>5</v>
      </c>
    </row>
    <row r="2462" spans="1:8">
      <c r="A2462" t="n">
        <v>20706</v>
      </c>
      <c r="B2462" s="27" t="n">
        <v>28</v>
      </c>
    </row>
    <row r="2463" spans="1:8">
      <c r="A2463" t="s">
        <v>4</v>
      </c>
      <c r="B2463" s="4" t="s">
        <v>5</v>
      </c>
      <c r="C2463" s="4" t="s">
        <v>11</v>
      </c>
      <c r="D2463" s="4" t="s">
        <v>7</v>
      </c>
      <c r="E2463" s="4" t="s">
        <v>7</v>
      </c>
      <c r="F2463" s="4" t="s">
        <v>8</v>
      </c>
    </row>
    <row r="2464" spans="1:8">
      <c r="A2464" t="n">
        <v>20707</v>
      </c>
      <c r="B2464" s="50" t="n">
        <v>20</v>
      </c>
      <c r="C2464" s="7" t="n">
        <v>11</v>
      </c>
      <c r="D2464" s="7" t="n">
        <v>2</v>
      </c>
      <c r="E2464" s="7" t="n">
        <v>10</v>
      </c>
      <c r="F2464" s="7" t="s">
        <v>223</v>
      </c>
    </row>
    <row r="2465" spans="1:9">
      <c r="A2465" t="s">
        <v>4</v>
      </c>
      <c r="B2465" s="4" t="s">
        <v>5</v>
      </c>
      <c r="C2465" s="4" t="s">
        <v>7</v>
      </c>
      <c r="D2465" s="4" t="s">
        <v>11</v>
      </c>
      <c r="E2465" s="4" t="s">
        <v>8</v>
      </c>
    </row>
    <row r="2466" spans="1:9">
      <c r="A2466" t="n">
        <v>20728</v>
      </c>
      <c r="B2466" s="38" t="n">
        <v>51</v>
      </c>
      <c r="C2466" s="7" t="n">
        <v>4</v>
      </c>
      <c r="D2466" s="7" t="n">
        <v>11</v>
      </c>
      <c r="E2466" s="7" t="s">
        <v>238</v>
      </c>
    </row>
    <row r="2467" spans="1:9">
      <c r="A2467" t="s">
        <v>4</v>
      </c>
      <c r="B2467" s="4" t="s">
        <v>5</v>
      </c>
      <c r="C2467" s="4" t="s">
        <v>11</v>
      </c>
    </row>
    <row r="2468" spans="1:9">
      <c r="A2468" t="n">
        <v>20742</v>
      </c>
      <c r="B2468" s="29" t="n">
        <v>16</v>
      </c>
      <c r="C2468" s="7" t="n">
        <v>0</v>
      </c>
    </row>
    <row r="2469" spans="1:9">
      <c r="A2469" t="s">
        <v>4</v>
      </c>
      <c r="B2469" s="4" t="s">
        <v>5</v>
      </c>
      <c r="C2469" s="4" t="s">
        <v>11</v>
      </c>
      <c r="D2469" s="4" t="s">
        <v>55</v>
      </c>
      <c r="E2469" s="4" t="s">
        <v>7</v>
      </c>
      <c r="F2469" s="4" t="s">
        <v>7</v>
      </c>
    </row>
    <row r="2470" spans="1:9">
      <c r="A2470" t="n">
        <v>20745</v>
      </c>
      <c r="B2470" s="55" t="n">
        <v>26</v>
      </c>
      <c r="C2470" s="7" t="n">
        <v>11</v>
      </c>
      <c r="D2470" s="7" t="s">
        <v>239</v>
      </c>
      <c r="E2470" s="7" t="n">
        <v>2</v>
      </c>
      <c r="F2470" s="7" t="n">
        <v>0</v>
      </c>
    </row>
    <row r="2471" spans="1:9">
      <c r="A2471" t="s">
        <v>4</v>
      </c>
      <c r="B2471" s="4" t="s">
        <v>5</v>
      </c>
    </row>
    <row r="2472" spans="1:9">
      <c r="A2472" t="n">
        <v>20861</v>
      </c>
      <c r="B2472" s="27" t="n">
        <v>28</v>
      </c>
    </row>
    <row r="2473" spans="1:9">
      <c r="A2473" t="s">
        <v>4</v>
      </c>
      <c r="B2473" s="4" t="s">
        <v>5</v>
      </c>
      <c r="C2473" s="4" t="s">
        <v>7</v>
      </c>
      <c r="D2473" s="4" t="s">
        <v>11</v>
      </c>
      <c r="E2473" s="4" t="s">
        <v>8</v>
      </c>
    </row>
    <row r="2474" spans="1:9">
      <c r="A2474" t="n">
        <v>20862</v>
      </c>
      <c r="B2474" s="38" t="n">
        <v>51</v>
      </c>
      <c r="C2474" s="7" t="n">
        <v>4</v>
      </c>
      <c r="D2474" s="7" t="n">
        <v>0</v>
      </c>
      <c r="E2474" s="7" t="s">
        <v>240</v>
      </c>
    </row>
    <row r="2475" spans="1:9">
      <c r="A2475" t="s">
        <v>4</v>
      </c>
      <c r="B2475" s="4" t="s">
        <v>5</v>
      </c>
      <c r="C2475" s="4" t="s">
        <v>11</v>
      </c>
    </row>
    <row r="2476" spans="1:9">
      <c r="A2476" t="n">
        <v>20876</v>
      </c>
      <c r="B2476" s="29" t="n">
        <v>16</v>
      </c>
      <c r="C2476" s="7" t="n">
        <v>0</v>
      </c>
    </row>
    <row r="2477" spans="1:9">
      <c r="A2477" t="s">
        <v>4</v>
      </c>
      <c r="B2477" s="4" t="s">
        <v>5</v>
      </c>
      <c r="C2477" s="4" t="s">
        <v>11</v>
      </c>
      <c r="D2477" s="4" t="s">
        <v>55</v>
      </c>
      <c r="E2477" s="4" t="s">
        <v>7</v>
      </c>
      <c r="F2477" s="4" t="s">
        <v>7</v>
      </c>
    </row>
    <row r="2478" spans="1:9">
      <c r="A2478" t="n">
        <v>20879</v>
      </c>
      <c r="B2478" s="55" t="n">
        <v>26</v>
      </c>
      <c r="C2478" s="7" t="n">
        <v>0</v>
      </c>
      <c r="D2478" s="7" t="s">
        <v>241</v>
      </c>
      <c r="E2478" s="7" t="n">
        <v>2</v>
      </c>
      <c r="F2478" s="7" t="n">
        <v>0</v>
      </c>
    </row>
    <row r="2479" spans="1:9">
      <c r="A2479" t="s">
        <v>4</v>
      </c>
      <c r="B2479" s="4" t="s">
        <v>5</v>
      </c>
    </row>
    <row r="2480" spans="1:9">
      <c r="A2480" t="n">
        <v>20984</v>
      </c>
      <c r="B2480" s="27" t="n">
        <v>28</v>
      </c>
    </row>
    <row r="2481" spans="1:6">
      <c r="A2481" t="s">
        <v>4</v>
      </c>
      <c r="B2481" s="4" t="s">
        <v>5</v>
      </c>
      <c r="C2481" s="4" t="s">
        <v>11</v>
      </c>
      <c r="D2481" s="4" t="s">
        <v>7</v>
      </c>
    </row>
    <row r="2482" spans="1:6">
      <c r="A2482" t="n">
        <v>20985</v>
      </c>
      <c r="B2482" s="68" t="n">
        <v>89</v>
      </c>
      <c r="C2482" s="7" t="n">
        <v>65533</v>
      </c>
      <c r="D2482" s="7" t="n">
        <v>1</v>
      </c>
    </row>
    <row r="2483" spans="1:6">
      <c r="A2483" t="s">
        <v>4</v>
      </c>
      <c r="B2483" s="4" t="s">
        <v>5</v>
      </c>
      <c r="C2483" s="4" t="s">
        <v>7</v>
      </c>
      <c r="D2483" s="4" t="s">
        <v>11</v>
      </c>
      <c r="E2483" s="4" t="s">
        <v>7</v>
      </c>
      <c r="F2483" s="4" t="s">
        <v>12</v>
      </c>
    </row>
    <row r="2484" spans="1:6">
      <c r="A2484" t="n">
        <v>20989</v>
      </c>
      <c r="B2484" s="10" t="n">
        <v>5</v>
      </c>
      <c r="C2484" s="7" t="n">
        <v>30</v>
      </c>
      <c r="D2484" s="7" t="n">
        <v>10859</v>
      </c>
      <c r="E2484" s="7" t="n">
        <v>1</v>
      </c>
      <c r="F2484" s="11" t="n">
        <f t="normal" ca="1">A2550</f>
        <v>0</v>
      </c>
    </row>
    <row r="2485" spans="1:6">
      <c r="A2485" t="s">
        <v>4</v>
      </c>
      <c r="B2485" s="4" t="s">
        <v>5</v>
      </c>
      <c r="C2485" s="4" t="s">
        <v>7</v>
      </c>
      <c r="D2485" s="4" t="s">
        <v>11</v>
      </c>
      <c r="E2485" s="4" t="s">
        <v>8</v>
      </c>
    </row>
    <row r="2486" spans="1:6">
      <c r="A2486" t="n">
        <v>20998</v>
      </c>
      <c r="B2486" s="38" t="n">
        <v>51</v>
      </c>
      <c r="C2486" s="7" t="n">
        <v>4</v>
      </c>
      <c r="D2486" s="7" t="n">
        <v>11</v>
      </c>
      <c r="E2486" s="7" t="s">
        <v>242</v>
      </c>
    </row>
    <row r="2487" spans="1:6">
      <c r="A2487" t="s">
        <v>4</v>
      </c>
      <c r="B2487" s="4" t="s">
        <v>5</v>
      </c>
      <c r="C2487" s="4" t="s">
        <v>11</v>
      </c>
    </row>
    <row r="2488" spans="1:6">
      <c r="A2488" t="n">
        <v>21012</v>
      </c>
      <c r="B2488" s="29" t="n">
        <v>16</v>
      </c>
      <c r="C2488" s="7" t="n">
        <v>0</v>
      </c>
    </row>
    <row r="2489" spans="1:6">
      <c r="A2489" t="s">
        <v>4</v>
      </c>
      <c r="B2489" s="4" t="s">
        <v>5</v>
      </c>
      <c r="C2489" s="4" t="s">
        <v>11</v>
      </c>
      <c r="D2489" s="4" t="s">
        <v>55</v>
      </c>
      <c r="E2489" s="4" t="s">
        <v>7</v>
      </c>
      <c r="F2489" s="4" t="s">
        <v>7</v>
      </c>
      <c r="G2489" s="4" t="s">
        <v>55</v>
      </c>
      <c r="H2489" s="4" t="s">
        <v>7</v>
      </c>
      <c r="I2489" s="4" t="s">
        <v>7</v>
      </c>
    </row>
    <row r="2490" spans="1:6">
      <c r="A2490" t="n">
        <v>21015</v>
      </c>
      <c r="B2490" s="55" t="n">
        <v>26</v>
      </c>
      <c r="C2490" s="7" t="n">
        <v>11</v>
      </c>
      <c r="D2490" s="7" t="s">
        <v>243</v>
      </c>
      <c r="E2490" s="7" t="n">
        <v>2</v>
      </c>
      <c r="F2490" s="7" t="n">
        <v>3</v>
      </c>
      <c r="G2490" s="7" t="s">
        <v>244</v>
      </c>
      <c r="H2490" s="7" t="n">
        <v>2</v>
      </c>
      <c r="I2490" s="7" t="n">
        <v>0</v>
      </c>
    </row>
    <row r="2491" spans="1:6">
      <c r="A2491" t="s">
        <v>4</v>
      </c>
      <c r="B2491" s="4" t="s">
        <v>5</v>
      </c>
    </row>
    <row r="2492" spans="1:6">
      <c r="A2492" t="n">
        <v>21148</v>
      </c>
      <c r="B2492" s="27" t="n">
        <v>28</v>
      </c>
    </row>
    <row r="2493" spans="1:6">
      <c r="A2493" t="s">
        <v>4</v>
      </c>
      <c r="B2493" s="4" t="s">
        <v>5</v>
      </c>
      <c r="C2493" s="4" t="s">
        <v>11</v>
      </c>
      <c r="D2493" s="4" t="s">
        <v>11</v>
      </c>
      <c r="E2493" s="4" t="s">
        <v>11</v>
      </c>
    </row>
    <row r="2494" spans="1:6">
      <c r="A2494" t="n">
        <v>21149</v>
      </c>
      <c r="B2494" s="72" t="n">
        <v>61</v>
      </c>
      <c r="C2494" s="7" t="n">
        <v>61456</v>
      </c>
      <c r="D2494" s="7" t="n">
        <v>11</v>
      </c>
      <c r="E2494" s="7" t="n">
        <v>1000</v>
      </c>
    </row>
    <row r="2495" spans="1:6">
      <c r="A2495" t="s">
        <v>4</v>
      </c>
      <c r="B2495" s="4" t="s">
        <v>5</v>
      </c>
      <c r="C2495" s="4" t="s">
        <v>7</v>
      </c>
      <c r="D2495" s="4" t="s">
        <v>11</v>
      </c>
      <c r="E2495" s="4" t="s">
        <v>8</v>
      </c>
      <c r="F2495" s="4" t="s">
        <v>8</v>
      </c>
      <c r="G2495" s="4" t="s">
        <v>8</v>
      </c>
      <c r="H2495" s="4" t="s">
        <v>8</v>
      </c>
    </row>
    <row r="2496" spans="1:6">
      <c r="A2496" t="n">
        <v>21156</v>
      </c>
      <c r="B2496" s="38" t="n">
        <v>51</v>
      </c>
      <c r="C2496" s="7" t="n">
        <v>3</v>
      </c>
      <c r="D2496" s="7" t="n">
        <v>0</v>
      </c>
      <c r="E2496" s="7" t="s">
        <v>154</v>
      </c>
      <c r="F2496" s="7" t="s">
        <v>218</v>
      </c>
      <c r="G2496" s="7" t="s">
        <v>78</v>
      </c>
      <c r="H2496" s="7" t="s">
        <v>79</v>
      </c>
    </row>
    <row r="2497" spans="1:9">
      <c r="A2497" t="s">
        <v>4</v>
      </c>
      <c r="B2497" s="4" t="s">
        <v>5</v>
      </c>
      <c r="C2497" s="4" t="s">
        <v>11</v>
      </c>
      <c r="D2497" s="4" t="s">
        <v>7</v>
      </c>
      <c r="E2497" s="4" t="s">
        <v>13</v>
      </c>
      <c r="F2497" s="4" t="s">
        <v>11</v>
      </c>
    </row>
    <row r="2498" spans="1:9">
      <c r="A2498" t="n">
        <v>21169</v>
      </c>
      <c r="B2498" s="56" t="n">
        <v>59</v>
      </c>
      <c r="C2498" s="7" t="n">
        <v>0</v>
      </c>
      <c r="D2498" s="7" t="n">
        <v>13</v>
      </c>
      <c r="E2498" s="7" t="n">
        <v>0.150000005960464</v>
      </c>
      <c r="F2498" s="7" t="n">
        <v>0</v>
      </c>
    </row>
    <row r="2499" spans="1:9">
      <c r="A2499" t="s">
        <v>4</v>
      </c>
      <c r="B2499" s="4" t="s">
        <v>5</v>
      </c>
      <c r="C2499" s="4" t="s">
        <v>11</v>
      </c>
    </row>
    <row r="2500" spans="1:9">
      <c r="A2500" t="n">
        <v>21179</v>
      </c>
      <c r="B2500" s="29" t="n">
        <v>16</v>
      </c>
      <c r="C2500" s="7" t="n">
        <v>1300</v>
      </c>
    </row>
    <row r="2501" spans="1:9">
      <c r="A2501" t="s">
        <v>4</v>
      </c>
      <c r="B2501" s="4" t="s">
        <v>5</v>
      </c>
      <c r="C2501" s="4" t="s">
        <v>7</v>
      </c>
      <c r="D2501" s="4" t="s">
        <v>11</v>
      </c>
      <c r="E2501" s="4" t="s">
        <v>8</v>
      </c>
    </row>
    <row r="2502" spans="1:9">
      <c r="A2502" t="n">
        <v>21182</v>
      </c>
      <c r="B2502" s="38" t="n">
        <v>51</v>
      </c>
      <c r="C2502" s="7" t="n">
        <v>4</v>
      </c>
      <c r="D2502" s="7" t="n">
        <v>0</v>
      </c>
      <c r="E2502" s="7" t="s">
        <v>245</v>
      </c>
    </row>
    <row r="2503" spans="1:9">
      <c r="A2503" t="s">
        <v>4</v>
      </c>
      <c r="B2503" s="4" t="s">
        <v>5</v>
      </c>
      <c r="C2503" s="4" t="s">
        <v>11</v>
      </c>
    </row>
    <row r="2504" spans="1:9">
      <c r="A2504" t="n">
        <v>21196</v>
      </c>
      <c r="B2504" s="29" t="n">
        <v>16</v>
      </c>
      <c r="C2504" s="7" t="n">
        <v>0</v>
      </c>
    </row>
    <row r="2505" spans="1:9">
      <c r="A2505" t="s">
        <v>4</v>
      </c>
      <c r="B2505" s="4" t="s">
        <v>5</v>
      </c>
      <c r="C2505" s="4" t="s">
        <v>11</v>
      </c>
      <c r="D2505" s="4" t="s">
        <v>55</v>
      </c>
      <c r="E2505" s="4" t="s">
        <v>7</v>
      </c>
      <c r="F2505" s="4" t="s">
        <v>7</v>
      </c>
    </row>
    <row r="2506" spans="1:9">
      <c r="A2506" t="n">
        <v>21199</v>
      </c>
      <c r="B2506" s="55" t="n">
        <v>26</v>
      </c>
      <c r="C2506" s="7" t="n">
        <v>0</v>
      </c>
      <c r="D2506" s="7" t="s">
        <v>246</v>
      </c>
      <c r="E2506" s="7" t="n">
        <v>2</v>
      </c>
      <c r="F2506" s="7" t="n">
        <v>0</v>
      </c>
    </row>
    <row r="2507" spans="1:9">
      <c r="A2507" t="s">
        <v>4</v>
      </c>
      <c r="B2507" s="4" t="s">
        <v>5</v>
      </c>
    </row>
    <row r="2508" spans="1:9">
      <c r="A2508" t="n">
        <v>21209</v>
      </c>
      <c r="B2508" s="27" t="n">
        <v>28</v>
      </c>
    </row>
    <row r="2509" spans="1:9">
      <c r="A2509" t="s">
        <v>4</v>
      </c>
      <c r="B2509" s="4" t="s">
        <v>5</v>
      </c>
      <c r="C2509" s="4" t="s">
        <v>7</v>
      </c>
      <c r="D2509" s="4" t="s">
        <v>11</v>
      </c>
      <c r="E2509" s="4" t="s">
        <v>8</v>
      </c>
    </row>
    <row r="2510" spans="1:9">
      <c r="A2510" t="n">
        <v>21210</v>
      </c>
      <c r="B2510" s="38" t="n">
        <v>51</v>
      </c>
      <c r="C2510" s="7" t="n">
        <v>4</v>
      </c>
      <c r="D2510" s="7" t="n">
        <v>11</v>
      </c>
      <c r="E2510" s="7" t="s">
        <v>247</v>
      </c>
    </row>
    <row r="2511" spans="1:9">
      <c r="A2511" t="s">
        <v>4</v>
      </c>
      <c r="B2511" s="4" t="s">
        <v>5</v>
      </c>
      <c r="C2511" s="4" t="s">
        <v>11</v>
      </c>
    </row>
    <row r="2512" spans="1:9">
      <c r="A2512" t="n">
        <v>21224</v>
      </c>
      <c r="B2512" s="29" t="n">
        <v>16</v>
      </c>
      <c r="C2512" s="7" t="n">
        <v>0</v>
      </c>
    </row>
    <row r="2513" spans="1:6">
      <c r="A2513" t="s">
        <v>4</v>
      </c>
      <c r="B2513" s="4" t="s">
        <v>5</v>
      </c>
      <c r="C2513" s="4" t="s">
        <v>11</v>
      </c>
      <c r="D2513" s="4" t="s">
        <v>55</v>
      </c>
      <c r="E2513" s="4" t="s">
        <v>7</v>
      </c>
      <c r="F2513" s="4" t="s">
        <v>7</v>
      </c>
    </row>
    <row r="2514" spans="1:6">
      <c r="A2514" t="n">
        <v>21227</v>
      </c>
      <c r="B2514" s="55" t="n">
        <v>26</v>
      </c>
      <c r="C2514" s="7" t="n">
        <v>11</v>
      </c>
      <c r="D2514" s="7" t="s">
        <v>248</v>
      </c>
      <c r="E2514" s="7" t="n">
        <v>2</v>
      </c>
      <c r="F2514" s="7" t="n">
        <v>0</v>
      </c>
    </row>
    <row r="2515" spans="1:6">
      <c r="A2515" t="s">
        <v>4</v>
      </c>
      <c r="B2515" s="4" t="s">
        <v>5</v>
      </c>
    </row>
    <row r="2516" spans="1:6">
      <c r="A2516" t="n">
        <v>21297</v>
      </c>
      <c r="B2516" s="27" t="n">
        <v>28</v>
      </c>
    </row>
    <row r="2517" spans="1:6">
      <c r="A2517" t="s">
        <v>4</v>
      </c>
      <c r="B2517" s="4" t="s">
        <v>5</v>
      </c>
      <c r="C2517" s="4" t="s">
        <v>11</v>
      </c>
      <c r="D2517" s="4" t="s">
        <v>7</v>
      </c>
    </row>
    <row r="2518" spans="1:6">
      <c r="A2518" t="n">
        <v>21298</v>
      </c>
      <c r="B2518" s="68" t="n">
        <v>89</v>
      </c>
      <c r="C2518" s="7" t="n">
        <v>65533</v>
      </c>
      <c r="D2518" s="7" t="n">
        <v>1</v>
      </c>
    </row>
    <row r="2519" spans="1:6">
      <c r="A2519" t="s">
        <v>4</v>
      </c>
      <c r="B2519" s="4" t="s">
        <v>5</v>
      </c>
      <c r="C2519" s="4" t="s">
        <v>7</v>
      </c>
      <c r="D2519" s="4" t="s">
        <v>11</v>
      </c>
      <c r="E2519" s="4" t="s">
        <v>13</v>
      </c>
    </row>
    <row r="2520" spans="1:6">
      <c r="A2520" t="n">
        <v>21302</v>
      </c>
      <c r="B2520" s="23" t="n">
        <v>58</v>
      </c>
      <c r="C2520" s="7" t="n">
        <v>101</v>
      </c>
      <c r="D2520" s="7" t="n">
        <v>800</v>
      </c>
      <c r="E2520" s="7" t="n">
        <v>1</v>
      </c>
    </row>
    <row r="2521" spans="1:6">
      <c r="A2521" t="s">
        <v>4</v>
      </c>
      <c r="B2521" s="4" t="s">
        <v>5</v>
      </c>
      <c r="C2521" s="4" t="s">
        <v>7</v>
      </c>
      <c r="D2521" s="4" t="s">
        <v>11</v>
      </c>
    </row>
    <row r="2522" spans="1:6">
      <c r="A2522" t="n">
        <v>21310</v>
      </c>
      <c r="B2522" s="23" t="n">
        <v>58</v>
      </c>
      <c r="C2522" s="7" t="n">
        <v>254</v>
      </c>
      <c r="D2522" s="7" t="n">
        <v>0</v>
      </c>
    </row>
    <row r="2523" spans="1:6">
      <c r="A2523" t="s">
        <v>4</v>
      </c>
      <c r="B2523" s="4" t="s">
        <v>5</v>
      </c>
      <c r="C2523" s="4" t="s">
        <v>7</v>
      </c>
      <c r="D2523" s="4" t="s">
        <v>7</v>
      </c>
      <c r="E2523" s="4" t="s">
        <v>13</v>
      </c>
      <c r="F2523" s="4" t="s">
        <v>13</v>
      </c>
      <c r="G2523" s="4" t="s">
        <v>13</v>
      </c>
      <c r="H2523" s="4" t="s">
        <v>11</v>
      </c>
    </row>
    <row r="2524" spans="1:6">
      <c r="A2524" t="n">
        <v>21314</v>
      </c>
      <c r="B2524" s="51" t="n">
        <v>45</v>
      </c>
      <c r="C2524" s="7" t="n">
        <v>2</v>
      </c>
      <c r="D2524" s="7" t="n">
        <v>3</v>
      </c>
      <c r="E2524" s="7" t="n">
        <v>0.629999995231628</v>
      </c>
      <c r="F2524" s="7" t="n">
        <v>11.4399995803833</v>
      </c>
      <c r="G2524" s="7" t="n">
        <v>32.5699996948242</v>
      </c>
      <c r="H2524" s="7" t="n">
        <v>0</v>
      </c>
    </row>
    <row r="2525" spans="1:6">
      <c r="A2525" t="s">
        <v>4</v>
      </c>
      <c r="B2525" s="4" t="s">
        <v>5</v>
      </c>
      <c r="C2525" s="4" t="s">
        <v>7</v>
      </c>
      <c r="D2525" s="4" t="s">
        <v>7</v>
      </c>
      <c r="E2525" s="4" t="s">
        <v>13</v>
      </c>
      <c r="F2525" s="4" t="s">
        <v>13</v>
      </c>
      <c r="G2525" s="4" t="s">
        <v>13</v>
      </c>
      <c r="H2525" s="4" t="s">
        <v>11</v>
      </c>
      <c r="I2525" s="4" t="s">
        <v>7</v>
      </c>
    </row>
    <row r="2526" spans="1:6">
      <c r="A2526" t="n">
        <v>21331</v>
      </c>
      <c r="B2526" s="51" t="n">
        <v>45</v>
      </c>
      <c r="C2526" s="7" t="n">
        <v>4</v>
      </c>
      <c r="D2526" s="7" t="n">
        <v>3</v>
      </c>
      <c r="E2526" s="7" t="n">
        <v>8.6899995803833</v>
      </c>
      <c r="F2526" s="7" t="n">
        <v>185.960006713867</v>
      </c>
      <c r="G2526" s="7" t="n">
        <v>0</v>
      </c>
      <c r="H2526" s="7" t="n">
        <v>0</v>
      </c>
      <c r="I2526" s="7" t="n">
        <v>0</v>
      </c>
    </row>
    <row r="2527" spans="1:6">
      <c r="A2527" t="s">
        <v>4</v>
      </c>
      <c r="B2527" s="4" t="s">
        <v>5</v>
      </c>
      <c r="C2527" s="4" t="s">
        <v>7</v>
      </c>
      <c r="D2527" s="4" t="s">
        <v>7</v>
      </c>
      <c r="E2527" s="4" t="s">
        <v>13</v>
      </c>
      <c r="F2527" s="4" t="s">
        <v>11</v>
      </c>
    </row>
    <row r="2528" spans="1:6">
      <c r="A2528" t="n">
        <v>21349</v>
      </c>
      <c r="B2528" s="51" t="n">
        <v>45</v>
      </c>
      <c r="C2528" s="7" t="n">
        <v>5</v>
      </c>
      <c r="D2528" s="7" t="n">
        <v>3</v>
      </c>
      <c r="E2528" s="7" t="n">
        <v>2.40000009536743</v>
      </c>
      <c r="F2528" s="7" t="n">
        <v>0</v>
      </c>
    </row>
    <row r="2529" spans="1:9">
      <c r="A2529" t="s">
        <v>4</v>
      </c>
      <c r="B2529" s="4" t="s">
        <v>5</v>
      </c>
      <c r="C2529" s="4" t="s">
        <v>7</v>
      </c>
      <c r="D2529" s="4" t="s">
        <v>7</v>
      </c>
      <c r="E2529" s="4" t="s">
        <v>13</v>
      </c>
      <c r="F2529" s="4" t="s">
        <v>11</v>
      </c>
    </row>
    <row r="2530" spans="1:9">
      <c r="A2530" t="n">
        <v>21358</v>
      </c>
      <c r="B2530" s="51" t="n">
        <v>45</v>
      </c>
      <c r="C2530" s="7" t="n">
        <v>11</v>
      </c>
      <c r="D2530" s="7" t="n">
        <v>3</v>
      </c>
      <c r="E2530" s="7" t="n">
        <v>34.7999992370605</v>
      </c>
      <c r="F2530" s="7" t="n">
        <v>0</v>
      </c>
    </row>
    <row r="2531" spans="1:9">
      <c r="A2531" t="s">
        <v>4</v>
      </c>
      <c r="B2531" s="4" t="s">
        <v>5</v>
      </c>
      <c r="C2531" s="4" t="s">
        <v>11</v>
      </c>
      <c r="D2531" s="4" t="s">
        <v>11</v>
      </c>
      <c r="E2531" s="4" t="s">
        <v>13</v>
      </c>
      <c r="F2531" s="4" t="s">
        <v>7</v>
      </c>
    </row>
    <row r="2532" spans="1:9">
      <c r="A2532" t="n">
        <v>21367</v>
      </c>
      <c r="B2532" s="73" t="n">
        <v>53</v>
      </c>
      <c r="C2532" s="7" t="n">
        <v>11</v>
      </c>
      <c r="D2532" s="7" t="n">
        <v>61456</v>
      </c>
      <c r="E2532" s="7" t="n">
        <v>5</v>
      </c>
      <c r="F2532" s="7" t="n">
        <v>0</v>
      </c>
    </row>
    <row r="2533" spans="1:9">
      <c r="A2533" t="s">
        <v>4</v>
      </c>
      <c r="B2533" s="4" t="s">
        <v>5</v>
      </c>
      <c r="C2533" s="4" t="s">
        <v>11</v>
      </c>
    </row>
    <row r="2534" spans="1:9">
      <c r="A2534" t="n">
        <v>21377</v>
      </c>
      <c r="B2534" s="29" t="n">
        <v>16</v>
      </c>
      <c r="C2534" s="7" t="n">
        <v>1000</v>
      </c>
    </row>
    <row r="2535" spans="1:9">
      <c r="A2535" t="s">
        <v>4</v>
      </c>
      <c r="B2535" s="4" t="s">
        <v>5</v>
      </c>
      <c r="C2535" s="4" t="s">
        <v>11</v>
      </c>
      <c r="D2535" s="4" t="s">
        <v>11</v>
      </c>
      <c r="E2535" s="4" t="s">
        <v>11</v>
      </c>
    </row>
    <row r="2536" spans="1:9">
      <c r="A2536" t="n">
        <v>21380</v>
      </c>
      <c r="B2536" s="72" t="n">
        <v>61</v>
      </c>
      <c r="C2536" s="7" t="n">
        <v>0</v>
      </c>
      <c r="D2536" s="7" t="n">
        <v>11</v>
      </c>
      <c r="E2536" s="7" t="n">
        <v>1000</v>
      </c>
    </row>
    <row r="2537" spans="1:9">
      <c r="A2537" t="s">
        <v>4</v>
      </c>
      <c r="B2537" s="4" t="s">
        <v>5</v>
      </c>
      <c r="C2537" s="4" t="s">
        <v>11</v>
      </c>
      <c r="D2537" s="4" t="s">
        <v>7</v>
      </c>
      <c r="E2537" s="4" t="s">
        <v>7</v>
      </c>
      <c r="F2537" s="4" t="s">
        <v>8</v>
      </c>
    </row>
    <row r="2538" spans="1:9">
      <c r="A2538" t="n">
        <v>21387</v>
      </c>
      <c r="B2538" s="41" t="n">
        <v>47</v>
      </c>
      <c r="C2538" s="7" t="n">
        <v>11</v>
      </c>
      <c r="D2538" s="7" t="n">
        <v>0</v>
      </c>
      <c r="E2538" s="7" t="n">
        <v>0</v>
      </c>
      <c r="F2538" s="7" t="s">
        <v>231</v>
      </c>
    </row>
    <row r="2539" spans="1:9">
      <c r="A2539" t="s">
        <v>4</v>
      </c>
      <c r="B2539" s="4" t="s">
        <v>5</v>
      </c>
      <c r="C2539" s="4" t="s">
        <v>7</v>
      </c>
      <c r="D2539" s="4" t="s">
        <v>11</v>
      </c>
      <c r="E2539" s="4" t="s">
        <v>8</v>
      </c>
    </row>
    <row r="2540" spans="1:9">
      <c r="A2540" t="n">
        <v>21404</v>
      </c>
      <c r="B2540" s="38" t="n">
        <v>51</v>
      </c>
      <c r="C2540" s="7" t="n">
        <v>4</v>
      </c>
      <c r="D2540" s="7" t="n">
        <v>11</v>
      </c>
      <c r="E2540" s="7" t="s">
        <v>137</v>
      </c>
    </row>
    <row r="2541" spans="1:9">
      <c r="A2541" t="s">
        <v>4</v>
      </c>
      <c r="B2541" s="4" t="s">
        <v>5</v>
      </c>
      <c r="C2541" s="4" t="s">
        <v>11</v>
      </c>
    </row>
    <row r="2542" spans="1:9">
      <c r="A2542" t="n">
        <v>21417</v>
      </c>
      <c r="B2542" s="29" t="n">
        <v>16</v>
      </c>
      <c r="C2542" s="7" t="n">
        <v>0</v>
      </c>
    </row>
    <row r="2543" spans="1:9">
      <c r="A2543" t="s">
        <v>4</v>
      </c>
      <c r="B2543" s="4" t="s">
        <v>5</v>
      </c>
      <c r="C2543" s="4" t="s">
        <v>11</v>
      </c>
      <c r="D2543" s="4" t="s">
        <v>55</v>
      </c>
      <c r="E2543" s="4" t="s">
        <v>7</v>
      </c>
      <c r="F2543" s="4" t="s">
        <v>7</v>
      </c>
      <c r="G2543" s="4" t="s">
        <v>55</v>
      </c>
      <c r="H2543" s="4" t="s">
        <v>7</v>
      </c>
      <c r="I2543" s="4" t="s">
        <v>7</v>
      </c>
    </row>
    <row r="2544" spans="1:9">
      <c r="A2544" t="n">
        <v>21420</v>
      </c>
      <c r="B2544" s="55" t="n">
        <v>26</v>
      </c>
      <c r="C2544" s="7" t="n">
        <v>11</v>
      </c>
      <c r="D2544" s="7" t="s">
        <v>249</v>
      </c>
      <c r="E2544" s="7" t="n">
        <v>2</v>
      </c>
      <c r="F2544" s="7" t="n">
        <v>3</v>
      </c>
      <c r="G2544" s="7" t="s">
        <v>250</v>
      </c>
      <c r="H2544" s="7" t="n">
        <v>2</v>
      </c>
      <c r="I2544" s="7" t="n">
        <v>0</v>
      </c>
    </row>
    <row r="2545" spans="1:9">
      <c r="A2545" t="s">
        <v>4</v>
      </c>
      <c r="B2545" s="4" t="s">
        <v>5</v>
      </c>
    </row>
    <row r="2546" spans="1:9">
      <c r="A2546" t="n">
        <v>21580</v>
      </c>
      <c r="B2546" s="27" t="n">
        <v>28</v>
      </c>
    </row>
    <row r="2547" spans="1:9">
      <c r="A2547" t="s">
        <v>4</v>
      </c>
      <c r="B2547" s="4" t="s">
        <v>5</v>
      </c>
      <c r="C2547" s="4" t="s">
        <v>12</v>
      </c>
    </row>
    <row r="2548" spans="1:9">
      <c r="A2548" t="n">
        <v>21581</v>
      </c>
      <c r="B2548" s="19" t="n">
        <v>3</v>
      </c>
      <c r="C2548" s="11" t="n">
        <f t="normal" ca="1">A2578</f>
        <v>0</v>
      </c>
    </row>
    <row r="2549" spans="1:9">
      <c r="A2549" t="s">
        <v>4</v>
      </c>
      <c r="B2549" s="4" t="s">
        <v>5</v>
      </c>
      <c r="C2549" s="4" t="s">
        <v>7</v>
      </c>
      <c r="D2549" s="4" t="s">
        <v>11</v>
      </c>
      <c r="E2549" s="4" t="s">
        <v>13</v>
      </c>
    </row>
    <row r="2550" spans="1:9">
      <c r="A2550" t="n">
        <v>21586</v>
      </c>
      <c r="B2550" s="23" t="n">
        <v>58</v>
      </c>
      <c r="C2550" s="7" t="n">
        <v>101</v>
      </c>
      <c r="D2550" s="7" t="n">
        <v>800</v>
      </c>
      <c r="E2550" s="7" t="n">
        <v>1</v>
      </c>
    </row>
    <row r="2551" spans="1:9">
      <c r="A2551" t="s">
        <v>4</v>
      </c>
      <c r="B2551" s="4" t="s">
        <v>5</v>
      </c>
      <c r="C2551" s="4" t="s">
        <v>7</v>
      </c>
      <c r="D2551" s="4" t="s">
        <v>11</v>
      </c>
    </row>
    <row r="2552" spans="1:9">
      <c r="A2552" t="n">
        <v>21594</v>
      </c>
      <c r="B2552" s="23" t="n">
        <v>58</v>
      </c>
      <c r="C2552" s="7" t="n">
        <v>254</v>
      </c>
      <c r="D2552" s="7" t="n">
        <v>0</v>
      </c>
    </row>
    <row r="2553" spans="1:9">
      <c r="A2553" t="s">
        <v>4</v>
      </c>
      <c r="B2553" s="4" t="s">
        <v>5</v>
      </c>
      <c r="C2553" s="4" t="s">
        <v>7</v>
      </c>
      <c r="D2553" s="4" t="s">
        <v>7</v>
      </c>
      <c r="E2553" s="4" t="s">
        <v>13</v>
      </c>
      <c r="F2553" s="4" t="s">
        <v>13</v>
      </c>
      <c r="G2553" s="4" t="s">
        <v>13</v>
      </c>
      <c r="H2553" s="4" t="s">
        <v>11</v>
      </c>
    </row>
    <row r="2554" spans="1:9">
      <c r="A2554" t="n">
        <v>21598</v>
      </c>
      <c r="B2554" s="51" t="n">
        <v>45</v>
      </c>
      <c r="C2554" s="7" t="n">
        <v>2</v>
      </c>
      <c r="D2554" s="7" t="n">
        <v>3</v>
      </c>
      <c r="E2554" s="7" t="n">
        <v>0.629999995231628</v>
      </c>
      <c r="F2554" s="7" t="n">
        <v>11.4399995803833</v>
      </c>
      <c r="G2554" s="7" t="n">
        <v>32.5699996948242</v>
      </c>
      <c r="H2554" s="7" t="n">
        <v>0</v>
      </c>
    </row>
    <row r="2555" spans="1:9">
      <c r="A2555" t="s">
        <v>4</v>
      </c>
      <c r="B2555" s="4" t="s">
        <v>5</v>
      </c>
      <c r="C2555" s="4" t="s">
        <v>7</v>
      </c>
      <c r="D2555" s="4" t="s">
        <v>7</v>
      </c>
      <c r="E2555" s="4" t="s">
        <v>13</v>
      </c>
      <c r="F2555" s="4" t="s">
        <v>13</v>
      </c>
      <c r="G2555" s="4" t="s">
        <v>13</v>
      </c>
      <c r="H2555" s="4" t="s">
        <v>11</v>
      </c>
      <c r="I2555" s="4" t="s">
        <v>7</v>
      </c>
    </row>
    <row r="2556" spans="1:9">
      <c r="A2556" t="n">
        <v>21615</v>
      </c>
      <c r="B2556" s="51" t="n">
        <v>45</v>
      </c>
      <c r="C2556" s="7" t="n">
        <v>4</v>
      </c>
      <c r="D2556" s="7" t="n">
        <v>3</v>
      </c>
      <c r="E2556" s="7" t="n">
        <v>8.6899995803833</v>
      </c>
      <c r="F2556" s="7" t="n">
        <v>185.960006713867</v>
      </c>
      <c r="G2556" s="7" t="n">
        <v>0</v>
      </c>
      <c r="H2556" s="7" t="n">
        <v>0</v>
      </c>
      <c r="I2556" s="7" t="n">
        <v>0</v>
      </c>
    </row>
    <row r="2557" spans="1:9">
      <c r="A2557" t="s">
        <v>4</v>
      </c>
      <c r="B2557" s="4" t="s">
        <v>5</v>
      </c>
      <c r="C2557" s="4" t="s">
        <v>7</v>
      </c>
      <c r="D2557" s="4" t="s">
        <v>7</v>
      </c>
      <c r="E2557" s="4" t="s">
        <v>13</v>
      </c>
      <c r="F2557" s="4" t="s">
        <v>11</v>
      </c>
    </row>
    <row r="2558" spans="1:9">
      <c r="A2558" t="n">
        <v>21633</v>
      </c>
      <c r="B2558" s="51" t="n">
        <v>45</v>
      </c>
      <c r="C2558" s="7" t="n">
        <v>5</v>
      </c>
      <c r="D2558" s="7" t="n">
        <v>3</v>
      </c>
      <c r="E2558" s="7" t="n">
        <v>2.40000009536743</v>
      </c>
      <c r="F2558" s="7" t="n">
        <v>0</v>
      </c>
    </row>
    <row r="2559" spans="1:9">
      <c r="A2559" t="s">
        <v>4</v>
      </c>
      <c r="B2559" s="4" t="s">
        <v>5</v>
      </c>
      <c r="C2559" s="4" t="s">
        <v>7</v>
      </c>
      <c r="D2559" s="4" t="s">
        <v>7</v>
      </c>
      <c r="E2559" s="4" t="s">
        <v>13</v>
      </c>
      <c r="F2559" s="4" t="s">
        <v>11</v>
      </c>
    </row>
    <row r="2560" spans="1:9">
      <c r="A2560" t="n">
        <v>21642</v>
      </c>
      <c r="B2560" s="51" t="n">
        <v>45</v>
      </c>
      <c r="C2560" s="7" t="n">
        <v>11</v>
      </c>
      <c r="D2560" s="7" t="n">
        <v>3</v>
      </c>
      <c r="E2560" s="7" t="n">
        <v>34.7999992370605</v>
      </c>
      <c r="F2560" s="7" t="n">
        <v>0</v>
      </c>
    </row>
    <row r="2561" spans="1:9">
      <c r="A2561" t="s">
        <v>4</v>
      </c>
      <c r="B2561" s="4" t="s">
        <v>5</v>
      </c>
      <c r="C2561" s="4" t="s">
        <v>11</v>
      </c>
      <c r="D2561" s="4" t="s">
        <v>11</v>
      </c>
      <c r="E2561" s="4" t="s">
        <v>13</v>
      </c>
      <c r="F2561" s="4" t="s">
        <v>7</v>
      </c>
    </row>
    <row r="2562" spans="1:9">
      <c r="A2562" t="n">
        <v>21651</v>
      </c>
      <c r="B2562" s="73" t="n">
        <v>53</v>
      </c>
      <c r="C2562" s="7" t="n">
        <v>11</v>
      </c>
      <c r="D2562" s="7" t="n">
        <v>61456</v>
      </c>
      <c r="E2562" s="7" t="n">
        <v>5</v>
      </c>
      <c r="F2562" s="7" t="n">
        <v>0</v>
      </c>
    </row>
    <row r="2563" spans="1:9">
      <c r="A2563" t="s">
        <v>4</v>
      </c>
      <c r="B2563" s="4" t="s">
        <v>5</v>
      </c>
      <c r="C2563" s="4" t="s">
        <v>11</v>
      </c>
    </row>
    <row r="2564" spans="1:9">
      <c r="A2564" t="n">
        <v>21661</v>
      </c>
      <c r="B2564" s="29" t="n">
        <v>16</v>
      </c>
      <c r="C2564" s="7" t="n">
        <v>1000</v>
      </c>
    </row>
    <row r="2565" spans="1:9">
      <c r="A2565" t="s">
        <v>4</v>
      </c>
      <c r="B2565" s="4" t="s">
        <v>5</v>
      </c>
      <c r="C2565" s="4" t="s">
        <v>11</v>
      </c>
      <c r="D2565" s="4" t="s">
        <v>11</v>
      </c>
      <c r="E2565" s="4" t="s">
        <v>11</v>
      </c>
    </row>
    <row r="2566" spans="1:9">
      <c r="A2566" t="n">
        <v>21664</v>
      </c>
      <c r="B2566" s="72" t="n">
        <v>61</v>
      </c>
      <c r="C2566" s="7" t="n">
        <v>0</v>
      </c>
      <c r="D2566" s="7" t="n">
        <v>11</v>
      </c>
      <c r="E2566" s="7" t="n">
        <v>1000</v>
      </c>
    </row>
    <row r="2567" spans="1:9">
      <c r="A2567" t="s">
        <v>4</v>
      </c>
      <c r="B2567" s="4" t="s">
        <v>5</v>
      </c>
      <c r="C2567" s="4" t="s">
        <v>11</v>
      </c>
      <c r="D2567" s="4" t="s">
        <v>7</v>
      </c>
      <c r="E2567" s="4" t="s">
        <v>7</v>
      </c>
      <c r="F2567" s="4" t="s">
        <v>8</v>
      </c>
    </row>
    <row r="2568" spans="1:9">
      <c r="A2568" t="n">
        <v>21671</v>
      </c>
      <c r="B2568" s="41" t="n">
        <v>47</v>
      </c>
      <c r="C2568" s="7" t="n">
        <v>11</v>
      </c>
      <c r="D2568" s="7" t="n">
        <v>0</v>
      </c>
      <c r="E2568" s="7" t="n">
        <v>0</v>
      </c>
      <c r="F2568" s="7" t="s">
        <v>231</v>
      </c>
    </row>
    <row r="2569" spans="1:9">
      <c r="A2569" t="s">
        <v>4</v>
      </c>
      <c r="B2569" s="4" t="s">
        <v>5</v>
      </c>
      <c r="C2569" s="4" t="s">
        <v>7</v>
      </c>
      <c r="D2569" s="4" t="s">
        <v>11</v>
      </c>
      <c r="E2569" s="4" t="s">
        <v>8</v>
      </c>
    </row>
    <row r="2570" spans="1:9">
      <c r="A2570" t="n">
        <v>21688</v>
      </c>
      <c r="B2570" s="38" t="n">
        <v>51</v>
      </c>
      <c r="C2570" s="7" t="n">
        <v>4</v>
      </c>
      <c r="D2570" s="7" t="n">
        <v>11</v>
      </c>
      <c r="E2570" s="7" t="s">
        <v>137</v>
      </c>
    </row>
    <row r="2571" spans="1:9">
      <c r="A2571" t="s">
        <v>4</v>
      </c>
      <c r="B2571" s="4" t="s">
        <v>5</v>
      </c>
      <c r="C2571" s="4" t="s">
        <v>11</v>
      </c>
    </row>
    <row r="2572" spans="1:9">
      <c r="A2572" t="n">
        <v>21701</v>
      </c>
      <c r="B2572" s="29" t="n">
        <v>16</v>
      </c>
      <c r="C2572" s="7" t="n">
        <v>0</v>
      </c>
    </row>
    <row r="2573" spans="1:9">
      <c r="A2573" t="s">
        <v>4</v>
      </c>
      <c r="B2573" s="4" t="s">
        <v>5</v>
      </c>
      <c r="C2573" s="4" t="s">
        <v>11</v>
      </c>
      <c r="D2573" s="4" t="s">
        <v>55</v>
      </c>
      <c r="E2573" s="4" t="s">
        <v>7</v>
      </c>
      <c r="F2573" s="4" t="s">
        <v>7</v>
      </c>
      <c r="G2573" s="4" t="s">
        <v>55</v>
      </c>
      <c r="H2573" s="4" t="s">
        <v>7</v>
      </c>
      <c r="I2573" s="4" t="s">
        <v>7</v>
      </c>
      <c r="J2573" s="4" t="s">
        <v>55</v>
      </c>
      <c r="K2573" s="4" t="s">
        <v>7</v>
      </c>
      <c r="L2573" s="4" t="s">
        <v>7</v>
      </c>
    </row>
    <row r="2574" spans="1:9">
      <c r="A2574" t="n">
        <v>21704</v>
      </c>
      <c r="B2574" s="55" t="n">
        <v>26</v>
      </c>
      <c r="C2574" s="7" t="n">
        <v>11</v>
      </c>
      <c r="D2574" s="7" t="s">
        <v>251</v>
      </c>
      <c r="E2574" s="7" t="n">
        <v>2</v>
      </c>
      <c r="F2574" s="7" t="n">
        <v>3</v>
      </c>
      <c r="G2574" s="7" t="s">
        <v>252</v>
      </c>
      <c r="H2574" s="7" t="n">
        <v>2</v>
      </c>
      <c r="I2574" s="7" t="n">
        <v>3</v>
      </c>
      <c r="J2574" s="7" t="s">
        <v>253</v>
      </c>
      <c r="K2574" s="7" t="n">
        <v>2</v>
      </c>
      <c r="L2574" s="7" t="n">
        <v>0</v>
      </c>
    </row>
    <row r="2575" spans="1:9">
      <c r="A2575" t="s">
        <v>4</v>
      </c>
      <c r="B2575" s="4" t="s">
        <v>5</v>
      </c>
    </row>
    <row r="2576" spans="1:9">
      <c r="A2576" t="n">
        <v>21970</v>
      </c>
      <c r="B2576" s="27" t="n">
        <v>28</v>
      </c>
    </row>
    <row r="2577" spans="1:12">
      <c r="A2577" t="s">
        <v>4</v>
      </c>
      <c r="B2577" s="4" t="s">
        <v>5</v>
      </c>
      <c r="C2577" s="4" t="s">
        <v>7</v>
      </c>
      <c r="D2577" s="4" t="s">
        <v>11</v>
      </c>
      <c r="E2577" s="4" t="s">
        <v>13</v>
      </c>
    </row>
    <row r="2578" spans="1:12">
      <c r="A2578" t="n">
        <v>21971</v>
      </c>
      <c r="B2578" s="23" t="n">
        <v>58</v>
      </c>
      <c r="C2578" s="7" t="n">
        <v>0</v>
      </c>
      <c r="D2578" s="7" t="n">
        <v>300</v>
      </c>
      <c r="E2578" s="7" t="n">
        <v>0.300000011920929</v>
      </c>
    </row>
    <row r="2579" spans="1:12">
      <c r="A2579" t="s">
        <v>4</v>
      </c>
      <c r="B2579" s="4" t="s">
        <v>5</v>
      </c>
      <c r="C2579" s="4" t="s">
        <v>7</v>
      </c>
      <c r="D2579" s="4" t="s">
        <v>11</v>
      </c>
    </row>
    <row r="2580" spans="1:12">
      <c r="A2580" t="n">
        <v>21979</v>
      </c>
      <c r="B2580" s="23" t="n">
        <v>58</v>
      </c>
      <c r="C2580" s="7" t="n">
        <v>255</v>
      </c>
      <c r="D2580" s="7" t="n">
        <v>0</v>
      </c>
    </row>
    <row r="2581" spans="1:12">
      <c r="A2581" t="s">
        <v>4</v>
      </c>
      <c r="B2581" s="4" t="s">
        <v>5</v>
      </c>
      <c r="C2581" s="4" t="s">
        <v>7</v>
      </c>
      <c r="D2581" s="4" t="s">
        <v>11</v>
      </c>
      <c r="E2581" s="4" t="s">
        <v>13</v>
      </c>
      <c r="F2581" s="4" t="s">
        <v>11</v>
      </c>
      <c r="G2581" s="4" t="s">
        <v>15</v>
      </c>
      <c r="H2581" s="4" t="s">
        <v>15</v>
      </c>
      <c r="I2581" s="4" t="s">
        <v>11</v>
      </c>
      <c r="J2581" s="4" t="s">
        <v>11</v>
      </c>
      <c r="K2581" s="4" t="s">
        <v>15</v>
      </c>
      <c r="L2581" s="4" t="s">
        <v>15</v>
      </c>
      <c r="M2581" s="4" t="s">
        <v>15</v>
      </c>
      <c r="N2581" s="4" t="s">
        <v>15</v>
      </c>
      <c r="O2581" s="4" t="s">
        <v>8</v>
      </c>
    </row>
    <row r="2582" spans="1:12">
      <c r="A2582" t="n">
        <v>21983</v>
      </c>
      <c r="B2582" s="57" t="n">
        <v>50</v>
      </c>
      <c r="C2582" s="7" t="n">
        <v>0</v>
      </c>
      <c r="D2582" s="7" t="n">
        <v>12010</v>
      </c>
      <c r="E2582" s="7" t="n">
        <v>1</v>
      </c>
      <c r="F2582" s="7" t="n">
        <v>0</v>
      </c>
      <c r="G2582" s="7" t="n">
        <v>0</v>
      </c>
      <c r="H2582" s="7" t="n">
        <v>0</v>
      </c>
      <c r="I2582" s="7" t="n">
        <v>0</v>
      </c>
      <c r="J2582" s="7" t="n">
        <v>65533</v>
      </c>
      <c r="K2582" s="7" t="n">
        <v>0</v>
      </c>
      <c r="L2582" s="7" t="n">
        <v>0</v>
      </c>
      <c r="M2582" s="7" t="n">
        <v>0</v>
      </c>
      <c r="N2582" s="7" t="n">
        <v>0</v>
      </c>
      <c r="O2582" s="7" t="s">
        <v>16</v>
      </c>
    </row>
    <row r="2583" spans="1:12">
      <c r="A2583" t="s">
        <v>4</v>
      </c>
      <c r="B2583" s="4" t="s">
        <v>5</v>
      </c>
      <c r="C2583" s="4" t="s">
        <v>7</v>
      </c>
      <c r="D2583" s="4" t="s">
        <v>11</v>
      </c>
      <c r="E2583" s="4" t="s">
        <v>11</v>
      </c>
      <c r="F2583" s="4" t="s">
        <v>11</v>
      </c>
      <c r="G2583" s="4" t="s">
        <v>11</v>
      </c>
      <c r="H2583" s="4" t="s">
        <v>7</v>
      </c>
    </row>
    <row r="2584" spans="1:12">
      <c r="A2584" t="n">
        <v>22022</v>
      </c>
      <c r="B2584" s="31" t="n">
        <v>25</v>
      </c>
      <c r="C2584" s="7" t="n">
        <v>5</v>
      </c>
      <c r="D2584" s="7" t="n">
        <v>65535</v>
      </c>
      <c r="E2584" s="7" t="n">
        <v>65535</v>
      </c>
      <c r="F2584" s="7" t="n">
        <v>65535</v>
      </c>
      <c r="G2584" s="7" t="n">
        <v>65535</v>
      </c>
      <c r="H2584" s="7" t="n">
        <v>0</v>
      </c>
    </row>
    <row r="2585" spans="1:12">
      <c r="A2585" t="s">
        <v>4</v>
      </c>
      <c r="B2585" s="4" t="s">
        <v>5</v>
      </c>
      <c r="C2585" s="4" t="s">
        <v>11</v>
      </c>
      <c r="D2585" s="4" t="s">
        <v>55</v>
      </c>
      <c r="E2585" s="4" t="s">
        <v>7</v>
      </c>
      <c r="F2585" s="4" t="s">
        <v>7</v>
      </c>
      <c r="G2585" s="4" t="s">
        <v>11</v>
      </c>
      <c r="H2585" s="4" t="s">
        <v>7</v>
      </c>
      <c r="I2585" s="4" t="s">
        <v>55</v>
      </c>
      <c r="J2585" s="4" t="s">
        <v>7</v>
      </c>
      <c r="K2585" s="4" t="s">
        <v>7</v>
      </c>
      <c r="L2585" s="4" t="s">
        <v>7</v>
      </c>
    </row>
    <row r="2586" spans="1:12">
      <c r="A2586" t="n">
        <v>22033</v>
      </c>
      <c r="B2586" s="32" t="n">
        <v>24</v>
      </c>
      <c r="C2586" s="7" t="n">
        <v>65533</v>
      </c>
      <c r="D2586" s="7" t="s">
        <v>204</v>
      </c>
      <c r="E2586" s="7" t="n">
        <v>12</v>
      </c>
      <c r="F2586" s="7" t="n">
        <v>16</v>
      </c>
      <c r="G2586" s="7" t="n">
        <v>171</v>
      </c>
      <c r="H2586" s="7" t="n">
        <v>7</v>
      </c>
      <c r="I2586" s="7" t="s">
        <v>205</v>
      </c>
      <c r="J2586" s="7" t="n">
        <v>6</v>
      </c>
      <c r="K2586" s="7" t="n">
        <v>2</v>
      </c>
      <c r="L2586" s="7" t="n">
        <v>0</v>
      </c>
    </row>
    <row r="2587" spans="1:12">
      <c r="A2587" t="s">
        <v>4</v>
      </c>
      <c r="B2587" s="4" t="s">
        <v>5</v>
      </c>
    </row>
    <row r="2588" spans="1:12">
      <c r="A2588" t="n">
        <v>22054</v>
      </c>
      <c r="B2588" s="27" t="n">
        <v>28</v>
      </c>
    </row>
    <row r="2589" spans="1:12">
      <c r="A2589" t="s">
        <v>4</v>
      </c>
      <c r="B2589" s="4" t="s">
        <v>5</v>
      </c>
      <c r="C2589" s="4" t="s">
        <v>7</v>
      </c>
    </row>
    <row r="2590" spans="1:12">
      <c r="A2590" t="n">
        <v>22055</v>
      </c>
      <c r="B2590" s="33" t="n">
        <v>27</v>
      </c>
      <c r="C2590" s="7" t="n">
        <v>0</v>
      </c>
    </row>
    <row r="2591" spans="1:12">
      <c r="A2591" t="s">
        <v>4</v>
      </c>
      <c r="B2591" s="4" t="s">
        <v>5</v>
      </c>
      <c r="C2591" s="4" t="s">
        <v>7</v>
      </c>
      <c r="D2591" s="4" t="s">
        <v>11</v>
      </c>
      <c r="E2591" s="4" t="s">
        <v>11</v>
      </c>
      <c r="F2591" s="4" t="s">
        <v>11</v>
      </c>
      <c r="G2591" s="4" t="s">
        <v>11</v>
      </c>
      <c r="H2591" s="4" t="s">
        <v>7</v>
      </c>
    </row>
    <row r="2592" spans="1:12">
      <c r="A2592" t="n">
        <v>22057</v>
      </c>
      <c r="B2592" s="31" t="n">
        <v>25</v>
      </c>
      <c r="C2592" s="7" t="n">
        <v>5</v>
      </c>
      <c r="D2592" s="7" t="n">
        <v>65535</v>
      </c>
      <c r="E2592" s="7" t="n">
        <v>65535</v>
      </c>
      <c r="F2592" s="7" t="n">
        <v>65535</v>
      </c>
      <c r="G2592" s="7" t="n">
        <v>65535</v>
      </c>
      <c r="H2592" s="7" t="n">
        <v>0</v>
      </c>
    </row>
    <row r="2593" spans="1:15">
      <c r="A2593" t="s">
        <v>4</v>
      </c>
      <c r="B2593" s="4" t="s">
        <v>5</v>
      </c>
      <c r="C2593" s="4" t="s">
        <v>7</v>
      </c>
      <c r="D2593" s="4" t="s">
        <v>11</v>
      </c>
      <c r="E2593" s="4" t="s">
        <v>15</v>
      </c>
    </row>
    <row r="2594" spans="1:15">
      <c r="A2594" t="n">
        <v>22068</v>
      </c>
      <c r="B2594" s="21" t="n">
        <v>101</v>
      </c>
      <c r="C2594" s="7" t="n">
        <v>0</v>
      </c>
      <c r="D2594" s="7" t="n">
        <v>171</v>
      </c>
      <c r="E2594" s="7" t="n">
        <v>1</v>
      </c>
    </row>
    <row r="2595" spans="1:15">
      <c r="A2595" t="s">
        <v>4</v>
      </c>
      <c r="B2595" s="4" t="s">
        <v>5</v>
      </c>
      <c r="C2595" s="4" t="s">
        <v>7</v>
      </c>
      <c r="D2595" s="4" t="s">
        <v>11</v>
      </c>
      <c r="E2595" s="4" t="s">
        <v>13</v>
      </c>
    </row>
    <row r="2596" spans="1:15">
      <c r="A2596" t="n">
        <v>22076</v>
      </c>
      <c r="B2596" s="23" t="n">
        <v>58</v>
      </c>
      <c r="C2596" s="7" t="n">
        <v>100</v>
      </c>
      <c r="D2596" s="7" t="n">
        <v>300</v>
      </c>
      <c r="E2596" s="7" t="n">
        <v>0.300000011920929</v>
      </c>
    </row>
    <row r="2597" spans="1:15">
      <c r="A2597" t="s">
        <v>4</v>
      </c>
      <c r="B2597" s="4" t="s">
        <v>5</v>
      </c>
      <c r="C2597" s="4" t="s">
        <v>7</v>
      </c>
      <c r="D2597" s="4" t="s">
        <v>11</v>
      </c>
    </row>
    <row r="2598" spans="1:15">
      <c r="A2598" t="n">
        <v>22084</v>
      </c>
      <c r="B2598" s="23" t="n">
        <v>58</v>
      </c>
      <c r="C2598" s="7" t="n">
        <v>255</v>
      </c>
      <c r="D2598" s="7" t="n">
        <v>0</v>
      </c>
    </row>
    <row r="2599" spans="1:15">
      <c r="A2599" t="s">
        <v>4</v>
      </c>
      <c r="B2599" s="4" t="s">
        <v>5</v>
      </c>
      <c r="C2599" s="4" t="s">
        <v>11</v>
      </c>
      <c r="D2599" s="4" t="s">
        <v>7</v>
      </c>
      <c r="E2599" s="4" t="s">
        <v>13</v>
      </c>
      <c r="F2599" s="4" t="s">
        <v>11</v>
      </c>
    </row>
    <row r="2600" spans="1:15">
      <c r="A2600" t="n">
        <v>22088</v>
      </c>
      <c r="B2600" s="56" t="n">
        <v>59</v>
      </c>
      <c r="C2600" s="7" t="n">
        <v>0</v>
      </c>
      <c r="D2600" s="7" t="n">
        <v>6</v>
      </c>
      <c r="E2600" s="7" t="n">
        <v>0</v>
      </c>
      <c r="F2600" s="7" t="n">
        <v>0</v>
      </c>
    </row>
    <row r="2601" spans="1:15">
      <c r="A2601" t="s">
        <v>4</v>
      </c>
      <c r="B2601" s="4" t="s">
        <v>5</v>
      </c>
      <c r="C2601" s="4" t="s">
        <v>11</v>
      </c>
    </row>
    <row r="2602" spans="1:15">
      <c r="A2602" t="n">
        <v>22098</v>
      </c>
      <c r="B2602" s="29" t="n">
        <v>16</v>
      </c>
      <c r="C2602" s="7" t="n">
        <v>1300</v>
      </c>
    </row>
    <row r="2603" spans="1:15">
      <c r="A2603" t="s">
        <v>4</v>
      </c>
      <c r="B2603" s="4" t="s">
        <v>5</v>
      </c>
      <c r="C2603" s="4" t="s">
        <v>11</v>
      </c>
      <c r="D2603" s="4" t="s">
        <v>7</v>
      </c>
      <c r="E2603" s="4" t="s">
        <v>8</v>
      </c>
      <c r="F2603" s="4" t="s">
        <v>13</v>
      </c>
      <c r="G2603" s="4" t="s">
        <v>13</v>
      </c>
      <c r="H2603" s="4" t="s">
        <v>13</v>
      </c>
    </row>
    <row r="2604" spans="1:15">
      <c r="A2604" t="n">
        <v>22101</v>
      </c>
      <c r="B2604" s="42" t="n">
        <v>48</v>
      </c>
      <c r="C2604" s="7" t="n">
        <v>0</v>
      </c>
      <c r="D2604" s="7" t="n">
        <v>0</v>
      </c>
      <c r="E2604" s="7" t="s">
        <v>230</v>
      </c>
      <c r="F2604" s="7" t="n">
        <v>-1</v>
      </c>
      <c r="G2604" s="7" t="n">
        <v>1</v>
      </c>
      <c r="H2604" s="7" t="n">
        <v>2.80259692864963e-45</v>
      </c>
    </row>
    <row r="2605" spans="1:15">
      <c r="A2605" t="s">
        <v>4</v>
      </c>
      <c r="B2605" s="4" t="s">
        <v>5</v>
      </c>
      <c r="C2605" s="4" t="s">
        <v>7</v>
      </c>
      <c r="D2605" s="4" t="s">
        <v>11</v>
      </c>
      <c r="E2605" s="4" t="s">
        <v>8</v>
      </c>
    </row>
    <row r="2606" spans="1:15">
      <c r="A2606" t="n">
        <v>22132</v>
      </c>
      <c r="B2606" s="38" t="n">
        <v>51</v>
      </c>
      <c r="C2606" s="7" t="n">
        <v>4</v>
      </c>
      <c r="D2606" s="7" t="n">
        <v>0</v>
      </c>
      <c r="E2606" s="7" t="s">
        <v>235</v>
      </c>
    </row>
    <row r="2607" spans="1:15">
      <c r="A2607" t="s">
        <v>4</v>
      </c>
      <c r="B2607" s="4" t="s">
        <v>5</v>
      </c>
      <c r="C2607" s="4" t="s">
        <v>11</v>
      </c>
    </row>
    <row r="2608" spans="1:15">
      <c r="A2608" t="n">
        <v>22146</v>
      </c>
      <c r="B2608" s="29" t="n">
        <v>16</v>
      </c>
      <c r="C2608" s="7" t="n">
        <v>0</v>
      </c>
    </row>
    <row r="2609" spans="1:8">
      <c r="A2609" t="s">
        <v>4</v>
      </c>
      <c r="B2609" s="4" t="s">
        <v>5</v>
      </c>
      <c r="C2609" s="4" t="s">
        <v>11</v>
      </c>
      <c r="D2609" s="4" t="s">
        <v>55</v>
      </c>
      <c r="E2609" s="4" t="s">
        <v>7</v>
      </c>
      <c r="F2609" s="4" t="s">
        <v>7</v>
      </c>
    </row>
    <row r="2610" spans="1:8">
      <c r="A2610" t="n">
        <v>22149</v>
      </c>
      <c r="B2610" s="55" t="n">
        <v>26</v>
      </c>
      <c r="C2610" s="7" t="n">
        <v>0</v>
      </c>
      <c r="D2610" s="7" t="s">
        <v>254</v>
      </c>
      <c r="E2610" s="7" t="n">
        <v>2</v>
      </c>
      <c r="F2610" s="7" t="n">
        <v>0</v>
      </c>
    </row>
    <row r="2611" spans="1:8">
      <c r="A2611" t="s">
        <v>4</v>
      </c>
      <c r="B2611" s="4" t="s">
        <v>5</v>
      </c>
    </row>
    <row r="2612" spans="1:8">
      <c r="A2612" t="n">
        <v>22266</v>
      </c>
      <c r="B2612" s="27" t="n">
        <v>28</v>
      </c>
    </row>
    <row r="2613" spans="1:8">
      <c r="A2613" t="s">
        <v>4</v>
      </c>
      <c r="B2613" s="4" t="s">
        <v>5</v>
      </c>
      <c r="C2613" s="4" t="s">
        <v>11</v>
      </c>
      <c r="D2613" s="4" t="s">
        <v>7</v>
      </c>
      <c r="E2613" s="4" t="s">
        <v>7</v>
      </c>
      <c r="F2613" s="4" t="s">
        <v>8</v>
      </c>
    </row>
    <row r="2614" spans="1:8">
      <c r="A2614" t="n">
        <v>22267</v>
      </c>
      <c r="B2614" s="50" t="n">
        <v>20</v>
      </c>
      <c r="C2614" s="7" t="n">
        <v>11</v>
      </c>
      <c r="D2614" s="7" t="n">
        <v>2</v>
      </c>
      <c r="E2614" s="7" t="n">
        <v>10</v>
      </c>
      <c r="F2614" s="7" t="s">
        <v>223</v>
      </c>
    </row>
    <row r="2615" spans="1:8">
      <c r="A2615" t="s">
        <v>4</v>
      </c>
      <c r="B2615" s="4" t="s">
        <v>5</v>
      </c>
      <c r="C2615" s="4" t="s">
        <v>7</v>
      </c>
      <c r="D2615" s="4" t="s">
        <v>11</v>
      </c>
      <c r="E2615" s="4" t="s">
        <v>8</v>
      </c>
    </row>
    <row r="2616" spans="1:8">
      <c r="A2616" t="n">
        <v>22288</v>
      </c>
      <c r="B2616" s="38" t="n">
        <v>51</v>
      </c>
      <c r="C2616" s="7" t="n">
        <v>4</v>
      </c>
      <c r="D2616" s="7" t="n">
        <v>11</v>
      </c>
      <c r="E2616" s="7" t="s">
        <v>238</v>
      </c>
    </row>
    <row r="2617" spans="1:8">
      <c r="A2617" t="s">
        <v>4</v>
      </c>
      <c r="B2617" s="4" t="s">
        <v>5</v>
      </c>
      <c r="C2617" s="4" t="s">
        <v>11</v>
      </c>
    </row>
    <row r="2618" spans="1:8">
      <c r="A2618" t="n">
        <v>22302</v>
      </c>
      <c r="B2618" s="29" t="n">
        <v>16</v>
      </c>
      <c r="C2618" s="7" t="n">
        <v>0</v>
      </c>
    </row>
    <row r="2619" spans="1:8">
      <c r="A2619" t="s">
        <v>4</v>
      </c>
      <c r="B2619" s="4" t="s">
        <v>5</v>
      </c>
      <c r="C2619" s="4" t="s">
        <v>11</v>
      </c>
      <c r="D2619" s="4" t="s">
        <v>55</v>
      </c>
      <c r="E2619" s="4" t="s">
        <v>7</v>
      </c>
      <c r="F2619" s="4" t="s">
        <v>7</v>
      </c>
      <c r="G2619" s="4" t="s">
        <v>55</v>
      </c>
      <c r="H2619" s="4" t="s">
        <v>7</v>
      </c>
      <c r="I2619" s="4" t="s">
        <v>7</v>
      </c>
    </row>
    <row r="2620" spans="1:8">
      <c r="A2620" t="n">
        <v>22305</v>
      </c>
      <c r="B2620" s="55" t="n">
        <v>26</v>
      </c>
      <c r="C2620" s="7" t="n">
        <v>11</v>
      </c>
      <c r="D2620" s="7" t="s">
        <v>255</v>
      </c>
      <c r="E2620" s="7" t="n">
        <v>2</v>
      </c>
      <c r="F2620" s="7" t="n">
        <v>3</v>
      </c>
      <c r="G2620" s="7" t="s">
        <v>256</v>
      </c>
      <c r="H2620" s="7" t="n">
        <v>2</v>
      </c>
      <c r="I2620" s="7" t="n">
        <v>0</v>
      </c>
    </row>
    <row r="2621" spans="1:8">
      <c r="A2621" t="s">
        <v>4</v>
      </c>
      <c r="B2621" s="4" t="s">
        <v>5</v>
      </c>
    </row>
    <row r="2622" spans="1:8">
      <c r="A2622" t="n">
        <v>22463</v>
      </c>
      <c r="B2622" s="27" t="n">
        <v>28</v>
      </c>
    </row>
    <row r="2623" spans="1:8">
      <c r="A2623" t="s">
        <v>4</v>
      </c>
      <c r="B2623" s="4" t="s">
        <v>5</v>
      </c>
      <c r="C2623" s="4" t="s">
        <v>11</v>
      </c>
      <c r="D2623" s="4" t="s">
        <v>7</v>
      </c>
      <c r="E2623" s="4" t="s">
        <v>13</v>
      </c>
      <c r="F2623" s="4" t="s">
        <v>11</v>
      </c>
    </row>
    <row r="2624" spans="1:8">
      <c r="A2624" t="n">
        <v>22464</v>
      </c>
      <c r="B2624" s="56" t="n">
        <v>59</v>
      </c>
      <c r="C2624" s="7" t="n">
        <v>0</v>
      </c>
      <c r="D2624" s="7" t="n">
        <v>6</v>
      </c>
      <c r="E2624" s="7" t="n">
        <v>0</v>
      </c>
      <c r="F2624" s="7" t="n">
        <v>0</v>
      </c>
    </row>
    <row r="2625" spans="1:9">
      <c r="A2625" t="s">
        <v>4</v>
      </c>
      <c r="B2625" s="4" t="s">
        <v>5</v>
      </c>
      <c r="C2625" s="4" t="s">
        <v>11</v>
      </c>
    </row>
    <row r="2626" spans="1:9">
      <c r="A2626" t="n">
        <v>22474</v>
      </c>
      <c r="B2626" s="29" t="n">
        <v>16</v>
      </c>
      <c r="C2626" s="7" t="n">
        <v>1300</v>
      </c>
    </row>
    <row r="2627" spans="1:9">
      <c r="A2627" t="s">
        <v>4</v>
      </c>
      <c r="B2627" s="4" t="s">
        <v>5</v>
      </c>
      <c r="C2627" s="4" t="s">
        <v>7</v>
      </c>
      <c r="D2627" s="4" t="s">
        <v>11</v>
      </c>
      <c r="E2627" s="4" t="s">
        <v>7</v>
      </c>
      <c r="F2627" s="4" t="s">
        <v>12</v>
      </c>
    </row>
    <row r="2628" spans="1:9">
      <c r="A2628" t="n">
        <v>22477</v>
      </c>
      <c r="B2628" s="10" t="n">
        <v>5</v>
      </c>
      <c r="C2628" s="7" t="n">
        <v>30</v>
      </c>
      <c r="D2628" s="7" t="n">
        <v>10859</v>
      </c>
      <c r="E2628" s="7" t="n">
        <v>1</v>
      </c>
      <c r="F2628" s="11" t="n">
        <f t="normal" ca="1">A2640</f>
        <v>0</v>
      </c>
    </row>
    <row r="2629" spans="1:9">
      <c r="A2629" t="s">
        <v>4</v>
      </c>
      <c r="B2629" s="4" t="s">
        <v>5</v>
      </c>
      <c r="C2629" s="4" t="s">
        <v>7</v>
      </c>
      <c r="D2629" s="4" t="s">
        <v>11</v>
      </c>
      <c r="E2629" s="4" t="s">
        <v>8</v>
      </c>
    </row>
    <row r="2630" spans="1:9">
      <c r="A2630" t="n">
        <v>22486</v>
      </c>
      <c r="B2630" s="38" t="n">
        <v>51</v>
      </c>
      <c r="C2630" s="7" t="n">
        <v>4</v>
      </c>
      <c r="D2630" s="7" t="n">
        <v>0</v>
      </c>
      <c r="E2630" s="7" t="s">
        <v>257</v>
      </c>
    </row>
    <row r="2631" spans="1:9">
      <c r="A2631" t="s">
        <v>4</v>
      </c>
      <c r="B2631" s="4" t="s">
        <v>5</v>
      </c>
      <c r="C2631" s="4" t="s">
        <v>11</v>
      </c>
    </row>
    <row r="2632" spans="1:9">
      <c r="A2632" t="n">
        <v>22500</v>
      </c>
      <c r="B2632" s="29" t="n">
        <v>16</v>
      </c>
      <c r="C2632" s="7" t="n">
        <v>0</v>
      </c>
    </row>
    <row r="2633" spans="1:9">
      <c r="A2633" t="s">
        <v>4</v>
      </c>
      <c r="B2633" s="4" t="s">
        <v>5</v>
      </c>
      <c r="C2633" s="4" t="s">
        <v>11</v>
      </c>
      <c r="D2633" s="4" t="s">
        <v>55</v>
      </c>
      <c r="E2633" s="4" t="s">
        <v>7</v>
      </c>
      <c r="F2633" s="4" t="s">
        <v>7</v>
      </c>
    </row>
    <row r="2634" spans="1:9">
      <c r="A2634" t="n">
        <v>22503</v>
      </c>
      <c r="B2634" s="55" t="n">
        <v>26</v>
      </c>
      <c r="C2634" s="7" t="n">
        <v>0</v>
      </c>
      <c r="D2634" s="7" t="s">
        <v>258</v>
      </c>
      <c r="E2634" s="7" t="n">
        <v>2</v>
      </c>
      <c r="F2634" s="7" t="n">
        <v>0</v>
      </c>
    </row>
    <row r="2635" spans="1:9">
      <c r="A2635" t="s">
        <v>4</v>
      </c>
      <c r="B2635" s="4" t="s">
        <v>5</v>
      </c>
    </row>
    <row r="2636" spans="1:9">
      <c r="A2636" t="n">
        <v>22554</v>
      </c>
      <c r="B2636" s="27" t="n">
        <v>28</v>
      </c>
    </row>
    <row r="2637" spans="1:9">
      <c r="A2637" t="s">
        <v>4</v>
      </c>
      <c r="B2637" s="4" t="s">
        <v>5</v>
      </c>
      <c r="C2637" s="4" t="s">
        <v>11</v>
      </c>
      <c r="D2637" s="4" t="s">
        <v>7</v>
      </c>
    </row>
    <row r="2638" spans="1:9">
      <c r="A2638" t="n">
        <v>22555</v>
      </c>
      <c r="B2638" s="68" t="n">
        <v>89</v>
      </c>
      <c r="C2638" s="7" t="n">
        <v>65533</v>
      </c>
      <c r="D2638" s="7" t="n">
        <v>1</v>
      </c>
    </row>
    <row r="2639" spans="1:9">
      <c r="A2639" t="s">
        <v>4</v>
      </c>
      <c r="B2639" s="4" t="s">
        <v>5</v>
      </c>
      <c r="C2639" s="4" t="s">
        <v>7</v>
      </c>
      <c r="D2639" s="4" t="s">
        <v>11</v>
      </c>
      <c r="E2639" s="4" t="s">
        <v>8</v>
      </c>
    </row>
    <row r="2640" spans="1:9">
      <c r="A2640" t="n">
        <v>22559</v>
      </c>
      <c r="B2640" s="38" t="n">
        <v>51</v>
      </c>
      <c r="C2640" s="7" t="n">
        <v>4</v>
      </c>
      <c r="D2640" s="7" t="n">
        <v>0</v>
      </c>
      <c r="E2640" s="7" t="s">
        <v>113</v>
      </c>
    </row>
    <row r="2641" spans="1:6">
      <c r="A2641" t="s">
        <v>4</v>
      </c>
      <c r="B2641" s="4" t="s">
        <v>5</v>
      </c>
      <c r="C2641" s="4" t="s">
        <v>11</v>
      </c>
    </row>
    <row r="2642" spans="1:6">
      <c r="A2642" t="n">
        <v>22574</v>
      </c>
      <c r="B2642" s="29" t="n">
        <v>16</v>
      </c>
      <c r="C2642" s="7" t="n">
        <v>0</v>
      </c>
    </row>
    <row r="2643" spans="1:6">
      <c r="A2643" t="s">
        <v>4</v>
      </c>
      <c r="B2643" s="4" t="s">
        <v>5</v>
      </c>
      <c r="C2643" s="4" t="s">
        <v>11</v>
      </c>
      <c r="D2643" s="4" t="s">
        <v>55</v>
      </c>
      <c r="E2643" s="4" t="s">
        <v>7</v>
      </c>
      <c r="F2643" s="4" t="s">
        <v>7</v>
      </c>
    </row>
    <row r="2644" spans="1:6">
      <c r="A2644" t="n">
        <v>22577</v>
      </c>
      <c r="B2644" s="55" t="n">
        <v>26</v>
      </c>
      <c r="C2644" s="7" t="n">
        <v>0</v>
      </c>
      <c r="D2644" s="7" t="s">
        <v>259</v>
      </c>
      <c r="E2644" s="7" t="n">
        <v>2</v>
      </c>
      <c r="F2644" s="7" t="n">
        <v>0</v>
      </c>
    </row>
    <row r="2645" spans="1:6">
      <c r="A2645" t="s">
        <v>4</v>
      </c>
      <c r="B2645" s="4" t="s">
        <v>5</v>
      </c>
    </row>
    <row r="2646" spans="1:6">
      <c r="A2646" t="n">
        <v>22682</v>
      </c>
      <c r="B2646" s="27" t="n">
        <v>28</v>
      </c>
    </row>
    <row r="2647" spans="1:6">
      <c r="A2647" t="s">
        <v>4</v>
      </c>
      <c r="B2647" s="4" t="s">
        <v>5</v>
      </c>
      <c r="C2647" s="4" t="s">
        <v>7</v>
      </c>
      <c r="D2647" s="4" t="s">
        <v>11</v>
      </c>
      <c r="E2647" s="4" t="s">
        <v>8</v>
      </c>
      <c r="F2647" s="4" t="s">
        <v>8</v>
      </c>
      <c r="G2647" s="4" t="s">
        <v>8</v>
      </c>
      <c r="H2647" s="4" t="s">
        <v>8</v>
      </c>
    </row>
    <row r="2648" spans="1:6">
      <c r="A2648" t="n">
        <v>22683</v>
      </c>
      <c r="B2648" s="38" t="n">
        <v>51</v>
      </c>
      <c r="C2648" s="7" t="n">
        <v>3</v>
      </c>
      <c r="D2648" s="7" t="n">
        <v>0</v>
      </c>
      <c r="E2648" s="7" t="s">
        <v>86</v>
      </c>
      <c r="F2648" s="7" t="s">
        <v>218</v>
      </c>
      <c r="G2648" s="7" t="s">
        <v>78</v>
      </c>
      <c r="H2648" s="7" t="s">
        <v>79</v>
      </c>
    </row>
    <row r="2649" spans="1:6">
      <c r="A2649" t="s">
        <v>4</v>
      </c>
      <c r="B2649" s="4" t="s">
        <v>5</v>
      </c>
      <c r="C2649" s="4" t="s">
        <v>11</v>
      </c>
      <c r="D2649" s="4" t="s">
        <v>7</v>
      </c>
      <c r="E2649" s="4" t="s">
        <v>13</v>
      </c>
      <c r="F2649" s="4" t="s">
        <v>11</v>
      </c>
    </row>
    <row r="2650" spans="1:6">
      <c r="A2650" t="n">
        <v>22696</v>
      </c>
      <c r="B2650" s="56" t="n">
        <v>59</v>
      </c>
      <c r="C2650" s="7" t="n">
        <v>0</v>
      </c>
      <c r="D2650" s="7" t="n">
        <v>9</v>
      </c>
      <c r="E2650" s="7" t="n">
        <v>0.150000005960464</v>
      </c>
      <c r="F2650" s="7" t="n">
        <v>0</v>
      </c>
    </row>
    <row r="2651" spans="1:6">
      <c r="A2651" t="s">
        <v>4</v>
      </c>
      <c r="B2651" s="4" t="s">
        <v>5</v>
      </c>
      <c r="C2651" s="4" t="s">
        <v>11</v>
      </c>
    </row>
    <row r="2652" spans="1:6">
      <c r="A2652" t="n">
        <v>22706</v>
      </c>
      <c r="B2652" s="29" t="n">
        <v>16</v>
      </c>
      <c r="C2652" s="7" t="n">
        <v>2000</v>
      </c>
    </row>
    <row r="2653" spans="1:6">
      <c r="A2653" t="s">
        <v>4</v>
      </c>
      <c r="B2653" s="4" t="s">
        <v>5</v>
      </c>
      <c r="C2653" s="4" t="s">
        <v>7</v>
      </c>
      <c r="D2653" s="4" t="s">
        <v>7</v>
      </c>
      <c r="E2653" s="4" t="s">
        <v>15</v>
      </c>
      <c r="F2653" s="4" t="s">
        <v>7</v>
      </c>
      <c r="G2653" s="4" t="s">
        <v>7</v>
      </c>
    </row>
    <row r="2654" spans="1:6">
      <c r="A2654" t="n">
        <v>22709</v>
      </c>
      <c r="B2654" s="74" t="n">
        <v>18</v>
      </c>
      <c r="C2654" s="7" t="n">
        <v>0</v>
      </c>
      <c r="D2654" s="7" t="n">
        <v>0</v>
      </c>
      <c r="E2654" s="7" t="n">
        <v>1</v>
      </c>
      <c r="F2654" s="7" t="n">
        <v>19</v>
      </c>
      <c r="G2654" s="7" t="n">
        <v>1</v>
      </c>
    </row>
    <row r="2655" spans="1:6">
      <c r="A2655" t="s">
        <v>4</v>
      </c>
      <c r="B2655" s="4" t="s">
        <v>5</v>
      </c>
      <c r="C2655" s="4" t="s">
        <v>7</v>
      </c>
      <c r="D2655" s="4" t="s">
        <v>11</v>
      </c>
      <c r="E2655" s="4" t="s">
        <v>7</v>
      </c>
      <c r="F2655" s="4" t="s">
        <v>12</v>
      </c>
    </row>
    <row r="2656" spans="1:6">
      <c r="A2656" t="n">
        <v>22718</v>
      </c>
      <c r="B2656" s="10" t="n">
        <v>5</v>
      </c>
      <c r="C2656" s="7" t="n">
        <v>30</v>
      </c>
      <c r="D2656" s="7" t="n">
        <v>10920</v>
      </c>
      <c r="E2656" s="7" t="n">
        <v>1</v>
      </c>
      <c r="F2656" s="11" t="n">
        <f t="normal" ca="1">A2660</f>
        <v>0</v>
      </c>
    </row>
    <row r="2657" spans="1:8">
      <c r="A2657" t="s">
        <v>4</v>
      </c>
      <c r="B2657" s="4" t="s">
        <v>5</v>
      </c>
      <c r="C2657" s="4" t="s">
        <v>7</v>
      </c>
      <c r="D2657" s="4" t="s">
        <v>7</v>
      </c>
      <c r="E2657" s="4" t="s">
        <v>7</v>
      </c>
      <c r="F2657" s="4" t="s">
        <v>7</v>
      </c>
      <c r="G2657" s="4" t="s">
        <v>15</v>
      </c>
      <c r="H2657" s="4" t="s">
        <v>7</v>
      </c>
      <c r="I2657" s="4" t="s">
        <v>7</v>
      </c>
      <c r="J2657" s="4" t="s">
        <v>7</v>
      </c>
    </row>
    <row r="2658" spans="1:8">
      <c r="A2658" t="n">
        <v>22727</v>
      </c>
      <c r="B2658" s="74" t="n">
        <v>18</v>
      </c>
      <c r="C2658" s="7" t="n">
        <v>0</v>
      </c>
      <c r="D2658" s="7" t="n">
        <v>35</v>
      </c>
      <c r="E2658" s="7" t="n">
        <v>0</v>
      </c>
      <c r="F2658" s="7" t="n">
        <v>0</v>
      </c>
      <c r="G2658" s="7" t="n">
        <v>1</v>
      </c>
      <c r="H2658" s="7" t="n">
        <v>12</v>
      </c>
      <c r="I2658" s="7" t="n">
        <v>19</v>
      </c>
      <c r="J2658" s="7" t="n">
        <v>1</v>
      </c>
    </row>
    <row r="2659" spans="1:8">
      <c r="A2659" t="s">
        <v>4</v>
      </c>
      <c r="B2659" s="4" t="s">
        <v>5</v>
      </c>
      <c r="C2659" s="4" t="s">
        <v>7</v>
      </c>
      <c r="D2659" s="4" t="s">
        <v>11</v>
      </c>
      <c r="E2659" s="4" t="s">
        <v>7</v>
      </c>
      <c r="F2659" s="4" t="s">
        <v>12</v>
      </c>
    </row>
    <row r="2660" spans="1:8">
      <c r="A2660" t="n">
        <v>22739</v>
      </c>
      <c r="B2660" s="10" t="n">
        <v>5</v>
      </c>
      <c r="C2660" s="7" t="n">
        <v>30</v>
      </c>
      <c r="D2660" s="7" t="n">
        <v>10924</v>
      </c>
      <c r="E2660" s="7" t="n">
        <v>1</v>
      </c>
      <c r="F2660" s="11" t="n">
        <f t="normal" ca="1">A2664</f>
        <v>0</v>
      </c>
    </row>
    <row r="2661" spans="1:8">
      <c r="A2661" t="s">
        <v>4</v>
      </c>
      <c r="B2661" s="4" t="s">
        <v>5</v>
      </c>
      <c r="C2661" s="4" t="s">
        <v>7</v>
      </c>
      <c r="D2661" s="4" t="s">
        <v>7</v>
      </c>
      <c r="E2661" s="4" t="s">
        <v>7</v>
      </c>
      <c r="F2661" s="4" t="s">
        <v>7</v>
      </c>
      <c r="G2661" s="4" t="s">
        <v>15</v>
      </c>
      <c r="H2661" s="4" t="s">
        <v>7</v>
      </c>
      <c r="I2661" s="4" t="s">
        <v>7</v>
      </c>
      <c r="J2661" s="4" t="s">
        <v>7</v>
      </c>
    </row>
    <row r="2662" spans="1:8">
      <c r="A2662" t="n">
        <v>22748</v>
      </c>
      <c r="B2662" s="74" t="n">
        <v>18</v>
      </c>
      <c r="C2662" s="7" t="n">
        <v>0</v>
      </c>
      <c r="D2662" s="7" t="n">
        <v>35</v>
      </c>
      <c r="E2662" s="7" t="n">
        <v>0</v>
      </c>
      <c r="F2662" s="7" t="n">
        <v>0</v>
      </c>
      <c r="G2662" s="7" t="n">
        <v>1</v>
      </c>
      <c r="H2662" s="7" t="n">
        <v>12</v>
      </c>
      <c r="I2662" s="7" t="n">
        <v>19</v>
      </c>
      <c r="J2662" s="7" t="n">
        <v>1</v>
      </c>
    </row>
    <row r="2663" spans="1:8">
      <c r="A2663" t="s">
        <v>4</v>
      </c>
      <c r="B2663" s="4" t="s">
        <v>5</v>
      </c>
      <c r="C2663" s="4" t="s">
        <v>7</v>
      </c>
      <c r="D2663" s="4" t="s">
        <v>7</v>
      </c>
      <c r="E2663" s="4" t="s">
        <v>7</v>
      </c>
      <c r="F2663" s="4" t="s">
        <v>15</v>
      </c>
      <c r="G2663" s="4" t="s">
        <v>7</v>
      </c>
      <c r="H2663" s="4" t="s">
        <v>7</v>
      </c>
      <c r="I2663" s="4" t="s">
        <v>12</v>
      </c>
    </row>
    <row r="2664" spans="1:8">
      <c r="A2664" t="n">
        <v>22760</v>
      </c>
      <c r="B2664" s="10" t="n">
        <v>5</v>
      </c>
      <c r="C2664" s="7" t="n">
        <v>35</v>
      </c>
      <c r="D2664" s="7" t="n">
        <v>0</v>
      </c>
      <c r="E2664" s="7" t="n">
        <v>0</v>
      </c>
      <c r="F2664" s="7" t="n">
        <v>1</v>
      </c>
      <c r="G2664" s="7" t="n">
        <v>2</v>
      </c>
      <c r="H2664" s="7" t="n">
        <v>1</v>
      </c>
      <c r="I2664" s="11" t="n">
        <f t="normal" ca="1">A2678</f>
        <v>0</v>
      </c>
    </row>
    <row r="2665" spans="1:8">
      <c r="A2665" t="s">
        <v>4</v>
      </c>
      <c r="B2665" s="4" t="s">
        <v>5</v>
      </c>
      <c r="C2665" s="4" t="s">
        <v>11</v>
      </c>
      <c r="D2665" s="4" t="s">
        <v>7</v>
      </c>
      <c r="E2665" s="4" t="s">
        <v>7</v>
      </c>
      <c r="F2665" s="4" t="s">
        <v>8</v>
      </c>
    </row>
    <row r="2666" spans="1:8">
      <c r="A2666" t="n">
        <v>22774</v>
      </c>
      <c r="B2666" s="50" t="n">
        <v>20</v>
      </c>
      <c r="C2666" s="7" t="n">
        <v>0</v>
      </c>
      <c r="D2666" s="7" t="n">
        <v>2</v>
      </c>
      <c r="E2666" s="7" t="n">
        <v>10</v>
      </c>
      <c r="F2666" s="7" t="s">
        <v>260</v>
      </c>
    </row>
    <row r="2667" spans="1:8">
      <c r="A2667" t="s">
        <v>4</v>
      </c>
      <c r="B2667" s="4" t="s">
        <v>5</v>
      </c>
      <c r="C2667" s="4" t="s">
        <v>7</v>
      </c>
      <c r="D2667" s="4" t="s">
        <v>11</v>
      </c>
      <c r="E2667" s="4" t="s">
        <v>8</v>
      </c>
    </row>
    <row r="2668" spans="1:8">
      <c r="A2668" t="n">
        <v>22794</v>
      </c>
      <c r="B2668" s="38" t="n">
        <v>51</v>
      </c>
      <c r="C2668" s="7" t="n">
        <v>4</v>
      </c>
      <c r="D2668" s="7" t="n">
        <v>0</v>
      </c>
      <c r="E2668" s="7" t="s">
        <v>261</v>
      </c>
    </row>
    <row r="2669" spans="1:8">
      <c r="A2669" t="s">
        <v>4</v>
      </c>
      <c r="B2669" s="4" t="s">
        <v>5</v>
      </c>
      <c r="C2669" s="4" t="s">
        <v>11</v>
      </c>
    </row>
    <row r="2670" spans="1:8">
      <c r="A2670" t="n">
        <v>22809</v>
      </c>
      <c r="B2670" s="29" t="n">
        <v>16</v>
      </c>
      <c r="C2670" s="7" t="n">
        <v>0</v>
      </c>
    </row>
    <row r="2671" spans="1:8">
      <c r="A2671" t="s">
        <v>4</v>
      </c>
      <c r="B2671" s="4" t="s">
        <v>5</v>
      </c>
      <c r="C2671" s="4" t="s">
        <v>11</v>
      </c>
      <c r="D2671" s="4" t="s">
        <v>55</v>
      </c>
      <c r="E2671" s="4" t="s">
        <v>7</v>
      </c>
      <c r="F2671" s="4" t="s">
        <v>7</v>
      </c>
      <c r="G2671" s="4" t="s">
        <v>55</v>
      </c>
      <c r="H2671" s="4" t="s">
        <v>7</v>
      </c>
      <c r="I2671" s="4" t="s">
        <v>7</v>
      </c>
    </row>
    <row r="2672" spans="1:8">
      <c r="A2672" t="n">
        <v>22812</v>
      </c>
      <c r="B2672" s="55" t="n">
        <v>26</v>
      </c>
      <c r="C2672" s="7" t="n">
        <v>0</v>
      </c>
      <c r="D2672" s="7" t="s">
        <v>262</v>
      </c>
      <c r="E2672" s="7" t="n">
        <v>2</v>
      </c>
      <c r="F2672" s="7" t="n">
        <v>3</v>
      </c>
      <c r="G2672" s="7" t="s">
        <v>263</v>
      </c>
      <c r="H2672" s="7" t="n">
        <v>2</v>
      </c>
      <c r="I2672" s="7" t="n">
        <v>0</v>
      </c>
    </row>
    <row r="2673" spans="1:10">
      <c r="A2673" t="s">
        <v>4</v>
      </c>
      <c r="B2673" s="4" t="s">
        <v>5</v>
      </c>
    </row>
    <row r="2674" spans="1:10">
      <c r="A2674" t="n">
        <v>22989</v>
      </c>
      <c r="B2674" s="27" t="n">
        <v>28</v>
      </c>
    </row>
    <row r="2675" spans="1:10">
      <c r="A2675" t="s">
        <v>4</v>
      </c>
      <c r="B2675" s="4" t="s">
        <v>5</v>
      </c>
      <c r="C2675" s="4" t="s">
        <v>12</v>
      </c>
    </row>
    <row r="2676" spans="1:10">
      <c r="A2676" t="n">
        <v>22990</v>
      </c>
      <c r="B2676" s="19" t="n">
        <v>3</v>
      </c>
      <c r="C2676" s="11" t="n">
        <f t="normal" ca="1">A2702</f>
        <v>0</v>
      </c>
    </row>
    <row r="2677" spans="1:10">
      <c r="A2677" t="s">
        <v>4</v>
      </c>
      <c r="B2677" s="4" t="s">
        <v>5</v>
      </c>
      <c r="C2677" s="4" t="s">
        <v>7</v>
      </c>
      <c r="D2677" s="4" t="s">
        <v>7</v>
      </c>
      <c r="E2677" s="4" t="s">
        <v>7</v>
      </c>
      <c r="F2677" s="4" t="s">
        <v>15</v>
      </c>
      <c r="G2677" s="4" t="s">
        <v>7</v>
      </c>
      <c r="H2677" s="4" t="s">
        <v>7</v>
      </c>
      <c r="I2677" s="4" t="s">
        <v>12</v>
      </c>
    </row>
    <row r="2678" spans="1:10">
      <c r="A2678" t="n">
        <v>22995</v>
      </c>
      <c r="B2678" s="10" t="n">
        <v>5</v>
      </c>
      <c r="C2678" s="7" t="n">
        <v>35</v>
      </c>
      <c r="D2678" s="7" t="n">
        <v>0</v>
      </c>
      <c r="E2678" s="7" t="n">
        <v>0</v>
      </c>
      <c r="F2678" s="7" t="n">
        <v>2</v>
      </c>
      <c r="G2678" s="7" t="n">
        <v>2</v>
      </c>
      <c r="H2678" s="7" t="n">
        <v>1</v>
      </c>
      <c r="I2678" s="11" t="n">
        <f t="normal" ca="1">A2692</f>
        <v>0</v>
      </c>
    </row>
    <row r="2679" spans="1:10">
      <c r="A2679" t="s">
        <v>4</v>
      </c>
      <c r="B2679" s="4" t="s">
        <v>5</v>
      </c>
      <c r="C2679" s="4" t="s">
        <v>11</v>
      </c>
      <c r="D2679" s="4" t="s">
        <v>7</v>
      </c>
      <c r="E2679" s="4" t="s">
        <v>7</v>
      </c>
      <c r="F2679" s="4" t="s">
        <v>8</v>
      </c>
    </row>
    <row r="2680" spans="1:10">
      <c r="A2680" t="n">
        <v>23009</v>
      </c>
      <c r="B2680" s="50" t="n">
        <v>20</v>
      </c>
      <c r="C2680" s="7" t="n">
        <v>0</v>
      </c>
      <c r="D2680" s="7" t="n">
        <v>2</v>
      </c>
      <c r="E2680" s="7" t="n">
        <v>10</v>
      </c>
      <c r="F2680" s="7" t="s">
        <v>223</v>
      </c>
    </row>
    <row r="2681" spans="1:10">
      <c r="A2681" t="s">
        <v>4</v>
      </c>
      <c r="B2681" s="4" t="s">
        <v>5</v>
      </c>
      <c r="C2681" s="4" t="s">
        <v>7</v>
      </c>
      <c r="D2681" s="4" t="s">
        <v>11</v>
      </c>
      <c r="E2681" s="4" t="s">
        <v>8</v>
      </c>
    </row>
    <row r="2682" spans="1:10">
      <c r="A2682" t="n">
        <v>23030</v>
      </c>
      <c r="B2682" s="38" t="n">
        <v>51</v>
      </c>
      <c r="C2682" s="7" t="n">
        <v>4</v>
      </c>
      <c r="D2682" s="7" t="n">
        <v>0</v>
      </c>
      <c r="E2682" s="7" t="s">
        <v>264</v>
      </c>
    </row>
    <row r="2683" spans="1:10">
      <c r="A2683" t="s">
        <v>4</v>
      </c>
      <c r="B2683" s="4" t="s">
        <v>5</v>
      </c>
      <c r="C2683" s="4" t="s">
        <v>11</v>
      </c>
    </row>
    <row r="2684" spans="1:10">
      <c r="A2684" t="n">
        <v>23045</v>
      </c>
      <c r="B2684" s="29" t="n">
        <v>16</v>
      </c>
      <c r="C2684" s="7" t="n">
        <v>0</v>
      </c>
    </row>
    <row r="2685" spans="1:10">
      <c r="A2685" t="s">
        <v>4</v>
      </c>
      <c r="B2685" s="4" t="s">
        <v>5</v>
      </c>
      <c r="C2685" s="4" t="s">
        <v>11</v>
      </c>
      <c r="D2685" s="4" t="s">
        <v>55</v>
      </c>
      <c r="E2685" s="4" t="s">
        <v>7</v>
      </c>
      <c r="F2685" s="4" t="s">
        <v>7</v>
      </c>
      <c r="G2685" s="4" t="s">
        <v>55</v>
      </c>
      <c r="H2685" s="4" t="s">
        <v>7</v>
      </c>
      <c r="I2685" s="4" t="s">
        <v>7</v>
      </c>
    </row>
    <row r="2686" spans="1:10">
      <c r="A2686" t="n">
        <v>23048</v>
      </c>
      <c r="B2686" s="55" t="n">
        <v>26</v>
      </c>
      <c r="C2686" s="7" t="n">
        <v>0</v>
      </c>
      <c r="D2686" s="7" t="s">
        <v>265</v>
      </c>
      <c r="E2686" s="7" t="n">
        <v>2</v>
      </c>
      <c r="F2686" s="7" t="n">
        <v>3</v>
      </c>
      <c r="G2686" s="7" t="s">
        <v>266</v>
      </c>
      <c r="H2686" s="7" t="n">
        <v>2</v>
      </c>
      <c r="I2686" s="7" t="n">
        <v>0</v>
      </c>
    </row>
    <row r="2687" spans="1:10">
      <c r="A2687" t="s">
        <v>4</v>
      </c>
      <c r="B2687" s="4" t="s">
        <v>5</v>
      </c>
    </row>
    <row r="2688" spans="1:10">
      <c r="A2688" t="n">
        <v>23248</v>
      </c>
      <c r="B2688" s="27" t="n">
        <v>28</v>
      </c>
    </row>
    <row r="2689" spans="1:9">
      <c r="A2689" t="s">
        <v>4</v>
      </c>
      <c r="B2689" s="4" t="s">
        <v>5</v>
      </c>
      <c r="C2689" s="4" t="s">
        <v>12</v>
      </c>
    </row>
    <row r="2690" spans="1:9">
      <c r="A2690" t="n">
        <v>23249</v>
      </c>
      <c r="B2690" s="19" t="n">
        <v>3</v>
      </c>
      <c r="C2690" s="11" t="n">
        <f t="normal" ca="1">A2702</f>
        <v>0</v>
      </c>
    </row>
    <row r="2691" spans="1:9">
      <c r="A2691" t="s">
        <v>4</v>
      </c>
      <c r="B2691" s="4" t="s">
        <v>5</v>
      </c>
      <c r="C2691" s="4" t="s">
        <v>11</v>
      </c>
      <c r="D2691" s="4" t="s">
        <v>7</v>
      </c>
      <c r="E2691" s="4" t="s">
        <v>7</v>
      </c>
      <c r="F2691" s="4" t="s">
        <v>8</v>
      </c>
    </row>
    <row r="2692" spans="1:9">
      <c r="A2692" t="n">
        <v>23254</v>
      </c>
      <c r="B2692" s="50" t="n">
        <v>20</v>
      </c>
      <c r="C2692" s="7" t="n">
        <v>0</v>
      </c>
      <c r="D2692" s="7" t="n">
        <v>2</v>
      </c>
      <c r="E2692" s="7" t="n">
        <v>10</v>
      </c>
      <c r="F2692" s="7" t="s">
        <v>223</v>
      </c>
    </row>
    <row r="2693" spans="1:9">
      <c r="A2693" t="s">
        <v>4</v>
      </c>
      <c r="B2693" s="4" t="s">
        <v>5</v>
      </c>
      <c r="C2693" s="4" t="s">
        <v>7</v>
      </c>
      <c r="D2693" s="4" t="s">
        <v>11</v>
      </c>
      <c r="E2693" s="4" t="s">
        <v>8</v>
      </c>
    </row>
    <row r="2694" spans="1:9">
      <c r="A2694" t="n">
        <v>23275</v>
      </c>
      <c r="B2694" s="38" t="n">
        <v>51</v>
      </c>
      <c r="C2694" s="7" t="n">
        <v>4</v>
      </c>
      <c r="D2694" s="7" t="n">
        <v>0</v>
      </c>
      <c r="E2694" s="7" t="s">
        <v>113</v>
      </c>
    </row>
    <row r="2695" spans="1:9">
      <c r="A2695" t="s">
        <v>4</v>
      </c>
      <c r="B2695" s="4" t="s">
        <v>5</v>
      </c>
      <c r="C2695" s="4" t="s">
        <v>11</v>
      </c>
    </row>
    <row r="2696" spans="1:9">
      <c r="A2696" t="n">
        <v>23290</v>
      </c>
      <c r="B2696" s="29" t="n">
        <v>16</v>
      </c>
      <c r="C2696" s="7" t="n">
        <v>0</v>
      </c>
    </row>
    <row r="2697" spans="1:9">
      <c r="A2697" t="s">
        <v>4</v>
      </c>
      <c r="B2697" s="4" t="s">
        <v>5</v>
      </c>
      <c r="C2697" s="4" t="s">
        <v>11</v>
      </c>
      <c r="D2697" s="4" t="s">
        <v>55</v>
      </c>
      <c r="E2697" s="4" t="s">
        <v>7</v>
      </c>
      <c r="F2697" s="4" t="s">
        <v>7</v>
      </c>
      <c r="G2697" s="4" t="s">
        <v>55</v>
      </c>
      <c r="H2697" s="4" t="s">
        <v>7</v>
      </c>
      <c r="I2697" s="4" t="s">
        <v>7</v>
      </c>
    </row>
    <row r="2698" spans="1:9">
      <c r="A2698" t="n">
        <v>23293</v>
      </c>
      <c r="B2698" s="55" t="n">
        <v>26</v>
      </c>
      <c r="C2698" s="7" t="n">
        <v>0</v>
      </c>
      <c r="D2698" s="7" t="s">
        <v>267</v>
      </c>
      <c r="E2698" s="7" t="n">
        <v>2</v>
      </c>
      <c r="F2698" s="7" t="n">
        <v>3</v>
      </c>
      <c r="G2698" s="7" t="s">
        <v>268</v>
      </c>
      <c r="H2698" s="7" t="n">
        <v>2</v>
      </c>
      <c r="I2698" s="7" t="n">
        <v>0</v>
      </c>
    </row>
    <row r="2699" spans="1:9">
      <c r="A2699" t="s">
        <v>4</v>
      </c>
      <c r="B2699" s="4" t="s">
        <v>5</v>
      </c>
    </row>
    <row r="2700" spans="1:9">
      <c r="A2700" t="n">
        <v>23474</v>
      </c>
      <c r="B2700" s="27" t="n">
        <v>28</v>
      </c>
    </row>
    <row r="2701" spans="1:9">
      <c r="A2701" t="s">
        <v>4</v>
      </c>
      <c r="B2701" s="4" t="s">
        <v>5</v>
      </c>
      <c r="C2701" s="4" t="s">
        <v>11</v>
      </c>
      <c r="D2701" s="4" t="s">
        <v>7</v>
      </c>
    </row>
    <row r="2702" spans="1:9">
      <c r="A2702" t="n">
        <v>23475</v>
      </c>
      <c r="B2702" s="68" t="n">
        <v>89</v>
      </c>
      <c r="C2702" s="7" t="n">
        <v>65533</v>
      </c>
      <c r="D2702" s="7" t="n">
        <v>1</v>
      </c>
    </row>
    <row r="2703" spans="1:9">
      <c r="A2703" t="s">
        <v>4</v>
      </c>
      <c r="B2703" s="4" t="s">
        <v>5</v>
      </c>
      <c r="C2703" s="4" t="s">
        <v>7</v>
      </c>
      <c r="D2703" s="4" t="s">
        <v>11</v>
      </c>
      <c r="E2703" s="4" t="s">
        <v>13</v>
      </c>
    </row>
    <row r="2704" spans="1:9">
      <c r="A2704" t="n">
        <v>23479</v>
      </c>
      <c r="B2704" s="23" t="n">
        <v>58</v>
      </c>
      <c r="C2704" s="7" t="n">
        <v>0</v>
      </c>
      <c r="D2704" s="7" t="n">
        <v>1000</v>
      </c>
      <c r="E2704" s="7" t="n">
        <v>1</v>
      </c>
    </row>
    <row r="2705" spans="1:9">
      <c r="A2705" t="s">
        <v>4</v>
      </c>
      <c r="B2705" s="4" t="s">
        <v>5</v>
      </c>
      <c r="C2705" s="4" t="s">
        <v>7</v>
      </c>
      <c r="D2705" s="4" t="s">
        <v>11</v>
      </c>
    </row>
    <row r="2706" spans="1:9">
      <c r="A2706" t="n">
        <v>23487</v>
      </c>
      <c r="B2706" s="23" t="n">
        <v>58</v>
      </c>
      <c r="C2706" s="7" t="n">
        <v>255</v>
      </c>
      <c r="D2706" s="7" t="n">
        <v>0</v>
      </c>
    </row>
    <row r="2707" spans="1:9">
      <c r="A2707" t="s">
        <v>4</v>
      </c>
      <c r="B2707" s="4" t="s">
        <v>5</v>
      </c>
      <c r="C2707" s="4" t="s">
        <v>7</v>
      </c>
      <c r="D2707" s="4" t="s">
        <v>11</v>
      </c>
      <c r="E2707" s="4" t="s">
        <v>7</v>
      </c>
    </row>
    <row r="2708" spans="1:9">
      <c r="A2708" t="n">
        <v>23491</v>
      </c>
      <c r="B2708" s="40" t="n">
        <v>36</v>
      </c>
      <c r="C2708" s="7" t="n">
        <v>9</v>
      </c>
      <c r="D2708" s="7" t="n">
        <v>0</v>
      </c>
      <c r="E2708" s="7" t="n">
        <v>0</v>
      </c>
    </row>
    <row r="2709" spans="1:9">
      <c r="A2709" t="s">
        <v>4</v>
      </c>
      <c r="B2709" s="4" t="s">
        <v>5</v>
      </c>
      <c r="C2709" s="4" t="s">
        <v>11</v>
      </c>
      <c r="D2709" s="4" t="s">
        <v>11</v>
      </c>
      <c r="E2709" s="4" t="s">
        <v>11</v>
      </c>
    </row>
    <row r="2710" spans="1:9">
      <c r="A2710" t="n">
        <v>23496</v>
      </c>
      <c r="B2710" s="72" t="n">
        <v>61</v>
      </c>
      <c r="C2710" s="7" t="n">
        <v>61456</v>
      </c>
      <c r="D2710" s="7" t="n">
        <v>65533</v>
      </c>
      <c r="E2710" s="7" t="n">
        <v>0</v>
      </c>
    </row>
    <row r="2711" spans="1:9">
      <c r="A2711" t="s">
        <v>4</v>
      </c>
      <c r="B2711" s="4" t="s">
        <v>5</v>
      </c>
      <c r="C2711" s="4" t="s">
        <v>11</v>
      </c>
      <c r="D2711" s="4" t="s">
        <v>13</v>
      </c>
      <c r="E2711" s="4" t="s">
        <v>13</v>
      </c>
      <c r="F2711" s="4" t="s">
        <v>13</v>
      </c>
      <c r="G2711" s="4" t="s">
        <v>13</v>
      </c>
    </row>
    <row r="2712" spans="1:9">
      <c r="A2712" t="n">
        <v>23503</v>
      </c>
      <c r="B2712" s="36" t="n">
        <v>46</v>
      </c>
      <c r="C2712" s="7" t="n">
        <v>61456</v>
      </c>
      <c r="D2712" s="7" t="n">
        <v>0.649999976158142</v>
      </c>
      <c r="E2712" s="7" t="n">
        <v>10.0100002288818</v>
      </c>
      <c r="F2712" s="7" t="n">
        <v>31.7399997711182</v>
      </c>
      <c r="G2712" s="7" t="n">
        <v>95.6999969482422</v>
      </c>
    </row>
    <row r="2713" spans="1:9">
      <c r="A2713" t="s">
        <v>4</v>
      </c>
      <c r="B2713" s="4" t="s">
        <v>5</v>
      </c>
      <c r="C2713" s="4" t="s">
        <v>7</v>
      </c>
      <c r="D2713" s="4" t="s">
        <v>7</v>
      </c>
      <c r="E2713" s="4" t="s">
        <v>13</v>
      </c>
      <c r="F2713" s="4" t="s">
        <v>13</v>
      </c>
      <c r="G2713" s="4" t="s">
        <v>13</v>
      </c>
      <c r="H2713" s="4" t="s">
        <v>11</v>
      </c>
      <c r="I2713" s="4" t="s">
        <v>7</v>
      </c>
    </row>
    <row r="2714" spans="1:9">
      <c r="A2714" t="n">
        <v>23522</v>
      </c>
      <c r="B2714" s="51" t="n">
        <v>45</v>
      </c>
      <c r="C2714" s="7" t="n">
        <v>4</v>
      </c>
      <c r="D2714" s="7" t="n">
        <v>3</v>
      </c>
      <c r="E2714" s="7" t="n">
        <v>7.05000019073486</v>
      </c>
      <c r="F2714" s="7" t="n">
        <v>123.529998779297</v>
      </c>
      <c r="G2714" s="7" t="n">
        <v>0</v>
      </c>
      <c r="H2714" s="7" t="n">
        <v>0</v>
      </c>
      <c r="I2714" s="7" t="n">
        <v>0</v>
      </c>
    </row>
    <row r="2715" spans="1:9">
      <c r="A2715" t="s">
        <v>4</v>
      </c>
      <c r="B2715" s="4" t="s">
        <v>5</v>
      </c>
      <c r="C2715" s="4" t="s">
        <v>7</v>
      </c>
      <c r="D2715" s="4" t="s">
        <v>8</v>
      </c>
    </row>
    <row r="2716" spans="1:9">
      <c r="A2716" t="n">
        <v>23540</v>
      </c>
      <c r="B2716" s="6" t="n">
        <v>2</v>
      </c>
      <c r="C2716" s="7" t="n">
        <v>10</v>
      </c>
      <c r="D2716" s="7" t="s">
        <v>119</v>
      </c>
    </row>
    <row r="2717" spans="1:9">
      <c r="A2717" t="s">
        <v>4</v>
      </c>
      <c r="B2717" s="4" t="s">
        <v>5</v>
      </c>
      <c r="C2717" s="4" t="s">
        <v>11</v>
      </c>
    </row>
    <row r="2718" spans="1:9">
      <c r="A2718" t="n">
        <v>23555</v>
      </c>
      <c r="B2718" s="29" t="n">
        <v>16</v>
      </c>
      <c r="C2718" s="7" t="n">
        <v>0</v>
      </c>
    </row>
    <row r="2719" spans="1:9">
      <c r="A2719" t="s">
        <v>4</v>
      </c>
      <c r="B2719" s="4" t="s">
        <v>5</v>
      </c>
      <c r="C2719" s="4" t="s">
        <v>7</v>
      </c>
      <c r="D2719" s="4" t="s">
        <v>11</v>
      </c>
    </row>
    <row r="2720" spans="1:9">
      <c r="A2720" t="n">
        <v>23558</v>
      </c>
      <c r="B2720" s="23" t="n">
        <v>58</v>
      </c>
      <c r="C2720" s="7" t="n">
        <v>105</v>
      </c>
      <c r="D2720" s="7" t="n">
        <v>300</v>
      </c>
    </row>
    <row r="2721" spans="1:9">
      <c r="A2721" t="s">
        <v>4</v>
      </c>
      <c r="B2721" s="4" t="s">
        <v>5</v>
      </c>
      <c r="C2721" s="4" t="s">
        <v>13</v>
      </c>
      <c r="D2721" s="4" t="s">
        <v>11</v>
      </c>
    </row>
    <row r="2722" spans="1:9">
      <c r="A2722" t="n">
        <v>23562</v>
      </c>
      <c r="B2722" s="46" t="n">
        <v>103</v>
      </c>
      <c r="C2722" s="7" t="n">
        <v>1</v>
      </c>
      <c r="D2722" s="7" t="n">
        <v>300</v>
      </c>
    </row>
    <row r="2723" spans="1:9">
      <c r="A2723" t="s">
        <v>4</v>
      </c>
      <c r="B2723" s="4" t="s">
        <v>5</v>
      </c>
      <c r="C2723" s="4" t="s">
        <v>7</v>
      </c>
      <c r="D2723" s="4" t="s">
        <v>11</v>
      </c>
    </row>
    <row r="2724" spans="1:9">
      <c r="A2724" t="n">
        <v>23569</v>
      </c>
      <c r="B2724" s="48" t="n">
        <v>72</v>
      </c>
      <c r="C2724" s="7" t="n">
        <v>4</v>
      </c>
      <c r="D2724" s="7" t="n">
        <v>0</v>
      </c>
    </row>
    <row r="2725" spans="1:9">
      <c r="A2725" t="s">
        <v>4</v>
      </c>
      <c r="B2725" s="4" t="s">
        <v>5</v>
      </c>
      <c r="C2725" s="4" t="s">
        <v>15</v>
      </c>
    </row>
    <row r="2726" spans="1:9">
      <c r="A2726" t="n">
        <v>23573</v>
      </c>
      <c r="B2726" s="61" t="n">
        <v>15</v>
      </c>
      <c r="C2726" s="7" t="n">
        <v>1073741824</v>
      </c>
    </row>
    <row r="2727" spans="1:9">
      <c r="A2727" t="s">
        <v>4</v>
      </c>
      <c r="B2727" s="4" t="s">
        <v>5</v>
      </c>
      <c r="C2727" s="4" t="s">
        <v>7</v>
      </c>
    </row>
    <row r="2728" spans="1:9">
      <c r="A2728" t="n">
        <v>23578</v>
      </c>
      <c r="B2728" s="47" t="n">
        <v>64</v>
      </c>
      <c r="C2728" s="7" t="n">
        <v>3</v>
      </c>
    </row>
    <row r="2729" spans="1:9">
      <c r="A2729" t="s">
        <v>4</v>
      </c>
      <c r="B2729" s="4" t="s">
        <v>5</v>
      </c>
      <c r="C2729" s="4" t="s">
        <v>7</v>
      </c>
    </row>
    <row r="2730" spans="1:9">
      <c r="A2730" t="n">
        <v>23580</v>
      </c>
      <c r="B2730" s="45" t="n">
        <v>74</v>
      </c>
      <c r="C2730" s="7" t="n">
        <v>67</v>
      </c>
    </row>
    <row r="2731" spans="1:9">
      <c r="A2731" t="s">
        <v>4</v>
      </c>
      <c r="B2731" s="4" t="s">
        <v>5</v>
      </c>
      <c r="C2731" s="4" t="s">
        <v>7</v>
      </c>
      <c r="D2731" s="4" t="s">
        <v>7</v>
      </c>
      <c r="E2731" s="4" t="s">
        <v>11</v>
      </c>
    </row>
    <row r="2732" spans="1:9">
      <c r="A2732" t="n">
        <v>23582</v>
      </c>
      <c r="B2732" s="51" t="n">
        <v>45</v>
      </c>
      <c r="C2732" s="7" t="n">
        <v>8</v>
      </c>
      <c r="D2732" s="7" t="n">
        <v>1</v>
      </c>
      <c r="E2732" s="7" t="n">
        <v>0</v>
      </c>
    </row>
    <row r="2733" spans="1:9">
      <c r="A2733" t="s">
        <v>4</v>
      </c>
      <c r="B2733" s="4" t="s">
        <v>5</v>
      </c>
      <c r="C2733" s="4" t="s">
        <v>11</v>
      </c>
    </row>
    <row r="2734" spans="1:9">
      <c r="A2734" t="n">
        <v>23587</v>
      </c>
      <c r="B2734" s="12" t="n">
        <v>13</v>
      </c>
      <c r="C2734" s="7" t="n">
        <v>6409</v>
      </c>
    </row>
    <row r="2735" spans="1:9">
      <c r="A2735" t="s">
        <v>4</v>
      </c>
      <c r="B2735" s="4" t="s">
        <v>5</v>
      </c>
      <c r="C2735" s="4" t="s">
        <v>11</v>
      </c>
    </row>
    <row r="2736" spans="1:9">
      <c r="A2736" t="n">
        <v>23590</v>
      </c>
      <c r="B2736" s="12" t="n">
        <v>13</v>
      </c>
      <c r="C2736" s="7" t="n">
        <v>6408</v>
      </c>
    </row>
    <row r="2737" spans="1:5">
      <c r="A2737" t="s">
        <v>4</v>
      </c>
      <c r="B2737" s="4" t="s">
        <v>5</v>
      </c>
      <c r="C2737" s="4" t="s">
        <v>11</v>
      </c>
    </row>
    <row r="2738" spans="1:5">
      <c r="A2738" t="n">
        <v>23593</v>
      </c>
      <c r="B2738" s="43" t="n">
        <v>12</v>
      </c>
      <c r="C2738" s="7" t="n">
        <v>6464</v>
      </c>
    </row>
    <row r="2739" spans="1:5">
      <c r="A2739" t="s">
        <v>4</v>
      </c>
      <c r="B2739" s="4" t="s">
        <v>5</v>
      </c>
      <c r="C2739" s="4" t="s">
        <v>11</v>
      </c>
    </row>
    <row r="2740" spans="1:5">
      <c r="A2740" t="n">
        <v>23596</v>
      </c>
      <c r="B2740" s="12" t="n">
        <v>13</v>
      </c>
      <c r="C2740" s="7" t="n">
        <v>6465</v>
      </c>
    </row>
    <row r="2741" spans="1:5">
      <c r="A2741" t="s">
        <v>4</v>
      </c>
      <c r="B2741" s="4" t="s">
        <v>5</v>
      </c>
      <c r="C2741" s="4" t="s">
        <v>11</v>
      </c>
    </row>
    <row r="2742" spans="1:5">
      <c r="A2742" t="n">
        <v>23599</v>
      </c>
      <c r="B2742" s="12" t="n">
        <v>13</v>
      </c>
      <c r="C2742" s="7" t="n">
        <v>6466</v>
      </c>
    </row>
    <row r="2743" spans="1:5">
      <c r="A2743" t="s">
        <v>4</v>
      </c>
      <c r="B2743" s="4" t="s">
        <v>5</v>
      </c>
      <c r="C2743" s="4" t="s">
        <v>11</v>
      </c>
    </row>
    <row r="2744" spans="1:5">
      <c r="A2744" t="n">
        <v>23602</v>
      </c>
      <c r="B2744" s="12" t="n">
        <v>13</v>
      </c>
      <c r="C2744" s="7" t="n">
        <v>6467</v>
      </c>
    </row>
    <row r="2745" spans="1:5">
      <c r="A2745" t="s">
        <v>4</v>
      </c>
      <c r="B2745" s="4" t="s">
        <v>5</v>
      </c>
      <c r="C2745" s="4" t="s">
        <v>11</v>
      </c>
    </row>
    <row r="2746" spans="1:5">
      <c r="A2746" t="n">
        <v>23605</v>
      </c>
      <c r="B2746" s="12" t="n">
        <v>13</v>
      </c>
      <c r="C2746" s="7" t="n">
        <v>6468</v>
      </c>
    </row>
    <row r="2747" spans="1:5">
      <c r="A2747" t="s">
        <v>4</v>
      </c>
      <c r="B2747" s="4" t="s">
        <v>5</v>
      </c>
      <c r="C2747" s="4" t="s">
        <v>11</v>
      </c>
    </row>
    <row r="2748" spans="1:5">
      <c r="A2748" t="n">
        <v>23608</v>
      </c>
      <c r="B2748" s="12" t="n">
        <v>13</v>
      </c>
      <c r="C2748" s="7" t="n">
        <v>6469</v>
      </c>
    </row>
    <row r="2749" spans="1:5">
      <c r="A2749" t="s">
        <v>4</v>
      </c>
      <c r="B2749" s="4" t="s">
        <v>5</v>
      </c>
      <c r="C2749" s="4" t="s">
        <v>11</v>
      </c>
    </row>
    <row r="2750" spans="1:5">
      <c r="A2750" t="n">
        <v>23611</v>
      </c>
      <c r="B2750" s="12" t="n">
        <v>13</v>
      </c>
      <c r="C2750" s="7" t="n">
        <v>6470</v>
      </c>
    </row>
    <row r="2751" spans="1:5">
      <c r="A2751" t="s">
        <v>4</v>
      </c>
      <c r="B2751" s="4" t="s">
        <v>5</v>
      </c>
      <c r="C2751" s="4" t="s">
        <v>11</v>
      </c>
    </row>
    <row r="2752" spans="1:5">
      <c r="A2752" t="n">
        <v>23614</v>
      </c>
      <c r="B2752" s="12" t="n">
        <v>13</v>
      </c>
      <c r="C2752" s="7" t="n">
        <v>6471</v>
      </c>
    </row>
    <row r="2753" spans="1:3">
      <c r="A2753" t="s">
        <v>4</v>
      </c>
      <c r="B2753" s="4" t="s">
        <v>5</v>
      </c>
      <c r="C2753" s="4" t="s">
        <v>7</v>
      </c>
    </row>
    <row r="2754" spans="1:3">
      <c r="A2754" t="n">
        <v>23617</v>
      </c>
      <c r="B2754" s="45" t="n">
        <v>74</v>
      </c>
      <c r="C2754" s="7" t="n">
        <v>18</v>
      </c>
    </row>
    <row r="2755" spans="1:3">
      <c r="A2755" t="s">
        <v>4</v>
      </c>
      <c r="B2755" s="4" t="s">
        <v>5</v>
      </c>
      <c r="C2755" s="4" t="s">
        <v>7</v>
      </c>
    </row>
    <row r="2756" spans="1:3">
      <c r="A2756" t="n">
        <v>23619</v>
      </c>
      <c r="B2756" s="45" t="n">
        <v>74</v>
      </c>
      <c r="C2756" s="7" t="n">
        <v>45</v>
      </c>
    </row>
    <row r="2757" spans="1:3">
      <c r="A2757" t="s">
        <v>4</v>
      </c>
      <c r="B2757" s="4" t="s">
        <v>5</v>
      </c>
      <c r="C2757" s="4" t="s">
        <v>11</v>
      </c>
    </row>
    <row r="2758" spans="1:3">
      <c r="A2758" t="n">
        <v>23621</v>
      </c>
      <c r="B2758" s="29" t="n">
        <v>16</v>
      </c>
      <c r="C2758" s="7" t="n">
        <v>0</v>
      </c>
    </row>
    <row r="2759" spans="1:3">
      <c r="A2759" t="s">
        <v>4</v>
      </c>
      <c r="B2759" s="4" t="s">
        <v>5</v>
      </c>
      <c r="C2759" s="4" t="s">
        <v>7</v>
      </c>
      <c r="D2759" s="4" t="s">
        <v>7</v>
      </c>
      <c r="E2759" s="4" t="s">
        <v>7</v>
      </c>
      <c r="F2759" s="4" t="s">
        <v>7</v>
      </c>
    </row>
    <row r="2760" spans="1:3">
      <c r="A2760" t="n">
        <v>23624</v>
      </c>
      <c r="B2760" s="9" t="n">
        <v>14</v>
      </c>
      <c r="C2760" s="7" t="n">
        <v>0</v>
      </c>
      <c r="D2760" s="7" t="n">
        <v>8</v>
      </c>
      <c r="E2760" s="7" t="n">
        <v>0</v>
      </c>
      <c r="F2760" s="7" t="n">
        <v>0</v>
      </c>
    </row>
    <row r="2761" spans="1:3">
      <c r="A2761" t="s">
        <v>4</v>
      </c>
      <c r="B2761" s="4" t="s">
        <v>5</v>
      </c>
      <c r="C2761" s="4" t="s">
        <v>7</v>
      </c>
      <c r="D2761" s="4" t="s">
        <v>8</v>
      </c>
    </row>
    <row r="2762" spans="1:3">
      <c r="A2762" t="n">
        <v>23629</v>
      </c>
      <c r="B2762" s="6" t="n">
        <v>2</v>
      </c>
      <c r="C2762" s="7" t="n">
        <v>11</v>
      </c>
      <c r="D2762" s="7" t="s">
        <v>14</v>
      </c>
    </row>
    <row r="2763" spans="1:3">
      <c r="A2763" t="s">
        <v>4</v>
      </c>
      <c r="B2763" s="4" t="s">
        <v>5</v>
      </c>
      <c r="C2763" s="4" t="s">
        <v>11</v>
      </c>
    </row>
    <row r="2764" spans="1:3">
      <c r="A2764" t="n">
        <v>23643</v>
      </c>
      <c r="B2764" s="29" t="n">
        <v>16</v>
      </c>
      <c r="C2764" s="7" t="n">
        <v>0</v>
      </c>
    </row>
    <row r="2765" spans="1:3">
      <c r="A2765" t="s">
        <v>4</v>
      </c>
      <c r="B2765" s="4" t="s">
        <v>5</v>
      </c>
      <c r="C2765" s="4" t="s">
        <v>7</v>
      </c>
      <c r="D2765" s="4" t="s">
        <v>8</v>
      </c>
    </row>
    <row r="2766" spans="1:3">
      <c r="A2766" t="n">
        <v>23646</v>
      </c>
      <c r="B2766" s="6" t="n">
        <v>2</v>
      </c>
      <c r="C2766" s="7" t="n">
        <v>11</v>
      </c>
      <c r="D2766" s="7" t="s">
        <v>120</v>
      </c>
    </row>
    <row r="2767" spans="1:3">
      <c r="A2767" t="s">
        <v>4</v>
      </c>
      <c r="B2767" s="4" t="s">
        <v>5</v>
      </c>
      <c r="C2767" s="4" t="s">
        <v>11</v>
      </c>
    </row>
    <row r="2768" spans="1:3">
      <c r="A2768" t="n">
        <v>23655</v>
      </c>
      <c r="B2768" s="29" t="n">
        <v>16</v>
      </c>
      <c r="C2768" s="7" t="n">
        <v>0</v>
      </c>
    </row>
    <row r="2769" spans="1:6">
      <c r="A2769" t="s">
        <v>4</v>
      </c>
      <c r="B2769" s="4" t="s">
        <v>5</v>
      </c>
      <c r="C2769" s="4" t="s">
        <v>15</v>
      </c>
    </row>
    <row r="2770" spans="1:6">
      <c r="A2770" t="n">
        <v>23658</v>
      </c>
      <c r="B2770" s="61" t="n">
        <v>15</v>
      </c>
      <c r="C2770" s="7" t="n">
        <v>2048</v>
      </c>
    </row>
    <row r="2771" spans="1:6">
      <c r="A2771" t="s">
        <v>4</v>
      </c>
      <c r="B2771" s="4" t="s">
        <v>5</v>
      </c>
      <c r="C2771" s="4" t="s">
        <v>7</v>
      </c>
      <c r="D2771" s="4" t="s">
        <v>8</v>
      </c>
    </row>
    <row r="2772" spans="1:6">
      <c r="A2772" t="n">
        <v>23663</v>
      </c>
      <c r="B2772" s="6" t="n">
        <v>2</v>
      </c>
      <c r="C2772" s="7" t="n">
        <v>10</v>
      </c>
      <c r="D2772" s="7" t="s">
        <v>52</v>
      </c>
    </row>
    <row r="2773" spans="1:6">
      <c r="A2773" t="s">
        <v>4</v>
      </c>
      <c r="B2773" s="4" t="s">
        <v>5</v>
      </c>
      <c r="C2773" s="4" t="s">
        <v>11</v>
      </c>
    </row>
    <row r="2774" spans="1:6">
      <c r="A2774" t="n">
        <v>23681</v>
      </c>
      <c r="B2774" s="29" t="n">
        <v>16</v>
      </c>
      <c r="C2774" s="7" t="n">
        <v>0</v>
      </c>
    </row>
    <row r="2775" spans="1:6">
      <c r="A2775" t="s">
        <v>4</v>
      </c>
      <c r="B2775" s="4" t="s">
        <v>5</v>
      </c>
      <c r="C2775" s="4" t="s">
        <v>7</v>
      </c>
      <c r="D2775" s="4" t="s">
        <v>8</v>
      </c>
    </row>
    <row r="2776" spans="1:6">
      <c r="A2776" t="n">
        <v>23684</v>
      </c>
      <c r="B2776" s="6" t="n">
        <v>2</v>
      </c>
      <c r="C2776" s="7" t="n">
        <v>10</v>
      </c>
      <c r="D2776" s="7" t="s">
        <v>53</v>
      </c>
    </row>
    <row r="2777" spans="1:6">
      <c r="A2777" t="s">
        <v>4</v>
      </c>
      <c r="B2777" s="4" t="s">
        <v>5</v>
      </c>
      <c r="C2777" s="4" t="s">
        <v>11</v>
      </c>
    </row>
    <row r="2778" spans="1:6">
      <c r="A2778" t="n">
        <v>23703</v>
      </c>
      <c r="B2778" s="29" t="n">
        <v>16</v>
      </c>
      <c r="C2778" s="7" t="n">
        <v>0</v>
      </c>
    </row>
    <row r="2779" spans="1:6">
      <c r="A2779" t="s">
        <v>4</v>
      </c>
      <c r="B2779" s="4" t="s">
        <v>5</v>
      </c>
      <c r="C2779" s="4" t="s">
        <v>7</v>
      </c>
      <c r="D2779" s="4" t="s">
        <v>11</v>
      </c>
      <c r="E2779" s="4" t="s">
        <v>13</v>
      </c>
    </row>
    <row r="2780" spans="1:6">
      <c r="A2780" t="n">
        <v>23706</v>
      </c>
      <c r="B2780" s="23" t="n">
        <v>58</v>
      </c>
      <c r="C2780" s="7" t="n">
        <v>100</v>
      </c>
      <c r="D2780" s="7" t="n">
        <v>300</v>
      </c>
      <c r="E2780" s="7" t="n">
        <v>1</v>
      </c>
    </row>
    <row r="2781" spans="1:6">
      <c r="A2781" t="s">
        <v>4</v>
      </c>
      <c r="B2781" s="4" t="s">
        <v>5</v>
      </c>
      <c r="C2781" s="4" t="s">
        <v>7</v>
      </c>
      <c r="D2781" s="4" t="s">
        <v>11</v>
      </c>
    </row>
    <row r="2782" spans="1:6">
      <c r="A2782" t="n">
        <v>23714</v>
      </c>
      <c r="B2782" s="23" t="n">
        <v>58</v>
      </c>
      <c r="C2782" s="7" t="n">
        <v>255</v>
      </c>
      <c r="D2782" s="7" t="n">
        <v>0</v>
      </c>
    </row>
    <row r="2783" spans="1:6">
      <c r="A2783" t="s">
        <v>4</v>
      </c>
      <c r="B2783" s="4" t="s">
        <v>5</v>
      </c>
      <c r="C2783" s="4" t="s">
        <v>7</v>
      </c>
    </row>
    <row r="2784" spans="1:6">
      <c r="A2784" t="n">
        <v>23718</v>
      </c>
      <c r="B2784" s="30" t="n">
        <v>23</v>
      </c>
      <c r="C2784" s="7" t="n">
        <v>0</v>
      </c>
    </row>
    <row r="2785" spans="1:5">
      <c r="A2785" t="s">
        <v>4</v>
      </c>
      <c r="B2785" s="4" t="s">
        <v>5</v>
      </c>
    </row>
    <row r="2786" spans="1:5">
      <c r="A2786" t="n">
        <v>23720</v>
      </c>
      <c r="B2786" s="5" t="n">
        <v>1</v>
      </c>
    </row>
    <row r="2787" spans="1:5" s="3" customFormat="1" customHeight="0">
      <c r="A2787" s="3" t="s">
        <v>2</v>
      </c>
      <c r="B2787" s="3" t="s">
        <v>269</v>
      </c>
    </row>
    <row r="2788" spans="1:5">
      <c r="A2788" t="s">
        <v>4</v>
      </c>
      <c r="B2788" s="4" t="s">
        <v>5</v>
      </c>
      <c r="C2788" s="4" t="s">
        <v>11</v>
      </c>
      <c r="D2788" s="4" t="s">
        <v>7</v>
      </c>
      <c r="E2788" s="4" t="s">
        <v>13</v>
      </c>
      <c r="F2788" s="4" t="s">
        <v>13</v>
      </c>
      <c r="G2788" s="4" t="s">
        <v>13</v>
      </c>
    </row>
    <row r="2789" spans="1:5">
      <c r="A2789" t="n">
        <v>23724</v>
      </c>
      <c r="B2789" s="75" t="n">
        <v>96</v>
      </c>
      <c r="C2789" s="7" t="n">
        <v>65534</v>
      </c>
      <c r="D2789" s="7" t="n">
        <v>2</v>
      </c>
      <c r="E2789" s="7" t="n">
        <v>7.40999984741211</v>
      </c>
      <c r="F2789" s="7" t="n">
        <v>0.00999999977648258</v>
      </c>
      <c r="G2789" s="7" t="n">
        <v>46.0200004577637</v>
      </c>
    </row>
    <row r="2790" spans="1:5">
      <c r="A2790" t="s">
        <v>4</v>
      </c>
      <c r="B2790" s="4" t="s">
        <v>5</v>
      </c>
      <c r="C2790" s="4" t="s">
        <v>11</v>
      </c>
      <c r="D2790" s="4" t="s">
        <v>7</v>
      </c>
      <c r="E2790" s="4" t="s">
        <v>13</v>
      </c>
      <c r="F2790" s="4" t="s">
        <v>13</v>
      </c>
      <c r="G2790" s="4" t="s">
        <v>13</v>
      </c>
    </row>
    <row r="2791" spans="1:5">
      <c r="A2791" t="n">
        <v>23740</v>
      </c>
      <c r="B2791" s="75" t="n">
        <v>96</v>
      </c>
      <c r="C2791" s="7" t="n">
        <v>65534</v>
      </c>
      <c r="D2791" s="7" t="n">
        <v>2</v>
      </c>
      <c r="E2791" s="7" t="n">
        <v>6.1399998664856</v>
      </c>
      <c r="F2791" s="7" t="n">
        <v>0</v>
      </c>
      <c r="G2791" s="7" t="n">
        <v>46.4199981689453</v>
      </c>
    </row>
    <row r="2792" spans="1:5">
      <c r="A2792" t="s">
        <v>4</v>
      </c>
      <c r="B2792" s="4" t="s">
        <v>5</v>
      </c>
      <c r="C2792" s="4" t="s">
        <v>11</v>
      </c>
      <c r="D2792" s="4" t="s">
        <v>7</v>
      </c>
      <c r="E2792" s="4" t="s">
        <v>13</v>
      </c>
      <c r="F2792" s="4" t="s">
        <v>13</v>
      </c>
      <c r="G2792" s="4" t="s">
        <v>13</v>
      </c>
    </row>
    <row r="2793" spans="1:5">
      <c r="A2793" t="n">
        <v>23756</v>
      </c>
      <c r="B2793" s="75" t="n">
        <v>96</v>
      </c>
      <c r="C2793" s="7" t="n">
        <v>65534</v>
      </c>
      <c r="D2793" s="7" t="n">
        <v>2</v>
      </c>
      <c r="E2793" s="7" t="n">
        <v>4.92999982833862</v>
      </c>
      <c r="F2793" s="7" t="n">
        <v>0</v>
      </c>
      <c r="G2793" s="7" t="n">
        <v>46.4900016784668</v>
      </c>
    </row>
    <row r="2794" spans="1:5">
      <c r="A2794" t="s">
        <v>4</v>
      </c>
      <c r="B2794" s="4" t="s">
        <v>5</v>
      </c>
      <c r="C2794" s="4" t="s">
        <v>11</v>
      </c>
      <c r="D2794" s="4" t="s">
        <v>7</v>
      </c>
      <c r="E2794" s="4" t="s">
        <v>15</v>
      </c>
      <c r="F2794" s="4" t="s">
        <v>7</v>
      </c>
      <c r="G2794" s="4" t="s">
        <v>11</v>
      </c>
    </row>
    <row r="2795" spans="1:5">
      <c r="A2795" t="n">
        <v>23772</v>
      </c>
      <c r="B2795" s="75" t="n">
        <v>96</v>
      </c>
      <c r="C2795" s="7" t="n">
        <v>65534</v>
      </c>
      <c r="D2795" s="7" t="n">
        <v>0</v>
      </c>
      <c r="E2795" s="7" t="n">
        <v>1063675494</v>
      </c>
      <c r="F2795" s="7" t="n">
        <v>1</v>
      </c>
      <c r="G2795" s="7" t="n">
        <v>0</v>
      </c>
    </row>
    <row r="2796" spans="1:5">
      <c r="A2796" t="s">
        <v>4</v>
      </c>
      <c r="B2796" s="4" t="s">
        <v>5</v>
      </c>
      <c r="C2796" s="4" t="s">
        <v>11</v>
      </c>
      <c r="D2796" s="4" t="s">
        <v>11</v>
      </c>
      <c r="E2796" s="4" t="s">
        <v>11</v>
      </c>
    </row>
    <row r="2797" spans="1:5">
      <c r="A2797" t="n">
        <v>23783</v>
      </c>
      <c r="B2797" s="72" t="n">
        <v>61</v>
      </c>
      <c r="C2797" s="7" t="n">
        <v>65534</v>
      </c>
      <c r="D2797" s="7" t="n">
        <v>0</v>
      </c>
      <c r="E2797" s="7" t="n">
        <v>1000</v>
      </c>
    </row>
    <row r="2798" spans="1:5">
      <c r="A2798" t="s">
        <v>4</v>
      </c>
      <c r="B2798" s="4" t="s">
        <v>5</v>
      </c>
      <c r="C2798" s="4" t="s">
        <v>11</v>
      </c>
      <c r="D2798" s="4" t="s">
        <v>7</v>
      </c>
    </row>
    <row r="2799" spans="1:5">
      <c r="A2799" t="n">
        <v>23790</v>
      </c>
      <c r="B2799" s="54" t="n">
        <v>56</v>
      </c>
      <c r="C2799" s="7" t="n">
        <v>65534</v>
      </c>
      <c r="D2799" s="7" t="n">
        <v>0</v>
      </c>
    </row>
    <row r="2800" spans="1:5">
      <c r="A2800" t="s">
        <v>4</v>
      </c>
      <c r="B2800" s="4" t="s">
        <v>5</v>
      </c>
      <c r="C2800" s="4" t="s">
        <v>11</v>
      </c>
      <c r="D2800" s="4" t="s">
        <v>13</v>
      </c>
      <c r="E2800" s="4" t="s">
        <v>13</v>
      </c>
      <c r="F2800" s="4" t="s">
        <v>7</v>
      </c>
    </row>
    <row r="2801" spans="1:7">
      <c r="A2801" t="n">
        <v>23794</v>
      </c>
      <c r="B2801" s="65" t="n">
        <v>52</v>
      </c>
      <c r="C2801" s="7" t="n">
        <v>65534</v>
      </c>
      <c r="D2801" s="7" t="n">
        <v>204.100006103516</v>
      </c>
      <c r="E2801" s="7" t="n">
        <v>5</v>
      </c>
      <c r="F2801" s="7" t="n">
        <v>0</v>
      </c>
    </row>
    <row r="2802" spans="1:7">
      <c r="A2802" t="s">
        <v>4</v>
      </c>
      <c r="B2802" s="4" t="s">
        <v>5</v>
      </c>
    </row>
    <row r="2803" spans="1:7">
      <c r="A2803" t="n">
        <v>23806</v>
      </c>
      <c r="B2803" s="5" t="n">
        <v>1</v>
      </c>
    </row>
    <row r="2804" spans="1:7" s="3" customFormat="1" customHeight="0">
      <c r="A2804" s="3" t="s">
        <v>2</v>
      </c>
      <c r="B2804" s="3" t="s">
        <v>270</v>
      </c>
    </row>
    <row r="2805" spans="1:7">
      <c r="A2805" t="s">
        <v>4</v>
      </c>
      <c r="B2805" s="4" t="s">
        <v>5</v>
      </c>
      <c r="C2805" s="4" t="s">
        <v>7</v>
      </c>
      <c r="D2805" s="4" t="s">
        <v>7</v>
      </c>
      <c r="E2805" s="4" t="s">
        <v>7</v>
      </c>
      <c r="F2805" s="4" t="s">
        <v>7</v>
      </c>
    </row>
    <row r="2806" spans="1:7">
      <c r="A2806" t="n">
        <v>23808</v>
      </c>
      <c r="B2806" s="9" t="n">
        <v>14</v>
      </c>
      <c r="C2806" s="7" t="n">
        <v>2</v>
      </c>
      <c r="D2806" s="7" t="n">
        <v>0</v>
      </c>
      <c r="E2806" s="7" t="n">
        <v>0</v>
      </c>
      <c r="F2806" s="7" t="n">
        <v>0</v>
      </c>
    </row>
    <row r="2807" spans="1:7">
      <c r="A2807" t="s">
        <v>4</v>
      </c>
      <c r="B2807" s="4" t="s">
        <v>5</v>
      </c>
      <c r="C2807" s="4" t="s">
        <v>7</v>
      </c>
      <c r="D2807" s="20" t="s">
        <v>35</v>
      </c>
      <c r="E2807" s="4" t="s">
        <v>5</v>
      </c>
      <c r="F2807" s="4" t="s">
        <v>7</v>
      </c>
      <c r="G2807" s="4" t="s">
        <v>11</v>
      </c>
      <c r="H2807" s="20" t="s">
        <v>36</v>
      </c>
      <c r="I2807" s="4" t="s">
        <v>7</v>
      </c>
      <c r="J2807" s="4" t="s">
        <v>15</v>
      </c>
      <c r="K2807" s="4" t="s">
        <v>7</v>
      </c>
      <c r="L2807" s="4" t="s">
        <v>7</v>
      </c>
      <c r="M2807" s="20" t="s">
        <v>35</v>
      </c>
      <c r="N2807" s="4" t="s">
        <v>5</v>
      </c>
      <c r="O2807" s="4" t="s">
        <v>7</v>
      </c>
      <c r="P2807" s="4" t="s">
        <v>11</v>
      </c>
      <c r="Q2807" s="20" t="s">
        <v>36</v>
      </c>
      <c r="R2807" s="4" t="s">
        <v>7</v>
      </c>
      <c r="S2807" s="4" t="s">
        <v>15</v>
      </c>
      <c r="T2807" s="4" t="s">
        <v>7</v>
      </c>
      <c r="U2807" s="4" t="s">
        <v>7</v>
      </c>
      <c r="V2807" s="4" t="s">
        <v>7</v>
      </c>
      <c r="W2807" s="4" t="s">
        <v>12</v>
      </c>
    </row>
    <row r="2808" spans="1:7">
      <c r="A2808" t="n">
        <v>23813</v>
      </c>
      <c r="B2808" s="10" t="n">
        <v>5</v>
      </c>
      <c r="C2808" s="7" t="n">
        <v>28</v>
      </c>
      <c r="D2808" s="20" t="s">
        <v>3</v>
      </c>
      <c r="E2808" s="8" t="n">
        <v>162</v>
      </c>
      <c r="F2808" s="7" t="n">
        <v>3</v>
      </c>
      <c r="G2808" s="7" t="n">
        <v>32857</v>
      </c>
      <c r="H2808" s="20" t="s">
        <v>3</v>
      </c>
      <c r="I2808" s="7" t="n">
        <v>0</v>
      </c>
      <c r="J2808" s="7" t="n">
        <v>1</v>
      </c>
      <c r="K2808" s="7" t="n">
        <v>2</v>
      </c>
      <c r="L2808" s="7" t="n">
        <v>28</v>
      </c>
      <c r="M2808" s="20" t="s">
        <v>3</v>
      </c>
      <c r="N2808" s="8" t="n">
        <v>162</v>
      </c>
      <c r="O2808" s="7" t="n">
        <v>3</v>
      </c>
      <c r="P2808" s="7" t="n">
        <v>32857</v>
      </c>
      <c r="Q2808" s="20" t="s">
        <v>3</v>
      </c>
      <c r="R2808" s="7" t="n">
        <v>0</v>
      </c>
      <c r="S2808" s="7" t="n">
        <v>2</v>
      </c>
      <c r="T2808" s="7" t="n">
        <v>2</v>
      </c>
      <c r="U2808" s="7" t="n">
        <v>11</v>
      </c>
      <c r="V2808" s="7" t="n">
        <v>1</v>
      </c>
      <c r="W2808" s="11" t="n">
        <f t="normal" ca="1">A2812</f>
        <v>0</v>
      </c>
    </row>
    <row r="2809" spans="1:7">
      <c r="A2809" t="s">
        <v>4</v>
      </c>
      <c r="B2809" s="4" t="s">
        <v>5</v>
      </c>
      <c r="C2809" s="4" t="s">
        <v>7</v>
      </c>
      <c r="D2809" s="4" t="s">
        <v>11</v>
      </c>
      <c r="E2809" s="4" t="s">
        <v>13</v>
      </c>
    </row>
    <row r="2810" spans="1:7">
      <c r="A2810" t="n">
        <v>23842</v>
      </c>
      <c r="B2810" s="23" t="n">
        <v>58</v>
      </c>
      <c r="C2810" s="7" t="n">
        <v>0</v>
      </c>
      <c r="D2810" s="7" t="n">
        <v>0</v>
      </c>
      <c r="E2810" s="7" t="n">
        <v>1</v>
      </c>
    </row>
    <row r="2811" spans="1:7">
      <c r="A2811" t="s">
        <v>4</v>
      </c>
      <c r="B2811" s="4" t="s">
        <v>5</v>
      </c>
      <c r="C2811" s="4" t="s">
        <v>7</v>
      </c>
      <c r="D2811" s="20" t="s">
        <v>35</v>
      </c>
      <c r="E2811" s="4" t="s">
        <v>5</v>
      </c>
      <c r="F2811" s="4" t="s">
        <v>7</v>
      </c>
      <c r="G2811" s="4" t="s">
        <v>11</v>
      </c>
      <c r="H2811" s="20" t="s">
        <v>36</v>
      </c>
      <c r="I2811" s="4" t="s">
        <v>7</v>
      </c>
      <c r="J2811" s="4" t="s">
        <v>15</v>
      </c>
      <c r="K2811" s="4" t="s">
        <v>7</v>
      </c>
      <c r="L2811" s="4" t="s">
        <v>7</v>
      </c>
      <c r="M2811" s="20" t="s">
        <v>35</v>
      </c>
      <c r="N2811" s="4" t="s">
        <v>5</v>
      </c>
      <c r="O2811" s="4" t="s">
        <v>7</v>
      </c>
      <c r="P2811" s="4" t="s">
        <v>11</v>
      </c>
      <c r="Q2811" s="20" t="s">
        <v>36</v>
      </c>
      <c r="R2811" s="4" t="s">
        <v>7</v>
      </c>
      <c r="S2811" s="4" t="s">
        <v>15</v>
      </c>
      <c r="T2811" s="4" t="s">
        <v>7</v>
      </c>
      <c r="U2811" s="4" t="s">
        <v>7</v>
      </c>
      <c r="V2811" s="4" t="s">
        <v>7</v>
      </c>
      <c r="W2811" s="4" t="s">
        <v>12</v>
      </c>
    </row>
    <row r="2812" spans="1:7">
      <c r="A2812" t="n">
        <v>23850</v>
      </c>
      <c r="B2812" s="10" t="n">
        <v>5</v>
      </c>
      <c r="C2812" s="7" t="n">
        <v>28</v>
      </c>
      <c r="D2812" s="20" t="s">
        <v>3</v>
      </c>
      <c r="E2812" s="8" t="n">
        <v>162</v>
      </c>
      <c r="F2812" s="7" t="n">
        <v>3</v>
      </c>
      <c r="G2812" s="7" t="n">
        <v>32857</v>
      </c>
      <c r="H2812" s="20" t="s">
        <v>3</v>
      </c>
      <c r="I2812" s="7" t="n">
        <v>0</v>
      </c>
      <c r="J2812" s="7" t="n">
        <v>1</v>
      </c>
      <c r="K2812" s="7" t="n">
        <v>3</v>
      </c>
      <c r="L2812" s="7" t="n">
        <v>28</v>
      </c>
      <c r="M2812" s="20" t="s">
        <v>3</v>
      </c>
      <c r="N2812" s="8" t="n">
        <v>162</v>
      </c>
      <c r="O2812" s="7" t="n">
        <v>3</v>
      </c>
      <c r="P2812" s="7" t="n">
        <v>32857</v>
      </c>
      <c r="Q2812" s="20" t="s">
        <v>3</v>
      </c>
      <c r="R2812" s="7" t="n">
        <v>0</v>
      </c>
      <c r="S2812" s="7" t="n">
        <v>2</v>
      </c>
      <c r="T2812" s="7" t="n">
        <v>3</v>
      </c>
      <c r="U2812" s="7" t="n">
        <v>9</v>
      </c>
      <c r="V2812" s="7" t="n">
        <v>1</v>
      </c>
      <c r="W2812" s="11" t="n">
        <f t="normal" ca="1">A2822</f>
        <v>0</v>
      </c>
    </row>
    <row r="2813" spans="1:7">
      <c r="A2813" t="s">
        <v>4</v>
      </c>
      <c r="B2813" s="4" t="s">
        <v>5</v>
      </c>
      <c r="C2813" s="4" t="s">
        <v>7</v>
      </c>
      <c r="D2813" s="20" t="s">
        <v>35</v>
      </c>
      <c r="E2813" s="4" t="s">
        <v>5</v>
      </c>
      <c r="F2813" s="4" t="s">
        <v>11</v>
      </c>
      <c r="G2813" s="4" t="s">
        <v>7</v>
      </c>
      <c r="H2813" s="4" t="s">
        <v>7</v>
      </c>
      <c r="I2813" s="4" t="s">
        <v>8</v>
      </c>
      <c r="J2813" s="20" t="s">
        <v>36</v>
      </c>
      <c r="K2813" s="4" t="s">
        <v>7</v>
      </c>
      <c r="L2813" s="4" t="s">
        <v>7</v>
      </c>
      <c r="M2813" s="20" t="s">
        <v>35</v>
      </c>
      <c r="N2813" s="4" t="s">
        <v>5</v>
      </c>
      <c r="O2813" s="4" t="s">
        <v>7</v>
      </c>
      <c r="P2813" s="20" t="s">
        <v>36</v>
      </c>
      <c r="Q2813" s="4" t="s">
        <v>7</v>
      </c>
      <c r="R2813" s="4" t="s">
        <v>15</v>
      </c>
      <c r="S2813" s="4" t="s">
        <v>7</v>
      </c>
      <c r="T2813" s="4" t="s">
        <v>7</v>
      </c>
      <c r="U2813" s="4" t="s">
        <v>7</v>
      </c>
      <c r="V2813" s="20" t="s">
        <v>35</v>
      </c>
      <c r="W2813" s="4" t="s">
        <v>5</v>
      </c>
      <c r="X2813" s="4" t="s">
        <v>7</v>
      </c>
      <c r="Y2813" s="20" t="s">
        <v>36</v>
      </c>
      <c r="Z2813" s="4" t="s">
        <v>7</v>
      </c>
      <c r="AA2813" s="4" t="s">
        <v>15</v>
      </c>
      <c r="AB2813" s="4" t="s">
        <v>7</v>
      </c>
      <c r="AC2813" s="4" t="s">
        <v>7</v>
      </c>
      <c r="AD2813" s="4" t="s">
        <v>7</v>
      </c>
      <c r="AE2813" s="4" t="s">
        <v>12</v>
      </c>
    </row>
    <row r="2814" spans="1:7">
      <c r="A2814" t="n">
        <v>23879</v>
      </c>
      <c r="B2814" s="10" t="n">
        <v>5</v>
      </c>
      <c r="C2814" s="7" t="n">
        <v>28</v>
      </c>
      <c r="D2814" s="20" t="s">
        <v>3</v>
      </c>
      <c r="E2814" s="41" t="n">
        <v>47</v>
      </c>
      <c r="F2814" s="7" t="n">
        <v>61456</v>
      </c>
      <c r="G2814" s="7" t="n">
        <v>2</v>
      </c>
      <c r="H2814" s="7" t="n">
        <v>0</v>
      </c>
      <c r="I2814" s="7" t="s">
        <v>105</v>
      </c>
      <c r="J2814" s="20" t="s">
        <v>3</v>
      </c>
      <c r="K2814" s="7" t="n">
        <v>8</v>
      </c>
      <c r="L2814" s="7" t="n">
        <v>28</v>
      </c>
      <c r="M2814" s="20" t="s">
        <v>3</v>
      </c>
      <c r="N2814" s="45" t="n">
        <v>74</v>
      </c>
      <c r="O2814" s="7" t="n">
        <v>65</v>
      </c>
      <c r="P2814" s="20" t="s">
        <v>3</v>
      </c>
      <c r="Q2814" s="7" t="n">
        <v>0</v>
      </c>
      <c r="R2814" s="7" t="n">
        <v>1</v>
      </c>
      <c r="S2814" s="7" t="n">
        <v>3</v>
      </c>
      <c r="T2814" s="7" t="n">
        <v>9</v>
      </c>
      <c r="U2814" s="7" t="n">
        <v>28</v>
      </c>
      <c r="V2814" s="20" t="s">
        <v>3</v>
      </c>
      <c r="W2814" s="45" t="n">
        <v>74</v>
      </c>
      <c r="X2814" s="7" t="n">
        <v>65</v>
      </c>
      <c r="Y2814" s="20" t="s">
        <v>3</v>
      </c>
      <c r="Z2814" s="7" t="n">
        <v>0</v>
      </c>
      <c r="AA2814" s="7" t="n">
        <v>2</v>
      </c>
      <c r="AB2814" s="7" t="n">
        <v>3</v>
      </c>
      <c r="AC2814" s="7" t="n">
        <v>9</v>
      </c>
      <c r="AD2814" s="7" t="n">
        <v>1</v>
      </c>
      <c r="AE2814" s="11" t="n">
        <f t="normal" ca="1">A2818</f>
        <v>0</v>
      </c>
    </row>
    <row r="2815" spans="1:7">
      <c r="A2815" t="s">
        <v>4</v>
      </c>
      <c r="B2815" s="4" t="s">
        <v>5</v>
      </c>
      <c r="C2815" s="4" t="s">
        <v>11</v>
      </c>
      <c r="D2815" s="4" t="s">
        <v>7</v>
      </c>
      <c r="E2815" s="4" t="s">
        <v>7</v>
      </c>
      <c r="F2815" s="4" t="s">
        <v>8</v>
      </c>
    </row>
    <row r="2816" spans="1:7">
      <c r="A2816" t="n">
        <v>23927</v>
      </c>
      <c r="B2816" s="41" t="n">
        <v>47</v>
      </c>
      <c r="C2816" s="7" t="n">
        <v>61456</v>
      </c>
      <c r="D2816" s="7" t="n">
        <v>0</v>
      </c>
      <c r="E2816" s="7" t="n">
        <v>0</v>
      </c>
      <c r="F2816" s="7" t="s">
        <v>106</v>
      </c>
    </row>
    <row r="2817" spans="1:31">
      <c r="A2817" t="s">
        <v>4</v>
      </c>
      <c r="B2817" s="4" t="s">
        <v>5</v>
      </c>
      <c r="C2817" s="4" t="s">
        <v>7</v>
      </c>
      <c r="D2817" s="4" t="s">
        <v>11</v>
      </c>
      <c r="E2817" s="4" t="s">
        <v>13</v>
      </c>
    </row>
    <row r="2818" spans="1:31">
      <c r="A2818" t="n">
        <v>23940</v>
      </c>
      <c r="B2818" s="23" t="n">
        <v>58</v>
      </c>
      <c r="C2818" s="7" t="n">
        <v>0</v>
      </c>
      <c r="D2818" s="7" t="n">
        <v>300</v>
      </c>
      <c r="E2818" s="7" t="n">
        <v>1</v>
      </c>
    </row>
    <row r="2819" spans="1:31">
      <c r="A2819" t="s">
        <v>4</v>
      </c>
      <c r="B2819" s="4" t="s">
        <v>5</v>
      </c>
      <c r="C2819" s="4" t="s">
        <v>7</v>
      </c>
      <c r="D2819" s="4" t="s">
        <v>11</v>
      </c>
    </row>
    <row r="2820" spans="1:31">
      <c r="A2820" t="n">
        <v>23948</v>
      </c>
      <c r="B2820" s="23" t="n">
        <v>58</v>
      </c>
      <c r="C2820" s="7" t="n">
        <v>255</v>
      </c>
      <c r="D2820" s="7" t="n">
        <v>0</v>
      </c>
    </row>
    <row r="2821" spans="1:31">
      <c r="A2821" t="s">
        <v>4</v>
      </c>
      <c r="B2821" s="4" t="s">
        <v>5</v>
      </c>
      <c r="C2821" s="4" t="s">
        <v>7</v>
      </c>
      <c r="D2821" s="4" t="s">
        <v>7</v>
      </c>
      <c r="E2821" s="4" t="s">
        <v>7</v>
      </c>
      <c r="F2821" s="4" t="s">
        <v>7</v>
      </c>
    </row>
    <row r="2822" spans="1:31">
      <c r="A2822" t="n">
        <v>23952</v>
      </c>
      <c r="B2822" s="9" t="n">
        <v>14</v>
      </c>
      <c r="C2822" s="7" t="n">
        <v>0</v>
      </c>
      <c r="D2822" s="7" t="n">
        <v>0</v>
      </c>
      <c r="E2822" s="7" t="n">
        <v>0</v>
      </c>
      <c r="F2822" s="7" t="n">
        <v>64</v>
      </c>
    </row>
    <row r="2823" spans="1:31">
      <c r="A2823" t="s">
        <v>4</v>
      </c>
      <c r="B2823" s="4" t="s">
        <v>5</v>
      </c>
      <c r="C2823" s="4" t="s">
        <v>7</v>
      </c>
      <c r="D2823" s="4" t="s">
        <v>11</v>
      </c>
    </row>
    <row r="2824" spans="1:31">
      <c r="A2824" t="n">
        <v>23957</v>
      </c>
      <c r="B2824" s="22" t="n">
        <v>22</v>
      </c>
      <c r="C2824" s="7" t="n">
        <v>0</v>
      </c>
      <c r="D2824" s="7" t="n">
        <v>32857</v>
      </c>
    </row>
    <row r="2825" spans="1:31">
      <c r="A2825" t="s">
        <v>4</v>
      </c>
      <c r="B2825" s="4" t="s">
        <v>5</v>
      </c>
      <c r="C2825" s="4" t="s">
        <v>7</v>
      </c>
      <c r="D2825" s="4" t="s">
        <v>11</v>
      </c>
    </row>
    <row r="2826" spans="1:31">
      <c r="A2826" t="n">
        <v>23961</v>
      </c>
      <c r="B2826" s="23" t="n">
        <v>58</v>
      </c>
      <c r="C2826" s="7" t="n">
        <v>5</v>
      </c>
      <c r="D2826" s="7" t="n">
        <v>300</v>
      </c>
    </row>
    <row r="2827" spans="1:31">
      <c r="A2827" t="s">
        <v>4</v>
      </c>
      <c r="B2827" s="4" t="s">
        <v>5</v>
      </c>
      <c r="C2827" s="4" t="s">
        <v>13</v>
      </c>
      <c r="D2827" s="4" t="s">
        <v>11</v>
      </c>
    </row>
    <row r="2828" spans="1:31">
      <c r="A2828" t="n">
        <v>23965</v>
      </c>
      <c r="B2828" s="46" t="n">
        <v>103</v>
      </c>
      <c r="C2828" s="7" t="n">
        <v>0</v>
      </c>
      <c r="D2828" s="7" t="n">
        <v>300</v>
      </c>
    </row>
    <row r="2829" spans="1:31">
      <c r="A2829" t="s">
        <v>4</v>
      </c>
      <c r="B2829" s="4" t="s">
        <v>5</v>
      </c>
      <c r="C2829" s="4" t="s">
        <v>7</v>
      </c>
    </row>
    <row r="2830" spans="1:31">
      <c r="A2830" t="n">
        <v>23972</v>
      </c>
      <c r="B2830" s="47" t="n">
        <v>64</v>
      </c>
      <c r="C2830" s="7" t="n">
        <v>7</v>
      </c>
    </row>
    <row r="2831" spans="1:31">
      <c r="A2831" t="s">
        <v>4</v>
      </c>
      <c r="B2831" s="4" t="s">
        <v>5</v>
      </c>
      <c r="C2831" s="4" t="s">
        <v>7</v>
      </c>
      <c r="D2831" s="4" t="s">
        <v>11</v>
      </c>
    </row>
    <row r="2832" spans="1:31">
      <c r="A2832" t="n">
        <v>23974</v>
      </c>
      <c r="B2832" s="48" t="n">
        <v>72</v>
      </c>
      <c r="C2832" s="7" t="n">
        <v>5</v>
      </c>
      <c r="D2832" s="7" t="n">
        <v>0</v>
      </c>
    </row>
    <row r="2833" spans="1:6">
      <c r="A2833" t="s">
        <v>4</v>
      </c>
      <c r="B2833" s="4" t="s">
        <v>5</v>
      </c>
      <c r="C2833" s="4" t="s">
        <v>7</v>
      </c>
      <c r="D2833" s="20" t="s">
        <v>35</v>
      </c>
      <c r="E2833" s="4" t="s">
        <v>5</v>
      </c>
      <c r="F2833" s="4" t="s">
        <v>7</v>
      </c>
      <c r="G2833" s="4" t="s">
        <v>11</v>
      </c>
      <c r="H2833" s="20" t="s">
        <v>36</v>
      </c>
      <c r="I2833" s="4" t="s">
        <v>7</v>
      </c>
      <c r="J2833" s="4" t="s">
        <v>15</v>
      </c>
      <c r="K2833" s="4" t="s">
        <v>7</v>
      </c>
      <c r="L2833" s="4" t="s">
        <v>7</v>
      </c>
      <c r="M2833" s="4" t="s">
        <v>12</v>
      </c>
    </row>
    <row r="2834" spans="1:6">
      <c r="A2834" t="n">
        <v>23978</v>
      </c>
      <c r="B2834" s="10" t="n">
        <v>5</v>
      </c>
      <c r="C2834" s="7" t="n">
        <v>28</v>
      </c>
      <c r="D2834" s="20" t="s">
        <v>3</v>
      </c>
      <c r="E2834" s="8" t="n">
        <v>162</v>
      </c>
      <c r="F2834" s="7" t="n">
        <v>4</v>
      </c>
      <c r="G2834" s="7" t="n">
        <v>32857</v>
      </c>
      <c r="H2834" s="20" t="s">
        <v>3</v>
      </c>
      <c r="I2834" s="7" t="n">
        <v>0</v>
      </c>
      <c r="J2834" s="7" t="n">
        <v>1</v>
      </c>
      <c r="K2834" s="7" t="n">
        <v>2</v>
      </c>
      <c r="L2834" s="7" t="n">
        <v>1</v>
      </c>
      <c r="M2834" s="11" t="n">
        <f t="normal" ca="1">A2840</f>
        <v>0</v>
      </c>
    </row>
    <row r="2835" spans="1:6">
      <c r="A2835" t="s">
        <v>4</v>
      </c>
      <c r="B2835" s="4" t="s">
        <v>5</v>
      </c>
      <c r="C2835" s="4" t="s">
        <v>7</v>
      </c>
      <c r="D2835" s="4" t="s">
        <v>8</v>
      </c>
    </row>
    <row r="2836" spans="1:6">
      <c r="A2836" t="n">
        <v>23995</v>
      </c>
      <c r="B2836" s="6" t="n">
        <v>2</v>
      </c>
      <c r="C2836" s="7" t="n">
        <v>10</v>
      </c>
      <c r="D2836" s="7" t="s">
        <v>107</v>
      </c>
    </row>
    <row r="2837" spans="1:6">
      <c r="A2837" t="s">
        <v>4</v>
      </c>
      <c r="B2837" s="4" t="s">
        <v>5</v>
      </c>
      <c r="C2837" s="4" t="s">
        <v>11</v>
      </c>
    </row>
    <row r="2838" spans="1:6">
      <c r="A2838" t="n">
        <v>24012</v>
      </c>
      <c r="B2838" s="29" t="n">
        <v>16</v>
      </c>
      <c r="C2838" s="7" t="n">
        <v>0</v>
      </c>
    </row>
    <row r="2839" spans="1:6">
      <c r="A2839" t="s">
        <v>4</v>
      </c>
      <c r="B2839" s="4" t="s">
        <v>5</v>
      </c>
      <c r="C2839" s="4" t="s">
        <v>7</v>
      </c>
      <c r="D2839" s="4" t="s">
        <v>11</v>
      </c>
      <c r="E2839" s="4" t="s">
        <v>11</v>
      </c>
      <c r="F2839" s="4" t="s">
        <v>11</v>
      </c>
      <c r="G2839" s="4" t="s">
        <v>11</v>
      </c>
      <c r="H2839" s="4" t="s">
        <v>11</v>
      </c>
      <c r="I2839" s="4" t="s">
        <v>11</v>
      </c>
      <c r="J2839" s="4" t="s">
        <v>11</v>
      </c>
      <c r="K2839" s="4" t="s">
        <v>11</v>
      </c>
      <c r="L2839" s="4" t="s">
        <v>11</v>
      </c>
      <c r="M2839" s="4" t="s">
        <v>11</v>
      </c>
      <c r="N2839" s="4" t="s">
        <v>15</v>
      </c>
      <c r="O2839" s="4" t="s">
        <v>15</v>
      </c>
      <c r="P2839" s="4" t="s">
        <v>15</v>
      </c>
      <c r="Q2839" s="4" t="s">
        <v>15</v>
      </c>
      <c r="R2839" s="4" t="s">
        <v>7</v>
      </c>
      <c r="S2839" s="4" t="s">
        <v>8</v>
      </c>
    </row>
    <row r="2840" spans="1:6">
      <c r="A2840" t="n">
        <v>24015</v>
      </c>
      <c r="B2840" s="24" t="n">
        <v>75</v>
      </c>
      <c r="C2840" s="7" t="n">
        <v>0</v>
      </c>
      <c r="D2840" s="7" t="n">
        <v>484</v>
      </c>
      <c r="E2840" s="7" t="n">
        <v>328</v>
      </c>
      <c r="F2840" s="7" t="n">
        <v>996</v>
      </c>
      <c r="G2840" s="7" t="n">
        <v>392</v>
      </c>
      <c r="H2840" s="7" t="n">
        <v>0</v>
      </c>
      <c r="I2840" s="7" t="n">
        <v>0</v>
      </c>
      <c r="J2840" s="7" t="n">
        <v>0</v>
      </c>
      <c r="K2840" s="7" t="n">
        <v>448</v>
      </c>
      <c r="L2840" s="7" t="n">
        <v>512</v>
      </c>
      <c r="M2840" s="7" t="n">
        <v>512</v>
      </c>
      <c r="N2840" s="7" t="n">
        <v>1065353216</v>
      </c>
      <c r="O2840" s="7" t="n">
        <v>1065353216</v>
      </c>
      <c r="P2840" s="7" t="n">
        <v>1065353216</v>
      </c>
      <c r="Q2840" s="7" t="n">
        <v>0</v>
      </c>
      <c r="R2840" s="7" t="n">
        <v>0</v>
      </c>
      <c r="S2840" s="7" t="s">
        <v>271</v>
      </c>
    </row>
    <row r="2841" spans="1:6">
      <c r="A2841" t="s">
        <v>4</v>
      </c>
      <c r="B2841" s="4" t="s">
        <v>5</v>
      </c>
      <c r="C2841" s="4" t="s">
        <v>7</v>
      </c>
      <c r="D2841" s="4" t="s">
        <v>11</v>
      </c>
      <c r="E2841" s="4" t="s">
        <v>11</v>
      </c>
      <c r="F2841" s="4" t="s">
        <v>11</v>
      </c>
      <c r="G2841" s="4" t="s">
        <v>11</v>
      </c>
      <c r="H2841" s="4" t="s">
        <v>11</v>
      </c>
      <c r="I2841" s="4" t="s">
        <v>11</v>
      </c>
      <c r="J2841" s="4" t="s">
        <v>11</v>
      </c>
      <c r="K2841" s="4" t="s">
        <v>11</v>
      </c>
      <c r="L2841" s="4" t="s">
        <v>11</v>
      </c>
      <c r="M2841" s="4" t="s">
        <v>11</v>
      </c>
      <c r="N2841" s="4" t="s">
        <v>15</v>
      </c>
      <c r="O2841" s="4" t="s">
        <v>15</v>
      </c>
      <c r="P2841" s="4" t="s">
        <v>15</v>
      </c>
      <c r="Q2841" s="4" t="s">
        <v>15</v>
      </c>
      <c r="R2841" s="4" t="s">
        <v>7</v>
      </c>
      <c r="S2841" s="4" t="s">
        <v>8</v>
      </c>
    </row>
    <row r="2842" spans="1:6">
      <c r="A2842" t="n">
        <v>24064</v>
      </c>
      <c r="B2842" s="24" t="n">
        <v>75</v>
      </c>
      <c r="C2842" s="7" t="n">
        <v>1</v>
      </c>
      <c r="D2842" s="7" t="n">
        <v>0</v>
      </c>
      <c r="E2842" s="7" t="n">
        <v>0</v>
      </c>
      <c r="F2842" s="7" t="n">
        <v>1024</v>
      </c>
      <c r="G2842" s="7" t="n">
        <v>720</v>
      </c>
      <c r="H2842" s="7" t="n">
        <v>0</v>
      </c>
      <c r="I2842" s="7" t="n">
        <v>0</v>
      </c>
      <c r="J2842" s="7" t="n">
        <v>0</v>
      </c>
      <c r="K2842" s="7" t="n">
        <v>0</v>
      </c>
      <c r="L2842" s="7" t="n">
        <v>1024</v>
      </c>
      <c r="M2842" s="7" t="n">
        <v>720</v>
      </c>
      <c r="N2842" s="7" t="n">
        <v>1065353216</v>
      </c>
      <c r="O2842" s="7" t="n">
        <v>1065353216</v>
      </c>
      <c r="P2842" s="7" t="n">
        <v>1065353216</v>
      </c>
      <c r="Q2842" s="7" t="n">
        <v>0</v>
      </c>
      <c r="R2842" s="7" t="n">
        <v>0</v>
      </c>
      <c r="S2842" s="7" t="s">
        <v>272</v>
      </c>
    </row>
    <row r="2843" spans="1:6">
      <c r="A2843" t="s">
        <v>4</v>
      </c>
      <c r="B2843" s="4" t="s">
        <v>5</v>
      </c>
      <c r="C2843" s="4" t="s">
        <v>7</v>
      </c>
      <c r="D2843" s="4" t="s">
        <v>7</v>
      </c>
      <c r="E2843" s="4" t="s">
        <v>7</v>
      </c>
      <c r="F2843" s="4" t="s">
        <v>13</v>
      </c>
      <c r="G2843" s="4" t="s">
        <v>13</v>
      </c>
      <c r="H2843" s="4" t="s">
        <v>13</v>
      </c>
      <c r="I2843" s="4" t="s">
        <v>13</v>
      </c>
      <c r="J2843" s="4" t="s">
        <v>13</v>
      </c>
    </row>
    <row r="2844" spans="1:6">
      <c r="A2844" t="n">
        <v>24113</v>
      </c>
      <c r="B2844" s="25" t="n">
        <v>76</v>
      </c>
      <c r="C2844" s="7" t="n">
        <v>1</v>
      </c>
      <c r="D2844" s="7" t="n">
        <v>9</v>
      </c>
      <c r="E2844" s="7" t="n">
        <v>2</v>
      </c>
      <c r="F2844" s="7" t="n">
        <v>0</v>
      </c>
      <c r="G2844" s="7" t="n">
        <v>0</v>
      </c>
      <c r="H2844" s="7" t="n">
        <v>0</v>
      </c>
      <c r="I2844" s="7" t="n">
        <v>0</v>
      </c>
      <c r="J2844" s="7" t="n">
        <v>0</v>
      </c>
    </row>
    <row r="2845" spans="1:6">
      <c r="A2845" t="s">
        <v>4</v>
      </c>
      <c r="B2845" s="4" t="s">
        <v>5</v>
      </c>
      <c r="C2845" s="4" t="s">
        <v>11</v>
      </c>
      <c r="D2845" s="4" t="s">
        <v>8</v>
      </c>
      <c r="E2845" s="4" t="s">
        <v>8</v>
      </c>
      <c r="F2845" s="4" t="s">
        <v>8</v>
      </c>
      <c r="G2845" s="4" t="s">
        <v>7</v>
      </c>
      <c r="H2845" s="4" t="s">
        <v>15</v>
      </c>
      <c r="I2845" s="4" t="s">
        <v>13</v>
      </c>
      <c r="J2845" s="4" t="s">
        <v>13</v>
      </c>
      <c r="K2845" s="4" t="s">
        <v>13</v>
      </c>
      <c r="L2845" s="4" t="s">
        <v>13</v>
      </c>
      <c r="M2845" s="4" t="s">
        <v>13</v>
      </c>
      <c r="N2845" s="4" t="s">
        <v>13</v>
      </c>
      <c r="O2845" s="4" t="s">
        <v>13</v>
      </c>
      <c r="P2845" s="4" t="s">
        <v>8</v>
      </c>
      <c r="Q2845" s="4" t="s">
        <v>8</v>
      </c>
      <c r="R2845" s="4" t="s">
        <v>15</v>
      </c>
      <c r="S2845" s="4" t="s">
        <v>7</v>
      </c>
      <c r="T2845" s="4" t="s">
        <v>15</v>
      </c>
      <c r="U2845" s="4" t="s">
        <v>15</v>
      </c>
      <c r="V2845" s="4" t="s">
        <v>11</v>
      </c>
    </row>
    <row r="2846" spans="1:6">
      <c r="A2846" t="n">
        <v>24137</v>
      </c>
      <c r="B2846" s="62" t="n">
        <v>19</v>
      </c>
      <c r="C2846" s="7" t="n">
        <v>1</v>
      </c>
      <c r="D2846" s="7" t="s">
        <v>273</v>
      </c>
      <c r="E2846" s="7" t="s">
        <v>274</v>
      </c>
      <c r="F2846" s="7" t="s">
        <v>16</v>
      </c>
      <c r="G2846" s="7" t="n">
        <v>0</v>
      </c>
      <c r="H2846" s="7" t="n">
        <v>1</v>
      </c>
      <c r="I2846" s="7" t="n">
        <v>0</v>
      </c>
      <c r="J2846" s="7" t="n">
        <v>0</v>
      </c>
      <c r="K2846" s="7" t="n">
        <v>0</v>
      </c>
      <c r="L2846" s="7" t="n">
        <v>0</v>
      </c>
      <c r="M2846" s="7" t="n">
        <v>1</v>
      </c>
      <c r="N2846" s="7" t="n">
        <v>1.60000002384186</v>
      </c>
      <c r="O2846" s="7" t="n">
        <v>0.0900000035762787</v>
      </c>
      <c r="P2846" s="7" t="s">
        <v>16</v>
      </c>
      <c r="Q2846" s="7" t="s">
        <v>16</v>
      </c>
      <c r="R2846" s="7" t="n">
        <v>-1</v>
      </c>
      <c r="S2846" s="7" t="n">
        <v>0</v>
      </c>
      <c r="T2846" s="7" t="n">
        <v>0</v>
      </c>
      <c r="U2846" s="7" t="n">
        <v>0</v>
      </c>
      <c r="V2846" s="7" t="n">
        <v>0</v>
      </c>
    </row>
    <row r="2847" spans="1:6">
      <c r="A2847" t="s">
        <v>4</v>
      </c>
      <c r="B2847" s="4" t="s">
        <v>5</v>
      </c>
      <c r="C2847" s="4" t="s">
        <v>11</v>
      </c>
      <c r="D2847" s="4" t="s">
        <v>7</v>
      </c>
      <c r="E2847" s="4" t="s">
        <v>7</v>
      </c>
      <c r="F2847" s="4" t="s">
        <v>8</v>
      </c>
    </row>
    <row r="2848" spans="1:6">
      <c r="A2848" t="n">
        <v>24210</v>
      </c>
      <c r="B2848" s="50" t="n">
        <v>20</v>
      </c>
      <c r="C2848" s="7" t="n">
        <v>0</v>
      </c>
      <c r="D2848" s="7" t="n">
        <v>3</v>
      </c>
      <c r="E2848" s="7" t="n">
        <v>10</v>
      </c>
      <c r="F2848" s="7" t="s">
        <v>108</v>
      </c>
    </row>
    <row r="2849" spans="1:22">
      <c r="A2849" t="s">
        <v>4</v>
      </c>
      <c r="B2849" s="4" t="s">
        <v>5</v>
      </c>
      <c r="C2849" s="4" t="s">
        <v>11</v>
      </c>
    </row>
    <row r="2850" spans="1:22">
      <c r="A2850" t="n">
        <v>24228</v>
      </c>
      <c r="B2850" s="29" t="n">
        <v>16</v>
      </c>
      <c r="C2850" s="7" t="n">
        <v>0</v>
      </c>
    </row>
    <row r="2851" spans="1:22">
      <c r="A2851" t="s">
        <v>4</v>
      </c>
      <c r="B2851" s="4" t="s">
        <v>5</v>
      </c>
      <c r="C2851" s="4" t="s">
        <v>11</v>
      </c>
      <c r="D2851" s="4" t="s">
        <v>7</v>
      </c>
      <c r="E2851" s="4" t="s">
        <v>7</v>
      </c>
      <c r="F2851" s="4" t="s">
        <v>8</v>
      </c>
    </row>
    <row r="2852" spans="1:22">
      <c r="A2852" t="n">
        <v>24231</v>
      </c>
      <c r="B2852" s="50" t="n">
        <v>20</v>
      </c>
      <c r="C2852" s="7" t="n">
        <v>1</v>
      </c>
      <c r="D2852" s="7" t="n">
        <v>3</v>
      </c>
      <c r="E2852" s="7" t="n">
        <v>10</v>
      </c>
      <c r="F2852" s="7" t="s">
        <v>108</v>
      </c>
    </row>
    <row r="2853" spans="1:22">
      <c r="A2853" t="s">
        <v>4</v>
      </c>
      <c r="B2853" s="4" t="s">
        <v>5</v>
      </c>
      <c r="C2853" s="4" t="s">
        <v>11</v>
      </c>
    </row>
    <row r="2854" spans="1:22">
      <c r="A2854" t="n">
        <v>24249</v>
      </c>
      <c r="B2854" s="29" t="n">
        <v>16</v>
      </c>
      <c r="C2854" s="7" t="n">
        <v>0</v>
      </c>
    </row>
    <row r="2855" spans="1:22">
      <c r="A2855" t="s">
        <v>4</v>
      </c>
      <c r="B2855" s="4" t="s">
        <v>5</v>
      </c>
      <c r="C2855" s="4" t="s">
        <v>11</v>
      </c>
      <c r="D2855" s="4" t="s">
        <v>15</v>
      </c>
    </row>
    <row r="2856" spans="1:22">
      <c r="A2856" t="n">
        <v>24252</v>
      </c>
      <c r="B2856" s="39" t="n">
        <v>43</v>
      </c>
      <c r="C2856" s="7" t="n">
        <v>1</v>
      </c>
      <c r="D2856" s="7" t="n">
        <v>1</v>
      </c>
    </row>
    <row r="2857" spans="1:22">
      <c r="A2857" t="s">
        <v>4</v>
      </c>
      <c r="B2857" s="4" t="s">
        <v>5</v>
      </c>
      <c r="C2857" s="4" t="s">
        <v>7</v>
      </c>
    </row>
    <row r="2858" spans="1:22">
      <c r="A2858" t="n">
        <v>24259</v>
      </c>
      <c r="B2858" s="49" t="n">
        <v>116</v>
      </c>
      <c r="C2858" s="7" t="n">
        <v>0</v>
      </c>
    </row>
    <row r="2859" spans="1:22">
      <c r="A2859" t="s">
        <v>4</v>
      </c>
      <c r="B2859" s="4" t="s">
        <v>5</v>
      </c>
      <c r="C2859" s="4" t="s">
        <v>7</v>
      </c>
      <c r="D2859" s="4" t="s">
        <v>11</v>
      </c>
    </row>
    <row r="2860" spans="1:22">
      <c r="A2860" t="n">
        <v>24261</v>
      </c>
      <c r="B2860" s="49" t="n">
        <v>116</v>
      </c>
      <c r="C2860" s="7" t="n">
        <v>2</v>
      </c>
      <c r="D2860" s="7" t="n">
        <v>1</v>
      </c>
    </row>
    <row r="2861" spans="1:22">
      <c r="A2861" t="s">
        <v>4</v>
      </c>
      <c r="B2861" s="4" t="s">
        <v>5</v>
      </c>
      <c r="C2861" s="4" t="s">
        <v>7</v>
      </c>
      <c r="D2861" s="4" t="s">
        <v>15</v>
      </c>
    </row>
    <row r="2862" spans="1:22">
      <c r="A2862" t="n">
        <v>24265</v>
      </c>
      <c r="B2862" s="49" t="n">
        <v>116</v>
      </c>
      <c r="C2862" s="7" t="n">
        <v>5</v>
      </c>
      <c r="D2862" s="7" t="n">
        <v>1106247680</v>
      </c>
    </row>
    <row r="2863" spans="1:22">
      <c r="A2863" t="s">
        <v>4</v>
      </c>
      <c r="B2863" s="4" t="s">
        <v>5</v>
      </c>
      <c r="C2863" s="4" t="s">
        <v>7</v>
      </c>
      <c r="D2863" s="4" t="s">
        <v>11</v>
      </c>
    </row>
    <row r="2864" spans="1:22">
      <c r="A2864" t="n">
        <v>24271</v>
      </c>
      <c r="B2864" s="49" t="n">
        <v>116</v>
      </c>
      <c r="C2864" s="7" t="n">
        <v>6</v>
      </c>
      <c r="D2864" s="7" t="n">
        <v>1</v>
      </c>
    </row>
    <row r="2865" spans="1:6">
      <c r="A2865" t="s">
        <v>4</v>
      </c>
      <c r="B2865" s="4" t="s">
        <v>5</v>
      </c>
      <c r="C2865" s="4" t="s">
        <v>7</v>
      </c>
      <c r="D2865" s="4" t="s">
        <v>11</v>
      </c>
      <c r="E2865" s="4" t="s">
        <v>11</v>
      </c>
      <c r="F2865" s="4" t="s">
        <v>15</v>
      </c>
    </row>
    <row r="2866" spans="1:6">
      <c r="A2866" t="n">
        <v>24275</v>
      </c>
      <c r="B2866" s="76" t="n">
        <v>84</v>
      </c>
      <c r="C2866" s="7" t="n">
        <v>0</v>
      </c>
      <c r="D2866" s="7" t="n">
        <v>0</v>
      </c>
      <c r="E2866" s="7" t="n">
        <v>0</v>
      </c>
      <c r="F2866" s="7" t="n">
        <v>1045220557</v>
      </c>
    </row>
    <row r="2867" spans="1:6">
      <c r="A2867" t="s">
        <v>4</v>
      </c>
      <c r="B2867" s="4" t="s">
        <v>5</v>
      </c>
      <c r="C2867" s="4" t="s">
        <v>11</v>
      </c>
      <c r="D2867" s="4" t="s">
        <v>13</v>
      </c>
      <c r="E2867" s="4" t="s">
        <v>13</v>
      </c>
      <c r="F2867" s="4" t="s">
        <v>13</v>
      </c>
      <c r="G2867" s="4" t="s">
        <v>13</v>
      </c>
    </row>
    <row r="2868" spans="1:6">
      <c r="A2868" t="n">
        <v>24285</v>
      </c>
      <c r="B2868" s="36" t="n">
        <v>46</v>
      </c>
      <c r="C2868" s="7" t="n">
        <v>1</v>
      </c>
      <c r="D2868" s="7" t="n">
        <v>7.6100001335144</v>
      </c>
      <c r="E2868" s="7" t="n">
        <v>0</v>
      </c>
      <c r="F2868" s="7" t="n">
        <v>46.0200004577637</v>
      </c>
      <c r="G2868" s="7" t="n">
        <v>272.200012207031</v>
      </c>
    </row>
    <row r="2869" spans="1:6">
      <c r="A2869" t="s">
        <v>4</v>
      </c>
      <c r="B2869" s="4" t="s">
        <v>5</v>
      </c>
      <c r="C2869" s="4" t="s">
        <v>11</v>
      </c>
      <c r="D2869" s="4" t="s">
        <v>13</v>
      </c>
      <c r="E2869" s="4" t="s">
        <v>13</v>
      </c>
      <c r="F2869" s="4" t="s">
        <v>13</v>
      </c>
      <c r="G2869" s="4" t="s">
        <v>13</v>
      </c>
    </row>
    <row r="2870" spans="1:6">
      <c r="A2870" t="n">
        <v>24304</v>
      </c>
      <c r="B2870" s="36" t="n">
        <v>46</v>
      </c>
      <c r="C2870" s="7" t="n">
        <v>0</v>
      </c>
      <c r="D2870" s="7" t="n">
        <v>4.78000020980835</v>
      </c>
      <c r="E2870" s="7" t="n">
        <v>0</v>
      </c>
      <c r="F2870" s="7" t="n">
        <v>45.3300018310547</v>
      </c>
      <c r="G2870" s="7" t="n">
        <v>-102.300003051758</v>
      </c>
    </row>
    <row r="2871" spans="1:6">
      <c r="A2871" t="s">
        <v>4</v>
      </c>
      <c r="B2871" s="4" t="s">
        <v>5</v>
      </c>
      <c r="C2871" s="4" t="s">
        <v>11</v>
      </c>
      <c r="D2871" s="4" t="s">
        <v>7</v>
      </c>
      <c r="E2871" s="4" t="s">
        <v>8</v>
      </c>
      <c r="F2871" s="4" t="s">
        <v>13</v>
      </c>
      <c r="G2871" s="4" t="s">
        <v>13</v>
      </c>
      <c r="H2871" s="4" t="s">
        <v>13</v>
      </c>
    </row>
    <row r="2872" spans="1:6">
      <c r="A2872" t="n">
        <v>24323</v>
      </c>
      <c r="B2872" s="42" t="n">
        <v>48</v>
      </c>
      <c r="C2872" s="7" t="n">
        <v>0</v>
      </c>
      <c r="D2872" s="7" t="n">
        <v>0</v>
      </c>
      <c r="E2872" s="7" t="s">
        <v>275</v>
      </c>
      <c r="F2872" s="7" t="n">
        <v>0</v>
      </c>
      <c r="G2872" s="7" t="n">
        <v>1</v>
      </c>
      <c r="H2872" s="7" t="n">
        <v>0</v>
      </c>
    </row>
    <row r="2873" spans="1:6">
      <c r="A2873" t="s">
        <v>4</v>
      </c>
      <c r="B2873" s="4" t="s">
        <v>5</v>
      </c>
      <c r="C2873" s="4" t="s">
        <v>7</v>
      </c>
      <c r="D2873" s="4" t="s">
        <v>11</v>
      </c>
      <c r="E2873" s="4" t="s">
        <v>8</v>
      </c>
      <c r="F2873" s="4" t="s">
        <v>8</v>
      </c>
      <c r="G2873" s="4" t="s">
        <v>8</v>
      </c>
      <c r="H2873" s="4" t="s">
        <v>8</v>
      </c>
    </row>
    <row r="2874" spans="1:6">
      <c r="A2874" t="n">
        <v>24348</v>
      </c>
      <c r="B2874" s="38" t="n">
        <v>51</v>
      </c>
      <c r="C2874" s="7" t="n">
        <v>3</v>
      </c>
      <c r="D2874" s="7" t="n">
        <v>0</v>
      </c>
      <c r="E2874" s="7" t="s">
        <v>101</v>
      </c>
      <c r="F2874" s="7" t="s">
        <v>99</v>
      </c>
      <c r="G2874" s="7" t="s">
        <v>78</v>
      </c>
      <c r="H2874" s="7" t="s">
        <v>79</v>
      </c>
    </row>
    <row r="2875" spans="1:6">
      <c r="A2875" t="s">
        <v>4</v>
      </c>
      <c r="B2875" s="4" t="s">
        <v>5</v>
      </c>
      <c r="C2875" s="4" t="s">
        <v>7</v>
      </c>
      <c r="D2875" s="4" t="s">
        <v>11</v>
      </c>
      <c r="E2875" s="4" t="s">
        <v>8</v>
      </c>
      <c r="F2875" s="4" t="s">
        <v>8</v>
      </c>
      <c r="G2875" s="4" t="s">
        <v>8</v>
      </c>
      <c r="H2875" s="4" t="s">
        <v>8</v>
      </c>
    </row>
    <row r="2876" spans="1:6">
      <c r="A2876" t="n">
        <v>24369</v>
      </c>
      <c r="B2876" s="38" t="n">
        <v>51</v>
      </c>
      <c r="C2876" s="7" t="n">
        <v>3</v>
      </c>
      <c r="D2876" s="7" t="n">
        <v>1</v>
      </c>
      <c r="E2876" s="7" t="s">
        <v>101</v>
      </c>
      <c r="F2876" s="7" t="s">
        <v>232</v>
      </c>
      <c r="G2876" s="7" t="s">
        <v>78</v>
      </c>
      <c r="H2876" s="7" t="s">
        <v>79</v>
      </c>
    </row>
    <row r="2877" spans="1:6">
      <c r="A2877" t="s">
        <v>4</v>
      </c>
      <c r="B2877" s="4" t="s">
        <v>5</v>
      </c>
      <c r="C2877" s="4" t="s">
        <v>7</v>
      </c>
      <c r="D2877" s="4" t="s">
        <v>11</v>
      </c>
      <c r="E2877" s="4" t="s">
        <v>7</v>
      </c>
      <c r="F2877" s="4" t="s">
        <v>8</v>
      </c>
      <c r="G2877" s="4" t="s">
        <v>8</v>
      </c>
      <c r="H2877" s="4" t="s">
        <v>8</v>
      </c>
      <c r="I2877" s="4" t="s">
        <v>8</v>
      </c>
      <c r="J2877" s="4" t="s">
        <v>8</v>
      </c>
      <c r="K2877" s="4" t="s">
        <v>8</v>
      </c>
      <c r="L2877" s="4" t="s">
        <v>8</v>
      </c>
      <c r="M2877" s="4" t="s">
        <v>8</v>
      </c>
      <c r="N2877" s="4" t="s">
        <v>8</v>
      </c>
      <c r="O2877" s="4" t="s">
        <v>8</v>
      </c>
      <c r="P2877" s="4" t="s">
        <v>8</v>
      </c>
      <c r="Q2877" s="4" t="s">
        <v>8</v>
      </c>
      <c r="R2877" s="4" t="s">
        <v>8</v>
      </c>
      <c r="S2877" s="4" t="s">
        <v>8</v>
      </c>
      <c r="T2877" s="4" t="s">
        <v>8</v>
      </c>
      <c r="U2877" s="4" t="s">
        <v>8</v>
      </c>
    </row>
    <row r="2878" spans="1:6">
      <c r="A2878" t="n">
        <v>24390</v>
      </c>
      <c r="B2878" s="40" t="n">
        <v>36</v>
      </c>
      <c r="C2878" s="7" t="n">
        <v>8</v>
      </c>
      <c r="D2878" s="7" t="n">
        <v>0</v>
      </c>
      <c r="E2878" s="7" t="n">
        <v>0</v>
      </c>
      <c r="F2878" s="7" t="s">
        <v>276</v>
      </c>
      <c r="G2878" s="7" t="s">
        <v>277</v>
      </c>
      <c r="H2878" s="7" t="s">
        <v>278</v>
      </c>
      <c r="I2878" s="7" t="s">
        <v>16</v>
      </c>
      <c r="J2878" s="7" t="s">
        <v>16</v>
      </c>
      <c r="K2878" s="7" t="s">
        <v>16</v>
      </c>
      <c r="L2878" s="7" t="s">
        <v>16</v>
      </c>
      <c r="M2878" s="7" t="s">
        <v>16</v>
      </c>
      <c r="N2878" s="7" t="s">
        <v>16</v>
      </c>
      <c r="O2878" s="7" t="s">
        <v>16</v>
      </c>
      <c r="P2878" s="7" t="s">
        <v>16</v>
      </c>
      <c r="Q2878" s="7" t="s">
        <v>16</v>
      </c>
      <c r="R2878" s="7" t="s">
        <v>16</v>
      </c>
      <c r="S2878" s="7" t="s">
        <v>16</v>
      </c>
      <c r="T2878" s="7" t="s">
        <v>16</v>
      </c>
      <c r="U2878" s="7" t="s">
        <v>16</v>
      </c>
    </row>
    <row r="2879" spans="1:6">
      <c r="A2879" t="s">
        <v>4</v>
      </c>
      <c r="B2879" s="4" t="s">
        <v>5</v>
      </c>
      <c r="C2879" s="4" t="s">
        <v>7</v>
      </c>
      <c r="D2879" s="4" t="s">
        <v>11</v>
      </c>
      <c r="E2879" s="4" t="s">
        <v>7</v>
      </c>
      <c r="F2879" s="4" t="s">
        <v>8</v>
      </c>
      <c r="G2879" s="4" t="s">
        <v>8</v>
      </c>
      <c r="H2879" s="4" t="s">
        <v>8</v>
      </c>
      <c r="I2879" s="4" t="s">
        <v>8</v>
      </c>
      <c r="J2879" s="4" t="s">
        <v>8</v>
      </c>
      <c r="K2879" s="4" t="s">
        <v>8</v>
      </c>
      <c r="L2879" s="4" t="s">
        <v>8</v>
      </c>
      <c r="M2879" s="4" t="s">
        <v>8</v>
      </c>
      <c r="N2879" s="4" t="s">
        <v>8</v>
      </c>
      <c r="O2879" s="4" t="s">
        <v>8</v>
      </c>
      <c r="P2879" s="4" t="s">
        <v>8</v>
      </c>
      <c r="Q2879" s="4" t="s">
        <v>8</v>
      </c>
      <c r="R2879" s="4" t="s">
        <v>8</v>
      </c>
      <c r="S2879" s="4" t="s">
        <v>8</v>
      </c>
      <c r="T2879" s="4" t="s">
        <v>8</v>
      </c>
      <c r="U2879" s="4" t="s">
        <v>8</v>
      </c>
    </row>
    <row r="2880" spans="1:6">
      <c r="A2880" t="n">
        <v>24438</v>
      </c>
      <c r="B2880" s="40" t="n">
        <v>36</v>
      </c>
      <c r="C2880" s="7" t="n">
        <v>8</v>
      </c>
      <c r="D2880" s="7" t="n">
        <v>1</v>
      </c>
      <c r="E2880" s="7" t="n">
        <v>0</v>
      </c>
      <c r="F2880" s="7" t="s">
        <v>276</v>
      </c>
      <c r="G2880" s="7" t="s">
        <v>277</v>
      </c>
      <c r="H2880" s="7" t="s">
        <v>278</v>
      </c>
      <c r="I2880" s="7" t="s">
        <v>16</v>
      </c>
      <c r="J2880" s="7" t="s">
        <v>16</v>
      </c>
      <c r="K2880" s="7" t="s">
        <v>16</v>
      </c>
      <c r="L2880" s="7" t="s">
        <v>16</v>
      </c>
      <c r="M2880" s="7" t="s">
        <v>16</v>
      </c>
      <c r="N2880" s="7" t="s">
        <v>16</v>
      </c>
      <c r="O2880" s="7" t="s">
        <v>16</v>
      </c>
      <c r="P2880" s="7" t="s">
        <v>16</v>
      </c>
      <c r="Q2880" s="7" t="s">
        <v>16</v>
      </c>
      <c r="R2880" s="7" t="s">
        <v>16</v>
      </c>
      <c r="S2880" s="7" t="s">
        <v>16</v>
      </c>
      <c r="T2880" s="7" t="s">
        <v>16</v>
      </c>
      <c r="U2880" s="7" t="s">
        <v>16</v>
      </c>
    </row>
    <row r="2881" spans="1:21">
      <c r="A2881" t="s">
        <v>4</v>
      </c>
      <c r="B2881" s="4" t="s">
        <v>5</v>
      </c>
      <c r="C2881" s="4" t="s">
        <v>7</v>
      </c>
      <c r="D2881" s="4" t="s">
        <v>7</v>
      </c>
      <c r="E2881" s="4" t="s">
        <v>13</v>
      </c>
      <c r="F2881" s="4" t="s">
        <v>13</v>
      </c>
      <c r="G2881" s="4" t="s">
        <v>13</v>
      </c>
      <c r="H2881" s="4" t="s">
        <v>11</v>
      </c>
    </row>
    <row r="2882" spans="1:21">
      <c r="A2882" t="n">
        <v>24486</v>
      </c>
      <c r="B2882" s="51" t="n">
        <v>45</v>
      </c>
      <c r="C2882" s="7" t="n">
        <v>2</v>
      </c>
      <c r="D2882" s="7" t="n">
        <v>3</v>
      </c>
      <c r="E2882" s="7" t="n">
        <v>-3</v>
      </c>
      <c r="F2882" s="7" t="n">
        <v>2.89000010490417</v>
      </c>
      <c r="G2882" s="7" t="n">
        <v>41.3699989318848</v>
      </c>
      <c r="H2882" s="7" t="n">
        <v>0</v>
      </c>
    </row>
    <row r="2883" spans="1:21">
      <c r="A2883" t="s">
        <v>4</v>
      </c>
      <c r="B2883" s="4" t="s">
        <v>5</v>
      </c>
      <c r="C2883" s="4" t="s">
        <v>7</v>
      </c>
      <c r="D2883" s="4" t="s">
        <v>7</v>
      </c>
      <c r="E2883" s="4" t="s">
        <v>13</v>
      </c>
      <c r="F2883" s="4" t="s">
        <v>13</v>
      </c>
      <c r="G2883" s="4" t="s">
        <v>13</v>
      </c>
      <c r="H2883" s="4" t="s">
        <v>11</v>
      </c>
      <c r="I2883" s="4" t="s">
        <v>7</v>
      </c>
    </row>
    <row r="2884" spans="1:21">
      <c r="A2884" t="n">
        <v>24503</v>
      </c>
      <c r="B2884" s="51" t="n">
        <v>45</v>
      </c>
      <c r="C2884" s="7" t="n">
        <v>4</v>
      </c>
      <c r="D2884" s="7" t="n">
        <v>3</v>
      </c>
      <c r="E2884" s="7" t="n">
        <v>0.649999976158142</v>
      </c>
      <c r="F2884" s="7" t="n">
        <v>105.529998779297</v>
      </c>
      <c r="G2884" s="7" t="n">
        <v>0</v>
      </c>
      <c r="H2884" s="7" t="n">
        <v>0</v>
      </c>
      <c r="I2884" s="7" t="n">
        <v>0</v>
      </c>
    </row>
    <row r="2885" spans="1:21">
      <c r="A2885" t="s">
        <v>4</v>
      </c>
      <c r="B2885" s="4" t="s">
        <v>5</v>
      </c>
      <c r="C2885" s="4" t="s">
        <v>7</v>
      </c>
      <c r="D2885" s="4" t="s">
        <v>7</v>
      </c>
      <c r="E2885" s="4" t="s">
        <v>13</v>
      </c>
      <c r="F2885" s="4" t="s">
        <v>11</v>
      </c>
    </row>
    <row r="2886" spans="1:21">
      <c r="A2886" t="n">
        <v>24521</v>
      </c>
      <c r="B2886" s="51" t="n">
        <v>45</v>
      </c>
      <c r="C2886" s="7" t="n">
        <v>5</v>
      </c>
      <c r="D2886" s="7" t="n">
        <v>3</v>
      </c>
      <c r="E2886" s="7" t="n">
        <v>2.40000009536743</v>
      </c>
      <c r="F2886" s="7" t="n">
        <v>0</v>
      </c>
    </row>
    <row r="2887" spans="1:21">
      <c r="A2887" t="s">
        <v>4</v>
      </c>
      <c r="B2887" s="4" t="s">
        <v>5</v>
      </c>
      <c r="C2887" s="4" t="s">
        <v>7</v>
      </c>
      <c r="D2887" s="4" t="s">
        <v>7</v>
      </c>
      <c r="E2887" s="4" t="s">
        <v>13</v>
      </c>
      <c r="F2887" s="4" t="s">
        <v>11</v>
      </c>
    </row>
    <row r="2888" spans="1:21">
      <c r="A2888" t="n">
        <v>24530</v>
      </c>
      <c r="B2888" s="51" t="n">
        <v>45</v>
      </c>
      <c r="C2888" s="7" t="n">
        <v>11</v>
      </c>
      <c r="D2888" s="7" t="n">
        <v>3</v>
      </c>
      <c r="E2888" s="7" t="n">
        <v>33.4000015258789</v>
      </c>
      <c r="F2888" s="7" t="n">
        <v>0</v>
      </c>
    </row>
    <row r="2889" spans="1:21">
      <c r="A2889" t="s">
        <v>4</v>
      </c>
      <c r="B2889" s="4" t="s">
        <v>5</v>
      </c>
      <c r="C2889" s="4" t="s">
        <v>11</v>
      </c>
      <c r="D2889" s="4" t="s">
        <v>13</v>
      </c>
      <c r="E2889" s="4" t="s">
        <v>13</v>
      </c>
      <c r="F2889" s="4" t="s">
        <v>13</v>
      </c>
      <c r="G2889" s="4" t="s">
        <v>11</v>
      </c>
      <c r="H2889" s="4" t="s">
        <v>11</v>
      </c>
    </row>
    <row r="2890" spans="1:21">
      <c r="A2890" t="n">
        <v>24539</v>
      </c>
      <c r="B2890" s="37" t="n">
        <v>60</v>
      </c>
      <c r="C2890" s="7" t="n">
        <v>0</v>
      </c>
      <c r="D2890" s="7" t="n">
        <v>0</v>
      </c>
      <c r="E2890" s="7" t="n">
        <v>20</v>
      </c>
      <c r="F2890" s="7" t="n">
        <v>0</v>
      </c>
      <c r="G2890" s="7" t="n">
        <v>0</v>
      </c>
      <c r="H2890" s="7" t="n">
        <v>0</v>
      </c>
    </row>
    <row r="2891" spans="1:21">
      <c r="A2891" t="s">
        <v>4</v>
      </c>
      <c r="B2891" s="4" t="s">
        <v>5</v>
      </c>
      <c r="C2891" s="4" t="s">
        <v>7</v>
      </c>
      <c r="D2891" s="4" t="s">
        <v>7</v>
      </c>
      <c r="E2891" s="4" t="s">
        <v>7</v>
      </c>
      <c r="F2891" s="4" t="s">
        <v>13</v>
      </c>
      <c r="G2891" s="4" t="s">
        <v>13</v>
      </c>
      <c r="H2891" s="4" t="s">
        <v>13</v>
      </c>
      <c r="I2891" s="4" t="s">
        <v>13</v>
      </c>
      <c r="J2891" s="4" t="s">
        <v>13</v>
      </c>
    </row>
    <row r="2892" spans="1:21">
      <c r="A2892" t="n">
        <v>24558</v>
      </c>
      <c r="B2892" s="25" t="n">
        <v>76</v>
      </c>
      <c r="C2892" s="7" t="n">
        <v>0</v>
      </c>
      <c r="D2892" s="7" t="n">
        <v>3</v>
      </c>
      <c r="E2892" s="7" t="n">
        <v>2</v>
      </c>
      <c r="F2892" s="7" t="n">
        <v>1</v>
      </c>
      <c r="G2892" s="7" t="n">
        <v>1</v>
      </c>
      <c r="H2892" s="7" t="n">
        <v>1</v>
      </c>
      <c r="I2892" s="7" t="n">
        <v>1</v>
      </c>
      <c r="J2892" s="7" t="n">
        <v>2000</v>
      </c>
    </row>
    <row r="2893" spans="1:21">
      <c r="A2893" t="s">
        <v>4</v>
      </c>
      <c r="B2893" s="4" t="s">
        <v>5</v>
      </c>
      <c r="C2893" s="4" t="s">
        <v>7</v>
      </c>
      <c r="D2893" s="4" t="s">
        <v>7</v>
      </c>
      <c r="E2893" s="4" t="s">
        <v>7</v>
      </c>
      <c r="F2893" s="4" t="s">
        <v>13</v>
      </c>
      <c r="G2893" s="4" t="s">
        <v>13</v>
      </c>
      <c r="H2893" s="4" t="s">
        <v>13</v>
      </c>
      <c r="I2893" s="4" t="s">
        <v>13</v>
      </c>
      <c r="J2893" s="4" t="s">
        <v>13</v>
      </c>
    </row>
    <row r="2894" spans="1:21">
      <c r="A2894" t="n">
        <v>24582</v>
      </c>
      <c r="B2894" s="25" t="n">
        <v>76</v>
      </c>
      <c r="C2894" s="7" t="n">
        <v>0</v>
      </c>
      <c r="D2894" s="7" t="n">
        <v>0</v>
      </c>
      <c r="E2894" s="7" t="n">
        <v>2</v>
      </c>
      <c r="F2894" s="7" t="n">
        <v>64</v>
      </c>
      <c r="G2894" s="7" t="n">
        <v>0</v>
      </c>
      <c r="H2894" s="7" t="n">
        <v>2000</v>
      </c>
      <c r="I2894" s="7" t="n">
        <v>0</v>
      </c>
      <c r="J2894" s="7" t="n">
        <v>0</v>
      </c>
    </row>
    <row r="2895" spans="1:21">
      <c r="A2895" t="s">
        <v>4</v>
      </c>
      <c r="B2895" s="4" t="s">
        <v>5</v>
      </c>
      <c r="C2895" s="4" t="s">
        <v>7</v>
      </c>
      <c r="D2895" s="4" t="s">
        <v>7</v>
      </c>
    </row>
    <row r="2896" spans="1:21">
      <c r="A2896" t="n">
        <v>24606</v>
      </c>
      <c r="B2896" s="26" t="n">
        <v>77</v>
      </c>
      <c r="C2896" s="7" t="n">
        <v>0</v>
      </c>
      <c r="D2896" s="7" t="n">
        <v>3</v>
      </c>
    </row>
    <row r="2897" spans="1:10">
      <c r="A2897" t="s">
        <v>4</v>
      </c>
      <c r="B2897" s="4" t="s">
        <v>5</v>
      </c>
      <c r="C2897" s="4" t="s">
        <v>7</v>
      </c>
      <c r="D2897" s="4" t="s">
        <v>7</v>
      </c>
    </row>
    <row r="2898" spans="1:10">
      <c r="A2898" t="n">
        <v>24609</v>
      </c>
      <c r="B2898" s="26" t="n">
        <v>77</v>
      </c>
      <c r="C2898" s="7" t="n">
        <v>0</v>
      </c>
      <c r="D2898" s="7" t="n">
        <v>0</v>
      </c>
    </row>
    <row r="2899" spans="1:10">
      <c r="A2899" t="s">
        <v>4</v>
      </c>
      <c r="B2899" s="4" t="s">
        <v>5</v>
      </c>
      <c r="C2899" s="4" t="s">
        <v>11</v>
      </c>
    </row>
    <row r="2900" spans="1:10">
      <c r="A2900" t="n">
        <v>24612</v>
      </c>
      <c r="B2900" s="29" t="n">
        <v>16</v>
      </c>
      <c r="C2900" s="7" t="n">
        <v>2000</v>
      </c>
    </row>
    <row r="2901" spans="1:10">
      <c r="A2901" t="s">
        <v>4</v>
      </c>
      <c r="B2901" s="4" t="s">
        <v>5</v>
      </c>
      <c r="C2901" s="4" t="s">
        <v>7</v>
      </c>
      <c r="D2901" s="4" t="s">
        <v>11</v>
      </c>
      <c r="E2901" s="4" t="s">
        <v>15</v>
      </c>
      <c r="F2901" s="4" t="s">
        <v>11</v>
      </c>
      <c r="G2901" s="4" t="s">
        <v>15</v>
      </c>
      <c r="H2901" s="4" t="s">
        <v>7</v>
      </c>
    </row>
    <row r="2902" spans="1:10">
      <c r="A2902" t="n">
        <v>24615</v>
      </c>
      <c r="B2902" s="13" t="n">
        <v>49</v>
      </c>
      <c r="C2902" s="7" t="n">
        <v>0</v>
      </c>
      <c r="D2902" s="7" t="n">
        <v>514</v>
      </c>
      <c r="E2902" s="7" t="n">
        <v>1065353216</v>
      </c>
      <c r="F2902" s="7" t="n">
        <v>0</v>
      </c>
      <c r="G2902" s="7" t="n">
        <v>0</v>
      </c>
      <c r="H2902" s="7" t="n">
        <v>0</v>
      </c>
    </row>
    <row r="2903" spans="1:10">
      <c r="A2903" t="s">
        <v>4</v>
      </c>
      <c r="B2903" s="4" t="s">
        <v>5</v>
      </c>
      <c r="C2903" s="4" t="s">
        <v>7</v>
      </c>
      <c r="D2903" s="4" t="s">
        <v>7</v>
      </c>
      <c r="E2903" s="4" t="s">
        <v>7</v>
      </c>
      <c r="F2903" s="4" t="s">
        <v>13</v>
      </c>
      <c r="G2903" s="4" t="s">
        <v>13</v>
      </c>
      <c r="H2903" s="4" t="s">
        <v>13</v>
      </c>
      <c r="I2903" s="4" t="s">
        <v>13</v>
      </c>
      <c r="J2903" s="4" t="s">
        <v>13</v>
      </c>
    </row>
    <row r="2904" spans="1:10">
      <c r="A2904" t="n">
        <v>24630</v>
      </c>
      <c r="B2904" s="25" t="n">
        <v>76</v>
      </c>
      <c r="C2904" s="7" t="n">
        <v>0</v>
      </c>
      <c r="D2904" s="7" t="n">
        <v>3</v>
      </c>
      <c r="E2904" s="7" t="n">
        <v>1</v>
      </c>
      <c r="F2904" s="7" t="n">
        <v>1</v>
      </c>
      <c r="G2904" s="7" t="n">
        <v>1</v>
      </c>
      <c r="H2904" s="7" t="n">
        <v>1</v>
      </c>
      <c r="I2904" s="7" t="n">
        <v>0</v>
      </c>
      <c r="J2904" s="7" t="n">
        <v>2000</v>
      </c>
    </row>
    <row r="2905" spans="1:10">
      <c r="A2905" t="s">
        <v>4</v>
      </c>
      <c r="B2905" s="4" t="s">
        <v>5</v>
      </c>
      <c r="C2905" s="4" t="s">
        <v>7</v>
      </c>
      <c r="D2905" s="4" t="s">
        <v>7</v>
      </c>
      <c r="E2905" s="4" t="s">
        <v>7</v>
      </c>
      <c r="F2905" s="4" t="s">
        <v>13</v>
      </c>
      <c r="G2905" s="4" t="s">
        <v>13</v>
      </c>
      <c r="H2905" s="4" t="s">
        <v>13</v>
      </c>
      <c r="I2905" s="4" t="s">
        <v>13</v>
      </c>
      <c r="J2905" s="4" t="s">
        <v>13</v>
      </c>
    </row>
    <row r="2906" spans="1:10">
      <c r="A2906" t="n">
        <v>24654</v>
      </c>
      <c r="B2906" s="25" t="n">
        <v>76</v>
      </c>
      <c r="C2906" s="7" t="n">
        <v>0</v>
      </c>
      <c r="D2906" s="7" t="n">
        <v>0</v>
      </c>
      <c r="E2906" s="7" t="n">
        <v>1</v>
      </c>
      <c r="F2906" s="7" t="n">
        <v>128</v>
      </c>
      <c r="G2906" s="7" t="n">
        <v>0</v>
      </c>
      <c r="H2906" s="7" t="n">
        <v>2000</v>
      </c>
      <c r="I2906" s="7" t="n">
        <v>0</v>
      </c>
      <c r="J2906" s="7" t="n">
        <v>0</v>
      </c>
    </row>
    <row r="2907" spans="1:10">
      <c r="A2907" t="s">
        <v>4</v>
      </c>
      <c r="B2907" s="4" t="s">
        <v>5</v>
      </c>
      <c r="C2907" s="4" t="s">
        <v>7</v>
      </c>
      <c r="D2907" s="4" t="s">
        <v>7</v>
      </c>
    </row>
    <row r="2908" spans="1:10">
      <c r="A2908" t="n">
        <v>24678</v>
      </c>
      <c r="B2908" s="26" t="n">
        <v>77</v>
      </c>
      <c r="C2908" s="7" t="n">
        <v>0</v>
      </c>
      <c r="D2908" s="7" t="n">
        <v>3</v>
      </c>
    </row>
    <row r="2909" spans="1:10">
      <c r="A2909" t="s">
        <v>4</v>
      </c>
      <c r="B2909" s="4" t="s">
        <v>5</v>
      </c>
      <c r="C2909" s="4" t="s">
        <v>7</v>
      </c>
      <c r="D2909" s="4" t="s">
        <v>7</v>
      </c>
    </row>
    <row r="2910" spans="1:10">
      <c r="A2910" t="n">
        <v>24681</v>
      </c>
      <c r="B2910" s="26" t="n">
        <v>77</v>
      </c>
      <c r="C2910" s="7" t="n">
        <v>0</v>
      </c>
      <c r="D2910" s="7" t="n">
        <v>0</v>
      </c>
    </row>
    <row r="2911" spans="1:10">
      <c r="A2911" t="s">
        <v>4</v>
      </c>
      <c r="B2911" s="4" t="s">
        <v>5</v>
      </c>
      <c r="C2911" s="4" t="s">
        <v>7</v>
      </c>
      <c r="D2911" s="4" t="s">
        <v>7</v>
      </c>
      <c r="E2911" s="4" t="s">
        <v>13</v>
      </c>
      <c r="F2911" s="4" t="s">
        <v>13</v>
      </c>
      <c r="G2911" s="4" t="s">
        <v>13</v>
      </c>
      <c r="H2911" s="4" t="s">
        <v>11</v>
      </c>
    </row>
    <row r="2912" spans="1:10">
      <c r="A2912" t="n">
        <v>24684</v>
      </c>
      <c r="B2912" s="51" t="n">
        <v>45</v>
      </c>
      <c r="C2912" s="7" t="n">
        <v>2</v>
      </c>
      <c r="D2912" s="7" t="n">
        <v>3</v>
      </c>
      <c r="E2912" s="7" t="n">
        <v>5.23999977111816</v>
      </c>
      <c r="F2912" s="7" t="n">
        <v>2.15000009536743</v>
      </c>
      <c r="G2912" s="7" t="n">
        <v>43.8600006103516</v>
      </c>
      <c r="H2912" s="7" t="n">
        <v>8000</v>
      </c>
    </row>
    <row r="2913" spans="1:10">
      <c r="A2913" t="s">
        <v>4</v>
      </c>
      <c r="B2913" s="4" t="s">
        <v>5</v>
      </c>
      <c r="C2913" s="4" t="s">
        <v>7</v>
      </c>
      <c r="D2913" s="4" t="s">
        <v>7</v>
      </c>
      <c r="E2913" s="4" t="s">
        <v>13</v>
      </c>
      <c r="F2913" s="4" t="s">
        <v>13</v>
      </c>
      <c r="G2913" s="4" t="s">
        <v>13</v>
      </c>
      <c r="H2913" s="4" t="s">
        <v>11</v>
      </c>
      <c r="I2913" s="4" t="s">
        <v>7</v>
      </c>
    </row>
    <row r="2914" spans="1:10">
      <c r="A2914" t="n">
        <v>24701</v>
      </c>
      <c r="B2914" s="51" t="n">
        <v>45</v>
      </c>
      <c r="C2914" s="7" t="n">
        <v>4</v>
      </c>
      <c r="D2914" s="7" t="n">
        <v>3</v>
      </c>
      <c r="E2914" s="7" t="n">
        <v>12.4799995422363</v>
      </c>
      <c r="F2914" s="7" t="n">
        <v>144.25</v>
      </c>
      <c r="G2914" s="7" t="n">
        <v>0</v>
      </c>
      <c r="H2914" s="7" t="n">
        <v>8000</v>
      </c>
      <c r="I2914" s="7" t="n">
        <v>0</v>
      </c>
    </row>
    <row r="2915" spans="1:10">
      <c r="A2915" t="s">
        <v>4</v>
      </c>
      <c r="B2915" s="4" t="s">
        <v>5</v>
      </c>
      <c r="C2915" s="4" t="s">
        <v>7</v>
      </c>
      <c r="D2915" s="4" t="s">
        <v>7</v>
      </c>
      <c r="E2915" s="4" t="s">
        <v>13</v>
      </c>
      <c r="F2915" s="4" t="s">
        <v>11</v>
      </c>
    </row>
    <row r="2916" spans="1:10">
      <c r="A2916" t="n">
        <v>24719</v>
      </c>
      <c r="B2916" s="51" t="n">
        <v>45</v>
      </c>
      <c r="C2916" s="7" t="n">
        <v>5</v>
      </c>
      <c r="D2916" s="7" t="n">
        <v>3</v>
      </c>
      <c r="E2916" s="7" t="n">
        <v>2.40000009536743</v>
      </c>
      <c r="F2916" s="7" t="n">
        <v>8000</v>
      </c>
    </row>
    <row r="2917" spans="1:10">
      <c r="A2917" t="s">
        <v>4</v>
      </c>
      <c r="B2917" s="4" t="s">
        <v>5</v>
      </c>
      <c r="C2917" s="4" t="s">
        <v>7</v>
      </c>
      <c r="D2917" s="4" t="s">
        <v>7</v>
      </c>
      <c r="E2917" s="4" t="s">
        <v>13</v>
      </c>
      <c r="F2917" s="4" t="s">
        <v>11</v>
      </c>
    </row>
    <row r="2918" spans="1:10">
      <c r="A2918" t="n">
        <v>24728</v>
      </c>
      <c r="B2918" s="51" t="n">
        <v>45</v>
      </c>
      <c r="C2918" s="7" t="n">
        <v>11</v>
      </c>
      <c r="D2918" s="7" t="n">
        <v>3</v>
      </c>
      <c r="E2918" s="7" t="n">
        <v>33.4000015258789</v>
      </c>
      <c r="F2918" s="7" t="n">
        <v>8000</v>
      </c>
    </row>
    <row r="2919" spans="1:10">
      <c r="A2919" t="s">
        <v>4</v>
      </c>
      <c r="B2919" s="4" t="s">
        <v>5</v>
      </c>
      <c r="C2919" s="4" t="s">
        <v>7</v>
      </c>
      <c r="D2919" s="4" t="s">
        <v>11</v>
      </c>
      <c r="E2919" s="4" t="s">
        <v>13</v>
      </c>
    </row>
    <row r="2920" spans="1:10">
      <c r="A2920" t="n">
        <v>24737</v>
      </c>
      <c r="B2920" s="23" t="n">
        <v>58</v>
      </c>
      <c r="C2920" s="7" t="n">
        <v>100</v>
      </c>
      <c r="D2920" s="7" t="n">
        <v>1000</v>
      </c>
      <c r="E2920" s="7" t="n">
        <v>1</v>
      </c>
    </row>
    <row r="2921" spans="1:10">
      <c r="A2921" t="s">
        <v>4</v>
      </c>
      <c r="B2921" s="4" t="s">
        <v>5</v>
      </c>
      <c r="C2921" s="4" t="s">
        <v>7</v>
      </c>
      <c r="D2921" s="4" t="s">
        <v>11</v>
      </c>
    </row>
    <row r="2922" spans="1:10">
      <c r="A2922" t="n">
        <v>24745</v>
      </c>
      <c r="B2922" s="23" t="n">
        <v>58</v>
      </c>
      <c r="C2922" s="7" t="n">
        <v>255</v>
      </c>
      <c r="D2922" s="7" t="n">
        <v>0</v>
      </c>
    </row>
    <row r="2923" spans="1:10">
      <c r="A2923" t="s">
        <v>4</v>
      </c>
      <c r="B2923" s="4" t="s">
        <v>5</v>
      </c>
      <c r="C2923" s="4" t="s">
        <v>7</v>
      </c>
      <c r="D2923" s="4" t="s">
        <v>11</v>
      </c>
    </row>
    <row r="2924" spans="1:10">
      <c r="A2924" t="n">
        <v>24749</v>
      </c>
      <c r="B2924" s="51" t="n">
        <v>45</v>
      </c>
      <c r="C2924" s="7" t="n">
        <v>7</v>
      </c>
      <c r="D2924" s="7" t="n">
        <v>255</v>
      </c>
    </row>
    <row r="2925" spans="1:10">
      <c r="A2925" t="s">
        <v>4</v>
      </c>
      <c r="B2925" s="4" t="s">
        <v>5</v>
      </c>
      <c r="C2925" s="4" t="s">
        <v>7</v>
      </c>
      <c r="D2925" s="4" t="s">
        <v>11</v>
      </c>
      <c r="E2925" s="4" t="s">
        <v>13</v>
      </c>
    </row>
    <row r="2926" spans="1:10">
      <c r="A2926" t="n">
        <v>24753</v>
      </c>
      <c r="B2926" s="23" t="n">
        <v>58</v>
      </c>
      <c r="C2926" s="7" t="n">
        <v>101</v>
      </c>
      <c r="D2926" s="7" t="n">
        <v>800</v>
      </c>
      <c r="E2926" s="7" t="n">
        <v>1</v>
      </c>
    </row>
    <row r="2927" spans="1:10">
      <c r="A2927" t="s">
        <v>4</v>
      </c>
      <c r="B2927" s="4" t="s">
        <v>5</v>
      </c>
      <c r="C2927" s="4" t="s">
        <v>7</v>
      </c>
      <c r="D2927" s="4" t="s">
        <v>11</v>
      </c>
    </row>
    <row r="2928" spans="1:10">
      <c r="A2928" t="n">
        <v>24761</v>
      </c>
      <c r="B2928" s="23" t="n">
        <v>58</v>
      </c>
      <c r="C2928" s="7" t="n">
        <v>254</v>
      </c>
      <c r="D2928" s="7" t="n">
        <v>0</v>
      </c>
    </row>
    <row r="2929" spans="1:9">
      <c r="A2929" t="s">
        <v>4</v>
      </c>
      <c r="B2929" s="4" t="s">
        <v>5</v>
      </c>
      <c r="C2929" s="4" t="s">
        <v>7</v>
      </c>
      <c r="D2929" s="4" t="s">
        <v>7</v>
      </c>
      <c r="E2929" s="4" t="s">
        <v>13</v>
      </c>
      <c r="F2929" s="4" t="s">
        <v>13</v>
      </c>
      <c r="G2929" s="4" t="s">
        <v>13</v>
      </c>
      <c r="H2929" s="4" t="s">
        <v>11</v>
      </c>
    </row>
    <row r="2930" spans="1:9">
      <c r="A2930" t="n">
        <v>24765</v>
      </c>
      <c r="B2930" s="51" t="n">
        <v>45</v>
      </c>
      <c r="C2930" s="7" t="n">
        <v>2</v>
      </c>
      <c r="D2930" s="7" t="n">
        <v>3</v>
      </c>
      <c r="E2930" s="7" t="n">
        <v>4.26999998092651</v>
      </c>
      <c r="F2930" s="7" t="n">
        <v>2.44000005722046</v>
      </c>
      <c r="G2930" s="7" t="n">
        <v>44.1500015258789</v>
      </c>
      <c r="H2930" s="7" t="n">
        <v>0</v>
      </c>
    </row>
    <row r="2931" spans="1:9">
      <c r="A2931" t="s">
        <v>4</v>
      </c>
      <c r="B2931" s="4" t="s">
        <v>5</v>
      </c>
      <c r="C2931" s="4" t="s">
        <v>7</v>
      </c>
      <c r="D2931" s="4" t="s">
        <v>7</v>
      </c>
      <c r="E2931" s="4" t="s">
        <v>13</v>
      </c>
      <c r="F2931" s="4" t="s">
        <v>13</v>
      </c>
      <c r="G2931" s="4" t="s">
        <v>13</v>
      </c>
      <c r="H2931" s="4" t="s">
        <v>11</v>
      </c>
      <c r="I2931" s="4" t="s">
        <v>7</v>
      </c>
    </row>
    <row r="2932" spans="1:9">
      <c r="A2932" t="n">
        <v>24782</v>
      </c>
      <c r="B2932" s="51" t="n">
        <v>45</v>
      </c>
      <c r="C2932" s="7" t="n">
        <v>4</v>
      </c>
      <c r="D2932" s="7" t="n">
        <v>3</v>
      </c>
      <c r="E2932" s="7" t="n">
        <v>357.880004882813</v>
      </c>
      <c r="F2932" s="7" t="n">
        <v>321.779998779297</v>
      </c>
      <c r="G2932" s="7" t="n">
        <v>0</v>
      </c>
      <c r="H2932" s="7" t="n">
        <v>0</v>
      </c>
      <c r="I2932" s="7" t="n">
        <v>0</v>
      </c>
    </row>
    <row r="2933" spans="1:9">
      <c r="A2933" t="s">
        <v>4</v>
      </c>
      <c r="B2933" s="4" t="s">
        <v>5</v>
      </c>
      <c r="C2933" s="4" t="s">
        <v>7</v>
      </c>
      <c r="D2933" s="4" t="s">
        <v>7</v>
      </c>
      <c r="E2933" s="4" t="s">
        <v>13</v>
      </c>
      <c r="F2933" s="4" t="s">
        <v>11</v>
      </c>
    </row>
    <row r="2934" spans="1:9">
      <c r="A2934" t="n">
        <v>24800</v>
      </c>
      <c r="B2934" s="51" t="n">
        <v>45</v>
      </c>
      <c r="C2934" s="7" t="n">
        <v>5</v>
      </c>
      <c r="D2934" s="7" t="n">
        <v>3</v>
      </c>
      <c r="E2934" s="7" t="n">
        <v>2.40000009536743</v>
      </c>
      <c r="F2934" s="7" t="n">
        <v>0</v>
      </c>
    </row>
    <row r="2935" spans="1:9">
      <c r="A2935" t="s">
        <v>4</v>
      </c>
      <c r="B2935" s="4" t="s">
        <v>5</v>
      </c>
      <c r="C2935" s="4" t="s">
        <v>7</v>
      </c>
      <c r="D2935" s="4" t="s">
        <v>7</v>
      </c>
      <c r="E2935" s="4" t="s">
        <v>13</v>
      </c>
      <c r="F2935" s="4" t="s">
        <v>11</v>
      </c>
    </row>
    <row r="2936" spans="1:9">
      <c r="A2936" t="n">
        <v>24809</v>
      </c>
      <c r="B2936" s="51" t="n">
        <v>45</v>
      </c>
      <c r="C2936" s="7" t="n">
        <v>11</v>
      </c>
      <c r="D2936" s="7" t="n">
        <v>3</v>
      </c>
      <c r="E2936" s="7" t="n">
        <v>33.4000015258789</v>
      </c>
      <c r="F2936" s="7" t="n">
        <v>0</v>
      </c>
    </row>
    <row r="2937" spans="1:9">
      <c r="A2937" t="s">
        <v>4</v>
      </c>
      <c r="B2937" s="4" t="s">
        <v>5</v>
      </c>
      <c r="C2937" s="4" t="s">
        <v>7</v>
      </c>
      <c r="D2937" s="4" t="s">
        <v>7</v>
      </c>
      <c r="E2937" s="4" t="s">
        <v>13</v>
      </c>
      <c r="F2937" s="4" t="s">
        <v>13</v>
      </c>
      <c r="G2937" s="4" t="s">
        <v>13</v>
      </c>
      <c r="H2937" s="4" t="s">
        <v>11</v>
      </c>
    </row>
    <row r="2938" spans="1:9">
      <c r="A2938" t="n">
        <v>24818</v>
      </c>
      <c r="B2938" s="51" t="n">
        <v>45</v>
      </c>
      <c r="C2938" s="7" t="n">
        <v>2</v>
      </c>
      <c r="D2938" s="7" t="n">
        <v>3</v>
      </c>
      <c r="E2938" s="7" t="n">
        <v>4.76999998092651</v>
      </c>
      <c r="F2938" s="7" t="n">
        <v>1.45000004768372</v>
      </c>
      <c r="G2938" s="7" t="n">
        <v>45.2599983215332</v>
      </c>
      <c r="H2938" s="7" t="n">
        <v>8000</v>
      </c>
    </row>
    <row r="2939" spans="1:9">
      <c r="A2939" t="s">
        <v>4</v>
      </c>
      <c r="B2939" s="4" t="s">
        <v>5</v>
      </c>
      <c r="C2939" s="4" t="s">
        <v>7</v>
      </c>
      <c r="D2939" s="4" t="s">
        <v>7</v>
      </c>
      <c r="E2939" s="4" t="s">
        <v>13</v>
      </c>
      <c r="F2939" s="4" t="s">
        <v>13</v>
      </c>
      <c r="G2939" s="4" t="s">
        <v>13</v>
      </c>
      <c r="H2939" s="4" t="s">
        <v>11</v>
      </c>
      <c r="I2939" s="4" t="s">
        <v>7</v>
      </c>
    </row>
    <row r="2940" spans="1:9">
      <c r="A2940" t="n">
        <v>24835</v>
      </c>
      <c r="B2940" s="51" t="n">
        <v>45</v>
      </c>
      <c r="C2940" s="7" t="n">
        <v>4</v>
      </c>
      <c r="D2940" s="7" t="n">
        <v>3</v>
      </c>
      <c r="E2940" s="7" t="n">
        <v>358.660003662109</v>
      </c>
      <c r="F2940" s="7" t="n">
        <v>283.079986572266</v>
      </c>
      <c r="G2940" s="7" t="n">
        <v>0</v>
      </c>
      <c r="H2940" s="7" t="n">
        <v>8000</v>
      </c>
      <c r="I2940" s="7" t="n">
        <v>0</v>
      </c>
    </row>
    <row r="2941" spans="1:9">
      <c r="A2941" t="s">
        <v>4</v>
      </c>
      <c r="B2941" s="4" t="s">
        <v>5</v>
      </c>
      <c r="C2941" s="4" t="s">
        <v>7</v>
      </c>
      <c r="D2941" s="4" t="s">
        <v>7</v>
      </c>
      <c r="E2941" s="4" t="s">
        <v>13</v>
      </c>
      <c r="F2941" s="4" t="s">
        <v>11</v>
      </c>
    </row>
    <row r="2942" spans="1:9">
      <c r="A2942" t="n">
        <v>24853</v>
      </c>
      <c r="B2942" s="51" t="n">
        <v>45</v>
      </c>
      <c r="C2942" s="7" t="n">
        <v>5</v>
      </c>
      <c r="D2942" s="7" t="n">
        <v>3</v>
      </c>
      <c r="E2942" s="7" t="n">
        <v>2</v>
      </c>
      <c r="F2942" s="7" t="n">
        <v>8000</v>
      </c>
    </row>
    <row r="2943" spans="1:9">
      <c r="A2943" t="s">
        <v>4</v>
      </c>
      <c r="B2943" s="4" t="s">
        <v>5</v>
      </c>
      <c r="C2943" s="4" t="s">
        <v>7</v>
      </c>
      <c r="D2943" s="4" t="s">
        <v>11</v>
      </c>
    </row>
    <row r="2944" spans="1:9">
      <c r="A2944" t="n">
        <v>24862</v>
      </c>
      <c r="B2944" s="23" t="n">
        <v>58</v>
      </c>
      <c r="C2944" s="7" t="n">
        <v>255</v>
      </c>
      <c r="D2944" s="7" t="n">
        <v>0</v>
      </c>
    </row>
    <row r="2945" spans="1:9">
      <c r="A2945" t="s">
        <v>4</v>
      </c>
      <c r="B2945" s="4" t="s">
        <v>5</v>
      </c>
      <c r="C2945" s="4" t="s">
        <v>7</v>
      </c>
      <c r="D2945" s="4" t="s">
        <v>11</v>
      </c>
    </row>
    <row r="2946" spans="1:9">
      <c r="A2946" t="n">
        <v>24866</v>
      </c>
      <c r="B2946" s="51" t="n">
        <v>45</v>
      </c>
      <c r="C2946" s="7" t="n">
        <v>7</v>
      </c>
      <c r="D2946" s="7" t="n">
        <v>255</v>
      </c>
    </row>
    <row r="2947" spans="1:9">
      <c r="A2947" t="s">
        <v>4</v>
      </c>
      <c r="B2947" s="4" t="s">
        <v>5</v>
      </c>
      <c r="C2947" s="4" t="s">
        <v>7</v>
      </c>
      <c r="D2947" s="4" t="s">
        <v>11</v>
      </c>
      <c r="E2947" s="4" t="s">
        <v>13</v>
      </c>
    </row>
    <row r="2948" spans="1:9">
      <c r="A2948" t="n">
        <v>24870</v>
      </c>
      <c r="B2948" s="23" t="n">
        <v>58</v>
      </c>
      <c r="C2948" s="7" t="n">
        <v>101</v>
      </c>
      <c r="D2948" s="7" t="n">
        <v>800</v>
      </c>
      <c r="E2948" s="7" t="n">
        <v>1</v>
      </c>
    </row>
    <row r="2949" spans="1:9">
      <c r="A2949" t="s">
        <v>4</v>
      </c>
      <c r="B2949" s="4" t="s">
        <v>5</v>
      </c>
      <c r="C2949" s="4" t="s">
        <v>7</v>
      </c>
      <c r="D2949" s="4" t="s">
        <v>11</v>
      </c>
    </row>
    <row r="2950" spans="1:9">
      <c r="A2950" t="n">
        <v>24878</v>
      </c>
      <c r="B2950" s="23" t="n">
        <v>58</v>
      </c>
      <c r="C2950" s="7" t="n">
        <v>254</v>
      </c>
      <c r="D2950" s="7" t="n">
        <v>0</v>
      </c>
    </row>
    <row r="2951" spans="1:9">
      <c r="A2951" t="s">
        <v>4</v>
      </c>
      <c r="B2951" s="4" t="s">
        <v>5</v>
      </c>
      <c r="C2951" s="4" t="s">
        <v>7</v>
      </c>
      <c r="D2951" s="4" t="s">
        <v>7</v>
      </c>
      <c r="E2951" s="4" t="s">
        <v>13</v>
      </c>
      <c r="F2951" s="4" t="s">
        <v>13</v>
      </c>
      <c r="G2951" s="4" t="s">
        <v>13</v>
      </c>
      <c r="H2951" s="4" t="s">
        <v>11</v>
      </c>
    </row>
    <row r="2952" spans="1:9">
      <c r="A2952" t="n">
        <v>24882</v>
      </c>
      <c r="B2952" s="51" t="n">
        <v>45</v>
      </c>
      <c r="C2952" s="7" t="n">
        <v>2</v>
      </c>
      <c r="D2952" s="7" t="n">
        <v>3</v>
      </c>
      <c r="E2952" s="7" t="n">
        <v>4.73999977111816</v>
      </c>
      <c r="F2952" s="7" t="n">
        <v>1.37000000476837</v>
      </c>
      <c r="G2952" s="7" t="n">
        <v>45.310001373291</v>
      </c>
      <c r="H2952" s="7" t="n">
        <v>0</v>
      </c>
    </row>
    <row r="2953" spans="1:9">
      <c r="A2953" t="s">
        <v>4</v>
      </c>
      <c r="B2953" s="4" t="s">
        <v>5</v>
      </c>
      <c r="C2953" s="4" t="s">
        <v>7</v>
      </c>
      <c r="D2953" s="4" t="s">
        <v>7</v>
      </c>
      <c r="E2953" s="4" t="s">
        <v>13</v>
      </c>
      <c r="F2953" s="4" t="s">
        <v>13</v>
      </c>
      <c r="G2953" s="4" t="s">
        <v>13</v>
      </c>
      <c r="H2953" s="4" t="s">
        <v>11</v>
      </c>
      <c r="I2953" s="4" t="s">
        <v>7</v>
      </c>
    </row>
    <row r="2954" spans="1:9">
      <c r="A2954" t="n">
        <v>24899</v>
      </c>
      <c r="B2954" s="51" t="n">
        <v>45</v>
      </c>
      <c r="C2954" s="7" t="n">
        <v>4</v>
      </c>
      <c r="D2954" s="7" t="n">
        <v>3</v>
      </c>
      <c r="E2954" s="7" t="n">
        <v>4.3899998664856</v>
      </c>
      <c r="F2954" s="7" t="n">
        <v>107.779998779297</v>
      </c>
      <c r="G2954" s="7" t="n">
        <v>0</v>
      </c>
      <c r="H2954" s="7" t="n">
        <v>0</v>
      </c>
      <c r="I2954" s="7" t="n">
        <v>0</v>
      </c>
    </row>
    <row r="2955" spans="1:9">
      <c r="A2955" t="s">
        <v>4</v>
      </c>
      <c r="B2955" s="4" t="s">
        <v>5</v>
      </c>
      <c r="C2955" s="4" t="s">
        <v>7</v>
      </c>
      <c r="D2955" s="4" t="s">
        <v>7</v>
      </c>
      <c r="E2955" s="4" t="s">
        <v>13</v>
      </c>
      <c r="F2955" s="4" t="s">
        <v>11</v>
      </c>
    </row>
    <row r="2956" spans="1:9">
      <c r="A2956" t="n">
        <v>24917</v>
      </c>
      <c r="B2956" s="51" t="n">
        <v>45</v>
      </c>
      <c r="C2956" s="7" t="n">
        <v>5</v>
      </c>
      <c r="D2956" s="7" t="n">
        <v>3</v>
      </c>
      <c r="E2956" s="7" t="n">
        <v>2</v>
      </c>
      <c r="F2956" s="7" t="n">
        <v>0</v>
      </c>
    </row>
    <row r="2957" spans="1:9">
      <c r="A2957" t="s">
        <v>4</v>
      </c>
      <c r="B2957" s="4" t="s">
        <v>5</v>
      </c>
      <c r="C2957" s="4" t="s">
        <v>7</v>
      </c>
      <c r="D2957" s="4" t="s">
        <v>7</v>
      </c>
      <c r="E2957" s="4" t="s">
        <v>13</v>
      </c>
      <c r="F2957" s="4" t="s">
        <v>11</v>
      </c>
    </row>
    <row r="2958" spans="1:9">
      <c r="A2958" t="n">
        <v>24926</v>
      </c>
      <c r="B2958" s="51" t="n">
        <v>45</v>
      </c>
      <c r="C2958" s="7" t="n">
        <v>11</v>
      </c>
      <c r="D2958" s="7" t="n">
        <v>3</v>
      </c>
      <c r="E2958" s="7" t="n">
        <v>33.4000015258789</v>
      </c>
      <c r="F2958" s="7" t="n">
        <v>0</v>
      </c>
    </row>
    <row r="2959" spans="1:9">
      <c r="A2959" t="s">
        <v>4</v>
      </c>
      <c r="B2959" s="4" t="s">
        <v>5</v>
      </c>
      <c r="C2959" s="4" t="s">
        <v>11</v>
      </c>
      <c r="D2959" s="4" t="s">
        <v>15</v>
      </c>
    </row>
    <row r="2960" spans="1:9">
      <c r="A2960" t="n">
        <v>24935</v>
      </c>
      <c r="B2960" s="63" t="n">
        <v>44</v>
      </c>
      <c r="C2960" s="7" t="n">
        <v>1</v>
      </c>
      <c r="D2960" s="7" t="n">
        <v>1</v>
      </c>
    </row>
    <row r="2961" spans="1:9">
      <c r="A2961" t="s">
        <v>4</v>
      </c>
      <c r="B2961" s="4" t="s">
        <v>5</v>
      </c>
      <c r="C2961" s="4" t="s">
        <v>7</v>
      </c>
      <c r="D2961" s="4" t="s">
        <v>11</v>
      </c>
    </row>
    <row r="2962" spans="1:9">
      <c r="A2962" t="n">
        <v>24942</v>
      </c>
      <c r="B2962" s="23" t="n">
        <v>58</v>
      </c>
      <c r="C2962" s="7" t="n">
        <v>255</v>
      </c>
      <c r="D2962" s="7" t="n">
        <v>0</v>
      </c>
    </row>
    <row r="2963" spans="1:9">
      <c r="A2963" t="s">
        <v>4</v>
      </c>
      <c r="B2963" s="4" t="s">
        <v>5</v>
      </c>
      <c r="C2963" s="4" t="s">
        <v>8</v>
      </c>
      <c r="D2963" s="4" t="s">
        <v>8</v>
      </c>
    </row>
    <row r="2964" spans="1:9">
      <c r="A2964" t="n">
        <v>24946</v>
      </c>
      <c r="B2964" s="52" t="n">
        <v>70</v>
      </c>
      <c r="C2964" s="7" t="s">
        <v>279</v>
      </c>
      <c r="D2964" s="7" t="s">
        <v>280</v>
      </c>
    </row>
    <row r="2965" spans="1:9">
      <c r="A2965" t="s">
        <v>4</v>
      </c>
      <c r="B2965" s="4" t="s">
        <v>5</v>
      </c>
      <c r="C2965" s="4" t="s">
        <v>11</v>
      </c>
    </row>
    <row r="2966" spans="1:9">
      <c r="A2966" t="n">
        <v>24963</v>
      </c>
      <c r="B2966" s="29" t="n">
        <v>16</v>
      </c>
      <c r="C2966" s="7" t="n">
        <v>1000</v>
      </c>
    </row>
    <row r="2967" spans="1:9">
      <c r="A2967" t="s">
        <v>4</v>
      </c>
      <c r="B2967" s="4" t="s">
        <v>5</v>
      </c>
      <c r="C2967" s="4" t="s">
        <v>7</v>
      </c>
      <c r="D2967" s="4" t="s">
        <v>11</v>
      </c>
      <c r="E2967" s="4" t="s">
        <v>11</v>
      </c>
      <c r="F2967" s="4" t="s">
        <v>7</v>
      </c>
    </row>
    <row r="2968" spans="1:9">
      <c r="A2968" t="n">
        <v>24966</v>
      </c>
      <c r="B2968" s="31" t="n">
        <v>25</v>
      </c>
      <c r="C2968" s="7" t="n">
        <v>1</v>
      </c>
      <c r="D2968" s="7" t="n">
        <v>100</v>
      </c>
      <c r="E2968" s="7" t="n">
        <v>500</v>
      </c>
      <c r="F2968" s="7" t="n">
        <v>5</v>
      </c>
    </row>
    <row r="2969" spans="1:9">
      <c r="A2969" t="s">
        <v>4</v>
      </c>
      <c r="B2969" s="4" t="s">
        <v>5</v>
      </c>
      <c r="C2969" s="4" t="s">
        <v>8</v>
      </c>
      <c r="D2969" s="4" t="s">
        <v>11</v>
      </c>
    </row>
    <row r="2970" spans="1:9">
      <c r="A2970" t="n">
        <v>24973</v>
      </c>
      <c r="B2970" s="67" t="n">
        <v>29</v>
      </c>
      <c r="C2970" s="7" t="s">
        <v>281</v>
      </c>
      <c r="D2970" s="7" t="n">
        <v>65533</v>
      </c>
    </row>
    <row r="2971" spans="1:9">
      <c r="A2971" t="s">
        <v>4</v>
      </c>
      <c r="B2971" s="4" t="s">
        <v>5</v>
      </c>
      <c r="C2971" s="4" t="s">
        <v>7</v>
      </c>
      <c r="D2971" s="4" t="s">
        <v>11</v>
      </c>
      <c r="E2971" s="4" t="s">
        <v>8</v>
      </c>
    </row>
    <row r="2972" spans="1:9">
      <c r="A2972" t="n">
        <v>24982</v>
      </c>
      <c r="B2972" s="38" t="n">
        <v>51</v>
      </c>
      <c r="C2972" s="7" t="n">
        <v>4</v>
      </c>
      <c r="D2972" s="7" t="n">
        <v>1</v>
      </c>
      <c r="E2972" s="7" t="s">
        <v>16</v>
      </c>
    </row>
    <row r="2973" spans="1:9">
      <c r="A2973" t="s">
        <v>4</v>
      </c>
      <c r="B2973" s="4" t="s">
        <v>5</v>
      </c>
      <c r="C2973" s="4" t="s">
        <v>11</v>
      </c>
    </row>
    <row r="2974" spans="1:9">
      <c r="A2974" t="n">
        <v>24987</v>
      </c>
      <c r="B2974" s="29" t="n">
        <v>16</v>
      </c>
      <c r="C2974" s="7" t="n">
        <v>0</v>
      </c>
    </row>
    <row r="2975" spans="1:9">
      <c r="A2975" t="s">
        <v>4</v>
      </c>
      <c r="B2975" s="4" t="s">
        <v>5</v>
      </c>
      <c r="C2975" s="4" t="s">
        <v>11</v>
      </c>
      <c r="D2975" s="4" t="s">
        <v>7</v>
      </c>
      <c r="E2975" s="4" t="s">
        <v>15</v>
      </c>
      <c r="F2975" s="4" t="s">
        <v>55</v>
      </c>
      <c r="G2975" s="4" t="s">
        <v>7</v>
      </c>
      <c r="H2975" s="4" t="s">
        <v>7</v>
      </c>
    </row>
    <row r="2976" spans="1:9">
      <c r="A2976" t="n">
        <v>24990</v>
      </c>
      <c r="B2976" s="55" t="n">
        <v>26</v>
      </c>
      <c r="C2976" s="7" t="n">
        <v>1</v>
      </c>
      <c r="D2976" s="7" t="n">
        <v>17</v>
      </c>
      <c r="E2976" s="7" t="n">
        <v>63768</v>
      </c>
      <c r="F2976" s="7" t="s">
        <v>282</v>
      </c>
      <c r="G2976" s="7" t="n">
        <v>2</v>
      </c>
      <c r="H2976" s="7" t="n">
        <v>0</v>
      </c>
    </row>
    <row r="2977" spans="1:8">
      <c r="A2977" t="s">
        <v>4</v>
      </c>
      <c r="B2977" s="4" t="s">
        <v>5</v>
      </c>
    </row>
    <row r="2978" spans="1:8">
      <c r="A2978" t="n">
        <v>25028</v>
      </c>
      <c r="B2978" s="27" t="n">
        <v>28</v>
      </c>
    </row>
    <row r="2979" spans="1:8">
      <c r="A2979" t="s">
        <v>4</v>
      </c>
      <c r="B2979" s="4" t="s">
        <v>5</v>
      </c>
      <c r="C2979" s="4" t="s">
        <v>11</v>
      </c>
      <c r="D2979" s="4" t="s">
        <v>7</v>
      </c>
    </row>
    <row r="2980" spans="1:8">
      <c r="A2980" t="n">
        <v>25029</v>
      </c>
      <c r="B2980" s="68" t="n">
        <v>89</v>
      </c>
      <c r="C2980" s="7" t="n">
        <v>65533</v>
      </c>
      <c r="D2980" s="7" t="n">
        <v>1</v>
      </c>
    </row>
    <row r="2981" spans="1:8">
      <c r="A2981" t="s">
        <v>4</v>
      </c>
      <c r="B2981" s="4" t="s">
        <v>5</v>
      </c>
      <c r="C2981" s="4" t="s">
        <v>7</v>
      </c>
      <c r="D2981" s="4" t="s">
        <v>11</v>
      </c>
      <c r="E2981" s="4" t="s">
        <v>11</v>
      </c>
      <c r="F2981" s="4" t="s">
        <v>7</v>
      </c>
    </row>
    <row r="2982" spans="1:8">
      <c r="A2982" t="n">
        <v>25033</v>
      </c>
      <c r="B2982" s="31" t="n">
        <v>25</v>
      </c>
      <c r="C2982" s="7" t="n">
        <v>1</v>
      </c>
      <c r="D2982" s="7" t="n">
        <v>65535</v>
      </c>
      <c r="E2982" s="7" t="n">
        <v>65535</v>
      </c>
      <c r="F2982" s="7" t="n">
        <v>0</v>
      </c>
    </row>
    <row r="2983" spans="1:8">
      <c r="A2983" t="s">
        <v>4</v>
      </c>
      <c r="B2983" s="4" t="s">
        <v>5</v>
      </c>
      <c r="C2983" s="4" t="s">
        <v>8</v>
      </c>
      <c r="D2983" s="4" t="s">
        <v>11</v>
      </c>
    </row>
    <row r="2984" spans="1:8">
      <c r="A2984" t="n">
        <v>25040</v>
      </c>
      <c r="B2984" s="67" t="n">
        <v>29</v>
      </c>
      <c r="C2984" s="7" t="s">
        <v>16</v>
      </c>
      <c r="D2984" s="7" t="n">
        <v>65533</v>
      </c>
    </row>
    <row r="2985" spans="1:8">
      <c r="A2985" t="s">
        <v>4</v>
      </c>
      <c r="B2985" s="4" t="s">
        <v>5</v>
      </c>
      <c r="C2985" s="4" t="s">
        <v>11</v>
      </c>
      <c r="D2985" s="4" t="s">
        <v>7</v>
      </c>
      <c r="E2985" s="4" t="s">
        <v>13</v>
      </c>
      <c r="F2985" s="4" t="s">
        <v>11</v>
      </c>
    </row>
    <row r="2986" spans="1:8">
      <c r="A2986" t="n">
        <v>25044</v>
      </c>
      <c r="B2986" s="56" t="n">
        <v>59</v>
      </c>
      <c r="C2986" s="7" t="n">
        <v>0</v>
      </c>
      <c r="D2986" s="7" t="n">
        <v>13</v>
      </c>
      <c r="E2986" s="7" t="n">
        <v>0.150000005960464</v>
      </c>
      <c r="F2986" s="7" t="n">
        <v>0</v>
      </c>
    </row>
    <row r="2987" spans="1:8">
      <c r="A2987" t="s">
        <v>4</v>
      </c>
      <c r="B2987" s="4" t="s">
        <v>5</v>
      </c>
      <c r="C2987" s="4" t="s">
        <v>11</v>
      </c>
    </row>
    <row r="2988" spans="1:8">
      <c r="A2988" t="n">
        <v>25054</v>
      </c>
      <c r="B2988" s="29" t="n">
        <v>16</v>
      </c>
      <c r="C2988" s="7" t="n">
        <v>1000</v>
      </c>
    </row>
    <row r="2989" spans="1:8">
      <c r="A2989" t="s">
        <v>4</v>
      </c>
      <c r="B2989" s="4" t="s">
        <v>5</v>
      </c>
      <c r="C2989" s="4" t="s">
        <v>11</v>
      </c>
      <c r="D2989" s="4" t="s">
        <v>13</v>
      </c>
      <c r="E2989" s="4" t="s">
        <v>13</v>
      </c>
      <c r="F2989" s="4" t="s">
        <v>13</v>
      </c>
      <c r="G2989" s="4" t="s">
        <v>11</v>
      </c>
      <c r="H2989" s="4" t="s">
        <v>11</v>
      </c>
    </row>
    <row r="2990" spans="1:8">
      <c r="A2990" t="n">
        <v>25057</v>
      </c>
      <c r="B2990" s="37" t="n">
        <v>60</v>
      </c>
      <c r="C2990" s="7" t="n">
        <v>0</v>
      </c>
      <c r="D2990" s="7" t="n">
        <v>0</v>
      </c>
      <c r="E2990" s="7" t="n">
        <v>0</v>
      </c>
      <c r="F2990" s="7" t="n">
        <v>0</v>
      </c>
      <c r="G2990" s="7" t="n">
        <v>1000</v>
      </c>
      <c r="H2990" s="7" t="n">
        <v>0</v>
      </c>
    </row>
    <row r="2991" spans="1:8">
      <c r="A2991" t="s">
        <v>4</v>
      </c>
      <c r="B2991" s="4" t="s">
        <v>5</v>
      </c>
      <c r="C2991" s="4" t="s">
        <v>11</v>
      </c>
      <c r="D2991" s="4" t="s">
        <v>11</v>
      </c>
      <c r="E2991" s="4" t="s">
        <v>11</v>
      </c>
    </row>
    <row r="2992" spans="1:8">
      <c r="A2992" t="n">
        <v>25076</v>
      </c>
      <c r="B2992" s="72" t="n">
        <v>61</v>
      </c>
      <c r="C2992" s="7" t="n">
        <v>0</v>
      </c>
      <c r="D2992" s="7" t="n">
        <v>1</v>
      </c>
      <c r="E2992" s="7" t="n">
        <v>1000</v>
      </c>
    </row>
    <row r="2993" spans="1:8">
      <c r="A2993" t="s">
        <v>4</v>
      </c>
      <c r="B2993" s="4" t="s">
        <v>5</v>
      </c>
      <c r="C2993" s="4" t="s">
        <v>11</v>
      </c>
      <c r="D2993" s="4" t="s">
        <v>11</v>
      </c>
      <c r="E2993" s="4" t="s">
        <v>11</v>
      </c>
    </row>
    <row r="2994" spans="1:8">
      <c r="A2994" t="n">
        <v>25083</v>
      </c>
      <c r="B2994" s="72" t="n">
        <v>61</v>
      </c>
      <c r="C2994" s="7" t="n">
        <v>1</v>
      </c>
      <c r="D2994" s="7" t="n">
        <v>0</v>
      </c>
      <c r="E2994" s="7" t="n">
        <v>1000</v>
      </c>
    </row>
    <row r="2995" spans="1:8">
      <c r="A2995" t="s">
        <v>4</v>
      </c>
      <c r="B2995" s="4" t="s">
        <v>5</v>
      </c>
      <c r="C2995" s="4" t="s">
        <v>11</v>
      </c>
      <c r="D2995" s="4" t="s">
        <v>13</v>
      </c>
      <c r="E2995" s="4" t="s">
        <v>13</v>
      </c>
      <c r="F2995" s="4" t="s">
        <v>7</v>
      </c>
    </row>
    <row r="2996" spans="1:8">
      <c r="A2996" t="n">
        <v>25090</v>
      </c>
      <c r="B2996" s="65" t="n">
        <v>52</v>
      </c>
      <c r="C2996" s="7" t="n">
        <v>0</v>
      </c>
      <c r="D2996" s="7" t="n">
        <v>332.399993896484</v>
      </c>
      <c r="E2996" s="7" t="n">
        <v>5</v>
      </c>
      <c r="F2996" s="7" t="n">
        <v>0</v>
      </c>
    </row>
    <row r="2997" spans="1:8">
      <c r="A2997" t="s">
        <v>4</v>
      </c>
      <c r="B2997" s="4" t="s">
        <v>5</v>
      </c>
      <c r="C2997" s="4" t="s">
        <v>11</v>
      </c>
    </row>
    <row r="2998" spans="1:8">
      <c r="A2998" t="n">
        <v>25102</v>
      </c>
      <c r="B2998" s="66" t="n">
        <v>54</v>
      </c>
      <c r="C2998" s="7" t="n">
        <v>0</v>
      </c>
    </row>
    <row r="2999" spans="1:8">
      <c r="A2999" t="s">
        <v>4</v>
      </c>
      <c r="B2999" s="4" t="s">
        <v>5</v>
      </c>
      <c r="C2999" s="4" t="s">
        <v>7</v>
      </c>
      <c r="D2999" s="4" t="s">
        <v>11</v>
      </c>
      <c r="E2999" s="4" t="s">
        <v>13</v>
      </c>
    </row>
    <row r="3000" spans="1:8">
      <c r="A3000" t="n">
        <v>25105</v>
      </c>
      <c r="B3000" s="23" t="n">
        <v>58</v>
      </c>
      <c r="C3000" s="7" t="n">
        <v>101</v>
      </c>
      <c r="D3000" s="7" t="n">
        <v>500</v>
      </c>
      <c r="E3000" s="7" t="n">
        <v>1</v>
      </c>
    </row>
    <row r="3001" spans="1:8">
      <c r="A3001" t="s">
        <v>4</v>
      </c>
      <c r="B3001" s="4" t="s">
        <v>5</v>
      </c>
      <c r="C3001" s="4" t="s">
        <v>7</v>
      </c>
      <c r="D3001" s="4" t="s">
        <v>11</v>
      </c>
    </row>
    <row r="3002" spans="1:8">
      <c r="A3002" t="n">
        <v>25113</v>
      </c>
      <c r="B3002" s="23" t="n">
        <v>58</v>
      </c>
      <c r="C3002" s="7" t="n">
        <v>254</v>
      </c>
      <c r="D3002" s="7" t="n">
        <v>0</v>
      </c>
    </row>
    <row r="3003" spans="1:8">
      <c r="A3003" t="s">
        <v>4</v>
      </c>
      <c r="B3003" s="4" t="s">
        <v>5</v>
      </c>
      <c r="C3003" s="4" t="s">
        <v>7</v>
      </c>
      <c r="D3003" s="4" t="s">
        <v>7</v>
      </c>
      <c r="E3003" s="4" t="s">
        <v>13</v>
      </c>
      <c r="F3003" s="4" t="s">
        <v>13</v>
      </c>
      <c r="G3003" s="4" t="s">
        <v>13</v>
      </c>
      <c r="H3003" s="4" t="s">
        <v>11</v>
      </c>
    </row>
    <row r="3004" spans="1:8">
      <c r="A3004" t="n">
        <v>25117</v>
      </c>
      <c r="B3004" s="51" t="n">
        <v>45</v>
      </c>
      <c r="C3004" s="7" t="n">
        <v>2</v>
      </c>
      <c r="D3004" s="7" t="n">
        <v>3</v>
      </c>
      <c r="E3004" s="7" t="n">
        <v>4.92999982833862</v>
      </c>
      <c r="F3004" s="7" t="n">
        <v>1.46000003814697</v>
      </c>
      <c r="G3004" s="7" t="n">
        <v>45.6699981689453</v>
      </c>
      <c r="H3004" s="7" t="n">
        <v>0</v>
      </c>
    </row>
    <row r="3005" spans="1:8">
      <c r="A3005" t="s">
        <v>4</v>
      </c>
      <c r="B3005" s="4" t="s">
        <v>5</v>
      </c>
      <c r="C3005" s="4" t="s">
        <v>7</v>
      </c>
      <c r="D3005" s="4" t="s">
        <v>7</v>
      </c>
      <c r="E3005" s="4" t="s">
        <v>13</v>
      </c>
      <c r="F3005" s="4" t="s">
        <v>13</v>
      </c>
      <c r="G3005" s="4" t="s">
        <v>13</v>
      </c>
      <c r="H3005" s="4" t="s">
        <v>11</v>
      </c>
      <c r="I3005" s="4" t="s">
        <v>7</v>
      </c>
    </row>
    <row r="3006" spans="1:8">
      <c r="A3006" t="n">
        <v>25134</v>
      </c>
      <c r="B3006" s="51" t="n">
        <v>45</v>
      </c>
      <c r="C3006" s="7" t="n">
        <v>4</v>
      </c>
      <c r="D3006" s="7" t="n">
        <v>3</v>
      </c>
      <c r="E3006" s="7" t="n">
        <v>5.69000005722046</v>
      </c>
      <c r="F3006" s="7" t="n">
        <v>260.239990234375</v>
      </c>
      <c r="G3006" s="7" t="n">
        <v>0</v>
      </c>
      <c r="H3006" s="7" t="n">
        <v>0</v>
      </c>
      <c r="I3006" s="7" t="n">
        <v>0</v>
      </c>
    </row>
    <row r="3007" spans="1:8">
      <c r="A3007" t="s">
        <v>4</v>
      </c>
      <c r="B3007" s="4" t="s">
        <v>5</v>
      </c>
      <c r="C3007" s="4" t="s">
        <v>7</v>
      </c>
      <c r="D3007" s="4" t="s">
        <v>7</v>
      </c>
      <c r="E3007" s="4" t="s">
        <v>13</v>
      </c>
      <c r="F3007" s="4" t="s">
        <v>11</v>
      </c>
    </row>
    <row r="3008" spans="1:8">
      <c r="A3008" t="n">
        <v>25152</v>
      </c>
      <c r="B3008" s="51" t="n">
        <v>45</v>
      </c>
      <c r="C3008" s="7" t="n">
        <v>5</v>
      </c>
      <c r="D3008" s="7" t="n">
        <v>3</v>
      </c>
      <c r="E3008" s="7" t="n">
        <v>1.70000004768372</v>
      </c>
      <c r="F3008" s="7" t="n">
        <v>0</v>
      </c>
    </row>
    <row r="3009" spans="1:9">
      <c r="A3009" t="s">
        <v>4</v>
      </c>
      <c r="B3009" s="4" t="s">
        <v>5</v>
      </c>
      <c r="C3009" s="4" t="s">
        <v>7</v>
      </c>
      <c r="D3009" s="4" t="s">
        <v>7</v>
      </c>
      <c r="E3009" s="4" t="s">
        <v>13</v>
      </c>
      <c r="F3009" s="4" t="s">
        <v>11</v>
      </c>
    </row>
    <row r="3010" spans="1:9">
      <c r="A3010" t="n">
        <v>25161</v>
      </c>
      <c r="B3010" s="51" t="n">
        <v>45</v>
      </c>
      <c r="C3010" s="7" t="n">
        <v>11</v>
      </c>
      <c r="D3010" s="7" t="n">
        <v>3</v>
      </c>
      <c r="E3010" s="7" t="n">
        <v>34</v>
      </c>
      <c r="F3010" s="7" t="n">
        <v>0</v>
      </c>
    </row>
    <row r="3011" spans="1:9">
      <c r="A3011" t="s">
        <v>4</v>
      </c>
      <c r="B3011" s="4" t="s">
        <v>5</v>
      </c>
      <c r="C3011" s="4" t="s">
        <v>7</v>
      </c>
      <c r="D3011" s="4" t="s">
        <v>7</v>
      </c>
      <c r="E3011" s="4" t="s">
        <v>13</v>
      </c>
      <c r="F3011" s="4" t="s">
        <v>13</v>
      </c>
      <c r="G3011" s="4" t="s">
        <v>13</v>
      </c>
      <c r="H3011" s="4" t="s">
        <v>11</v>
      </c>
    </row>
    <row r="3012" spans="1:9">
      <c r="A3012" t="n">
        <v>25170</v>
      </c>
      <c r="B3012" s="51" t="n">
        <v>45</v>
      </c>
      <c r="C3012" s="7" t="n">
        <v>2</v>
      </c>
      <c r="D3012" s="7" t="n">
        <v>3</v>
      </c>
      <c r="E3012" s="7" t="n">
        <v>4.84999990463257</v>
      </c>
      <c r="F3012" s="7" t="n">
        <v>1.4099999666214</v>
      </c>
      <c r="G3012" s="7" t="n">
        <v>45.7999992370605</v>
      </c>
      <c r="H3012" s="7" t="n">
        <v>5500</v>
      </c>
    </row>
    <row r="3013" spans="1:9">
      <c r="A3013" t="s">
        <v>4</v>
      </c>
      <c r="B3013" s="4" t="s">
        <v>5</v>
      </c>
      <c r="C3013" s="4" t="s">
        <v>7</v>
      </c>
      <c r="D3013" s="4" t="s">
        <v>7</v>
      </c>
      <c r="E3013" s="4" t="s">
        <v>13</v>
      </c>
      <c r="F3013" s="4" t="s">
        <v>13</v>
      </c>
      <c r="G3013" s="4" t="s">
        <v>13</v>
      </c>
      <c r="H3013" s="4" t="s">
        <v>11</v>
      </c>
      <c r="I3013" s="4" t="s">
        <v>7</v>
      </c>
    </row>
    <row r="3014" spans="1:9">
      <c r="A3014" t="n">
        <v>25187</v>
      </c>
      <c r="B3014" s="51" t="n">
        <v>45</v>
      </c>
      <c r="C3014" s="7" t="n">
        <v>4</v>
      </c>
      <c r="D3014" s="7" t="n">
        <v>3</v>
      </c>
      <c r="E3014" s="7" t="n">
        <v>5.46999979019165</v>
      </c>
      <c r="F3014" s="7" t="n">
        <v>232.490005493164</v>
      </c>
      <c r="G3014" s="7" t="n">
        <v>0</v>
      </c>
      <c r="H3014" s="7" t="n">
        <v>5500</v>
      </c>
      <c r="I3014" s="7" t="n">
        <v>0</v>
      </c>
    </row>
    <row r="3015" spans="1:9">
      <c r="A3015" t="s">
        <v>4</v>
      </c>
      <c r="B3015" s="4" t="s">
        <v>5</v>
      </c>
      <c r="C3015" s="4" t="s">
        <v>11</v>
      </c>
      <c r="D3015" s="4" t="s">
        <v>7</v>
      </c>
      <c r="E3015" s="4" t="s">
        <v>7</v>
      </c>
      <c r="F3015" s="4" t="s">
        <v>8</v>
      </c>
    </row>
    <row r="3016" spans="1:9">
      <c r="A3016" t="n">
        <v>25205</v>
      </c>
      <c r="B3016" s="50" t="n">
        <v>20</v>
      </c>
      <c r="C3016" s="7" t="n">
        <v>1</v>
      </c>
      <c r="D3016" s="7" t="n">
        <v>2</v>
      </c>
      <c r="E3016" s="7" t="n">
        <v>11</v>
      </c>
      <c r="F3016" s="7" t="s">
        <v>283</v>
      </c>
    </row>
    <row r="3017" spans="1:9">
      <c r="A3017" t="s">
        <v>4</v>
      </c>
      <c r="B3017" s="4" t="s">
        <v>5</v>
      </c>
      <c r="C3017" s="4" t="s">
        <v>7</v>
      </c>
    </row>
    <row r="3018" spans="1:9">
      <c r="A3018" t="n">
        <v>25232</v>
      </c>
      <c r="B3018" s="49" t="n">
        <v>116</v>
      </c>
      <c r="C3018" s="7" t="n">
        <v>0</v>
      </c>
    </row>
    <row r="3019" spans="1:9">
      <c r="A3019" t="s">
        <v>4</v>
      </c>
      <c r="B3019" s="4" t="s">
        <v>5</v>
      </c>
      <c r="C3019" s="4" t="s">
        <v>7</v>
      </c>
      <c r="D3019" s="4" t="s">
        <v>11</v>
      </c>
    </row>
    <row r="3020" spans="1:9">
      <c r="A3020" t="n">
        <v>25234</v>
      </c>
      <c r="B3020" s="49" t="n">
        <v>116</v>
      </c>
      <c r="C3020" s="7" t="n">
        <v>2</v>
      </c>
      <c r="D3020" s="7" t="n">
        <v>1</v>
      </c>
    </row>
    <row r="3021" spans="1:9">
      <c r="A3021" t="s">
        <v>4</v>
      </c>
      <c r="B3021" s="4" t="s">
        <v>5</v>
      </c>
      <c r="C3021" s="4" t="s">
        <v>7</v>
      </c>
      <c r="D3021" s="4" t="s">
        <v>15</v>
      </c>
    </row>
    <row r="3022" spans="1:9">
      <c r="A3022" t="n">
        <v>25238</v>
      </c>
      <c r="B3022" s="49" t="n">
        <v>116</v>
      </c>
      <c r="C3022" s="7" t="n">
        <v>5</v>
      </c>
      <c r="D3022" s="7" t="n">
        <v>1084227584</v>
      </c>
    </row>
    <row r="3023" spans="1:9">
      <c r="A3023" t="s">
        <v>4</v>
      </c>
      <c r="B3023" s="4" t="s">
        <v>5</v>
      </c>
      <c r="C3023" s="4" t="s">
        <v>7</v>
      </c>
      <c r="D3023" s="4" t="s">
        <v>11</v>
      </c>
    </row>
    <row r="3024" spans="1:9">
      <c r="A3024" t="n">
        <v>25244</v>
      </c>
      <c r="B3024" s="49" t="n">
        <v>116</v>
      </c>
      <c r="C3024" s="7" t="n">
        <v>6</v>
      </c>
      <c r="D3024" s="7" t="n">
        <v>1</v>
      </c>
    </row>
    <row r="3025" spans="1:9">
      <c r="A3025" t="s">
        <v>4</v>
      </c>
      <c r="B3025" s="4" t="s">
        <v>5</v>
      </c>
      <c r="C3025" s="4" t="s">
        <v>7</v>
      </c>
      <c r="D3025" s="4" t="s">
        <v>11</v>
      </c>
    </row>
    <row r="3026" spans="1:9">
      <c r="A3026" t="n">
        <v>25248</v>
      </c>
      <c r="B3026" s="23" t="n">
        <v>58</v>
      </c>
      <c r="C3026" s="7" t="n">
        <v>255</v>
      </c>
      <c r="D3026" s="7" t="n">
        <v>0</v>
      </c>
    </row>
    <row r="3027" spans="1:9">
      <c r="A3027" t="s">
        <v>4</v>
      </c>
      <c r="B3027" s="4" t="s">
        <v>5</v>
      </c>
      <c r="C3027" s="4" t="s">
        <v>11</v>
      </c>
    </row>
    <row r="3028" spans="1:9">
      <c r="A3028" t="n">
        <v>25252</v>
      </c>
      <c r="B3028" s="29" t="n">
        <v>16</v>
      </c>
      <c r="C3028" s="7" t="n">
        <v>800</v>
      </c>
    </row>
    <row r="3029" spans="1:9">
      <c r="A3029" t="s">
        <v>4</v>
      </c>
      <c r="B3029" s="4" t="s">
        <v>5</v>
      </c>
      <c r="C3029" s="4" t="s">
        <v>8</v>
      </c>
      <c r="D3029" s="4" t="s">
        <v>8</v>
      </c>
    </row>
    <row r="3030" spans="1:9">
      <c r="A3030" t="n">
        <v>25255</v>
      </c>
      <c r="B3030" s="52" t="n">
        <v>70</v>
      </c>
      <c r="C3030" s="7" t="s">
        <v>279</v>
      </c>
      <c r="D3030" s="7" t="s">
        <v>284</v>
      </c>
    </row>
    <row r="3031" spans="1:9">
      <c r="A3031" t="s">
        <v>4</v>
      </c>
      <c r="B3031" s="4" t="s">
        <v>5</v>
      </c>
      <c r="C3031" s="4" t="s">
        <v>7</v>
      </c>
      <c r="D3031" s="4" t="s">
        <v>11</v>
      </c>
    </row>
    <row r="3032" spans="1:9">
      <c r="A3032" t="n">
        <v>25273</v>
      </c>
      <c r="B3032" s="51" t="n">
        <v>45</v>
      </c>
      <c r="C3032" s="7" t="n">
        <v>7</v>
      </c>
      <c r="D3032" s="7" t="n">
        <v>255</v>
      </c>
    </row>
    <row r="3033" spans="1:9">
      <c r="A3033" t="s">
        <v>4</v>
      </c>
      <c r="B3033" s="4" t="s">
        <v>5</v>
      </c>
      <c r="C3033" s="4" t="s">
        <v>7</v>
      </c>
      <c r="D3033" s="4" t="s">
        <v>11</v>
      </c>
      <c r="E3033" s="4" t="s">
        <v>8</v>
      </c>
    </row>
    <row r="3034" spans="1:9">
      <c r="A3034" t="n">
        <v>25277</v>
      </c>
      <c r="B3034" s="38" t="n">
        <v>51</v>
      </c>
      <c r="C3034" s="7" t="n">
        <v>4</v>
      </c>
      <c r="D3034" s="7" t="n">
        <v>0</v>
      </c>
      <c r="E3034" s="7" t="s">
        <v>285</v>
      </c>
    </row>
    <row r="3035" spans="1:9">
      <c r="A3035" t="s">
        <v>4</v>
      </c>
      <c r="B3035" s="4" t="s">
        <v>5</v>
      </c>
      <c r="C3035" s="4" t="s">
        <v>11</v>
      </c>
    </row>
    <row r="3036" spans="1:9">
      <c r="A3036" t="n">
        <v>25290</v>
      </c>
      <c r="B3036" s="29" t="n">
        <v>16</v>
      </c>
      <c r="C3036" s="7" t="n">
        <v>0</v>
      </c>
    </row>
    <row r="3037" spans="1:9">
      <c r="A3037" t="s">
        <v>4</v>
      </c>
      <c r="B3037" s="4" t="s">
        <v>5</v>
      </c>
      <c r="C3037" s="4" t="s">
        <v>11</v>
      </c>
      <c r="D3037" s="4" t="s">
        <v>7</v>
      </c>
      <c r="E3037" s="4" t="s">
        <v>15</v>
      </c>
      <c r="F3037" s="4" t="s">
        <v>55</v>
      </c>
      <c r="G3037" s="4" t="s">
        <v>7</v>
      </c>
      <c r="H3037" s="4" t="s">
        <v>7</v>
      </c>
      <c r="I3037" s="4" t="s">
        <v>7</v>
      </c>
      <c r="J3037" s="4" t="s">
        <v>15</v>
      </c>
      <c r="K3037" s="4" t="s">
        <v>55</v>
      </c>
      <c r="L3037" s="4" t="s">
        <v>7</v>
      </c>
      <c r="M3037" s="4" t="s">
        <v>7</v>
      </c>
    </row>
    <row r="3038" spans="1:9">
      <c r="A3038" t="n">
        <v>25293</v>
      </c>
      <c r="B3038" s="55" t="n">
        <v>26</v>
      </c>
      <c r="C3038" s="7" t="n">
        <v>0</v>
      </c>
      <c r="D3038" s="7" t="n">
        <v>17</v>
      </c>
      <c r="E3038" s="7" t="n">
        <v>63769</v>
      </c>
      <c r="F3038" s="7" t="s">
        <v>286</v>
      </c>
      <c r="G3038" s="7" t="n">
        <v>2</v>
      </c>
      <c r="H3038" s="7" t="n">
        <v>3</v>
      </c>
      <c r="I3038" s="7" t="n">
        <v>17</v>
      </c>
      <c r="J3038" s="7" t="n">
        <v>63770</v>
      </c>
      <c r="K3038" s="7" t="s">
        <v>287</v>
      </c>
      <c r="L3038" s="7" t="n">
        <v>2</v>
      </c>
      <c r="M3038" s="7" t="n">
        <v>0</v>
      </c>
    </row>
    <row r="3039" spans="1:9">
      <c r="A3039" t="s">
        <v>4</v>
      </c>
      <c r="B3039" s="4" t="s">
        <v>5</v>
      </c>
    </row>
    <row r="3040" spans="1:9">
      <c r="A3040" t="n">
        <v>25425</v>
      </c>
      <c r="B3040" s="27" t="n">
        <v>28</v>
      </c>
    </row>
    <row r="3041" spans="1:13">
      <c r="A3041" t="s">
        <v>4</v>
      </c>
      <c r="B3041" s="4" t="s">
        <v>5</v>
      </c>
      <c r="C3041" s="4" t="s">
        <v>7</v>
      </c>
      <c r="D3041" s="4" t="s">
        <v>11</v>
      </c>
      <c r="E3041" s="4" t="s">
        <v>13</v>
      </c>
    </row>
    <row r="3042" spans="1:13">
      <c r="A3042" t="n">
        <v>25426</v>
      </c>
      <c r="B3042" s="23" t="n">
        <v>58</v>
      </c>
      <c r="C3042" s="7" t="n">
        <v>101</v>
      </c>
      <c r="D3042" s="7" t="n">
        <v>500</v>
      </c>
      <c r="E3042" s="7" t="n">
        <v>1</v>
      </c>
    </row>
    <row r="3043" spans="1:13">
      <c r="A3043" t="s">
        <v>4</v>
      </c>
      <c r="B3043" s="4" t="s">
        <v>5</v>
      </c>
      <c r="C3043" s="4" t="s">
        <v>7</v>
      </c>
      <c r="D3043" s="4" t="s">
        <v>11</v>
      </c>
    </row>
    <row r="3044" spans="1:13">
      <c r="A3044" t="n">
        <v>25434</v>
      </c>
      <c r="B3044" s="23" t="n">
        <v>58</v>
      </c>
      <c r="C3044" s="7" t="n">
        <v>254</v>
      </c>
      <c r="D3044" s="7" t="n">
        <v>0</v>
      </c>
    </row>
    <row r="3045" spans="1:13">
      <c r="A3045" t="s">
        <v>4</v>
      </c>
      <c r="B3045" s="4" t="s">
        <v>5</v>
      </c>
      <c r="C3045" s="4" t="s">
        <v>7</v>
      </c>
      <c r="D3045" s="4" t="s">
        <v>7</v>
      </c>
      <c r="E3045" s="4" t="s">
        <v>13</v>
      </c>
      <c r="F3045" s="4" t="s">
        <v>13</v>
      </c>
      <c r="G3045" s="4" t="s">
        <v>13</v>
      </c>
      <c r="H3045" s="4" t="s">
        <v>11</v>
      </c>
    </row>
    <row r="3046" spans="1:13">
      <c r="A3046" t="n">
        <v>25438</v>
      </c>
      <c r="B3046" s="51" t="n">
        <v>45</v>
      </c>
      <c r="C3046" s="7" t="n">
        <v>2</v>
      </c>
      <c r="D3046" s="7" t="n">
        <v>3</v>
      </c>
      <c r="E3046" s="7" t="n">
        <v>4.96999979019165</v>
      </c>
      <c r="F3046" s="7" t="n">
        <v>1.37999999523163</v>
      </c>
      <c r="G3046" s="7" t="n">
        <v>46.3800010681152</v>
      </c>
      <c r="H3046" s="7" t="n">
        <v>0</v>
      </c>
    </row>
    <row r="3047" spans="1:13">
      <c r="A3047" t="s">
        <v>4</v>
      </c>
      <c r="B3047" s="4" t="s">
        <v>5</v>
      </c>
      <c r="C3047" s="4" t="s">
        <v>7</v>
      </c>
      <c r="D3047" s="4" t="s">
        <v>7</v>
      </c>
      <c r="E3047" s="4" t="s">
        <v>13</v>
      </c>
      <c r="F3047" s="4" t="s">
        <v>13</v>
      </c>
      <c r="G3047" s="4" t="s">
        <v>13</v>
      </c>
      <c r="H3047" s="4" t="s">
        <v>11</v>
      </c>
      <c r="I3047" s="4" t="s">
        <v>7</v>
      </c>
    </row>
    <row r="3048" spans="1:13">
      <c r="A3048" t="n">
        <v>25455</v>
      </c>
      <c r="B3048" s="51" t="n">
        <v>45</v>
      </c>
      <c r="C3048" s="7" t="n">
        <v>4</v>
      </c>
      <c r="D3048" s="7" t="n">
        <v>3</v>
      </c>
      <c r="E3048" s="7" t="n">
        <v>8.30000019073486</v>
      </c>
      <c r="F3048" s="7" t="n">
        <v>213.210006713867</v>
      </c>
      <c r="G3048" s="7" t="n">
        <v>0</v>
      </c>
      <c r="H3048" s="7" t="n">
        <v>0</v>
      </c>
      <c r="I3048" s="7" t="n">
        <v>0</v>
      </c>
    </row>
    <row r="3049" spans="1:13">
      <c r="A3049" t="s">
        <v>4</v>
      </c>
      <c r="B3049" s="4" t="s">
        <v>5</v>
      </c>
      <c r="C3049" s="4" t="s">
        <v>7</v>
      </c>
      <c r="D3049" s="4" t="s">
        <v>7</v>
      </c>
      <c r="E3049" s="4" t="s">
        <v>13</v>
      </c>
      <c r="F3049" s="4" t="s">
        <v>11</v>
      </c>
    </row>
    <row r="3050" spans="1:13">
      <c r="A3050" t="n">
        <v>25473</v>
      </c>
      <c r="B3050" s="51" t="n">
        <v>45</v>
      </c>
      <c r="C3050" s="7" t="n">
        <v>5</v>
      </c>
      <c r="D3050" s="7" t="n">
        <v>3</v>
      </c>
      <c r="E3050" s="7" t="n">
        <v>1</v>
      </c>
      <c r="F3050" s="7" t="n">
        <v>0</v>
      </c>
    </row>
    <row r="3051" spans="1:13">
      <c r="A3051" t="s">
        <v>4</v>
      </c>
      <c r="B3051" s="4" t="s">
        <v>5</v>
      </c>
      <c r="C3051" s="4" t="s">
        <v>7</v>
      </c>
      <c r="D3051" s="4" t="s">
        <v>7</v>
      </c>
      <c r="E3051" s="4" t="s">
        <v>13</v>
      </c>
      <c r="F3051" s="4" t="s">
        <v>11</v>
      </c>
    </row>
    <row r="3052" spans="1:13">
      <c r="A3052" t="n">
        <v>25482</v>
      </c>
      <c r="B3052" s="51" t="n">
        <v>45</v>
      </c>
      <c r="C3052" s="7" t="n">
        <v>11</v>
      </c>
      <c r="D3052" s="7" t="n">
        <v>3</v>
      </c>
      <c r="E3052" s="7" t="n">
        <v>34</v>
      </c>
      <c r="F3052" s="7" t="n">
        <v>0</v>
      </c>
    </row>
    <row r="3053" spans="1:13">
      <c r="A3053" t="s">
        <v>4</v>
      </c>
      <c r="B3053" s="4" t="s">
        <v>5</v>
      </c>
      <c r="C3053" s="4" t="s">
        <v>7</v>
      </c>
      <c r="D3053" s="4" t="s">
        <v>11</v>
      </c>
    </row>
    <row r="3054" spans="1:13">
      <c r="A3054" t="n">
        <v>25491</v>
      </c>
      <c r="B3054" s="23" t="n">
        <v>58</v>
      </c>
      <c r="C3054" s="7" t="n">
        <v>255</v>
      </c>
      <c r="D3054" s="7" t="n">
        <v>0</v>
      </c>
    </row>
    <row r="3055" spans="1:13">
      <c r="A3055" t="s">
        <v>4</v>
      </c>
      <c r="B3055" s="4" t="s">
        <v>5</v>
      </c>
      <c r="C3055" s="4" t="s">
        <v>7</v>
      </c>
      <c r="D3055" s="4" t="s">
        <v>11</v>
      </c>
      <c r="E3055" s="4" t="s">
        <v>8</v>
      </c>
    </row>
    <row r="3056" spans="1:13">
      <c r="A3056" t="n">
        <v>25495</v>
      </c>
      <c r="B3056" s="38" t="n">
        <v>51</v>
      </c>
      <c r="C3056" s="7" t="n">
        <v>4</v>
      </c>
      <c r="D3056" s="7" t="n">
        <v>1</v>
      </c>
      <c r="E3056" s="7" t="s">
        <v>288</v>
      </c>
    </row>
    <row r="3057" spans="1:9">
      <c r="A3057" t="s">
        <v>4</v>
      </c>
      <c r="B3057" s="4" t="s">
        <v>5</v>
      </c>
      <c r="C3057" s="4" t="s">
        <v>11</v>
      </c>
    </row>
    <row r="3058" spans="1:9">
      <c r="A3058" t="n">
        <v>25508</v>
      </c>
      <c r="B3058" s="29" t="n">
        <v>16</v>
      </c>
      <c r="C3058" s="7" t="n">
        <v>0</v>
      </c>
    </row>
    <row r="3059" spans="1:9">
      <c r="A3059" t="s">
        <v>4</v>
      </c>
      <c r="B3059" s="4" t="s">
        <v>5</v>
      </c>
      <c r="C3059" s="4" t="s">
        <v>11</v>
      </c>
      <c r="D3059" s="4" t="s">
        <v>7</v>
      </c>
      <c r="E3059" s="4" t="s">
        <v>15</v>
      </c>
      <c r="F3059" s="4" t="s">
        <v>55</v>
      </c>
      <c r="G3059" s="4" t="s">
        <v>7</v>
      </c>
      <c r="H3059" s="4" t="s">
        <v>7</v>
      </c>
      <c r="I3059" s="4" t="s">
        <v>7</v>
      </c>
      <c r="J3059" s="4" t="s">
        <v>15</v>
      </c>
      <c r="K3059" s="4" t="s">
        <v>55</v>
      </c>
      <c r="L3059" s="4" t="s">
        <v>7</v>
      </c>
      <c r="M3059" s="4" t="s">
        <v>7</v>
      </c>
      <c r="N3059" s="4" t="s">
        <v>7</v>
      </c>
      <c r="O3059" s="4" t="s">
        <v>15</v>
      </c>
      <c r="P3059" s="4" t="s">
        <v>55</v>
      </c>
      <c r="Q3059" s="4" t="s">
        <v>7</v>
      </c>
      <c r="R3059" s="4" t="s">
        <v>7</v>
      </c>
    </row>
    <row r="3060" spans="1:9">
      <c r="A3060" t="n">
        <v>25511</v>
      </c>
      <c r="B3060" s="55" t="n">
        <v>26</v>
      </c>
      <c r="C3060" s="7" t="n">
        <v>1</v>
      </c>
      <c r="D3060" s="7" t="n">
        <v>17</v>
      </c>
      <c r="E3060" s="7" t="n">
        <v>63771</v>
      </c>
      <c r="F3060" s="7" t="s">
        <v>289</v>
      </c>
      <c r="G3060" s="7" t="n">
        <v>2</v>
      </c>
      <c r="H3060" s="7" t="n">
        <v>3</v>
      </c>
      <c r="I3060" s="7" t="n">
        <v>17</v>
      </c>
      <c r="J3060" s="7" t="n">
        <v>63772</v>
      </c>
      <c r="K3060" s="7" t="s">
        <v>290</v>
      </c>
      <c r="L3060" s="7" t="n">
        <v>2</v>
      </c>
      <c r="M3060" s="7" t="n">
        <v>3</v>
      </c>
      <c r="N3060" s="7" t="n">
        <v>17</v>
      </c>
      <c r="O3060" s="7" t="n">
        <v>63773</v>
      </c>
      <c r="P3060" s="7" t="s">
        <v>291</v>
      </c>
      <c r="Q3060" s="7" t="n">
        <v>2</v>
      </c>
      <c r="R3060" s="7" t="n">
        <v>0</v>
      </c>
    </row>
    <row r="3061" spans="1:9">
      <c r="A3061" t="s">
        <v>4</v>
      </c>
      <c r="B3061" s="4" t="s">
        <v>5</v>
      </c>
    </row>
    <row r="3062" spans="1:9">
      <c r="A3062" t="n">
        <v>25852</v>
      </c>
      <c r="B3062" s="27" t="n">
        <v>28</v>
      </c>
    </row>
    <row r="3063" spans="1:9">
      <c r="A3063" t="s">
        <v>4</v>
      </c>
      <c r="B3063" s="4" t="s">
        <v>5</v>
      </c>
      <c r="C3063" s="4" t="s">
        <v>7</v>
      </c>
      <c r="D3063" s="4" t="s">
        <v>11</v>
      </c>
      <c r="E3063" s="4" t="s">
        <v>8</v>
      </c>
    </row>
    <row r="3064" spans="1:9">
      <c r="A3064" t="n">
        <v>25853</v>
      </c>
      <c r="B3064" s="38" t="n">
        <v>51</v>
      </c>
      <c r="C3064" s="7" t="n">
        <v>4</v>
      </c>
      <c r="D3064" s="7" t="n">
        <v>0</v>
      </c>
      <c r="E3064" s="7" t="s">
        <v>173</v>
      </c>
    </row>
    <row r="3065" spans="1:9">
      <c r="A3065" t="s">
        <v>4</v>
      </c>
      <c r="B3065" s="4" t="s">
        <v>5</v>
      </c>
      <c r="C3065" s="4" t="s">
        <v>11</v>
      </c>
    </row>
    <row r="3066" spans="1:9">
      <c r="A3066" t="n">
        <v>25866</v>
      </c>
      <c r="B3066" s="29" t="n">
        <v>16</v>
      </c>
      <c r="C3066" s="7" t="n">
        <v>0</v>
      </c>
    </row>
    <row r="3067" spans="1:9">
      <c r="A3067" t="s">
        <v>4</v>
      </c>
      <c r="B3067" s="4" t="s">
        <v>5</v>
      </c>
      <c r="C3067" s="4" t="s">
        <v>11</v>
      </c>
      <c r="D3067" s="4" t="s">
        <v>7</v>
      </c>
      <c r="E3067" s="4" t="s">
        <v>15</v>
      </c>
      <c r="F3067" s="4" t="s">
        <v>55</v>
      </c>
      <c r="G3067" s="4" t="s">
        <v>7</v>
      </c>
      <c r="H3067" s="4" t="s">
        <v>7</v>
      </c>
    </row>
    <row r="3068" spans="1:9">
      <c r="A3068" t="n">
        <v>25869</v>
      </c>
      <c r="B3068" s="55" t="n">
        <v>26</v>
      </c>
      <c r="C3068" s="7" t="n">
        <v>0</v>
      </c>
      <c r="D3068" s="7" t="n">
        <v>17</v>
      </c>
      <c r="E3068" s="7" t="n">
        <v>63774</v>
      </c>
      <c r="F3068" s="7" t="s">
        <v>292</v>
      </c>
      <c r="G3068" s="7" t="n">
        <v>2</v>
      </c>
      <c r="H3068" s="7" t="n">
        <v>0</v>
      </c>
    </row>
    <row r="3069" spans="1:9">
      <c r="A3069" t="s">
        <v>4</v>
      </c>
      <c r="B3069" s="4" t="s">
        <v>5</v>
      </c>
    </row>
    <row r="3070" spans="1:9">
      <c r="A3070" t="n">
        <v>25921</v>
      </c>
      <c r="B3070" s="27" t="n">
        <v>28</v>
      </c>
    </row>
    <row r="3071" spans="1:9">
      <c r="A3071" t="s">
        <v>4</v>
      </c>
      <c r="B3071" s="4" t="s">
        <v>5</v>
      </c>
      <c r="C3071" s="4" t="s">
        <v>7</v>
      </c>
      <c r="D3071" s="4" t="s">
        <v>11</v>
      </c>
      <c r="E3071" s="4" t="s">
        <v>8</v>
      </c>
      <c r="F3071" s="4" t="s">
        <v>8</v>
      </c>
      <c r="G3071" s="4" t="s">
        <v>8</v>
      </c>
      <c r="H3071" s="4" t="s">
        <v>8</v>
      </c>
    </row>
    <row r="3072" spans="1:9">
      <c r="A3072" t="n">
        <v>25922</v>
      </c>
      <c r="B3072" s="38" t="n">
        <v>51</v>
      </c>
      <c r="C3072" s="7" t="n">
        <v>3</v>
      </c>
      <c r="D3072" s="7" t="n">
        <v>1</v>
      </c>
      <c r="E3072" s="7" t="s">
        <v>154</v>
      </c>
      <c r="F3072" s="7" t="s">
        <v>79</v>
      </c>
      <c r="G3072" s="7" t="s">
        <v>16</v>
      </c>
      <c r="H3072" s="7" t="s">
        <v>68</v>
      </c>
    </row>
    <row r="3073" spans="1:18">
      <c r="A3073" t="s">
        <v>4</v>
      </c>
      <c r="B3073" s="4" t="s">
        <v>5</v>
      </c>
      <c r="C3073" s="4" t="s">
        <v>11</v>
      </c>
      <c r="D3073" s="4" t="s">
        <v>7</v>
      </c>
      <c r="E3073" s="4" t="s">
        <v>13</v>
      </c>
      <c r="F3073" s="4" t="s">
        <v>11</v>
      </c>
    </row>
    <row r="3074" spans="1:18">
      <c r="A3074" t="n">
        <v>25933</v>
      </c>
      <c r="B3074" s="56" t="n">
        <v>59</v>
      </c>
      <c r="C3074" s="7" t="n">
        <v>1</v>
      </c>
      <c r="D3074" s="7" t="n">
        <v>14</v>
      </c>
      <c r="E3074" s="7" t="n">
        <v>0.150000005960464</v>
      </c>
      <c r="F3074" s="7" t="n">
        <v>0</v>
      </c>
    </row>
    <row r="3075" spans="1:18">
      <c r="A3075" t="s">
        <v>4</v>
      </c>
      <c r="B3075" s="4" t="s">
        <v>5</v>
      </c>
      <c r="C3075" s="4" t="s">
        <v>11</v>
      </c>
    </row>
    <row r="3076" spans="1:18">
      <c r="A3076" t="n">
        <v>25943</v>
      </c>
      <c r="B3076" s="29" t="n">
        <v>16</v>
      </c>
      <c r="C3076" s="7" t="n">
        <v>1000</v>
      </c>
    </row>
    <row r="3077" spans="1:18">
      <c r="A3077" t="s">
        <v>4</v>
      </c>
      <c r="B3077" s="4" t="s">
        <v>5</v>
      </c>
      <c r="C3077" s="4" t="s">
        <v>7</v>
      </c>
      <c r="D3077" s="4" t="s">
        <v>11</v>
      </c>
      <c r="E3077" s="4" t="s">
        <v>8</v>
      </c>
    </row>
    <row r="3078" spans="1:18">
      <c r="A3078" t="n">
        <v>25946</v>
      </c>
      <c r="B3078" s="38" t="n">
        <v>51</v>
      </c>
      <c r="C3078" s="7" t="n">
        <v>4</v>
      </c>
      <c r="D3078" s="7" t="n">
        <v>1</v>
      </c>
      <c r="E3078" s="7" t="s">
        <v>293</v>
      </c>
    </row>
    <row r="3079" spans="1:18">
      <c r="A3079" t="s">
        <v>4</v>
      </c>
      <c r="B3079" s="4" t="s">
        <v>5</v>
      </c>
      <c r="C3079" s="4" t="s">
        <v>11</v>
      </c>
    </row>
    <row r="3080" spans="1:18">
      <c r="A3080" t="n">
        <v>25965</v>
      </c>
      <c r="B3080" s="29" t="n">
        <v>16</v>
      </c>
      <c r="C3080" s="7" t="n">
        <v>0</v>
      </c>
    </row>
    <row r="3081" spans="1:18">
      <c r="A3081" t="s">
        <v>4</v>
      </c>
      <c r="B3081" s="4" t="s">
        <v>5</v>
      </c>
      <c r="C3081" s="4" t="s">
        <v>11</v>
      </c>
      <c r="D3081" s="4" t="s">
        <v>7</v>
      </c>
      <c r="E3081" s="4" t="s">
        <v>15</v>
      </c>
      <c r="F3081" s="4" t="s">
        <v>55</v>
      </c>
      <c r="G3081" s="4" t="s">
        <v>7</v>
      </c>
      <c r="H3081" s="4" t="s">
        <v>7</v>
      </c>
    </row>
    <row r="3082" spans="1:18">
      <c r="A3082" t="n">
        <v>25968</v>
      </c>
      <c r="B3082" s="55" t="n">
        <v>26</v>
      </c>
      <c r="C3082" s="7" t="n">
        <v>1</v>
      </c>
      <c r="D3082" s="7" t="n">
        <v>17</v>
      </c>
      <c r="E3082" s="7" t="n">
        <v>63775</v>
      </c>
      <c r="F3082" s="7" t="s">
        <v>294</v>
      </c>
      <c r="G3082" s="7" t="n">
        <v>2</v>
      </c>
      <c r="H3082" s="7" t="n">
        <v>0</v>
      </c>
    </row>
    <row r="3083" spans="1:18">
      <c r="A3083" t="s">
        <v>4</v>
      </c>
      <c r="B3083" s="4" t="s">
        <v>5</v>
      </c>
    </row>
    <row r="3084" spans="1:18">
      <c r="A3084" t="n">
        <v>26003</v>
      </c>
      <c r="B3084" s="27" t="n">
        <v>28</v>
      </c>
    </row>
    <row r="3085" spans="1:18">
      <c r="A3085" t="s">
        <v>4</v>
      </c>
      <c r="B3085" s="4" t="s">
        <v>5</v>
      </c>
      <c r="C3085" s="4" t="s">
        <v>7</v>
      </c>
      <c r="D3085" s="4" t="s">
        <v>11</v>
      </c>
      <c r="E3085" s="4" t="s">
        <v>8</v>
      </c>
      <c r="F3085" s="4" t="s">
        <v>8</v>
      </c>
      <c r="G3085" s="4" t="s">
        <v>8</v>
      </c>
      <c r="H3085" s="4" t="s">
        <v>8</v>
      </c>
    </row>
    <row r="3086" spans="1:18">
      <c r="A3086" t="n">
        <v>26004</v>
      </c>
      <c r="B3086" s="38" t="n">
        <v>51</v>
      </c>
      <c r="C3086" s="7" t="n">
        <v>3</v>
      </c>
      <c r="D3086" s="7" t="n">
        <v>1</v>
      </c>
      <c r="E3086" s="7" t="s">
        <v>295</v>
      </c>
      <c r="F3086" s="7" t="s">
        <v>99</v>
      </c>
      <c r="G3086" s="7" t="s">
        <v>78</v>
      </c>
      <c r="H3086" s="7" t="s">
        <v>79</v>
      </c>
    </row>
    <row r="3087" spans="1:18">
      <c r="A3087" t="s">
        <v>4</v>
      </c>
      <c r="B3087" s="4" t="s">
        <v>5</v>
      </c>
      <c r="C3087" s="4" t="s">
        <v>11</v>
      </c>
      <c r="D3087" s="4" t="s">
        <v>13</v>
      </c>
      <c r="E3087" s="4" t="s">
        <v>13</v>
      </c>
      <c r="F3087" s="4" t="s">
        <v>13</v>
      </c>
      <c r="G3087" s="4" t="s">
        <v>11</v>
      </c>
      <c r="H3087" s="4" t="s">
        <v>11</v>
      </c>
    </row>
    <row r="3088" spans="1:18">
      <c r="A3088" t="n">
        <v>26017</v>
      </c>
      <c r="B3088" s="37" t="n">
        <v>60</v>
      </c>
      <c r="C3088" s="7" t="n">
        <v>1</v>
      </c>
      <c r="D3088" s="7" t="n">
        <v>-45</v>
      </c>
      <c r="E3088" s="7" t="n">
        <v>0</v>
      </c>
      <c r="F3088" s="7" t="n">
        <v>0</v>
      </c>
      <c r="G3088" s="7" t="n">
        <v>1000</v>
      </c>
      <c r="H3088" s="7" t="n">
        <v>0</v>
      </c>
    </row>
    <row r="3089" spans="1:8">
      <c r="A3089" t="s">
        <v>4</v>
      </c>
      <c r="B3089" s="4" t="s">
        <v>5</v>
      </c>
      <c r="C3089" s="4" t="s">
        <v>11</v>
      </c>
    </row>
    <row r="3090" spans="1:8">
      <c r="A3090" t="n">
        <v>26036</v>
      </c>
      <c r="B3090" s="29" t="n">
        <v>16</v>
      </c>
      <c r="C3090" s="7" t="n">
        <v>1000</v>
      </c>
    </row>
    <row r="3091" spans="1:8">
      <c r="A3091" t="s">
        <v>4</v>
      </c>
      <c r="B3091" s="4" t="s">
        <v>5</v>
      </c>
      <c r="C3091" s="4" t="s">
        <v>7</v>
      </c>
      <c r="D3091" s="4" t="s">
        <v>11</v>
      </c>
      <c r="E3091" s="4" t="s">
        <v>8</v>
      </c>
      <c r="F3091" s="4" t="s">
        <v>8</v>
      </c>
      <c r="G3091" s="4" t="s">
        <v>8</v>
      </c>
      <c r="H3091" s="4" t="s">
        <v>8</v>
      </c>
    </row>
    <row r="3092" spans="1:8">
      <c r="A3092" t="n">
        <v>26039</v>
      </c>
      <c r="B3092" s="38" t="n">
        <v>51</v>
      </c>
      <c r="C3092" s="7" t="n">
        <v>3</v>
      </c>
      <c r="D3092" s="7" t="n">
        <v>1</v>
      </c>
      <c r="E3092" s="7" t="s">
        <v>296</v>
      </c>
      <c r="F3092" s="7" t="s">
        <v>99</v>
      </c>
      <c r="G3092" s="7" t="s">
        <v>78</v>
      </c>
      <c r="H3092" s="7" t="s">
        <v>79</v>
      </c>
    </row>
    <row r="3093" spans="1:8">
      <c r="A3093" t="s">
        <v>4</v>
      </c>
      <c r="B3093" s="4" t="s">
        <v>5</v>
      </c>
      <c r="C3093" s="4" t="s">
        <v>11</v>
      </c>
      <c r="D3093" s="4" t="s">
        <v>13</v>
      </c>
      <c r="E3093" s="4" t="s">
        <v>13</v>
      </c>
      <c r="F3093" s="4" t="s">
        <v>13</v>
      </c>
      <c r="G3093" s="4" t="s">
        <v>11</v>
      </c>
      <c r="H3093" s="4" t="s">
        <v>11</v>
      </c>
    </row>
    <row r="3094" spans="1:8">
      <c r="A3094" t="n">
        <v>26053</v>
      </c>
      <c r="B3094" s="37" t="n">
        <v>60</v>
      </c>
      <c r="C3094" s="7" t="n">
        <v>1</v>
      </c>
      <c r="D3094" s="7" t="n">
        <v>45</v>
      </c>
      <c r="E3094" s="7" t="n">
        <v>0</v>
      </c>
      <c r="F3094" s="7" t="n">
        <v>0</v>
      </c>
      <c r="G3094" s="7" t="n">
        <v>1000</v>
      </c>
      <c r="H3094" s="7" t="n">
        <v>0</v>
      </c>
    </row>
    <row r="3095" spans="1:8">
      <c r="A3095" t="s">
        <v>4</v>
      </c>
      <c r="B3095" s="4" t="s">
        <v>5</v>
      </c>
      <c r="C3095" s="4" t="s">
        <v>11</v>
      </c>
    </row>
    <row r="3096" spans="1:8">
      <c r="A3096" t="n">
        <v>26072</v>
      </c>
      <c r="B3096" s="29" t="n">
        <v>16</v>
      </c>
      <c r="C3096" s="7" t="n">
        <v>1200</v>
      </c>
    </row>
    <row r="3097" spans="1:8">
      <c r="A3097" t="s">
        <v>4</v>
      </c>
      <c r="B3097" s="4" t="s">
        <v>5</v>
      </c>
      <c r="C3097" s="4" t="s">
        <v>7</v>
      </c>
      <c r="D3097" s="4" t="s">
        <v>11</v>
      </c>
      <c r="E3097" s="4" t="s">
        <v>8</v>
      </c>
      <c r="F3097" s="4" t="s">
        <v>8</v>
      </c>
      <c r="G3097" s="4" t="s">
        <v>8</v>
      </c>
      <c r="H3097" s="4" t="s">
        <v>8</v>
      </c>
    </row>
    <row r="3098" spans="1:8">
      <c r="A3098" t="n">
        <v>26075</v>
      </c>
      <c r="B3098" s="38" t="n">
        <v>51</v>
      </c>
      <c r="C3098" s="7" t="n">
        <v>3</v>
      </c>
      <c r="D3098" s="7" t="n">
        <v>1</v>
      </c>
      <c r="E3098" s="7" t="s">
        <v>86</v>
      </c>
      <c r="F3098" s="7" t="s">
        <v>99</v>
      </c>
      <c r="G3098" s="7" t="s">
        <v>78</v>
      </c>
      <c r="H3098" s="7" t="s">
        <v>79</v>
      </c>
    </row>
    <row r="3099" spans="1:8">
      <c r="A3099" t="s">
        <v>4</v>
      </c>
      <c r="B3099" s="4" t="s">
        <v>5</v>
      </c>
      <c r="C3099" s="4" t="s">
        <v>11</v>
      </c>
      <c r="D3099" s="4" t="s">
        <v>13</v>
      </c>
      <c r="E3099" s="4" t="s">
        <v>13</v>
      </c>
      <c r="F3099" s="4" t="s">
        <v>13</v>
      </c>
      <c r="G3099" s="4" t="s">
        <v>11</v>
      </c>
      <c r="H3099" s="4" t="s">
        <v>11</v>
      </c>
    </row>
    <row r="3100" spans="1:8">
      <c r="A3100" t="n">
        <v>26088</v>
      </c>
      <c r="B3100" s="37" t="n">
        <v>60</v>
      </c>
      <c r="C3100" s="7" t="n">
        <v>1</v>
      </c>
      <c r="D3100" s="7" t="n">
        <v>0</v>
      </c>
      <c r="E3100" s="7" t="n">
        <v>0</v>
      </c>
      <c r="F3100" s="7" t="n">
        <v>0</v>
      </c>
      <c r="G3100" s="7" t="n">
        <v>1000</v>
      </c>
      <c r="H3100" s="7" t="n">
        <v>0</v>
      </c>
    </row>
    <row r="3101" spans="1:8">
      <c r="A3101" t="s">
        <v>4</v>
      </c>
      <c r="B3101" s="4" t="s">
        <v>5</v>
      </c>
      <c r="C3101" s="4" t="s">
        <v>11</v>
      </c>
    </row>
    <row r="3102" spans="1:8">
      <c r="A3102" t="n">
        <v>26107</v>
      </c>
      <c r="B3102" s="29" t="n">
        <v>16</v>
      </c>
      <c r="C3102" s="7" t="n">
        <v>1000</v>
      </c>
    </row>
    <row r="3103" spans="1:8">
      <c r="A3103" t="s">
        <v>4</v>
      </c>
      <c r="B3103" s="4" t="s">
        <v>5</v>
      </c>
      <c r="C3103" s="4" t="s">
        <v>7</v>
      </c>
      <c r="D3103" s="4" t="s">
        <v>11</v>
      </c>
      <c r="E3103" s="4" t="s">
        <v>8</v>
      </c>
    </row>
    <row r="3104" spans="1:8">
      <c r="A3104" t="n">
        <v>26110</v>
      </c>
      <c r="B3104" s="38" t="n">
        <v>51</v>
      </c>
      <c r="C3104" s="7" t="n">
        <v>4</v>
      </c>
      <c r="D3104" s="7" t="n">
        <v>1</v>
      </c>
      <c r="E3104" s="7" t="s">
        <v>179</v>
      </c>
    </row>
    <row r="3105" spans="1:8">
      <c r="A3105" t="s">
        <v>4</v>
      </c>
      <c r="B3105" s="4" t="s">
        <v>5</v>
      </c>
      <c r="C3105" s="4" t="s">
        <v>11</v>
      </c>
    </row>
    <row r="3106" spans="1:8">
      <c r="A3106" t="n">
        <v>26124</v>
      </c>
      <c r="B3106" s="29" t="n">
        <v>16</v>
      </c>
      <c r="C3106" s="7" t="n">
        <v>0</v>
      </c>
    </row>
    <row r="3107" spans="1:8">
      <c r="A3107" t="s">
        <v>4</v>
      </c>
      <c r="B3107" s="4" t="s">
        <v>5</v>
      </c>
      <c r="C3107" s="4" t="s">
        <v>11</v>
      </c>
      <c r="D3107" s="4" t="s">
        <v>7</v>
      </c>
      <c r="E3107" s="4" t="s">
        <v>15</v>
      </c>
      <c r="F3107" s="4" t="s">
        <v>55</v>
      </c>
      <c r="G3107" s="4" t="s">
        <v>7</v>
      </c>
      <c r="H3107" s="4" t="s">
        <v>7</v>
      </c>
      <c r="I3107" s="4" t="s">
        <v>7</v>
      </c>
      <c r="J3107" s="4" t="s">
        <v>15</v>
      </c>
      <c r="K3107" s="4" t="s">
        <v>55</v>
      </c>
      <c r="L3107" s="4" t="s">
        <v>7</v>
      </c>
      <c r="M3107" s="4" t="s">
        <v>7</v>
      </c>
    </row>
    <row r="3108" spans="1:8">
      <c r="A3108" t="n">
        <v>26127</v>
      </c>
      <c r="B3108" s="55" t="n">
        <v>26</v>
      </c>
      <c r="C3108" s="7" t="n">
        <v>1</v>
      </c>
      <c r="D3108" s="7" t="n">
        <v>17</v>
      </c>
      <c r="E3108" s="7" t="n">
        <v>63776</v>
      </c>
      <c r="F3108" s="7" t="s">
        <v>297</v>
      </c>
      <c r="G3108" s="7" t="n">
        <v>2</v>
      </c>
      <c r="H3108" s="7" t="n">
        <v>3</v>
      </c>
      <c r="I3108" s="7" t="n">
        <v>17</v>
      </c>
      <c r="J3108" s="7" t="n">
        <v>63777</v>
      </c>
      <c r="K3108" s="7" t="s">
        <v>298</v>
      </c>
      <c r="L3108" s="7" t="n">
        <v>2</v>
      </c>
      <c r="M3108" s="7" t="n">
        <v>0</v>
      </c>
    </row>
    <row r="3109" spans="1:8">
      <c r="A3109" t="s">
        <v>4</v>
      </c>
      <c r="B3109" s="4" t="s">
        <v>5</v>
      </c>
    </row>
    <row r="3110" spans="1:8">
      <c r="A3110" t="n">
        <v>26361</v>
      </c>
      <c r="B3110" s="27" t="n">
        <v>28</v>
      </c>
    </row>
    <row r="3111" spans="1:8">
      <c r="A3111" t="s">
        <v>4</v>
      </c>
      <c r="B3111" s="4" t="s">
        <v>5</v>
      </c>
      <c r="C3111" s="4" t="s">
        <v>7</v>
      </c>
      <c r="D3111" s="4" t="s">
        <v>11</v>
      </c>
      <c r="E3111" s="4" t="s">
        <v>8</v>
      </c>
    </row>
    <row r="3112" spans="1:8">
      <c r="A3112" t="n">
        <v>26362</v>
      </c>
      <c r="B3112" s="38" t="n">
        <v>51</v>
      </c>
      <c r="C3112" s="7" t="n">
        <v>4</v>
      </c>
      <c r="D3112" s="7" t="n">
        <v>0</v>
      </c>
      <c r="E3112" s="7" t="s">
        <v>179</v>
      </c>
    </row>
    <row r="3113" spans="1:8">
      <c r="A3113" t="s">
        <v>4</v>
      </c>
      <c r="B3113" s="4" t="s">
        <v>5</v>
      </c>
      <c r="C3113" s="4" t="s">
        <v>11</v>
      </c>
    </row>
    <row r="3114" spans="1:8">
      <c r="A3114" t="n">
        <v>26376</v>
      </c>
      <c r="B3114" s="29" t="n">
        <v>16</v>
      </c>
      <c r="C3114" s="7" t="n">
        <v>0</v>
      </c>
    </row>
    <row r="3115" spans="1:8">
      <c r="A3115" t="s">
        <v>4</v>
      </c>
      <c r="B3115" s="4" t="s">
        <v>5</v>
      </c>
      <c r="C3115" s="4" t="s">
        <v>11</v>
      </c>
      <c r="D3115" s="4" t="s">
        <v>7</v>
      </c>
      <c r="E3115" s="4" t="s">
        <v>15</v>
      </c>
      <c r="F3115" s="4" t="s">
        <v>55</v>
      </c>
      <c r="G3115" s="4" t="s">
        <v>7</v>
      </c>
      <c r="H3115" s="4" t="s">
        <v>7</v>
      </c>
      <c r="I3115" s="4" t="s">
        <v>7</v>
      </c>
      <c r="J3115" s="4" t="s">
        <v>15</v>
      </c>
      <c r="K3115" s="4" t="s">
        <v>55</v>
      </c>
      <c r="L3115" s="4" t="s">
        <v>7</v>
      </c>
      <c r="M3115" s="4" t="s">
        <v>7</v>
      </c>
      <c r="N3115" s="4" t="s">
        <v>7</v>
      </c>
      <c r="O3115" s="4" t="s">
        <v>15</v>
      </c>
      <c r="P3115" s="4" t="s">
        <v>55</v>
      </c>
      <c r="Q3115" s="4" t="s">
        <v>7</v>
      </c>
      <c r="R3115" s="4" t="s">
        <v>7</v>
      </c>
    </row>
    <row r="3116" spans="1:8">
      <c r="A3116" t="n">
        <v>26379</v>
      </c>
      <c r="B3116" s="55" t="n">
        <v>26</v>
      </c>
      <c r="C3116" s="7" t="n">
        <v>0</v>
      </c>
      <c r="D3116" s="7" t="n">
        <v>17</v>
      </c>
      <c r="E3116" s="7" t="n">
        <v>63778</v>
      </c>
      <c r="F3116" s="7" t="s">
        <v>299</v>
      </c>
      <c r="G3116" s="7" t="n">
        <v>2</v>
      </c>
      <c r="H3116" s="7" t="n">
        <v>3</v>
      </c>
      <c r="I3116" s="7" t="n">
        <v>17</v>
      </c>
      <c r="J3116" s="7" t="n">
        <v>63779</v>
      </c>
      <c r="K3116" s="7" t="s">
        <v>300</v>
      </c>
      <c r="L3116" s="7" t="n">
        <v>2</v>
      </c>
      <c r="M3116" s="7" t="n">
        <v>3</v>
      </c>
      <c r="N3116" s="7" t="n">
        <v>17</v>
      </c>
      <c r="O3116" s="7" t="n">
        <v>63780</v>
      </c>
      <c r="P3116" s="7" t="s">
        <v>301</v>
      </c>
      <c r="Q3116" s="7" t="n">
        <v>2</v>
      </c>
      <c r="R3116" s="7" t="n">
        <v>0</v>
      </c>
    </row>
    <row r="3117" spans="1:8">
      <c r="A3117" t="s">
        <v>4</v>
      </c>
      <c r="B3117" s="4" t="s">
        <v>5</v>
      </c>
    </row>
    <row r="3118" spans="1:8">
      <c r="A3118" t="n">
        <v>26594</v>
      </c>
      <c r="B3118" s="27" t="n">
        <v>28</v>
      </c>
    </row>
    <row r="3119" spans="1:8">
      <c r="A3119" t="s">
        <v>4</v>
      </c>
      <c r="B3119" s="4" t="s">
        <v>5</v>
      </c>
      <c r="C3119" s="4" t="s">
        <v>7</v>
      </c>
      <c r="D3119" s="4" t="s">
        <v>11</v>
      </c>
      <c r="E3119" s="4" t="s">
        <v>8</v>
      </c>
    </row>
    <row r="3120" spans="1:8">
      <c r="A3120" t="n">
        <v>26595</v>
      </c>
      <c r="B3120" s="38" t="n">
        <v>51</v>
      </c>
      <c r="C3120" s="7" t="n">
        <v>4</v>
      </c>
      <c r="D3120" s="7" t="n">
        <v>1</v>
      </c>
      <c r="E3120" s="7" t="s">
        <v>238</v>
      </c>
    </row>
    <row r="3121" spans="1:18">
      <c r="A3121" t="s">
        <v>4</v>
      </c>
      <c r="B3121" s="4" t="s">
        <v>5</v>
      </c>
      <c r="C3121" s="4" t="s">
        <v>11</v>
      </c>
    </row>
    <row r="3122" spans="1:18">
      <c r="A3122" t="n">
        <v>26609</v>
      </c>
      <c r="B3122" s="29" t="n">
        <v>16</v>
      </c>
      <c r="C3122" s="7" t="n">
        <v>0</v>
      </c>
    </row>
    <row r="3123" spans="1:18">
      <c r="A3123" t="s">
        <v>4</v>
      </c>
      <c r="B3123" s="4" t="s">
        <v>5</v>
      </c>
      <c r="C3123" s="4" t="s">
        <v>11</v>
      </c>
      <c r="D3123" s="4" t="s">
        <v>7</v>
      </c>
      <c r="E3123" s="4" t="s">
        <v>15</v>
      </c>
      <c r="F3123" s="4" t="s">
        <v>55</v>
      </c>
      <c r="G3123" s="4" t="s">
        <v>7</v>
      </c>
      <c r="H3123" s="4" t="s">
        <v>7</v>
      </c>
    </row>
    <row r="3124" spans="1:18">
      <c r="A3124" t="n">
        <v>26612</v>
      </c>
      <c r="B3124" s="55" t="n">
        <v>26</v>
      </c>
      <c r="C3124" s="7" t="n">
        <v>1</v>
      </c>
      <c r="D3124" s="7" t="n">
        <v>17</v>
      </c>
      <c r="E3124" s="7" t="n">
        <v>63781</v>
      </c>
      <c r="F3124" s="7" t="s">
        <v>302</v>
      </c>
      <c r="G3124" s="7" t="n">
        <v>2</v>
      </c>
      <c r="H3124" s="7" t="n">
        <v>0</v>
      </c>
    </row>
    <row r="3125" spans="1:18">
      <c r="A3125" t="s">
        <v>4</v>
      </c>
      <c r="B3125" s="4" t="s">
        <v>5</v>
      </c>
    </row>
    <row r="3126" spans="1:18">
      <c r="A3126" t="n">
        <v>26644</v>
      </c>
      <c r="B3126" s="27" t="n">
        <v>28</v>
      </c>
    </row>
    <row r="3127" spans="1:18">
      <c r="A3127" t="s">
        <v>4</v>
      </c>
      <c r="B3127" s="4" t="s">
        <v>5</v>
      </c>
      <c r="C3127" s="4" t="s">
        <v>11</v>
      </c>
      <c r="D3127" s="4" t="s">
        <v>7</v>
      </c>
    </row>
    <row r="3128" spans="1:18">
      <c r="A3128" t="n">
        <v>26645</v>
      </c>
      <c r="B3128" s="68" t="n">
        <v>89</v>
      </c>
      <c r="C3128" s="7" t="n">
        <v>65533</v>
      </c>
      <c r="D3128" s="7" t="n">
        <v>1</v>
      </c>
    </row>
    <row r="3129" spans="1:18">
      <c r="A3129" t="s">
        <v>4</v>
      </c>
      <c r="B3129" s="4" t="s">
        <v>5</v>
      </c>
      <c r="C3129" s="4" t="s">
        <v>7</v>
      </c>
      <c r="D3129" s="4" t="s">
        <v>11</v>
      </c>
      <c r="E3129" s="4" t="s">
        <v>13</v>
      </c>
    </row>
    <row r="3130" spans="1:18">
      <c r="A3130" t="n">
        <v>26649</v>
      </c>
      <c r="B3130" s="23" t="n">
        <v>58</v>
      </c>
      <c r="C3130" s="7" t="n">
        <v>101</v>
      </c>
      <c r="D3130" s="7" t="n">
        <v>500</v>
      </c>
      <c r="E3130" s="7" t="n">
        <v>1</v>
      </c>
    </row>
    <row r="3131" spans="1:18">
      <c r="A3131" t="s">
        <v>4</v>
      </c>
      <c r="B3131" s="4" t="s">
        <v>5</v>
      </c>
      <c r="C3131" s="4" t="s">
        <v>7</v>
      </c>
      <c r="D3131" s="4" t="s">
        <v>11</v>
      </c>
    </row>
    <row r="3132" spans="1:18">
      <c r="A3132" t="n">
        <v>26657</v>
      </c>
      <c r="B3132" s="23" t="n">
        <v>58</v>
      </c>
      <c r="C3132" s="7" t="n">
        <v>254</v>
      </c>
      <c r="D3132" s="7" t="n">
        <v>0</v>
      </c>
    </row>
    <row r="3133" spans="1:18">
      <c r="A3133" t="s">
        <v>4</v>
      </c>
      <c r="B3133" s="4" t="s">
        <v>5</v>
      </c>
      <c r="C3133" s="4" t="s">
        <v>7</v>
      </c>
      <c r="D3133" s="4" t="s">
        <v>11</v>
      </c>
      <c r="E3133" s="4" t="s">
        <v>8</v>
      </c>
      <c r="F3133" s="4" t="s">
        <v>8</v>
      </c>
      <c r="G3133" s="4" t="s">
        <v>8</v>
      </c>
      <c r="H3133" s="4" t="s">
        <v>8</v>
      </c>
    </row>
    <row r="3134" spans="1:18">
      <c r="A3134" t="n">
        <v>26661</v>
      </c>
      <c r="B3134" s="38" t="n">
        <v>51</v>
      </c>
      <c r="C3134" s="7" t="n">
        <v>3</v>
      </c>
      <c r="D3134" s="7" t="n">
        <v>0</v>
      </c>
      <c r="E3134" s="7" t="s">
        <v>65</v>
      </c>
      <c r="F3134" s="7" t="s">
        <v>99</v>
      </c>
      <c r="G3134" s="7" t="s">
        <v>78</v>
      </c>
      <c r="H3134" s="7" t="s">
        <v>79</v>
      </c>
    </row>
    <row r="3135" spans="1:18">
      <c r="A3135" t="s">
        <v>4</v>
      </c>
      <c r="B3135" s="4" t="s">
        <v>5</v>
      </c>
      <c r="C3135" s="4" t="s">
        <v>7</v>
      </c>
      <c r="D3135" s="4" t="s">
        <v>11</v>
      </c>
      <c r="E3135" s="4" t="s">
        <v>8</v>
      </c>
      <c r="F3135" s="4" t="s">
        <v>8</v>
      </c>
      <c r="G3135" s="4" t="s">
        <v>8</v>
      </c>
      <c r="H3135" s="4" t="s">
        <v>8</v>
      </c>
    </row>
    <row r="3136" spans="1:18">
      <c r="A3136" t="n">
        <v>26682</v>
      </c>
      <c r="B3136" s="38" t="n">
        <v>51</v>
      </c>
      <c r="C3136" s="7" t="n">
        <v>3</v>
      </c>
      <c r="D3136" s="7" t="n">
        <v>1</v>
      </c>
      <c r="E3136" s="7" t="s">
        <v>65</v>
      </c>
      <c r="F3136" s="7" t="s">
        <v>99</v>
      </c>
      <c r="G3136" s="7" t="s">
        <v>78</v>
      </c>
      <c r="H3136" s="7" t="s">
        <v>79</v>
      </c>
    </row>
    <row r="3137" spans="1:8">
      <c r="A3137" t="s">
        <v>4</v>
      </c>
      <c r="B3137" s="4" t="s">
        <v>5</v>
      </c>
      <c r="C3137" s="4" t="s">
        <v>11</v>
      </c>
      <c r="D3137" s="4" t="s">
        <v>11</v>
      </c>
      <c r="E3137" s="4" t="s">
        <v>11</v>
      </c>
    </row>
    <row r="3138" spans="1:8">
      <c r="A3138" t="n">
        <v>26703</v>
      </c>
      <c r="B3138" s="72" t="n">
        <v>61</v>
      </c>
      <c r="C3138" s="7" t="n">
        <v>0</v>
      </c>
      <c r="D3138" s="7" t="n">
        <v>65533</v>
      </c>
      <c r="E3138" s="7" t="n">
        <v>0</v>
      </c>
    </row>
    <row r="3139" spans="1:8">
      <c r="A3139" t="s">
        <v>4</v>
      </c>
      <c r="B3139" s="4" t="s">
        <v>5</v>
      </c>
      <c r="C3139" s="4" t="s">
        <v>11</v>
      </c>
      <c r="D3139" s="4" t="s">
        <v>11</v>
      </c>
      <c r="E3139" s="4" t="s">
        <v>11</v>
      </c>
    </row>
    <row r="3140" spans="1:8">
      <c r="A3140" t="n">
        <v>26710</v>
      </c>
      <c r="B3140" s="72" t="n">
        <v>61</v>
      </c>
      <c r="C3140" s="7" t="n">
        <v>1</v>
      </c>
      <c r="D3140" s="7" t="n">
        <v>65533</v>
      </c>
      <c r="E3140" s="7" t="n">
        <v>0</v>
      </c>
    </row>
    <row r="3141" spans="1:8">
      <c r="A3141" t="s">
        <v>4</v>
      </c>
      <c r="B3141" s="4" t="s">
        <v>5</v>
      </c>
      <c r="C3141" s="4" t="s">
        <v>7</v>
      </c>
    </row>
    <row r="3142" spans="1:8">
      <c r="A3142" t="n">
        <v>26717</v>
      </c>
      <c r="B3142" s="49" t="n">
        <v>116</v>
      </c>
      <c r="C3142" s="7" t="n">
        <v>0</v>
      </c>
    </row>
    <row r="3143" spans="1:8">
      <c r="A3143" t="s">
        <v>4</v>
      </c>
      <c r="B3143" s="4" t="s">
        <v>5</v>
      </c>
      <c r="C3143" s="4" t="s">
        <v>7</v>
      </c>
      <c r="D3143" s="4" t="s">
        <v>11</v>
      </c>
    </row>
    <row r="3144" spans="1:8">
      <c r="A3144" t="n">
        <v>26719</v>
      </c>
      <c r="B3144" s="49" t="n">
        <v>116</v>
      </c>
      <c r="C3144" s="7" t="n">
        <v>2</v>
      </c>
      <c r="D3144" s="7" t="n">
        <v>1</v>
      </c>
    </row>
    <row r="3145" spans="1:8">
      <c r="A3145" t="s">
        <v>4</v>
      </c>
      <c r="B3145" s="4" t="s">
        <v>5</v>
      </c>
      <c r="C3145" s="4" t="s">
        <v>7</v>
      </c>
      <c r="D3145" s="4" t="s">
        <v>15</v>
      </c>
    </row>
    <row r="3146" spans="1:8">
      <c r="A3146" t="n">
        <v>26723</v>
      </c>
      <c r="B3146" s="49" t="n">
        <v>116</v>
      </c>
      <c r="C3146" s="7" t="n">
        <v>5</v>
      </c>
      <c r="D3146" s="7" t="n">
        <v>1106247680</v>
      </c>
    </row>
    <row r="3147" spans="1:8">
      <c r="A3147" t="s">
        <v>4</v>
      </c>
      <c r="B3147" s="4" t="s">
        <v>5</v>
      </c>
      <c r="C3147" s="4" t="s">
        <v>7</v>
      </c>
      <c r="D3147" s="4" t="s">
        <v>11</v>
      </c>
    </row>
    <row r="3148" spans="1:8">
      <c r="A3148" t="n">
        <v>26729</v>
      </c>
      <c r="B3148" s="49" t="n">
        <v>116</v>
      </c>
      <c r="C3148" s="7" t="n">
        <v>6</v>
      </c>
      <c r="D3148" s="7" t="n">
        <v>1</v>
      </c>
    </row>
    <row r="3149" spans="1:8">
      <c r="A3149" t="s">
        <v>4</v>
      </c>
      <c r="B3149" s="4" t="s">
        <v>5</v>
      </c>
      <c r="C3149" s="4" t="s">
        <v>7</v>
      </c>
      <c r="D3149" s="4" t="s">
        <v>7</v>
      </c>
      <c r="E3149" s="4" t="s">
        <v>13</v>
      </c>
      <c r="F3149" s="4" t="s">
        <v>13</v>
      </c>
      <c r="G3149" s="4" t="s">
        <v>13</v>
      </c>
      <c r="H3149" s="4" t="s">
        <v>11</v>
      </c>
    </row>
    <row r="3150" spans="1:8">
      <c r="A3150" t="n">
        <v>26733</v>
      </c>
      <c r="B3150" s="51" t="n">
        <v>45</v>
      </c>
      <c r="C3150" s="7" t="n">
        <v>2</v>
      </c>
      <c r="D3150" s="7" t="n">
        <v>3</v>
      </c>
      <c r="E3150" s="7" t="n">
        <v>4.53000020980835</v>
      </c>
      <c r="F3150" s="7" t="n">
        <v>1.30999994277954</v>
      </c>
      <c r="G3150" s="7" t="n">
        <v>46.2700004577637</v>
      </c>
      <c r="H3150" s="7" t="n">
        <v>0</v>
      </c>
    </row>
    <row r="3151" spans="1:8">
      <c r="A3151" t="s">
        <v>4</v>
      </c>
      <c r="B3151" s="4" t="s">
        <v>5</v>
      </c>
      <c r="C3151" s="4" t="s">
        <v>7</v>
      </c>
      <c r="D3151" s="4" t="s">
        <v>7</v>
      </c>
      <c r="E3151" s="4" t="s">
        <v>13</v>
      </c>
      <c r="F3151" s="4" t="s">
        <v>13</v>
      </c>
      <c r="G3151" s="4" t="s">
        <v>13</v>
      </c>
      <c r="H3151" s="4" t="s">
        <v>11</v>
      </c>
      <c r="I3151" s="4" t="s">
        <v>7</v>
      </c>
    </row>
    <row r="3152" spans="1:8">
      <c r="A3152" t="n">
        <v>26750</v>
      </c>
      <c r="B3152" s="51" t="n">
        <v>45</v>
      </c>
      <c r="C3152" s="7" t="n">
        <v>4</v>
      </c>
      <c r="D3152" s="7" t="n">
        <v>3</v>
      </c>
      <c r="E3152" s="7" t="n">
        <v>12.8699998855591</v>
      </c>
      <c r="F3152" s="7" t="n">
        <v>80.0199966430664</v>
      </c>
      <c r="G3152" s="7" t="n">
        <v>0</v>
      </c>
      <c r="H3152" s="7" t="n">
        <v>0</v>
      </c>
      <c r="I3152" s="7" t="n">
        <v>0</v>
      </c>
    </row>
    <row r="3153" spans="1:9">
      <c r="A3153" t="s">
        <v>4</v>
      </c>
      <c r="B3153" s="4" t="s">
        <v>5</v>
      </c>
      <c r="C3153" s="4" t="s">
        <v>7</v>
      </c>
      <c r="D3153" s="4" t="s">
        <v>7</v>
      </c>
      <c r="E3153" s="4" t="s">
        <v>13</v>
      </c>
      <c r="F3153" s="4" t="s">
        <v>11</v>
      </c>
    </row>
    <row r="3154" spans="1:9">
      <c r="A3154" t="n">
        <v>26768</v>
      </c>
      <c r="B3154" s="51" t="n">
        <v>45</v>
      </c>
      <c r="C3154" s="7" t="n">
        <v>5</v>
      </c>
      <c r="D3154" s="7" t="n">
        <v>3</v>
      </c>
      <c r="E3154" s="7" t="n">
        <v>3</v>
      </c>
      <c r="F3154" s="7" t="n">
        <v>0</v>
      </c>
    </row>
    <row r="3155" spans="1:9">
      <c r="A3155" t="s">
        <v>4</v>
      </c>
      <c r="B3155" s="4" t="s">
        <v>5</v>
      </c>
      <c r="C3155" s="4" t="s">
        <v>7</v>
      </c>
      <c r="D3155" s="4" t="s">
        <v>7</v>
      </c>
      <c r="E3155" s="4" t="s">
        <v>13</v>
      </c>
      <c r="F3155" s="4" t="s">
        <v>11</v>
      </c>
    </row>
    <row r="3156" spans="1:9">
      <c r="A3156" t="n">
        <v>26777</v>
      </c>
      <c r="B3156" s="51" t="n">
        <v>45</v>
      </c>
      <c r="C3156" s="7" t="n">
        <v>11</v>
      </c>
      <c r="D3156" s="7" t="n">
        <v>3</v>
      </c>
      <c r="E3156" s="7" t="n">
        <v>34</v>
      </c>
      <c r="F3156" s="7" t="n">
        <v>0</v>
      </c>
    </row>
    <row r="3157" spans="1:9">
      <c r="A3157" t="s">
        <v>4</v>
      </c>
      <c r="B3157" s="4" t="s">
        <v>5</v>
      </c>
      <c r="C3157" s="4" t="s">
        <v>7</v>
      </c>
      <c r="D3157" s="4" t="s">
        <v>7</v>
      </c>
      <c r="E3157" s="4" t="s">
        <v>13</v>
      </c>
      <c r="F3157" s="4" t="s">
        <v>13</v>
      </c>
      <c r="G3157" s="4" t="s">
        <v>13</v>
      </c>
      <c r="H3157" s="4" t="s">
        <v>11</v>
      </c>
    </row>
    <row r="3158" spans="1:9">
      <c r="A3158" t="n">
        <v>26786</v>
      </c>
      <c r="B3158" s="51" t="n">
        <v>45</v>
      </c>
      <c r="C3158" s="7" t="n">
        <v>2</v>
      </c>
      <c r="D3158" s="7" t="n">
        <v>3</v>
      </c>
      <c r="E3158" s="7" t="n">
        <v>4.53000020980835</v>
      </c>
      <c r="F3158" s="7" t="n">
        <v>2.30999994277954</v>
      </c>
      <c r="G3158" s="7" t="n">
        <v>46.2700004577637</v>
      </c>
      <c r="H3158" s="7" t="n">
        <v>5000</v>
      </c>
    </row>
    <row r="3159" spans="1:9">
      <c r="A3159" t="s">
        <v>4</v>
      </c>
      <c r="B3159" s="4" t="s">
        <v>5</v>
      </c>
      <c r="C3159" s="4" t="s">
        <v>7</v>
      </c>
      <c r="D3159" s="4" t="s">
        <v>11</v>
      </c>
    </row>
    <row r="3160" spans="1:9">
      <c r="A3160" t="n">
        <v>26803</v>
      </c>
      <c r="B3160" s="23" t="n">
        <v>58</v>
      </c>
      <c r="C3160" s="7" t="n">
        <v>255</v>
      </c>
      <c r="D3160" s="7" t="n">
        <v>0</v>
      </c>
    </row>
    <row r="3161" spans="1:9">
      <c r="A3161" t="s">
        <v>4</v>
      </c>
      <c r="B3161" s="4" t="s">
        <v>5</v>
      </c>
      <c r="C3161" s="4" t="s">
        <v>11</v>
      </c>
      <c r="D3161" s="4" t="s">
        <v>13</v>
      </c>
      <c r="E3161" s="4" t="s">
        <v>13</v>
      </c>
      <c r="F3161" s="4" t="s">
        <v>7</v>
      </c>
    </row>
    <row r="3162" spans="1:9">
      <c r="A3162" t="n">
        <v>26807</v>
      </c>
      <c r="B3162" s="65" t="n">
        <v>52</v>
      </c>
      <c r="C3162" s="7" t="n">
        <v>0</v>
      </c>
      <c r="D3162" s="7" t="n">
        <v>255</v>
      </c>
      <c r="E3162" s="7" t="n">
        <v>5</v>
      </c>
      <c r="F3162" s="7" t="n">
        <v>0</v>
      </c>
    </row>
    <row r="3163" spans="1:9">
      <c r="A3163" t="s">
        <v>4</v>
      </c>
      <c r="B3163" s="4" t="s">
        <v>5</v>
      </c>
      <c r="C3163" s="4" t="s">
        <v>11</v>
      </c>
    </row>
    <row r="3164" spans="1:9">
      <c r="A3164" t="n">
        <v>26819</v>
      </c>
      <c r="B3164" s="29" t="n">
        <v>16</v>
      </c>
      <c r="C3164" s="7" t="n">
        <v>100</v>
      </c>
    </row>
    <row r="3165" spans="1:9">
      <c r="A3165" t="s">
        <v>4</v>
      </c>
      <c r="B3165" s="4" t="s">
        <v>5</v>
      </c>
      <c r="C3165" s="4" t="s">
        <v>11</v>
      </c>
      <c r="D3165" s="4" t="s">
        <v>13</v>
      </c>
      <c r="E3165" s="4" t="s">
        <v>13</v>
      </c>
      <c r="F3165" s="4" t="s">
        <v>7</v>
      </c>
    </row>
    <row r="3166" spans="1:9">
      <c r="A3166" t="n">
        <v>26822</v>
      </c>
      <c r="B3166" s="65" t="n">
        <v>52</v>
      </c>
      <c r="C3166" s="7" t="n">
        <v>1</v>
      </c>
      <c r="D3166" s="7" t="n">
        <v>255</v>
      </c>
      <c r="E3166" s="7" t="n">
        <v>5</v>
      </c>
      <c r="F3166" s="7" t="n">
        <v>0</v>
      </c>
    </row>
    <row r="3167" spans="1:9">
      <c r="A3167" t="s">
        <v>4</v>
      </c>
      <c r="B3167" s="4" t="s">
        <v>5</v>
      </c>
      <c r="C3167" s="4" t="s">
        <v>11</v>
      </c>
    </row>
    <row r="3168" spans="1:9">
      <c r="A3168" t="n">
        <v>26834</v>
      </c>
      <c r="B3168" s="66" t="n">
        <v>54</v>
      </c>
      <c r="C3168" s="7" t="n">
        <v>0</v>
      </c>
    </row>
    <row r="3169" spans="1:8">
      <c r="A3169" t="s">
        <v>4</v>
      </c>
      <c r="B3169" s="4" t="s">
        <v>5</v>
      </c>
      <c r="C3169" s="4" t="s">
        <v>11</v>
      </c>
      <c r="D3169" s="4" t="s">
        <v>11</v>
      </c>
      <c r="E3169" s="4" t="s">
        <v>13</v>
      </c>
      <c r="F3169" s="4" t="s">
        <v>13</v>
      </c>
      <c r="G3169" s="4" t="s">
        <v>13</v>
      </c>
      <c r="H3169" s="4" t="s">
        <v>13</v>
      </c>
      <c r="I3169" s="4" t="s">
        <v>7</v>
      </c>
      <c r="J3169" s="4" t="s">
        <v>11</v>
      </c>
    </row>
    <row r="3170" spans="1:8">
      <c r="A3170" t="n">
        <v>26837</v>
      </c>
      <c r="B3170" s="53" t="n">
        <v>55</v>
      </c>
      <c r="C3170" s="7" t="n">
        <v>0</v>
      </c>
      <c r="D3170" s="7" t="n">
        <v>65024</v>
      </c>
      <c r="E3170" s="7" t="n">
        <v>0</v>
      </c>
      <c r="F3170" s="7" t="n">
        <v>0</v>
      </c>
      <c r="G3170" s="7" t="n">
        <v>6</v>
      </c>
      <c r="H3170" s="7" t="n">
        <v>1.20000004768372</v>
      </c>
      <c r="I3170" s="7" t="n">
        <v>1</v>
      </c>
      <c r="J3170" s="7" t="n">
        <v>0</v>
      </c>
    </row>
    <row r="3171" spans="1:8">
      <c r="A3171" t="s">
        <v>4</v>
      </c>
      <c r="B3171" s="4" t="s">
        <v>5</v>
      </c>
      <c r="C3171" s="4" t="s">
        <v>11</v>
      </c>
    </row>
    <row r="3172" spans="1:8">
      <c r="A3172" t="n">
        <v>26861</v>
      </c>
      <c r="B3172" s="66" t="n">
        <v>54</v>
      </c>
      <c r="C3172" s="7" t="n">
        <v>1</v>
      </c>
    </row>
    <row r="3173" spans="1:8">
      <c r="A3173" t="s">
        <v>4</v>
      </c>
      <c r="B3173" s="4" t="s">
        <v>5</v>
      </c>
      <c r="C3173" s="4" t="s">
        <v>11</v>
      </c>
    </row>
    <row r="3174" spans="1:8">
      <c r="A3174" t="n">
        <v>26864</v>
      </c>
      <c r="B3174" s="29" t="n">
        <v>16</v>
      </c>
      <c r="C3174" s="7" t="n">
        <v>200</v>
      </c>
    </row>
    <row r="3175" spans="1:8">
      <c r="A3175" t="s">
        <v>4</v>
      </c>
      <c r="B3175" s="4" t="s">
        <v>5</v>
      </c>
      <c r="C3175" s="4" t="s">
        <v>11</v>
      </c>
      <c r="D3175" s="4" t="s">
        <v>11</v>
      </c>
      <c r="E3175" s="4" t="s">
        <v>13</v>
      </c>
      <c r="F3175" s="4" t="s">
        <v>13</v>
      </c>
      <c r="G3175" s="4" t="s">
        <v>13</v>
      </c>
      <c r="H3175" s="4" t="s">
        <v>13</v>
      </c>
      <c r="I3175" s="4" t="s">
        <v>7</v>
      </c>
      <c r="J3175" s="4" t="s">
        <v>11</v>
      </c>
    </row>
    <row r="3176" spans="1:8">
      <c r="A3176" t="n">
        <v>26867</v>
      </c>
      <c r="B3176" s="53" t="n">
        <v>55</v>
      </c>
      <c r="C3176" s="7" t="n">
        <v>1</v>
      </c>
      <c r="D3176" s="7" t="n">
        <v>65024</v>
      </c>
      <c r="E3176" s="7" t="n">
        <v>0</v>
      </c>
      <c r="F3176" s="7" t="n">
        <v>0</v>
      </c>
      <c r="G3176" s="7" t="n">
        <v>6</v>
      </c>
      <c r="H3176" s="7" t="n">
        <v>1.20000004768372</v>
      </c>
      <c r="I3176" s="7" t="n">
        <v>1</v>
      </c>
      <c r="J3176" s="7" t="n">
        <v>0</v>
      </c>
    </row>
    <row r="3177" spans="1:8">
      <c r="A3177" t="s">
        <v>4</v>
      </c>
      <c r="B3177" s="4" t="s">
        <v>5</v>
      </c>
      <c r="C3177" s="4" t="s">
        <v>11</v>
      </c>
    </row>
    <row r="3178" spans="1:8">
      <c r="A3178" t="n">
        <v>26891</v>
      </c>
      <c r="B3178" s="29" t="n">
        <v>16</v>
      </c>
      <c r="C3178" s="7" t="n">
        <v>2000</v>
      </c>
    </row>
    <row r="3179" spans="1:8">
      <c r="A3179" t="s">
        <v>4</v>
      </c>
      <c r="B3179" s="4" t="s">
        <v>5</v>
      </c>
      <c r="C3179" s="4" t="s">
        <v>7</v>
      </c>
      <c r="D3179" s="4" t="s">
        <v>11</v>
      </c>
      <c r="E3179" s="4" t="s">
        <v>13</v>
      </c>
    </row>
    <row r="3180" spans="1:8">
      <c r="A3180" t="n">
        <v>26894</v>
      </c>
      <c r="B3180" s="23" t="n">
        <v>58</v>
      </c>
      <c r="C3180" s="7" t="n">
        <v>0</v>
      </c>
      <c r="D3180" s="7" t="n">
        <v>1000</v>
      </c>
      <c r="E3180" s="7" t="n">
        <v>1</v>
      </c>
    </row>
    <row r="3181" spans="1:8">
      <c r="A3181" t="s">
        <v>4</v>
      </c>
      <c r="B3181" s="4" t="s">
        <v>5</v>
      </c>
      <c r="C3181" s="4" t="s">
        <v>7</v>
      </c>
      <c r="D3181" s="4" t="s">
        <v>11</v>
      </c>
    </row>
    <row r="3182" spans="1:8">
      <c r="A3182" t="n">
        <v>26902</v>
      </c>
      <c r="B3182" s="23" t="n">
        <v>58</v>
      </c>
      <c r="C3182" s="7" t="n">
        <v>255</v>
      </c>
      <c r="D3182" s="7" t="n">
        <v>0</v>
      </c>
    </row>
    <row r="3183" spans="1:8">
      <c r="A3183" t="s">
        <v>4</v>
      </c>
      <c r="B3183" s="4" t="s">
        <v>5</v>
      </c>
      <c r="C3183" s="4" t="s">
        <v>11</v>
      </c>
      <c r="D3183" s="4" t="s">
        <v>7</v>
      </c>
    </row>
    <row r="3184" spans="1:8">
      <c r="A3184" t="n">
        <v>26906</v>
      </c>
      <c r="B3184" s="54" t="n">
        <v>56</v>
      </c>
      <c r="C3184" s="7" t="n">
        <v>0</v>
      </c>
      <c r="D3184" s="7" t="n">
        <v>1</v>
      </c>
    </row>
    <row r="3185" spans="1:10">
      <c r="A3185" t="s">
        <v>4</v>
      </c>
      <c r="B3185" s="4" t="s">
        <v>5</v>
      </c>
      <c r="C3185" s="4" t="s">
        <v>11</v>
      </c>
      <c r="D3185" s="4" t="s">
        <v>7</v>
      </c>
    </row>
    <row r="3186" spans="1:10">
      <c r="A3186" t="n">
        <v>26910</v>
      </c>
      <c r="B3186" s="54" t="n">
        <v>56</v>
      </c>
      <c r="C3186" s="7" t="n">
        <v>1</v>
      </c>
      <c r="D3186" s="7" t="n">
        <v>1</v>
      </c>
    </row>
    <row r="3187" spans="1:10">
      <c r="A3187" t="s">
        <v>4</v>
      </c>
      <c r="B3187" s="4" t="s">
        <v>5</v>
      </c>
      <c r="C3187" s="4" t="s">
        <v>11</v>
      </c>
      <c r="D3187" s="4" t="s">
        <v>13</v>
      </c>
      <c r="E3187" s="4" t="s">
        <v>13</v>
      </c>
      <c r="F3187" s="4" t="s">
        <v>13</v>
      </c>
      <c r="G3187" s="4" t="s">
        <v>13</v>
      </c>
    </row>
    <row r="3188" spans="1:10">
      <c r="A3188" t="n">
        <v>26914</v>
      </c>
      <c r="B3188" s="36" t="n">
        <v>46</v>
      </c>
      <c r="C3188" s="7" t="n">
        <v>0</v>
      </c>
      <c r="D3188" s="7" t="n">
        <v>-2.77999997138977</v>
      </c>
      <c r="E3188" s="7" t="n">
        <v>10.0100002288818</v>
      </c>
      <c r="F3188" s="7" t="n">
        <v>47.6399993896484</v>
      </c>
      <c r="G3188" s="7" t="n">
        <v>96</v>
      </c>
    </row>
    <row r="3189" spans="1:10">
      <c r="A3189" t="s">
        <v>4</v>
      </c>
      <c r="B3189" s="4" t="s">
        <v>5</v>
      </c>
      <c r="C3189" s="4" t="s">
        <v>11</v>
      </c>
      <c r="D3189" s="4" t="s">
        <v>13</v>
      </c>
      <c r="E3189" s="4" t="s">
        <v>13</v>
      </c>
      <c r="F3189" s="4" t="s">
        <v>13</v>
      </c>
      <c r="G3189" s="4" t="s">
        <v>13</v>
      </c>
    </row>
    <row r="3190" spans="1:10">
      <c r="A3190" t="n">
        <v>26933</v>
      </c>
      <c r="B3190" s="36" t="n">
        <v>46</v>
      </c>
      <c r="C3190" s="7" t="n">
        <v>1</v>
      </c>
      <c r="D3190" s="7" t="n">
        <v>-1.98000001907349</v>
      </c>
      <c r="E3190" s="7" t="n">
        <v>10.0100002288818</v>
      </c>
      <c r="F3190" s="7" t="n">
        <v>48.060001373291</v>
      </c>
      <c r="G3190" s="7" t="n">
        <v>90.1999969482422</v>
      </c>
    </row>
    <row r="3191" spans="1:10">
      <c r="A3191" t="s">
        <v>4</v>
      </c>
      <c r="B3191" s="4" t="s">
        <v>5</v>
      </c>
      <c r="C3191" s="4" t="s">
        <v>11</v>
      </c>
      <c r="D3191" s="4" t="s">
        <v>11</v>
      </c>
      <c r="E3191" s="4" t="s">
        <v>11</v>
      </c>
    </row>
    <row r="3192" spans="1:10">
      <c r="A3192" t="n">
        <v>26952</v>
      </c>
      <c r="B3192" s="72" t="n">
        <v>61</v>
      </c>
      <c r="C3192" s="7" t="n">
        <v>0</v>
      </c>
      <c r="D3192" s="7" t="n">
        <v>65533</v>
      </c>
      <c r="E3192" s="7" t="n">
        <v>0</v>
      </c>
    </row>
    <row r="3193" spans="1:10">
      <c r="A3193" t="s">
        <v>4</v>
      </c>
      <c r="B3193" s="4" t="s">
        <v>5</v>
      </c>
      <c r="C3193" s="4" t="s">
        <v>11</v>
      </c>
      <c r="D3193" s="4" t="s">
        <v>11</v>
      </c>
      <c r="E3193" s="4" t="s">
        <v>11</v>
      </c>
    </row>
    <row r="3194" spans="1:10">
      <c r="A3194" t="n">
        <v>26959</v>
      </c>
      <c r="B3194" s="72" t="n">
        <v>61</v>
      </c>
      <c r="C3194" s="7" t="n">
        <v>1</v>
      </c>
      <c r="D3194" s="7" t="n">
        <v>65533</v>
      </c>
      <c r="E3194" s="7" t="n">
        <v>0</v>
      </c>
    </row>
    <row r="3195" spans="1:10">
      <c r="A3195" t="s">
        <v>4</v>
      </c>
      <c r="B3195" s="4" t="s">
        <v>5</v>
      </c>
      <c r="C3195" s="4" t="s">
        <v>7</v>
      </c>
      <c r="D3195" s="4" t="s">
        <v>7</v>
      </c>
      <c r="E3195" s="4" t="s">
        <v>13</v>
      </c>
      <c r="F3195" s="4" t="s">
        <v>13</v>
      </c>
      <c r="G3195" s="4" t="s">
        <v>13</v>
      </c>
      <c r="H3195" s="4" t="s">
        <v>11</v>
      </c>
    </row>
    <row r="3196" spans="1:10">
      <c r="A3196" t="n">
        <v>26966</v>
      </c>
      <c r="B3196" s="51" t="n">
        <v>45</v>
      </c>
      <c r="C3196" s="7" t="n">
        <v>2</v>
      </c>
      <c r="D3196" s="7" t="n">
        <v>3</v>
      </c>
      <c r="E3196" s="7" t="n">
        <v>3.94000005722046</v>
      </c>
      <c r="F3196" s="7" t="n">
        <v>11.8299999237061</v>
      </c>
      <c r="G3196" s="7" t="n">
        <v>48.8800010681152</v>
      </c>
      <c r="H3196" s="7" t="n">
        <v>0</v>
      </c>
    </row>
    <row r="3197" spans="1:10">
      <c r="A3197" t="s">
        <v>4</v>
      </c>
      <c r="B3197" s="4" t="s">
        <v>5</v>
      </c>
      <c r="C3197" s="4" t="s">
        <v>7</v>
      </c>
      <c r="D3197" s="4" t="s">
        <v>7</v>
      </c>
      <c r="E3197" s="4" t="s">
        <v>13</v>
      </c>
      <c r="F3197" s="4" t="s">
        <v>13</v>
      </c>
      <c r="G3197" s="4" t="s">
        <v>13</v>
      </c>
      <c r="H3197" s="4" t="s">
        <v>11</v>
      </c>
      <c r="I3197" s="4" t="s">
        <v>7</v>
      </c>
    </row>
    <row r="3198" spans="1:10">
      <c r="A3198" t="n">
        <v>26983</v>
      </c>
      <c r="B3198" s="51" t="n">
        <v>45</v>
      </c>
      <c r="C3198" s="7" t="n">
        <v>4</v>
      </c>
      <c r="D3198" s="7" t="n">
        <v>3</v>
      </c>
      <c r="E3198" s="7" t="n">
        <v>356.399993896484</v>
      </c>
      <c r="F3198" s="7" t="n">
        <v>282.329986572266</v>
      </c>
      <c r="G3198" s="7" t="n">
        <v>0</v>
      </c>
      <c r="H3198" s="7" t="n">
        <v>0</v>
      </c>
      <c r="I3198" s="7" t="n">
        <v>0</v>
      </c>
    </row>
    <row r="3199" spans="1:10">
      <c r="A3199" t="s">
        <v>4</v>
      </c>
      <c r="B3199" s="4" t="s">
        <v>5</v>
      </c>
      <c r="C3199" s="4" t="s">
        <v>7</v>
      </c>
      <c r="D3199" s="4" t="s">
        <v>7</v>
      </c>
      <c r="E3199" s="4" t="s">
        <v>13</v>
      </c>
      <c r="F3199" s="4" t="s">
        <v>11</v>
      </c>
    </row>
    <row r="3200" spans="1:10">
      <c r="A3200" t="n">
        <v>27001</v>
      </c>
      <c r="B3200" s="51" t="n">
        <v>45</v>
      </c>
      <c r="C3200" s="7" t="n">
        <v>5</v>
      </c>
      <c r="D3200" s="7" t="n">
        <v>3</v>
      </c>
      <c r="E3200" s="7" t="n">
        <v>4.40000009536743</v>
      </c>
      <c r="F3200" s="7" t="n">
        <v>0</v>
      </c>
    </row>
    <row r="3201" spans="1:9">
      <c r="A3201" t="s">
        <v>4</v>
      </c>
      <c r="B3201" s="4" t="s">
        <v>5</v>
      </c>
      <c r="C3201" s="4" t="s">
        <v>7</v>
      </c>
      <c r="D3201" s="4" t="s">
        <v>7</v>
      </c>
      <c r="E3201" s="4" t="s">
        <v>13</v>
      </c>
      <c r="F3201" s="4" t="s">
        <v>11</v>
      </c>
    </row>
    <row r="3202" spans="1:9">
      <c r="A3202" t="n">
        <v>27010</v>
      </c>
      <c r="B3202" s="51" t="n">
        <v>45</v>
      </c>
      <c r="C3202" s="7" t="n">
        <v>11</v>
      </c>
      <c r="D3202" s="7" t="n">
        <v>3</v>
      </c>
      <c r="E3202" s="7" t="n">
        <v>34</v>
      </c>
      <c r="F3202" s="7" t="n">
        <v>0</v>
      </c>
    </row>
    <row r="3203" spans="1:9">
      <c r="A3203" t="s">
        <v>4</v>
      </c>
      <c r="B3203" s="4" t="s">
        <v>5</v>
      </c>
      <c r="C3203" s="4" t="s">
        <v>7</v>
      </c>
      <c r="D3203" s="4" t="s">
        <v>7</v>
      </c>
      <c r="E3203" s="4" t="s">
        <v>13</v>
      </c>
      <c r="F3203" s="4" t="s">
        <v>13</v>
      </c>
      <c r="G3203" s="4" t="s">
        <v>13</v>
      </c>
      <c r="H3203" s="4" t="s">
        <v>11</v>
      </c>
    </row>
    <row r="3204" spans="1:9">
      <c r="A3204" t="n">
        <v>27019</v>
      </c>
      <c r="B3204" s="51" t="n">
        <v>45</v>
      </c>
      <c r="C3204" s="7" t="n">
        <v>2</v>
      </c>
      <c r="D3204" s="7" t="n">
        <v>3</v>
      </c>
      <c r="E3204" s="7" t="n">
        <v>-1.36000001430511</v>
      </c>
      <c r="F3204" s="7" t="n">
        <v>11.1700000762939</v>
      </c>
      <c r="G3204" s="7" t="n">
        <v>47.4199981689453</v>
      </c>
      <c r="H3204" s="7" t="n">
        <v>6000</v>
      </c>
    </row>
    <row r="3205" spans="1:9">
      <c r="A3205" t="s">
        <v>4</v>
      </c>
      <c r="B3205" s="4" t="s">
        <v>5</v>
      </c>
      <c r="C3205" s="4" t="s">
        <v>7</v>
      </c>
      <c r="D3205" s="4" t="s">
        <v>7</v>
      </c>
      <c r="E3205" s="4" t="s">
        <v>13</v>
      </c>
      <c r="F3205" s="4" t="s">
        <v>13</v>
      </c>
      <c r="G3205" s="4" t="s">
        <v>13</v>
      </c>
      <c r="H3205" s="4" t="s">
        <v>11</v>
      </c>
      <c r="I3205" s="4" t="s">
        <v>7</v>
      </c>
    </row>
    <row r="3206" spans="1:9">
      <c r="A3206" t="n">
        <v>27036</v>
      </c>
      <c r="B3206" s="51" t="n">
        <v>45</v>
      </c>
      <c r="C3206" s="7" t="n">
        <v>4</v>
      </c>
      <c r="D3206" s="7" t="n">
        <v>3</v>
      </c>
      <c r="E3206" s="7" t="n">
        <v>358.589996337891</v>
      </c>
      <c r="F3206" s="7" t="n">
        <v>319.309997558594</v>
      </c>
      <c r="G3206" s="7" t="n">
        <v>0</v>
      </c>
      <c r="H3206" s="7" t="n">
        <v>6000</v>
      </c>
      <c r="I3206" s="7" t="n">
        <v>1</v>
      </c>
    </row>
    <row r="3207" spans="1:9">
      <c r="A3207" t="s">
        <v>4</v>
      </c>
      <c r="B3207" s="4" t="s">
        <v>5</v>
      </c>
      <c r="C3207" s="4" t="s">
        <v>7</v>
      </c>
      <c r="D3207" s="4" t="s">
        <v>7</v>
      </c>
      <c r="E3207" s="4" t="s">
        <v>13</v>
      </c>
      <c r="F3207" s="4" t="s">
        <v>11</v>
      </c>
    </row>
    <row r="3208" spans="1:9">
      <c r="A3208" t="n">
        <v>27054</v>
      </c>
      <c r="B3208" s="51" t="n">
        <v>45</v>
      </c>
      <c r="C3208" s="7" t="n">
        <v>5</v>
      </c>
      <c r="D3208" s="7" t="n">
        <v>3</v>
      </c>
      <c r="E3208" s="7" t="n">
        <v>3.59999990463257</v>
      </c>
      <c r="F3208" s="7" t="n">
        <v>6000</v>
      </c>
    </row>
    <row r="3209" spans="1:9">
      <c r="A3209" t="s">
        <v>4</v>
      </c>
      <c r="B3209" s="4" t="s">
        <v>5</v>
      </c>
      <c r="C3209" s="4" t="s">
        <v>7</v>
      </c>
      <c r="D3209" s="4" t="s">
        <v>11</v>
      </c>
      <c r="E3209" s="4" t="s">
        <v>13</v>
      </c>
    </row>
    <row r="3210" spans="1:9">
      <c r="A3210" t="n">
        <v>27063</v>
      </c>
      <c r="B3210" s="23" t="n">
        <v>58</v>
      </c>
      <c r="C3210" s="7" t="n">
        <v>100</v>
      </c>
      <c r="D3210" s="7" t="n">
        <v>1000</v>
      </c>
      <c r="E3210" s="7" t="n">
        <v>1</v>
      </c>
    </row>
    <row r="3211" spans="1:9">
      <c r="A3211" t="s">
        <v>4</v>
      </c>
      <c r="B3211" s="4" t="s">
        <v>5</v>
      </c>
      <c r="C3211" s="4" t="s">
        <v>7</v>
      </c>
      <c r="D3211" s="4" t="s">
        <v>11</v>
      </c>
    </row>
    <row r="3212" spans="1:9">
      <c r="A3212" t="n">
        <v>27071</v>
      </c>
      <c r="B3212" s="23" t="n">
        <v>58</v>
      </c>
      <c r="C3212" s="7" t="n">
        <v>255</v>
      </c>
      <c r="D3212" s="7" t="n">
        <v>0</v>
      </c>
    </row>
    <row r="3213" spans="1:9">
      <c r="A3213" t="s">
        <v>4</v>
      </c>
      <c r="B3213" s="4" t="s">
        <v>5</v>
      </c>
      <c r="C3213" s="4" t="s">
        <v>8</v>
      </c>
      <c r="D3213" s="4" t="s">
        <v>8</v>
      </c>
    </row>
    <row r="3214" spans="1:9">
      <c r="A3214" t="n">
        <v>27075</v>
      </c>
      <c r="B3214" s="52" t="n">
        <v>70</v>
      </c>
      <c r="C3214" s="7" t="s">
        <v>303</v>
      </c>
      <c r="D3214" s="7" t="s">
        <v>109</v>
      </c>
    </row>
    <row r="3215" spans="1:9">
      <c r="A3215" t="s">
        <v>4</v>
      </c>
      <c r="B3215" s="4" t="s">
        <v>5</v>
      </c>
      <c r="C3215" s="4" t="s">
        <v>11</v>
      </c>
    </row>
    <row r="3216" spans="1:9">
      <c r="A3216" t="n">
        <v>27092</v>
      </c>
      <c r="B3216" s="29" t="n">
        <v>16</v>
      </c>
      <c r="C3216" s="7" t="n">
        <v>2000</v>
      </c>
    </row>
    <row r="3217" spans="1:9">
      <c r="A3217" t="s">
        <v>4</v>
      </c>
      <c r="B3217" s="4" t="s">
        <v>5</v>
      </c>
      <c r="C3217" s="4" t="s">
        <v>11</v>
      </c>
      <c r="D3217" s="4" t="s">
        <v>7</v>
      </c>
      <c r="E3217" s="4" t="s">
        <v>13</v>
      </c>
      <c r="F3217" s="4" t="s">
        <v>11</v>
      </c>
    </row>
    <row r="3218" spans="1:9">
      <c r="A3218" t="n">
        <v>27095</v>
      </c>
      <c r="B3218" s="56" t="n">
        <v>59</v>
      </c>
      <c r="C3218" s="7" t="n">
        <v>1</v>
      </c>
      <c r="D3218" s="7" t="n">
        <v>9</v>
      </c>
      <c r="E3218" s="7" t="n">
        <v>0.150000005960464</v>
      </c>
      <c r="F3218" s="7" t="n">
        <v>0</v>
      </c>
    </row>
    <row r="3219" spans="1:9">
      <c r="A3219" t="s">
        <v>4</v>
      </c>
      <c r="B3219" s="4" t="s">
        <v>5</v>
      </c>
      <c r="C3219" s="4" t="s">
        <v>11</v>
      </c>
      <c r="D3219" s="4" t="s">
        <v>13</v>
      </c>
      <c r="E3219" s="4" t="s">
        <v>13</v>
      </c>
      <c r="F3219" s="4" t="s">
        <v>13</v>
      </c>
      <c r="G3219" s="4" t="s">
        <v>11</v>
      </c>
      <c r="H3219" s="4" t="s">
        <v>11</v>
      </c>
    </row>
    <row r="3220" spans="1:9">
      <c r="A3220" t="n">
        <v>27105</v>
      </c>
      <c r="B3220" s="37" t="n">
        <v>60</v>
      </c>
      <c r="C3220" s="7" t="n">
        <v>1</v>
      </c>
      <c r="D3220" s="7" t="n">
        <v>-45</v>
      </c>
      <c r="E3220" s="7" t="n">
        <v>0</v>
      </c>
      <c r="F3220" s="7" t="n">
        <v>0</v>
      </c>
      <c r="G3220" s="7" t="n">
        <v>1000</v>
      </c>
      <c r="H3220" s="7" t="n">
        <v>0</v>
      </c>
    </row>
    <row r="3221" spans="1:9">
      <c r="A3221" t="s">
        <v>4</v>
      </c>
      <c r="B3221" s="4" t="s">
        <v>5</v>
      </c>
      <c r="C3221" s="4" t="s">
        <v>11</v>
      </c>
    </row>
    <row r="3222" spans="1:9">
      <c r="A3222" t="n">
        <v>27124</v>
      </c>
      <c r="B3222" s="29" t="n">
        <v>16</v>
      </c>
      <c r="C3222" s="7" t="n">
        <v>1000</v>
      </c>
    </row>
    <row r="3223" spans="1:9">
      <c r="A3223" t="s">
        <v>4</v>
      </c>
      <c r="B3223" s="4" t="s">
        <v>5</v>
      </c>
      <c r="C3223" s="4" t="s">
        <v>11</v>
      </c>
      <c r="D3223" s="4" t="s">
        <v>13</v>
      </c>
      <c r="E3223" s="4" t="s">
        <v>13</v>
      </c>
      <c r="F3223" s="4" t="s">
        <v>13</v>
      </c>
      <c r="G3223" s="4" t="s">
        <v>11</v>
      </c>
      <c r="H3223" s="4" t="s">
        <v>11</v>
      </c>
    </row>
    <row r="3224" spans="1:9">
      <c r="A3224" t="n">
        <v>27127</v>
      </c>
      <c r="B3224" s="37" t="n">
        <v>60</v>
      </c>
      <c r="C3224" s="7" t="n">
        <v>1</v>
      </c>
      <c r="D3224" s="7" t="n">
        <v>45</v>
      </c>
      <c r="E3224" s="7" t="n">
        <v>0</v>
      </c>
      <c r="F3224" s="7" t="n">
        <v>0</v>
      </c>
      <c r="G3224" s="7" t="n">
        <v>1000</v>
      </c>
      <c r="H3224" s="7" t="n">
        <v>0</v>
      </c>
    </row>
    <row r="3225" spans="1:9">
      <c r="A3225" t="s">
        <v>4</v>
      </c>
      <c r="B3225" s="4" t="s">
        <v>5</v>
      </c>
      <c r="C3225" s="4" t="s">
        <v>11</v>
      </c>
    </row>
    <row r="3226" spans="1:9">
      <c r="A3226" t="n">
        <v>27146</v>
      </c>
      <c r="B3226" s="29" t="n">
        <v>16</v>
      </c>
      <c r="C3226" s="7" t="n">
        <v>1000</v>
      </c>
    </row>
    <row r="3227" spans="1:9">
      <c r="A3227" t="s">
        <v>4</v>
      </c>
      <c r="B3227" s="4" t="s">
        <v>5</v>
      </c>
      <c r="C3227" s="4" t="s">
        <v>11</v>
      </c>
      <c r="D3227" s="4" t="s">
        <v>13</v>
      </c>
      <c r="E3227" s="4" t="s">
        <v>13</v>
      </c>
      <c r="F3227" s="4" t="s">
        <v>13</v>
      </c>
      <c r="G3227" s="4" t="s">
        <v>11</v>
      </c>
      <c r="H3227" s="4" t="s">
        <v>11</v>
      </c>
    </row>
    <row r="3228" spans="1:9">
      <c r="A3228" t="n">
        <v>27149</v>
      </c>
      <c r="B3228" s="37" t="n">
        <v>60</v>
      </c>
      <c r="C3228" s="7" t="n">
        <v>1</v>
      </c>
      <c r="D3228" s="7" t="n">
        <v>0</v>
      </c>
      <c r="E3228" s="7" t="n">
        <v>0</v>
      </c>
      <c r="F3228" s="7" t="n">
        <v>0</v>
      </c>
      <c r="G3228" s="7" t="n">
        <v>500</v>
      </c>
      <c r="H3228" s="7" t="n">
        <v>0</v>
      </c>
    </row>
    <row r="3229" spans="1:9">
      <c r="A3229" t="s">
        <v>4</v>
      </c>
      <c r="B3229" s="4" t="s">
        <v>5</v>
      </c>
      <c r="C3229" s="4" t="s">
        <v>11</v>
      </c>
    </row>
    <row r="3230" spans="1:9">
      <c r="A3230" t="n">
        <v>27168</v>
      </c>
      <c r="B3230" s="29" t="n">
        <v>16</v>
      </c>
      <c r="C3230" s="7" t="n">
        <v>1000</v>
      </c>
    </row>
    <row r="3231" spans="1:9">
      <c r="A3231" t="s">
        <v>4</v>
      </c>
      <c r="B3231" s="4" t="s">
        <v>5</v>
      </c>
      <c r="C3231" s="4" t="s">
        <v>7</v>
      </c>
      <c r="D3231" s="4" t="s">
        <v>11</v>
      </c>
    </row>
    <row r="3232" spans="1:9">
      <c r="A3232" t="n">
        <v>27171</v>
      </c>
      <c r="B3232" s="51" t="n">
        <v>45</v>
      </c>
      <c r="C3232" s="7" t="n">
        <v>7</v>
      </c>
      <c r="D3232" s="7" t="n">
        <v>255</v>
      </c>
    </row>
    <row r="3233" spans="1:8">
      <c r="A3233" t="s">
        <v>4</v>
      </c>
      <c r="B3233" s="4" t="s">
        <v>5</v>
      </c>
      <c r="C3233" s="4" t="s">
        <v>7</v>
      </c>
      <c r="D3233" s="4" t="s">
        <v>11</v>
      </c>
      <c r="E3233" s="4" t="s">
        <v>13</v>
      </c>
    </row>
    <row r="3234" spans="1:8">
      <c r="A3234" t="n">
        <v>27175</v>
      </c>
      <c r="B3234" s="23" t="n">
        <v>58</v>
      </c>
      <c r="C3234" s="7" t="n">
        <v>0</v>
      </c>
      <c r="D3234" s="7" t="n">
        <v>1000</v>
      </c>
      <c r="E3234" s="7" t="n">
        <v>1</v>
      </c>
    </row>
    <row r="3235" spans="1:8">
      <c r="A3235" t="s">
        <v>4</v>
      </c>
      <c r="B3235" s="4" t="s">
        <v>5</v>
      </c>
      <c r="C3235" s="4" t="s">
        <v>7</v>
      </c>
      <c r="D3235" s="4" t="s">
        <v>11</v>
      </c>
    </row>
    <row r="3236" spans="1:8">
      <c r="A3236" t="n">
        <v>27183</v>
      </c>
      <c r="B3236" s="23" t="n">
        <v>58</v>
      </c>
      <c r="C3236" s="7" t="n">
        <v>255</v>
      </c>
      <c r="D3236" s="7" t="n">
        <v>0</v>
      </c>
    </row>
    <row r="3237" spans="1:8">
      <c r="A3237" t="s">
        <v>4</v>
      </c>
      <c r="B3237" s="4" t="s">
        <v>5</v>
      </c>
      <c r="C3237" s="4" t="s">
        <v>11</v>
      </c>
      <c r="D3237" s="4" t="s">
        <v>11</v>
      </c>
      <c r="E3237" s="4" t="s">
        <v>11</v>
      </c>
    </row>
    <row r="3238" spans="1:8">
      <c r="A3238" t="n">
        <v>27187</v>
      </c>
      <c r="B3238" s="72" t="n">
        <v>61</v>
      </c>
      <c r="C3238" s="7" t="n">
        <v>0</v>
      </c>
      <c r="D3238" s="7" t="n">
        <v>65533</v>
      </c>
      <c r="E3238" s="7" t="n">
        <v>1000</v>
      </c>
    </row>
    <row r="3239" spans="1:8">
      <c r="A3239" t="s">
        <v>4</v>
      </c>
      <c r="B3239" s="4" t="s">
        <v>5</v>
      </c>
      <c r="C3239" s="4" t="s">
        <v>11</v>
      </c>
      <c r="D3239" s="4" t="s">
        <v>11</v>
      </c>
      <c r="E3239" s="4" t="s">
        <v>11</v>
      </c>
    </row>
    <row r="3240" spans="1:8">
      <c r="A3240" t="n">
        <v>27194</v>
      </c>
      <c r="B3240" s="72" t="n">
        <v>61</v>
      </c>
      <c r="C3240" s="7" t="n">
        <v>1</v>
      </c>
      <c r="D3240" s="7" t="n">
        <v>65533</v>
      </c>
      <c r="E3240" s="7" t="n">
        <v>1000</v>
      </c>
    </row>
    <row r="3241" spans="1:8">
      <c r="A3241" t="s">
        <v>4</v>
      </c>
      <c r="B3241" s="4" t="s">
        <v>5</v>
      </c>
      <c r="C3241" s="4" t="s">
        <v>11</v>
      </c>
      <c r="D3241" s="4" t="s">
        <v>13</v>
      </c>
      <c r="E3241" s="4" t="s">
        <v>13</v>
      </c>
      <c r="F3241" s="4" t="s">
        <v>13</v>
      </c>
      <c r="G3241" s="4" t="s">
        <v>13</v>
      </c>
    </row>
    <row r="3242" spans="1:8">
      <c r="A3242" t="n">
        <v>27201</v>
      </c>
      <c r="B3242" s="36" t="n">
        <v>46</v>
      </c>
      <c r="C3242" s="7" t="n">
        <v>0</v>
      </c>
      <c r="D3242" s="7" t="n">
        <v>-2.66000008583069</v>
      </c>
      <c r="E3242" s="7" t="n">
        <v>5.01000022888184</v>
      </c>
      <c r="F3242" s="7" t="n">
        <v>32.189998626709</v>
      </c>
      <c r="G3242" s="7" t="n">
        <v>90</v>
      </c>
    </row>
    <row r="3243" spans="1:8">
      <c r="A3243" t="s">
        <v>4</v>
      </c>
      <c r="B3243" s="4" t="s">
        <v>5</v>
      </c>
      <c r="C3243" s="4" t="s">
        <v>11</v>
      </c>
      <c r="D3243" s="4" t="s">
        <v>13</v>
      </c>
      <c r="E3243" s="4" t="s">
        <v>13</v>
      </c>
      <c r="F3243" s="4" t="s">
        <v>13</v>
      </c>
      <c r="G3243" s="4" t="s">
        <v>13</v>
      </c>
    </row>
    <row r="3244" spans="1:8">
      <c r="A3244" t="n">
        <v>27220</v>
      </c>
      <c r="B3244" s="36" t="n">
        <v>46</v>
      </c>
      <c r="C3244" s="7" t="n">
        <v>1</v>
      </c>
      <c r="D3244" s="7" t="n">
        <v>-3.16000008583069</v>
      </c>
      <c r="E3244" s="7" t="n">
        <v>5.01000022888184</v>
      </c>
      <c r="F3244" s="7" t="n">
        <v>31.7900009155273</v>
      </c>
      <c r="G3244" s="7" t="n">
        <v>90</v>
      </c>
    </row>
    <row r="3245" spans="1:8">
      <c r="A3245" t="s">
        <v>4</v>
      </c>
      <c r="B3245" s="4" t="s">
        <v>5</v>
      </c>
      <c r="C3245" s="4" t="s">
        <v>7</v>
      </c>
      <c r="D3245" s="4" t="s">
        <v>7</v>
      </c>
      <c r="E3245" s="4" t="s">
        <v>13</v>
      </c>
      <c r="F3245" s="4" t="s">
        <v>13</v>
      </c>
      <c r="G3245" s="4" t="s">
        <v>13</v>
      </c>
      <c r="H3245" s="4" t="s">
        <v>11</v>
      </c>
    </row>
    <row r="3246" spans="1:8">
      <c r="A3246" t="n">
        <v>27239</v>
      </c>
      <c r="B3246" s="51" t="n">
        <v>45</v>
      </c>
      <c r="C3246" s="7" t="n">
        <v>2</v>
      </c>
      <c r="D3246" s="7" t="n">
        <v>3</v>
      </c>
      <c r="E3246" s="7" t="n">
        <v>6.82000017166138</v>
      </c>
      <c r="F3246" s="7" t="n">
        <v>6.17999982833862</v>
      </c>
      <c r="G3246" s="7" t="n">
        <v>32.2799987792969</v>
      </c>
      <c r="H3246" s="7" t="n">
        <v>0</v>
      </c>
    </row>
    <row r="3247" spans="1:8">
      <c r="A3247" t="s">
        <v>4</v>
      </c>
      <c r="B3247" s="4" t="s">
        <v>5</v>
      </c>
      <c r="C3247" s="4" t="s">
        <v>7</v>
      </c>
      <c r="D3247" s="4" t="s">
        <v>7</v>
      </c>
      <c r="E3247" s="4" t="s">
        <v>13</v>
      </c>
      <c r="F3247" s="4" t="s">
        <v>13</v>
      </c>
      <c r="G3247" s="4" t="s">
        <v>13</v>
      </c>
      <c r="H3247" s="4" t="s">
        <v>11</v>
      </c>
      <c r="I3247" s="4" t="s">
        <v>7</v>
      </c>
    </row>
    <row r="3248" spans="1:8">
      <c r="A3248" t="n">
        <v>27256</v>
      </c>
      <c r="B3248" s="51" t="n">
        <v>45</v>
      </c>
      <c r="C3248" s="7" t="n">
        <v>4</v>
      </c>
      <c r="D3248" s="7" t="n">
        <v>3</v>
      </c>
      <c r="E3248" s="7" t="n">
        <v>358.239990234375</v>
      </c>
      <c r="F3248" s="7" t="n">
        <v>344.200012207031</v>
      </c>
      <c r="G3248" s="7" t="n">
        <v>0</v>
      </c>
      <c r="H3248" s="7" t="n">
        <v>0</v>
      </c>
      <c r="I3248" s="7" t="n">
        <v>0</v>
      </c>
    </row>
    <row r="3249" spans="1:9">
      <c r="A3249" t="s">
        <v>4</v>
      </c>
      <c r="B3249" s="4" t="s">
        <v>5</v>
      </c>
      <c r="C3249" s="4" t="s">
        <v>7</v>
      </c>
      <c r="D3249" s="4" t="s">
        <v>7</v>
      </c>
      <c r="E3249" s="4" t="s">
        <v>13</v>
      </c>
      <c r="F3249" s="4" t="s">
        <v>11</v>
      </c>
    </row>
    <row r="3250" spans="1:9">
      <c r="A3250" t="n">
        <v>27274</v>
      </c>
      <c r="B3250" s="51" t="n">
        <v>45</v>
      </c>
      <c r="C3250" s="7" t="n">
        <v>5</v>
      </c>
      <c r="D3250" s="7" t="n">
        <v>3</v>
      </c>
      <c r="E3250" s="7" t="n">
        <v>3.40000009536743</v>
      </c>
      <c r="F3250" s="7" t="n">
        <v>0</v>
      </c>
    </row>
    <row r="3251" spans="1:9">
      <c r="A3251" t="s">
        <v>4</v>
      </c>
      <c r="B3251" s="4" t="s">
        <v>5</v>
      </c>
      <c r="C3251" s="4" t="s">
        <v>7</v>
      </c>
      <c r="D3251" s="4" t="s">
        <v>7</v>
      </c>
      <c r="E3251" s="4" t="s">
        <v>13</v>
      </c>
      <c r="F3251" s="4" t="s">
        <v>11</v>
      </c>
    </row>
    <row r="3252" spans="1:9">
      <c r="A3252" t="n">
        <v>27283</v>
      </c>
      <c r="B3252" s="51" t="n">
        <v>45</v>
      </c>
      <c r="C3252" s="7" t="n">
        <v>11</v>
      </c>
      <c r="D3252" s="7" t="n">
        <v>3</v>
      </c>
      <c r="E3252" s="7" t="n">
        <v>40.2999992370605</v>
      </c>
      <c r="F3252" s="7" t="n">
        <v>0</v>
      </c>
    </row>
    <row r="3253" spans="1:9">
      <c r="A3253" t="s">
        <v>4</v>
      </c>
      <c r="B3253" s="4" t="s">
        <v>5</v>
      </c>
      <c r="C3253" s="4" t="s">
        <v>7</v>
      </c>
      <c r="D3253" s="4" t="s">
        <v>7</v>
      </c>
      <c r="E3253" s="4" t="s">
        <v>13</v>
      </c>
      <c r="F3253" s="4" t="s">
        <v>13</v>
      </c>
      <c r="G3253" s="4" t="s">
        <v>13</v>
      </c>
      <c r="H3253" s="4" t="s">
        <v>11</v>
      </c>
    </row>
    <row r="3254" spans="1:9">
      <c r="A3254" t="n">
        <v>27292</v>
      </c>
      <c r="B3254" s="51" t="n">
        <v>45</v>
      </c>
      <c r="C3254" s="7" t="n">
        <v>2</v>
      </c>
      <c r="D3254" s="7" t="n">
        <v>3</v>
      </c>
      <c r="E3254" s="7" t="n">
        <v>-2.55999994277954</v>
      </c>
      <c r="F3254" s="7" t="n">
        <v>6.17999982833862</v>
      </c>
      <c r="G3254" s="7" t="n">
        <v>32.1800003051758</v>
      </c>
      <c r="H3254" s="7" t="n">
        <v>6000</v>
      </c>
    </row>
    <row r="3255" spans="1:9">
      <c r="A3255" t="s">
        <v>4</v>
      </c>
      <c r="B3255" s="4" t="s">
        <v>5</v>
      </c>
      <c r="C3255" s="4" t="s">
        <v>7</v>
      </c>
      <c r="D3255" s="4" t="s">
        <v>7</v>
      </c>
      <c r="E3255" s="4" t="s">
        <v>13</v>
      </c>
      <c r="F3255" s="4" t="s">
        <v>13</v>
      </c>
      <c r="G3255" s="4" t="s">
        <v>13</v>
      </c>
      <c r="H3255" s="4" t="s">
        <v>11</v>
      </c>
      <c r="I3255" s="4" t="s">
        <v>7</v>
      </c>
    </row>
    <row r="3256" spans="1:9">
      <c r="A3256" t="n">
        <v>27309</v>
      </c>
      <c r="B3256" s="51" t="n">
        <v>45</v>
      </c>
      <c r="C3256" s="7" t="n">
        <v>4</v>
      </c>
      <c r="D3256" s="7" t="n">
        <v>3</v>
      </c>
      <c r="E3256" s="7" t="n">
        <v>12.2700004577637</v>
      </c>
      <c r="F3256" s="7" t="n">
        <v>75.7099990844727</v>
      </c>
      <c r="G3256" s="7" t="n">
        <v>0</v>
      </c>
      <c r="H3256" s="7" t="n">
        <v>6000</v>
      </c>
      <c r="I3256" s="7" t="n">
        <v>1</v>
      </c>
    </row>
    <row r="3257" spans="1:9">
      <c r="A3257" t="s">
        <v>4</v>
      </c>
      <c r="B3257" s="4" t="s">
        <v>5</v>
      </c>
      <c r="C3257" s="4" t="s">
        <v>7</v>
      </c>
      <c r="D3257" s="4" t="s">
        <v>7</v>
      </c>
      <c r="E3257" s="4" t="s">
        <v>13</v>
      </c>
      <c r="F3257" s="4" t="s">
        <v>11</v>
      </c>
    </row>
    <row r="3258" spans="1:9">
      <c r="A3258" t="n">
        <v>27327</v>
      </c>
      <c r="B3258" s="51" t="n">
        <v>45</v>
      </c>
      <c r="C3258" s="7" t="n">
        <v>5</v>
      </c>
      <c r="D3258" s="7" t="n">
        <v>3</v>
      </c>
      <c r="E3258" s="7" t="n">
        <v>2.70000004768372</v>
      </c>
      <c r="F3258" s="7" t="n">
        <v>6000</v>
      </c>
    </row>
    <row r="3259" spans="1:9">
      <c r="A3259" t="s">
        <v>4</v>
      </c>
      <c r="B3259" s="4" t="s">
        <v>5</v>
      </c>
      <c r="C3259" s="4" t="s">
        <v>7</v>
      </c>
      <c r="D3259" s="4" t="s">
        <v>11</v>
      </c>
      <c r="E3259" s="4" t="s">
        <v>13</v>
      </c>
    </row>
    <row r="3260" spans="1:9">
      <c r="A3260" t="n">
        <v>27336</v>
      </c>
      <c r="B3260" s="23" t="n">
        <v>58</v>
      </c>
      <c r="C3260" s="7" t="n">
        <v>100</v>
      </c>
      <c r="D3260" s="7" t="n">
        <v>1000</v>
      </c>
      <c r="E3260" s="7" t="n">
        <v>1</v>
      </c>
    </row>
    <row r="3261" spans="1:9">
      <c r="A3261" t="s">
        <v>4</v>
      </c>
      <c r="B3261" s="4" t="s">
        <v>5</v>
      </c>
      <c r="C3261" s="4" t="s">
        <v>7</v>
      </c>
      <c r="D3261" s="4" t="s">
        <v>11</v>
      </c>
    </row>
    <row r="3262" spans="1:9">
      <c r="A3262" t="n">
        <v>27344</v>
      </c>
      <c r="B3262" s="23" t="n">
        <v>58</v>
      </c>
      <c r="C3262" s="7" t="n">
        <v>255</v>
      </c>
      <c r="D3262" s="7" t="n">
        <v>0</v>
      </c>
    </row>
    <row r="3263" spans="1:9">
      <c r="A3263" t="s">
        <v>4</v>
      </c>
      <c r="B3263" s="4" t="s">
        <v>5</v>
      </c>
      <c r="C3263" s="4" t="s">
        <v>8</v>
      </c>
      <c r="D3263" s="4" t="s">
        <v>8</v>
      </c>
    </row>
    <row r="3264" spans="1:9">
      <c r="A3264" t="n">
        <v>27348</v>
      </c>
      <c r="B3264" s="52" t="n">
        <v>70</v>
      </c>
      <c r="C3264" s="7" t="s">
        <v>24</v>
      </c>
      <c r="D3264" s="7" t="s">
        <v>109</v>
      </c>
    </row>
    <row r="3265" spans="1:9">
      <c r="A3265" t="s">
        <v>4</v>
      </c>
      <c r="B3265" s="4" t="s">
        <v>5</v>
      </c>
      <c r="C3265" s="4" t="s">
        <v>11</v>
      </c>
    </row>
    <row r="3266" spans="1:9">
      <c r="A3266" t="n">
        <v>27365</v>
      </c>
      <c r="B3266" s="29" t="n">
        <v>16</v>
      </c>
      <c r="C3266" s="7" t="n">
        <v>4000</v>
      </c>
    </row>
    <row r="3267" spans="1:9">
      <c r="A3267" t="s">
        <v>4</v>
      </c>
      <c r="B3267" s="4" t="s">
        <v>5</v>
      </c>
      <c r="C3267" s="4" t="s">
        <v>11</v>
      </c>
      <c r="D3267" s="4" t="s">
        <v>7</v>
      </c>
      <c r="E3267" s="4" t="s">
        <v>13</v>
      </c>
      <c r="F3267" s="4" t="s">
        <v>11</v>
      </c>
    </row>
    <row r="3268" spans="1:9">
      <c r="A3268" t="n">
        <v>27368</v>
      </c>
      <c r="B3268" s="56" t="n">
        <v>59</v>
      </c>
      <c r="C3268" s="7" t="n">
        <v>0</v>
      </c>
      <c r="D3268" s="7" t="n">
        <v>9</v>
      </c>
      <c r="E3268" s="7" t="n">
        <v>0.150000005960464</v>
      </c>
      <c r="F3268" s="7" t="n">
        <v>0</v>
      </c>
    </row>
    <row r="3269" spans="1:9">
      <c r="A3269" t="s">
        <v>4</v>
      </c>
      <c r="B3269" s="4" t="s">
        <v>5</v>
      </c>
      <c r="C3269" s="4" t="s">
        <v>11</v>
      </c>
    </row>
    <row r="3270" spans="1:9">
      <c r="A3270" t="n">
        <v>27378</v>
      </c>
      <c r="B3270" s="29" t="n">
        <v>16</v>
      </c>
      <c r="C3270" s="7" t="n">
        <v>1800</v>
      </c>
    </row>
    <row r="3271" spans="1:9">
      <c r="A3271" t="s">
        <v>4</v>
      </c>
      <c r="B3271" s="4" t="s">
        <v>5</v>
      </c>
      <c r="C3271" s="4" t="s">
        <v>7</v>
      </c>
      <c r="D3271" s="4" t="s">
        <v>11</v>
      </c>
    </row>
    <row r="3272" spans="1:9">
      <c r="A3272" t="n">
        <v>27381</v>
      </c>
      <c r="B3272" s="51" t="n">
        <v>45</v>
      </c>
      <c r="C3272" s="7" t="n">
        <v>7</v>
      </c>
      <c r="D3272" s="7" t="n">
        <v>255</v>
      </c>
    </row>
    <row r="3273" spans="1:9">
      <c r="A3273" t="s">
        <v>4</v>
      </c>
      <c r="B3273" s="4" t="s">
        <v>5</v>
      </c>
      <c r="C3273" s="4" t="s">
        <v>7</v>
      </c>
      <c r="D3273" s="4" t="s">
        <v>11</v>
      </c>
      <c r="E3273" s="4" t="s">
        <v>13</v>
      </c>
    </row>
    <row r="3274" spans="1:9">
      <c r="A3274" t="n">
        <v>27385</v>
      </c>
      <c r="B3274" s="23" t="n">
        <v>58</v>
      </c>
      <c r="C3274" s="7" t="n">
        <v>0</v>
      </c>
      <c r="D3274" s="7" t="n">
        <v>1000</v>
      </c>
      <c r="E3274" s="7" t="n">
        <v>1</v>
      </c>
    </row>
    <row r="3275" spans="1:9">
      <c r="A3275" t="s">
        <v>4</v>
      </c>
      <c r="B3275" s="4" t="s">
        <v>5</v>
      </c>
      <c r="C3275" s="4" t="s">
        <v>7</v>
      </c>
      <c r="D3275" s="4" t="s">
        <v>11</v>
      </c>
    </row>
    <row r="3276" spans="1:9">
      <c r="A3276" t="n">
        <v>27393</v>
      </c>
      <c r="B3276" s="23" t="n">
        <v>58</v>
      </c>
      <c r="C3276" s="7" t="n">
        <v>255</v>
      </c>
      <c r="D3276" s="7" t="n">
        <v>0</v>
      </c>
    </row>
    <row r="3277" spans="1:9">
      <c r="A3277" t="s">
        <v>4</v>
      </c>
      <c r="B3277" s="4" t="s">
        <v>5</v>
      </c>
      <c r="C3277" s="4" t="s">
        <v>8</v>
      </c>
      <c r="D3277" s="4" t="s">
        <v>8</v>
      </c>
    </row>
    <row r="3278" spans="1:9">
      <c r="A3278" t="n">
        <v>27397</v>
      </c>
      <c r="B3278" s="52" t="n">
        <v>70</v>
      </c>
      <c r="C3278" s="7" t="s">
        <v>24</v>
      </c>
      <c r="D3278" s="7" t="s">
        <v>118</v>
      </c>
    </row>
    <row r="3279" spans="1:9">
      <c r="A3279" t="s">
        <v>4</v>
      </c>
      <c r="B3279" s="4" t="s">
        <v>5</v>
      </c>
      <c r="C3279" s="4" t="s">
        <v>11</v>
      </c>
      <c r="D3279" s="4" t="s">
        <v>13</v>
      </c>
      <c r="E3279" s="4" t="s">
        <v>13</v>
      </c>
      <c r="F3279" s="4" t="s">
        <v>13</v>
      </c>
      <c r="G3279" s="4" t="s">
        <v>13</v>
      </c>
    </row>
    <row r="3280" spans="1:9">
      <c r="A3280" t="n">
        <v>27413</v>
      </c>
      <c r="B3280" s="36" t="n">
        <v>46</v>
      </c>
      <c r="C3280" s="7" t="n">
        <v>0</v>
      </c>
      <c r="D3280" s="7" t="n">
        <v>-10.9899997711182</v>
      </c>
      <c r="E3280" s="7" t="n">
        <v>5.01000022888184</v>
      </c>
      <c r="F3280" s="7" t="n">
        <v>32.4300003051758</v>
      </c>
      <c r="G3280" s="7" t="n">
        <v>270</v>
      </c>
    </row>
    <row r="3281" spans="1:7">
      <c r="A3281" t="s">
        <v>4</v>
      </c>
      <c r="B3281" s="4" t="s">
        <v>5</v>
      </c>
      <c r="C3281" s="4" t="s">
        <v>11</v>
      </c>
      <c r="D3281" s="4" t="s">
        <v>13</v>
      </c>
      <c r="E3281" s="4" t="s">
        <v>13</v>
      </c>
      <c r="F3281" s="4" t="s">
        <v>13</v>
      </c>
      <c r="G3281" s="4" t="s">
        <v>13</v>
      </c>
    </row>
    <row r="3282" spans="1:7">
      <c r="A3282" t="n">
        <v>27432</v>
      </c>
      <c r="B3282" s="36" t="n">
        <v>46</v>
      </c>
      <c r="C3282" s="7" t="n">
        <v>1</v>
      </c>
      <c r="D3282" s="7" t="n">
        <v>-10.5500001907349</v>
      </c>
      <c r="E3282" s="7" t="n">
        <v>5.01000022888184</v>
      </c>
      <c r="F3282" s="7" t="n">
        <v>31.5499992370605</v>
      </c>
      <c r="G3282" s="7" t="n">
        <v>270</v>
      </c>
    </row>
    <row r="3283" spans="1:7">
      <c r="A3283" t="s">
        <v>4</v>
      </c>
      <c r="B3283" s="4" t="s">
        <v>5</v>
      </c>
      <c r="C3283" s="4" t="s">
        <v>7</v>
      </c>
      <c r="D3283" s="4" t="s">
        <v>7</v>
      </c>
      <c r="E3283" s="4" t="s">
        <v>13</v>
      </c>
      <c r="F3283" s="4" t="s">
        <v>13</v>
      </c>
      <c r="G3283" s="4" t="s">
        <v>13</v>
      </c>
      <c r="H3283" s="4" t="s">
        <v>11</v>
      </c>
    </row>
    <row r="3284" spans="1:7">
      <c r="A3284" t="n">
        <v>27451</v>
      </c>
      <c r="B3284" s="51" t="n">
        <v>45</v>
      </c>
      <c r="C3284" s="7" t="n">
        <v>2</v>
      </c>
      <c r="D3284" s="7" t="n">
        <v>3</v>
      </c>
      <c r="E3284" s="7" t="n">
        <v>-14.1199998855591</v>
      </c>
      <c r="F3284" s="7" t="n">
        <v>6.75</v>
      </c>
      <c r="G3284" s="7" t="n">
        <v>31.9300003051758</v>
      </c>
      <c r="H3284" s="7" t="n">
        <v>0</v>
      </c>
    </row>
    <row r="3285" spans="1:7">
      <c r="A3285" t="s">
        <v>4</v>
      </c>
      <c r="B3285" s="4" t="s">
        <v>5</v>
      </c>
      <c r="C3285" s="4" t="s">
        <v>7</v>
      </c>
      <c r="D3285" s="4" t="s">
        <v>7</v>
      </c>
      <c r="E3285" s="4" t="s">
        <v>13</v>
      </c>
      <c r="F3285" s="4" t="s">
        <v>13</v>
      </c>
      <c r="G3285" s="4" t="s">
        <v>13</v>
      </c>
      <c r="H3285" s="4" t="s">
        <v>11</v>
      </c>
      <c r="I3285" s="4" t="s">
        <v>7</v>
      </c>
    </row>
    <row r="3286" spans="1:7">
      <c r="A3286" t="n">
        <v>27468</v>
      </c>
      <c r="B3286" s="51" t="n">
        <v>45</v>
      </c>
      <c r="C3286" s="7" t="n">
        <v>4</v>
      </c>
      <c r="D3286" s="7" t="n">
        <v>3</v>
      </c>
      <c r="E3286" s="7" t="n">
        <v>7.63000011444092</v>
      </c>
      <c r="F3286" s="7" t="n">
        <v>90</v>
      </c>
      <c r="G3286" s="7" t="n">
        <v>0</v>
      </c>
      <c r="H3286" s="7" t="n">
        <v>0</v>
      </c>
      <c r="I3286" s="7" t="n">
        <v>0</v>
      </c>
    </row>
    <row r="3287" spans="1:7">
      <c r="A3287" t="s">
        <v>4</v>
      </c>
      <c r="B3287" s="4" t="s">
        <v>5</v>
      </c>
      <c r="C3287" s="4" t="s">
        <v>7</v>
      </c>
      <c r="D3287" s="4" t="s">
        <v>7</v>
      </c>
      <c r="E3287" s="4" t="s">
        <v>13</v>
      </c>
      <c r="F3287" s="4" t="s">
        <v>11</v>
      </c>
    </row>
    <row r="3288" spans="1:7">
      <c r="A3288" t="n">
        <v>27486</v>
      </c>
      <c r="B3288" s="51" t="n">
        <v>45</v>
      </c>
      <c r="C3288" s="7" t="n">
        <v>5</v>
      </c>
      <c r="D3288" s="7" t="n">
        <v>3</v>
      </c>
      <c r="E3288" s="7" t="n">
        <v>2.09999990463257</v>
      </c>
      <c r="F3288" s="7" t="n">
        <v>0</v>
      </c>
    </row>
    <row r="3289" spans="1:7">
      <c r="A3289" t="s">
        <v>4</v>
      </c>
      <c r="B3289" s="4" t="s">
        <v>5</v>
      </c>
      <c r="C3289" s="4" t="s">
        <v>7</v>
      </c>
      <c r="D3289" s="4" t="s">
        <v>7</v>
      </c>
      <c r="E3289" s="4" t="s">
        <v>13</v>
      </c>
      <c r="F3289" s="4" t="s">
        <v>11</v>
      </c>
    </row>
    <row r="3290" spans="1:7">
      <c r="A3290" t="n">
        <v>27495</v>
      </c>
      <c r="B3290" s="51" t="n">
        <v>45</v>
      </c>
      <c r="C3290" s="7" t="n">
        <v>11</v>
      </c>
      <c r="D3290" s="7" t="n">
        <v>3</v>
      </c>
      <c r="E3290" s="7" t="n">
        <v>40.2999992370605</v>
      </c>
      <c r="F3290" s="7" t="n">
        <v>0</v>
      </c>
    </row>
    <row r="3291" spans="1:7">
      <c r="A3291" t="s">
        <v>4</v>
      </c>
      <c r="B3291" s="4" t="s">
        <v>5</v>
      </c>
      <c r="C3291" s="4" t="s">
        <v>7</v>
      </c>
      <c r="D3291" s="4" t="s">
        <v>7</v>
      </c>
      <c r="E3291" s="4" t="s">
        <v>13</v>
      </c>
      <c r="F3291" s="4" t="s">
        <v>13</v>
      </c>
      <c r="G3291" s="4" t="s">
        <v>13</v>
      </c>
      <c r="H3291" s="4" t="s">
        <v>11</v>
      </c>
    </row>
    <row r="3292" spans="1:7">
      <c r="A3292" t="n">
        <v>27504</v>
      </c>
      <c r="B3292" s="51" t="n">
        <v>45</v>
      </c>
      <c r="C3292" s="7" t="n">
        <v>2</v>
      </c>
      <c r="D3292" s="7" t="n">
        <v>3</v>
      </c>
      <c r="E3292" s="7" t="n">
        <v>-9.10000038146973</v>
      </c>
      <c r="F3292" s="7" t="n">
        <v>6.75</v>
      </c>
      <c r="G3292" s="7" t="n">
        <v>31.9699993133545</v>
      </c>
      <c r="H3292" s="7" t="n">
        <v>6000</v>
      </c>
    </row>
    <row r="3293" spans="1:7">
      <c r="A3293" t="s">
        <v>4</v>
      </c>
      <c r="B3293" s="4" t="s">
        <v>5</v>
      </c>
      <c r="C3293" s="4" t="s">
        <v>7</v>
      </c>
      <c r="D3293" s="4" t="s">
        <v>7</v>
      </c>
      <c r="E3293" s="4" t="s">
        <v>13</v>
      </c>
      <c r="F3293" s="4" t="s">
        <v>13</v>
      </c>
      <c r="G3293" s="4" t="s">
        <v>13</v>
      </c>
      <c r="H3293" s="4" t="s">
        <v>11</v>
      </c>
      <c r="I3293" s="4" t="s">
        <v>7</v>
      </c>
    </row>
    <row r="3294" spans="1:7">
      <c r="A3294" t="n">
        <v>27521</v>
      </c>
      <c r="B3294" s="51" t="n">
        <v>45</v>
      </c>
      <c r="C3294" s="7" t="n">
        <v>4</v>
      </c>
      <c r="D3294" s="7" t="n">
        <v>3</v>
      </c>
      <c r="E3294" s="7" t="n">
        <v>0.0299999993294477</v>
      </c>
      <c r="F3294" s="7" t="n">
        <v>90</v>
      </c>
      <c r="G3294" s="7" t="n">
        <v>0</v>
      </c>
      <c r="H3294" s="7" t="n">
        <v>6000</v>
      </c>
      <c r="I3294" s="7" t="n">
        <v>0</v>
      </c>
    </row>
    <row r="3295" spans="1:7">
      <c r="A3295" t="s">
        <v>4</v>
      </c>
      <c r="B3295" s="4" t="s">
        <v>5</v>
      </c>
      <c r="C3295" s="4" t="s">
        <v>7</v>
      </c>
      <c r="D3295" s="4" t="s">
        <v>7</v>
      </c>
      <c r="E3295" s="4" t="s">
        <v>13</v>
      </c>
      <c r="F3295" s="4" t="s">
        <v>11</v>
      </c>
    </row>
    <row r="3296" spans="1:7">
      <c r="A3296" t="n">
        <v>27539</v>
      </c>
      <c r="B3296" s="51" t="n">
        <v>45</v>
      </c>
      <c r="C3296" s="7" t="n">
        <v>5</v>
      </c>
      <c r="D3296" s="7" t="n">
        <v>3</v>
      </c>
      <c r="E3296" s="7" t="n">
        <v>1.79999995231628</v>
      </c>
      <c r="F3296" s="7" t="n">
        <v>6000</v>
      </c>
    </row>
    <row r="3297" spans="1:9">
      <c r="A3297" t="s">
        <v>4</v>
      </c>
      <c r="B3297" s="4" t="s">
        <v>5</v>
      </c>
      <c r="C3297" s="4" t="s">
        <v>8</v>
      </c>
      <c r="D3297" s="4" t="s">
        <v>8</v>
      </c>
    </row>
    <row r="3298" spans="1:9">
      <c r="A3298" t="n">
        <v>27548</v>
      </c>
      <c r="B3298" s="52" t="n">
        <v>70</v>
      </c>
      <c r="C3298" s="7" t="s">
        <v>25</v>
      </c>
      <c r="D3298" s="7" t="s">
        <v>109</v>
      </c>
    </row>
    <row r="3299" spans="1:9">
      <c r="A3299" t="s">
        <v>4</v>
      </c>
      <c r="B3299" s="4" t="s">
        <v>5</v>
      </c>
      <c r="C3299" s="4" t="s">
        <v>7</v>
      </c>
      <c r="D3299" s="4" t="s">
        <v>11</v>
      </c>
      <c r="E3299" s="4" t="s">
        <v>13</v>
      </c>
    </row>
    <row r="3300" spans="1:9">
      <c r="A3300" t="n">
        <v>27565</v>
      </c>
      <c r="B3300" s="23" t="n">
        <v>58</v>
      </c>
      <c r="C3300" s="7" t="n">
        <v>100</v>
      </c>
      <c r="D3300" s="7" t="n">
        <v>1000</v>
      </c>
      <c r="E3300" s="7" t="n">
        <v>1</v>
      </c>
    </row>
    <row r="3301" spans="1:9">
      <c r="A3301" t="s">
        <v>4</v>
      </c>
      <c r="B3301" s="4" t="s">
        <v>5</v>
      </c>
      <c r="C3301" s="4" t="s">
        <v>7</v>
      </c>
      <c r="D3301" s="4" t="s">
        <v>11</v>
      </c>
    </row>
    <row r="3302" spans="1:9">
      <c r="A3302" t="n">
        <v>27573</v>
      </c>
      <c r="B3302" s="23" t="n">
        <v>58</v>
      </c>
      <c r="C3302" s="7" t="n">
        <v>255</v>
      </c>
      <c r="D3302" s="7" t="n">
        <v>0</v>
      </c>
    </row>
    <row r="3303" spans="1:9">
      <c r="A3303" t="s">
        <v>4</v>
      </c>
      <c r="B3303" s="4" t="s">
        <v>5</v>
      </c>
      <c r="C3303" s="4" t="s">
        <v>7</v>
      </c>
      <c r="D3303" s="4" t="s">
        <v>8</v>
      </c>
      <c r="E3303" s="4" t="s">
        <v>11</v>
      </c>
    </row>
    <row r="3304" spans="1:9">
      <c r="A3304" t="n">
        <v>27577</v>
      </c>
      <c r="B3304" s="15" t="n">
        <v>94</v>
      </c>
      <c r="C3304" s="7" t="n">
        <v>1</v>
      </c>
      <c r="D3304" s="7" t="s">
        <v>25</v>
      </c>
      <c r="E3304" s="7" t="n">
        <v>512</v>
      </c>
    </row>
    <row r="3305" spans="1:9">
      <c r="A3305" t="s">
        <v>4</v>
      </c>
      <c r="B3305" s="4" t="s">
        <v>5</v>
      </c>
      <c r="C3305" s="4" t="s">
        <v>11</v>
      </c>
    </row>
    <row r="3306" spans="1:9">
      <c r="A3306" t="n">
        <v>27591</v>
      </c>
      <c r="B3306" s="29" t="n">
        <v>16</v>
      </c>
      <c r="C3306" s="7" t="n">
        <v>4000</v>
      </c>
    </row>
    <row r="3307" spans="1:9">
      <c r="A3307" t="s">
        <v>4</v>
      </c>
      <c r="B3307" s="4" t="s">
        <v>5</v>
      </c>
      <c r="C3307" s="4" t="s">
        <v>11</v>
      </c>
      <c r="D3307" s="4" t="s">
        <v>7</v>
      </c>
      <c r="E3307" s="4" t="s">
        <v>13</v>
      </c>
      <c r="F3307" s="4" t="s">
        <v>11</v>
      </c>
    </row>
    <row r="3308" spans="1:9">
      <c r="A3308" t="n">
        <v>27594</v>
      </c>
      <c r="B3308" s="56" t="n">
        <v>59</v>
      </c>
      <c r="C3308" s="7" t="n">
        <v>0</v>
      </c>
      <c r="D3308" s="7" t="n">
        <v>9</v>
      </c>
      <c r="E3308" s="7" t="n">
        <v>0.150000005960464</v>
      </c>
      <c r="F3308" s="7" t="n">
        <v>0</v>
      </c>
    </row>
    <row r="3309" spans="1:9">
      <c r="A3309" t="s">
        <v>4</v>
      </c>
      <c r="B3309" s="4" t="s">
        <v>5</v>
      </c>
      <c r="C3309" s="4" t="s">
        <v>11</v>
      </c>
      <c r="D3309" s="4" t="s">
        <v>7</v>
      </c>
      <c r="E3309" s="4" t="s">
        <v>13</v>
      </c>
      <c r="F3309" s="4" t="s">
        <v>11</v>
      </c>
    </row>
    <row r="3310" spans="1:9">
      <c r="A3310" t="n">
        <v>27604</v>
      </c>
      <c r="B3310" s="56" t="n">
        <v>59</v>
      </c>
      <c r="C3310" s="7" t="n">
        <v>1</v>
      </c>
      <c r="D3310" s="7" t="n">
        <v>9</v>
      </c>
      <c r="E3310" s="7" t="n">
        <v>0.150000005960464</v>
      </c>
      <c r="F3310" s="7" t="n">
        <v>0</v>
      </c>
    </row>
    <row r="3311" spans="1:9">
      <c r="A3311" t="s">
        <v>4</v>
      </c>
      <c r="B3311" s="4" t="s">
        <v>5</v>
      </c>
      <c r="C3311" s="4" t="s">
        <v>11</v>
      </c>
    </row>
    <row r="3312" spans="1:9">
      <c r="A3312" t="n">
        <v>27614</v>
      </c>
      <c r="B3312" s="29" t="n">
        <v>16</v>
      </c>
      <c r="C3312" s="7" t="n">
        <v>1500</v>
      </c>
    </row>
    <row r="3313" spans="1:6">
      <c r="A3313" t="s">
        <v>4</v>
      </c>
      <c r="B3313" s="4" t="s">
        <v>5</v>
      </c>
      <c r="C3313" s="4" t="s">
        <v>7</v>
      </c>
      <c r="D3313" s="4" t="s">
        <v>11</v>
      </c>
    </row>
    <row r="3314" spans="1:6">
      <c r="A3314" t="n">
        <v>27617</v>
      </c>
      <c r="B3314" s="51" t="n">
        <v>45</v>
      </c>
      <c r="C3314" s="7" t="n">
        <v>7</v>
      </c>
      <c r="D3314" s="7" t="n">
        <v>255</v>
      </c>
    </row>
    <row r="3315" spans="1:6">
      <c r="A3315" t="s">
        <v>4</v>
      </c>
      <c r="B3315" s="4" t="s">
        <v>5</v>
      </c>
      <c r="C3315" s="4" t="s">
        <v>7</v>
      </c>
      <c r="D3315" s="4" t="s">
        <v>11</v>
      </c>
      <c r="E3315" s="4" t="s">
        <v>13</v>
      </c>
    </row>
    <row r="3316" spans="1:6">
      <c r="A3316" t="n">
        <v>27621</v>
      </c>
      <c r="B3316" s="23" t="n">
        <v>58</v>
      </c>
      <c r="C3316" s="7" t="n">
        <v>0</v>
      </c>
      <c r="D3316" s="7" t="n">
        <v>2000</v>
      </c>
      <c r="E3316" s="7" t="n">
        <v>1</v>
      </c>
    </row>
    <row r="3317" spans="1:6">
      <c r="A3317" t="s">
        <v>4</v>
      </c>
      <c r="B3317" s="4" t="s">
        <v>5</v>
      </c>
      <c r="C3317" s="4" t="s">
        <v>7</v>
      </c>
      <c r="D3317" s="4" t="s">
        <v>11</v>
      </c>
    </row>
    <row r="3318" spans="1:6">
      <c r="A3318" t="n">
        <v>27629</v>
      </c>
      <c r="B3318" s="23" t="n">
        <v>58</v>
      </c>
      <c r="C3318" s="7" t="n">
        <v>255</v>
      </c>
      <c r="D3318" s="7" t="n">
        <v>0</v>
      </c>
    </row>
    <row r="3319" spans="1:6">
      <c r="A3319" t="s">
        <v>4</v>
      </c>
      <c r="B3319" s="4" t="s">
        <v>5</v>
      </c>
      <c r="C3319" s="4" t="s">
        <v>7</v>
      </c>
      <c r="D3319" s="4" t="s">
        <v>7</v>
      </c>
      <c r="E3319" s="4" t="s">
        <v>13</v>
      </c>
      <c r="F3319" s="4" t="s">
        <v>13</v>
      </c>
      <c r="G3319" s="4" t="s">
        <v>13</v>
      </c>
      <c r="H3319" s="4" t="s">
        <v>11</v>
      </c>
    </row>
    <row r="3320" spans="1:6">
      <c r="A3320" t="n">
        <v>27633</v>
      </c>
      <c r="B3320" s="51" t="n">
        <v>45</v>
      </c>
      <c r="C3320" s="7" t="n">
        <v>2</v>
      </c>
      <c r="D3320" s="7" t="n">
        <v>3</v>
      </c>
      <c r="E3320" s="7" t="n">
        <v>-7.84000015258789</v>
      </c>
      <c r="F3320" s="7" t="n">
        <v>7.17000007629395</v>
      </c>
      <c r="G3320" s="7" t="n">
        <v>31.6599998474121</v>
      </c>
      <c r="H3320" s="7" t="n">
        <v>0</v>
      </c>
    </row>
    <row r="3321" spans="1:6">
      <c r="A3321" t="s">
        <v>4</v>
      </c>
      <c r="B3321" s="4" t="s">
        <v>5</v>
      </c>
      <c r="C3321" s="4" t="s">
        <v>7</v>
      </c>
      <c r="D3321" s="4" t="s">
        <v>7</v>
      </c>
      <c r="E3321" s="4" t="s">
        <v>13</v>
      </c>
      <c r="F3321" s="4" t="s">
        <v>13</v>
      </c>
      <c r="G3321" s="4" t="s">
        <v>13</v>
      </c>
      <c r="H3321" s="4" t="s">
        <v>11</v>
      </c>
      <c r="I3321" s="4" t="s">
        <v>7</v>
      </c>
    </row>
    <row r="3322" spans="1:6">
      <c r="A3322" t="n">
        <v>27650</v>
      </c>
      <c r="B3322" s="51" t="n">
        <v>45</v>
      </c>
      <c r="C3322" s="7" t="n">
        <v>4</v>
      </c>
      <c r="D3322" s="7" t="n">
        <v>3</v>
      </c>
      <c r="E3322" s="7" t="n">
        <v>9.01000022888184</v>
      </c>
      <c r="F3322" s="7" t="n">
        <v>55.7900009155273</v>
      </c>
      <c r="G3322" s="7" t="n">
        <v>0</v>
      </c>
      <c r="H3322" s="7" t="n">
        <v>0</v>
      </c>
      <c r="I3322" s="7" t="n">
        <v>0</v>
      </c>
    </row>
    <row r="3323" spans="1:6">
      <c r="A3323" t="s">
        <v>4</v>
      </c>
      <c r="B3323" s="4" t="s">
        <v>5</v>
      </c>
      <c r="C3323" s="4" t="s">
        <v>7</v>
      </c>
      <c r="D3323" s="4" t="s">
        <v>7</v>
      </c>
      <c r="E3323" s="4" t="s">
        <v>13</v>
      </c>
      <c r="F3323" s="4" t="s">
        <v>11</v>
      </c>
    </row>
    <row r="3324" spans="1:6">
      <c r="A3324" t="n">
        <v>27668</v>
      </c>
      <c r="B3324" s="51" t="n">
        <v>45</v>
      </c>
      <c r="C3324" s="7" t="n">
        <v>5</v>
      </c>
      <c r="D3324" s="7" t="n">
        <v>3</v>
      </c>
      <c r="E3324" s="7" t="n">
        <v>2.40000009536743</v>
      </c>
      <c r="F3324" s="7" t="n">
        <v>0</v>
      </c>
    </row>
    <row r="3325" spans="1:6">
      <c r="A3325" t="s">
        <v>4</v>
      </c>
      <c r="B3325" s="4" t="s">
        <v>5</v>
      </c>
      <c r="C3325" s="4" t="s">
        <v>7</v>
      </c>
      <c r="D3325" s="4" t="s">
        <v>7</v>
      </c>
      <c r="E3325" s="4" t="s">
        <v>13</v>
      </c>
      <c r="F3325" s="4" t="s">
        <v>11</v>
      </c>
    </row>
    <row r="3326" spans="1:6">
      <c r="A3326" t="n">
        <v>27677</v>
      </c>
      <c r="B3326" s="51" t="n">
        <v>45</v>
      </c>
      <c r="C3326" s="7" t="n">
        <v>11</v>
      </c>
      <c r="D3326" s="7" t="n">
        <v>3</v>
      </c>
      <c r="E3326" s="7" t="n">
        <v>40.2999992370605</v>
      </c>
      <c r="F3326" s="7" t="n">
        <v>0</v>
      </c>
    </row>
    <row r="3327" spans="1:6">
      <c r="A3327" t="s">
        <v>4</v>
      </c>
      <c r="B3327" s="4" t="s">
        <v>5</v>
      </c>
      <c r="C3327" s="4" t="s">
        <v>7</v>
      </c>
      <c r="D3327" s="4" t="s">
        <v>7</v>
      </c>
      <c r="E3327" s="4" t="s">
        <v>13</v>
      </c>
      <c r="F3327" s="4" t="s">
        <v>13</v>
      </c>
      <c r="G3327" s="4" t="s">
        <v>13</v>
      </c>
      <c r="H3327" s="4" t="s">
        <v>11</v>
      </c>
    </row>
    <row r="3328" spans="1:6">
      <c r="A3328" t="n">
        <v>27686</v>
      </c>
      <c r="B3328" s="51" t="n">
        <v>45</v>
      </c>
      <c r="C3328" s="7" t="n">
        <v>2</v>
      </c>
      <c r="D3328" s="7" t="n">
        <v>3</v>
      </c>
      <c r="E3328" s="7" t="n">
        <v>-6.8899998664856</v>
      </c>
      <c r="F3328" s="7" t="n">
        <v>6.26999998092651</v>
      </c>
      <c r="G3328" s="7" t="n">
        <v>30.0599994659424</v>
      </c>
      <c r="H3328" s="7" t="n">
        <v>6000</v>
      </c>
    </row>
    <row r="3329" spans="1:9">
      <c r="A3329" t="s">
        <v>4</v>
      </c>
      <c r="B3329" s="4" t="s">
        <v>5</v>
      </c>
      <c r="C3329" s="4" t="s">
        <v>7</v>
      </c>
      <c r="D3329" s="4" t="s">
        <v>7</v>
      </c>
      <c r="E3329" s="4" t="s">
        <v>13</v>
      </c>
      <c r="F3329" s="4" t="s">
        <v>13</v>
      </c>
      <c r="G3329" s="4" t="s">
        <v>13</v>
      </c>
      <c r="H3329" s="4" t="s">
        <v>11</v>
      </c>
      <c r="I3329" s="4" t="s">
        <v>7</v>
      </c>
    </row>
    <row r="3330" spans="1:9">
      <c r="A3330" t="n">
        <v>27703</v>
      </c>
      <c r="B3330" s="51" t="n">
        <v>45</v>
      </c>
      <c r="C3330" s="7" t="n">
        <v>4</v>
      </c>
      <c r="D3330" s="7" t="n">
        <v>3</v>
      </c>
      <c r="E3330" s="7" t="n">
        <v>6.73999977111816</v>
      </c>
      <c r="F3330" s="7" t="n">
        <v>13.6199998855591</v>
      </c>
      <c r="G3330" s="7" t="n">
        <v>0</v>
      </c>
      <c r="H3330" s="7" t="n">
        <v>6000</v>
      </c>
      <c r="I3330" s="7" t="n">
        <v>1</v>
      </c>
    </row>
    <row r="3331" spans="1:9">
      <c r="A3331" t="s">
        <v>4</v>
      </c>
      <c r="B3331" s="4" t="s">
        <v>5</v>
      </c>
      <c r="C3331" s="4" t="s">
        <v>11</v>
      </c>
      <c r="D3331" s="4" t="s">
        <v>13</v>
      </c>
      <c r="E3331" s="4" t="s">
        <v>13</v>
      </c>
      <c r="F3331" s="4" t="s">
        <v>13</v>
      </c>
      <c r="G3331" s="4" t="s">
        <v>13</v>
      </c>
    </row>
    <row r="3332" spans="1:9">
      <c r="A3332" t="n">
        <v>27721</v>
      </c>
      <c r="B3332" s="36" t="n">
        <v>46</v>
      </c>
      <c r="C3332" s="7" t="n">
        <v>0</v>
      </c>
      <c r="D3332" s="7" t="n">
        <v>-6.51000022888184</v>
      </c>
      <c r="E3332" s="7" t="n">
        <v>5</v>
      </c>
      <c r="F3332" s="7" t="n">
        <v>29.8999996185303</v>
      </c>
      <c r="G3332" s="7" t="n">
        <v>208</v>
      </c>
    </row>
    <row r="3333" spans="1:9">
      <c r="A3333" t="s">
        <v>4</v>
      </c>
      <c r="B3333" s="4" t="s">
        <v>5</v>
      </c>
      <c r="C3333" s="4" t="s">
        <v>11</v>
      </c>
      <c r="D3333" s="4" t="s">
        <v>13</v>
      </c>
      <c r="E3333" s="4" t="s">
        <v>13</v>
      </c>
      <c r="F3333" s="4" t="s">
        <v>13</v>
      </c>
      <c r="G3333" s="4" t="s">
        <v>13</v>
      </c>
    </row>
    <row r="3334" spans="1:9">
      <c r="A3334" t="n">
        <v>27740</v>
      </c>
      <c r="B3334" s="36" t="n">
        <v>46</v>
      </c>
      <c r="C3334" s="7" t="n">
        <v>1</v>
      </c>
      <c r="D3334" s="7" t="n">
        <v>-7.44999980926514</v>
      </c>
      <c r="E3334" s="7" t="n">
        <v>5</v>
      </c>
      <c r="F3334" s="7" t="n">
        <v>29.7999992370605</v>
      </c>
      <c r="G3334" s="7" t="n">
        <v>151.199996948242</v>
      </c>
    </row>
    <row r="3335" spans="1:9">
      <c r="A3335" t="s">
        <v>4</v>
      </c>
      <c r="B3335" s="4" t="s">
        <v>5</v>
      </c>
      <c r="C3335" s="4" t="s">
        <v>11</v>
      </c>
      <c r="D3335" s="4" t="s">
        <v>11</v>
      </c>
      <c r="E3335" s="4" t="s">
        <v>11</v>
      </c>
    </row>
    <row r="3336" spans="1:9">
      <c r="A3336" t="n">
        <v>27759</v>
      </c>
      <c r="B3336" s="72" t="n">
        <v>61</v>
      </c>
      <c r="C3336" s="7" t="n">
        <v>0</v>
      </c>
      <c r="D3336" s="7" t="n">
        <v>1</v>
      </c>
      <c r="E3336" s="7" t="n">
        <v>0</v>
      </c>
    </row>
    <row r="3337" spans="1:9">
      <c r="A3337" t="s">
        <v>4</v>
      </c>
      <c r="B3337" s="4" t="s">
        <v>5</v>
      </c>
      <c r="C3337" s="4" t="s">
        <v>11</v>
      </c>
      <c r="D3337" s="4" t="s">
        <v>11</v>
      </c>
      <c r="E3337" s="4" t="s">
        <v>11</v>
      </c>
    </row>
    <row r="3338" spans="1:9">
      <c r="A3338" t="n">
        <v>27766</v>
      </c>
      <c r="B3338" s="72" t="n">
        <v>61</v>
      </c>
      <c r="C3338" s="7" t="n">
        <v>1</v>
      </c>
      <c r="D3338" s="7" t="n">
        <v>0</v>
      </c>
      <c r="E3338" s="7" t="n">
        <v>0</v>
      </c>
    </row>
    <row r="3339" spans="1:9">
      <c r="A3339" t="s">
        <v>4</v>
      </c>
      <c r="B3339" s="4" t="s">
        <v>5</v>
      </c>
      <c r="C3339" s="4" t="s">
        <v>8</v>
      </c>
      <c r="D3339" s="4" t="s">
        <v>8</v>
      </c>
    </row>
    <row r="3340" spans="1:9">
      <c r="A3340" t="n">
        <v>27773</v>
      </c>
      <c r="B3340" s="52" t="n">
        <v>70</v>
      </c>
      <c r="C3340" s="7" t="s">
        <v>25</v>
      </c>
      <c r="D3340" s="7" t="s">
        <v>118</v>
      </c>
    </row>
    <row r="3341" spans="1:9">
      <c r="A3341" t="s">
        <v>4</v>
      </c>
      <c r="B3341" s="4" t="s">
        <v>5</v>
      </c>
      <c r="C3341" s="4" t="s">
        <v>7</v>
      </c>
      <c r="D3341" s="4" t="s">
        <v>11</v>
      </c>
      <c r="E3341" s="4" t="s">
        <v>13</v>
      </c>
    </row>
    <row r="3342" spans="1:9">
      <c r="A3342" t="n">
        <v>27789</v>
      </c>
      <c r="B3342" s="23" t="n">
        <v>58</v>
      </c>
      <c r="C3342" s="7" t="n">
        <v>100</v>
      </c>
      <c r="D3342" s="7" t="n">
        <v>1000</v>
      </c>
      <c r="E3342" s="7" t="n">
        <v>1</v>
      </c>
    </row>
    <row r="3343" spans="1:9">
      <c r="A3343" t="s">
        <v>4</v>
      </c>
      <c r="B3343" s="4" t="s">
        <v>5</v>
      </c>
      <c r="C3343" s="4" t="s">
        <v>7</v>
      </c>
      <c r="D3343" s="4" t="s">
        <v>11</v>
      </c>
    </row>
    <row r="3344" spans="1:9">
      <c r="A3344" t="n">
        <v>27797</v>
      </c>
      <c r="B3344" s="23" t="n">
        <v>58</v>
      </c>
      <c r="C3344" s="7" t="n">
        <v>255</v>
      </c>
      <c r="D3344" s="7" t="n">
        <v>0</v>
      </c>
    </row>
    <row r="3345" spans="1:9">
      <c r="A3345" t="s">
        <v>4</v>
      </c>
      <c r="B3345" s="4" t="s">
        <v>5</v>
      </c>
      <c r="C3345" s="4" t="s">
        <v>11</v>
      </c>
    </row>
    <row r="3346" spans="1:9">
      <c r="A3346" t="n">
        <v>27801</v>
      </c>
      <c r="B3346" s="29" t="n">
        <v>16</v>
      </c>
      <c r="C3346" s="7" t="n">
        <v>1000</v>
      </c>
    </row>
    <row r="3347" spans="1:9">
      <c r="A3347" t="s">
        <v>4</v>
      </c>
      <c r="B3347" s="4" t="s">
        <v>5</v>
      </c>
      <c r="C3347" s="4" t="s">
        <v>7</v>
      </c>
      <c r="D3347" s="4" t="s">
        <v>11</v>
      </c>
    </row>
    <row r="3348" spans="1:9">
      <c r="A3348" t="n">
        <v>27804</v>
      </c>
      <c r="B3348" s="51" t="n">
        <v>45</v>
      </c>
      <c r="C3348" s="7" t="n">
        <v>7</v>
      </c>
      <c r="D3348" s="7" t="n">
        <v>255</v>
      </c>
    </row>
    <row r="3349" spans="1:9">
      <c r="A3349" t="s">
        <v>4</v>
      </c>
      <c r="B3349" s="4" t="s">
        <v>5</v>
      </c>
      <c r="C3349" s="4" t="s">
        <v>7</v>
      </c>
      <c r="D3349" s="4" t="s">
        <v>11</v>
      </c>
      <c r="E3349" s="4" t="s">
        <v>13</v>
      </c>
    </row>
    <row r="3350" spans="1:9">
      <c r="A3350" t="n">
        <v>27808</v>
      </c>
      <c r="B3350" s="23" t="n">
        <v>58</v>
      </c>
      <c r="C3350" s="7" t="n">
        <v>101</v>
      </c>
      <c r="D3350" s="7" t="n">
        <v>500</v>
      </c>
      <c r="E3350" s="7" t="n">
        <v>1</v>
      </c>
    </row>
    <row r="3351" spans="1:9">
      <c r="A3351" t="s">
        <v>4</v>
      </c>
      <c r="B3351" s="4" t="s">
        <v>5</v>
      </c>
      <c r="C3351" s="4" t="s">
        <v>7</v>
      </c>
      <c r="D3351" s="4" t="s">
        <v>11</v>
      </c>
    </row>
    <row r="3352" spans="1:9">
      <c r="A3352" t="n">
        <v>27816</v>
      </c>
      <c r="B3352" s="23" t="n">
        <v>58</v>
      </c>
      <c r="C3352" s="7" t="n">
        <v>254</v>
      </c>
      <c r="D3352" s="7" t="n">
        <v>0</v>
      </c>
    </row>
    <row r="3353" spans="1:9">
      <c r="A3353" t="s">
        <v>4</v>
      </c>
      <c r="B3353" s="4" t="s">
        <v>5</v>
      </c>
      <c r="C3353" s="4" t="s">
        <v>7</v>
      </c>
      <c r="D3353" s="4" t="s">
        <v>7</v>
      </c>
      <c r="E3353" s="4" t="s">
        <v>13</v>
      </c>
      <c r="F3353" s="4" t="s">
        <v>13</v>
      </c>
      <c r="G3353" s="4" t="s">
        <v>13</v>
      </c>
      <c r="H3353" s="4" t="s">
        <v>11</v>
      </c>
    </row>
    <row r="3354" spans="1:9">
      <c r="A3354" t="n">
        <v>27820</v>
      </c>
      <c r="B3354" s="51" t="n">
        <v>45</v>
      </c>
      <c r="C3354" s="7" t="n">
        <v>2</v>
      </c>
      <c r="D3354" s="7" t="n">
        <v>3</v>
      </c>
      <c r="E3354" s="7" t="n">
        <v>-6.86999988555908</v>
      </c>
      <c r="F3354" s="7" t="n">
        <v>6.3600001335144</v>
      </c>
      <c r="G3354" s="7" t="n">
        <v>29.8400001525879</v>
      </c>
      <c r="H3354" s="7" t="n">
        <v>0</v>
      </c>
    </row>
    <row r="3355" spans="1:9">
      <c r="A3355" t="s">
        <v>4</v>
      </c>
      <c r="B3355" s="4" t="s">
        <v>5</v>
      </c>
      <c r="C3355" s="4" t="s">
        <v>7</v>
      </c>
      <c r="D3355" s="4" t="s">
        <v>7</v>
      </c>
      <c r="E3355" s="4" t="s">
        <v>13</v>
      </c>
      <c r="F3355" s="4" t="s">
        <v>13</v>
      </c>
      <c r="G3355" s="4" t="s">
        <v>13</v>
      </c>
      <c r="H3355" s="4" t="s">
        <v>11</v>
      </c>
      <c r="I3355" s="4" t="s">
        <v>7</v>
      </c>
    </row>
    <row r="3356" spans="1:9">
      <c r="A3356" t="n">
        <v>27837</v>
      </c>
      <c r="B3356" s="51" t="n">
        <v>45</v>
      </c>
      <c r="C3356" s="7" t="n">
        <v>4</v>
      </c>
      <c r="D3356" s="7" t="n">
        <v>3</v>
      </c>
      <c r="E3356" s="7" t="n">
        <v>18.2999992370605</v>
      </c>
      <c r="F3356" s="7" t="n">
        <v>135.5</v>
      </c>
      <c r="G3356" s="7" t="n">
        <v>0</v>
      </c>
      <c r="H3356" s="7" t="n">
        <v>0</v>
      </c>
      <c r="I3356" s="7" t="n">
        <v>0</v>
      </c>
    </row>
    <row r="3357" spans="1:9">
      <c r="A3357" t="s">
        <v>4</v>
      </c>
      <c r="B3357" s="4" t="s">
        <v>5</v>
      </c>
      <c r="C3357" s="4" t="s">
        <v>7</v>
      </c>
      <c r="D3357" s="4" t="s">
        <v>7</v>
      </c>
      <c r="E3357" s="4" t="s">
        <v>13</v>
      </c>
      <c r="F3357" s="4" t="s">
        <v>11</v>
      </c>
    </row>
    <row r="3358" spans="1:9">
      <c r="A3358" t="n">
        <v>27855</v>
      </c>
      <c r="B3358" s="51" t="n">
        <v>45</v>
      </c>
      <c r="C3358" s="7" t="n">
        <v>5</v>
      </c>
      <c r="D3358" s="7" t="n">
        <v>3</v>
      </c>
      <c r="E3358" s="7" t="n">
        <v>1.29999995231628</v>
      </c>
      <c r="F3358" s="7" t="n">
        <v>0</v>
      </c>
    </row>
    <row r="3359" spans="1:9">
      <c r="A3359" t="s">
        <v>4</v>
      </c>
      <c r="B3359" s="4" t="s">
        <v>5</v>
      </c>
      <c r="C3359" s="4" t="s">
        <v>7</v>
      </c>
      <c r="D3359" s="4" t="s">
        <v>7</v>
      </c>
      <c r="E3359" s="4" t="s">
        <v>13</v>
      </c>
      <c r="F3359" s="4" t="s">
        <v>11</v>
      </c>
    </row>
    <row r="3360" spans="1:9">
      <c r="A3360" t="n">
        <v>27864</v>
      </c>
      <c r="B3360" s="51" t="n">
        <v>45</v>
      </c>
      <c r="C3360" s="7" t="n">
        <v>11</v>
      </c>
      <c r="D3360" s="7" t="n">
        <v>3</v>
      </c>
      <c r="E3360" s="7" t="n">
        <v>40.2999992370605</v>
      </c>
      <c r="F3360" s="7" t="n">
        <v>0</v>
      </c>
    </row>
    <row r="3361" spans="1:9">
      <c r="A3361" t="s">
        <v>4</v>
      </c>
      <c r="B3361" s="4" t="s">
        <v>5</v>
      </c>
      <c r="C3361" s="4" t="s">
        <v>7</v>
      </c>
      <c r="D3361" s="4" t="s">
        <v>11</v>
      </c>
      <c r="E3361" s="4" t="s">
        <v>11</v>
      </c>
      <c r="F3361" s="4" t="s">
        <v>15</v>
      </c>
      <c r="G3361" s="4" t="s">
        <v>15</v>
      </c>
      <c r="H3361" s="4" t="s">
        <v>15</v>
      </c>
    </row>
    <row r="3362" spans="1:9">
      <c r="A3362" t="n">
        <v>27873</v>
      </c>
      <c r="B3362" s="77" t="n">
        <v>97</v>
      </c>
      <c r="C3362" s="7" t="n">
        <v>6</v>
      </c>
      <c r="D3362" s="7" t="n">
        <v>0</v>
      </c>
      <c r="E3362" s="7" t="n">
        <v>0</v>
      </c>
      <c r="F3362" s="7" t="n">
        <v>-1065143501</v>
      </c>
      <c r="G3362" s="7" t="n">
        <v>1101004800</v>
      </c>
      <c r="H3362" s="7" t="n">
        <v>1101004800</v>
      </c>
    </row>
    <row r="3363" spans="1:9">
      <c r="A3363" t="s">
        <v>4</v>
      </c>
      <c r="B3363" s="4" t="s">
        <v>5</v>
      </c>
      <c r="C3363" s="4" t="s">
        <v>7</v>
      </c>
      <c r="D3363" s="4" t="s">
        <v>11</v>
      </c>
    </row>
    <row r="3364" spans="1:9">
      <c r="A3364" t="n">
        <v>27891</v>
      </c>
      <c r="B3364" s="23" t="n">
        <v>58</v>
      </c>
      <c r="C3364" s="7" t="n">
        <v>255</v>
      </c>
      <c r="D3364" s="7" t="n">
        <v>0</v>
      </c>
    </row>
    <row r="3365" spans="1:9">
      <c r="A3365" t="s">
        <v>4</v>
      </c>
      <c r="B3365" s="4" t="s">
        <v>5</v>
      </c>
      <c r="C3365" s="4" t="s">
        <v>7</v>
      </c>
      <c r="D3365" s="4" t="s">
        <v>11</v>
      </c>
      <c r="E3365" s="4" t="s">
        <v>8</v>
      </c>
      <c r="F3365" s="4" t="s">
        <v>8</v>
      </c>
      <c r="G3365" s="4" t="s">
        <v>8</v>
      </c>
      <c r="H3365" s="4" t="s">
        <v>8</v>
      </c>
    </row>
    <row r="3366" spans="1:9">
      <c r="A3366" t="n">
        <v>27895</v>
      </c>
      <c r="B3366" s="38" t="n">
        <v>51</v>
      </c>
      <c r="C3366" s="7" t="n">
        <v>3</v>
      </c>
      <c r="D3366" s="7" t="n">
        <v>1</v>
      </c>
      <c r="E3366" s="7" t="s">
        <v>65</v>
      </c>
      <c r="F3366" s="7" t="s">
        <v>99</v>
      </c>
      <c r="G3366" s="7" t="s">
        <v>78</v>
      </c>
      <c r="H3366" s="7" t="s">
        <v>79</v>
      </c>
    </row>
    <row r="3367" spans="1:9">
      <c r="A3367" t="s">
        <v>4</v>
      </c>
      <c r="B3367" s="4" t="s">
        <v>5</v>
      </c>
      <c r="C3367" s="4" t="s">
        <v>7</v>
      </c>
      <c r="D3367" s="4" t="s">
        <v>11</v>
      </c>
      <c r="E3367" s="4" t="s">
        <v>8</v>
      </c>
    </row>
    <row r="3368" spans="1:9">
      <c r="A3368" t="n">
        <v>27916</v>
      </c>
      <c r="B3368" s="38" t="n">
        <v>51</v>
      </c>
      <c r="C3368" s="7" t="n">
        <v>4</v>
      </c>
      <c r="D3368" s="7" t="n">
        <v>1</v>
      </c>
      <c r="E3368" s="7" t="s">
        <v>304</v>
      </c>
    </row>
    <row r="3369" spans="1:9">
      <c r="A3369" t="s">
        <v>4</v>
      </c>
      <c r="B3369" s="4" t="s">
        <v>5</v>
      </c>
      <c r="C3369" s="4" t="s">
        <v>11</v>
      </c>
    </row>
    <row r="3370" spans="1:9">
      <c r="A3370" t="n">
        <v>27929</v>
      </c>
      <c r="B3370" s="29" t="n">
        <v>16</v>
      </c>
      <c r="C3370" s="7" t="n">
        <v>0</v>
      </c>
    </row>
    <row r="3371" spans="1:9">
      <c r="A3371" t="s">
        <v>4</v>
      </c>
      <c r="B3371" s="4" t="s">
        <v>5</v>
      </c>
      <c r="C3371" s="4" t="s">
        <v>11</v>
      </c>
      <c r="D3371" s="4" t="s">
        <v>7</v>
      </c>
      <c r="E3371" s="4" t="s">
        <v>15</v>
      </c>
      <c r="F3371" s="4" t="s">
        <v>55</v>
      </c>
      <c r="G3371" s="4" t="s">
        <v>7</v>
      </c>
      <c r="H3371" s="4" t="s">
        <v>7</v>
      </c>
      <c r="I3371" s="4" t="s">
        <v>7</v>
      </c>
      <c r="J3371" s="4" t="s">
        <v>15</v>
      </c>
      <c r="K3371" s="4" t="s">
        <v>55</v>
      </c>
      <c r="L3371" s="4" t="s">
        <v>7</v>
      </c>
      <c r="M3371" s="4" t="s">
        <v>7</v>
      </c>
    </row>
    <row r="3372" spans="1:9">
      <c r="A3372" t="n">
        <v>27932</v>
      </c>
      <c r="B3372" s="55" t="n">
        <v>26</v>
      </c>
      <c r="C3372" s="7" t="n">
        <v>1</v>
      </c>
      <c r="D3372" s="7" t="n">
        <v>17</v>
      </c>
      <c r="E3372" s="7" t="n">
        <v>63782</v>
      </c>
      <c r="F3372" s="7" t="s">
        <v>305</v>
      </c>
      <c r="G3372" s="7" t="n">
        <v>2</v>
      </c>
      <c r="H3372" s="7" t="n">
        <v>3</v>
      </c>
      <c r="I3372" s="7" t="n">
        <v>17</v>
      </c>
      <c r="J3372" s="7" t="n">
        <v>63783</v>
      </c>
      <c r="K3372" s="7" t="s">
        <v>306</v>
      </c>
      <c r="L3372" s="7" t="n">
        <v>2</v>
      </c>
      <c r="M3372" s="7" t="n">
        <v>0</v>
      </c>
    </row>
    <row r="3373" spans="1:9">
      <c r="A3373" t="s">
        <v>4</v>
      </c>
      <c r="B3373" s="4" t="s">
        <v>5</v>
      </c>
    </row>
    <row r="3374" spans="1:9">
      <c r="A3374" t="n">
        <v>28088</v>
      </c>
      <c r="B3374" s="27" t="n">
        <v>28</v>
      </c>
    </row>
    <row r="3375" spans="1:9">
      <c r="A3375" t="s">
        <v>4</v>
      </c>
      <c r="B3375" s="4" t="s">
        <v>5</v>
      </c>
      <c r="C3375" s="4" t="s">
        <v>7</v>
      </c>
      <c r="D3375" s="4" t="s">
        <v>11</v>
      </c>
      <c r="E3375" s="4" t="s">
        <v>8</v>
      </c>
    </row>
    <row r="3376" spans="1:9">
      <c r="A3376" t="n">
        <v>28089</v>
      </c>
      <c r="B3376" s="38" t="n">
        <v>51</v>
      </c>
      <c r="C3376" s="7" t="n">
        <v>4</v>
      </c>
      <c r="D3376" s="7" t="n">
        <v>0</v>
      </c>
      <c r="E3376" s="7" t="s">
        <v>179</v>
      </c>
    </row>
    <row r="3377" spans="1:13">
      <c r="A3377" t="s">
        <v>4</v>
      </c>
      <c r="B3377" s="4" t="s">
        <v>5</v>
      </c>
      <c r="C3377" s="4" t="s">
        <v>11</v>
      </c>
    </row>
    <row r="3378" spans="1:13">
      <c r="A3378" t="n">
        <v>28103</v>
      </c>
      <c r="B3378" s="29" t="n">
        <v>16</v>
      </c>
      <c r="C3378" s="7" t="n">
        <v>0</v>
      </c>
    </row>
    <row r="3379" spans="1:13">
      <c r="A3379" t="s">
        <v>4</v>
      </c>
      <c r="B3379" s="4" t="s">
        <v>5</v>
      </c>
      <c r="C3379" s="4" t="s">
        <v>11</v>
      </c>
      <c r="D3379" s="4" t="s">
        <v>7</v>
      </c>
      <c r="E3379" s="4" t="s">
        <v>15</v>
      </c>
      <c r="F3379" s="4" t="s">
        <v>55</v>
      </c>
      <c r="G3379" s="4" t="s">
        <v>7</v>
      </c>
      <c r="H3379" s="4" t="s">
        <v>7</v>
      </c>
      <c r="I3379" s="4" t="s">
        <v>7</v>
      </c>
      <c r="J3379" s="4" t="s">
        <v>15</v>
      </c>
      <c r="K3379" s="4" t="s">
        <v>55</v>
      </c>
      <c r="L3379" s="4" t="s">
        <v>7</v>
      </c>
      <c r="M3379" s="4" t="s">
        <v>7</v>
      </c>
    </row>
    <row r="3380" spans="1:13">
      <c r="A3380" t="n">
        <v>28106</v>
      </c>
      <c r="B3380" s="55" t="n">
        <v>26</v>
      </c>
      <c r="C3380" s="7" t="n">
        <v>0</v>
      </c>
      <c r="D3380" s="7" t="n">
        <v>17</v>
      </c>
      <c r="E3380" s="7" t="n">
        <v>63784</v>
      </c>
      <c r="F3380" s="7" t="s">
        <v>307</v>
      </c>
      <c r="G3380" s="7" t="n">
        <v>2</v>
      </c>
      <c r="H3380" s="7" t="n">
        <v>3</v>
      </c>
      <c r="I3380" s="7" t="n">
        <v>17</v>
      </c>
      <c r="J3380" s="7" t="n">
        <v>63785</v>
      </c>
      <c r="K3380" s="7" t="s">
        <v>308</v>
      </c>
      <c r="L3380" s="7" t="n">
        <v>2</v>
      </c>
      <c r="M3380" s="7" t="n">
        <v>0</v>
      </c>
    </row>
    <row r="3381" spans="1:13">
      <c r="A3381" t="s">
        <v>4</v>
      </c>
      <c r="B3381" s="4" t="s">
        <v>5</v>
      </c>
    </row>
    <row r="3382" spans="1:13">
      <c r="A3382" t="n">
        <v>28354</v>
      </c>
      <c r="B3382" s="27" t="n">
        <v>28</v>
      </c>
    </row>
    <row r="3383" spans="1:13">
      <c r="A3383" t="s">
        <v>4</v>
      </c>
      <c r="B3383" s="4" t="s">
        <v>5</v>
      </c>
      <c r="C3383" s="4" t="s">
        <v>7</v>
      </c>
      <c r="D3383" s="4" t="s">
        <v>11</v>
      </c>
      <c r="E3383" s="4" t="s">
        <v>8</v>
      </c>
    </row>
    <row r="3384" spans="1:13">
      <c r="A3384" t="n">
        <v>28355</v>
      </c>
      <c r="B3384" s="38" t="n">
        <v>51</v>
      </c>
      <c r="C3384" s="7" t="n">
        <v>4</v>
      </c>
      <c r="D3384" s="7" t="n">
        <v>1</v>
      </c>
      <c r="E3384" s="7" t="s">
        <v>173</v>
      </c>
    </row>
    <row r="3385" spans="1:13">
      <c r="A3385" t="s">
        <v>4</v>
      </c>
      <c r="B3385" s="4" t="s">
        <v>5</v>
      </c>
      <c r="C3385" s="4" t="s">
        <v>11</v>
      </c>
    </row>
    <row r="3386" spans="1:13">
      <c r="A3386" t="n">
        <v>28368</v>
      </c>
      <c r="B3386" s="29" t="n">
        <v>16</v>
      </c>
      <c r="C3386" s="7" t="n">
        <v>0</v>
      </c>
    </row>
    <row r="3387" spans="1:13">
      <c r="A3387" t="s">
        <v>4</v>
      </c>
      <c r="B3387" s="4" t="s">
        <v>5</v>
      </c>
      <c r="C3387" s="4" t="s">
        <v>11</v>
      </c>
      <c r="D3387" s="4" t="s">
        <v>7</v>
      </c>
      <c r="E3387" s="4" t="s">
        <v>15</v>
      </c>
      <c r="F3387" s="4" t="s">
        <v>55</v>
      </c>
      <c r="G3387" s="4" t="s">
        <v>7</v>
      </c>
      <c r="H3387" s="4" t="s">
        <v>7</v>
      </c>
      <c r="I3387" s="4" t="s">
        <v>7</v>
      </c>
      <c r="J3387" s="4" t="s">
        <v>15</v>
      </c>
      <c r="K3387" s="4" t="s">
        <v>55</v>
      </c>
      <c r="L3387" s="4" t="s">
        <v>7</v>
      </c>
      <c r="M3387" s="4" t="s">
        <v>7</v>
      </c>
    </row>
    <row r="3388" spans="1:13">
      <c r="A3388" t="n">
        <v>28371</v>
      </c>
      <c r="B3388" s="55" t="n">
        <v>26</v>
      </c>
      <c r="C3388" s="7" t="n">
        <v>1</v>
      </c>
      <c r="D3388" s="7" t="n">
        <v>17</v>
      </c>
      <c r="E3388" s="7" t="n">
        <v>63786</v>
      </c>
      <c r="F3388" s="7" t="s">
        <v>309</v>
      </c>
      <c r="G3388" s="7" t="n">
        <v>2</v>
      </c>
      <c r="H3388" s="7" t="n">
        <v>3</v>
      </c>
      <c r="I3388" s="7" t="n">
        <v>17</v>
      </c>
      <c r="J3388" s="7" t="n">
        <v>63787</v>
      </c>
      <c r="K3388" s="7" t="s">
        <v>310</v>
      </c>
      <c r="L3388" s="7" t="n">
        <v>2</v>
      </c>
      <c r="M3388" s="7" t="n">
        <v>0</v>
      </c>
    </row>
    <row r="3389" spans="1:13">
      <c r="A3389" t="s">
        <v>4</v>
      </c>
      <c r="B3389" s="4" t="s">
        <v>5</v>
      </c>
    </row>
    <row r="3390" spans="1:13">
      <c r="A3390" t="n">
        <v>28524</v>
      </c>
      <c r="B3390" s="27" t="n">
        <v>28</v>
      </c>
    </row>
    <row r="3391" spans="1:13">
      <c r="A3391" t="s">
        <v>4</v>
      </c>
      <c r="B3391" s="4" t="s">
        <v>5</v>
      </c>
      <c r="C3391" s="4" t="s">
        <v>7</v>
      </c>
      <c r="D3391" s="4" t="s">
        <v>11</v>
      </c>
      <c r="E3391" s="4" t="s">
        <v>8</v>
      </c>
    </row>
    <row r="3392" spans="1:13">
      <c r="A3392" t="n">
        <v>28525</v>
      </c>
      <c r="B3392" s="38" t="n">
        <v>51</v>
      </c>
      <c r="C3392" s="7" t="n">
        <v>4</v>
      </c>
      <c r="D3392" s="7" t="n">
        <v>0</v>
      </c>
      <c r="E3392" s="7" t="s">
        <v>242</v>
      </c>
    </row>
    <row r="3393" spans="1:13">
      <c r="A3393" t="s">
        <v>4</v>
      </c>
      <c r="B3393" s="4" t="s">
        <v>5</v>
      </c>
      <c r="C3393" s="4" t="s">
        <v>11</v>
      </c>
    </row>
    <row r="3394" spans="1:13">
      <c r="A3394" t="n">
        <v>28539</v>
      </c>
      <c r="B3394" s="29" t="n">
        <v>16</v>
      </c>
      <c r="C3394" s="7" t="n">
        <v>0</v>
      </c>
    </row>
    <row r="3395" spans="1:13">
      <c r="A3395" t="s">
        <v>4</v>
      </c>
      <c r="B3395" s="4" t="s">
        <v>5</v>
      </c>
      <c r="C3395" s="4" t="s">
        <v>11</v>
      </c>
      <c r="D3395" s="4" t="s">
        <v>7</v>
      </c>
      <c r="E3395" s="4" t="s">
        <v>15</v>
      </c>
      <c r="F3395" s="4" t="s">
        <v>55</v>
      </c>
      <c r="G3395" s="4" t="s">
        <v>7</v>
      </c>
      <c r="H3395" s="4" t="s">
        <v>7</v>
      </c>
      <c r="I3395" s="4" t="s">
        <v>7</v>
      </c>
      <c r="J3395" s="4" t="s">
        <v>15</v>
      </c>
      <c r="K3395" s="4" t="s">
        <v>55</v>
      </c>
      <c r="L3395" s="4" t="s">
        <v>7</v>
      </c>
      <c r="M3395" s="4" t="s">
        <v>7</v>
      </c>
    </row>
    <row r="3396" spans="1:13">
      <c r="A3396" t="n">
        <v>28542</v>
      </c>
      <c r="B3396" s="55" t="n">
        <v>26</v>
      </c>
      <c r="C3396" s="7" t="n">
        <v>0</v>
      </c>
      <c r="D3396" s="7" t="n">
        <v>17</v>
      </c>
      <c r="E3396" s="7" t="n">
        <v>63788</v>
      </c>
      <c r="F3396" s="7" t="s">
        <v>311</v>
      </c>
      <c r="G3396" s="7" t="n">
        <v>2</v>
      </c>
      <c r="H3396" s="7" t="n">
        <v>3</v>
      </c>
      <c r="I3396" s="7" t="n">
        <v>17</v>
      </c>
      <c r="J3396" s="7" t="n">
        <v>63789</v>
      </c>
      <c r="K3396" s="7" t="s">
        <v>312</v>
      </c>
      <c r="L3396" s="7" t="n">
        <v>2</v>
      </c>
      <c r="M3396" s="7" t="n">
        <v>0</v>
      </c>
    </row>
    <row r="3397" spans="1:13">
      <c r="A3397" t="s">
        <v>4</v>
      </c>
      <c r="B3397" s="4" t="s">
        <v>5</v>
      </c>
    </row>
    <row r="3398" spans="1:13">
      <c r="A3398" t="n">
        <v>28730</v>
      </c>
      <c r="B3398" s="27" t="n">
        <v>28</v>
      </c>
    </row>
    <row r="3399" spans="1:13">
      <c r="A3399" t="s">
        <v>4</v>
      </c>
      <c r="B3399" s="4" t="s">
        <v>5</v>
      </c>
      <c r="C3399" s="4" t="s">
        <v>7</v>
      </c>
      <c r="D3399" s="4" t="s">
        <v>11</v>
      </c>
      <c r="E3399" s="4" t="s">
        <v>8</v>
      </c>
    </row>
    <row r="3400" spans="1:13">
      <c r="A3400" t="n">
        <v>28731</v>
      </c>
      <c r="B3400" s="38" t="n">
        <v>51</v>
      </c>
      <c r="C3400" s="7" t="n">
        <v>4</v>
      </c>
      <c r="D3400" s="7" t="n">
        <v>1</v>
      </c>
      <c r="E3400" s="7" t="s">
        <v>313</v>
      </c>
    </row>
    <row r="3401" spans="1:13">
      <c r="A3401" t="s">
        <v>4</v>
      </c>
      <c r="B3401" s="4" t="s">
        <v>5</v>
      </c>
      <c r="C3401" s="4" t="s">
        <v>11</v>
      </c>
    </row>
    <row r="3402" spans="1:13">
      <c r="A3402" t="n">
        <v>28744</v>
      </c>
      <c r="B3402" s="29" t="n">
        <v>16</v>
      </c>
      <c r="C3402" s="7" t="n">
        <v>0</v>
      </c>
    </row>
    <row r="3403" spans="1:13">
      <c r="A3403" t="s">
        <v>4</v>
      </c>
      <c r="B3403" s="4" t="s">
        <v>5</v>
      </c>
      <c r="C3403" s="4" t="s">
        <v>11</v>
      </c>
      <c r="D3403" s="4" t="s">
        <v>7</v>
      </c>
      <c r="E3403" s="4" t="s">
        <v>15</v>
      </c>
      <c r="F3403" s="4" t="s">
        <v>55</v>
      </c>
      <c r="G3403" s="4" t="s">
        <v>7</v>
      </c>
      <c r="H3403" s="4" t="s">
        <v>7</v>
      </c>
      <c r="I3403" s="4" t="s">
        <v>7</v>
      </c>
      <c r="J3403" s="4" t="s">
        <v>15</v>
      </c>
      <c r="K3403" s="4" t="s">
        <v>55</v>
      </c>
      <c r="L3403" s="4" t="s">
        <v>7</v>
      </c>
      <c r="M3403" s="4" t="s">
        <v>7</v>
      </c>
      <c r="N3403" s="4" t="s">
        <v>7</v>
      </c>
      <c r="O3403" s="4" t="s">
        <v>15</v>
      </c>
      <c r="P3403" s="4" t="s">
        <v>55</v>
      </c>
      <c r="Q3403" s="4" t="s">
        <v>7</v>
      </c>
      <c r="R3403" s="4" t="s">
        <v>7</v>
      </c>
      <c r="S3403" s="4" t="s">
        <v>7</v>
      </c>
      <c r="T3403" s="4" t="s">
        <v>15</v>
      </c>
      <c r="U3403" s="4" t="s">
        <v>55</v>
      </c>
      <c r="V3403" s="4" t="s">
        <v>7</v>
      </c>
      <c r="W3403" s="4" t="s">
        <v>7</v>
      </c>
    </row>
    <row r="3404" spans="1:13">
      <c r="A3404" t="n">
        <v>28747</v>
      </c>
      <c r="B3404" s="55" t="n">
        <v>26</v>
      </c>
      <c r="C3404" s="7" t="n">
        <v>1</v>
      </c>
      <c r="D3404" s="7" t="n">
        <v>17</v>
      </c>
      <c r="E3404" s="7" t="n">
        <v>63790</v>
      </c>
      <c r="F3404" s="7" t="s">
        <v>314</v>
      </c>
      <c r="G3404" s="7" t="n">
        <v>2</v>
      </c>
      <c r="H3404" s="7" t="n">
        <v>3</v>
      </c>
      <c r="I3404" s="7" t="n">
        <v>17</v>
      </c>
      <c r="J3404" s="7" t="n">
        <v>63791</v>
      </c>
      <c r="K3404" s="7" t="s">
        <v>315</v>
      </c>
      <c r="L3404" s="7" t="n">
        <v>2</v>
      </c>
      <c r="M3404" s="7" t="n">
        <v>3</v>
      </c>
      <c r="N3404" s="7" t="n">
        <v>17</v>
      </c>
      <c r="O3404" s="7" t="n">
        <v>63792</v>
      </c>
      <c r="P3404" s="7" t="s">
        <v>316</v>
      </c>
      <c r="Q3404" s="7" t="n">
        <v>2</v>
      </c>
      <c r="R3404" s="7" t="n">
        <v>3</v>
      </c>
      <c r="S3404" s="7" t="n">
        <v>17</v>
      </c>
      <c r="T3404" s="7" t="n">
        <v>63793</v>
      </c>
      <c r="U3404" s="7" t="s">
        <v>317</v>
      </c>
      <c r="V3404" s="7" t="n">
        <v>2</v>
      </c>
      <c r="W3404" s="7" t="n">
        <v>0</v>
      </c>
    </row>
    <row r="3405" spans="1:13">
      <c r="A3405" t="s">
        <v>4</v>
      </c>
      <c r="B3405" s="4" t="s">
        <v>5</v>
      </c>
    </row>
    <row r="3406" spans="1:13">
      <c r="A3406" t="n">
        <v>29143</v>
      </c>
      <c r="B3406" s="27" t="n">
        <v>28</v>
      </c>
    </row>
    <row r="3407" spans="1:13">
      <c r="A3407" t="s">
        <v>4</v>
      </c>
      <c r="B3407" s="4" t="s">
        <v>5</v>
      </c>
      <c r="C3407" s="4" t="s">
        <v>7</v>
      </c>
      <c r="D3407" s="4" t="s">
        <v>11</v>
      </c>
      <c r="E3407" s="4" t="s">
        <v>8</v>
      </c>
    </row>
    <row r="3408" spans="1:13">
      <c r="A3408" t="n">
        <v>29144</v>
      </c>
      <c r="B3408" s="38" t="n">
        <v>51</v>
      </c>
      <c r="C3408" s="7" t="n">
        <v>4</v>
      </c>
      <c r="D3408" s="7" t="n">
        <v>0</v>
      </c>
      <c r="E3408" s="7" t="s">
        <v>147</v>
      </c>
    </row>
    <row r="3409" spans="1:23">
      <c r="A3409" t="s">
        <v>4</v>
      </c>
      <c r="B3409" s="4" t="s">
        <v>5</v>
      </c>
      <c r="C3409" s="4" t="s">
        <v>11</v>
      </c>
    </row>
    <row r="3410" spans="1:23">
      <c r="A3410" t="n">
        <v>29158</v>
      </c>
      <c r="B3410" s="29" t="n">
        <v>16</v>
      </c>
      <c r="C3410" s="7" t="n">
        <v>0</v>
      </c>
    </row>
    <row r="3411" spans="1:23">
      <c r="A3411" t="s">
        <v>4</v>
      </c>
      <c r="B3411" s="4" t="s">
        <v>5</v>
      </c>
      <c r="C3411" s="4" t="s">
        <v>11</v>
      </c>
      <c r="D3411" s="4" t="s">
        <v>7</v>
      </c>
      <c r="E3411" s="4" t="s">
        <v>15</v>
      </c>
      <c r="F3411" s="4" t="s">
        <v>55</v>
      </c>
      <c r="G3411" s="4" t="s">
        <v>7</v>
      </c>
      <c r="H3411" s="4" t="s">
        <v>7</v>
      </c>
    </row>
    <row r="3412" spans="1:23">
      <c r="A3412" t="n">
        <v>29161</v>
      </c>
      <c r="B3412" s="55" t="n">
        <v>26</v>
      </c>
      <c r="C3412" s="7" t="n">
        <v>0</v>
      </c>
      <c r="D3412" s="7" t="n">
        <v>17</v>
      </c>
      <c r="E3412" s="7" t="n">
        <v>64268</v>
      </c>
      <c r="F3412" s="7" t="s">
        <v>318</v>
      </c>
      <c r="G3412" s="7" t="n">
        <v>2</v>
      </c>
      <c r="H3412" s="7" t="n">
        <v>0</v>
      </c>
    </row>
    <row r="3413" spans="1:23">
      <c r="A3413" t="s">
        <v>4</v>
      </c>
      <c r="B3413" s="4" t="s">
        <v>5</v>
      </c>
    </row>
    <row r="3414" spans="1:23">
      <c r="A3414" t="n">
        <v>29177</v>
      </c>
      <c r="B3414" s="27" t="n">
        <v>28</v>
      </c>
    </row>
    <row r="3415" spans="1:23">
      <c r="A3415" t="s">
        <v>4</v>
      </c>
      <c r="B3415" s="4" t="s">
        <v>5</v>
      </c>
      <c r="C3415" s="4" t="s">
        <v>7</v>
      </c>
      <c r="D3415" s="4" t="s">
        <v>11</v>
      </c>
      <c r="E3415" s="4" t="s">
        <v>7</v>
      </c>
    </row>
    <row r="3416" spans="1:23">
      <c r="A3416" t="n">
        <v>29178</v>
      </c>
      <c r="B3416" s="13" t="n">
        <v>49</v>
      </c>
      <c r="C3416" s="7" t="n">
        <v>1</v>
      </c>
      <c r="D3416" s="7" t="n">
        <v>3000</v>
      </c>
      <c r="E3416" s="7" t="n">
        <v>0</v>
      </c>
    </row>
    <row r="3417" spans="1:23">
      <c r="A3417" t="s">
        <v>4</v>
      </c>
      <c r="B3417" s="4" t="s">
        <v>5</v>
      </c>
      <c r="C3417" s="4" t="s">
        <v>7</v>
      </c>
      <c r="D3417" s="4" t="s">
        <v>11</v>
      </c>
      <c r="E3417" s="4" t="s">
        <v>8</v>
      </c>
      <c r="F3417" s="4" t="s">
        <v>8</v>
      </c>
      <c r="G3417" s="4" t="s">
        <v>8</v>
      </c>
      <c r="H3417" s="4" t="s">
        <v>8</v>
      </c>
    </row>
    <row r="3418" spans="1:23">
      <c r="A3418" t="n">
        <v>29183</v>
      </c>
      <c r="B3418" s="38" t="n">
        <v>51</v>
      </c>
      <c r="C3418" s="7" t="n">
        <v>3</v>
      </c>
      <c r="D3418" s="7" t="n">
        <v>1</v>
      </c>
      <c r="E3418" s="7" t="s">
        <v>319</v>
      </c>
      <c r="F3418" s="7" t="s">
        <v>99</v>
      </c>
      <c r="G3418" s="7" t="s">
        <v>78</v>
      </c>
      <c r="H3418" s="7" t="s">
        <v>79</v>
      </c>
    </row>
    <row r="3419" spans="1:23">
      <c r="A3419" t="s">
        <v>4</v>
      </c>
      <c r="B3419" s="4" t="s">
        <v>5</v>
      </c>
      <c r="C3419" s="4" t="s">
        <v>11</v>
      </c>
      <c r="D3419" s="4" t="s">
        <v>7</v>
      </c>
      <c r="E3419" s="4" t="s">
        <v>13</v>
      </c>
      <c r="F3419" s="4" t="s">
        <v>11</v>
      </c>
    </row>
    <row r="3420" spans="1:23">
      <c r="A3420" t="n">
        <v>29196</v>
      </c>
      <c r="B3420" s="56" t="n">
        <v>59</v>
      </c>
      <c r="C3420" s="7" t="n">
        <v>1</v>
      </c>
      <c r="D3420" s="7" t="n">
        <v>9</v>
      </c>
      <c r="E3420" s="7" t="n">
        <v>0.150000005960464</v>
      </c>
      <c r="F3420" s="7" t="n">
        <v>0</v>
      </c>
    </row>
    <row r="3421" spans="1:23">
      <c r="A3421" t="s">
        <v>4</v>
      </c>
      <c r="B3421" s="4" t="s">
        <v>5</v>
      </c>
      <c r="C3421" s="4" t="s">
        <v>11</v>
      </c>
    </row>
    <row r="3422" spans="1:23">
      <c r="A3422" t="n">
        <v>29206</v>
      </c>
      <c r="B3422" s="29" t="n">
        <v>16</v>
      </c>
      <c r="C3422" s="7" t="n">
        <v>1800</v>
      </c>
    </row>
    <row r="3423" spans="1:23">
      <c r="A3423" t="s">
        <v>4</v>
      </c>
      <c r="B3423" s="4" t="s">
        <v>5</v>
      </c>
      <c r="C3423" s="4" t="s">
        <v>7</v>
      </c>
      <c r="D3423" s="4" t="s">
        <v>11</v>
      </c>
      <c r="E3423" s="4" t="s">
        <v>13</v>
      </c>
    </row>
    <row r="3424" spans="1:23">
      <c r="A3424" t="n">
        <v>29209</v>
      </c>
      <c r="B3424" s="23" t="n">
        <v>58</v>
      </c>
      <c r="C3424" s="7" t="n">
        <v>101</v>
      </c>
      <c r="D3424" s="7" t="n">
        <v>800</v>
      </c>
      <c r="E3424" s="7" t="n">
        <v>1</v>
      </c>
    </row>
    <row r="3425" spans="1:8">
      <c r="A3425" t="s">
        <v>4</v>
      </c>
      <c r="B3425" s="4" t="s">
        <v>5</v>
      </c>
      <c r="C3425" s="4" t="s">
        <v>7</v>
      </c>
      <c r="D3425" s="4" t="s">
        <v>11</v>
      </c>
    </row>
    <row r="3426" spans="1:8">
      <c r="A3426" t="n">
        <v>29217</v>
      </c>
      <c r="B3426" s="23" t="n">
        <v>58</v>
      </c>
      <c r="C3426" s="7" t="n">
        <v>254</v>
      </c>
      <c r="D3426" s="7" t="n">
        <v>0</v>
      </c>
    </row>
    <row r="3427" spans="1:8">
      <c r="A3427" t="s">
        <v>4</v>
      </c>
      <c r="B3427" s="4" t="s">
        <v>5</v>
      </c>
      <c r="C3427" s="4" t="s">
        <v>7</v>
      </c>
      <c r="D3427" s="4" t="s">
        <v>7</v>
      </c>
      <c r="E3427" s="4" t="s">
        <v>13</v>
      </c>
      <c r="F3427" s="4" t="s">
        <v>13</v>
      </c>
      <c r="G3427" s="4" t="s">
        <v>13</v>
      </c>
      <c r="H3427" s="4" t="s">
        <v>11</v>
      </c>
    </row>
    <row r="3428" spans="1:8">
      <c r="A3428" t="n">
        <v>29221</v>
      </c>
      <c r="B3428" s="51" t="n">
        <v>45</v>
      </c>
      <c r="C3428" s="7" t="n">
        <v>2</v>
      </c>
      <c r="D3428" s="7" t="n">
        <v>3</v>
      </c>
      <c r="E3428" s="7" t="n">
        <v>-7.36999988555908</v>
      </c>
      <c r="F3428" s="7" t="n">
        <v>6.36999988555908</v>
      </c>
      <c r="G3428" s="7" t="n">
        <v>29.8199996948242</v>
      </c>
      <c r="H3428" s="7" t="n">
        <v>0</v>
      </c>
    </row>
    <row r="3429" spans="1:8">
      <c r="A3429" t="s">
        <v>4</v>
      </c>
      <c r="B3429" s="4" t="s">
        <v>5</v>
      </c>
      <c r="C3429" s="4" t="s">
        <v>7</v>
      </c>
      <c r="D3429" s="4" t="s">
        <v>7</v>
      </c>
      <c r="E3429" s="4" t="s">
        <v>13</v>
      </c>
      <c r="F3429" s="4" t="s">
        <v>13</v>
      </c>
      <c r="G3429" s="4" t="s">
        <v>13</v>
      </c>
      <c r="H3429" s="4" t="s">
        <v>11</v>
      </c>
      <c r="I3429" s="4" t="s">
        <v>7</v>
      </c>
    </row>
    <row r="3430" spans="1:8">
      <c r="A3430" t="n">
        <v>29238</v>
      </c>
      <c r="B3430" s="51" t="n">
        <v>45</v>
      </c>
      <c r="C3430" s="7" t="n">
        <v>4</v>
      </c>
      <c r="D3430" s="7" t="n">
        <v>3</v>
      </c>
      <c r="E3430" s="7" t="n">
        <v>10.3299999237061</v>
      </c>
      <c r="F3430" s="7" t="n">
        <v>61.2000007629395</v>
      </c>
      <c r="G3430" s="7" t="n">
        <v>356</v>
      </c>
      <c r="H3430" s="7" t="n">
        <v>0</v>
      </c>
      <c r="I3430" s="7" t="n">
        <v>0</v>
      </c>
    </row>
    <row r="3431" spans="1:8">
      <c r="A3431" t="s">
        <v>4</v>
      </c>
      <c r="B3431" s="4" t="s">
        <v>5</v>
      </c>
      <c r="C3431" s="4" t="s">
        <v>7</v>
      </c>
      <c r="D3431" s="4" t="s">
        <v>7</v>
      </c>
      <c r="E3431" s="4" t="s">
        <v>13</v>
      </c>
      <c r="F3431" s="4" t="s">
        <v>11</v>
      </c>
    </row>
    <row r="3432" spans="1:8">
      <c r="A3432" t="n">
        <v>29256</v>
      </c>
      <c r="B3432" s="51" t="n">
        <v>45</v>
      </c>
      <c r="C3432" s="7" t="n">
        <v>5</v>
      </c>
      <c r="D3432" s="7" t="n">
        <v>3</v>
      </c>
      <c r="E3432" s="7" t="n">
        <v>0.800000011920929</v>
      </c>
      <c r="F3432" s="7" t="n">
        <v>0</v>
      </c>
    </row>
    <row r="3433" spans="1:8">
      <c r="A3433" t="s">
        <v>4</v>
      </c>
      <c r="B3433" s="4" t="s">
        <v>5</v>
      </c>
      <c r="C3433" s="4" t="s">
        <v>7</v>
      </c>
      <c r="D3433" s="4" t="s">
        <v>7</v>
      </c>
      <c r="E3433" s="4" t="s">
        <v>13</v>
      </c>
      <c r="F3433" s="4" t="s">
        <v>11</v>
      </c>
    </row>
    <row r="3434" spans="1:8">
      <c r="A3434" t="n">
        <v>29265</v>
      </c>
      <c r="B3434" s="51" t="n">
        <v>45</v>
      </c>
      <c r="C3434" s="7" t="n">
        <v>11</v>
      </c>
      <c r="D3434" s="7" t="n">
        <v>3</v>
      </c>
      <c r="E3434" s="7" t="n">
        <v>40.2999992370605</v>
      </c>
      <c r="F3434" s="7" t="n">
        <v>0</v>
      </c>
    </row>
    <row r="3435" spans="1:8">
      <c r="A3435" t="s">
        <v>4</v>
      </c>
      <c r="B3435" s="4" t="s">
        <v>5</v>
      </c>
      <c r="C3435" s="4" t="s">
        <v>7</v>
      </c>
    </row>
    <row r="3436" spans="1:8">
      <c r="A3436" t="n">
        <v>29274</v>
      </c>
      <c r="B3436" s="49" t="n">
        <v>116</v>
      </c>
      <c r="C3436" s="7" t="n">
        <v>0</v>
      </c>
    </row>
    <row r="3437" spans="1:8">
      <c r="A3437" t="s">
        <v>4</v>
      </c>
      <c r="B3437" s="4" t="s">
        <v>5</v>
      </c>
      <c r="C3437" s="4" t="s">
        <v>7</v>
      </c>
      <c r="D3437" s="4" t="s">
        <v>11</v>
      </c>
    </row>
    <row r="3438" spans="1:8">
      <c r="A3438" t="n">
        <v>29276</v>
      </c>
      <c r="B3438" s="49" t="n">
        <v>116</v>
      </c>
      <c r="C3438" s="7" t="n">
        <v>2</v>
      </c>
      <c r="D3438" s="7" t="n">
        <v>1</v>
      </c>
    </row>
    <row r="3439" spans="1:8">
      <c r="A3439" t="s">
        <v>4</v>
      </c>
      <c r="B3439" s="4" t="s">
        <v>5</v>
      </c>
      <c r="C3439" s="4" t="s">
        <v>7</v>
      </c>
      <c r="D3439" s="4" t="s">
        <v>15</v>
      </c>
    </row>
    <row r="3440" spans="1:8">
      <c r="A3440" t="n">
        <v>29280</v>
      </c>
      <c r="B3440" s="49" t="n">
        <v>116</v>
      </c>
      <c r="C3440" s="7" t="n">
        <v>5</v>
      </c>
      <c r="D3440" s="7" t="n">
        <v>1077936128</v>
      </c>
    </row>
    <row r="3441" spans="1:9">
      <c r="A3441" t="s">
        <v>4</v>
      </c>
      <c r="B3441" s="4" t="s">
        <v>5</v>
      </c>
      <c r="C3441" s="4" t="s">
        <v>7</v>
      </c>
      <c r="D3441" s="4" t="s">
        <v>11</v>
      </c>
    </row>
    <row r="3442" spans="1:9">
      <c r="A3442" t="n">
        <v>29286</v>
      </c>
      <c r="B3442" s="49" t="n">
        <v>116</v>
      </c>
      <c r="C3442" s="7" t="n">
        <v>6</v>
      </c>
      <c r="D3442" s="7" t="n">
        <v>1</v>
      </c>
    </row>
    <row r="3443" spans="1:9">
      <c r="A3443" t="s">
        <v>4</v>
      </c>
      <c r="B3443" s="4" t="s">
        <v>5</v>
      </c>
      <c r="C3443" s="4" t="s">
        <v>7</v>
      </c>
      <c r="D3443" s="4" t="s">
        <v>11</v>
      </c>
      <c r="E3443" s="4" t="s">
        <v>8</v>
      </c>
      <c r="F3443" s="4" t="s">
        <v>8</v>
      </c>
      <c r="G3443" s="4" t="s">
        <v>8</v>
      </c>
      <c r="H3443" s="4" t="s">
        <v>8</v>
      </c>
    </row>
    <row r="3444" spans="1:9">
      <c r="A3444" t="n">
        <v>29290</v>
      </c>
      <c r="B3444" s="38" t="n">
        <v>51</v>
      </c>
      <c r="C3444" s="7" t="n">
        <v>3</v>
      </c>
      <c r="D3444" s="7" t="n">
        <v>1</v>
      </c>
      <c r="E3444" s="7" t="s">
        <v>232</v>
      </c>
      <c r="F3444" s="7" t="s">
        <v>99</v>
      </c>
      <c r="G3444" s="7" t="s">
        <v>78</v>
      </c>
      <c r="H3444" s="7" t="s">
        <v>79</v>
      </c>
    </row>
    <row r="3445" spans="1:9">
      <c r="A3445" t="s">
        <v>4</v>
      </c>
      <c r="B3445" s="4" t="s">
        <v>5</v>
      </c>
      <c r="C3445" s="4" t="s">
        <v>11</v>
      </c>
      <c r="D3445" s="4" t="s">
        <v>11</v>
      </c>
      <c r="E3445" s="4" t="s">
        <v>13</v>
      </c>
      <c r="F3445" s="4" t="s">
        <v>7</v>
      </c>
    </row>
    <row r="3446" spans="1:9">
      <c r="A3446" t="n">
        <v>29303</v>
      </c>
      <c r="B3446" s="73" t="n">
        <v>53</v>
      </c>
      <c r="C3446" s="7" t="n">
        <v>0</v>
      </c>
      <c r="D3446" s="7" t="n">
        <v>1</v>
      </c>
      <c r="E3446" s="7" t="n">
        <v>0</v>
      </c>
      <c r="F3446" s="7" t="n">
        <v>0</v>
      </c>
    </row>
    <row r="3447" spans="1:9">
      <c r="A3447" t="s">
        <v>4</v>
      </c>
      <c r="B3447" s="4" t="s">
        <v>5</v>
      </c>
      <c r="C3447" s="4" t="s">
        <v>7</v>
      </c>
      <c r="D3447" s="4" t="s">
        <v>11</v>
      </c>
    </row>
    <row r="3448" spans="1:9">
      <c r="A3448" t="n">
        <v>29313</v>
      </c>
      <c r="B3448" s="23" t="n">
        <v>58</v>
      </c>
      <c r="C3448" s="7" t="n">
        <v>255</v>
      </c>
      <c r="D3448" s="7" t="n">
        <v>0</v>
      </c>
    </row>
    <row r="3449" spans="1:9">
      <c r="A3449" t="s">
        <v>4</v>
      </c>
      <c r="B3449" s="4" t="s">
        <v>5</v>
      </c>
      <c r="C3449" s="4" t="s">
        <v>11</v>
      </c>
      <c r="D3449" s="4" t="s">
        <v>11</v>
      </c>
      <c r="E3449" s="4" t="s">
        <v>13</v>
      </c>
      <c r="F3449" s="4" t="s">
        <v>7</v>
      </c>
    </row>
    <row r="3450" spans="1:9">
      <c r="A3450" t="n">
        <v>29317</v>
      </c>
      <c r="B3450" s="73" t="n">
        <v>53</v>
      </c>
      <c r="C3450" s="7" t="n">
        <v>1</v>
      </c>
      <c r="D3450" s="7" t="n">
        <v>0</v>
      </c>
      <c r="E3450" s="7" t="n">
        <v>5</v>
      </c>
      <c r="F3450" s="7" t="n">
        <v>0</v>
      </c>
    </row>
    <row r="3451" spans="1:9">
      <c r="A3451" t="s">
        <v>4</v>
      </c>
      <c r="B3451" s="4" t="s">
        <v>5</v>
      </c>
      <c r="C3451" s="4" t="s">
        <v>11</v>
      </c>
    </row>
    <row r="3452" spans="1:9">
      <c r="A3452" t="n">
        <v>29327</v>
      </c>
      <c r="B3452" s="66" t="n">
        <v>54</v>
      </c>
      <c r="C3452" s="7" t="n">
        <v>1</v>
      </c>
    </row>
    <row r="3453" spans="1:9">
      <c r="A3453" t="s">
        <v>4</v>
      </c>
      <c r="B3453" s="4" t="s">
        <v>5</v>
      </c>
      <c r="C3453" s="4" t="s">
        <v>7</v>
      </c>
      <c r="D3453" s="4" t="s">
        <v>7</v>
      </c>
    </row>
    <row r="3454" spans="1:9">
      <c r="A3454" t="n">
        <v>29330</v>
      </c>
      <c r="B3454" s="13" t="n">
        <v>49</v>
      </c>
      <c r="C3454" s="7" t="n">
        <v>2</v>
      </c>
      <c r="D3454" s="7" t="n">
        <v>0</v>
      </c>
    </row>
    <row r="3455" spans="1:9">
      <c r="A3455" t="s">
        <v>4</v>
      </c>
      <c r="B3455" s="4" t="s">
        <v>5</v>
      </c>
      <c r="C3455" s="4" t="s">
        <v>7</v>
      </c>
      <c r="D3455" s="4" t="s">
        <v>11</v>
      </c>
      <c r="E3455" s="4" t="s">
        <v>15</v>
      </c>
      <c r="F3455" s="4" t="s">
        <v>11</v>
      </c>
      <c r="G3455" s="4" t="s">
        <v>15</v>
      </c>
      <c r="H3455" s="4" t="s">
        <v>7</v>
      </c>
    </row>
    <row r="3456" spans="1:9">
      <c r="A3456" t="n">
        <v>29333</v>
      </c>
      <c r="B3456" s="13" t="n">
        <v>49</v>
      </c>
      <c r="C3456" s="7" t="n">
        <v>0</v>
      </c>
      <c r="D3456" s="7" t="n">
        <v>551</v>
      </c>
      <c r="E3456" s="7" t="n">
        <v>1061997773</v>
      </c>
      <c r="F3456" s="7" t="n">
        <v>0</v>
      </c>
      <c r="G3456" s="7" t="n">
        <v>0</v>
      </c>
      <c r="H3456" s="7" t="n">
        <v>0</v>
      </c>
    </row>
    <row r="3457" spans="1:8">
      <c r="A3457" t="s">
        <v>4</v>
      </c>
      <c r="B3457" s="4" t="s">
        <v>5</v>
      </c>
      <c r="C3457" s="4" t="s">
        <v>7</v>
      </c>
      <c r="D3457" s="4" t="s">
        <v>11</v>
      </c>
    </row>
    <row r="3458" spans="1:8">
      <c r="A3458" t="n">
        <v>29348</v>
      </c>
      <c r="B3458" s="13" t="n">
        <v>49</v>
      </c>
      <c r="C3458" s="7" t="n">
        <v>6</v>
      </c>
      <c r="D3458" s="7" t="n">
        <v>551</v>
      </c>
    </row>
    <row r="3459" spans="1:8">
      <c r="A3459" t="s">
        <v>4</v>
      </c>
      <c r="B3459" s="4" t="s">
        <v>5</v>
      </c>
      <c r="C3459" s="4" t="s">
        <v>11</v>
      </c>
    </row>
    <row r="3460" spans="1:8">
      <c r="A3460" t="n">
        <v>29352</v>
      </c>
      <c r="B3460" s="29" t="n">
        <v>16</v>
      </c>
      <c r="C3460" s="7" t="n">
        <v>500</v>
      </c>
    </row>
    <row r="3461" spans="1:8">
      <c r="A3461" t="s">
        <v>4</v>
      </c>
      <c r="B3461" s="4" t="s">
        <v>5</v>
      </c>
      <c r="C3461" s="4" t="s">
        <v>7</v>
      </c>
      <c r="D3461" s="4" t="s">
        <v>11</v>
      </c>
      <c r="E3461" s="4" t="s">
        <v>8</v>
      </c>
    </row>
    <row r="3462" spans="1:8">
      <c r="A3462" t="n">
        <v>29355</v>
      </c>
      <c r="B3462" s="38" t="n">
        <v>51</v>
      </c>
      <c r="C3462" s="7" t="n">
        <v>4</v>
      </c>
      <c r="D3462" s="7" t="n">
        <v>1</v>
      </c>
      <c r="E3462" s="7" t="s">
        <v>167</v>
      </c>
    </row>
    <row r="3463" spans="1:8">
      <c r="A3463" t="s">
        <v>4</v>
      </c>
      <c r="B3463" s="4" t="s">
        <v>5</v>
      </c>
      <c r="C3463" s="4" t="s">
        <v>11</v>
      </c>
    </row>
    <row r="3464" spans="1:8">
      <c r="A3464" t="n">
        <v>29369</v>
      </c>
      <c r="B3464" s="29" t="n">
        <v>16</v>
      </c>
      <c r="C3464" s="7" t="n">
        <v>0</v>
      </c>
    </row>
    <row r="3465" spans="1:8">
      <c r="A3465" t="s">
        <v>4</v>
      </c>
      <c r="B3465" s="4" t="s">
        <v>5</v>
      </c>
      <c r="C3465" s="4" t="s">
        <v>11</v>
      </c>
      <c r="D3465" s="4" t="s">
        <v>7</v>
      </c>
      <c r="E3465" s="4" t="s">
        <v>15</v>
      </c>
      <c r="F3465" s="4" t="s">
        <v>55</v>
      </c>
      <c r="G3465" s="4" t="s">
        <v>7</v>
      </c>
      <c r="H3465" s="4" t="s">
        <v>7</v>
      </c>
      <c r="I3465" s="4" t="s">
        <v>7</v>
      </c>
      <c r="J3465" s="4" t="s">
        <v>15</v>
      </c>
      <c r="K3465" s="4" t="s">
        <v>55</v>
      </c>
      <c r="L3465" s="4" t="s">
        <v>7</v>
      </c>
      <c r="M3465" s="4" t="s">
        <v>7</v>
      </c>
    </row>
    <row r="3466" spans="1:8">
      <c r="A3466" t="n">
        <v>29372</v>
      </c>
      <c r="B3466" s="55" t="n">
        <v>26</v>
      </c>
      <c r="C3466" s="7" t="n">
        <v>1</v>
      </c>
      <c r="D3466" s="7" t="n">
        <v>17</v>
      </c>
      <c r="E3466" s="7" t="n">
        <v>1800</v>
      </c>
      <c r="F3466" s="7" t="s">
        <v>320</v>
      </c>
      <c r="G3466" s="7" t="n">
        <v>2</v>
      </c>
      <c r="H3466" s="7" t="n">
        <v>3</v>
      </c>
      <c r="I3466" s="7" t="n">
        <v>17</v>
      </c>
      <c r="J3466" s="7" t="n">
        <v>1801</v>
      </c>
      <c r="K3466" s="7" t="s">
        <v>321</v>
      </c>
      <c r="L3466" s="7" t="n">
        <v>2</v>
      </c>
      <c r="M3466" s="7" t="n">
        <v>0</v>
      </c>
    </row>
    <row r="3467" spans="1:8">
      <c r="A3467" t="s">
        <v>4</v>
      </c>
      <c r="B3467" s="4" t="s">
        <v>5</v>
      </c>
    </row>
    <row r="3468" spans="1:8">
      <c r="A3468" t="n">
        <v>29462</v>
      </c>
      <c r="B3468" s="27" t="n">
        <v>28</v>
      </c>
    </row>
    <row r="3469" spans="1:8">
      <c r="A3469" t="s">
        <v>4</v>
      </c>
      <c r="B3469" s="4" t="s">
        <v>5</v>
      </c>
      <c r="C3469" s="4" t="s">
        <v>7</v>
      </c>
      <c r="D3469" s="4" t="s">
        <v>11</v>
      </c>
      <c r="E3469" s="4" t="s">
        <v>8</v>
      </c>
    </row>
    <row r="3470" spans="1:8">
      <c r="A3470" t="n">
        <v>29463</v>
      </c>
      <c r="B3470" s="38" t="n">
        <v>51</v>
      </c>
      <c r="C3470" s="7" t="n">
        <v>4</v>
      </c>
      <c r="D3470" s="7" t="n">
        <v>0</v>
      </c>
      <c r="E3470" s="7" t="s">
        <v>322</v>
      </c>
    </row>
    <row r="3471" spans="1:8">
      <c r="A3471" t="s">
        <v>4</v>
      </c>
      <c r="B3471" s="4" t="s">
        <v>5</v>
      </c>
      <c r="C3471" s="4" t="s">
        <v>11</v>
      </c>
    </row>
    <row r="3472" spans="1:8">
      <c r="A3472" t="n">
        <v>29477</v>
      </c>
      <c r="B3472" s="29" t="n">
        <v>16</v>
      </c>
      <c r="C3472" s="7" t="n">
        <v>0</v>
      </c>
    </row>
    <row r="3473" spans="1:13">
      <c r="A3473" t="s">
        <v>4</v>
      </c>
      <c r="B3473" s="4" t="s">
        <v>5</v>
      </c>
      <c r="C3473" s="4" t="s">
        <v>11</v>
      </c>
      <c r="D3473" s="4" t="s">
        <v>7</v>
      </c>
      <c r="E3473" s="4" t="s">
        <v>15</v>
      </c>
      <c r="F3473" s="4" t="s">
        <v>55</v>
      </c>
      <c r="G3473" s="4" t="s">
        <v>7</v>
      </c>
      <c r="H3473" s="4" t="s">
        <v>7</v>
      </c>
    </row>
    <row r="3474" spans="1:13">
      <c r="A3474" t="n">
        <v>29480</v>
      </c>
      <c r="B3474" s="55" t="n">
        <v>26</v>
      </c>
      <c r="C3474" s="7" t="n">
        <v>0</v>
      </c>
      <c r="D3474" s="7" t="n">
        <v>17</v>
      </c>
      <c r="E3474" s="7" t="n">
        <v>63794</v>
      </c>
      <c r="F3474" s="7" t="s">
        <v>323</v>
      </c>
      <c r="G3474" s="7" t="n">
        <v>2</v>
      </c>
      <c r="H3474" s="7" t="n">
        <v>0</v>
      </c>
    </row>
    <row r="3475" spans="1:13">
      <c r="A3475" t="s">
        <v>4</v>
      </c>
      <c r="B3475" s="4" t="s">
        <v>5</v>
      </c>
    </row>
    <row r="3476" spans="1:13">
      <c r="A3476" t="n">
        <v>29507</v>
      </c>
      <c r="B3476" s="27" t="n">
        <v>28</v>
      </c>
    </row>
    <row r="3477" spans="1:13">
      <c r="A3477" t="s">
        <v>4</v>
      </c>
      <c r="B3477" s="4" t="s">
        <v>5</v>
      </c>
      <c r="C3477" s="4" t="s">
        <v>7</v>
      </c>
      <c r="D3477" s="4" t="s">
        <v>13</v>
      </c>
      <c r="E3477" s="4" t="s">
        <v>11</v>
      </c>
      <c r="F3477" s="4" t="s">
        <v>7</v>
      </c>
    </row>
    <row r="3478" spans="1:13">
      <c r="A3478" t="n">
        <v>29508</v>
      </c>
      <c r="B3478" s="13" t="n">
        <v>49</v>
      </c>
      <c r="C3478" s="7" t="n">
        <v>3</v>
      </c>
      <c r="D3478" s="7" t="n">
        <v>0.600000023841858</v>
      </c>
      <c r="E3478" s="7" t="n">
        <v>500</v>
      </c>
      <c r="F3478" s="7" t="n">
        <v>0</v>
      </c>
    </row>
    <row r="3479" spans="1:13">
      <c r="A3479" t="s">
        <v>4</v>
      </c>
      <c r="B3479" s="4" t="s">
        <v>5</v>
      </c>
      <c r="C3479" s="4" t="s">
        <v>7</v>
      </c>
      <c r="D3479" s="4" t="s">
        <v>7</v>
      </c>
      <c r="E3479" s="4" t="s">
        <v>7</v>
      </c>
      <c r="F3479" s="4" t="s">
        <v>13</v>
      </c>
      <c r="G3479" s="4" t="s">
        <v>13</v>
      </c>
      <c r="H3479" s="4" t="s">
        <v>13</v>
      </c>
      <c r="I3479" s="4" t="s">
        <v>13</v>
      </c>
      <c r="J3479" s="4" t="s">
        <v>13</v>
      </c>
    </row>
    <row r="3480" spans="1:13">
      <c r="A3480" t="n">
        <v>29517</v>
      </c>
      <c r="B3480" s="25" t="n">
        <v>76</v>
      </c>
      <c r="C3480" s="7" t="n">
        <v>1</v>
      </c>
      <c r="D3480" s="7" t="n">
        <v>3</v>
      </c>
      <c r="E3480" s="7" t="n">
        <v>0</v>
      </c>
      <c r="F3480" s="7" t="n">
        <v>1</v>
      </c>
      <c r="G3480" s="7" t="n">
        <v>1</v>
      </c>
      <c r="H3480" s="7" t="n">
        <v>1</v>
      </c>
      <c r="I3480" s="7" t="n">
        <v>1</v>
      </c>
      <c r="J3480" s="7" t="n">
        <v>1000</v>
      </c>
    </row>
    <row r="3481" spans="1:13">
      <c r="A3481" t="s">
        <v>4</v>
      </c>
      <c r="B3481" s="4" t="s">
        <v>5</v>
      </c>
      <c r="C3481" s="4" t="s">
        <v>7</v>
      </c>
      <c r="D3481" s="4" t="s">
        <v>7</v>
      </c>
    </row>
    <row r="3482" spans="1:13">
      <c r="A3482" t="n">
        <v>29541</v>
      </c>
      <c r="B3482" s="26" t="n">
        <v>77</v>
      </c>
      <c r="C3482" s="7" t="n">
        <v>1</v>
      </c>
      <c r="D3482" s="7" t="n">
        <v>3</v>
      </c>
    </row>
    <row r="3483" spans="1:13">
      <c r="A3483" t="s">
        <v>4</v>
      </c>
      <c r="B3483" s="4" t="s">
        <v>5</v>
      </c>
      <c r="C3483" s="4" t="s">
        <v>11</v>
      </c>
    </row>
    <row r="3484" spans="1:13">
      <c r="A3484" t="n">
        <v>29544</v>
      </c>
      <c r="B3484" s="29" t="n">
        <v>16</v>
      </c>
      <c r="C3484" s="7" t="n">
        <v>2000</v>
      </c>
    </row>
    <row r="3485" spans="1:13">
      <c r="A3485" t="s">
        <v>4</v>
      </c>
      <c r="B3485" s="4" t="s">
        <v>5</v>
      </c>
      <c r="C3485" s="4" t="s">
        <v>7</v>
      </c>
      <c r="D3485" s="4" t="s">
        <v>13</v>
      </c>
      <c r="E3485" s="4" t="s">
        <v>11</v>
      </c>
      <c r="F3485" s="4" t="s">
        <v>7</v>
      </c>
    </row>
    <row r="3486" spans="1:13">
      <c r="A3486" t="n">
        <v>29547</v>
      </c>
      <c r="B3486" s="13" t="n">
        <v>49</v>
      </c>
      <c r="C3486" s="7" t="n">
        <v>3</v>
      </c>
      <c r="D3486" s="7" t="n">
        <v>0.800000011920929</v>
      </c>
      <c r="E3486" s="7" t="n">
        <v>1000</v>
      </c>
      <c r="F3486" s="7" t="n">
        <v>0</v>
      </c>
    </row>
    <row r="3487" spans="1:13">
      <c r="A3487" t="s">
        <v>4</v>
      </c>
      <c r="B3487" s="4" t="s">
        <v>5</v>
      </c>
      <c r="C3487" s="4" t="s">
        <v>7</v>
      </c>
      <c r="D3487" s="4" t="s">
        <v>7</v>
      </c>
      <c r="E3487" s="4" t="s">
        <v>7</v>
      </c>
      <c r="F3487" s="4" t="s">
        <v>13</v>
      </c>
      <c r="G3487" s="4" t="s">
        <v>13</v>
      </c>
      <c r="H3487" s="4" t="s">
        <v>13</v>
      </c>
      <c r="I3487" s="4" t="s">
        <v>13</v>
      </c>
      <c r="J3487" s="4" t="s">
        <v>13</v>
      </c>
    </row>
    <row r="3488" spans="1:13">
      <c r="A3488" t="n">
        <v>29556</v>
      </c>
      <c r="B3488" s="25" t="n">
        <v>76</v>
      </c>
      <c r="C3488" s="7" t="n">
        <v>1</v>
      </c>
      <c r="D3488" s="7" t="n">
        <v>3</v>
      </c>
      <c r="E3488" s="7" t="n">
        <v>0</v>
      </c>
      <c r="F3488" s="7" t="n">
        <v>1</v>
      </c>
      <c r="G3488" s="7" t="n">
        <v>1</v>
      </c>
      <c r="H3488" s="7" t="n">
        <v>1</v>
      </c>
      <c r="I3488" s="7" t="n">
        <v>0</v>
      </c>
      <c r="J3488" s="7" t="n">
        <v>1000</v>
      </c>
    </row>
    <row r="3489" spans="1:10">
      <c r="A3489" t="s">
        <v>4</v>
      </c>
      <c r="B3489" s="4" t="s">
        <v>5</v>
      </c>
      <c r="C3489" s="4" t="s">
        <v>7</v>
      </c>
      <c r="D3489" s="4" t="s">
        <v>7</v>
      </c>
    </row>
    <row r="3490" spans="1:10">
      <c r="A3490" t="n">
        <v>29580</v>
      </c>
      <c r="B3490" s="26" t="n">
        <v>77</v>
      </c>
      <c r="C3490" s="7" t="n">
        <v>1</v>
      </c>
      <c r="D3490" s="7" t="n">
        <v>3</v>
      </c>
    </row>
    <row r="3491" spans="1:10">
      <c r="A3491" t="s">
        <v>4</v>
      </c>
      <c r="B3491" s="4" t="s">
        <v>5</v>
      </c>
      <c r="C3491" s="4" t="s">
        <v>7</v>
      </c>
      <c r="D3491" s="4" t="s">
        <v>11</v>
      </c>
      <c r="E3491" s="4" t="s">
        <v>8</v>
      </c>
    </row>
    <row r="3492" spans="1:10">
      <c r="A3492" t="n">
        <v>29583</v>
      </c>
      <c r="B3492" s="38" t="n">
        <v>51</v>
      </c>
      <c r="C3492" s="7" t="n">
        <v>4</v>
      </c>
      <c r="D3492" s="7" t="n">
        <v>0</v>
      </c>
      <c r="E3492" s="7" t="s">
        <v>179</v>
      </c>
    </row>
    <row r="3493" spans="1:10">
      <c r="A3493" t="s">
        <v>4</v>
      </c>
      <c r="B3493" s="4" t="s">
        <v>5</v>
      </c>
      <c r="C3493" s="4" t="s">
        <v>11</v>
      </c>
    </row>
    <row r="3494" spans="1:10">
      <c r="A3494" t="n">
        <v>29597</v>
      </c>
      <c r="B3494" s="29" t="n">
        <v>16</v>
      </c>
      <c r="C3494" s="7" t="n">
        <v>0</v>
      </c>
    </row>
    <row r="3495" spans="1:10">
      <c r="A3495" t="s">
        <v>4</v>
      </c>
      <c r="B3495" s="4" t="s">
        <v>5</v>
      </c>
      <c r="C3495" s="4" t="s">
        <v>11</v>
      </c>
      <c r="D3495" s="4" t="s">
        <v>7</v>
      </c>
      <c r="E3495" s="4" t="s">
        <v>15</v>
      </c>
      <c r="F3495" s="4" t="s">
        <v>55</v>
      </c>
      <c r="G3495" s="4" t="s">
        <v>7</v>
      </c>
      <c r="H3495" s="4" t="s">
        <v>7</v>
      </c>
      <c r="I3495" s="4" t="s">
        <v>7</v>
      </c>
      <c r="J3495" s="4" t="s">
        <v>15</v>
      </c>
      <c r="K3495" s="4" t="s">
        <v>55</v>
      </c>
      <c r="L3495" s="4" t="s">
        <v>7</v>
      </c>
      <c r="M3495" s="4" t="s">
        <v>7</v>
      </c>
      <c r="N3495" s="4" t="s">
        <v>7</v>
      </c>
      <c r="O3495" s="4" t="s">
        <v>15</v>
      </c>
      <c r="P3495" s="4" t="s">
        <v>55</v>
      </c>
      <c r="Q3495" s="4" t="s">
        <v>7</v>
      </c>
      <c r="R3495" s="4" t="s">
        <v>7</v>
      </c>
    </row>
    <row r="3496" spans="1:10">
      <c r="A3496" t="n">
        <v>29600</v>
      </c>
      <c r="B3496" s="55" t="n">
        <v>26</v>
      </c>
      <c r="C3496" s="7" t="n">
        <v>0</v>
      </c>
      <c r="D3496" s="7" t="n">
        <v>17</v>
      </c>
      <c r="E3496" s="7" t="n">
        <v>63795</v>
      </c>
      <c r="F3496" s="7" t="s">
        <v>324</v>
      </c>
      <c r="G3496" s="7" t="n">
        <v>2</v>
      </c>
      <c r="H3496" s="7" t="n">
        <v>3</v>
      </c>
      <c r="I3496" s="7" t="n">
        <v>17</v>
      </c>
      <c r="J3496" s="7" t="n">
        <v>63796</v>
      </c>
      <c r="K3496" s="7" t="s">
        <v>325</v>
      </c>
      <c r="L3496" s="7" t="n">
        <v>2</v>
      </c>
      <c r="M3496" s="7" t="n">
        <v>3</v>
      </c>
      <c r="N3496" s="7" t="n">
        <v>17</v>
      </c>
      <c r="O3496" s="7" t="n">
        <v>63797</v>
      </c>
      <c r="P3496" s="7" t="s">
        <v>326</v>
      </c>
      <c r="Q3496" s="7" t="n">
        <v>2</v>
      </c>
      <c r="R3496" s="7" t="n">
        <v>0</v>
      </c>
    </row>
    <row r="3497" spans="1:10">
      <c r="A3497" t="s">
        <v>4</v>
      </c>
      <c r="B3497" s="4" t="s">
        <v>5</v>
      </c>
    </row>
    <row r="3498" spans="1:10">
      <c r="A3498" t="n">
        <v>29908</v>
      </c>
      <c r="B3498" s="27" t="n">
        <v>28</v>
      </c>
    </row>
    <row r="3499" spans="1:10">
      <c r="A3499" t="s">
        <v>4</v>
      </c>
      <c r="B3499" s="4" t="s">
        <v>5</v>
      </c>
      <c r="C3499" s="4" t="s">
        <v>7</v>
      </c>
      <c r="D3499" s="4" t="s">
        <v>11</v>
      </c>
      <c r="E3499" s="4" t="s">
        <v>8</v>
      </c>
    </row>
    <row r="3500" spans="1:10">
      <c r="A3500" t="n">
        <v>29909</v>
      </c>
      <c r="B3500" s="38" t="n">
        <v>51</v>
      </c>
      <c r="C3500" s="7" t="n">
        <v>4</v>
      </c>
      <c r="D3500" s="7" t="n">
        <v>1</v>
      </c>
      <c r="E3500" s="7" t="s">
        <v>327</v>
      </c>
    </row>
    <row r="3501" spans="1:10">
      <c r="A3501" t="s">
        <v>4</v>
      </c>
      <c r="B3501" s="4" t="s">
        <v>5</v>
      </c>
      <c r="C3501" s="4" t="s">
        <v>11</v>
      </c>
    </row>
    <row r="3502" spans="1:10">
      <c r="A3502" t="n">
        <v>29928</v>
      </c>
      <c r="B3502" s="29" t="n">
        <v>16</v>
      </c>
      <c r="C3502" s="7" t="n">
        <v>0</v>
      </c>
    </row>
    <row r="3503" spans="1:10">
      <c r="A3503" t="s">
        <v>4</v>
      </c>
      <c r="B3503" s="4" t="s">
        <v>5</v>
      </c>
      <c r="C3503" s="4" t="s">
        <v>11</v>
      </c>
      <c r="D3503" s="4" t="s">
        <v>7</v>
      </c>
      <c r="E3503" s="4" t="s">
        <v>15</v>
      </c>
      <c r="F3503" s="4" t="s">
        <v>55</v>
      </c>
      <c r="G3503" s="4" t="s">
        <v>7</v>
      </c>
      <c r="H3503" s="4" t="s">
        <v>7</v>
      </c>
      <c r="I3503" s="4" t="s">
        <v>7</v>
      </c>
      <c r="J3503" s="4" t="s">
        <v>15</v>
      </c>
      <c r="K3503" s="4" t="s">
        <v>55</v>
      </c>
      <c r="L3503" s="4" t="s">
        <v>7</v>
      </c>
      <c r="M3503" s="4" t="s">
        <v>7</v>
      </c>
      <c r="N3503" s="4" t="s">
        <v>7</v>
      </c>
      <c r="O3503" s="4" t="s">
        <v>15</v>
      </c>
      <c r="P3503" s="4" t="s">
        <v>55</v>
      </c>
      <c r="Q3503" s="4" t="s">
        <v>7</v>
      </c>
      <c r="R3503" s="4" t="s">
        <v>7</v>
      </c>
    </row>
    <row r="3504" spans="1:10">
      <c r="A3504" t="n">
        <v>29931</v>
      </c>
      <c r="B3504" s="55" t="n">
        <v>26</v>
      </c>
      <c r="C3504" s="7" t="n">
        <v>1</v>
      </c>
      <c r="D3504" s="7" t="n">
        <v>17</v>
      </c>
      <c r="E3504" s="7" t="n">
        <v>1802</v>
      </c>
      <c r="F3504" s="7" t="s">
        <v>328</v>
      </c>
      <c r="G3504" s="7" t="n">
        <v>2</v>
      </c>
      <c r="H3504" s="7" t="n">
        <v>3</v>
      </c>
      <c r="I3504" s="7" t="n">
        <v>17</v>
      </c>
      <c r="J3504" s="7" t="n">
        <v>1803</v>
      </c>
      <c r="K3504" s="7" t="s">
        <v>329</v>
      </c>
      <c r="L3504" s="7" t="n">
        <v>2</v>
      </c>
      <c r="M3504" s="7" t="n">
        <v>3</v>
      </c>
      <c r="N3504" s="7" t="n">
        <v>17</v>
      </c>
      <c r="O3504" s="7" t="n">
        <v>1804</v>
      </c>
      <c r="P3504" s="7" t="s">
        <v>330</v>
      </c>
      <c r="Q3504" s="7" t="n">
        <v>2</v>
      </c>
      <c r="R3504" s="7" t="n">
        <v>0</v>
      </c>
    </row>
    <row r="3505" spans="1:18">
      <c r="A3505" t="s">
        <v>4</v>
      </c>
      <c r="B3505" s="4" t="s">
        <v>5</v>
      </c>
    </row>
    <row r="3506" spans="1:18">
      <c r="A3506" t="n">
        <v>30223</v>
      </c>
      <c r="B3506" s="27" t="n">
        <v>28</v>
      </c>
    </row>
    <row r="3507" spans="1:18">
      <c r="A3507" t="s">
        <v>4</v>
      </c>
      <c r="B3507" s="4" t="s">
        <v>5</v>
      </c>
      <c r="C3507" s="4" t="s">
        <v>7</v>
      </c>
      <c r="D3507" s="4" t="s">
        <v>11</v>
      </c>
      <c r="E3507" s="4" t="s">
        <v>8</v>
      </c>
    </row>
    <row r="3508" spans="1:18">
      <c r="A3508" t="n">
        <v>30224</v>
      </c>
      <c r="B3508" s="38" t="n">
        <v>51</v>
      </c>
      <c r="C3508" s="7" t="n">
        <v>4</v>
      </c>
      <c r="D3508" s="7" t="n">
        <v>0</v>
      </c>
      <c r="E3508" s="7" t="s">
        <v>235</v>
      </c>
    </row>
    <row r="3509" spans="1:18">
      <c r="A3509" t="s">
        <v>4</v>
      </c>
      <c r="B3509" s="4" t="s">
        <v>5</v>
      </c>
      <c r="C3509" s="4" t="s">
        <v>11</v>
      </c>
    </row>
    <row r="3510" spans="1:18">
      <c r="A3510" t="n">
        <v>30238</v>
      </c>
      <c r="B3510" s="29" t="n">
        <v>16</v>
      </c>
      <c r="C3510" s="7" t="n">
        <v>0</v>
      </c>
    </row>
    <row r="3511" spans="1:18">
      <c r="A3511" t="s">
        <v>4</v>
      </c>
      <c r="B3511" s="4" t="s">
        <v>5</v>
      </c>
      <c r="C3511" s="4" t="s">
        <v>11</v>
      </c>
      <c r="D3511" s="4" t="s">
        <v>7</v>
      </c>
      <c r="E3511" s="4" t="s">
        <v>15</v>
      </c>
      <c r="F3511" s="4" t="s">
        <v>55</v>
      </c>
      <c r="G3511" s="4" t="s">
        <v>7</v>
      </c>
      <c r="H3511" s="4" t="s">
        <v>7</v>
      </c>
    </row>
    <row r="3512" spans="1:18">
      <c r="A3512" t="n">
        <v>30241</v>
      </c>
      <c r="B3512" s="55" t="n">
        <v>26</v>
      </c>
      <c r="C3512" s="7" t="n">
        <v>0</v>
      </c>
      <c r="D3512" s="7" t="n">
        <v>17</v>
      </c>
      <c r="E3512" s="7" t="n">
        <v>63798</v>
      </c>
      <c r="F3512" s="7" t="s">
        <v>331</v>
      </c>
      <c r="G3512" s="7" t="n">
        <v>2</v>
      </c>
      <c r="H3512" s="7" t="n">
        <v>0</v>
      </c>
    </row>
    <row r="3513" spans="1:18">
      <c r="A3513" t="s">
        <v>4</v>
      </c>
      <c r="B3513" s="4" t="s">
        <v>5</v>
      </c>
    </row>
    <row r="3514" spans="1:18">
      <c r="A3514" t="n">
        <v>30329</v>
      </c>
      <c r="B3514" s="27" t="n">
        <v>28</v>
      </c>
    </row>
    <row r="3515" spans="1:18">
      <c r="A3515" t="s">
        <v>4</v>
      </c>
      <c r="B3515" s="4" t="s">
        <v>5</v>
      </c>
      <c r="C3515" s="4" t="s">
        <v>7</v>
      </c>
      <c r="D3515" s="4" t="s">
        <v>11</v>
      </c>
      <c r="E3515" s="4" t="s">
        <v>8</v>
      </c>
    </row>
    <row r="3516" spans="1:18">
      <c r="A3516" t="n">
        <v>30330</v>
      </c>
      <c r="B3516" s="38" t="n">
        <v>51</v>
      </c>
      <c r="C3516" s="7" t="n">
        <v>4</v>
      </c>
      <c r="D3516" s="7" t="n">
        <v>1</v>
      </c>
      <c r="E3516" s="7" t="s">
        <v>332</v>
      </c>
    </row>
    <row r="3517" spans="1:18">
      <c r="A3517" t="s">
        <v>4</v>
      </c>
      <c r="B3517" s="4" t="s">
        <v>5</v>
      </c>
      <c r="C3517" s="4" t="s">
        <v>11</v>
      </c>
    </row>
    <row r="3518" spans="1:18">
      <c r="A3518" t="n">
        <v>30348</v>
      </c>
      <c r="B3518" s="29" t="n">
        <v>16</v>
      </c>
      <c r="C3518" s="7" t="n">
        <v>0</v>
      </c>
    </row>
    <row r="3519" spans="1:18">
      <c r="A3519" t="s">
        <v>4</v>
      </c>
      <c r="B3519" s="4" t="s">
        <v>5</v>
      </c>
      <c r="C3519" s="4" t="s">
        <v>11</v>
      </c>
      <c r="D3519" s="4" t="s">
        <v>7</v>
      </c>
      <c r="E3519" s="4" t="s">
        <v>15</v>
      </c>
      <c r="F3519" s="4" t="s">
        <v>55</v>
      </c>
      <c r="G3519" s="4" t="s">
        <v>7</v>
      </c>
      <c r="H3519" s="4" t="s">
        <v>7</v>
      </c>
      <c r="I3519" s="4" t="s">
        <v>7</v>
      </c>
      <c r="J3519" s="4" t="s">
        <v>15</v>
      </c>
      <c r="K3519" s="4" t="s">
        <v>55</v>
      </c>
      <c r="L3519" s="4" t="s">
        <v>7</v>
      </c>
      <c r="M3519" s="4" t="s">
        <v>7</v>
      </c>
      <c r="N3519" s="4" t="s">
        <v>7</v>
      </c>
      <c r="O3519" s="4" t="s">
        <v>15</v>
      </c>
      <c r="P3519" s="4" t="s">
        <v>55</v>
      </c>
      <c r="Q3519" s="4" t="s">
        <v>7</v>
      </c>
      <c r="R3519" s="4" t="s">
        <v>7</v>
      </c>
    </row>
    <row r="3520" spans="1:18">
      <c r="A3520" t="n">
        <v>30351</v>
      </c>
      <c r="B3520" s="55" t="n">
        <v>26</v>
      </c>
      <c r="C3520" s="7" t="n">
        <v>1</v>
      </c>
      <c r="D3520" s="7" t="n">
        <v>17</v>
      </c>
      <c r="E3520" s="7" t="n">
        <v>1805</v>
      </c>
      <c r="F3520" s="7" t="s">
        <v>333</v>
      </c>
      <c r="G3520" s="7" t="n">
        <v>2</v>
      </c>
      <c r="H3520" s="7" t="n">
        <v>3</v>
      </c>
      <c r="I3520" s="7" t="n">
        <v>17</v>
      </c>
      <c r="J3520" s="7" t="n">
        <v>1806</v>
      </c>
      <c r="K3520" s="7" t="s">
        <v>334</v>
      </c>
      <c r="L3520" s="7" t="n">
        <v>2</v>
      </c>
      <c r="M3520" s="7" t="n">
        <v>3</v>
      </c>
      <c r="N3520" s="7" t="n">
        <v>17</v>
      </c>
      <c r="O3520" s="7" t="n">
        <v>1807</v>
      </c>
      <c r="P3520" s="7" t="s">
        <v>335</v>
      </c>
      <c r="Q3520" s="7" t="n">
        <v>2</v>
      </c>
      <c r="R3520" s="7" t="n">
        <v>0</v>
      </c>
    </row>
    <row r="3521" spans="1:18">
      <c r="A3521" t="s">
        <v>4</v>
      </c>
      <c r="B3521" s="4" t="s">
        <v>5</v>
      </c>
    </row>
    <row r="3522" spans="1:18">
      <c r="A3522" t="n">
        <v>30596</v>
      </c>
      <c r="B3522" s="27" t="n">
        <v>28</v>
      </c>
    </row>
    <row r="3523" spans="1:18">
      <c r="A3523" t="s">
        <v>4</v>
      </c>
      <c r="B3523" s="4" t="s">
        <v>5</v>
      </c>
      <c r="C3523" s="4" t="s">
        <v>7</v>
      </c>
      <c r="D3523" s="4" t="s">
        <v>11</v>
      </c>
      <c r="E3523" s="4" t="s">
        <v>8</v>
      </c>
    </row>
    <row r="3524" spans="1:18">
      <c r="A3524" t="n">
        <v>30597</v>
      </c>
      <c r="B3524" s="38" t="n">
        <v>51</v>
      </c>
      <c r="C3524" s="7" t="n">
        <v>4</v>
      </c>
      <c r="D3524" s="7" t="n">
        <v>0</v>
      </c>
      <c r="E3524" s="7" t="s">
        <v>206</v>
      </c>
    </row>
    <row r="3525" spans="1:18">
      <c r="A3525" t="s">
        <v>4</v>
      </c>
      <c r="B3525" s="4" t="s">
        <v>5</v>
      </c>
      <c r="C3525" s="4" t="s">
        <v>11</v>
      </c>
    </row>
    <row r="3526" spans="1:18">
      <c r="A3526" t="n">
        <v>30612</v>
      </c>
      <c r="B3526" s="29" t="n">
        <v>16</v>
      </c>
      <c r="C3526" s="7" t="n">
        <v>0</v>
      </c>
    </row>
    <row r="3527" spans="1:18">
      <c r="A3527" t="s">
        <v>4</v>
      </c>
      <c r="B3527" s="4" t="s">
        <v>5</v>
      </c>
      <c r="C3527" s="4" t="s">
        <v>11</v>
      </c>
      <c r="D3527" s="4" t="s">
        <v>7</v>
      </c>
      <c r="E3527" s="4" t="s">
        <v>15</v>
      </c>
      <c r="F3527" s="4" t="s">
        <v>55</v>
      </c>
      <c r="G3527" s="4" t="s">
        <v>7</v>
      </c>
      <c r="H3527" s="4" t="s">
        <v>7</v>
      </c>
    </row>
    <row r="3528" spans="1:18">
      <c r="A3528" t="n">
        <v>30615</v>
      </c>
      <c r="B3528" s="55" t="n">
        <v>26</v>
      </c>
      <c r="C3528" s="7" t="n">
        <v>0</v>
      </c>
      <c r="D3528" s="7" t="n">
        <v>17</v>
      </c>
      <c r="E3528" s="7" t="n">
        <v>63799</v>
      </c>
      <c r="F3528" s="7" t="s">
        <v>336</v>
      </c>
      <c r="G3528" s="7" t="n">
        <v>2</v>
      </c>
      <c r="H3528" s="7" t="n">
        <v>0</v>
      </c>
    </row>
    <row r="3529" spans="1:18">
      <c r="A3529" t="s">
        <v>4</v>
      </c>
      <c r="B3529" s="4" t="s">
        <v>5</v>
      </c>
    </row>
    <row r="3530" spans="1:18">
      <c r="A3530" t="n">
        <v>30637</v>
      </c>
      <c r="B3530" s="27" t="n">
        <v>28</v>
      </c>
    </row>
    <row r="3531" spans="1:18">
      <c r="A3531" t="s">
        <v>4</v>
      </c>
      <c r="B3531" s="4" t="s">
        <v>5</v>
      </c>
      <c r="C3531" s="4" t="s">
        <v>7</v>
      </c>
      <c r="D3531" s="4" t="s">
        <v>11</v>
      </c>
      <c r="E3531" s="4" t="s">
        <v>8</v>
      </c>
    </row>
    <row r="3532" spans="1:18">
      <c r="A3532" t="n">
        <v>30638</v>
      </c>
      <c r="B3532" s="38" t="n">
        <v>51</v>
      </c>
      <c r="C3532" s="7" t="n">
        <v>4</v>
      </c>
      <c r="D3532" s="7" t="n">
        <v>1</v>
      </c>
      <c r="E3532" s="7" t="s">
        <v>337</v>
      </c>
    </row>
    <row r="3533" spans="1:18">
      <c r="A3533" t="s">
        <v>4</v>
      </c>
      <c r="B3533" s="4" t="s">
        <v>5</v>
      </c>
      <c r="C3533" s="4" t="s">
        <v>11</v>
      </c>
    </row>
    <row r="3534" spans="1:18">
      <c r="A3534" t="n">
        <v>30651</v>
      </c>
      <c r="B3534" s="29" t="n">
        <v>16</v>
      </c>
      <c r="C3534" s="7" t="n">
        <v>0</v>
      </c>
    </row>
    <row r="3535" spans="1:18">
      <c r="A3535" t="s">
        <v>4</v>
      </c>
      <c r="B3535" s="4" t="s">
        <v>5</v>
      </c>
      <c r="C3535" s="4" t="s">
        <v>11</v>
      </c>
      <c r="D3535" s="4" t="s">
        <v>7</v>
      </c>
      <c r="E3535" s="4" t="s">
        <v>15</v>
      </c>
      <c r="F3535" s="4" t="s">
        <v>55</v>
      </c>
      <c r="G3535" s="4" t="s">
        <v>7</v>
      </c>
      <c r="H3535" s="4" t="s">
        <v>7</v>
      </c>
      <c r="I3535" s="4" t="s">
        <v>7</v>
      </c>
      <c r="J3535" s="4" t="s">
        <v>15</v>
      </c>
      <c r="K3535" s="4" t="s">
        <v>55</v>
      </c>
      <c r="L3535" s="4" t="s">
        <v>7</v>
      </c>
      <c r="M3535" s="4" t="s">
        <v>7</v>
      </c>
      <c r="N3535" s="4" t="s">
        <v>7</v>
      </c>
      <c r="O3535" s="4" t="s">
        <v>15</v>
      </c>
      <c r="P3535" s="4" t="s">
        <v>55</v>
      </c>
      <c r="Q3535" s="4" t="s">
        <v>7</v>
      </c>
      <c r="R3535" s="4" t="s">
        <v>7</v>
      </c>
      <c r="S3535" s="4" t="s">
        <v>7</v>
      </c>
      <c r="T3535" s="4" t="s">
        <v>15</v>
      </c>
      <c r="U3535" s="4" t="s">
        <v>55</v>
      </c>
      <c r="V3535" s="4" t="s">
        <v>7</v>
      </c>
      <c r="W3535" s="4" t="s">
        <v>7</v>
      </c>
      <c r="X3535" s="4" t="s">
        <v>7</v>
      </c>
      <c r="Y3535" s="4" t="s">
        <v>15</v>
      </c>
      <c r="Z3535" s="4" t="s">
        <v>55</v>
      </c>
      <c r="AA3535" s="4" t="s">
        <v>7</v>
      </c>
      <c r="AB3535" s="4" t="s">
        <v>7</v>
      </c>
    </row>
    <row r="3536" spans="1:18">
      <c r="A3536" t="n">
        <v>30654</v>
      </c>
      <c r="B3536" s="55" t="n">
        <v>26</v>
      </c>
      <c r="C3536" s="7" t="n">
        <v>1</v>
      </c>
      <c r="D3536" s="7" t="n">
        <v>17</v>
      </c>
      <c r="E3536" s="7" t="n">
        <v>1808</v>
      </c>
      <c r="F3536" s="7" t="s">
        <v>338</v>
      </c>
      <c r="G3536" s="7" t="n">
        <v>2</v>
      </c>
      <c r="H3536" s="7" t="n">
        <v>3</v>
      </c>
      <c r="I3536" s="7" t="n">
        <v>17</v>
      </c>
      <c r="J3536" s="7" t="n">
        <v>1809</v>
      </c>
      <c r="K3536" s="7" t="s">
        <v>339</v>
      </c>
      <c r="L3536" s="7" t="n">
        <v>2</v>
      </c>
      <c r="M3536" s="7" t="n">
        <v>3</v>
      </c>
      <c r="N3536" s="7" t="n">
        <v>17</v>
      </c>
      <c r="O3536" s="7" t="n">
        <v>1810</v>
      </c>
      <c r="P3536" s="7" t="s">
        <v>340</v>
      </c>
      <c r="Q3536" s="7" t="n">
        <v>2</v>
      </c>
      <c r="R3536" s="7" t="n">
        <v>3</v>
      </c>
      <c r="S3536" s="7" t="n">
        <v>17</v>
      </c>
      <c r="T3536" s="7" t="n">
        <v>1811</v>
      </c>
      <c r="U3536" s="7" t="s">
        <v>341</v>
      </c>
      <c r="V3536" s="7" t="n">
        <v>2</v>
      </c>
      <c r="W3536" s="7" t="n">
        <v>3</v>
      </c>
      <c r="X3536" s="7" t="n">
        <v>17</v>
      </c>
      <c r="Y3536" s="7" t="n">
        <v>1812</v>
      </c>
      <c r="Z3536" s="7" t="s">
        <v>342</v>
      </c>
      <c r="AA3536" s="7" t="n">
        <v>2</v>
      </c>
      <c r="AB3536" s="7" t="n">
        <v>0</v>
      </c>
    </row>
    <row r="3537" spans="1:28">
      <c r="A3537" t="s">
        <v>4</v>
      </c>
      <c r="B3537" s="4" t="s">
        <v>5</v>
      </c>
    </row>
    <row r="3538" spans="1:28">
      <c r="A3538" t="n">
        <v>31210</v>
      </c>
      <c r="B3538" s="27" t="n">
        <v>28</v>
      </c>
    </row>
    <row r="3539" spans="1:28">
      <c r="A3539" t="s">
        <v>4</v>
      </c>
      <c r="B3539" s="4" t="s">
        <v>5</v>
      </c>
      <c r="C3539" s="4" t="s">
        <v>11</v>
      </c>
      <c r="D3539" s="4" t="s">
        <v>7</v>
      </c>
    </row>
    <row r="3540" spans="1:28">
      <c r="A3540" t="n">
        <v>31211</v>
      </c>
      <c r="B3540" s="68" t="n">
        <v>89</v>
      </c>
      <c r="C3540" s="7" t="n">
        <v>65533</v>
      </c>
      <c r="D3540" s="7" t="n">
        <v>1</v>
      </c>
    </row>
    <row r="3541" spans="1:28">
      <c r="A3541" t="s">
        <v>4</v>
      </c>
      <c r="B3541" s="4" t="s">
        <v>5</v>
      </c>
      <c r="C3541" s="4" t="s">
        <v>7</v>
      </c>
      <c r="D3541" s="4" t="s">
        <v>11</v>
      </c>
      <c r="E3541" s="4" t="s">
        <v>13</v>
      </c>
    </row>
    <row r="3542" spans="1:28">
      <c r="A3542" t="n">
        <v>31215</v>
      </c>
      <c r="B3542" s="23" t="n">
        <v>58</v>
      </c>
      <c r="C3542" s="7" t="n">
        <v>101</v>
      </c>
      <c r="D3542" s="7" t="n">
        <v>500</v>
      </c>
      <c r="E3542" s="7" t="n">
        <v>1</v>
      </c>
    </row>
    <row r="3543" spans="1:28">
      <c r="A3543" t="s">
        <v>4</v>
      </c>
      <c r="B3543" s="4" t="s">
        <v>5</v>
      </c>
      <c r="C3543" s="4" t="s">
        <v>7</v>
      </c>
      <c r="D3543" s="4" t="s">
        <v>11</v>
      </c>
    </row>
    <row r="3544" spans="1:28">
      <c r="A3544" t="n">
        <v>31223</v>
      </c>
      <c r="B3544" s="23" t="n">
        <v>58</v>
      </c>
      <c r="C3544" s="7" t="n">
        <v>254</v>
      </c>
      <c r="D3544" s="7" t="n">
        <v>0</v>
      </c>
    </row>
    <row r="3545" spans="1:28">
      <c r="A3545" t="s">
        <v>4</v>
      </c>
      <c r="B3545" s="4" t="s">
        <v>5</v>
      </c>
      <c r="C3545" s="4" t="s">
        <v>7</v>
      </c>
      <c r="D3545" s="4" t="s">
        <v>7</v>
      </c>
      <c r="E3545" s="4" t="s">
        <v>13</v>
      </c>
      <c r="F3545" s="4" t="s">
        <v>13</v>
      </c>
      <c r="G3545" s="4" t="s">
        <v>13</v>
      </c>
      <c r="H3545" s="4" t="s">
        <v>11</v>
      </c>
    </row>
    <row r="3546" spans="1:28">
      <c r="A3546" t="n">
        <v>31227</v>
      </c>
      <c r="B3546" s="51" t="n">
        <v>45</v>
      </c>
      <c r="C3546" s="7" t="n">
        <v>2</v>
      </c>
      <c r="D3546" s="7" t="n">
        <v>3</v>
      </c>
      <c r="E3546" s="7" t="n">
        <v>-6.86999988555908</v>
      </c>
      <c r="F3546" s="7" t="n">
        <v>6.46000003814697</v>
      </c>
      <c r="G3546" s="7" t="n">
        <v>29.9200000762939</v>
      </c>
      <c r="H3546" s="7" t="n">
        <v>0</v>
      </c>
    </row>
    <row r="3547" spans="1:28">
      <c r="A3547" t="s">
        <v>4</v>
      </c>
      <c r="B3547" s="4" t="s">
        <v>5</v>
      </c>
      <c r="C3547" s="4" t="s">
        <v>7</v>
      </c>
      <c r="D3547" s="4" t="s">
        <v>7</v>
      </c>
      <c r="E3547" s="4" t="s">
        <v>13</v>
      </c>
      <c r="F3547" s="4" t="s">
        <v>13</v>
      </c>
      <c r="G3547" s="4" t="s">
        <v>13</v>
      </c>
      <c r="H3547" s="4" t="s">
        <v>11</v>
      </c>
      <c r="I3547" s="4" t="s">
        <v>7</v>
      </c>
    </row>
    <row r="3548" spans="1:28">
      <c r="A3548" t="n">
        <v>31244</v>
      </c>
      <c r="B3548" s="51" t="n">
        <v>45</v>
      </c>
      <c r="C3548" s="7" t="n">
        <v>4</v>
      </c>
      <c r="D3548" s="7" t="n">
        <v>3</v>
      </c>
      <c r="E3548" s="7" t="n">
        <v>9.21000003814697</v>
      </c>
      <c r="F3548" s="7" t="n">
        <v>50.6699981689453</v>
      </c>
      <c r="G3548" s="7" t="n">
        <v>8</v>
      </c>
      <c r="H3548" s="7" t="n">
        <v>0</v>
      </c>
      <c r="I3548" s="7" t="n">
        <v>0</v>
      </c>
    </row>
    <row r="3549" spans="1:28">
      <c r="A3549" t="s">
        <v>4</v>
      </c>
      <c r="B3549" s="4" t="s">
        <v>5</v>
      </c>
      <c r="C3549" s="4" t="s">
        <v>7</v>
      </c>
      <c r="D3549" s="4" t="s">
        <v>7</v>
      </c>
      <c r="E3549" s="4" t="s">
        <v>13</v>
      </c>
      <c r="F3549" s="4" t="s">
        <v>11</v>
      </c>
    </row>
    <row r="3550" spans="1:28">
      <c r="A3550" t="n">
        <v>31262</v>
      </c>
      <c r="B3550" s="51" t="n">
        <v>45</v>
      </c>
      <c r="C3550" s="7" t="n">
        <v>5</v>
      </c>
      <c r="D3550" s="7" t="n">
        <v>3</v>
      </c>
      <c r="E3550" s="7" t="n">
        <v>1.10000002384186</v>
      </c>
      <c r="F3550" s="7" t="n">
        <v>0</v>
      </c>
    </row>
    <row r="3551" spans="1:28">
      <c r="A3551" t="s">
        <v>4</v>
      </c>
      <c r="B3551" s="4" t="s">
        <v>5</v>
      </c>
      <c r="C3551" s="4" t="s">
        <v>7</v>
      </c>
      <c r="D3551" s="4" t="s">
        <v>7</v>
      </c>
      <c r="E3551" s="4" t="s">
        <v>13</v>
      </c>
      <c r="F3551" s="4" t="s">
        <v>11</v>
      </c>
    </row>
    <row r="3552" spans="1:28">
      <c r="A3552" t="n">
        <v>31271</v>
      </c>
      <c r="B3552" s="51" t="n">
        <v>45</v>
      </c>
      <c r="C3552" s="7" t="n">
        <v>11</v>
      </c>
      <c r="D3552" s="7" t="n">
        <v>3</v>
      </c>
      <c r="E3552" s="7" t="n">
        <v>40.2999992370605</v>
      </c>
      <c r="F3552" s="7" t="n">
        <v>0</v>
      </c>
    </row>
    <row r="3553" spans="1:9">
      <c r="A3553" t="s">
        <v>4</v>
      </c>
      <c r="B3553" s="4" t="s">
        <v>5</v>
      </c>
      <c r="C3553" s="4" t="s">
        <v>7</v>
      </c>
      <c r="D3553" s="4" t="s">
        <v>11</v>
      </c>
    </row>
    <row r="3554" spans="1:9">
      <c r="A3554" t="n">
        <v>31280</v>
      </c>
      <c r="B3554" s="23" t="n">
        <v>58</v>
      </c>
      <c r="C3554" s="7" t="n">
        <v>255</v>
      </c>
      <c r="D3554" s="7" t="n">
        <v>0</v>
      </c>
    </row>
    <row r="3555" spans="1:9">
      <c r="A3555" t="s">
        <v>4</v>
      </c>
      <c r="B3555" s="4" t="s">
        <v>5</v>
      </c>
      <c r="C3555" s="4" t="s">
        <v>11</v>
      </c>
      <c r="D3555" s="4" t="s">
        <v>7</v>
      </c>
      <c r="E3555" s="4" t="s">
        <v>13</v>
      </c>
      <c r="F3555" s="4" t="s">
        <v>11</v>
      </c>
    </row>
    <row r="3556" spans="1:9">
      <c r="A3556" t="n">
        <v>31284</v>
      </c>
      <c r="B3556" s="56" t="n">
        <v>59</v>
      </c>
      <c r="C3556" s="7" t="n">
        <v>0</v>
      </c>
      <c r="D3556" s="7" t="n">
        <v>9</v>
      </c>
      <c r="E3556" s="7" t="n">
        <v>0.150000005960464</v>
      </c>
      <c r="F3556" s="7" t="n">
        <v>0</v>
      </c>
    </row>
    <row r="3557" spans="1:9">
      <c r="A3557" t="s">
        <v>4</v>
      </c>
      <c r="B3557" s="4" t="s">
        <v>5</v>
      </c>
      <c r="C3557" s="4" t="s">
        <v>11</v>
      </c>
    </row>
    <row r="3558" spans="1:9">
      <c r="A3558" t="n">
        <v>31294</v>
      </c>
      <c r="B3558" s="29" t="n">
        <v>16</v>
      </c>
      <c r="C3558" s="7" t="n">
        <v>1500</v>
      </c>
    </row>
    <row r="3559" spans="1:9">
      <c r="A3559" t="s">
        <v>4</v>
      </c>
      <c r="B3559" s="4" t="s">
        <v>5</v>
      </c>
      <c r="C3559" s="4" t="s">
        <v>7</v>
      </c>
      <c r="D3559" s="4" t="s">
        <v>11</v>
      </c>
      <c r="E3559" s="4" t="s">
        <v>8</v>
      </c>
    </row>
    <row r="3560" spans="1:9">
      <c r="A3560" t="n">
        <v>31297</v>
      </c>
      <c r="B3560" s="38" t="n">
        <v>51</v>
      </c>
      <c r="C3560" s="7" t="n">
        <v>4</v>
      </c>
      <c r="D3560" s="7" t="n">
        <v>0</v>
      </c>
      <c r="E3560" s="7" t="s">
        <v>179</v>
      </c>
    </row>
    <row r="3561" spans="1:9">
      <c r="A3561" t="s">
        <v>4</v>
      </c>
      <c r="B3561" s="4" t="s">
        <v>5</v>
      </c>
      <c r="C3561" s="4" t="s">
        <v>11</v>
      </c>
    </row>
    <row r="3562" spans="1:9">
      <c r="A3562" t="n">
        <v>31311</v>
      </c>
      <c r="B3562" s="29" t="n">
        <v>16</v>
      </c>
      <c r="C3562" s="7" t="n">
        <v>0</v>
      </c>
    </row>
    <row r="3563" spans="1:9">
      <c r="A3563" t="s">
        <v>4</v>
      </c>
      <c r="B3563" s="4" t="s">
        <v>5</v>
      </c>
      <c r="C3563" s="4" t="s">
        <v>11</v>
      </c>
      <c r="D3563" s="4" t="s">
        <v>7</v>
      </c>
      <c r="E3563" s="4" t="s">
        <v>15</v>
      </c>
      <c r="F3563" s="4" t="s">
        <v>55</v>
      </c>
      <c r="G3563" s="4" t="s">
        <v>7</v>
      </c>
      <c r="H3563" s="4" t="s">
        <v>7</v>
      </c>
      <c r="I3563" s="4" t="s">
        <v>7</v>
      </c>
      <c r="J3563" s="4" t="s">
        <v>15</v>
      </c>
      <c r="K3563" s="4" t="s">
        <v>55</v>
      </c>
      <c r="L3563" s="4" t="s">
        <v>7</v>
      </c>
      <c r="M3563" s="4" t="s">
        <v>7</v>
      </c>
      <c r="N3563" s="4" t="s">
        <v>7</v>
      </c>
      <c r="O3563" s="4" t="s">
        <v>15</v>
      </c>
      <c r="P3563" s="4" t="s">
        <v>55</v>
      </c>
      <c r="Q3563" s="4" t="s">
        <v>7</v>
      </c>
      <c r="R3563" s="4" t="s">
        <v>7</v>
      </c>
      <c r="S3563" s="4" t="s">
        <v>7</v>
      </c>
      <c r="T3563" s="4" t="s">
        <v>15</v>
      </c>
      <c r="U3563" s="4" t="s">
        <v>55</v>
      </c>
      <c r="V3563" s="4" t="s">
        <v>7</v>
      </c>
      <c r="W3563" s="4" t="s">
        <v>7</v>
      </c>
      <c r="X3563" s="4" t="s">
        <v>7</v>
      </c>
      <c r="Y3563" s="4" t="s">
        <v>15</v>
      </c>
      <c r="Z3563" s="4" t="s">
        <v>55</v>
      </c>
      <c r="AA3563" s="4" t="s">
        <v>7</v>
      </c>
      <c r="AB3563" s="4" t="s">
        <v>7</v>
      </c>
    </row>
    <row r="3564" spans="1:9">
      <c r="A3564" t="n">
        <v>31314</v>
      </c>
      <c r="B3564" s="55" t="n">
        <v>26</v>
      </c>
      <c r="C3564" s="7" t="n">
        <v>0</v>
      </c>
      <c r="D3564" s="7" t="n">
        <v>17</v>
      </c>
      <c r="E3564" s="7" t="n">
        <v>63800</v>
      </c>
      <c r="F3564" s="7" t="s">
        <v>343</v>
      </c>
      <c r="G3564" s="7" t="n">
        <v>2</v>
      </c>
      <c r="H3564" s="7" t="n">
        <v>3</v>
      </c>
      <c r="I3564" s="7" t="n">
        <v>17</v>
      </c>
      <c r="J3564" s="7" t="n">
        <v>63801</v>
      </c>
      <c r="K3564" s="7" t="s">
        <v>344</v>
      </c>
      <c r="L3564" s="7" t="n">
        <v>2</v>
      </c>
      <c r="M3564" s="7" t="n">
        <v>3</v>
      </c>
      <c r="N3564" s="7" t="n">
        <v>17</v>
      </c>
      <c r="O3564" s="7" t="n">
        <v>63802</v>
      </c>
      <c r="P3564" s="7" t="s">
        <v>345</v>
      </c>
      <c r="Q3564" s="7" t="n">
        <v>2</v>
      </c>
      <c r="R3564" s="7" t="n">
        <v>3</v>
      </c>
      <c r="S3564" s="7" t="n">
        <v>17</v>
      </c>
      <c r="T3564" s="7" t="n">
        <v>63803</v>
      </c>
      <c r="U3564" s="7" t="s">
        <v>346</v>
      </c>
      <c r="V3564" s="7" t="n">
        <v>2</v>
      </c>
      <c r="W3564" s="7" t="n">
        <v>3</v>
      </c>
      <c r="X3564" s="7" t="n">
        <v>17</v>
      </c>
      <c r="Y3564" s="7" t="n">
        <v>63804</v>
      </c>
      <c r="Z3564" s="7" t="s">
        <v>347</v>
      </c>
      <c r="AA3564" s="7" t="n">
        <v>2</v>
      </c>
      <c r="AB3564" s="7" t="n">
        <v>0</v>
      </c>
    </row>
    <row r="3565" spans="1:9">
      <c r="A3565" t="s">
        <v>4</v>
      </c>
      <c r="B3565" s="4" t="s">
        <v>5</v>
      </c>
    </row>
    <row r="3566" spans="1:9">
      <c r="A3566" t="n">
        <v>31840</v>
      </c>
      <c r="B3566" s="27" t="n">
        <v>28</v>
      </c>
    </row>
    <row r="3567" spans="1:9">
      <c r="A3567" t="s">
        <v>4</v>
      </c>
      <c r="B3567" s="4" t="s">
        <v>5</v>
      </c>
      <c r="C3567" s="4" t="s">
        <v>7</v>
      </c>
      <c r="D3567" s="4" t="s">
        <v>11</v>
      </c>
      <c r="E3567" s="4" t="s">
        <v>8</v>
      </c>
    </row>
    <row r="3568" spans="1:9">
      <c r="A3568" t="n">
        <v>31841</v>
      </c>
      <c r="B3568" s="38" t="n">
        <v>51</v>
      </c>
      <c r="C3568" s="7" t="n">
        <v>4</v>
      </c>
      <c r="D3568" s="7" t="n">
        <v>1</v>
      </c>
      <c r="E3568" s="7" t="s">
        <v>147</v>
      </c>
    </row>
    <row r="3569" spans="1:28">
      <c r="A3569" t="s">
        <v>4</v>
      </c>
      <c r="B3569" s="4" t="s">
        <v>5</v>
      </c>
      <c r="C3569" s="4" t="s">
        <v>11</v>
      </c>
    </row>
    <row r="3570" spans="1:28">
      <c r="A3570" t="n">
        <v>31855</v>
      </c>
      <c r="B3570" s="29" t="n">
        <v>16</v>
      </c>
      <c r="C3570" s="7" t="n">
        <v>0</v>
      </c>
    </row>
    <row r="3571" spans="1:28">
      <c r="A3571" t="s">
        <v>4</v>
      </c>
      <c r="B3571" s="4" t="s">
        <v>5</v>
      </c>
      <c r="C3571" s="4" t="s">
        <v>11</v>
      </c>
      <c r="D3571" s="4" t="s">
        <v>7</v>
      </c>
      <c r="E3571" s="4" t="s">
        <v>15</v>
      </c>
      <c r="F3571" s="4" t="s">
        <v>55</v>
      </c>
      <c r="G3571" s="4" t="s">
        <v>7</v>
      </c>
      <c r="H3571" s="4" t="s">
        <v>7</v>
      </c>
    </row>
    <row r="3572" spans="1:28">
      <c r="A3572" t="n">
        <v>31858</v>
      </c>
      <c r="B3572" s="55" t="n">
        <v>26</v>
      </c>
      <c r="C3572" s="7" t="n">
        <v>1</v>
      </c>
      <c r="D3572" s="7" t="n">
        <v>17</v>
      </c>
      <c r="E3572" s="7" t="n">
        <v>1813</v>
      </c>
      <c r="F3572" s="7" t="s">
        <v>348</v>
      </c>
      <c r="G3572" s="7" t="n">
        <v>2</v>
      </c>
      <c r="H3572" s="7" t="n">
        <v>0</v>
      </c>
    </row>
    <row r="3573" spans="1:28">
      <c r="A3573" t="s">
        <v>4</v>
      </c>
      <c r="B3573" s="4" t="s">
        <v>5</v>
      </c>
    </row>
    <row r="3574" spans="1:28">
      <c r="A3574" t="n">
        <v>31878</v>
      </c>
      <c r="B3574" s="27" t="n">
        <v>28</v>
      </c>
    </row>
    <row r="3575" spans="1:28">
      <c r="A3575" t="s">
        <v>4</v>
      </c>
      <c r="B3575" s="4" t="s">
        <v>5</v>
      </c>
      <c r="C3575" s="4" t="s">
        <v>7</v>
      </c>
      <c r="D3575" s="4" t="s">
        <v>11</v>
      </c>
      <c r="E3575" s="4" t="s">
        <v>8</v>
      </c>
    </row>
    <row r="3576" spans="1:28">
      <c r="A3576" t="n">
        <v>31879</v>
      </c>
      <c r="B3576" s="38" t="n">
        <v>51</v>
      </c>
      <c r="C3576" s="7" t="n">
        <v>4</v>
      </c>
      <c r="D3576" s="7" t="n">
        <v>0</v>
      </c>
      <c r="E3576" s="7" t="s">
        <v>162</v>
      </c>
    </row>
    <row r="3577" spans="1:28">
      <c r="A3577" t="s">
        <v>4</v>
      </c>
      <c r="B3577" s="4" t="s">
        <v>5</v>
      </c>
      <c r="C3577" s="4" t="s">
        <v>11</v>
      </c>
    </row>
    <row r="3578" spans="1:28">
      <c r="A3578" t="n">
        <v>31892</v>
      </c>
      <c r="B3578" s="29" t="n">
        <v>16</v>
      </c>
      <c r="C3578" s="7" t="n">
        <v>0</v>
      </c>
    </row>
    <row r="3579" spans="1:28">
      <c r="A3579" t="s">
        <v>4</v>
      </c>
      <c r="B3579" s="4" t="s">
        <v>5</v>
      </c>
      <c r="C3579" s="4" t="s">
        <v>11</v>
      </c>
      <c r="D3579" s="4" t="s">
        <v>7</v>
      </c>
      <c r="E3579" s="4" t="s">
        <v>15</v>
      </c>
      <c r="F3579" s="4" t="s">
        <v>55</v>
      </c>
      <c r="G3579" s="4" t="s">
        <v>7</v>
      </c>
      <c r="H3579" s="4" t="s">
        <v>7</v>
      </c>
      <c r="I3579" s="4" t="s">
        <v>7</v>
      </c>
      <c r="J3579" s="4" t="s">
        <v>15</v>
      </c>
      <c r="K3579" s="4" t="s">
        <v>55</v>
      </c>
      <c r="L3579" s="4" t="s">
        <v>7</v>
      </c>
      <c r="M3579" s="4" t="s">
        <v>7</v>
      </c>
      <c r="N3579" s="4" t="s">
        <v>7</v>
      </c>
      <c r="O3579" s="4" t="s">
        <v>15</v>
      </c>
      <c r="P3579" s="4" t="s">
        <v>55</v>
      </c>
      <c r="Q3579" s="4" t="s">
        <v>7</v>
      </c>
      <c r="R3579" s="4" t="s">
        <v>7</v>
      </c>
      <c r="S3579" s="4" t="s">
        <v>7</v>
      </c>
      <c r="T3579" s="4" t="s">
        <v>15</v>
      </c>
      <c r="U3579" s="4" t="s">
        <v>55</v>
      </c>
      <c r="V3579" s="4" t="s">
        <v>7</v>
      </c>
      <c r="W3579" s="4" t="s">
        <v>7</v>
      </c>
    </row>
    <row r="3580" spans="1:28">
      <c r="A3580" t="n">
        <v>31895</v>
      </c>
      <c r="B3580" s="55" t="n">
        <v>26</v>
      </c>
      <c r="C3580" s="7" t="n">
        <v>0</v>
      </c>
      <c r="D3580" s="7" t="n">
        <v>17</v>
      </c>
      <c r="E3580" s="7" t="n">
        <v>63805</v>
      </c>
      <c r="F3580" s="7" t="s">
        <v>349</v>
      </c>
      <c r="G3580" s="7" t="n">
        <v>2</v>
      </c>
      <c r="H3580" s="7" t="n">
        <v>3</v>
      </c>
      <c r="I3580" s="7" t="n">
        <v>17</v>
      </c>
      <c r="J3580" s="7" t="n">
        <v>63806</v>
      </c>
      <c r="K3580" s="7" t="s">
        <v>350</v>
      </c>
      <c r="L3580" s="7" t="n">
        <v>2</v>
      </c>
      <c r="M3580" s="7" t="n">
        <v>3</v>
      </c>
      <c r="N3580" s="7" t="n">
        <v>17</v>
      </c>
      <c r="O3580" s="7" t="n">
        <v>63807</v>
      </c>
      <c r="P3580" s="7" t="s">
        <v>351</v>
      </c>
      <c r="Q3580" s="7" t="n">
        <v>2</v>
      </c>
      <c r="R3580" s="7" t="n">
        <v>3</v>
      </c>
      <c r="S3580" s="7" t="n">
        <v>17</v>
      </c>
      <c r="T3580" s="7" t="n">
        <v>63808</v>
      </c>
      <c r="U3580" s="7" t="s">
        <v>352</v>
      </c>
      <c r="V3580" s="7" t="n">
        <v>2</v>
      </c>
      <c r="W3580" s="7" t="n">
        <v>0</v>
      </c>
    </row>
    <row r="3581" spans="1:28">
      <c r="A3581" t="s">
        <v>4</v>
      </c>
      <c r="B3581" s="4" t="s">
        <v>5</v>
      </c>
    </row>
    <row r="3582" spans="1:28">
      <c r="A3582" t="n">
        <v>32396</v>
      </c>
      <c r="B3582" s="27" t="n">
        <v>28</v>
      </c>
    </row>
    <row r="3583" spans="1:28">
      <c r="A3583" t="s">
        <v>4</v>
      </c>
      <c r="B3583" s="4" t="s">
        <v>5</v>
      </c>
      <c r="C3583" s="4" t="s">
        <v>7</v>
      </c>
      <c r="D3583" s="4" t="s">
        <v>11</v>
      </c>
      <c r="E3583" s="4" t="s">
        <v>8</v>
      </c>
    </row>
    <row r="3584" spans="1:28">
      <c r="A3584" t="n">
        <v>32397</v>
      </c>
      <c r="B3584" s="38" t="n">
        <v>51</v>
      </c>
      <c r="C3584" s="7" t="n">
        <v>4</v>
      </c>
      <c r="D3584" s="7" t="n">
        <v>1</v>
      </c>
      <c r="E3584" s="7" t="s">
        <v>353</v>
      </c>
    </row>
    <row r="3585" spans="1:23">
      <c r="A3585" t="s">
        <v>4</v>
      </c>
      <c r="B3585" s="4" t="s">
        <v>5</v>
      </c>
      <c r="C3585" s="4" t="s">
        <v>11</v>
      </c>
    </row>
    <row r="3586" spans="1:23">
      <c r="A3586" t="n">
        <v>32416</v>
      </c>
      <c r="B3586" s="29" t="n">
        <v>16</v>
      </c>
      <c r="C3586" s="7" t="n">
        <v>0</v>
      </c>
    </row>
    <row r="3587" spans="1:23">
      <c r="A3587" t="s">
        <v>4</v>
      </c>
      <c r="B3587" s="4" t="s">
        <v>5</v>
      </c>
      <c r="C3587" s="4" t="s">
        <v>11</v>
      </c>
      <c r="D3587" s="4" t="s">
        <v>7</v>
      </c>
      <c r="E3587" s="4" t="s">
        <v>15</v>
      </c>
      <c r="F3587" s="4" t="s">
        <v>55</v>
      </c>
      <c r="G3587" s="4" t="s">
        <v>7</v>
      </c>
      <c r="H3587" s="4" t="s">
        <v>7</v>
      </c>
    </row>
    <row r="3588" spans="1:23">
      <c r="A3588" t="n">
        <v>32419</v>
      </c>
      <c r="B3588" s="55" t="n">
        <v>26</v>
      </c>
      <c r="C3588" s="7" t="n">
        <v>1</v>
      </c>
      <c r="D3588" s="7" t="n">
        <v>17</v>
      </c>
      <c r="E3588" s="7" t="n">
        <v>1814</v>
      </c>
      <c r="F3588" s="7" t="s">
        <v>354</v>
      </c>
      <c r="G3588" s="7" t="n">
        <v>2</v>
      </c>
      <c r="H3588" s="7" t="n">
        <v>0</v>
      </c>
    </row>
    <row r="3589" spans="1:23">
      <c r="A3589" t="s">
        <v>4</v>
      </c>
      <c r="B3589" s="4" t="s">
        <v>5</v>
      </c>
    </row>
    <row r="3590" spans="1:23">
      <c r="A3590" t="n">
        <v>32454</v>
      </c>
      <c r="B3590" s="27" t="n">
        <v>28</v>
      </c>
    </row>
    <row r="3591" spans="1:23">
      <c r="A3591" t="s">
        <v>4</v>
      </c>
      <c r="B3591" s="4" t="s">
        <v>5</v>
      </c>
      <c r="C3591" s="4" t="s">
        <v>11</v>
      </c>
      <c r="D3591" s="4" t="s">
        <v>7</v>
      </c>
    </row>
    <row r="3592" spans="1:23">
      <c r="A3592" t="n">
        <v>32455</v>
      </c>
      <c r="B3592" s="68" t="n">
        <v>89</v>
      </c>
      <c r="C3592" s="7" t="n">
        <v>65533</v>
      </c>
      <c r="D3592" s="7" t="n">
        <v>1</v>
      </c>
    </row>
    <row r="3593" spans="1:23">
      <c r="A3593" t="s">
        <v>4</v>
      </c>
      <c r="B3593" s="4" t="s">
        <v>5</v>
      </c>
      <c r="C3593" s="4" t="s">
        <v>7</v>
      </c>
      <c r="D3593" s="4" t="s">
        <v>11</v>
      </c>
      <c r="E3593" s="4" t="s">
        <v>13</v>
      </c>
    </row>
    <row r="3594" spans="1:23">
      <c r="A3594" t="n">
        <v>32459</v>
      </c>
      <c r="B3594" s="23" t="n">
        <v>58</v>
      </c>
      <c r="C3594" s="7" t="n">
        <v>101</v>
      </c>
      <c r="D3594" s="7" t="n">
        <v>500</v>
      </c>
      <c r="E3594" s="7" t="n">
        <v>1</v>
      </c>
    </row>
    <row r="3595" spans="1:23">
      <c r="A3595" t="s">
        <v>4</v>
      </c>
      <c r="B3595" s="4" t="s">
        <v>5</v>
      </c>
      <c r="C3595" s="4" t="s">
        <v>7</v>
      </c>
      <c r="D3595" s="4" t="s">
        <v>11</v>
      </c>
    </row>
    <row r="3596" spans="1:23">
      <c r="A3596" t="n">
        <v>32467</v>
      </c>
      <c r="B3596" s="23" t="n">
        <v>58</v>
      </c>
      <c r="C3596" s="7" t="n">
        <v>254</v>
      </c>
      <c r="D3596" s="7" t="n">
        <v>0</v>
      </c>
    </row>
    <row r="3597" spans="1:23">
      <c r="A3597" t="s">
        <v>4</v>
      </c>
      <c r="B3597" s="4" t="s">
        <v>5</v>
      </c>
      <c r="C3597" s="4" t="s">
        <v>7</v>
      </c>
      <c r="D3597" s="4" t="s">
        <v>7</v>
      </c>
      <c r="E3597" s="4" t="s">
        <v>13</v>
      </c>
      <c r="F3597" s="4" t="s">
        <v>13</v>
      </c>
      <c r="G3597" s="4" t="s">
        <v>13</v>
      </c>
      <c r="H3597" s="4" t="s">
        <v>11</v>
      </c>
    </row>
    <row r="3598" spans="1:23">
      <c r="A3598" t="n">
        <v>32471</v>
      </c>
      <c r="B3598" s="51" t="n">
        <v>45</v>
      </c>
      <c r="C3598" s="7" t="n">
        <v>2</v>
      </c>
      <c r="D3598" s="7" t="n">
        <v>3</v>
      </c>
      <c r="E3598" s="7" t="n">
        <v>-6.6100001335144</v>
      </c>
      <c r="F3598" s="7" t="n">
        <v>6.44000005722046</v>
      </c>
      <c r="G3598" s="7" t="n">
        <v>29.9300003051758</v>
      </c>
      <c r="H3598" s="7" t="n">
        <v>0</v>
      </c>
    </row>
    <row r="3599" spans="1:23">
      <c r="A3599" t="s">
        <v>4</v>
      </c>
      <c r="B3599" s="4" t="s">
        <v>5</v>
      </c>
      <c r="C3599" s="4" t="s">
        <v>7</v>
      </c>
      <c r="D3599" s="4" t="s">
        <v>7</v>
      </c>
      <c r="E3599" s="4" t="s">
        <v>13</v>
      </c>
      <c r="F3599" s="4" t="s">
        <v>13</v>
      </c>
      <c r="G3599" s="4" t="s">
        <v>13</v>
      </c>
      <c r="H3599" s="4" t="s">
        <v>11</v>
      </c>
      <c r="I3599" s="4" t="s">
        <v>7</v>
      </c>
    </row>
    <row r="3600" spans="1:23">
      <c r="A3600" t="n">
        <v>32488</v>
      </c>
      <c r="B3600" s="51" t="n">
        <v>45</v>
      </c>
      <c r="C3600" s="7" t="n">
        <v>4</v>
      </c>
      <c r="D3600" s="7" t="n">
        <v>3</v>
      </c>
      <c r="E3600" s="7" t="n">
        <v>357</v>
      </c>
      <c r="F3600" s="7" t="n">
        <v>284.700012207031</v>
      </c>
      <c r="G3600" s="7" t="n">
        <v>4</v>
      </c>
      <c r="H3600" s="7" t="n">
        <v>0</v>
      </c>
      <c r="I3600" s="7" t="n">
        <v>0</v>
      </c>
    </row>
    <row r="3601" spans="1:9">
      <c r="A3601" t="s">
        <v>4</v>
      </c>
      <c r="B3601" s="4" t="s">
        <v>5</v>
      </c>
      <c r="C3601" s="4" t="s">
        <v>7</v>
      </c>
      <c r="D3601" s="4" t="s">
        <v>7</v>
      </c>
      <c r="E3601" s="4" t="s">
        <v>13</v>
      </c>
      <c r="F3601" s="4" t="s">
        <v>11</v>
      </c>
    </row>
    <row r="3602" spans="1:9">
      <c r="A3602" t="n">
        <v>32506</v>
      </c>
      <c r="B3602" s="51" t="n">
        <v>45</v>
      </c>
      <c r="C3602" s="7" t="n">
        <v>5</v>
      </c>
      <c r="D3602" s="7" t="n">
        <v>3</v>
      </c>
      <c r="E3602" s="7" t="n">
        <v>1</v>
      </c>
      <c r="F3602" s="7" t="n">
        <v>0</v>
      </c>
    </row>
    <row r="3603" spans="1:9">
      <c r="A3603" t="s">
        <v>4</v>
      </c>
      <c r="B3603" s="4" t="s">
        <v>5</v>
      </c>
      <c r="C3603" s="4" t="s">
        <v>7</v>
      </c>
      <c r="D3603" s="4" t="s">
        <v>7</v>
      </c>
      <c r="E3603" s="4" t="s">
        <v>13</v>
      </c>
      <c r="F3603" s="4" t="s">
        <v>11</v>
      </c>
    </row>
    <row r="3604" spans="1:9">
      <c r="A3604" t="n">
        <v>32515</v>
      </c>
      <c r="B3604" s="51" t="n">
        <v>45</v>
      </c>
      <c r="C3604" s="7" t="n">
        <v>11</v>
      </c>
      <c r="D3604" s="7" t="n">
        <v>3</v>
      </c>
      <c r="E3604" s="7" t="n">
        <v>40.2999992370605</v>
      </c>
      <c r="F3604" s="7" t="n">
        <v>0</v>
      </c>
    </row>
    <row r="3605" spans="1:9">
      <c r="A3605" t="s">
        <v>4</v>
      </c>
      <c r="B3605" s="4" t="s">
        <v>5</v>
      </c>
      <c r="C3605" s="4" t="s">
        <v>7</v>
      </c>
      <c r="D3605" s="4" t="s">
        <v>11</v>
      </c>
      <c r="E3605" s="4" t="s">
        <v>8</v>
      </c>
      <c r="F3605" s="4" t="s">
        <v>8</v>
      </c>
      <c r="G3605" s="4" t="s">
        <v>8</v>
      </c>
      <c r="H3605" s="4" t="s">
        <v>8</v>
      </c>
    </row>
    <row r="3606" spans="1:9">
      <c r="A3606" t="n">
        <v>32524</v>
      </c>
      <c r="B3606" s="38" t="n">
        <v>51</v>
      </c>
      <c r="C3606" s="7" t="n">
        <v>3</v>
      </c>
      <c r="D3606" s="7" t="n">
        <v>0</v>
      </c>
      <c r="E3606" s="7" t="s">
        <v>86</v>
      </c>
      <c r="F3606" s="7" t="s">
        <v>79</v>
      </c>
      <c r="G3606" s="7" t="s">
        <v>78</v>
      </c>
      <c r="H3606" s="7" t="s">
        <v>79</v>
      </c>
    </row>
    <row r="3607" spans="1:9">
      <c r="A3607" t="s">
        <v>4</v>
      </c>
      <c r="B3607" s="4" t="s">
        <v>5</v>
      </c>
      <c r="C3607" s="4" t="s">
        <v>7</v>
      </c>
      <c r="D3607" s="4" t="s">
        <v>11</v>
      </c>
    </row>
    <row r="3608" spans="1:9">
      <c r="A3608" t="n">
        <v>32537</v>
      </c>
      <c r="B3608" s="23" t="n">
        <v>58</v>
      </c>
      <c r="C3608" s="7" t="n">
        <v>255</v>
      </c>
      <c r="D3608" s="7" t="n">
        <v>0</v>
      </c>
    </row>
    <row r="3609" spans="1:9">
      <c r="A3609" t="s">
        <v>4</v>
      </c>
      <c r="B3609" s="4" t="s">
        <v>5</v>
      </c>
      <c r="C3609" s="4" t="s">
        <v>7</v>
      </c>
      <c r="D3609" s="4" t="s">
        <v>11</v>
      </c>
    </row>
    <row r="3610" spans="1:9">
      <c r="A3610" t="n">
        <v>32541</v>
      </c>
      <c r="B3610" s="51" t="n">
        <v>45</v>
      </c>
      <c r="C3610" s="7" t="n">
        <v>7</v>
      </c>
      <c r="D3610" s="7" t="n">
        <v>255</v>
      </c>
    </row>
    <row r="3611" spans="1:9">
      <c r="A3611" t="s">
        <v>4</v>
      </c>
      <c r="B3611" s="4" t="s">
        <v>5</v>
      </c>
      <c r="C3611" s="4" t="s">
        <v>7</v>
      </c>
      <c r="D3611" s="4" t="s">
        <v>11</v>
      </c>
      <c r="E3611" s="4" t="s">
        <v>8</v>
      </c>
    </row>
    <row r="3612" spans="1:9">
      <c r="A3612" t="n">
        <v>32545</v>
      </c>
      <c r="B3612" s="38" t="n">
        <v>51</v>
      </c>
      <c r="C3612" s="7" t="n">
        <v>4</v>
      </c>
      <c r="D3612" s="7" t="n">
        <v>0</v>
      </c>
      <c r="E3612" s="7" t="s">
        <v>137</v>
      </c>
    </row>
    <row r="3613" spans="1:9">
      <c r="A3613" t="s">
        <v>4</v>
      </c>
      <c r="B3613" s="4" t="s">
        <v>5</v>
      </c>
      <c r="C3613" s="4" t="s">
        <v>11</v>
      </c>
    </row>
    <row r="3614" spans="1:9">
      <c r="A3614" t="n">
        <v>32558</v>
      </c>
      <c r="B3614" s="29" t="n">
        <v>16</v>
      </c>
      <c r="C3614" s="7" t="n">
        <v>500</v>
      </c>
    </row>
    <row r="3615" spans="1:9">
      <c r="A3615" t="s">
        <v>4</v>
      </c>
      <c r="B3615" s="4" t="s">
        <v>5</v>
      </c>
      <c r="C3615" s="4" t="s">
        <v>11</v>
      </c>
      <c r="D3615" s="4" t="s">
        <v>7</v>
      </c>
      <c r="E3615" s="4" t="s">
        <v>15</v>
      </c>
      <c r="F3615" s="4" t="s">
        <v>55</v>
      </c>
      <c r="G3615" s="4" t="s">
        <v>7</v>
      </c>
      <c r="H3615" s="4" t="s">
        <v>7</v>
      </c>
      <c r="I3615" s="4" t="s">
        <v>7</v>
      </c>
      <c r="J3615" s="4" t="s">
        <v>15</v>
      </c>
      <c r="K3615" s="4" t="s">
        <v>55</v>
      </c>
      <c r="L3615" s="4" t="s">
        <v>7</v>
      </c>
      <c r="M3615" s="4" t="s">
        <v>7</v>
      </c>
      <c r="N3615" s="4" t="s">
        <v>7</v>
      </c>
      <c r="O3615" s="4" t="s">
        <v>15</v>
      </c>
      <c r="P3615" s="4" t="s">
        <v>55</v>
      </c>
      <c r="Q3615" s="4" t="s">
        <v>7</v>
      </c>
      <c r="R3615" s="4" t="s">
        <v>7</v>
      </c>
      <c r="S3615" s="4" t="s">
        <v>7</v>
      </c>
      <c r="T3615" s="4" t="s">
        <v>15</v>
      </c>
      <c r="U3615" s="4" t="s">
        <v>55</v>
      </c>
      <c r="V3615" s="4" t="s">
        <v>7</v>
      </c>
      <c r="W3615" s="4" t="s">
        <v>7</v>
      </c>
    </row>
    <row r="3616" spans="1:9">
      <c r="A3616" t="n">
        <v>32561</v>
      </c>
      <c r="B3616" s="55" t="n">
        <v>26</v>
      </c>
      <c r="C3616" s="7" t="n">
        <v>0</v>
      </c>
      <c r="D3616" s="7" t="n">
        <v>17</v>
      </c>
      <c r="E3616" s="7" t="n">
        <v>63809</v>
      </c>
      <c r="F3616" s="7" t="s">
        <v>355</v>
      </c>
      <c r="G3616" s="7" t="n">
        <v>2</v>
      </c>
      <c r="H3616" s="7" t="n">
        <v>3</v>
      </c>
      <c r="I3616" s="7" t="n">
        <v>17</v>
      </c>
      <c r="J3616" s="7" t="n">
        <v>63810</v>
      </c>
      <c r="K3616" s="7" t="s">
        <v>356</v>
      </c>
      <c r="L3616" s="7" t="n">
        <v>2</v>
      </c>
      <c r="M3616" s="7" t="n">
        <v>3</v>
      </c>
      <c r="N3616" s="7" t="n">
        <v>17</v>
      </c>
      <c r="O3616" s="7" t="n">
        <v>63811</v>
      </c>
      <c r="P3616" s="7" t="s">
        <v>357</v>
      </c>
      <c r="Q3616" s="7" t="n">
        <v>2</v>
      </c>
      <c r="R3616" s="7" t="n">
        <v>3</v>
      </c>
      <c r="S3616" s="7" t="n">
        <v>17</v>
      </c>
      <c r="T3616" s="7" t="n">
        <v>63812</v>
      </c>
      <c r="U3616" s="7" t="s">
        <v>358</v>
      </c>
      <c r="V3616" s="7" t="n">
        <v>2</v>
      </c>
      <c r="W3616" s="7" t="n">
        <v>0</v>
      </c>
    </row>
    <row r="3617" spans="1:23">
      <c r="A3617" t="s">
        <v>4</v>
      </c>
      <c r="B3617" s="4" t="s">
        <v>5</v>
      </c>
    </row>
    <row r="3618" spans="1:23">
      <c r="A3618" t="n">
        <v>32824</v>
      </c>
      <c r="B3618" s="27" t="n">
        <v>28</v>
      </c>
    </row>
    <row r="3619" spans="1:23">
      <c r="A3619" t="s">
        <v>4</v>
      </c>
      <c r="B3619" s="4" t="s">
        <v>5</v>
      </c>
      <c r="C3619" s="4" t="s">
        <v>11</v>
      </c>
      <c r="D3619" s="4" t="s">
        <v>7</v>
      </c>
    </row>
    <row r="3620" spans="1:23">
      <c r="A3620" t="n">
        <v>32825</v>
      </c>
      <c r="B3620" s="68" t="n">
        <v>89</v>
      </c>
      <c r="C3620" s="7" t="n">
        <v>65533</v>
      </c>
      <c r="D3620" s="7" t="n">
        <v>1</v>
      </c>
    </row>
    <row r="3621" spans="1:23">
      <c r="A3621" t="s">
        <v>4</v>
      </c>
      <c r="B3621" s="4" t="s">
        <v>5</v>
      </c>
      <c r="C3621" s="4" t="s">
        <v>7</v>
      </c>
      <c r="D3621" s="4" t="s">
        <v>11</v>
      </c>
      <c r="E3621" s="4" t="s">
        <v>13</v>
      </c>
    </row>
    <row r="3622" spans="1:23">
      <c r="A3622" t="n">
        <v>32829</v>
      </c>
      <c r="B3622" s="23" t="n">
        <v>58</v>
      </c>
      <c r="C3622" s="7" t="n">
        <v>101</v>
      </c>
      <c r="D3622" s="7" t="n">
        <v>500</v>
      </c>
      <c r="E3622" s="7" t="n">
        <v>1</v>
      </c>
    </row>
    <row r="3623" spans="1:23">
      <c r="A3623" t="s">
        <v>4</v>
      </c>
      <c r="B3623" s="4" t="s">
        <v>5</v>
      </c>
      <c r="C3623" s="4" t="s">
        <v>7</v>
      </c>
      <c r="D3623" s="4" t="s">
        <v>11</v>
      </c>
    </row>
    <row r="3624" spans="1:23">
      <c r="A3624" t="n">
        <v>32837</v>
      </c>
      <c r="B3624" s="23" t="n">
        <v>58</v>
      </c>
      <c r="C3624" s="7" t="n">
        <v>254</v>
      </c>
      <c r="D3624" s="7" t="n">
        <v>0</v>
      </c>
    </row>
    <row r="3625" spans="1:23">
      <c r="A3625" t="s">
        <v>4</v>
      </c>
      <c r="B3625" s="4" t="s">
        <v>5</v>
      </c>
      <c r="C3625" s="4" t="s">
        <v>7</v>
      </c>
      <c r="D3625" s="4" t="s">
        <v>7</v>
      </c>
      <c r="E3625" s="4" t="s">
        <v>13</v>
      </c>
      <c r="F3625" s="4" t="s">
        <v>13</v>
      </c>
      <c r="G3625" s="4" t="s">
        <v>13</v>
      </c>
      <c r="H3625" s="4" t="s">
        <v>11</v>
      </c>
    </row>
    <row r="3626" spans="1:23">
      <c r="A3626" t="n">
        <v>32841</v>
      </c>
      <c r="B3626" s="51" t="n">
        <v>45</v>
      </c>
      <c r="C3626" s="7" t="n">
        <v>2</v>
      </c>
      <c r="D3626" s="7" t="n">
        <v>3</v>
      </c>
      <c r="E3626" s="7" t="n">
        <v>-7.3600001335144</v>
      </c>
      <c r="F3626" s="7" t="n">
        <v>6.3600001335144</v>
      </c>
      <c r="G3626" s="7" t="n">
        <v>29.8199996948242</v>
      </c>
      <c r="H3626" s="7" t="n">
        <v>0</v>
      </c>
    </row>
    <row r="3627" spans="1:23">
      <c r="A3627" t="s">
        <v>4</v>
      </c>
      <c r="B3627" s="4" t="s">
        <v>5</v>
      </c>
      <c r="C3627" s="4" t="s">
        <v>7</v>
      </c>
      <c r="D3627" s="4" t="s">
        <v>7</v>
      </c>
      <c r="E3627" s="4" t="s">
        <v>13</v>
      </c>
      <c r="F3627" s="4" t="s">
        <v>13</v>
      </c>
      <c r="G3627" s="4" t="s">
        <v>13</v>
      </c>
      <c r="H3627" s="4" t="s">
        <v>11</v>
      </c>
      <c r="I3627" s="4" t="s">
        <v>7</v>
      </c>
    </row>
    <row r="3628" spans="1:23">
      <c r="A3628" t="n">
        <v>32858</v>
      </c>
      <c r="B3628" s="51" t="n">
        <v>45</v>
      </c>
      <c r="C3628" s="7" t="n">
        <v>4</v>
      </c>
      <c r="D3628" s="7" t="n">
        <v>3</v>
      </c>
      <c r="E3628" s="7" t="n">
        <v>8.11999988555908</v>
      </c>
      <c r="F3628" s="7" t="n">
        <v>60.310001373291</v>
      </c>
      <c r="G3628" s="7" t="n">
        <v>354</v>
      </c>
      <c r="H3628" s="7" t="n">
        <v>0</v>
      </c>
      <c r="I3628" s="7" t="n">
        <v>0</v>
      </c>
    </row>
    <row r="3629" spans="1:23">
      <c r="A3629" t="s">
        <v>4</v>
      </c>
      <c r="B3629" s="4" t="s">
        <v>5</v>
      </c>
      <c r="C3629" s="4" t="s">
        <v>7</v>
      </c>
      <c r="D3629" s="4" t="s">
        <v>7</v>
      </c>
      <c r="E3629" s="4" t="s">
        <v>13</v>
      </c>
      <c r="F3629" s="4" t="s">
        <v>11</v>
      </c>
    </row>
    <row r="3630" spans="1:23">
      <c r="A3630" t="n">
        <v>32876</v>
      </c>
      <c r="B3630" s="51" t="n">
        <v>45</v>
      </c>
      <c r="C3630" s="7" t="n">
        <v>5</v>
      </c>
      <c r="D3630" s="7" t="n">
        <v>3</v>
      </c>
      <c r="E3630" s="7" t="n">
        <v>0.800000011920929</v>
      </c>
      <c r="F3630" s="7" t="n">
        <v>0</v>
      </c>
    </row>
    <row r="3631" spans="1:23">
      <c r="A3631" t="s">
        <v>4</v>
      </c>
      <c r="B3631" s="4" t="s">
        <v>5</v>
      </c>
      <c r="C3631" s="4" t="s">
        <v>7</v>
      </c>
      <c r="D3631" s="4" t="s">
        <v>7</v>
      </c>
      <c r="E3631" s="4" t="s">
        <v>13</v>
      </c>
      <c r="F3631" s="4" t="s">
        <v>11</v>
      </c>
    </row>
    <row r="3632" spans="1:23">
      <c r="A3632" t="n">
        <v>32885</v>
      </c>
      <c r="B3632" s="51" t="n">
        <v>45</v>
      </c>
      <c r="C3632" s="7" t="n">
        <v>11</v>
      </c>
      <c r="D3632" s="7" t="n">
        <v>3</v>
      </c>
      <c r="E3632" s="7" t="n">
        <v>40.2999992370605</v>
      </c>
      <c r="F3632" s="7" t="n">
        <v>0</v>
      </c>
    </row>
    <row r="3633" spans="1:9">
      <c r="A3633" t="s">
        <v>4</v>
      </c>
      <c r="B3633" s="4" t="s">
        <v>5</v>
      </c>
      <c r="C3633" s="4" t="s">
        <v>7</v>
      </c>
      <c r="D3633" s="4" t="s">
        <v>11</v>
      </c>
    </row>
    <row r="3634" spans="1:9">
      <c r="A3634" t="n">
        <v>32894</v>
      </c>
      <c r="B3634" s="23" t="n">
        <v>58</v>
      </c>
      <c r="C3634" s="7" t="n">
        <v>255</v>
      </c>
      <c r="D3634" s="7" t="n">
        <v>0</v>
      </c>
    </row>
    <row r="3635" spans="1:9">
      <c r="A3635" t="s">
        <v>4</v>
      </c>
      <c r="B3635" s="4" t="s">
        <v>5</v>
      </c>
      <c r="C3635" s="4" t="s">
        <v>7</v>
      </c>
      <c r="D3635" s="4" t="s">
        <v>11</v>
      </c>
      <c r="E3635" s="4" t="s">
        <v>8</v>
      </c>
    </row>
    <row r="3636" spans="1:9">
      <c r="A3636" t="n">
        <v>32898</v>
      </c>
      <c r="B3636" s="38" t="n">
        <v>51</v>
      </c>
      <c r="C3636" s="7" t="n">
        <v>4</v>
      </c>
      <c r="D3636" s="7" t="n">
        <v>1</v>
      </c>
      <c r="E3636" s="7" t="s">
        <v>359</v>
      </c>
    </row>
    <row r="3637" spans="1:9">
      <c r="A3637" t="s">
        <v>4</v>
      </c>
      <c r="B3637" s="4" t="s">
        <v>5</v>
      </c>
      <c r="C3637" s="4" t="s">
        <v>11</v>
      </c>
    </row>
    <row r="3638" spans="1:9">
      <c r="A3638" t="n">
        <v>32917</v>
      </c>
      <c r="B3638" s="29" t="n">
        <v>16</v>
      </c>
      <c r="C3638" s="7" t="n">
        <v>0</v>
      </c>
    </row>
    <row r="3639" spans="1:9">
      <c r="A3639" t="s">
        <v>4</v>
      </c>
      <c r="B3639" s="4" t="s">
        <v>5</v>
      </c>
      <c r="C3639" s="4" t="s">
        <v>11</v>
      </c>
      <c r="D3639" s="4" t="s">
        <v>7</v>
      </c>
      <c r="E3639" s="4" t="s">
        <v>15</v>
      </c>
      <c r="F3639" s="4" t="s">
        <v>55</v>
      </c>
      <c r="G3639" s="4" t="s">
        <v>7</v>
      </c>
      <c r="H3639" s="4" t="s">
        <v>7</v>
      </c>
    </row>
    <row r="3640" spans="1:9">
      <c r="A3640" t="n">
        <v>32920</v>
      </c>
      <c r="B3640" s="55" t="n">
        <v>26</v>
      </c>
      <c r="C3640" s="7" t="n">
        <v>1</v>
      </c>
      <c r="D3640" s="7" t="n">
        <v>17</v>
      </c>
      <c r="E3640" s="7" t="n">
        <v>1815</v>
      </c>
      <c r="F3640" s="7" t="s">
        <v>360</v>
      </c>
      <c r="G3640" s="7" t="n">
        <v>2</v>
      </c>
      <c r="H3640" s="7" t="n">
        <v>0</v>
      </c>
    </row>
    <row r="3641" spans="1:9">
      <c r="A3641" t="s">
        <v>4</v>
      </c>
      <c r="B3641" s="4" t="s">
        <v>5</v>
      </c>
    </row>
    <row r="3642" spans="1:9">
      <c r="A3642" t="n">
        <v>32942</v>
      </c>
      <c r="B3642" s="27" t="n">
        <v>28</v>
      </c>
    </row>
    <row r="3643" spans="1:9">
      <c r="A3643" t="s">
        <v>4</v>
      </c>
      <c r="B3643" s="4" t="s">
        <v>5</v>
      </c>
      <c r="C3643" s="4" t="s">
        <v>7</v>
      </c>
      <c r="D3643" s="4" t="s">
        <v>11</v>
      </c>
      <c r="E3643" s="4" t="s">
        <v>8</v>
      </c>
    </row>
    <row r="3644" spans="1:9">
      <c r="A3644" t="n">
        <v>32943</v>
      </c>
      <c r="B3644" s="38" t="n">
        <v>51</v>
      </c>
      <c r="C3644" s="7" t="n">
        <v>4</v>
      </c>
      <c r="D3644" s="7" t="n">
        <v>1</v>
      </c>
      <c r="E3644" s="7" t="s">
        <v>361</v>
      </c>
    </row>
    <row r="3645" spans="1:9">
      <c r="A3645" t="s">
        <v>4</v>
      </c>
      <c r="B3645" s="4" t="s">
        <v>5</v>
      </c>
      <c r="C3645" s="4" t="s">
        <v>11</v>
      </c>
    </row>
    <row r="3646" spans="1:9">
      <c r="A3646" t="n">
        <v>32958</v>
      </c>
      <c r="B3646" s="29" t="n">
        <v>16</v>
      </c>
      <c r="C3646" s="7" t="n">
        <v>0</v>
      </c>
    </row>
    <row r="3647" spans="1:9">
      <c r="A3647" t="s">
        <v>4</v>
      </c>
      <c r="B3647" s="4" t="s">
        <v>5</v>
      </c>
      <c r="C3647" s="4" t="s">
        <v>11</v>
      </c>
      <c r="D3647" s="4" t="s">
        <v>7</v>
      </c>
      <c r="E3647" s="4" t="s">
        <v>15</v>
      </c>
      <c r="F3647" s="4" t="s">
        <v>55</v>
      </c>
      <c r="G3647" s="4" t="s">
        <v>7</v>
      </c>
      <c r="H3647" s="4" t="s">
        <v>7</v>
      </c>
      <c r="I3647" s="4" t="s">
        <v>7</v>
      </c>
    </row>
    <row r="3648" spans="1:9">
      <c r="A3648" t="n">
        <v>32961</v>
      </c>
      <c r="B3648" s="55" t="n">
        <v>26</v>
      </c>
      <c r="C3648" s="7" t="n">
        <v>1</v>
      </c>
      <c r="D3648" s="7" t="n">
        <v>17</v>
      </c>
      <c r="E3648" s="7" t="n">
        <v>1816</v>
      </c>
      <c r="F3648" s="7" t="s">
        <v>362</v>
      </c>
      <c r="G3648" s="7" t="n">
        <v>8</v>
      </c>
      <c r="H3648" s="7" t="n">
        <v>2</v>
      </c>
      <c r="I3648" s="7" t="n">
        <v>0</v>
      </c>
    </row>
    <row r="3649" spans="1:9">
      <c r="A3649" t="s">
        <v>4</v>
      </c>
      <c r="B3649" s="4" t="s">
        <v>5</v>
      </c>
      <c r="C3649" s="4" t="s">
        <v>11</v>
      </c>
    </row>
    <row r="3650" spans="1:9">
      <c r="A3650" t="n">
        <v>32976</v>
      </c>
      <c r="B3650" s="29" t="n">
        <v>16</v>
      </c>
      <c r="C3650" s="7" t="n">
        <v>1</v>
      </c>
    </row>
    <row r="3651" spans="1:9">
      <c r="A3651" t="s">
        <v>4</v>
      </c>
      <c r="B3651" s="4" t="s">
        <v>5</v>
      </c>
      <c r="C3651" s="4" t="s">
        <v>7</v>
      </c>
      <c r="D3651" s="4" t="s">
        <v>11</v>
      </c>
    </row>
    <row r="3652" spans="1:9">
      <c r="A3652" t="n">
        <v>32979</v>
      </c>
      <c r="B3652" s="57" t="n">
        <v>50</v>
      </c>
      <c r="C3652" s="7" t="n">
        <v>52</v>
      </c>
      <c r="D3652" s="7" t="n">
        <v>1816</v>
      </c>
    </row>
    <row r="3653" spans="1:9">
      <c r="A3653" t="s">
        <v>4</v>
      </c>
      <c r="B3653" s="4" t="s">
        <v>5</v>
      </c>
      <c r="C3653" s="4" t="s">
        <v>11</v>
      </c>
    </row>
    <row r="3654" spans="1:9">
      <c r="A3654" t="n">
        <v>32983</v>
      </c>
      <c r="B3654" s="29" t="n">
        <v>16</v>
      </c>
      <c r="C3654" s="7" t="n">
        <v>1000</v>
      </c>
    </row>
    <row r="3655" spans="1:9">
      <c r="A3655" t="s">
        <v>4</v>
      </c>
      <c r="B3655" s="4" t="s">
        <v>5</v>
      </c>
      <c r="C3655" s="4" t="s">
        <v>11</v>
      </c>
      <c r="D3655" s="4" t="s">
        <v>7</v>
      </c>
    </row>
    <row r="3656" spans="1:9">
      <c r="A3656" t="n">
        <v>32986</v>
      </c>
      <c r="B3656" s="68" t="n">
        <v>89</v>
      </c>
      <c r="C3656" s="7" t="n">
        <v>65533</v>
      </c>
      <c r="D3656" s="7" t="n">
        <v>0</v>
      </c>
    </row>
    <row r="3657" spans="1:9">
      <c r="A3657" t="s">
        <v>4</v>
      </c>
      <c r="B3657" s="4" t="s">
        <v>5</v>
      </c>
      <c r="C3657" s="4" t="s">
        <v>11</v>
      </c>
      <c r="D3657" s="4" t="s">
        <v>7</v>
      </c>
    </row>
    <row r="3658" spans="1:9">
      <c r="A3658" t="n">
        <v>32990</v>
      </c>
      <c r="B3658" s="68" t="n">
        <v>89</v>
      </c>
      <c r="C3658" s="7" t="n">
        <v>65533</v>
      </c>
      <c r="D3658" s="7" t="n">
        <v>1</v>
      </c>
    </row>
    <row r="3659" spans="1:9">
      <c r="A3659" t="s">
        <v>4</v>
      </c>
      <c r="B3659" s="4" t="s">
        <v>5</v>
      </c>
      <c r="C3659" s="4" t="s">
        <v>11</v>
      </c>
      <c r="D3659" s="4" t="s">
        <v>11</v>
      </c>
      <c r="E3659" s="4" t="s">
        <v>13</v>
      </c>
      <c r="F3659" s="4" t="s">
        <v>13</v>
      </c>
      <c r="G3659" s="4" t="s">
        <v>13</v>
      </c>
      <c r="H3659" s="4" t="s">
        <v>13</v>
      </c>
      <c r="I3659" s="4" t="s">
        <v>7</v>
      </c>
      <c r="J3659" s="4" t="s">
        <v>11</v>
      </c>
    </row>
    <row r="3660" spans="1:9">
      <c r="A3660" t="n">
        <v>32994</v>
      </c>
      <c r="B3660" s="53" t="n">
        <v>55</v>
      </c>
      <c r="C3660" s="7" t="n">
        <v>1</v>
      </c>
      <c r="D3660" s="7" t="n">
        <v>65533</v>
      </c>
      <c r="E3660" s="7" t="n">
        <v>-7.28999996185303</v>
      </c>
      <c r="F3660" s="7" t="n">
        <v>5</v>
      </c>
      <c r="G3660" s="7" t="n">
        <v>29.8099994659424</v>
      </c>
      <c r="H3660" s="7" t="n">
        <v>1.20000004768372</v>
      </c>
      <c r="I3660" s="7" t="n">
        <v>1</v>
      </c>
      <c r="J3660" s="7" t="n">
        <v>0</v>
      </c>
    </row>
    <row r="3661" spans="1:9">
      <c r="A3661" t="s">
        <v>4</v>
      </c>
      <c r="B3661" s="4" t="s">
        <v>5</v>
      </c>
      <c r="C3661" s="4" t="s">
        <v>11</v>
      </c>
    </row>
    <row r="3662" spans="1:9">
      <c r="A3662" t="n">
        <v>33018</v>
      </c>
      <c r="B3662" s="29" t="n">
        <v>16</v>
      </c>
      <c r="C3662" s="7" t="n">
        <v>100</v>
      </c>
    </row>
    <row r="3663" spans="1:9">
      <c r="A3663" t="s">
        <v>4</v>
      </c>
      <c r="B3663" s="4" t="s">
        <v>5</v>
      </c>
      <c r="C3663" s="4" t="s">
        <v>7</v>
      </c>
      <c r="D3663" s="4" t="s">
        <v>11</v>
      </c>
      <c r="E3663" s="4" t="s">
        <v>13</v>
      </c>
    </row>
    <row r="3664" spans="1:9">
      <c r="A3664" t="n">
        <v>33021</v>
      </c>
      <c r="B3664" s="23" t="n">
        <v>58</v>
      </c>
      <c r="C3664" s="7" t="n">
        <v>101</v>
      </c>
      <c r="D3664" s="7" t="n">
        <v>500</v>
      </c>
      <c r="E3664" s="7" t="n">
        <v>1</v>
      </c>
    </row>
    <row r="3665" spans="1:10">
      <c r="A3665" t="s">
        <v>4</v>
      </c>
      <c r="B3665" s="4" t="s">
        <v>5</v>
      </c>
      <c r="C3665" s="4" t="s">
        <v>7</v>
      </c>
      <c r="D3665" s="4" t="s">
        <v>11</v>
      </c>
    </row>
    <row r="3666" spans="1:10">
      <c r="A3666" t="n">
        <v>33029</v>
      </c>
      <c r="B3666" s="23" t="n">
        <v>58</v>
      </c>
      <c r="C3666" s="7" t="n">
        <v>254</v>
      </c>
      <c r="D3666" s="7" t="n">
        <v>0</v>
      </c>
    </row>
    <row r="3667" spans="1:10">
      <c r="A3667" t="s">
        <v>4</v>
      </c>
      <c r="B3667" s="4" t="s">
        <v>5</v>
      </c>
      <c r="C3667" s="4" t="s">
        <v>11</v>
      </c>
      <c r="D3667" s="4" t="s">
        <v>7</v>
      </c>
    </row>
    <row r="3668" spans="1:10">
      <c r="A3668" t="n">
        <v>33033</v>
      </c>
      <c r="B3668" s="54" t="n">
        <v>56</v>
      </c>
      <c r="C3668" s="7" t="n">
        <v>1</v>
      </c>
      <c r="D3668" s="7" t="n">
        <v>1</v>
      </c>
    </row>
    <row r="3669" spans="1:10">
      <c r="A3669" t="s">
        <v>4</v>
      </c>
      <c r="B3669" s="4" t="s">
        <v>5</v>
      </c>
      <c r="C3669" s="4" t="s">
        <v>11</v>
      </c>
      <c r="D3669" s="4" t="s">
        <v>13</v>
      </c>
      <c r="E3669" s="4" t="s">
        <v>13</v>
      </c>
      <c r="F3669" s="4" t="s">
        <v>13</v>
      </c>
      <c r="G3669" s="4" t="s">
        <v>13</v>
      </c>
    </row>
    <row r="3670" spans="1:10">
      <c r="A3670" t="n">
        <v>33037</v>
      </c>
      <c r="B3670" s="36" t="n">
        <v>46</v>
      </c>
      <c r="C3670" s="7" t="n">
        <v>1</v>
      </c>
      <c r="D3670" s="7" t="n">
        <v>-7.51000022888184</v>
      </c>
      <c r="E3670" s="7" t="n">
        <v>5</v>
      </c>
      <c r="F3670" s="7" t="n">
        <v>29.7900009155273</v>
      </c>
      <c r="G3670" s="7" t="n">
        <v>83.9000015258789</v>
      </c>
    </row>
    <row r="3671" spans="1:10">
      <c r="A3671" t="s">
        <v>4</v>
      </c>
      <c r="B3671" s="4" t="s">
        <v>5</v>
      </c>
      <c r="C3671" s="4" t="s">
        <v>11</v>
      </c>
      <c r="D3671" s="4" t="s">
        <v>13</v>
      </c>
      <c r="E3671" s="4" t="s">
        <v>13</v>
      </c>
      <c r="F3671" s="4" t="s">
        <v>13</v>
      </c>
      <c r="G3671" s="4" t="s">
        <v>11</v>
      </c>
      <c r="H3671" s="4" t="s">
        <v>11</v>
      </c>
    </row>
    <row r="3672" spans="1:10">
      <c r="A3672" t="n">
        <v>33056</v>
      </c>
      <c r="B3672" s="37" t="n">
        <v>60</v>
      </c>
      <c r="C3672" s="7" t="n">
        <v>0</v>
      </c>
      <c r="D3672" s="7" t="n">
        <v>0</v>
      </c>
      <c r="E3672" s="7" t="n">
        <v>0</v>
      </c>
      <c r="F3672" s="7" t="n">
        <v>0</v>
      </c>
      <c r="G3672" s="7" t="n">
        <v>0</v>
      </c>
      <c r="H3672" s="7" t="n">
        <v>1</v>
      </c>
    </row>
    <row r="3673" spans="1:10">
      <c r="A3673" t="s">
        <v>4</v>
      </c>
      <c r="B3673" s="4" t="s">
        <v>5</v>
      </c>
      <c r="C3673" s="4" t="s">
        <v>11</v>
      </c>
      <c r="D3673" s="4" t="s">
        <v>13</v>
      </c>
      <c r="E3673" s="4" t="s">
        <v>13</v>
      </c>
      <c r="F3673" s="4" t="s">
        <v>13</v>
      </c>
      <c r="G3673" s="4" t="s">
        <v>11</v>
      </c>
      <c r="H3673" s="4" t="s">
        <v>11</v>
      </c>
    </row>
    <row r="3674" spans="1:10">
      <c r="A3674" t="n">
        <v>33075</v>
      </c>
      <c r="B3674" s="37" t="n">
        <v>60</v>
      </c>
      <c r="C3674" s="7" t="n">
        <v>0</v>
      </c>
      <c r="D3674" s="7" t="n">
        <v>0</v>
      </c>
      <c r="E3674" s="7" t="n">
        <v>0</v>
      </c>
      <c r="F3674" s="7" t="n">
        <v>0</v>
      </c>
      <c r="G3674" s="7" t="n">
        <v>0</v>
      </c>
      <c r="H3674" s="7" t="n">
        <v>0</v>
      </c>
    </row>
    <row r="3675" spans="1:10">
      <c r="A3675" t="s">
        <v>4</v>
      </c>
      <c r="B3675" s="4" t="s">
        <v>5</v>
      </c>
      <c r="C3675" s="4" t="s">
        <v>11</v>
      </c>
      <c r="D3675" s="4" t="s">
        <v>11</v>
      </c>
      <c r="E3675" s="4" t="s">
        <v>11</v>
      </c>
    </row>
    <row r="3676" spans="1:10">
      <c r="A3676" t="n">
        <v>33094</v>
      </c>
      <c r="B3676" s="72" t="n">
        <v>61</v>
      </c>
      <c r="C3676" s="7" t="n">
        <v>0</v>
      </c>
      <c r="D3676" s="7" t="n">
        <v>65533</v>
      </c>
      <c r="E3676" s="7" t="n">
        <v>0</v>
      </c>
    </row>
    <row r="3677" spans="1:10">
      <c r="A3677" t="s">
        <v>4</v>
      </c>
      <c r="B3677" s="4" t="s">
        <v>5</v>
      </c>
      <c r="C3677" s="4" t="s">
        <v>11</v>
      </c>
      <c r="D3677" s="4" t="s">
        <v>13</v>
      </c>
      <c r="E3677" s="4" t="s">
        <v>13</v>
      </c>
      <c r="F3677" s="4" t="s">
        <v>13</v>
      </c>
      <c r="G3677" s="4" t="s">
        <v>11</v>
      </c>
      <c r="H3677" s="4" t="s">
        <v>11</v>
      </c>
    </row>
    <row r="3678" spans="1:10">
      <c r="A3678" t="n">
        <v>33101</v>
      </c>
      <c r="B3678" s="37" t="n">
        <v>60</v>
      </c>
      <c r="C3678" s="7" t="n">
        <v>1</v>
      </c>
      <c r="D3678" s="7" t="n">
        <v>0</v>
      </c>
      <c r="E3678" s="7" t="n">
        <v>0</v>
      </c>
      <c r="F3678" s="7" t="n">
        <v>0</v>
      </c>
      <c r="G3678" s="7" t="n">
        <v>0</v>
      </c>
      <c r="H3678" s="7" t="n">
        <v>1</v>
      </c>
    </row>
    <row r="3679" spans="1:10">
      <c r="A3679" t="s">
        <v>4</v>
      </c>
      <c r="B3679" s="4" t="s">
        <v>5</v>
      </c>
      <c r="C3679" s="4" t="s">
        <v>11</v>
      </c>
      <c r="D3679" s="4" t="s">
        <v>13</v>
      </c>
      <c r="E3679" s="4" t="s">
        <v>13</v>
      </c>
      <c r="F3679" s="4" t="s">
        <v>13</v>
      </c>
      <c r="G3679" s="4" t="s">
        <v>11</v>
      </c>
      <c r="H3679" s="4" t="s">
        <v>11</v>
      </c>
    </row>
    <row r="3680" spans="1:10">
      <c r="A3680" t="n">
        <v>33120</v>
      </c>
      <c r="B3680" s="37" t="n">
        <v>60</v>
      </c>
      <c r="C3680" s="7" t="n">
        <v>1</v>
      </c>
      <c r="D3680" s="7" t="n">
        <v>0</v>
      </c>
      <c r="E3680" s="7" t="n">
        <v>0</v>
      </c>
      <c r="F3680" s="7" t="n">
        <v>0</v>
      </c>
      <c r="G3680" s="7" t="n">
        <v>0</v>
      </c>
      <c r="H3680" s="7" t="n">
        <v>0</v>
      </c>
    </row>
    <row r="3681" spans="1:8">
      <c r="A3681" t="s">
        <v>4</v>
      </c>
      <c r="B3681" s="4" t="s">
        <v>5</v>
      </c>
      <c r="C3681" s="4" t="s">
        <v>11</v>
      </c>
      <c r="D3681" s="4" t="s">
        <v>11</v>
      </c>
      <c r="E3681" s="4" t="s">
        <v>11</v>
      </c>
    </row>
    <row r="3682" spans="1:8">
      <c r="A3682" t="n">
        <v>33139</v>
      </c>
      <c r="B3682" s="72" t="n">
        <v>61</v>
      </c>
      <c r="C3682" s="7" t="n">
        <v>1</v>
      </c>
      <c r="D3682" s="7" t="n">
        <v>65533</v>
      </c>
      <c r="E3682" s="7" t="n">
        <v>0</v>
      </c>
    </row>
    <row r="3683" spans="1:8">
      <c r="A3683" t="s">
        <v>4</v>
      </c>
      <c r="B3683" s="4" t="s">
        <v>5</v>
      </c>
      <c r="C3683" s="4" t="s">
        <v>7</v>
      </c>
      <c r="D3683" s="4" t="s">
        <v>7</v>
      </c>
      <c r="E3683" s="4" t="s">
        <v>13</v>
      </c>
      <c r="F3683" s="4" t="s">
        <v>13</v>
      </c>
      <c r="G3683" s="4" t="s">
        <v>13</v>
      </c>
      <c r="H3683" s="4" t="s">
        <v>11</v>
      </c>
    </row>
    <row r="3684" spans="1:8">
      <c r="A3684" t="n">
        <v>33146</v>
      </c>
      <c r="B3684" s="51" t="n">
        <v>45</v>
      </c>
      <c r="C3684" s="7" t="n">
        <v>2</v>
      </c>
      <c r="D3684" s="7" t="n">
        <v>3</v>
      </c>
      <c r="E3684" s="7" t="n">
        <v>-6.80999994277954</v>
      </c>
      <c r="F3684" s="7" t="n">
        <v>6.40999984741211</v>
      </c>
      <c r="G3684" s="7" t="n">
        <v>29.7900009155273</v>
      </c>
      <c r="H3684" s="7" t="n">
        <v>0</v>
      </c>
    </row>
    <row r="3685" spans="1:8">
      <c r="A3685" t="s">
        <v>4</v>
      </c>
      <c r="B3685" s="4" t="s">
        <v>5</v>
      </c>
      <c r="C3685" s="4" t="s">
        <v>7</v>
      </c>
      <c r="D3685" s="4" t="s">
        <v>7</v>
      </c>
      <c r="E3685" s="4" t="s">
        <v>13</v>
      </c>
      <c r="F3685" s="4" t="s">
        <v>13</v>
      </c>
      <c r="G3685" s="4" t="s">
        <v>13</v>
      </c>
      <c r="H3685" s="4" t="s">
        <v>11</v>
      </c>
      <c r="I3685" s="4" t="s">
        <v>7</v>
      </c>
    </row>
    <row r="3686" spans="1:8">
      <c r="A3686" t="n">
        <v>33163</v>
      </c>
      <c r="B3686" s="51" t="n">
        <v>45</v>
      </c>
      <c r="C3686" s="7" t="n">
        <v>4</v>
      </c>
      <c r="D3686" s="7" t="n">
        <v>3</v>
      </c>
      <c r="E3686" s="7" t="n">
        <v>0.28999999165535</v>
      </c>
      <c r="F3686" s="7" t="n">
        <v>141.889999389648</v>
      </c>
      <c r="G3686" s="7" t="n">
        <v>354</v>
      </c>
      <c r="H3686" s="7" t="n">
        <v>0</v>
      </c>
      <c r="I3686" s="7" t="n">
        <v>0</v>
      </c>
    </row>
    <row r="3687" spans="1:8">
      <c r="A3687" t="s">
        <v>4</v>
      </c>
      <c r="B3687" s="4" t="s">
        <v>5</v>
      </c>
      <c r="C3687" s="4" t="s">
        <v>7</v>
      </c>
      <c r="D3687" s="4" t="s">
        <v>7</v>
      </c>
      <c r="E3687" s="4" t="s">
        <v>13</v>
      </c>
      <c r="F3687" s="4" t="s">
        <v>11</v>
      </c>
    </row>
    <row r="3688" spans="1:8">
      <c r="A3688" t="n">
        <v>33181</v>
      </c>
      <c r="B3688" s="51" t="n">
        <v>45</v>
      </c>
      <c r="C3688" s="7" t="n">
        <v>5</v>
      </c>
      <c r="D3688" s="7" t="n">
        <v>3</v>
      </c>
      <c r="E3688" s="7" t="n">
        <v>1</v>
      </c>
      <c r="F3688" s="7" t="n">
        <v>0</v>
      </c>
    </row>
    <row r="3689" spans="1:8">
      <c r="A3689" t="s">
        <v>4</v>
      </c>
      <c r="B3689" s="4" t="s">
        <v>5</v>
      </c>
      <c r="C3689" s="4" t="s">
        <v>7</v>
      </c>
      <c r="D3689" s="4" t="s">
        <v>7</v>
      </c>
      <c r="E3689" s="4" t="s">
        <v>13</v>
      </c>
      <c r="F3689" s="4" t="s">
        <v>11</v>
      </c>
    </row>
    <row r="3690" spans="1:8">
      <c r="A3690" t="n">
        <v>33190</v>
      </c>
      <c r="B3690" s="51" t="n">
        <v>45</v>
      </c>
      <c r="C3690" s="7" t="n">
        <v>11</v>
      </c>
      <c r="D3690" s="7" t="n">
        <v>3</v>
      </c>
      <c r="E3690" s="7" t="n">
        <v>40.2999992370605</v>
      </c>
      <c r="F3690" s="7" t="n">
        <v>0</v>
      </c>
    </row>
    <row r="3691" spans="1:8">
      <c r="A3691" t="s">
        <v>4</v>
      </c>
      <c r="B3691" s="4" t="s">
        <v>5</v>
      </c>
      <c r="C3691" s="4" t="s">
        <v>7</v>
      </c>
      <c r="D3691" s="4" t="s">
        <v>7</v>
      </c>
      <c r="E3691" s="4" t="s">
        <v>13</v>
      </c>
      <c r="F3691" s="4" t="s">
        <v>13</v>
      </c>
      <c r="G3691" s="4" t="s">
        <v>13</v>
      </c>
      <c r="H3691" s="4" t="s">
        <v>11</v>
      </c>
    </row>
    <row r="3692" spans="1:8">
      <c r="A3692" t="n">
        <v>33199</v>
      </c>
      <c r="B3692" s="51" t="n">
        <v>45</v>
      </c>
      <c r="C3692" s="7" t="n">
        <v>2</v>
      </c>
      <c r="D3692" s="7" t="n">
        <v>3</v>
      </c>
      <c r="E3692" s="7" t="n">
        <v>-6.51999998092651</v>
      </c>
      <c r="F3692" s="7" t="n">
        <v>6.40999984741211</v>
      </c>
      <c r="G3692" s="7" t="n">
        <v>29.8199996948242</v>
      </c>
      <c r="H3692" s="7" t="n">
        <v>3000</v>
      </c>
    </row>
    <row r="3693" spans="1:8">
      <c r="A3693" t="s">
        <v>4</v>
      </c>
      <c r="B3693" s="4" t="s">
        <v>5</v>
      </c>
      <c r="C3693" s="4" t="s">
        <v>7</v>
      </c>
      <c r="D3693" s="4" t="s">
        <v>7</v>
      </c>
      <c r="E3693" s="4" t="s">
        <v>13</v>
      </c>
      <c r="F3693" s="4" t="s">
        <v>13</v>
      </c>
      <c r="G3693" s="4" t="s">
        <v>13</v>
      </c>
      <c r="H3693" s="4" t="s">
        <v>11</v>
      </c>
      <c r="I3693" s="4" t="s">
        <v>7</v>
      </c>
    </row>
    <row r="3694" spans="1:8">
      <c r="A3694" t="n">
        <v>33216</v>
      </c>
      <c r="B3694" s="51" t="n">
        <v>45</v>
      </c>
      <c r="C3694" s="7" t="n">
        <v>4</v>
      </c>
      <c r="D3694" s="7" t="n">
        <v>3</v>
      </c>
      <c r="E3694" s="7" t="n">
        <v>352.010009765625</v>
      </c>
      <c r="F3694" s="7" t="n">
        <v>145.639999389648</v>
      </c>
      <c r="G3694" s="7" t="n">
        <v>354</v>
      </c>
      <c r="H3694" s="7" t="n">
        <v>3000</v>
      </c>
      <c r="I3694" s="7" t="n">
        <v>1</v>
      </c>
    </row>
    <row r="3695" spans="1:8">
      <c r="A3695" t="s">
        <v>4</v>
      </c>
      <c r="B3695" s="4" t="s">
        <v>5</v>
      </c>
      <c r="C3695" s="4" t="s">
        <v>7</v>
      </c>
      <c r="D3695" s="4" t="s">
        <v>7</v>
      </c>
      <c r="E3695" s="4" t="s">
        <v>13</v>
      </c>
      <c r="F3695" s="4" t="s">
        <v>11</v>
      </c>
    </row>
    <row r="3696" spans="1:8">
      <c r="A3696" t="n">
        <v>33234</v>
      </c>
      <c r="B3696" s="51" t="n">
        <v>45</v>
      </c>
      <c r="C3696" s="7" t="n">
        <v>5</v>
      </c>
      <c r="D3696" s="7" t="n">
        <v>3</v>
      </c>
      <c r="E3696" s="7" t="n">
        <v>1.10000002384186</v>
      </c>
      <c r="F3696" s="7" t="n">
        <v>3000</v>
      </c>
    </row>
    <row r="3697" spans="1:9">
      <c r="A3697" t="s">
        <v>4</v>
      </c>
      <c r="B3697" s="4" t="s">
        <v>5</v>
      </c>
      <c r="C3697" s="4" t="s">
        <v>11</v>
      </c>
      <c r="D3697" s="4" t="s">
        <v>7</v>
      </c>
      <c r="E3697" s="4" t="s">
        <v>8</v>
      </c>
      <c r="F3697" s="4" t="s">
        <v>13</v>
      </c>
      <c r="G3697" s="4" t="s">
        <v>13</v>
      </c>
      <c r="H3697" s="4" t="s">
        <v>13</v>
      </c>
    </row>
    <row r="3698" spans="1:9">
      <c r="A3698" t="n">
        <v>33243</v>
      </c>
      <c r="B3698" s="42" t="n">
        <v>48</v>
      </c>
      <c r="C3698" s="7" t="n">
        <v>0</v>
      </c>
      <c r="D3698" s="7" t="n">
        <v>0</v>
      </c>
      <c r="E3698" s="7" t="s">
        <v>276</v>
      </c>
      <c r="F3698" s="7" t="n">
        <v>-1</v>
      </c>
      <c r="G3698" s="7" t="n">
        <v>1</v>
      </c>
      <c r="H3698" s="7" t="n">
        <v>0</v>
      </c>
    </row>
    <row r="3699" spans="1:9">
      <c r="A3699" t="s">
        <v>4</v>
      </c>
      <c r="B3699" s="4" t="s">
        <v>5</v>
      </c>
      <c r="C3699" s="4" t="s">
        <v>11</v>
      </c>
      <c r="D3699" s="4" t="s">
        <v>7</v>
      </c>
      <c r="E3699" s="4" t="s">
        <v>8</v>
      </c>
      <c r="F3699" s="4" t="s">
        <v>13</v>
      </c>
      <c r="G3699" s="4" t="s">
        <v>13</v>
      </c>
      <c r="H3699" s="4" t="s">
        <v>13</v>
      </c>
    </row>
    <row r="3700" spans="1:9">
      <c r="A3700" t="n">
        <v>33269</v>
      </c>
      <c r="B3700" s="42" t="n">
        <v>48</v>
      </c>
      <c r="C3700" s="7" t="n">
        <v>1</v>
      </c>
      <c r="D3700" s="7" t="n">
        <v>0</v>
      </c>
      <c r="E3700" s="7" t="s">
        <v>276</v>
      </c>
      <c r="F3700" s="7" t="n">
        <v>-1</v>
      </c>
      <c r="G3700" s="7" t="n">
        <v>1</v>
      </c>
      <c r="H3700" s="7" t="n">
        <v>0</v>
      </c>
    </row>
    <row r="3701" spans="1:9">
      <c r="A3701" t="s">
        <v>4</v>
      </c>
      <c r="B3701" s="4" t="s">
        <v>5</v>
      </c>
      <c r="C3701" s="4" t="s">
        <v>7</v>
      </c>
      <c r="D3701" s="4" t="s">
        <v>11</v>
      </c>
      <c r="E3701" s="4" t="s">
        <v>13</v>
      </c>
      <c r="F3701" s="4" t="s">
        <v>11</v>
      </c>
      <c r="G3701" s="4" t="s">
        <v>15</v>
      </c>
      <c r="H3701" s="4" t="s">
        <v>15</v>
      </c>
      <c r="I3701" s="4" t="s">
        <v>11</v>
      </c>
      <c r="J3701" s="4" t="s">
        <v>11</v>
      </c>
      <c r="K3701" s="4" t="s">
        <v>15</v>
      </c>
      <c r="L3701" s="4" t="s">
        <v>15</v>
      </c>
      <c r="M3701" s="4" t="s">
        <v>15</v>
      </c>
      <c r="N3701" s="4" t="s">
        <v>15</v>
      </c>
      <c r="O3701" s="4" t="s">
        <v>8</v>
      </c>
    </row>
    <row r="3702" spans="1:9">
      <c r="A3702" t="n">
        <v>33295</v>
      </c>
      <c r="B3702" s="57" t="n">
        <v>50</v>
      </c>
      <c r="C3702" s="7" t="n">
        <v>0</v>
      </c>
      <c r="D3702" s="7" t="n">
        <v>2004</v>
      </c>
      <c r="E3702" s="7" t="n">
        <v>0.5</v>
      </c>
      <c r="F3702" s="7" t="n">
        <v>200</v>
      </c>
      <c r="G3702" s="7" t="n">
        <v>0</v>
      </c>
      <c r="H3702" s="7" t="n">
        <v>1073741824</v>
      </c>
      <c r="I3702" s="7" t="n">
        <v>0</v>
      </c>
      <c r="J3702" s="7" t="n">
        <v>65533</v>
      </c>
      <c r="K3702" s="7" t="n">
        <v>0</v>
      </c>
      <c r="L3702" s="7" t="n">
        <v>0</v>
      </c>
      <c r="M3702" s="7" t="n">
        <v>0</v>
      </c>
      <c r="N3702" s="7" t="n">
        <v>0</v>
      </c>
      <c r="O3702" s="7" t="s">
        <v>16</v>
      </c>
    </row>
    <row r="3703" spans="1:9">
      <c r="A3703" t="s">
        <v>4</v>
      </c>
      <c r="B3703" s="4" t="s">
        <v>5</v>
      </c>
      <c r="C3703" s="4" t="s">
        <v>7</v>
      </c>
      <c r="D3703" s="4" t="s">
        <v>11</v>
      </c>
    </row>
    <row r="3704" spans="1:9">
      <c r="A3704" t="n">
        <v>33334</v>
      </c>
      <c r="B3704" s="23" t="n">
        <v>58</v>
      </c>
      <c r="C3704" s="7" t="n">
        <v>255</v>
      </c>
      <c r="D3704" s="7" t="n">
        <v>0</v>
      </c>
    </row>
    <row r="3705" spans="1:9">
      <c r="A3705" t="s">
        <v>4</v>
      </c>
      <c r="B3705" s="4" t="s">
        <v>5</v>
      </c>
      <c r="C3705" s="4" t="s">
        <v>11</v>
      </c>
      <c r="D3705" s="4" t="s">
        <v>15</v>
      </c>
      <c r="E3705" s="4" t="s">
        <v>7</v>
      </c>
    </row>
    <row r="3706" spans="1:9">
      <c r="A3706" t="n">
        <v>33338</v>
      </c>
      <c r="B3706" s="78" t="n">
        <v>35</v>
      </c>
      <c r="C3706" s="7" t="n">
        <v>0</v>
      </c>
      <c r="D3706" s="7" t="n">
        <v>0</v>
      </c>
      <c r="E3706" s="7" t="n">
        <v>0</v>
      </c>
    </row>
    <row r="3707" spans="1:9">
      <c r="A3707" t="s">
        <v>4</v>
      </c>
      <c r="B3707" s="4" t="s">
        <v>5</v>
      </c>
      <c r="C3707" s="4" t="s">
        <v>11</v>
      </c>
      <c r="D3707" s="4" t="s">
        <v>15</v>
      </c>
      <c r="E3707" s="4" t="s">
        <v>7</v>
      </c>
    </row>
    <row r="3708" spans="1:9">
      <c r="A3708" t="n">
        <v>33346</v>
      </c>
      <c r="B3708" s="78" t="n">
        <v>35</v>
      </c>
      <c r="C3708" s="7" t="n">
        <v>1</v>
      </c>
      <c r="D3708" s="7" t="n">
        <v>0</v>
      </c>
      <c r="E3708" s="7" t="n">
        <v>0</v>
      </c>
    </row>
    <row r="3709" spans="1:9">
      <c r="A3709" t="s">
        <v>4</v>
      </c>
      <c r="B3709" s="4" t="s">
        <v>5</v>
      </c>
      <c r="C3709" s="4" t="s">
        <v>7</v>
      </c>
      <c r="D3709" s="4" t="s">
        <v>11</v>
      </c>
    </row>
    <row r="3710" spans="1:9">
      <c r="A3710" t="n">
        <v>33354</v>
      </c>
      <c r="B3710" s="51" t="n">
        <v>45</v>
      </c>
      <c r="C3710" s="7" t="n">
        <v>7</v>
      </c>
      <c r="D3710" s="7" t="n">
        <v>255</v>
      </c>
    </row>
    <row r="3711" spans="1:9">
      <c r="A3711" t="s">
        <v>4</v>
      </c>
      <c r="B3711" s="4" t="s">
        <v>5</v>
      </c>
      <c r="C3711" s="4" t="s">
        <v>7</v>
      </c>
      <c r="D3711" s="4" t="s">
        <v>11</v>
      </c>
      <c r="E3711" s="4" t="s">
        <v>8</v>
      </c>
    </row>
    <row r="3712" spans="1:9">
      <c r="A3712" t="n">
        <v>33358</v>
      </c>
      <c r="B3712" s="38" t="n">
        <v>51</v>
      </c>
      <c r="C3712" s="7" t="n">
        <v>4</v>
      </c>
      <c r="D3712" s="7" t="n">
        <v>1</v>
      </c>
      <c r="E3712" s="7" t="s">
        <v>363</v>
      </c>
    </row>
    <row r="3713" spans="1:15">
      <c r="A3713" t="s">
        <v>4</v>
      </c>
      <c r="B3713" s="4" t="s">
        <v>5</v>
      </c>
      <c r="C3713" s="4" t="s">
        <v>11</v>
      </c>
    </row>
    <row r="3714" spans="1:15">
      <c r="A3714" t="n">
        <v>33372</v>
      </c>
      <c r="B3714" s="29" t="n">
        <v>16</v>
      </c>
      <c r="C3714" s="7" t="n">
        <v>0</v>
      </c>
    </row>
    <row r="3715" spans="1:15">
      <c r="A3715" t="s">
        <v>4</v>
      </c>
      <c r="B3715" s="4" t="s">
        <v>5</v>
      </c>
      <c r="C3715" s="4" t="s">
        <v>11</v>
      </c>
      <c r="D3715" s="4" t="s">
        <v>7</v>
      </c>
      <c r="E3715" s="4" t="s">
        <v>15</v>
      </c>
      <c r="F3715" s="4" t="s">
        <v>55</v>
      </c>
      <c r="G3715" s="4" t="s">
        <v>7</v>
      </c>
      <c r="H3715" s="4" t="s">
        <v>7</v>
      </c>
      <c r="I3715" s="4" t="s">
        <v>7</v>
      </c>
      <c r="J3715" s="4" t="s">
        <v>15</v>
      </c>
      <c r="K3715" s="4" t="s">
        <v>55</v>
      </c>
      <c r="L3715" s="4" t="s">
        <v>7</v>
      </c>
      <c r="M3715" s="4" t="s">
        <v>7</v>
      </c>
      <c r="N3715" s="4" t="s">
        <v>7</v>
      </c>
      <c r="O3715" s="4" t="s">
        <v>15</v>
      </c>
      <c r="P3715" s="4" t="s">
        <v>55</v>
      </c>
      <c r="Q3715" s="4" t="s">
        <v>7</v>
      </c>
      <c r="R3715" s="4" t="s">
        <v>7</v>
      </c>
    </row>
    <row r="3716" spans="1:15">
      <c r="A3716" t="n">
        <v>33375</v>
      </c>
      <c r="B3716" s="55" t="n">
        <v>26</v>
      </c>
      <c r="C3716" s="7" t="n">
        <v>1</v>
      </c>
      <c r="D3716" s="7" t="n">
        <v>17</v>
      </c>
      <c r="E3716" s="7" t="n">
        <v>1817</v>
      </c>
      <c r="F3716" s="7" t="s">
        <v>364</v>
      </c>
      <c r="G3716" s="7" t="n">
        <v>2</v>
      </c>
      <c r="H3716" s="7" t="n">
        <v>3</v>
      </c>
      <c r="I3716" s="7" t="n">
        <v>17</v>
      </c>
      <c r="J3716" s="7" t="n">
        <v>1818</v>
      </c>
      <c r="K3716" s="7" t="s">
        <v>365</v>
      </c>
      <c r="L3716" s="7" t="n">
        <v>2</v>
      </c>
      <c r="M3716" s="7" t="n">
        <v>3</v>
      </c>
      <c r="N3716" s="7" t="n">
        <v>17</v>
      </c>
      <c r="O3716" s="7" t="n">
        <v>1819</v>
      </c>
      <c r="P3716" s="7" t="s">
        <v>366</v>
      </c>
      <c r="Q3716" s="7" t="n">
        <v>2</v>
      </c>
      <c r="R3716" s="7" t="n">
        <v>0</v>
      </c>
    </row>
    <row r="3717" spans="1:15">
      <c r="A3717" t="s">
        <v>4</v>
      </c>
      <c r="B3717" s="4" t="s">
        <v>5</v>
      </c>
    </row>
    <row r="3718" spans="1:15">
      <c r="A3718" t="n">
        <v>33681</v>
      </c>
      <c r="B3718" s="27" t="n">
        <v>28</v>
      </c>
    </row>
    <row r="3719" spans="1:15">
      <c r="A3719" t="s">
        <v>4</v>
      </c>
      <c r="B3719" s="4" t="s">
        <v>5</v>
      </c>
      <c r="C3719" s="4" t="s">
        <v>7</v>
      </c>
      <c r="D3719" s="4" t="s">
        <v>11</v>
      </c>
      <c r="E3719" s="4" t="s">
        <v>8</v>
      </c>
    </row>
    <row r="3720" spans="1:15">
      <c r="A3720" t="n">
        <v>33682</v>
      </c>
      <c r="B3720" s="38" t="n">
        <v>51</v>
      </c>
      <c r="C3720" s="7" t="n">
        <v>4</v>
      </c>
      <c r="D3720" s="7" t="n">
        <v>0</v>
      </c>
      <c r="E3720" s="7" t="s">
        <v>285</v>
      </c>
    </row>
    <row r="3721" spans="1:15">
      <c r="A3721" t="s">
        <v>4</v>
      </c>
      <c r="B3721" s="4" t="s">
        <v>5</v>
      </c>
      <c r="C3721" s="4" t="s">
        <v>11</v>
      </c>
    </row>
    <row r="3722" spans="1:15">
      <c r="A3722" t="n">
        <v>33695</v>
      </c>
      <c r="B3722" s="29" t="n">
        <v>16</v>
      </c>
      <c r="C3722" s="7" t="n">
        <v>0</v>
      </c>
    </row>
    <row r="3723" spans="1:15">
      <c r="A3723" t="s">
        <v>4</v>
      </c>
      <c r="B3723" s="4" t="s">
        <v>5</v>
      </c>
      <c r="C3723" s="4" t="s">
        <v>11</v>
      </c>
      <c r="D3723" s="4" t="s">
        <v>7</v>
      </c>
      <c r="E3723" s="4" t="s">
        <v>15</v>
      </c>
      <c r="F3723" s="4" t="s">
        <v>55</v>
      </c>
      <c r="G3723" s="4" t="s">
        <v>7</v>
      </c>
      <c r="H3723" s="4" t="s">
        <v>7</v>
      </c>
    </row>
    <row r="3724" spans="1:15">
      <c r="A3724" t="n">
        <v>33698</v>
      </c>
      <c r="B3724" s="55" t="n">
        <v>26</v>
      </c>
      <c r="C3724" s="7" t="n">
        <v>0</v>
      </c>
      <c r="D3724" s="7" t="n">
        <v>17</v>
      </c>
      <c r="E3724" s="7" t="n">
        <v>63813</v>
      </c>
      <c r="F3724" s="7" t="s">
        <v>367</v>
      </c>
      <c r="G3724" s="7" t="n">
        <v>2</v>
      </c>
      <c r="H3724" s="7" t="n">
        <v>0</v>
      </c>
    </row>
    <row r="3725" spans="1:15">
      <c r="A3725" t="s">
        <v>4</v>
      </c>
      <c r="B3725" s="4" t="s">
        <v>5</v>
      </c>
    </row>
    <row r="3726" spans="1:15">
      <c r="A3726" t="n">
        <v>33722</v>
      </c>
      <c r="B3726" s="27" t="n">
        <v>28</v>
      </c>
    </row>
    <row r="3727" spans="1:15">
      <c r="A3727" t="s">
        <v>4</v>
      </c>
      <c r="B3727" s="4" t="s">
        <v>5</v>
      </c>
      <c r="C3727" s="4" t="s">
        <v>7</v>
      </c>
      <c r="D3727" s="4" t="s">
        <v>11</v>
      </c>
      <c r="E3727" s="4" t="s">
        <v>8</v>
      </c>
      <c r="F3727" s="4" t="s">
        <v>8</v>
      </c>
      <c r="G3727" s="4" t="s">
        <v>8</v>
      </c>
      <c r="H3727" s="4" t="s">
        <v>8</v>
      </c>
    </row>
    <row r="3728" spans="1:15">
      <c r="A3728" t="n">
        <v>33723</v>
      </c>
      <c r="B3728" s="38" t="n">
        <v>51</v>
      </c>
      <c r="C3728" s="7" t="n">
        <v>3</v>
      </c>
      <c r="D3728" s="7" t="n">
        <v>1</v>
      </c>
      <c r="E3728" s="7" t="s">
        <v>232</v>
      </c>
      <c r="F3728" s="7" t="s">
        <v>99</v>
      </c>
      <c r="G3728" s="7" t="s">
        <v>16</v>
      </c>
      <c r="H3728" s="7" t="s">
        <v>86</v>
      </c>
    </row>
    <row r="3729" spans="1:18">
      <c r="A3729" t="s">
        <v>4</v>
      </c>
      <c r="B3729" s="4" t="s">
        <v>5</v>
      </c>
      <c r="C3729" s="4" t="s">
        <v>11</v>
      </c>
      <c r="D3729" s="4" t="s">
        <v>7</v>
      </c>
      <c r="E3729" s="4" t="s">
        <v>8</v>
      </c>
      <c r="F3729" s="4" t="s">
        <v>13</v>
      </c>
      <c r="G3729" s="4" t="s">
        <v>13</v>
      </c>
      <c r="H3729" s="4" t="s">
        <v>13</v>
      </c>
    </row>
    <row r="3730" spans="1:18">
      <c r="A3730" t="n">
        <v>33734</v>
      </c>
      <c r="B3730" s="42" t="n">
        <v>48</v>
      </c>
      <c r="C3730" s="7" t="n">
        <v>0</v>
      </c>
      <c r="D3730" s="7" t="n">
        <v>0</v>
      </c>
      <c r="E3730" s="7" t="s">
        <v>277</v>
      </c>
      <c r="F3730" s="7" t="n">
        <v>-1</v>
      </c>
      <c r="G3730" s="7" t="n">
        <v>1</v>
      </c>
      <c r="H3730" s="7" t="n">
        <v>0</v>
      </c>
    </row>
    <row r="3731" spans="1:18">
      <c r="A3731" t="s">
        <v>4</v>
      </c>
      <c r="B3731" s="4" t="s">
        <v>5</v>
      </c>
      <c r="C3731" s="4" t="s">
        <v>11</v>
      </c>
      <c r="D3731" s="4" t="s">
        <v>7</v>
      </c>
      <c r="E3731" s="4" t="s">
        <v>8</v>
      </c>
      <c r="F3731" s="4" t="s">
        <v>13</v>
      </c>
      <c r="G3731" s="4" t="s">
        <v>13</v>
      </c>
      <c r="H3731" s="4" t="s">
        <v>13</v>
      </c>
    </row>
    <row r="3732" spans="1:18">
      <c r="A3732" t="n">
        <v>33760</v>
      </c>
      <c r="B3732" s="42" t="n">
        <v>48</v>
      </c>
      <c r="C3732" s="7" t="n">
        <v>1</v>
      </c>
      <c r="D3732" s="7" t="n">
        <v>0</v>
      </c>
      <c r="E3732" s="7" t="s">
        <v>277</v>
      </c>
      <c r="F3732" s="7" t="n">
        <v>-1</v>
      </c>
      <c r="G3732" s="7" t="n">
        <v>1</v>
      </c>
      <c r="H3732" s="7" t="n">
        <v>0</v>
      </c>
    </row>
    <row r="3733" spans="1:18">
      <c r="A3733" t="s">
        <v>4</v>
      </c>
      <c r="B3733" s="4" t="s">
        <v>5</v>
      </c>
      <c r="C3733" s="4" t="s">
        <v>11</v>
      </c>
    </row>
    <row r="3734" spans="1:18">
      <c r="A3734" t="n">
        <v>33786</v>
      </c>
      <c r="B3734" s="29" t="n">
        <v>16</v>
      </c>
      <c r="C3734" s="7" t="n">
        <v>500</v>
      </c>
    </row>
    <row r="3735" spans="1:18">
      <c r="A3735" t="s">
        <v>4</v>
      </c>
      <c r="B3735" s="4" t="s">
        <v>5</v>
      </c>
      <c r="C3735" s="4" t="s">
        <v>7</v>
      </c>
      <c r="D3735" s="4" t="s">
        <v>11</v>
      </c>
      <c r="E3735" s="4" t="s">
        <v>13</v>
      </c>
    </row>
    <row r="3736" spans="1:18">
      <c r="A3736" t="n">
        <v>33789</v>
      </c>
      <c r="B3736" s="23" t="n">
        <v>58</v>
      </c>
      <c r="C3736" s="7" t="n">
        <v>101</v>
      </c>
      <c r="D3736" s="7" t="n">
        <v>500</v>
      </c>
      <c r="E3736" s="7" t="n">
        <v>1</v>
      </c>
    </row>
    <row r="3737" spans="1:18">
      <c r="A3737" t="s">
        <v>4</v>
      </c>
      <c r="B3737" s="4" t="s">
        <v>5</v>
      </c>
      <c r="C3737" s="4" t="s">
        <v>7</v>
      </c>
      <c r="D3737" s="4" t="s">
        <v>11</v>
      </c>
    </row>
    <row r="3738" spans="1:18">
      <c r="A3738" t="n">
        <v>33797</v>
      </c>
      <c r="B3738" s="23" t="n">
        <v>58</v>
      </c>
      <c r="C3738" s="7" t="n">
        <v>254</v>
      </c>
      <c r="D3738" s="7" t="n">
        <v>0</v>
      </c>
    </row>
    <row r="3739" spans="1:18">
      <c r="A3739" t="s">
        <v>4</v>
      </c>
      <c r="B3739" s="4" t="s">
        <v>5</v>
      </c>
      <c r="C3739" s="4" t="s">
        <v>7</v>
      </c>
      <c r="D3739" s="4" t="s">
        <v>7</v>
      </c>
      <c r="E3739" s="4" t="s">
        <v>13</v>
      </c>
      <c r="F3739" s="4" t="s">
        <v>13</v>
      </c>
      <c r="G3739" s="4" t="s">
        <v>13</v>
      </c>
      <c r="H3739" s="4" t="s">
        <v>11</v>
      </c>
    </row>
    <row r="3740" spans="1:18">
      <c r="A3740" t="n">
        <v>33801</v>
      </c>
      <c r="B3740" s="51" t="n">
        <v>45</v>
      </c>
      <c r="C3740" s="7" t="n">
        <v>2</v>
      </c>
      <c r="D3740" s="7" t="n">
        <v>3</v>
      </c>
      <c r="E3740" s="7" t="n">
        <v>-6.65000009536743</v>
      </c>
      <c r="F3740" s="7" t="n">
        <v>6.42000007629395</v>
      </c>
      <c r="G3740" s="7" t="n">
        <v>29.8999996185303</v>
      </c>
      <c r="H3740" s="7" t="n">
        <v>0</v>
      </c>
    </row>
    <row r="3741" spans="1:18">
      <c r="A3741" t="s">
        <v>4</v>
      </c>
      <c r="B3741" s="4" t="s">
        <v>5</v>
      </c>
      <c r="C3741" s="4" t="s">
        <v>7</v>
      </c>
      <c r="D3741" s="4" t="s">
        <v>7</v>
      </c>
      <c r="E3741" s="4" t="s">
        <v>13</v>
      </c>
      <c r="F3741" s="4" t="s">
        <v>13</v>
      </c>
      <c r="G3741" s="4" t="s">
        <v>13</v>
      </c>
      <c r="H3741" s="4" t="s">
        <v>11</v>
      </c>
      <c r="I3741" s="4" t="s">
        <v>7</v>
      </c>
    </row>
    <row r="3742" spans="1:18">
      <c r="A3742" t="n">
        <v>33818</v>
      </c>
      <c r="B3742" s="51" t="n">
        <v>45</v>
      </c>
      <c r="C3742" s="7" t="n">
        <v>4</v>
      </c>
      <c r="D3742" s="7" t="n">
        <v>3</v>
      </c>
      <c r="E3742" s="7" t="n">
        <v>11.5299997329712</v>
      </c>
      <c r="F3742" s="7" t="n">
        <v>27.3700008392334</v>
      </c>
      <c r="G3742" s="7" t="n">
        <v>10</v>
      </c>
      <c r="H3742" s="7" t="n">
        <v>0</v>
      </c>
      <c r="I3742" s="7" t="n">
        <v>0</v>
      </c>
    </row>
    <row r="3743" spans="1:18">
      <c r="A3743" t="s">
        <v>4</v>
      </c>
      <c r="B3743" s="4" t="s">
        <v>5</v>
      </c>
      <c r="C3743" s="4" t="s">
        <v>7</v>
      </c>
      <c r="D3743" s="4" t="s">
        <v>7</v>
      </c>
      <c r="E3743" s="4" t="s">
        <v>13</v>
      </c>
      <c r="F3743" s="4" t="s">
        <v>11</v>
      </c>
    </row>
    <row r="3744" spans="1:18">
      <c r="A3744" t="n">
        <v>33836</v>
      </c>
      <c r="B3744" s="51" t="n">
        <v>45</v>
      </c>
      <c r="C3744" s="7" t="n">
        <v>5</v>
      </c>
      <c r="D3744" s="7" t="n">
        <v>3</v>
      </c>
      <c r="E3744" s="7" t="n">
        <v>0.899999976158142</v>
      </c>
      <c r="F3744" s="7" t="n">
        <v>0</v>
      </c>
    </row>
    <row r="3745" spans="1:9">
      <c r="A3745" t="s">
        <v>4</v>
      </c>
      <c r="B3745" s="4" t="s">
        <v>5</v>
      </c>
      <c r="C3745" s="4" t="s">
        <v>7</v>
      </c>
      <c r="D3745" s="4" t="s">
        <v>7</v>
      </c>
      <c r="E3745" s="4" t="s">
        <v>13</v>
      </c>
      <c r="F3745" s="4" t="s">
        <v>11</v>
      </c>
    </row>
    <row r="3746" spans="1:9">
      <c r="A3746" t="n">
        <v>33845</v>
      </c>
      <c r="B3746" s="51" t="n">
        <v>45</v>
      </c>
      <c r="C3746" s="7" t="n">
        <v>11</v>
      </c>
      <c r="D3746" s="7" t="n">
        <v>3</v>
      </c>
      <c r="E3746" s="7" t="n">
        <v>40.2999992370605</v>
      </c>
      <c r="F3746" s="7" t="n">
        <v>0</v>
      </c>
    </row>
    <row r="3747" spans="1:9">
      <c r="A3747" t="s">
        <v>4</v>
      </c>
      <c r="B3747" s="4" t="s">
        <v>5</v>
      </c>
      <c r="C3747" s="4" t="s">
        <v>7</v>
      </c>
      <c r="D3747" s="4" t="s">
        <v>7</v>
      </c>
      <c r="E3747" s="4" t="s">
        <v>13</v>
      </c>
      <c r="F3747" s="4" t="s">
        <v>13</v>
      </c>
      <c r="G3747" s="4" t="s">
        <v>13</v>
      </c>
      <c r="H3747" s="4" t="s">
        <v>11</v>
      </c>
    </row>
    <row r="3748" spans="1:9">
      <c r="A3748" t="n">
        <v>33854</v>
      </c>
      <c r="B3748" s="51" t="n">
        <v>45</v>
      </c>
      <c r="C3748" s="7" t="n">
        <v>2</v>
      </c>
      <c r="D3748" s="7" t="n">
        <v>3</v>
      </c>
      <c r="E3748" s="7" t="n">
        <v>-6.65000009536743</v>
      </c>
      <c r="F3748" s="7" t="n">
        <v>6.42000007629395</v>
      </c>
      <c r="G3748" s="7" t="n">
        <v>29.8999996185303</v>
      </c>
      <c r="H3748" s="7" t="n">
        <v>3000</v>
      </c>
    </row>
    <row r="3749" spans="1:9">
      <c r="A3749" t="s">
        <v>4</v>
      </c>
      <c r="B3749" s="4" t="s">
        <v>5</v>
      </c>
      <c r="C3749" s="4" t="s">
        <v>7</v>
      </c>
      <c r="D3749" s="4" t="s">
        <v>7</v>
      </c>
      <c r="E3749" s="4" t="s">
        <v>13</v>
      </c>
      <c r="F3749" s="4" t="s">
        <v>13</v>
      </c>
      <c r="G3749" s="4" t="s">
        <v>13</v>
      </c>
      <c r="H3749" s="4" t="s">
        <v>11</v>
      </c>
      <c r="I3749" s="4" t="s">
        <v>7</v>
      </c>
    </row>
    <row r="3750" spans="1:9">
      <c r="A3750" t="n">
        <v>33871</v>
      </c>
      <c r="B3750" s="51" t="n">
        <v>45</v>
      </c>
      <c r="C3750" s="7" t="n">
        <v>4</v>
      </c>
      <c r="D3750" s="7" t="n">
        <v>3</v>
      </c>
      <c r="E3750" s="7" t="n">
        <v>16.0300006866455</v>
      </c>
      <c r="F3750" s="7" t="n">
        <v>34.7700004577637</v>
      </c>
      <c r="G3750" s="7" t="n">
        <v>10</v>
      </c>
      <c r="H3750" s="7" t="n">
        <v>3000</v>
      </c>
      <c r="I3750" s="7" t="n">
        <v>1</v>
      </c>
    </row>
    <row r="3751" spans="1:9">
      <c r="A3751" t="s">
        <v>4</v>
      </c>
      <c r="B3751" s="4" t="s">
        <v>5</v>
      </c>
      <c r="C3751" s="4" t="s">
        <v>7</v>
      </c>
      <c r="D3751" s="4" t="s">
        <v>7</v>
      </c>
      <c r="E3751" s="4" t="s">
        <v>13</v>
      </c>
      <c r="F3751" s="4" t="s">
        <v>11</v>
      </c>
    </row>
    <row r="3752" spans="1:9">
      <c r="A3752" t="n">
        <v>33889</v>
      </c>
      <c r="B3752" s="51" t="n">
        <v>45</v>
      </c>
      <c r="C3752" s="7" t="n">
        <v>5</v>
      </c>
      <c r="D3752" s="7" t="n">
        <v>3</v>
      </c>
      <c r="E3752" s="7" t="n">
        <v>0.899999976158142</v>
      </c>
      <c r="F3752" s="7" t="n">
        <v>3000</v>
      </c>
    </row>
    <row r="3753" spans="1:9">
      <c r="A3753" t="s">
        <v>4</v>
      </c>
      <c r="B3753" s="4" t="s">
        <v>5</v>
      </c>
      <c r="C3753" s="4" t="s">
        <v>7</v>
      </c>
      <c r="D3753" s="4" t="s">
        <v>7</v>
      </c>
      <c r="E3753" s="4" t="s">
        <v>13</v>
      </c>
      <c r="F3753" s="4" t="s">
        <v>11</v>
      </c>
    </row>
    <row r="3754" spans="1:9">
      <c r="A3754" t="n">
        <v>33898</v>
      </c>
      <c r="B3754" s="51" t="n">
        <v>45</v>
      </c>
      <c r="C3754" s="7" t="n">
        <v>11</v>
      </c>
      <c r="D3754" s="7" t="n">
        <v>3</v>
      </c>
      <c r="E3754" s="7" t="n">
        <v>40.2999992370605</v>
      </c>
      <c r="F3754" s="7" t="n">
        <v>3000</v>
      </c>
    </row>
    <row r="3755" spans="1:9">
      <c r="A3755" t="s">
        <v>4</v>
      </c>
      <c r="B3755" s="4" t="s">
        <v>5</v>
      </c>
      <c r="C3755" s="4" t="s">
        <v>7</v>
      </c>
      <c r="D3755" s="4" t="s">
        <v>11</v>
      </c>
      <c r="E3755" s="4" t="s">
        <v>8</v>
      </c>
      <c r="F3755" s="4" t="s">
        <v>8</v>
      </c>
      <c r="G3755" s="4" t="s">
        <v>8</v>
      </c>
      <c r="H3755" s="4" t="s">
        <v>8</v>
      </c>
    </row>
    <row r="3756" spans="1:9">
      <c r="A3756" t="n">
        <v>33907</v>
      </c>
      <c r="B3756" s="38" t="n">
        <v>51</v>
      </c>
      <c r="C3756" s="7" t="n">
        <v>3</v>
      </c>
      <c r="D3756" s="7" t="n">
        <v>0</v>
      </c>
      <c r="E3756" s="7" t="s">
        <v>319</v>
      </c>
      <c r="F3756" s="7" t="s">
        <v>155</v>
      </c>
      <c r="G3756" s="7" t="s">
        <v>78</v>
      </c>
      <c r="H3756" s="7" t="s">
        <v>79</v>
      </c>
    </row>
    <row r="3757" spans="1:9">
      <c r="A3757" t="s">
        <v>4</v>
      </c>
      <c r="B3757" s="4" t="s">
        <v>5</v>
      </c>
      <c r="C3757" s="4" t="s">
        <v>7</v>
      </c>
      <c r="D3757" s="4" t="s">
        <v>11</v>
      </c>
    </row>
    <row r="3758" spans="1:9">
      <c r="A3758" t="n">
        <v>33920</v>
      </c>
      <c r="B3758" s="23" t="n">
        <v>58</v>
      </c>
      <c r="C3758" s="7" t="n">
        <v>255</v>
      </c>
      <c r="D3758" s="7" t="n">
        <v>0</v>
      </c>
    </row>
    <row r="3759" spans="1:9">
      <c r="A3759" t="s">
        <v>4</v>
      </c>
      <c r="B3759" s="4" t="s">
        <v>5</v>
      </c>
      <c r="C3759" s="4" t="s">
        <v>11</v>
      </c>
    </row>
    <row r="3760" spans="1:9">
      <c r="A3760" t="n">
        <v>33924</v>
      </c>
      <c r="B3760" s="29" t="n">
        <v>16</v>
      </c>
      <c r="C3760" s="7" t="n">
        <v>500</v>
      </c>
    </row>
    <row r="3761" spans="1:9">
      <c r="A3761" t="s">
        <v>4</v>
      </c>
      <c r="B3761" s="4" t="s">
        <v>5</v>
      </c>
      <c r="C3761" s="4" t="s">
        <v>7</v>
      </c>
      <c r="D3761" s="4" t="s">
        <v>11</v>
      </c>
      <c r="E3761" s="4" t="s">
        <v>8</v>
      </c>
      <c r="F3761" s="4" t="s">
        <v>8</v>
      </c>
      <c r="G3761" s="4" t="s">
        <v>8</v>
      </c>
      <c r="H3761" s="4" t="s">
        <v>8</v>
      </c>
    </row>
    <row r="3762" spans="1:9">
      <c r="A3762" t="n">
        <v>33927</v>
      </c>
      <c r="B3762" s="38" t="n">
        <v>51</v>
      </c>
      <c r="C3762" s="7" t="n">
        <v>3</v>
      </c>
      <c r="D3762" s="7" t="n">
        <v>1</v>
      </c>
      <c r="E3762" s="7" t="s">
        <v>319</v>
      </c>
      <c r="F3762" s="7" t="s">
        <v>155</v>
      </c>
      <c r="G3762" s="7" t="s">
        <v>16</v>
      </c>
      <c r="H3762" s="7" t="s">
        <v>86</v>
      </c>
    </row>
    <row r="3763" spans="1:9">
      <c r="A3763" t="s">
        <v>4</v>
      </c>
      <c r="B3763" s="4" t="s">
        <v>5</v>
      </c>
      <c r="C3763" s="4" t="s">
        <v>11</v>
      </c>
      <c r="D3763" s="4" t="s">
        <v>15</v>
      </c>
      <c r="E3763" s="4" t="s">
        <v>7</v>
      </c>
    </row>
    <row r="3764" spans="1:9">
      <c r="A3764" t="n">
        <v>33938</v>
      </c>
      <c r="B3764" s="78" t="n">
        <v>35</v>
      </c>
      <c r="C3764" s="7" t="n">
        <v>0</v>
      </c>
      <c r="D3764" s="7" t="n">
        <v>0</v>
      </c>
      <c r="E3764" s="7" t="n">
        <v>0</v>
      </c>
    </row>
    <row r="3765" spans="1:9">
      <c r="A3765" t="s">
        <v>4</v>
      </c>
      <c r="B3765" s="4" t="s">
        <v>5</v>
      </c>
      <c r="C3765" s="4" t="s">
        <v>11</v>
      </c>
      <c r="D3765" s="4" t="s">
        <v>15</v>
      </c>
      <c r="E3765" s="4" t="s">
        <v>7</v>
      </c>
    </row>
    <row r="3766" spans="1:9">
      <c r="A3766" t="n">
        <v>33946</v>
      </c>
      <c r="B3766" s="78" t="n">
        <v>35</v>
      </c>
      <c r="C3766" s="7" t="n">
        <v>1</v>
      </c>
      <c r="D3766" s="7" t="n">
        <v>0</v>
      </c>
      <c r="E3766" s="7" t="n">
        <v>0</v>
      </c>
    </row>
    <row r="3767" spans="1:9">
      <c r="A3767" t="s">
        <v>4</v>
      </c>
      <c r="B3767" s="4" t="s">
        <v>5</v>
      </c>
      <c r="C3767" s="4" t="s">
        <v>7</v>
      </c>
      <c r="D3767" s="4" t="s">
        <v>11</v>
      </c>
      <c r="E3767" s="4" t="s">
        <v>13</v>
      </c>
    </row>
    <row r="3768" spans="1:9">
      <c r="A3768" t="n">
        <v>33954</v>
      </c>
      <c r="B3768" s="23" t="n">
        <v>58</v>
      </c>
      <c r="C3768" s="7" t="n">
        <v>101</v>
      </c>
      <c r="D3768" s="7" t="n">
        <v>300</v>
      </c>
      <c r="E3768" s="7" t="n">
        <v>1</v>
      </c>
    </row>
    <row r="3769" spans="1:9">
      <c r="A3769" t="s">
        <v>4</v>
      </c>
      <c r="B3769" s="4" t="s">
        <v>5</v>
      </c>
      <c r="C3769" s="4" t="s">
        <v>7</v>
      </c>
      <c r="D3769" s="4" t="s">
        <v>11</v>
      </c>
    </row>
    <row r="3770" spans="1:9">
      <c r="A3770" t="n">
        <v>33962</v>
      </c>
      <c r="B3770" s="23" t="n">
        <v>58</v>
      </c>
      <c r="C3770" s="7" t="n">
        <v>254</v>
      </c>
      <c r="D3770" s="7" t="n">
        <v>0</v>
      </c>
    </row>
    <row r="3771" spans="1:9">
      <c r="A3771" t="s">
        <v>4</v>
      </c>
      <c r="B3771" s="4" t="s">
        <v>5</v>
      </c>
      <c r="C3771" s="4" t="s">
        <v>7</v>
      </c>
      <c r="D3771" s="4" t="s">
        <v>11</v>
      </c>
      <c r="E3771" s="4" t="s">
        <v>8</v>
      </c>
    </row>
    <row r="3772" spans="1:9">
      <c r="A3772" t="n">
        <v>33966</v>
      </c>
      <c r="B3772" s="38" t="n">
        <v>51</v>
      </c>
      <c r="C3772" s="7" t="n">
        <v>4</v>
      </c>
      <c r="D3772" s="7" t="n">
        <v>1</v>
      </c>
      <c r="E3772" s="7" t="s">
        <v>368</v>
      </c>
    </row>
    <row r="3773" spans="1:9">
      <c r="A3773" t="s">
        <v>4</v>
      </c>
      <c r="B3773" s="4" t="s">
        <v>5</v>
      </c>
      <c r="C3773" s="4" t="s">
        <v>11</v>
      </c>
    </row>
    <row r="3774" spans="1:9">
      <c r="A3774" t="n">
        <v>33986</v>
      </c>
      <c r="B3774" s="29" t="n">
        <v>16</v>
      </c>
      <c r="C3774" s="7" t="n">
        <v>0</v>
      </c>
    </row>
    <row r="3775" spans="1:9">
      <c r="A3775" t="s">
        <v>4</v>
      </c>
      <c r="B3775" s="4" t="s">
        <v>5</v>
      </c>
      <c r="C3775" s="4" t="s">
        <v>11</v>
      </c>
      <c r="D3775" s="4" t="s">
        <v>7</v>
      </c>
      <c r="E3775" s="4" t="s">
        <v>15</v>
      </c>
      <c r="F3775" s="4" t="s">
        <v>55</v>
      </c>
      <c r="G3775" s="4" t="s">
        <v>7</v>
      </c>
      <c r="H3775" s="4" t="s">
        <v>7</v>
      </c>
      <c r="I3775" s="4" t="s">
        <v>7</v>
      </c>
    </row>
    <row r="3776" spans="1:9">
      <c r="A3776" t="n">
        <v>33989</v>
      </c>
      <c r="B3776" s="55" t="n">
        <v>26</v>
      </c>
      <c r="C3776" s="7" t="n">
        <v>1</v>
      </c>
      <c r="D3776" s="7" t="n">
        <v>17</v>
      </c>
      <c r="E3776" s="7" t="n">
        <v>1820</v>
      </c>
      <c r="F3776" s="7" t="s">
        <v>369</v>
      </c>
      <c r="G3776" s="7" t="n">
        <v>8</v>
      </c>
      <c r="H3776" s="7" t="n">
        <v>2</v>
      </c>
      <c r="I3776" s="7" t="n">
        <v>0</v>
      </c>
    </row>
    <row r="3777" spans="1:9">
      <c r="A3777" t="s">
        <v>4</v>
      </c>
      <c r="B3777" s="4" t="s">
        <v>5</v>
      </c>
      <c r="C3777" s="4" t="s">
        <v>11</v>
      </c>
    </row>
    <row r="3778" spans="1:9">
      <c r="A3778" t="n">
        <v>34016</v>
      </c>
      <c r="B3778" s="29" t="n">
        <v>16</v>
      </c>
      <c r="C3778" s="7" t="n">
        <v>1</v>
      </c>
    </row>
    <row r="3779" spans="1:9">
      <c r="A3779" t="s">
        <v>4</v>
      </c>
      <c r="B3779" s="4" t="s">
        <v>5</v>
      </c>
      <c r="C3779" s="4" t="s">
        <v>7</v>
      </c>
      <c r="D3779" s="4" t="s">
        <v>11</v>
      </c>
    </row>
    <row r="3780" spans="1:9">
      <c r="A3780" t="n">
        <v>34019</v>
      </c>
      <c r="B3780" s="57" t="n">
        <v>50</v>
      </c>
      <c r="C3780" s="7" t="n">
        <v>52</v>
      </c>
      <c r="D3780" s="7" t="n">
        <v>1820</v>
      </c>
    </row>
    <row r="3781" spans="1:9">
      <c r="A3781" t="s">
        <v>4</v>
      </c>
      <c r="B3781" s="4" t="s">
        <v>5</v>
      </c>
      <c r="C3781" s="4" t="s">
        <v>11</v>
      </c>
    </row>
    <row r="3782" spans="1:9">
      <c r="A3782" t="n">
        <v>34023</v>
      </c>
      <c r="B3782" s="29" t="n">
        <v>16</v>
      </c>
      <c r="C3782" s="7" t="n">
        <v>2000</v>
      </c>
    </row>
    <row r="3783" spans="1:9">
      <c r="A3783" t="s">
        <v>4</v>
      </c>
      <c r="B3783" s="4" t="s">
        <v>5</v>
      </c>
      <c r="C3783" s="4" t="s">
        <v>11</v>
      </c>
      <c r="D3783" s="4" t="s">
        <v>7</v>
      </c>
    </row>
    <row r="3784" spans="1:9">
      <c r="A3784" t="n">
        <v>34026</v>
      </c>
      <c r="B3784" s="68" t="n">
        <v>89</v>
      </c>
      <c r="C3784" s="7" t="n">
        <v>65533</v>
      </c>
      <c r="D3784" s="7" t="n">
        <v>0</v>
      </c>
    </row>
    <row r="3785" spans="1:9">
      <c r="A3785" t="s">
        <v>4</v>
      </c>
      <c r="B3785" s="4" t="s">
        <v>5</v>
      </c>
      <c r="C3785" s="4" t="s">
        <v>11</v>
      </c>
      <c r="D3785" s="4" t="s">
        <v>7</v>
      </c>
    </row>
    <row r="3786" spans="1:9">
      <c r="A3786" t="n">
        <v>34030</v>
      </c>
      <c r="B3786" s="68" t="n">
        <v>89</v>
      </c>
      <c r="C3786" s="7" t="n">
        <v>65533</v>
      </c>
      <c r="D3786" s="7" t="n">
        <v>1</v>
      </c>
    </row>
    <row r="3787" spans="1:9">
      <c r="A3787" t="s">
        <v>4</v>
      </c>
      <c r="B3787" s="4" t="s">
        <v>5</v>
      </c>
      <c r="C3787" s="4" t="s">
        <v>7</v>
      </c>
      <c r="D3787" s="4" t="s">
        <v>11</v>
      </c>
      <c r="E3787" s="4" t="s">
        <v>8</v>
      </c>
    </row>
    <row r="3788" spans="1:9">
      <c r="A3788" t="n">
        <v>34034</v>
      </c>
      <c r="B3788" s="38" t="n">
        <v>51</v>
      </c>
      <c r="C3788" s="7" t="n">
        <v>4</v>
      </c>
      <c r="D3788" s="7" t="n">
        <v>0</v>
      </c>
      <c r="E3788" s="7" t="s">
        <v>137</v>
      </c>
    </row>
    <row r="3789" spans="1:9">
      <c r="A3789" t="s">
        <v>4</v>
      </c>
      <c r="B3789" s="4" t="s">
        <v>5</v>
      </c>
      <c r="C3789" s="4" t="s">
        <v>11</v>
      </c>
    </row>
    <row r="3790" spans="1:9">
      <c r="A3790" t="n">
        <v>34047</v>
      </c>
      <c r="B3790" s="29" t="n">
        <v>16</v>
      </c>
      <c r="C3790" s="7" t="n">
        <v>0</v>
      </c>
    </row>
    <row r="3791" spans="1:9">
      <c r="A3791" t="s">
        <v>4</v>
      </c>
      <c r="B3791" s="4" t="s">
        <v>5</v>
      </c>
      <c r="C3791" s="4" t="s">
        <v>11</v>
      </c>
      <c r="D3791" s="4" t="s">
        <v>55</v>
      </c>
      <c r="E3791" s="4" t="s">
        <v>7</v>
      </c>
      <c r="F3791" s="4" t="s">
        <v>7</v>
      </c>
      <c r="G3791" s="4" t="s">
        <v>7</v>
      </c>
    </row>
    <row r="3792" spans="1:9">
      <c r="A3792" t="n">
        <v>34050</v>
      </c>
      <c r="B3792" s="55" t="n">
        <v>26</v>
      </c>
      <c r="C3792" s="7" t="n">
        <v>0</v>
      </c>
      <c r="D3792" s="7" t="s">
        <v>370</v>
      </c>
      <c r="E3792" s="7" t="n">
        <v>8</v>
      </c>
      <c r="F3792" s="7" t="n">
        <v>2</v>
      </c>
      <c r="G3792" s="7" t="n">
        <v>0</v>
      </c>
    </row>
    <row r="3793" spans="1:7">
      <c r="A3793" t="s">
        <v>4</v>
      </c>
      <c r="B3793" s="4" t="s">
        <v>5</v>
      </c>
      <c r="C3793" s="4" t="s">
        <v>11</v>
      </c>
    </row>
    <row r="3794" spans="1:7">
      <c r="A3794" t="n">
        <v>34067</v>
      </c>
      <c r="B3794" s="29" t="n">
        <v>16</v>
      </c>
      <c r="C3794" s="7" t="n">
        <v>1</v>
      </c>
    </row>
    <row r="3795" spans="1:7">
      <c r="A3795" t="s">
        <v>4</v>
      </c>
      <c r="B3795" s="4" t="s">
        <v>5</v>
      </c>
      <c r="C3795" s="4" t="s">
        <v>11</v>
      </c>
    </row>
    <row r="3796" spans="1:7">
      <c r="A3796" t="n">
        <v>34070</v>
      </c>
      <c r="B3796" s="29" t="n">
        <v>16</v>
      </c>
      <c r="C3796" s="7" t="n">
        <v>2500</v>
      </c>
    </row>
    <row r="3797" spans="1:7">
      <c r="A3797" t="s">
        <v>4</v>
      </c>
      <c r="B3797" s="4" t="s">
        <v>5</v>
      </c>
      <c r="C3797" s="4" t="s">
        <v>11</v>
      </c>
      <c r="D3797" s="4" t="s">
        <v>7</v>
      </c>
    </row>
    <row r="3798" spans="1:7">
      <c r="A3798" t="n">
        <v>34073</v>
      </c>
      <c r="B3798" s="68" t="n">
        <v>89</v>
      </c>
      <c r="C3798" s="7" t="n">
        <v>65533</v>
      </c>
      <c r="D3798" s="7" t="n">
        <v>0</v>
      </c>
    </row>
    <row r="3799" spans="1:7">
      <c r="A3799" t="s">
        <v>4</v>
      </c>
      <c r="B3799" s="4" t="s">
        <v>5</v>
      </c>
      <c r="C3799" s="4" t="s">
        <v>11</v>
      </c>
      <c r="D3799" s="4" t="s">
        <v>7</v>
      </c>
    </row>
    <row r="3800" spans="1:7">
      <c r="A3800" t="n">
        <v>34077</v>
      </c>
      <c r="B3800" s="68" t="n">
        <v>89</v>
      </c>
      <c r="C3800" s="7" t="n">
        <v>65533</v>
      </c>
      <c r="D3800" s="7" t="n">
        <v>1</v>
      </c>
    </row>
    <row r="3801" spans="1:7">
      <c r="A3801" t="s">
        <v>4</v>
      </c>
      <c r="B3801" s="4" t="s">
        <v>5</v>
      </c>
      <c r="C3801" s="4" t="s">
        <v>11</v>
      </c>
    </row>
    <row r="3802" spans="1:7">
      <c r="A3802" t="n">
        <v>34081</v>
      </c>
      <c r="B3802" s="29" t="n">
        <v>16</v>
      </c>
      <c r="C3802" s="7" t="n">
        <v>1000</v>
      </c>
    </row>
    <row r="3803" spans="1:7">
      <c r="A3803" t="s">
        <v>4</v>
      </c>
      <c r="B3803" s="4" t="s">
        <v>5</v>
      </c>
      <c r="C3803" s="4" t="s">
        <v>7</v>
      </c>
      <c r="D3803" s="4" t="s">
        <v>11</v>
      </c>
      <c r="E3803" s="4" t="s">
        <v>13</v>
      </c>
    </row>
    <row r="3804" spans="1:7">
      <c r="A3804" t="n">
        <v>34084</v>
      </c>
      <c r="B3804" s="23" t="n">
        <v>58</v>
      </c>
      <c r="C3804" s="7" t="n">
        <v>101</v>
      </c>
      <c r="D3804" s="7" t="n">
        <v>500</v>
      </c>
      <c r="E3804" s="7" t="n">
        <v>1</v>
      </c>
    </row>
    <row r="3805" spans="1:7">
      <c r="A3805" t="s">
        <v>4</v>
      </c>
      <c r="B3805" s="4" t="s">
        <v>5</v>
      </c>
      <c r="C3805" s="4" t="s">
        <v>7</v>
      </c>
      <c r="D3805" s="4" t="s">
        <v>11</v>
      </c>
    </row>
    <row r="3806" spans="1:7">
      <c r="A3806" t="n">
        <v>34092</v>
      </c>
      <c r="B3806" s="23" t="n">
        <v>58</v>
      </c>
      <c r="C3806" s="7" t="n">
        <v>254</v>
      </c>
      <c r="D3806" s="7" t="n">
        <v>0</v>
      </c>
    </row>
    <row r="3807" spans="1:7">
      <c r="A3807" t="s">
        <v>4</v>
      </c>
      <c r="B3807" s="4" t="s">
        <v>5</v>
      </c>
      <c r="C3807" s="4" t="s">
        <v>7</v>
      </c>
      <c r="D3807" s="4" t="s">
        <v>7</v>
      </c>
      <c r="E3807" s="4" t="s">
        <v>13</v>
      </c>
      <c r="F3807" s="4" t="s">
        <v>13</v>
      </c>
      <c r="G3807" s="4" t="s">
        <v>13</v>
      </c>
      <c r="H3807" s="4" t="s">
        <v>11</v>
      </c>
    </row>
    <row r="3808" spans="1:7">
      <c r="A3808" t="n">
        <v>34096</v>
      </c>
      <c r="B3808" s="51" t="n">
        <v>45</v>
      </c>
      <c r="C3808" s="7" t="n">
        <v>2</v>
      </c>
      <c r="D3808" s="7" t="n">
        <v>3</v>
      </c>
      <c r="E3808" s="7" t="n">
        <v>-6.80000019073486</v>
      </c>
      <c r="F3808" s="7" t="n">
        <v>6.42000007629395</v>
      </c>
      <c r="G3808" s="7" t="n">
        <v>29.9500007629395</v>
      </c>
      <c r="H3808" s="7" t="n">
        <v>3000</v>
      </c>
    </row>
    <row r="3809" spans="1:8">
      <c r="A3809" t="s">
        <v>4</v>
      </c>
      <c r="B3809" s="4" t="s">
        <v>5</v>
      </c>
      <c r="C3809" s="4" t="s">
        <v>7</v>
      </c>
      <c r="D3809" s="4" t="s">
        <v>7</v>
      </c>
      <c r="E3809" s="4" t="s">
        <v>13</v>
      </c>
      <c r="F3809" s="4" t="s">
        <v>13</v>
      </c>
      <c r="G3809" s="4" t="s">
        <v>13</v>
      </c>
      <c r="H3809" s="4" t="s">
        <v>11</v>
      </c>
      <c r="I3809" s="4" t="s">
        <v>7</v>
      </c>
    </row>
    <row r="3810" spans="1:8">
      <c r="A3810" t="n">
        <v>34113</v>
      </c>
      <c r="B3810" s="51" t="n">
        <v>45</v>
      </c>
      <c r="C3810" s="7" t="n">
        <v>4</v>
      </c>
      <c r="D3810" s="7" t="n">
        <v>3</v>
      </c>
      <c r="E3810" s="7" t="n">
        <v>11.5299997329712</v>
      </c>
      <c r="F3810" s="7" t="n">
        <v>43.1800003051758</v>
      </c>
      <c r="G3810" s="7" t="n">
        <v>10</v>
      </c>
      <c r="H3810" s="7" t="n">
        <v>3000</v>
      </c>
      <c r="I3810" s="7" t="n">
        <v>1</v>
      </c>
    </row>
    <row r="3811" spans="1:8">
      <c r="A3811" t="s">
        <v>4</v>
      </c>
      <c r="B3811" s="4" t="s">
        <v>5</v>
      </c>
      <c r="C3811" s="4" t="s">
        <v>11</v>
      </c>
      <c r="D3811" s="4" t="s">
        <v>7</v>
      </c>
      <c r="E3811" s="4" t="s">
        <v>8</v>
      </c>
      <c r="F3811" s="4" t="s">
        <v>13</v>
      </c>
      <c r="G3811" s="4" t="s">
        <v>13</v>
      </c>
      <c r="H3811" s="4" t="s">
        <v>13</v>
      </c>
    </row>
    <row r="3812" spans="1:8">
      <c r="A3812" t="n">
        <v>34131</v>
      </c>
      <c r="B3812" s="42" t="n">
        <v>48</v>
      </c>
      <c r="C3812" s="7" t="n">
        <v>0</v>
      </c>
      <c r="D3812" s="7" t="n">
        <v>0</v>
      </c>
      <c r="E3812" s="7" t="s">
        <v>278</v>
      </c>
      <c r="F3812" s="7" t="n">
        <v>-1</v>
      </c>
      <c r="G3812" s="7" t="n">
        <v>1</v>
      </c>
      <c r="H3812" s="7" t="n">
        <v>0</v>
      </c>
    </row>
    <row r="3813" spans="1:8">
      <c r="A3813" t="s">
        <v>4</v>
      </c>
      <c r="B3813" s="4" t="s">
        <v>5</v>
      </c>
      <c r="C3813" s="4" t="s">
        <v>11</v>
      </c>
      <c r="D3813" s="4" t="s">
        <v>7</v>
      </c>
      <c r="E3813" s="4" t="s">
        <v>8</v>
      </c>
      <c r="F3813" s="4" t="s">
        <v>13</v>
      </c>
      <c r="G3813" s="4" t="s">
        <v>13</v>
      </c>
      <c r="H3813" s="4" t="s">
        <v>13</v>
      </c>
    </row>
    <row r="3814" spans="1:8">
      <c r="A3814" t="n">
        <v>34157</v>
      </c>
      <c r="B3814" s="42" t="n">
        <v>48</v>
      </c>
      <c r="C3814" s="7" t="n">
        <v>1</v>
      </c>
      <c r="D3814" s="7" t="n">
        <v>0</v>
      </c>
      <c r="E3814" s="7" t="s">
        <v>278</v>
      </c>
      <c r="F3814" s="7" t="n">
        <v>-1</v>
      </c>
      <c r="G3814" s="7" t="n">
        <v>1</v>
      </c>
      <c r="H3814" s="7" t="n">
        <v>0</v>
      </c>
    </row>
    <row r="3815" spans="1:8">
      <c r="A3815" t="s">
        <v>4</v>
      </c>
      <c r="B3815" s="4" t="s">
        <v>5</v>
      </c>
      <c r="C3815" s="4" t="s">
        <v>11</v>
      </c>
    </row>
    <row r="3816" spans="1:8">
      <c r="A3816" t="n">
        <v>34183</v>
      </c>
      <c r="B3816" s="29" t="n">
        <v>16</v>
      </c>
      <c r="C3816" s="7" t="n">
        <v>300</v>
      </c>
    </row>
    <row r="3817" spans="1:8">
      <c r="A3817" t="s">
        <v>4</v>
      </c>
      <c r="B3817" s="4" t="s">
        <v>5</v>
      </c>
      <c r="C3817" s="4" t="s">
        <v>7</v>
      </c>
      <c r="D3817" s="4" t="s">
        <v>11</v>
      </c>
      <c r="E3817" s="4" t="s">
        <v>13</v>
      </c>
      <c r="F3817" s="4" t="s">
        <v>11</v>
      </c>
      <c r="G3817" s="4" t="s">
        <v>15</v>
      </c>
      <c r="H3817" s="4" t="s">
        <v>15</v>
      </c>
      <c r="I3817" s="4" t="s">
        <v>11</v>
      </c>
      <c r="J3817" s="4" t="s">
        <v>11</v>
      </c>
      <c r="K3817" s="4" t="s">
        <v>15</v>
      </c>
      <c r="L3817" s="4" t="s">
        <v>15</v>
      </c>
      <c r="M3817" s="4" t="s">
        <v>15</v>
      </c>
      <c r="N3817" s="4" t="s">
        <v>15</v>
      </c>
      <c r="O3817" s="4" t="s">
        <v>8</v>
      </c>
    </row>
    <row r="3818" spans="1:8">
      <c r="A3818" t="n">
        <v>34186</v>
      </c>
      <c r="B3818" s="57" t="n">
        <v>50</v>
      </c>
      <c r="C3818" s="7" t="n">
        <v>0</v>
      </c>
      <c r="D3818" s="7" t="n">
        <v>2004</v>
      </c>
      <c r="E3818" s="7" t="n">
        <v>0.5</v>
      </c>
      <c r="F3818" s="7" t="n">
        <v>200</v>
      </c>
      <c r="G3818" s="7" t="n">
        <v>0</v>
      </c>
      <c r="H3818" s="7" t="n">
        <v>1073741824</v>
      </c>
      <c r="I3818" s="7" t="n">
        <v>0</v>
      </c>
      <c r="J3818" s="7" t="n">
        <v>65533</v>
      </c>
      <c r="K3818" s="7" t="n">
        <v>0</v>
      </c>
      <c r="L3818" s="7" t="n">
        <v>0</v>
      </c>
      <c r="M3818" s="7" t="n">
        <v>0</v>
      </c>
      <c r="N3818" s="7" t="n">
        <v>0</v>
      </c>
      <c r="O3818" s="7" t="s">
        <v>16</v>
      </c>
    </row>
    <row r="3819" spans="1:8">
      <c r="A3819" t="s">
        <v>4</v>
      </c>
      <c r="B3819" s="4" t="s">
        <v>5</v>
      </c>
      <c r="C3819" s="4" t="s">
        <v>7</v>
      </c>
      <c r="D3819" s="4" t="s">
        <v>11</v>
      </c>
      <c r="E3819" s="4" t="s">
        <v>8</v>
      </c>
      <c r="F3819" s="4" t="s">
        <v>8</v>
      </c>
      <c r="G3819" s="4" t="s">
        <v>8</v>
      </c>
      <c r="H3819" s="4" t="s">
        <v>8</v>
      </c>
    </row>
    <row r="3820" spans="1:8">
      <c r="A3820" t="n">
        <v>34225</v>
      </c>
      <c r="B3820" s="38" t="n">
        <v>51</v>
      </c>
      <c r="C3820" s="7" t="n">
        <v>3</v>
      </c>
      <c r="D3820" s="7" t="n">
        <v>1</v>
      </c>
      <c r="E3820" s="7" t="s">
        <v>319</v>
      </c>
      <c r="F3820" s="7" t="s">
        <v>79</v>
      </c>
      <c r="G3820" s="7" t="s">
        <v>16</v>
      </c>
      <c r="H3820" s="7" t="s">
        <v>86</v>
      </c>
    </row>
    <row r="3821" spans="1:8">
      <c r="A3821" t="s">
        <v>4</v>
      </c>
      <c r="B3821" s="4" t="s">
        <v>5</v>
      </c>
      <c r="C3821" s="4" t="s">
        <v>11</v>
      </c>
      <c r="D3821" s="4" t="s">
        <v>15</v>
      </c>
      <c r="E3821" s="4" t="s">
        <v>7</v>
      </c>
    </row>
    <row r="3822" spans="1:8">
      <c r="A3822" t="n">
        <v>34236</v>
      </c>
      <c r="B3822" s="78" t="n">
        <v>35</v>
      </c>
      <c r="C3822" s="7" t="n">
        <v>0</v>
      </c>
      <c r="D3822" s="7" t="n">
        <v>0</v>
      </c>
      <c r="E3822" s="7" t="n">
        <v>0</v>
      </c>
    </row>
    <row r="3823" spans="1:8">
      <c r="A3823" t="s">
        <v>4</v>
      </c>
      <c r="B3823" s="4" t="s">
        <v>5</v>
      </c>
      <c r="C3823" s="4" t="s">
        <v>11</v>
      </c>
      <c r="D3823" s="4" t="s">
        <v>15</v>
      </c>
      <c r="E3823" s="4" t="s">
        <v>7</v>
      </c>
    </row>
    <row r="3824" spans="1:8">
      <c r="A3824" t="n">
        <v>34244</v>
      </c>
      <c r="B3824" s="78" t="n">
        <v>35</v>
      </c>
      <c r="C3824" s="7" t="n">
        <v>1</v>
      </c>
      <c r="D3824" s="7" t="n">
        <v>0</v>
      </c>
      <c r="E3824" s="7" t="n">
        <v>0</v>
      </c>
    </row>
    <row r="3825" spans="1:15">
      <c r="A3825" t="s">
        <v>4</v>
      </c>
      <c r="B3825" s="4" t="s">
        <v>5</v>
      </c>
      <c r="C3825" s="4" t="s">
        <v>7</v>
      </c>
      <c r="D3825" s="4" t="s">
        <v>11</v>
      </c>
      <c r="E3825" s="4" t="s">
        <v>8</v>
      </c>
      <c r="F3825" s="4" t="s">
        <v>8</v>
      </c>
      <c r="G3825" s="4" t="s">
        <v>8</v>
      </c>
      <c r="H3825" s="4" t="s">
        <v>8</v>
      </c>
    </row>
    <row r="3826" spans="1:15">
      <c r="A3826" t="n">
        <v>34252</v>
      </c>
      <c r="B3826" s="38" t="n">
        <v>51</v>
      </c>
      <c r="C3826" s="7" t="n">
        <v>3</v>
      </c>
      <c r="D3826" s="7" t="n">
        <v>1</v>
      </c>
      <c r="E3826" s="7" t="s">
        <v>371</v>
      </c>
      <c r="F3826" s="7" t="s">
        <v>99</v>
      </c>
      <c r="G3826" s="7" t="s">
        <v>16</v>
      </c>
      <c r="H3826" s="7" t="s">
        <v>86</v>
      </c>
    </row>
    <row r="3827" spans="1:15">
      <c r="A3827" t="s">
        <v>4</v>
      </c>
      <c r="B3827" s="4" t="s">
        <v>5</v>
      </c>
      <c r="C3827" s="4" t="s">
        <v>11</v>
      </c>
    </row>
    <row r="3828" spans="1:15">
      <c r="A3828" t="n">
        <v>34263</v>
      </c>
      <c r="B3828" s="29" t="n">
        <v>16</v>
      </c>
      <c r="C3828" s="7" t="n">
        <v>1000</v>
      </c>
    </row>
    <row r="3829" spans="1:15">
      <c r="A3829" t="s">
        <v>4</v>
      </c>
      <c r="B3829" s="4" t="s">
        <v>5</v>
      </c>
      <c r="C3829" s="4" t="s">
        <v>7</v>
      </c>
      <c r="D3829" s="4" t="s">
        <v>11</v>
      </c>
    </row>
    <row r="3830" spans="1:15">
      <c r="A3830" t="n">
        <v>34266</v>
      </c>
      <c r="B3830" s="51" t="n">
        <v>45</v>
      </c>
      <c r="C3830" s="7" t="n">
        <v>7</v>
      </c>
      <c r="D3830" s="7" t="n">
        <v>255</v>
      </c>
    </row>
    <row r="3831" spans="1:15">
      <c r="A3831" t="s">
        <v>4</v>
      </c>
      <c r="B3831" s="4" t="s">
        <v>5</v>
      </c>
      <c r="C3831" s="4" t="s">
        <v>11</v>
      </c>
    </row>
    <row r="3832" spans="1:15">
      <c r="A3832" t="n">
        <v>34270</v>
      </c>
      <c r="B3832" s="29" t="n">
        <v>16</v>
      </c>
      <c r="C3832" s="7" t="n">
        <v>500</v>
      </c>
    </row>
    <row r="3833" spans="1:15">
      <c r="A3833" t="s">
        <v>4</v>
      </c>
      <c r="B3833" s="4" t="s">
        <v>5</v>
      </c>
      <c r="C3833" s="4" t="s">
        <v>7</v>
      </c>
      <c r="D3833" s="4" t="s">
        <v>11</v>
      </c>
      <c r="E3833" s="4" t="s">
        <v>13</v>
      </c>
    </row>
    <row r="3834" spans="1:15">
      <c r="A3834" t="n">
        <v>34273</v>
      </c>
      <c r="B3834" s="23" t="n">
        <v>58</v>
      </c>
      <c r="C3834" s="7" t="n">
        <v>101</v>
      </c>
      <c r="D3834" s="7" t="n">
        <v>500</v>
      </c>
      <c r="E3834" s="7" t="n">
        <v>1</v>
      </c>
    </row>
    <row r="3835" spans="1:15">
      <c r="A3835" t="s">
        <v>4</v>
      </c>
      <c r="B3835" s="4" t="s">
        <v>5</v>
      </c>
      <c r="C3835" s="4" t="s">
        <v>7</v>
      </c>
      <c r="D3835" s="4" t="s">
        <v>11</v>
      </c>
    </row>
    <row r="3836" spans="1:15">
      <c r="A3836" t="n">
        <v>34281</v>
      </c>
      <c r="B3836" s="23" t="n">
        <v>58</v>
      </c>
      <c r="C3836" s="7" t="n">
        <v>254</v>
      </c>
      <c r="D3836" s="7" t="n">
        <v>0</v>
      </c>
    </row>
    <row r="3837" spans="1:15">
      <c r="A3837" t="s">
        <v>4</v>
      </c>
      <c r="B3837" s="4" t="s">
        <v>5</v>
      </c>
      <c r="C3837" s="4" t="s">
        <v>7</v>
      </c>
      <c r="D3837" s="4" t="s">
        <v>11</v>
      </c>
      <c r="E3837" s="4" t="s">
        <v>8</v>
      </c>
      <c r="F3837" s="4" t="s">
        <v>8</v>
      </c>
      <c r="G3837" s="4" t="s">
        <v>8</v>
      </c>
      <c r="H3837" s="4" t="s">
        <v>8</v>
      </c>
    </row>
    <row r="3838" spans="1:15">
      <c r="A3838" t="n">
        <v>34285</v>
      </c>
      <c r="B3838" s="38" t="n">
        <v>51</v>
      </c>
      <c r="C3838" s="7" t="n">
        <v>3</v>
      </c>
      <c r="D3838" s="7" t="n">
        <v>0</v>
      </c>
      <c r="E3838" s="7" t="s">
        <v>232</v>
      </c>
      <c r="F3838" s="7" t="s">
        <v>99</v>
      </c>
      <c r="G3838" s="7" t="s">
        <v>78</v>
      </c>
      <c r="H3838" s="7" t="s">
        <v>79</v>
      </c>
    </row>
    <row r="3839" spans="1:15">
      <c r="A3839" t="s">
        <v>4</v>
      </c>
      <c r="B3839" s="4" t="s">
        <v>5</v>
      </c>
      <c r="C3839" s="4" t="s">
        <v>7</v>
      </c>
      <c r="D3839" s="4" t="s">
        <v>11</v>
      </c>
      <c r="E3839" s="4" t="s">
        <v>8</v>
      </c>
      <c r="F3839" s="4" t="s">
        <v>8</v>
      </c>
      <c r="G3839" s="4" t="s">
        <v>8</v>
      </c>
      <c r="H3839" s="4" t="s">
        <v>8</v>
      </c>
    </row>
    <row r="3840" spans="1:15">
      <c r="A3840" t="n">
        <v>34298</v>
      </c>
      <c r="B3840" s="38" t="n">
        <v>51</v>
      </c>
      <c r="C3840" s="7" t="n">
        <v>3</v>
      </c>
      <c r="D3840" s="7" t="n">
        <v>1</v>
      </c>
      <c r="E3840" s="7" t="s">
        <v>372</v>
      </c>
      <c r="F3840" s="7" t="s">
        <v>99</v>
      </c>
      <c r="G3840" s="7" t="s">
        <v>16</v>
      </c>
      <c r="H3840" s="7" t="s">
        <v>86</v>
      </c>
    </row>
    <row r="3841" spans="1:8">
      <c r="A3841" t="s">
        <v>4</v>
      </c>
      <c r="B3841" s="4" t="s">
        <v>5</v>
      </c>
      <c r="C3841" s="4" t="s">
        <v>11</v>
      </c>
      <c r="D3841" s="4" t="s">
        <v>11</v>
      </c>
      <c r="E3841" s="4" t="s">
        <v>11</v>
      </c>
    </row>
    <row r="3842" spans="1:8">
      <c r="A3842" t="n">
        <v>34309</v>
      </c>
      <c r="B3842" s="72" t="n">
        <v>61</v>
      </c>
      <c r="C3842" s="7" t="n">
        <v>0</v>
      </c>
      <c r="D3842" s="7" t="n">
        <v>1</v>
      </c>
      <c r="E3842" s="7" t="n">
        <v>0</v>
      </c>
    </row>
    <row r="3843" spans="1:8">
      <c r="A3843" t="s">
        <v>4</v>
      </c>
      <c r="B3843" s="4" t="s">
        <v>5</v>
      </c>
      <c r="C3843" s="4" t="s">
        <v>7</v>
      </c>
      <c r="D3843" s="4" t="s">
        <v>7</v>
      </c>
      <c r="E3843" s="4" t="s">
        <v>13</v>
      </c>
      <c r="F3843" s="4" t="s">
        <v>13</v>
      </c>
      <c r="G3843" s="4" t="s">
        <v>13</v>
      </c>
      <c r="H3843" s="4" t="s">
        <v>11</v>
      </c>
    </row>
    <row r="3844" spans="1:8">
      <c r="A3844" t="n">
        <v>34316</v>
      </c>
      <c r="B3844" s="51" t="n">
        <v>45</v>
      </c>
      <c r="C3844" s="7" t="n">
        <v>2</v>
      </c>
      <c r="D3844" s="7" t="n">
        <v>3</v>
      </c>
      <c r="E3844" s="7" t="n">
        <v>-7.1399998664856</v>
      </c>
      <c r="F3844" s="7" t="n">
        <v>6.40000009536743</v>
      </c>
      <c r="G3844" s="7" t="n">
        <v>29.8299999237061</v>
      </c>
      <c r="H3844" s="7" t="n">
        <v>0</v>
      </c>
    </row>
    <row r="3845" spans="1:8">
      <c r="A3845" t="s">
        <v>4</v>
      </c>
      <c r="B3845" s="4" t="s">
        <v>5</v>
      </c>
      <c r="C3845" s="4" t="s">
        <v>7</v>
      </c>
      <c r="D3845" s="4" t="s">
        <v>7</v>
      </c>
      <c r="E3845" s="4" t="s">
        <v>13</v>
      </c>
      <c r="F3845" s="4" t="s">
        <v>13</v>
      </c>
      <c r="G3845" s="4" t="s">
        <v>13</v>
      </c>
      <c r="H3845" s="4" t="s">
        <v>11</v>
      </c>
      <c r="I3845" s="4" t="s">
        <v>7</v>
      </c>
    </row>
    <row r="3846" spans="1:8">
      <c r="A3846" t="n">
        <v>34333</v>
      </c>
      <c r="B3846" s="51" t="n">
        <v>45</v>
      </c>
      <c r="C3846" s="7" t="n">
        <v>4</v>
      </c>
      <c r="D3846" s="7" t="n">
        <v>3</v>
      </c>
      <c r="E3846" s="7" t="n">
        <v>21.7099990844727</v>
      </c>
      <c r="F3846" s="7" t="n">
        <v>57.310001373291</v>
      </c>
      <c r="G3846" s="7" t="n">
        <v>354</v>
      </c>
      <c r="H3846" s="7" t="n">
        <v>0</v>
      </c>
      <c r="I3846" s="7" t="n">
        <v>0</v>
      </c>
    </row>
    <row r="3847" spans="1:8">
      <c r="A3847" t="s">
        <v>4</v>
      </c>
      <c r="B3847" s="4" t="s">
        <v>5</v>
      </c>
      <c r="C3847" s="4" t="s">
        <v>7</v>
      </c>
      <c r="D3847" s="4" t="s">
        <v>7</v>
      </c>
      <c r="E3847" s="4" t="s">
        <v>13</v>
      </c>
      <c r="F3847" s="4" t="s">
        <v>11</v>
      </c>
    </row>
    <row r="3848" spans="1:8">
      <c r="A3848" t="n">
        <v>34351</v>
      </c>
      <c r="B3848" s="51" t="n">
        <v>45</v>
      </c>
      <c r="C3848" s="7" t="n">
        <v>5</v>
      </c>
      <c r="D3848" s="7" t="n">
        <v>3</v>
      </c>
      <c r="E3848" s="7" t="n">
        <v>0.800000011920929</v>
      </c>
      <c r="F3848" s="7" t="n">
        <v>0</v>
      </c>
    </row>
    <row r="3849" spans="1:8">
      <c r="A3849" t="s">
        <v>4</v>
      </c>
      <c r="B3849" s="4" t="s">
        <v>5</v>
      </c>
      <c r="C3849" s="4" t="s">
        <v>7</v>
      </c>
      <c r="D3849" s="4" t="s">
        <v>7</v>
      </c>
      <c r="E3849" s="4" t="s">
        <v>13</v>
      </c>
      <c r="F3849" s="4" t="s">
        <v>11</v>
      </c>
    </row>
    <row r="3850" spans="1:8">
      <c r="A3850" t="n">
        <v>34360</v>
      </c>
      <c r="B3850" s="51" t="n">
        <v>45</v>
      </c>
      <c r="C3850" s="7" t="n">
        <v>11</v>
      </c>
      <c r="D3850" s="7" t="n">
        <v>3</v>
      </c>
      <c r="E3850" s="7" t="n">
        <v>40.2999992370605</v>
      </c>
      <c r="F3850" s="7" t="n">
        <v>0</v>
      </c>
    </row>
    <row r="3851" spans="1:8">
      <c r="A3851" t="s">
        <v>4</v>
      </c>
      <c r="B3851" s="4" t="s">
        <v>5</v>
      </c>
      <c r="C3851" s="4" t="s">
        <v>7</v>
      </c>
      <c r="D3851" s="4" t="s">
        <v>7</v>
      </c>
      <c r="E3851" s="4" t="s">
        <v>13</v>
      </c>
      <c r="F3851" s="4" t="s">
        <v>13</v>
      </c>
      <c r="G3851" s="4" t="s">
        <v>13</v>
      </c>
      <c r="H3851" s="4" t="s">
        <v>11</v>
      </c>
    </row>
    <row r="3852" spans="1:8">
      <c r="A3852" t="n">
        <v>34369</v>
      </c>
      <c r="B3852" s="51" t="n">
        <v>45</v>
      </c>
      <c r="C3852" s="7" t="n">
        <v>2</v>
      </c>
      <c r="D3852" s="7" t="n">
        <v>3</v>
      </c>
      <c r="E3852" s="7" t="n">
        <v>-7.1399998664856</v>
      </c>
      <c r="F3852" s="7" t="n">
        <v>6.40000009536743</v>
      </c>
      <c r="G3852" s="7" t="n">
        <v>29.8299999237061</v>
      </c>
      <c r="H3852" s="7" t="n">
        <v>50000</v>
      </c>
    </row>
    <row r="3853" spans="1:8">
      <c r="A3853" t="s">
        <v>4</v>
      </c>
      <c r="B3853" s="4" t="s">
        <v>5</v>
      </c>
      <c r="C3853" s="4" t="s">
        <v>7</v>
      </c>
      <c r="D3853" s="4" t="s">
        <v>7</v>
      </c>
      <c r="E3853" s="4" t="s">
        <v>13</v>
      </c>
      <c r="F3853" s="4" t="s">
        <v>13</v>
      </c>
      <c r="G3853" s="4" t="s">
        <v>13</v>
      </c>
      <c r="H3853" s="4" t="s">
        <v>11</v>
      </c>
      <c r="I3853" s="4" t="s">
        <v>7</v>
      </c>
    </row>
    <row r="3854" spans="1:8">
      <c r="A3854" t="n">
        <v>34386</v>
      </c>
      <c r="B3854" s="51" t="n">
        <v>45</v>
      </c>
      <c r="C3854" s="7" t="n">
        <v>4</v>
      </c>
      <c r="D3854" s="7" t="n">
        <v>3</v>
      </c>
      <c r="E3854" s="7" t="n">
        <v>21.7099990844727</v>
      </c>
      <c r="F3854" s="7" t="n">
        <v>68.370002746582</v>
      </c>
      <c r="G3854" s="7" t="n">
        <v>354</v>
      </c>
      <c r="H3854" s="7" t="n">
        <v>50000</v>
      </c>
      <c r="I3854" s="7" t="n">
        <v>1</v>
      </c>
    </row>
    <row r="3855" spans="1:8">
      <c r="A3855" t="s">
        <v>4</v>
      </c>
      <c r="B3855" s="4" t="s">
        <v>5</v>
      </c>
      <c r="C3855" s="4" t="s">
        <v>7</v>
      </c>
      <c r="D3855" s="4" t="s">
        <v>7</v>
      </c>
      <c r="E3855" s="4" t="s">
        <v>13</v>
      </c>
      <c r="F3855" s="4" t="s">
        <v>11</v>
      </c>
    </row>
    <row r="3856" spans="1:8">
      <c r="A3856" t="n">
        <v>34404</v>
      </c>
      <c r="B3856" s="51" t="n">
        <v>45</v>
      </c>
      <c r="C3856" s="7" t="n">
        <v>5</v>
      </c>
      <c r="D3856" s="7" t="n">
        <v>3</v>
      </c>
      <c r="E3856" s="7" t="n">
        <v>0.800000011920929</v>
      </c>
      <c r="F3856" s="7" t="n">
        <v>50000</v>
      </c>
    </row>
    <row r="3857" spans="1:9">
      <c r="A3857" t="s">
        <v>4</v>
      </c>
      <c r="B3857" s="4" t="s">
        <v>5</v>
      </c>
      <c r="C3857" s="4" t="s">
        <v>7</v>
      </c>
      <c r="D3857" s="4" t="s">
        <v>7</v>
      </c>
      <c r="E3857" s="4" t="s">
        <v>13</v>
      </c>
      <c r="F3857" s="4" t="s">
        <v>11</v>
      </c>
    </row>
    <row r="3858" spans="1:9">
      <c r="A3858" t="n">
        <v>34413</v>
      </c>
      <c r="B3858" s="51" t="n">
        <v>45</v>
      </c>
      <c r="C3858" s="7" t="n">
        <v>11</v>
      </c>
      <c r="D3858" s="7" t="n">
        <v>3</v>
      </c>
      <c r="E3858" s="7" t="n">
        <v>40.2999992370605</v>
      </c>
      <c r="F3858" s="7" t="n">
        <v>50000</v>
      </c>
    </row>
    <row r="3859" spans="1:9">
      <c r="A3859" t="s">
        <v>4</v>
      </c>
      <c r="B3859" s="4" t="s">
        <v>5</v>
      </c>
      <c r="C3859" s="4" t="s">
        <v>7</v>
      </c>
      <c r="D3859" s="4" t="s">
        <v>11</v>
      </c>
    </row>
    <row r="3860" spans="1:9">
      <c r="A3860" t="n">
        <v>34422</v>
      </c>
      <c r="B3860" s="23" t="n">
        <v>58</v>
      </c>
      <c r="C3860" s="7" t="n">
        <v>254</v>
      </c>
      <c r="D3860" s="7" t="n">
        <v>0</v>
      </c>
    </row>
    <row r="3861" spans="1:9">
      <c r="A3861" t="s">
        <v>4</v>
      </c>
      <c r="B3861" s="4" t="s">
        <v>5</v>
      </c>
      <c r="C3861" s="4" t="s">
        <v>7</v>
      </c>
      <c r="D3861" s="4" t="s">
        <v>11</v>
      </c>
    </row>
    <row r="3862" spans="1:9">
      <c r="A3862" t="n">
        <v>34426</v>
      </c>
      <c r="B3862" s="23" t="n">
        <v>58</v>
      </c>
      <c r="C3862" s="7" t="n">
        <v>255</v>
      </c>
      <c r="D3862" s="7" t="n">
        <v>0</v>
      </c>
    </row>
    <row r="3863" spans="1:9">
      <c r="A3863" t="s">
        <v>4</v>
      </c>
      <c r="B3863" s="4" t="s">
        <v>5</v>
      </c>
      <c r="C3863" s="4" t="s">
        <v>7</v>
      </c>
      <c r="D3863" s="4" t="s">
        <v>11</v>
      </c>
      <c r="E3863" s="4" t="s">
        <v>8</v>
      </c>
    </row>
    <row r="3864" spans="1:9">
      <c r="A3864" t="n">
        <v>34430</v>
      </c>
      <c r="B3864" s="38" t="n">
        <v>51</v>
      </c>
      <c r="C3864" s="7" t="n">
        <v>4</v>
      </c>
      <c r="D3864" s="7" t="n">
        <v>0</v>
      </c>
      <c r="E3864" s="7" t="s">
        <v>173</v>
      </c>
    </row>
    <row r="3865" spans="1:9">
      <c r="A3865" t="s">
        <v>4</v>
      </c>
      <c r="B3865" s="4" t="s">
        <v>5</v>
      </c>
      <c r="C3865" s="4" t="s">
        <v>11</v>
      </c>
    </row>
    <row r="3866" spans="1:9">
      <c r="A3866" t="n">
        <v>34443</v>
      </c>
      <c r="B3866" s="29" t="n">
        <v>16</v>
      </c>
      <c r="C3866" s="7" t="n">
        <v>0</v>
      </c>
    </row>
    <row r="3867" spans="1:9">
      <c r="A3867" t="s">
        <v>4</v>
      </c>
      <c r="B3867" s="4" t="s">
        <v>5</v>
      </c>
      <c r="C3867" s="4" t="s">
        <v>11</v>
      </c>
      <c r="D3867" s="4" t="s">
        <v>7</v>
      </c>
      <c r="E3867" s="4" t="s">
        <v>15</v>
      </c>
      <c r="F3867" s="4" t="s">
        <v>55</v>
      </c>
      <c r="G3867" s="4" t="s">
        <v>7</v>
      </c>
      <c r="H3867" s="4" t="s">
        <v>7</v>
      </c>
      <c r="I3867" s="4" t="s">
        <v>7</v>
      </c>
      <c r="J3867" s="4" t="s">
        <v>15</v>
      </c>
      <c r="K3867" s="4" t="s">
        <v>55</v>
      </c>
      <c r="L3867" s="4" t="s">
        <v>7</v>
      </c>
      <c r="M3867" s="4" t="s">
        <v>7</v>
      </c>
    </row>
    <row r="3868" spans="1:9">
      <c r="A3868" t="n">
        <v>34446</v>
      </c>
      <c r="B3868" s="55" t="n">
        <v>26</v>
      </c>
      <c r="C3868" s="7" t="n">
        <v>0</v>
      </c>
      <c r="D3868" s="7" t="n">
        <v>17</v>
      </c>
      <c r="E3868" s="7" t="n">
        <v>63814</v>
      </c>
      <c r="F3868" s="7" t="s">
        <v>373</v>
      </c>
      <c r="G3868" s="7" t="n">
        <v>2</v>
      </c>
      <c r="H3868" s="7" t="n">
        <v>3</v>
      </c>
      <c r="I3868" s="7" t="n">
        <v>17</v>
      </c>
      <c r="J3868" s="7" t="n">
        <v>63815</v>
      </c>
      <c r="K3868" s="7" t="s">
        <v>374</v>
      </c>
      <c r="L3868" s="7" t="n">
        <v>2</v>
      </c>
      <c r="M3868" s="7" t="n">
        <v>0</v>
      </c>
    </row>
    <row r="3869" spans="1:9">
      <c r="A3869" t="s">
        <v>4</v>
      </c>
      <c r="B3869" s="4" t="s">
        <v>5</v>
      </c>
    </row>
    <row r="3870" spans="1:9">
      <c r="A3870" t="n">
        <v>34632</v>
      </c>
      <c r="B3870" s="27" t="n">
        <v>28</v>
      </c>
    </row>
    <row r="3871" spans="1:9">
      <c r="A3871" t="s">
        <v>4</v>
      </c>
      <c r="B3871" s="4" t="s">
        <v>5</v>
      </c>
      <c r="C3871" s="4" t="s">
        <v>11</v>
      </c>
      <c r="D3871" s="4" t="s">
        <v>7</v>
      </c>
    </row>
    <row r="3872" spans="1:9">
      <c r="A3872" t="n">
        <v>34633</v>
      </c>
      <c r="B3872" s="68" t="n">
        <v>89</v>
      </c>
      <c r="C3872" s="7" t="n">
        <v>65533</v>
      </c>
      <c r="D3872" s="7" t="n">
        <v>1</v>
      </c>
    </row>
    <row r="3873" spans="1:13">
      <c r="A3873" t="s">
        <v>4</v>
      </c>
      <c r="B3873" s="4" t="s">
        <v>5</v>
      </c>
      <c r="C3873" s="4" t="s">
        <v>7</v>
      </c>
      <c r="D3873" s="4" t="s">
        <v>11</v>
      </c>
      <c r="E3873" s="4" t="s">
        <v>8</v>
      </c>
    </row>
    <row r="3874" spans="1:13">
      <c r="A3874" t="n">
        <v>34637</v>
      </c>
      <c r="B3874" s="38" t="n">
        <v>51</v>
      </c>
      <c r="C3874" s="7" t="n">
        <v>4</v>
      </c>
      <c r="D3874" s="7" t="n">
        <v>1</v>
      </c>
      <c r="E3874" s="7" t="s">
        <v>375</v>
      </c>
    </row>
    <row r="3875" spans="1:13">
      <c r="A3875" t="s">
        <v>4</v>
      </c>
      <c r="B3875" s="4" t="s">
        <v>5</v>
      </c>
      <c r="C3875" s="4" t="s">
        <v>11</v>
      </c>
    </row>
    <row r="3876" spans="1:13">
      <c r="A3876" t="n">
        <v>34651</v>
      </c>
      <c r="B3876" s="29" t="n">
        <v>16</v>
      </c>
      <c r="C3876" s="7" t="n">
        <v>0</v>
      </c>
    </row>
    <row r="3877" spans="1:13">
      <c r="A3877" t="s">
        <v>4</v>
      </c>
      <c r="B3877" s="4" t="s">
        <v>5</v>
      </c>
      <c r="C3877" s="4" t="s">
        <v>11</v>
      </c>
      <c r="D3877" s="4" t="s">
        <v>7</v>
      </c>
      <c r="E3877" s="4" t="s">
        <v>15</v>
      </c>
      <c r="F3877" s="4" t="s">
        <v>55</v>
      </c>
      <c r="G3877" s="4" t="s">
        <v>7</v>
      </c>
      <c r="H3877" s="4" t="s">
        <v>7</v>
      </c>
      <c r="I3877" s="4" t="s">
        <v>7</v>
      </c>
      <c r="J3877" s="4" t="s">
        <v>15</v>
      </c>
      <c r="K3877" s="4" t="s">
        <v>55</v>
      </c>
      <c r="L3877" s="4" t="s">
        <v>7</v>
      </c>
      <c r="M3877" s="4" t="s">
        <v>7</v>
      </c>
      <c r="N3877" s="4" t="s">
        <v>7</v>
      </c>
      <c r="O3877" s="4" t="s">
        <v>15</v>
      </c>
      <c r="P3877" s="4" t="s">
        <v>55</v>
      </c>
      <c r="Q3877" s="4" t="s">
        <v>7</v>
      </c>
      <c r="R3877" s="4" t="s">
        <v>7</v>
      </c>
    </row>
    <row r="3878" spans="1:13">
      <c r="A3878" t="n">
        <v>34654</v>
      </c>
      <c r="B3878" s="55" t="n">
        <v>26</v>
      </c>
      <c r="C3878" s="7" t="n">
        <v>1</v>
      </c>
      <c r="D3878" s="7" t="n">
        <v>17</v>
      </c>
      <c r="E3878" s="7" t="n">
        <v>1821</v>
      </c>
      <c r="F3878" s="7" t="s">
        <v>376</v>
      </c>
      <c r="G3878" s="7" t="n">
        <v>2</v>
      </c>
      <c r="H3878" s="7" t="n">
        <v>3</v>
      </c>
      <c r="I3878" s="7" t="n">
        <v>17</v>
      </c>
      <c r="J3878" s="7" t="n">
        <v>1822</v>
      </c>
      <c r="K3878" s="7" t="s">
        <v>377</v>
      </c>
      <c r="L3878" s="7" t="n">
        <v>2</v>
      </c>
      <c r="M3878" s="7" t="n">
        <v>3</v>
      </c>
      <c r="N3878" s="7" t="n">
        <v>17</v>
      </c>
      <c r="O3878" s="7" t="n">
        <v>1823</v>
      </c>
      <c r="P3878" s="7" t="s">
        <v>378</v>
      </c>
      <c r="Q3878" s="7" t="n">
        <v>2</v>
      </c>
      <c r="R3878" s="7" t="n">
        <v>0</v>
      </c>
    </row>
    <row r="3879" spans="1:13">
      <c r="A3879" t="s">
        <v>4</v>
      </c>
      <c r="B3879" s="4" t="s">
        <v>5</v>
      </c>
    </row>
    <row r="3880" spans="1:13">
      <c r="A3880" t="n">
        <v>35010</v>
      </c>
      <c r="B3880" s="27" t="n">
        <v>28</v>
      </c>
    </row>
    <row r="3881" spans="1:13">
      <c r="A3881" t="s">
        <v>4</v>
      </c>
      <c r="B3881" s="4" t="s">
        <v>5</v>
      </c>
      <c r="C3881" s="4" t="s">
        <v>11</v>
      </c>
      <c r="D3881" s="4" t="s">
        <v>7</v>
      </c>
    </row>
    <row r="3882" spans="1:13">
      <c r="A3882" t="n">
        <v>35011</v>
      </c>
      <c r="B3882" s="68" t="n">
        <v>89</v>
      </c>
      <c r="C3882" s="7" t="n">
        <v>65533</v>
      </c>
      <c r="D3882" s="7" t="n">
        <v>1</v>
      </c>
    </row>
    <row r="3883" spans="1:13">
      <c r="A3883" t="s">
        <v>4</v>
      </c>
      <c r="B3883" s="4" t="s">
        <v>5</v>
      </c>
      <c r="C3883" s="4" t="s">
        <v>7</v>
      </c>
      <c r="D3883" s="4" t="s">
        <v>11</v>
      </c>
      <c r="E3883" s="4" t="s">
        <v>8</v>
      </c>
    </row>
    <row r="3884" spans="1:13">
      <c r="A3884" t="n">
        <v>35015</v>
      </c>
      <c r="B3884" s="38" t="n">
        <v>51</v>
      </c>
      <c r="C3884" s="7" t="n">
        <v>4</v>
      </c>
      <c r="D3884" s="7" t="n">
        <v>0</v>
      </c>
      <c r="E3884" s="7" t="s">
        <v>379</v>
      </c>
    </row>
    <row r="3885" spans="1:13">
      <c r="A3885" t="s">
        <v>4</v>
      </c>
      <c r="B3885" s="4" t="s">
        <v>5</v>
      </c>
      <c r="C3885" s="4" t="s">
        <v>11</v>
      </c>
    </row>
    <row r="3886" spans="1:13">
      <c r="A3886" t="n">
        <v>35029</v>
      </c>
      <c r="B3886" s="29" t="n">
        <v>16</v>
      </c>
      <c r="C3886" s="7" t="n">
        <v>0</v>
      </c>
    </row>
    <row r="3887" spans="1:13">
      <c r="A3887" t="s">
        <v>4</v>
      </c>
      <c r="B3887" s="4" t="s">
        <v>5</v>
      </c>
      <c r="C3887" s="4" t="s">
        <v>11</v>
      </c>
      <c r="D3887" s="4" t="s">
        <v>7</v>
      </c>
      <c r="E3887" s="4" t="s">
        <v>15</v>
      </c>
      <c r="F3887" s="4" t="s">
        <v>55</v>
      </c>
      <c r="G3887" s="4" t="s">
        <v>7</v>
      </c>
      <c r="H3887" s="4" t="s">
        <v>7</v>
      </c>
      <c r="I3887" s="4" t="s">
        <v>7</v>
      </c>
      <c r="J3887" s="4" t="s">
        <v>15</v>
      </c>
      <c r="K3887" s="4" t="s">
        <v>55</v>
      </c>
      <c r="L3887" s="4" t="s">
        <v>7</v>
      </c>
      <c r="M3887" s="4" t="s">
        <v>7</v>
      </c>
      <c r="N3887" s="4" t="s">
        <v>7</v>
      </c>
      <c r="O3887" s="4" t="s">
        <v>15</v>
      </c>
      <c r="P3887" s="4" t="s">
        <v>55</v>
      </c>
      <c r="Q3887" s="4" t="s">
        <v>7</v>
      </c>
      <c r="R3887" s="4" t="s">
        <v>7</v>
      </c>
      <c r="S3887" s="4" t="s">
        <v>7</v>
      </c>
      <c r="T3887" s="4" t="s">
        <v>15</v>
      </c>
      <c r="U3887" s="4" t="s">
        <v>55</v>
      </c>
      <c r="V3887" s="4" t="s">
        <v>7</v>
      </c>
      <c r="W3887" s="4" t="s">
        <v>7</v>
      </c>
    </row>
    <row r="3888" spans="1:13">
      <c r="A3888" t="n">
        <v>35032</v>
      </c>
      <c r="B3888" s="55" t="n">
        <v>26</v>
      </c>
      <c r="C3888" s="7" t="n">
        <v>0</v>
      </c>
      <c r="D3888" s="7" t="n">
        <v>17</v>
      </c>
      <c r="E3888" s="7" t="n">
        <v>63816</v>
      </c>
      <c r="F3888" s="7" t="s">
        <v>380</v>
      </c>
      <c r="G3888" s="7" t="n">
        <v>2</v>
      </c>
      <c r="H3888" s="7" t="n">
        <v>3</v>
      </c>
      <c r="I3888" s="7" t="n">
        <v>17</v>
      </c>
      <c r="J3888" s="7" t="n">
        <v>63817</v>
      </c>
      <c r="K3888" s="7" t="s">
        <v>381</v>
      </c>
      <c r="L3888" s="7" t="n">
        <v>2</v>
      </c>
      <c r="M3888" s="7" t="n">
        <v>3</v>
      </c>
      <c r="N3888" s="7" t="n">
        <v>17</v>
      </c>
      <c r="O3888" s="7" t="n">
        <v>63818</v>
      </c>
      <c r="P3888" s="7" t="s">
        <v>382</v>
      </c>
      <c r="Q3888" s="7" t="n">
        <v>2</v>
      </c>
      <c r="R3888" s="7" t="n">
        <v>3</v>
      </c>
      <c r="S3888" s="7" t="n">
        <v>17</v>
      </c>
      <c r="T3888" s="7" t="n">
        <v>63819</v>
      </c>
      <c r="U3888" s="7" t="s">
        <v>383</v>
      </c>
      <c r="V3888" s="7" t="n">
        <v>2</v>
      </c>
      <c r="W3888" s="7" t="n">
        <v>0</v>
      </c>
    </row>
    <row r="3889" spans="1:23">
      <c r="A3889" t="s">
        <v>4</v>
      </c>
      <c r="B3889" s="4" t="s">
        <v>5</v>
      </c>
    </row>
    <row r="3890" spans="1:23">
      <c r="A3890" t="n">
        <v>35385</v>
      </c>
      <c r="B3890" s="27" t="n">
        <v>28</v>
      </c>
    </row>
    <row r="3891" spans="1:23">
      <c r="A3891" t="s">
        <v>4</v>
      </c>
      <c r="B3891" s="4" t="s">
        <v>5</v>
      </c>
      <c r="C3891" s="4" t="s">
        <v>11</v>
      </c>
    </row>
    <row r="3892" spans="1:23">
      <c r="A3892" t="n">
        <v>35386</v>
      </c>
      <c r="B3892" s="29" t="n">
        <v>16</v>
      </c>
      <c r="C3892" s="7" t="n">
        <v>500</v>
      </c>
    </row>
    <row r="3893" spans="1:23">
      <c r="A3893" t="s">
        <v>4</v>
      </c>
      <c r="B3893" s="4" t="s">
        <v>5</v>
      </c>
      <c r="C3893" s="4" t="s">
        <v>7</v>
      </c>
      <c r="D3893" s="4" t="s">
        <v>11</v>
      </c>
      <c r="E3893" s="4" t="s">
        <v>8</v>
      </c>
    </row>
    <row r="3894" spans="1:23">
      <c r="A3894" t="n">
        <v>35389</v>
      </c>
      <c r="B3894" s="38" t="n">
        <v>51</v>
      </c>
      <c r="C3894" s="7" t="n">
        <v>4</v>
      </c>
      <c r="D3894" s="7" t="n">
        <v>1</v>
      </c>
      <c r="E3894" s="7" t="s">
        <v>238</v>
      </c>
    </row>
    <row r="3895" spans="1:23">
      <c r="A3895" t="s">
        <v>4</v>
      </c>
      <c r="B3895" s="4" t="s">
        <v>5</v>
      </c>
      <c r="C3895" s="4" t="s">
        <v>11</v>
      </c>
    </row>
    <row r="3896" spans="1:23">
      <c r="A3896" t="n">
        <v>35403</v>
      </c>
      <c r="B3896" s="29" t="n">
        <v>16</v>
      </c>
      <c r="C3896" s="7" t="n">
        <v>0</v>
      </c>
    </row>
    <row r="3897" spans="1:23">
      <c r="A3897" t="s">
        <v>4</v>
      </c>
      <c r="B3897" s="4" t="s">
        <v>5</v>
      </c>
      <c r="C3897" s="4" t="s">
        <v>11</v>
      </c>
      <c r="D3897" s="4" t="s">
        <v>7</v>
      </c>
      <c r="E3897" s="4" t="s">
        <v>15</v>
      </c>
      <c r="F3897" s="4" t="s">
        <v>55</v>
      </c>
      <c r="G3897" s="4" t="s">
        <v>7</v>
      </c>
      <c r="H3897" s="4" t="s">
        <v>7</v>
      </c>
    </row>
    <row r="3898" spans="1:23">
      <c r="A3898" t="n">
        <v>35406</v>
      </c>
      <c r="B3898" s="55" t="n">
        <v>26</v>
      </c>
      <c r="C3898" s="7" t="n">
        <v>1</v>
      </c>
      <c r="D3898" s="7" t="n">
        <v>17</v>
      </c>
      <c r="E3898" s="7" t="n">
        <v>1824</v>
      </c>
      <c r="F3898" s="7" t="s">
        <v>384</v>
      </c>
      <c r="G3898" s="7" t="n">
        <v>2</v>
      </c>
      <c r="H3898" s="7" t="n">
        <v>0</v>
      </c>
    </row>
    <row r="3899" spans="1:23">
      <c r="A3899" t="s">
        <v>4</v>
      </c>
      <c r="B3899" s="4" t="s">
        <v>5</v>
      </c>
    </row>
    <row r="3900" spans="1:23">
      <c r="A3900" t="n">
        <v>35434</v>
      </c>
      <c r="B3900" s="27" t="n">
        <v>28</v>
      </c>
    </row>
    <row r="3901" spans="1:23">
      <c r="A3901" t="s">
        <v>4</v>
      </c>
      <c r="B3901" s="4" t="s">
        <v>5</v>
      </c>
      <c r="C3901" s="4" t="s">
        <v>11</v>
      </c>
    </row>
    <row r="3902" spans="1:23">
      <c r="A3902" t="n">
        <v>35435</v>
      </c>
      <c r="B3902" s="29" t="n">
        <v>16</v>
      </c>
      <c r="C3902" s="7" t="n">
        <v>1000</v>
      </c>
    </row>
    <row r="3903" spans="1:23">
      <c r="A3903" t="s">
        <v>4</v>
      </c>
      <c r="B3903" s="4" t="s">
        <v>5</v>
      </c>
      <c r="C3903" s="4" t="s">
        <v>7</v>
      </c>
      <c r="D3903" s="4" t="s">
        <v>13</v>
      </c>
      <c r="E3903" s="4" t="s">
        <v>11</v>
      </c>
      <c r="F3903" s="4" t="s">
        <v>7</v>
      </c>
    </row>
    <row r="3904" spans="1:23">
      <c r="A3904" t="n">
        <v>35438</v>
      </c>
      <c r="B3904" s="13" t="n">
        <v>49</v>
      </c>
      <c r="C3904" s="7" t="n">
        <v>3</v>
      </c>
      <c r="D3904" s="7" t="n">
        <v>1</v>
      </c>
      <c r="E3904" s="7" t="n">
        <v>1000</v>
      </c>
      <c r="F3904" s="7" t="n">
        <v>0</v>
      </c>
    </row>
    <row r="3905" spans="1:8">
      <c r="A3905" t="s">
        <v>4</v>
      </c>
      <c r="B3905" s="4" t="s">
        <v>5</v>
      </c>
      <c r="C3905" s="4" t="s">
        <v>7</v>
      </c>
      <c r="D3905" s="4" t="s">
        <v>11</v>
      </c>
      <c r="E3905" s="4" t="s">
        <v>13</v>
      </c>
    </row>
    <row r="3906" spans="1:8">
      <c r="A3906" t="n">
        <v>35447</v>
      </c>
      <c r="B3906" s="23" t="n">
        <v>58</v>
      </c>
      <c r="C3906" s="7" t="n">
        <v>101</v>
      </c>
      <c r="D3906" s="7" t="n">
        <v>1000</v>
      </c>
      <c r="E3906" s="7" t="n">
        <v>1</v>
      </c>
    </row>
    <row r="3907" spans="1:8">
      <c r="A3907" t="s">
        <v>4</v>
      </c>
      <c r="B3907" s="4" t="s">
        <v>5</v>
      </c>
      <c r="C3907" s="4" t="s">
        <v>7</v>
      </c>
      <c r="D3907" s="4" t="s">
        <v>11</v>
      </c>
    </row>
    <row r="3908" spans="1:8">
      <c r="A3908" t="n">
        <v>35455</v>
      </c>
      <c r="B3908" s="23" t="n">
        <v>58</v>
      </c>
      <c r="C3908" s="7" t="n">
        <v>254</v>
      </c>
      <c r="D3908" s="7" t="n">
        <v>0</v>
      </c>
    </row>
    <row r="3909" spans="1:8">
      <c r="A3909" t="s">
        <v>4</v>
      </c>
      <c r="B3909" s="4" t="s">
        <v>5</v>
      </c>
      <c r="C3909" s="4" t="s">
        <v>7</v>
      </c>
      <c r="D3909" s="4" t="s">
        <v>11</v>
      </c>
      <c r="E3909" s="4" t="s">
        <v>11</v>
      </c>
      <c r="F3909" s="4" t="s">
        <v>15</v>
      </c>
    </row>
    <row r="3910" spans="1:8">
      <c r="A3910" t="n">
        <v>35459</v>
      </c>
      <c r="B3910" s="76" t="n">
        <v>84</v>
      </c>
      <c r="C3910" s="7" t="n">
        <v>1</v>
      </c>
      <c r="D3910" s="7" t="n">
        <v>0</v>
      </c>
      <c r="E3910" s="7" t="n">
        <v>0</v>
      </c>
      <c r="F3910" s="7" t="n">
        <v>0</v>
      </c>
    </row>
    <row r="3911" spans="1:8">
      <c r="A3911" t="s">
        <v>4</v>
      </c>
      <c r="B3911" s="4" t="s">
        <v>5</v>
      </c>
      <c r="C3911" s="4" t="s">
        <v>7</v>
      </c>
    </row>
    <row r="3912" spans="1:8">
      <c r="A3912" t="n">
        <v>35469</v>
      </c>
      <c r="B3912" s="49" t="n">
        <v>116</v>
      </c>
      <c r="C3912" s="7" t="n">
        <v>0</v>
      </c>
    </row>
    <row r="3913" spans="1:8">
      <c r="A3913" t="s">
        <v>4</v>
      </c>
      <c r="B3913" s="4" t="s">
        <v>5</v>
      </c>
      <c r="C3913" s="4" t="s">
        <v>7</v>
      </c>
      <c r="D3913" s="4" t="s">
        <v>11</v>
      </c>
    </row>
    <row r="3914" spans="1:8">
      <c r="A3914" t="n">
        <v>35471</v>
      </c>
      <c r="B3914" s="49" t="n">
        <v>116</v>
      </c>
      <c r="C3914" s="7" t="n">
        <v>2</v>
      </c>
      <c r="D3914" s="7" t="n">
        <v>1</v>
      </c>
    </row>
    <row r="3915" spans="1:8">
      <c r="A3915" t="s">
        <v>4</v>
      </c>
      <c r="B3915" s="4" t="s">
        <v>5</v>
      </c>
      <c r="C3915" s="4" t="s">
        <v>7</v>
      </c>
      <c r="D3915" s="4" t="s">
        <v>15</v>
      </c>
    </row>
    <row r="3916" spans="1:8">
      <c r="A3916" t="n">
        <v>35475</v>
      </c>
      <c r="B3916" s="49" t="n">
        <v>116</v>
      </c>
      <c r="C3916" s="7" t="n">
        <v>5</v>
      </c>
      <c r="D3916" s="7" t="n">
        <v>1092616192</v>
      </c>
    </row>
    <row r="3917" spans="1:8">
      <c r="A3917" t="s">
        <v>4</v>
      </c>
      <c r="B3917" s="4" t="s">
        <v>5</v>
      </c>
      <c r="C3917" s="4" t="s">
        <v>7</v>
      </c>
      <c r="D3917" s="4" t="s">
        <v>11</v>
      </c>
    </row>
    <row r="3918" spans="1:8">
      <c r="A3918" t="n">
        <v>35481</v>
      </c>
      <c r="B3918" s="49" t="n">
        <v>116</v>
      </c>
      <c r="C3918" s="7" t="n">
        <v>6</v>
      </c>
      <c r="D3918" s="7" t="n">
        <v>1</v>
      </c>
    </row>
    <row r="3919" spans="1:8">
      <c r="A3919" t="s">
        <v>4</v>
      </c>
      <c r="B3919" s="4" t="s">
        <v>5</v>
      </c>
      <c r="C3919" s="4" t="s">
        <v>7</v>
      </c>
      <c r="D3919" s="4" t="s">
        <v>7</v>
      </c>
      <c r="E3919" s="4" t="s">
        <v>13</v>
      </c>
      <c r="F3919" s="4" t="s">
        <v>13</v>
      </c>
      <c r="G3919" s="4" t="s">
        <v>13</v>
      </c>
      <c r="H3919" s="4" t="s">
        <v>11</v>
      </c>
    </row>
    <row r="3920" spans="1:8">
      <c r="A3920" t="n">
        <v>35485</v>
      </c>
      <c r="B3920" s="51" t="n">
        <v>45</v>
      </c>
      <c r="C3920" s="7" t="n">
        <v>2</v>
      </c>
      <c r="D3920" s="7" t="n">
        <v>3</v>
      </c>
      <c r="E3920" s="7" t="n">
        <v>-6.73999977111816</v>
      </c>
      <c r="F3920" s="7" t="n">
        <v>6.40999984741211</v>
      </c>
      <c r="G3920" s="7" t="n">
        <v>29.8799991607666</v>
      </c>
      <c r="H3920" s="7" t="n">
        <v>0</v>
      </c>
    </row>
    <row r="3921" spans="1:8">
      <c r="A3921" t="s">
        <v>4</v>
      </c>
      <c r="B3921" s="4" t="s">
        <v>5</v>
      </c>
      <c r="C3921" s="4" t="s">
        <v>7</v>
      </c>
      <c r="D3921" s="4" t="s">
        <v>7</v>
      </c>
      <c r="E3921" s="4" t="s">
        <v>13</v>
      </c>
      <c r="F3921" s="4" t="s">
        <v>13</v>
      </c>
      <c r="G3921" s="4" t="s">
        <v>13</v>
      </c>
      <c r="H3921" s="4" t="s">
        <v>11</v>
      </c>
      <c r="I3921" s="4" t="s">
        <v>7</v>
      </c>
    </row>
    <row r="3922" spans="1:8">
      <c r="A3922" t="n">
        <v>35502</v>
      </c>
      <c r="B3922" s="51" t="n">
        <v>45</v>
      </c>
      <c r="C3922" s="7" t="n">
        <v>4</v>
      </c>
      <c r="D3922" s="7" t="n">
        <v>3</v>
      </c>
      <c r="E3922" s="7" t="n">
        <v>15.5500001907349</v>
      </c>
      <c r="F3922" s="7" t="n">
        <v>53.7099990844727</v>
      </c>
      <c r="G3922" s="7" t="n">
        <v>360</v>
      </c>
      <c r="H3922" s="7" t="n">
        <v>0</v>
      </c>
      <c r="I3922" s="7" t="n">
        <v>0</v>
      </c>
    </row>
    <row r="3923" spans="1:8">
      <c r="A3923" t="s">
        <v>4</v>
      </c>
      <c r="B3923" s="4" t="s">
        <v>5</v>
      </c>
      <c r="C3923" s="4" t="s">
        <v>7</v>
      </c>
      <c r="D3923" s="4" t="s">
        <v>7</v>
      </c>
      <c r="E3923" s="4" t="s">
        <v>13</v>
      </c>
      <c r="F3923" s="4" t="s">
        <v>11</v>
      </c>
    </row>
    <row r="3924" spans="1:8">
      <c r="A3924" t="n">
        <v>35520</v>
      </c>
      <c r="B3924" s="51" t="n">
        <v>45</v>
      </c>
      <c r="C3924" s="7" t="n">
        <v>5</v>
      </c>
      <c r="D3924" s="7" t="n">
        <v>3</v>
      </c>
      <c r="E3924" s="7" t="n">
        <v>1.39999997615814</v>
      </c>
      <c r="F3924" s="7" t="n">
        <v>0</v>
      </c>
    </row>
    <row r="3925" spans="1:8">
      <c r="A3925" t="s">
        <v>4</v>
      </c>
      <c r="B3925" s="4" t="s">
        <v>5</v>
      </c>
      <c r="C3925" s="4" t="s">
        <v>7</v>
      </c>
      <c r="D3925" s="4" t="s">
        <v>7</v>
      </c>
      <c r="E3925" s="4" t="s">
        <v>13</v>
      </c>
      <c r="F3925" s="4" t="s">
        <v>11</v>
      </c>
    </row>
    <row r="3926" spans="1:8">
      <c r="A3926" t="n">
        <v>35529</v>
      </c>
      <c r="B3926" s="51" t="n">
        <v>45</v>
      </c>
      <c r="C3926" s="7" t="n">
        <v>11</v>
      </c>
      <c r="D3926" s="7" t="n">
        <v>3</v>
      </c>
      <c r="E3926" s="7" t="n">
        <v>40.2999992370605</v>
      </c>
      <c r="F3926" s="7" t="n">
        <v>0</v>
      </c>
    </row>
    <row r="3927" spans="1:8">
      <c r="A3927" t="s">
        <v>4</v>
      </c>
      <c r="B3927" s="4" t="s">
        <v>5</v>
      </c>
      <c r="C3927" s="4" t="s">
        <v>7</v>
      </c>
      <c r="D3927" s="4" t="s">
        <v>7</v>
      </c>
      <c r="E3927" s="4" t="s">
        <v>13</v>
      </c>
      <c r="F3927" s="4" t="s">
        <v>13</v>
      </c>
      <c r="G3927" s="4" t="s">
        <v>13</v>
      </c>
      <c r="H3927" s="4" t="s">
        <v>11</v>
      </c>
    </row>
    <row r="3928" spans="1:8">
      <c r="A3928" t="n">
        <v>35538</v>
      </c>
      <c r="B3928" s="51" t="n">
        <v>45</v>
      </c>
      <c r="C3928" s="7" t="n">
        <v>2</v>
      </c>
      <c r="D3928" s="7" t="n">
        <v>3</v>
      </c>
      <c r="E3928" s="7" t="n">
        <v>-6.34000015258789</v>
      </c>
      <c r="F3928" s="7" t="n">
        <v>6.59000015258789</v>
      </c>
      <c r="G3928" s="7" t="n">
        <v>28.8899993896484</v>
      </c>
      <c r="H3928" s="7" t="n">
        <v>6000</v>
      </c>
    </row>
    <row r="3929" spans="1:8">
      <c r="A3929" t="s">
        <v>4</v>
      </c>
      <c r="B3929" s="4" t="s">
        <v>5</v>
      </c>
      <c r="C3929" s="4" t="s">
        <v>7</v>
      </c>
      <c r="D3929" s="4" t="s">
        <v>7</v>
      </c>
      <c r="E3929" s="4" t="s">
        <v>13</v>
      </c>
      <c r="F3929" s="4" t="s">
        <v>13</v>
      </c>
      <c r="G3929" s="4" t="s">
        <v>13</v>
      </c>
      <c r="H3929" s="4" t="s">
        <v>11</v>
      </c>
      <c r="I3929" s="4" t="s">
        <v>7</v>
      </c>
    </row>
    <row r="3930" spans="1:8">
      <c r="A3930" t="n">
        <v>35555</v>
      </c>
      <c r="B3930" s="51" t="n">
        <v>45</v>
      </c>
      <c r="C3930" s="7" t="n">
        <v>4</v>
      </c>
      <c r="D3930" s="7" t="n">
        <v>3</v>
      </c>
      <c r="E3930" s="7" t="n">
        <v>10.7700004577637</v>
      </c>
      <c r="F3930" s="7" t="n">
        <v>43.6100006103516</v>
      </c>
      <c r="G3930" s="7" t="n">
        <v>360</v>
      </c>
      <c r="H3930" s="7" t="n">
        <v>6000</v>
      </c>
      <c r="I3930" s="7" t="n">
        <v>1</v>
      </c>
    </row>
    <row r="3931" spans="1:8">
      <c r="A3931" t="s">
        <v>4</v>
      </c>
      <c r="B3931" s="4" t="s">
        <v>5</v>
      </c>
      <c r="C3931" s="4" t="s">
        <v>7</v>
      </c>
      <c r="D3931" s="4" t="s">
        <v>11</v>
      </c>
    </row>
    <row r="3932" spans="1:8">
      <c r="A3932" t="n">
        <v>35573</v>
      </c>
      <c r="B3932" s="23" t="n">
        <v>58</v>
      </c>
      <c r="C3932" s="7" t="n">
        <v>255</v>
      </c>
      <c r="D3932" s="7" t="n">
        <v>0</v>
      </c>
    </row>
    <row r="3933" spans="1:8">
      <c r="A3933" t="s">
        <v>4</v>
      </c>
      <c r="B3933" s="4" t="s">
        <v>5</v>
      </c>
      <c r="C3933" s="4" t="s">
        <v>7</v>
      </c>
      <c r="D3933" s="4" t="s">
        <v>11</v>
      </c>
    </row>
    <row r="3934" spans="1:8">
      <c r="A3934" t="n">
        <v>35577</v>
      </c>
      <c r="B3934" s="51" t="n">
        <v>45</v>
      </c>
      <c r="C3934" s="7" t="n">
        <v>7</v>
      </c>
      <c r="D3934" s="7" t="n">
        <v>255</v>
      </c>
    </row>
    <row r="3935" spans="1:8">
      <c r="A3935" t="s">
        <v>4</v>
      </c>
      <c r="B3935" s="4" t="s">
        <v>5</v>
      </c>
      <c r="C3935" s="4" t="s">
        <v>7</v>
      </c>
      <c r="D3935" s="4" t="s">
        <v>11</v>
      </c>
      <c r="E3935" s="4" t="s">
        <v>13</v>
      </c>
    </row>
    <row r="3936" spans="1:8">
      <c r="A3936" t="n">
        <v>35581</v>
      </c>
      <c r="B3936" s="23" t="n">
        <v>58</v>
      </c>
      <c r="C3936" s="7" t="n">
        <v>0</v>
      </c>
      <c r="D3936" s="7" t="n">
        <v>2000</v>
      </c>
      <c r="E3936" s="7" t="n">
        <v>1</v>
      </c>
    </row>
    <row r="3937" spans="1:9">
      <c r="A3937" t="s">
        <v>4</v>
      </c>
      <c r="B3937" s="4" t="s">
        <v>5</v>
      </c>
      <c r="C3937" s="4" t="s">
        <v>7</v>
      </c>
      <c r="D3937" s="4" t="s">
        <v>11</v>
      </c>
    </row>
    <row r="3938" spans="1:9">
      <c r="A3938" t="n">
        <v>35589</v>
      </c>
      <c r="B3938" s="23" t="n">
        <v>58</v>
      </c>
      <c r="C3938" s="7" t="n">
        <v>255</v>
      </c>
      <c r="D3938" s="7" t="n">
        <v>0</v>
      </c>
    </row>
    <row r="3939" spans="1:9">
      <c r="A3939" t="s">
        <v>4</v>
      </c>
      <c r="B3939" s="4" t="s">
        <v>5</v>
      </c>
      <c r="C3939" s="4" t="s">
        <v>7</v>
      </c>
      <c r="D3939" s="4" t="s">
        <v>11</v>
      </c>
      <c r="E3939" s="4" t="s">
        <v>11</v>
      </c>
      <c r="F3939" s="4" t="s">
        <v>15</v>
      </c>
      <c r="G3939" s="4" t="s">
        <v>15</v>
      </c>
      <c r="H3939" s="4" t="s">
        <v>15</v>
      </c>
    </row>
    <row r="3940" spans="1:9">
      <c r="A3940" t="n">
        <v>35593</v>
      </c>
      <c r="B3940" s="77" t="n">
        <v>97</v>
      </c>
      <c r="C3940" s="7" t="n">
        <v>7</v>
      </c>
      <c r="D3940" s="7" t="n">
        <v>0</v>
      </c>
      <c r="E3940" s="7" t="n">
        <v>0</v>
      </c>
      <c r="F3940" s="7" t="n">
        <v>0</v>
      </c>
      <c r="G3940" s="7" t="n">
        <v>0</v>
      </c>
      <c r="H3940" s="7" t="n">
        <v>0</v>
      </c>
    </row>
    <row r="3941" spans="1:9">
      <c r="A3941" t="s">
        <v>4</v>
      </c>
      <c r="B3941" s="4" t="s">
        <v>5</v>
      </c>
      <c r="C3941" s="4" t="s">
        <v>7</v>
      </c>
    </row>
    <row r="3942" spans="1:9">
      <c r="A3942" t="n">
        <v>35611</v>
      </c>
      <c r="B3942" s="28" t="n">
        <v>78</v>
      </c>
      <c r="C3942" s="7" t="n">
        <v>255</v>
      </c>
    </row>
    <row r="3943" spans="1:9">
      <c r="A3943" t="s">
        <v>4</v>
      </c>
      <c r="B3943" s="4" t="s">
        <v>5</v>
      </c>
      <c r="C3943" s="4" t="s">
        <v>7</v>
      </c>
      <c r="D3943" s="4" t="s">
        <v>11</v>
      </c>
      <c r="E3943" s="4" t="s">
        <v>7</v>
      </c>
    </row>
    <row r="3944" spans="1:9">
      <c r="A3944" t="n">
        <v>35613</v>
      </c>
      <c r="B3944" s="40" t="n">
        <v>36</v>
      </c>
      <c r="C3944" s="7" t="n">
        <v>9</v>
      </c>
      <c r="D3944" s="7" t="n">
        <v>0</v>
      </c>
      <c r="E3944" s="7" t="n">
        <v>0</v>
      </c>
    </row>
    <row r="3945" spans="1:9">
      <c r="A3945" t="s">
        <v>4</v>
      </c>
      <c r="B3945" s="4" t="s">
        <v>5</v>
      </c>
      <c r="C3945" s="4" t="s">
        <v>7</v>
      </c>
      <c r="D3945" s="4" t="s">
        <v>11</v>
      </c>
      <c r="E3945" s="4" t="s">
        <v>7</v>
      </c>
    </row>
    <row r="3946" spans="1:9">
      <c r="A3946" t="n">
        <v>35618</v>
      </c>
      <c r="B3946" s="40" t="n">
        <v>36</v>
      </c>
      <c r="C3946" s="7" t="n">
        <v>9</v>
      </c>
      <c r="D3946" s="7" t="n">
        <v>1</v>
      </c>
      <c r="E3946" s="7" t="n">
        <v>0</v>
      </c>
    </row>
    <row r="3947" spans="1:9">
      <c r="A3947" t="s">
        <v>4</v>
      </c>
      <c r="B3947" s="4" t="s">
        <v>5</v>
      </c>
      <c r="C3947" s="4" t="s">
        <v>11</v>
      </c>
    </row>
    <row r="3948" spans="1:9">
      <c r="A3948" t="n">
        <v>35623</v>
      </c>
      <c r="B3948" s="43" t="n">
        <v>12</v>
      </c>
      <c r="C3948" s="7" t="n">
        <v>10805</v>
      </c>
    </row>
    <row r="3949" spans="1:9">
      <c r="A3949" t="s">
        <v>4</v>
      </c>
      <c r="B3949" s="4" t="s">
        <v>5</v>
      </c>
      <c r="C3949" s="4" t="s">
        <v>11</v>
      </c>
    </row>
    <row r="3950" spans="1:9">
      <c r="A3950" t="n">
        <v>35626</v>
      </c>
      <c r="B3950" s="43" t="n">
        <v>12</v>
      </c>
      <c r="C3950" s="7" t="n">
        <v>6576</v>
      </c>
    </row>
    <row r="3951" spans="1:9">
      <c r="A3951" t="s">
        <v>4</v>
      </c>
      <c r="B3951" s="4" t="s">
        <v>5</v>
      </c>
      <c r="C3951" s="4" t="s">
        <v>7</v>
      </c>
      <c r="D3951" s="4" t="s">
        <v>15</v>
      </c>
    </row>
    <row r="3952" spans="1:9">
      <c r="A3952" t="n">
        <v>35629</v>
      </c>
      <c r="B3952" s="79" t="n">
        <v>137</v>
      </c>
      <c r="C3952" s="7" t="n">
        <v>6</v>
      </c>
      <c r="D3952" s="7" t="n">
        <v>4</v>
      </c>
    </row>
    <row r="3953" spans="1:8">
      <c r="A3953" t="s">
        <v>4</v>
      </c>
      <c r="B3953" s="4" t="s">
        <v>5</v>
      </c>
      <c r="C3953" s="4" t="s">
        <v>11</v>
      </c>
      <c r="D3953" s="4" t="s">
        <v>7</v>
      </c>
      <c r="E3953" s="4" t="s">
        <v>11</v>
      </c>
    </row>
    <row r="3954" spans="1:8">
      <c r="A3954" t="n">
        <v>35635</v>
      </c>
      <c r="B3954" s="58" t="n">
        <v>104</v>
      </c>
      <c r="C3954" s="7" t="n">
        <v>127</v>
      </c>
      <c r="D3954" s="7" t="n">
        <v>1</v>
      </c>
      <c r="E3954" s="7" t="n">
        <v>3</v>
      </c>
    </row>
    <row r="3955" spans="1:8">
      <c r="A3955" t="s">
        <v>4</v>
      </c>
      <c r="B3955" s="4" t="s">
        <v>5</v>
      </c>
    </row>
    <row r="3956" spans="1:8">
      <c r="A3956" t="n">
        <v>35641</v>
      </c>
      <c r="B3956" s="5" t="n">
        <v>1</v>
      </c>
    </row>
    <row r="3957" spans="1:8">
      <c r="A3957" t="s">
        <v>4</v>
      </c>
      <c r="B3957" s="4" t="s">
        <v>5</v>
      </c>
      <c r="C3957" s="4" t="s">
        <v>11</v>
      </c>
      <c r="D3957" s="4" t="s">
        <v>13</v>
      </c>
      <c r="E3957" s="4" t="s">
        <v>13</v>
      </c>
      <c r="F3957" s="4" t="s">
        <v>13</v>
      </c>
      <c r="G3957" s="4" t="s">
        <v>13</v>
      </c>
    </row>
    <row r="3958" spans="1:8">
      <c r="A3958" t="n">
        <v>35642</v>
      </c>
      <c r="B3958" s="36" t="n">
        <v>46</v>
      </c>
      <c r="C3958" s="7" t="n">
        <v>61456</v>
      </c>
      <c r="D3958" s="7" t="n">
        <v>0</v>
      </c>
      <c r="E3958" s="7" t="n">
        <v>0</v>
      </c>
      <c r="F3958" s="7" t="n">
        <v>0</v>
      </c>
      <c r="G3958" s="7" t="n">
        <v>0</v>
      </c>
    </row>
    <row r="3959" spans="1:8">
      <c r="A3959" t="s">
        <v>4</v>
      </c>
      <c r="B3959" s="4" t="s">
        <v>5</v>
      </c>
      <c r="C3959" s="4" t="s">
        <v>7</v>
      </c>
      <c r="D3959" s="4" t="s">
        <v>11</v>
      </c>
    </row>
    <row r="3960" spans="1:8">
      <c r="A3960" t="n">
        <v>35661</v>
      </c>
      <c r="B3960" s="8" t="n">
        <v>162</v>
      </c>
      <c r="C3960" s="7" t="n">
        <v>1</v>
      </c>
      <c r="D3960" s="7" t="n">
        <v>0</v>
      </c>
    </row>
    <row r="3961" spans="1:8">
      <c r="A3961" t="s">
        <v>4</v>
      </c>
      <c r="B3961" s="4" t="s">
        <v>5</v>
      </c>
    </row>
    <row r="3962" spans="1:8">
      <c r="A3962" t="n">
        <v>35665</v>
      </c>
      <c r="B3962" s="5" t="n">
        <v>1</v>
      </c>
    </row>
    <row r="3963" spans="1:8" s="3" customFormat="1" customHeight="0">
      <c r="A3963" s="3" t="s">
        <v>2</v>
      </c>
      <c r="B3963" s="3" t="s">
        <v>385</v>
      </c>
    </row>
    <row r="3964" spans="1:8">
      <c r="A3964" t="s">
        <v>4</v>
      </c>
      <c r="B3964" s="4" t="s">
        <v>5</v>
      </c>
      <c r="C3964" s="4" t="s">
        <v>7</v>
      </c>
      <c r="D3964" s="4" t="s">
        <v>7</v>
      </c>
      <c r="E3964" s="4" t="s">
        <v>7</v>
      </c>
      <c r="F3964" s="4" t="s">
        <v>7</v>
      </c>
    </row>
    <row r="3965" spans="1:8">
      <c r="A3965" t="n">
        <v>35668</v>
      </c>
      <c r="B3965" s="9" t="n">
        <v>14</v>
      </c>
      <c r="C3965" s="7" t="n">
        <v>2</v>
      </c>
      <c r="D3965" s="7" t="n">
        <v>0</v>
      </c>
      <c r="E3965" s="7" t="n">
        <v>0</v>
      </c>
      <c r="F3965" s="7" t="n">
        <v>0</v>
      </c>
    </row>
    <row r="3966" spans="1:8">
      <c r="A3966" t="s">
        <v>4</v>
      </c>
      <c r="B3966" s="4" t="s">
        <v>5</v>
      </c>
      <c r="C3966" s="4" t="s">
        <v>7</v>
      </c>
      <c r="D3966" s="20" t="s">
        <v>35</v>
      </c>
      <c r="E3966" s="4" t="s">
        <v>5</v>
      </c>
      <c r="F3966" s="4" t="s">
        <v>7</v>
      </c>
      <c r="G3966" s="4" t="s">
        <v>11</v>
      </c>
      <c r="H3966" s="20" t="s">
        <v>36</v>
      </c>
      <c r="I3966" s="4" t="s">
        <v>7</v>
      </c>
      <c r="J3966" s="4" t="s">
        <v>15</v>
      </c>
      <c r="K3966" s="4" t="s">
        <v>7</v>
      </c>
      <c r="L3966" s="4" t="s">
        <v>7</v>
      </c>
      <c r="M3966" s="20" t="s">
        <v>35</v>
      </c>
      <c r="N3966" s="4" t="s">
        <v>5</v>
      </c>
      <c r="O3966" s="4" t="s">
        <v>7</v>
      </c>
      <c r="P3966" s="4" t="s">
        <v>11</v>
      </c>
      <c r="Q3966" s="20" t="s">
        <v>36</v>
      </c>
      <c r="R3966" s="4" t="s">
        <v>7</v>
      </c>
      <c r="S3966" s="4" t="s">
        <v>15</v>
      </c>
      <c r="T3966" s="4" t="s">
        <v>7</v>
      </c>
      <c r="U3966" s="4" t="s">
        <v>7</v>
      </c>
      <c r="V3966" s="4" t="s">
        <v>7</v>
      </c>
      <c r="W3966" s="4" t="s">
        <v>12</v>
      </c>
    </row>
    <row r="3967" spans="1:8">
      <c r="A3967" t="n">
        <v>35673</v>
      </c>
      <c r="B3967" s="10" t="n">
        <v>5</v>
      </c>
      <c r="C3967" s="7" t="n">
        <v>28</v>
      </c>
      <c r="D3967" s="20" t="s">
        <v>3</v>
      </c>
      <c r="E3967" s="8" t="n">
        <v>162</v>
      </c>
      <c r="F3967" s="7" t="n">
        <v>3</v>
      </c>
      <c r="G3967" s="7" t="n">
        <v>32869</v>
      </c>
      <c r="H3967" s="20" t="s">
        <v>3</v>
      </c>
      <c r="I3967" s="7" t="n">
        <v>0</v>
      </c>
      <c r="J3967" s="7" t="n">
        <v>1</v>
      </c>
      <c r="K3967" s="7" t="n">
        <v>2</v>
      </c>
      <c r="L3967" s="7" t="n">
        <v>28</v>
      </c>
      <c r="M3967" s="20" t="s">
        <v>3</v>
      </c>
      <c r="N3967" s="8" t="n">
        <v>162</v>
      </c>
      <c r="O3967" s="7" t="n">
        <v>3</v>
      </c>
      <c r="P3967" s="7" t="n">
        <v>32869</v>
      </c>
      <c r="Q3967" s="20" t="s">
        <v>3</v>
      </c>
      <c r="R3967" s="7" t="n">
        <v>0</v>
      </c>
      <c r="S3967" s="7" t="n">
        <v>2</v>
      </c>
      <c r="T3967" s="7" t="n">
        <v>2</v>
      </c>
      <c r="U3967" s="7" t="n">
        <v>11</v>
      </c>
      <c r="V3967" s="7" t="n">
        <v>1</v>
      </c>
      <c r="W3967" s="11" t="n">
        <f t="normal" ca="1">A3971</f>
        <v>0</v>
      </c>
    </row>
    <row r="3968" spans="1:8">
      <c r="A3968" t="s">
        <v>4</v>
      </c>
      <c r="B3968" s="4" t="s">
        <v>5</v>
      </c>
      <c r="C3968" s="4" t="s">
        <v>7</v>
      </c>
      <c r="D3968" s="4" t="s">
        <v>11</v>
      </c>
      <c r="E3968" s="4" t="s">
        <v>13</v>
      </c>
    </row>
    <row r="3969" spans="1:23">
      <c r="A3969" t="n">
        <v>35702</v>
      </c>
      <c r="B3969" s="23" t="n">
        <v>58</v>
      </c>
      <c r="C3969" s="7" t="n">
        <v>0</v>
      </c>
      <c r="D3969" s="7" t="n">
        <v>0</v>
      </c>
      <c r="E3969" s="7" t="n">
        <v>1</v>
      </c>
    </row>
    <row r="3970" spans="1:23">
      <c r="A3970" t="s">
        <v>4</v>
      </c>
      <c r="B3970" s="4" t="s">
        <v>5</v>
      </c>
      <c r="C3970" s="4" t="s">
        <v>7</v>
      </c>
      <c r="D3970" s="20" t="s">
        <v>35</v>
      </c>
      <c r="E3970" s="4" t="s">
        <v>5</v>
      </c>
      <c r="F3970" s="4" t="s">
        <v>7</v>
      </c>
      <c r="G3970" s="4" t="s">
        <v>11</v>
      </c>
      <c r="H3970" s="20" t="s">
        <v>36</v>
      </c>
      <c r="I3970" s="4" t="s">
        <v>7</v>
      </c>
      <c r="J3970" s="4" t="s">
        <v>15</v>
      </c>
      <c r="K3970" s="4" t="s">
        <v>7</v>
      </c>
      <c r="L3970" s="4" t="s">
        <v>7</v>
      </c>
      <c r="M3970" s="20" t="s">
        <v>35</v>
      </c>
      <c r="N3970" s="4" t="s">
        <v>5</v>
      </c>
      <c r="O3970" s="4" t="s">
        <v>7</v>
      </c>
      <c r="P3970" s="4" t="s">
        <v>11</v>
      </c>
      <c r="Q3970" s="20" t="s">
        <v>36</v>
      </c>
      <c r="R3970" s="4" t="s">
        <v>7</v>
      </c>
      <c r="S3970" s="4" t="s">
        <v>15</v>
      </c>
      <c r="T3970" s="4" t="s">
        <v>7</v>
      </c>
      <c r="U3970" s="4" t="s">
        <v>7</v>
      </c>
      <c r="V3970" s="4" t="s">
        <v>7</v>
      </c>
      <c r="W3970" s="4" t="s">
        <v>12</v>
      </c>
    </row>
    <row r="3971" spans="1:23">
      <c r="A3971" t="n">
        <v>35710</v>
      </c>
      <c r="B3971" s="10" t="n">
        <v>5</v>
      </c>
      <c r="C3971" s="7" t="n">
        <v>28</v>
      </c>
      <c r="D3971" s="20" t="s">
        <v>3</v>
      </c>
      <c r="E3971" s="8" t="n">
        <v>162</v>
      </c>
      <c r="F3971" s="7" t="n">
        <v>3</v>
      </c>
      <c r="G3971" s="7" t="n">
        <v>32869</v>
      </c>
      <c r="H3971" s="20" t="s">
        <v>3</v>
      </c>
      <c r="I3971" s="7" t="n">
        <v>0</v>
      </c>
      <c r="J3971" s="7" t="n">
        <v>1</v>
      </c>
      <c r="K3971" s="7" t="n">
        <v>3</v>
      </c>
      <c r="L3971" s="7" t="n">
        <v>28</v>
      </c>
      <c r="M3971" s="20" t="s">
        <v>3</v>
      </c>
      <c r="N3971" s="8" t="n">
        <v>162</v>
      </c>
      <c r="O3971" s="7" t="n">
        <v>3</v>
      </c>
      <c r="P3971" s="7" t="n">
        <v>32869</v>
      </c>
      <c r="Q3971" s="20" t="s">
        <v>3</v>
      </c>
      <c r="R3971" s="7" t="n">
        <v>0</v>
      </c>
      <c r="S3971" s="7" t="n">
        <v>2</v>
      </c>
      <c r="T3971" s="7" t="n">
        <v>3</v>
      </c>
      <c r="U3971" s="7" t="n">
        <v>9</v>
      </c>
      <c r="V3971" s="7" t="n">
        <v>1</v>
      </c>
      <c r="W3971" s="11" t="n">
        <f t="normal" ca="1">A3981</f>
        <v>0</v>
      </c>
    </row>
    <row r="3972" spans="1:23">
      <c r="A3972" t="s">
        <v>4</v>
      </c>
      <c r="B3972" s="4" t="s">
        <v>5</v>
      </c>
      <c r="C3972" s="4" t="s">
        <v>7</v>
      </c>
      <c r="D3972" s="20" t="s">
        <v>35</v>
      </c>
      <c r="E3972" s="4" t="s">
        <v>5</v>
      </c>
      <c r="F3972" s="4" t="s">
        <v>11</v>
      </c>
      <c r="G3972" s="4" t="s">
        <v>7</v>
      </c>
      <c r="H3972" s="4" t="s">
        <v>7</v>
      </c>
      <c r="I3972" s="4" t="s">
        <v>8</v>
      </c>
      <c r="J3972" s="20" t="s">
        <v>36</v>
      </c>
      <c r="K3972" s="4" t="s">
        <v>7</v>
      </c>
      <c r="L3972" s="4" t="s">
        <v>7</v>
      </c>
      <c r="M3972" s="20" t="s">
        <v>35</v>
      </c>
      <c r="N3972" s="4" t="s">
        <v>5</v>
      </c>
      <c r="O3972" s="4" t="s">
        <v>7</v>
      </c>
      <c r="P3972" s="20" t="s">
        <v>36</v>
      </c>
      <c r="Q3972" s="4" t="s">
        <v>7</v>
      </c>
      <c r="R3972" s="4" t="s">
        <v>15</v>
      </c>
      <c r="S3972" s="4" t="s">
        <v>7</v>
      </c>
      <c r="T3972" s="4" t="s">
        <v>7</v>
      </c>
      <c r="U3972" s="4" t="s">
        <v>7</v>
      </c>
      <c r="V3972" s="20" t="s">
        <v>35</v>
      </c>
      <c r="W3972" s="4" t="s">
        <v>5</v>
      </c>
      <c r="X3972" s="4" t="s">
        <v>7</v>
      </c>
      <c r="Y3972" s="20" t="s">
        <v>36</v>
      </c>
      <c r="Z3972" s="4" t="s">
        <v>7</v>
      </c>
      <c r="AA3972" s="4" t="s">
        <v>15</v>
      </c>
      <c r="AB3972" s="4" t="s">
        <v>7</v>
      </c>
      <c r="AC3972" s="4" t="s">
        <v>7</v>
      </c>
      <c r="AD3972" s="4" t="s">
        <v>7</v>
      </c>
      <c r="AE3972" s="4" t="s">
        <v>12</v>
      </c>
    </row>
    <row r="3973" spans="1:23">
      <c r="A3973" t="n">
        <v>35739</v>
      </c>
      <c r="B3973" s="10" t="n">
        <v>5</v>
      </c>
      <c r="C3973" s="7" t="n">
        <v>28</v>
      </c>
      <c r="D3973" s="20" t="s">
        <v>3</v>
      </c>
      <c r="E3973" s="41" t="n">
        <v>47</v>
      </c>
      <c r="F3973" s="7" t="n">
        <v>61456</v>
      </c>
      <c r="G3973" s="7" t="n">
        <v>2</v>
      </c>
      <c r="H3973" s="7" t="n">
        <v>0</v>
      </c>
      <c r="I3973" s="7" t="s">
        <v>105</v>
      </c>
      <c r="J3973" s="20" t="s">
        <v>3</v>
      </c>
      <c r="K3973" s="7" t="n">
        <v>8</v>
      </c>
      <c r="L3973" s="7" t="n">
        <v>28</v>
      </c>
      <c r="M3973" s="20" t="s">
        <v>3</v>
      </c>
      <c r="N3973" s="45" t="n">
        <v>74</v>
      </c>
      <c r="O3973" s="7" t="n">
        <v>65</v>
      </c>
      <c r="P3973" s="20" t="s">
        <v>3</v>
      </c>
      <c r="Q3973" s="7" t="n">
        <v>0</v>
      </c>
      <c r="R3973" s="7" t="n">
        <v>1</v>
      </c>
      <c r="S3973" s="7" t="n">
        <v>3</v>
      </c>
      <c r="T3973" s="7" t="n">
        <v>9</v>
      </c>
      <c r="U3973" s="7" t="n">
        <v>28</v>
      </c>
      <c r="V3973" s="20" t="s">
        <v>3</v>
      </c>
      <c r="W3973" s="45" t="n">
        <v>74</v>
      </c>
      <c r="X3973" s="7" t="n">
        <v>65</v>
      </c>
      <c r="Y3973" s="20" t="s">
        <v>3</v>
      </c>
      <c r="Z3973" s="7" t="n">
        <v>0</v>
      </c>
      <c r="AA3973" s="7" t="n">
        <v>2</v>
      </c>
      <c r="AB3973" s="7" t="n">
        <v>3</v>
      </c>
      <c r="AC3973" s="7" t="n">
        <v>9</v>
      </c>
      <c r="AD3973" s="7" t="n">
        <v>1</v>
      </c>
      <c r="AE3973" s="11" t="n">
        <f t="normal" ca="1">A3977</f>
        <v>0</v>
      </c>
    </row>
    <row r="3974" spans="1:23">
      <c r="A3974" t="s">
        <v>4</v>
      </c>
      <c r="B3974" s="4" t="s">
        <v>5</v>
      </c>
      <c r="C3974" s="4" t="s">
        <v>11</v>
      </c>
      <c r="D3974" s="4" t="s">
        <v>7</v>
      </c>
      <c r="E3974" s="4" t="s">
        <v>7</v>
      </c>
      <c r="F3974" s="4" t="s">
        <v>8</v>
      </c>
    </row>
    <row r="3975" spans="1:23">
      <c r="A3975" t="n">
        <v>35787</v>
      </c>
      <c r="B3975" s="41" t="n">
        <v>47</v>
      </c>
      <c r="C3975" s="7" t="n">
        <v>61456</v>
      </c>
      <c r="D3975" s="7" t="n">
        <v>0</v>
      </c>
      <c r="E3975" s="7" t="n">
        <v>0</v>
      </c>
      <c r="F3975" s="7" t="s">
        <v>106</v>
      </c>
    </row>
    <row r="3976" spans="1:23">
      <c r="A3976" t="s">
        <v>4</v>
      </c>
      <c r="B3976" s="4" t="s">
        <v>5</v>
      </c>
      <c r="C3976" s="4" t="s">
        <v>7</v>
      </c>
      <c r="D3976" s="4" t="s">
        <v>11</v>
      </c>
      <c r="E3976" s="4" t="s">
        <v>13</v>
      </c>
    </row>
    <row r="3977" spans="1:23">
      <c r="A3977" t="n">
        <v>35800</v>
      </c>
      <c r="B3977" s="23" t="n">
        <v>58</v>
      </c>
      <c r="C3977" s="7" t="n">
        <v>0</v>
      </c>
      <c r="D3977" s="7" t="n">
        <v>300</v>
      </c>
      <c r="E3977" s="7" t="n">
        <v>1</v>
      </c>
    </row>
    <row r="3978" spans="1:23">
      <c r="A3978" t="s">
        <v>4</v>
      </c>
      <c r="B3978" s="4" t="s">
        <v>5</v>
      </c>
      <c r="C3978" s="4" t="s">
        <v>7</v>
      </c>
      <c r="D3978" s="4" t="s">
        <v>11</v>
      </c>
    </row>
    <row r="3979" spans="1:23">
      <c r="A3979" t="n">
        <v>35808</v>
      </c>
      <c r="B3979" s="23" t="n">
        <v>58</v>
      </c>
      <c r="C3979" s="7" t="n">
        <v>255</v>
      </c>
      <c r="D3979" s="7" t="n">
        <v>0</v>
      </c>
    </row>
    <row r="3980" spans="1:23">
      <c r="A3980" t="s">
        <v>4</v>
      </c>
      <c r="B3980" s="4" t="s">
        <v>5</v>
      </c>
      <c r="C3980" s="4" t="s">
        <v>7</v>
      </c>
      <c r="D3980" s="4" t="s">
        <v>7</v>
      </c>
      <c r="E3980" s="4" t="s">
        <v>7</v>
      </c>
      <c r="F3980" s="4" t="s">
        <v>7</v>
      </c>
    </row>
    <row r="3981" spans="1:23">
      <c r="A3981" t="n">
        <v>35812</v>
      </c>
      <c r="B3981" s="9" t="n">
        <v>14</v>
      </c>
      <c r="C3981" s="7" t="n">
        <v>0</v>
      </c>
      <c r="D3981" s="7" t="n">
        <v>0</v>
      </c>
      <c r="E3981" s="7" t="n">
        <v>0</v>
      </c>
      <c r="F3981" s="7" t="n">
        <v>64</v>
      </c>
    </row>
    <row r="3982" spans="1:23">
      <c r="A3982" t="s">
        <v>4</v>
      </c>
      <c r="B3982" s="4" t="s">
        <v>5</v>
      </c>
      <c r="C3982" s="4" t="s">
        <v>7</v>
      </c>
      <c r="D3982" s="4" t="s">
        <v>11</v>
      </c>
    </row>
    <row r="3983" spans="1:23">
      <c r="A3983" t="n">
        <v>35817</v>
      </c>
      <c r="B3983" s="22" t="n">
        <v>22</v>
      </c>
      <c r="C3983" s="7" t="n">
        <v>0</v>
      </c>
      <c r="D3983" s="7" t="n">
        <v>32869</v>
      </c>
    </row>
    <row r="3984" spans="1:23">
      <c r="A3984" t="s">
        <v>4</v>
      </c>
      <c r="B3984" s="4" t="s">
        <v>5</v>
      </c>
      <c r="C3984" s="4" t="s">
        <v>7</v>
      </c>
      <c r="D3984" s="4" t="s">
        <v>11</v>
      </c>
    </row>
    <row r="3985" spans="1:31">
      <c r="A3985" t="n">
        <v>35821</v>
      </c>
      <c r="B3985" s="23" t="n">
        <v>58</v>
      </c>
      <c r="C3985" s="7" t="n">
        <v>5</v>
      </c>
      <c r="D3985" s="7" t="n">
        <v>300</v>
      </c>
    </row>
    <row r="3986" spans="1:31">
      <c r="A3986" t="s">
        <v>4</v>
      </c>
      <c r="B3986" s="4" t="s">
        <v>5</v>
      </c>
      <c r="C3986" s="4" t="s">
        <v>13</v>
      </c>
      <c r="D3986" s="4" t="s">
        <v>11</v>
      </c>
    </row>
    <row r="3987" spans="1:31">
      <c r="A3987" t="n">
        <v>35825</v>
      </c>
      <c r="B3987" s="46" t="n">
        <v>103</v>
      </c>
      <c r="C3987" s="7" t="n">
        <v>0</v>
      </c>
      <c r="D3987" s="7" t="n">
        <v>300</v>
      </c>
    </row>
    <row r="3988" spans="1:31">
      <c r="A3988" t="s">
        <v>4</v>
      </c>
      <c r="B3988" s="4" t="s">
        <v>5</v>
      </c>
      <c r="C3988" s="4" t="s">
        <v>7</v>
      </c>
    </row>
    <row r="3989" spans="1:31">
      <c r="A3989" t="n">
        <v>35832</v>
      </c>
      <c r="B3989" s="47" t="n">
        <v>64</v>
      </c>
      <c r="C3989" s="7" t="n">
        <v>7</v>
      </c>
    </row>
    <row r="3990" spans="1:31">
      <c r="A3990" t="s">
        <v>4</v>
      </c>
      <c r="B3990" s="4" t="s">
        <v>5</v>
      </c>
      <c r="C3990" s="4" t="s">
        <v>7</v>
      </c>
      <c r="D3990" s="4" t="s">
        <v>11</v>
      </c>
    </row>
    <row r="3991" spans="1:31">
      <c r="A3991" t="n">
        <v>35834</v>
      </c>
      <c r="B3991" s="48" t="n">
        <v>72</v>
      </c>
      <c r="C3991" s="7" t="n">
        <v>5</v>
      </c>
      <c r="D3991" s="7" t="n">
        <v>0</v>
      </c>
    </row>
    <row r="3992" spans="1:31">
      <c r="A3992" t="s">
        <v>4</v>
      </c>
      <c r="B3992" s="4" t="s">
        <v>5</v>
      </c>
      <c r="C3992" s="4" t="s">
        <v>7</v>
      </c>
      <c r="D3992" s="20" t="s">
        <v>35</v>
      </c>
      <c r="E3992" s="4" t="s">
        <v>5</v>
      </c>
      <c r="F3992" s="4" t="s">
        <v>7</v>
      </c>
      <c r="G3992" s="4" t="s">
        <v>11</v>
      </c>
      <c r="H3992" s="20" t="s">
        <v>36</v>
      </c>
      <c r="I3992" s="4" t="s">
        <v>7</v>
      </c>
      <c r="J3992" s="4" t="s">
        <v>15</v>
      </c>
      <c r="K3992" s="4" t="s">
        <v>7</v>
      </c>
      <c r="L3992" s="4" t="s">
        <v>7</v>
      </c>
      <c r="M3992" s="4" t="s">
        <v>12</v>
      </c>
    </row>
    <row r="3993" spans="1:31">
      <c r="A3993" t="n">
        <v>35838</v>
      </c>
      <c r="B3993" s="10" t="n">
        <v>5</v>
      </c>
      <c r="C3993" s="7" t="n">
        <v>28</v>
      </c>
      <c r="D3993" s="20" t="s">
        <v>3</v>
      </c>
      <c r="E3993" s="8" t="n">
        <v>162</v>
      </c>
      <c r="F3993" s="7" t="n">
        <v>4</v>
      </c>
      <c r="G3993" s="7" t="n">
        <v>32869</v>
      </c>
      <c r="H3993" s="20" t="s">
        <v>3</v>
      </c>
      <c r="I3993" s="7" t="n">
        <v>0</v>
      </c>
      <c r="J3993" s="7" t="n">
        <v>1</v>
      </c>
      <c r="K3993" s="7" t="n">
        <v>2</v>
      </c>
      <c r="L3993" s="7" t="n">
        <v>1</v>
      </c>
      <c r="M3993" s="11" t="n">
        <f t="normal" ca="1">A3999</f>
        <v>0</v>
      </c>
    </row>
    <row r="3994" spans="1:31">
      <c r="A3994" t="s">
        <v>4</v>
      </c>
      <c r="B3994" s="4" t="s">
        <v>5</v>
      </c>
      <c r="C3994" s="4" t="s">
        <v>7</v>
      </c>
      <c r="D3994" s="4" t="s">
        <v>8</v>
      </c>
    </row>
    <row r="3995" spans="1:31">
      <c r="A3995" t="n">
        <v>35855</v>
      </c>
      <c r="B3995" s="6" t="n">
        <v>2</v>
      </c>
      <c r="C3995" s="7" t="n">
        <v>10</v>
      </c>
      <c r="D3995" s="7" t="s">
        <v>107</v>
      </c>
    </row>
    <row r="3996" spans="1:31">
      <c r="A3996" t="s">
        <v>4</v>
      </c>
      <c r="B3996" s="4" t="s">
        <v>5</v>
      </c>
      <c r="C3996" s="4" t="s">
        <v>11</v>
      </c>
    </row>
    <row r="3997" spans="1:31">
      <c r="A3997" t="n">
        <v>35872</v>
      </c>
      <c r="B3997" s="29" t="n">
        <v>16</v>
      </c>
      <c r="C3997" s="7" t="n">
        <v>0</v>
      </c>
    </row>
    <row r="3998" spans="1:31">
      <c r="A3998" t="s">
        <v>4</v>
      </c>
      <c r="B3998" s="4" t="s">
        <v>5</v>
      </c>
      <c r="C3998" s="4" t="s">
        <v>7</v>
      </c>
      <c r="D3998" s="4" t="s">
        <v>11</v>
      </c>
      <c r="E3998" s="4" t="s">
        <v>11</v>
      </c>
      <c r="F3998" s="4" t="s">
        <v>11</v>
      </c>
      <c r="G3998" s="4" t="s">
        <v>11</v>
      </c>
      <c r="H3998" s="4" t="s">
        <v>11</v>
      </c>
      <c r="I3998" s="4" t="s">
        <v>11</v>
      </c>
      <c r="J3998" s="4" t="s">
        <v>11</v>
      </c>
      <c r="K3998" s="4" t="s">
        <v>11</v>
      </c>
      <c r="L3998" s="4" t="s">
        <v>11</v>
      </c>
      <c r="M3998" s="4" t="s">
        <v>11</v>
      </c>
      <c r="N3998" s="4" t="s">
        <v>15</v>
      </c>
      <c r="O3998" s="4" t="s">
        <v>15</v>
      </c>
      <c r="P3998" s="4" t="s">
        <v>15</v>
      </c>
      <c r="Q3998" s="4" t="s">
        <v>15</v>
      </c>
      <c r="R3998" s="4" t="s">
        <v>7</v>
      </c>
      <c r="S3998" s="4" t="s">
        <v>8</v>
      </c>
    </row>
    <row r="3999" spans="1:31">
      <c r="A3999" t="n">
        <v>35875</v>
      </c>
      <c r="B3999" s="24" t="n">
        <v>75</v>
      </c>
      <c r="C3999" s="7" t="n">
        <v>0</v>
      </c>
      <c r="D3999" s="7" t="n">
        <v>484</v>
      </c>
      <c r="E3999" s="7" t="n">
        <v>328</v>
      </c>
      <c r="F3999" s="7" t="n">
        <v>996</v>
      </c>
      <c r="G3999" s="7" t="n">
        <v>392</v>
      </c>
      <c r="H3999" s="7" t="n">
        <v>0</v>
      </c>
      <c r="I3999" s="7" t="n">
        <v>0</v>
      </c>
      <c r="J3999" s="7" t="n">
        <v>0</v>
      </c>
      <c r="K3999" s="7" t="n">
        <v>448</v>
      </c>
      <c r="L3999" s="7" t="n">
        <v>512</v>
      </c>
      <c r="M3999" s="7" t="n">
        <v>512</v>
      </c>
      <c r="N3999" s="7" t="n">
        <v>1065353216</v>
      </c>
      <c r="O3999" s="7" t="n">
        <v>1065353216</v>
      </c>
      <c r="P3999" s="7" t="n">
        <v>1065353216</v>
      </c>
      <c r="Q3999" s="7" t="n">
        <v>0</v>
      </c>
      <c r="R3999" s="7" t="n">
        <v>0</v>
      </c>
      <c r="S3999" s="7" t="s">
        <v>271</v>
      </c>
    </row>
    <row r="4000" spans="1:31">
      <c r="A4000" t="s">
        <v>4</v>
      </c>
      <c r="B4000" s="4" t="s">
        <v>5</v>
      </c>
      <c r="C4000" s="4" t="s">
        <v>7</v>
      </c>
      <c r="D4000" s="4" t="s">
        <v>11</v>
      </c>
      <c r="E4000" s="4" t="s">
        <v>11</v>
      </c>
      <c r="F4000" s="4" t="s">
        <v>11</v>
      </c>
      <c r="G4000" s="4" t="s">
        <v>11</v>
      </c>
      <c r="H4000" s="4" t="s">
        <v>11</v>
      </c>
      <c r="I4000" s="4" t="s">
        <v>11</v>
      </c>
      <c r="J4000" s="4" t="s">
        <v>11</v>
      </c>
      <c r="K4000" s="4" t="s">
        <v>11</v>
      </c>
      <c r="L4000" s="4" t="s">
        <v>11</v>
      </c>
      <c r="M4000" s="4" t="s">
        <v>11</v>
      </c>
      <c r="N4000" s="4" t="s">
        <v>15</v>
      </c>
      <c r="O4000" s="4" t="s">
        <v>15</v>
      </c>
      <c r="P4000" s="4" t="s">
        <v>15</v>
      </c>
      <c r="Q4000" s="4" t="s">
        <v>15</v>
      </c>
      <c r="R4000" s="4" t="s">
        <v>7</v>
      </c>
      <c r="S4000" s="4" t="s">
        <v>8</v>
      </c>
    </row>
    <row r="4001" spans="1:19">
      <c r="A4001" t="n">
        <v>35924</v>
      </c>
      <c r="B4001" s="24" t="n">
        <v>75</v>
      </c>
      <c r="C4001" s="7" t="n">
        <v>1</v>
      </c>
      <c r="D4001" s="7" t="n">
        <v>0</v>
      </c>
      <c r="E4001" s="7" t="n">
        <v>0</v>
      </c>
      <c r="F4001" s="7" t="n">
        <v>1024</v>
      </c>
      <c r="G4001" s="7" t="n">
        <v>720</v>
      </c>
      <c r="H4001" s="7" t="n">
        <v>0</v>
      </c>
      <c r="I4001" s="7" t="n">
        <v>0</v>
      </c>
      <c r="J4001" s="7" t="n">
        <v>0</v>
      </c>
      <c r="K4001" s="7" t="n">
        <v>0</v>
      </c>
      <c r="L4001" s="7" t="n">
        <v>1024</v>
      </c>
      <c r="M4001" s="7" t="n">
        <v>720</v>
      </c>
      <c r="N4001" s="7" t="n">
        <v>1065353216</v>
      </c>
      <c r="O4001" s="7" t="n">
        <v>1065353216</v>
      </c>
      <c r="P4001" s="7" t="n">
        <v>1065353216</v>
      </c>
      <c r="Q4001" s="7" t="n">
        <v>0</v>
      </c>
      <c r="R4001" s="7" t="n">
        <v>0</v>
      </c>
      <c r="S4001" s="7" t="s">
        <v>386</v>
      </c>
    </row>
    <row r="4002" spans="1:19">
      <c r="A4002" t="s">
        <v>4</v>
      </c>
      <c r="B4002" s="4" t="s">
        <v>5</v>
      </c>
      <c r="C4002" s="4" t="s">
        <v>7</v>
      </c>
      <c r="D4002" s="4" t="s">
        <v>7</v>
      </c>
      <c r="E4002" s="4" t="s">
        <v>7</v>
      </c>
      <c r="F4002" s="4" t="s">
        <v>13</v>
      </c>
      <c r="G4002" s="4" t="s">
        <v>13</v>
      </c>
      <c r="H4002" s="4" t="s">
        <v>13</v>
      </c>
      <c r="I4002" s="4" t="s">
        <v>13</v>
      </c>
      <c r="J4002" s="4" t="s">
        <v>13</v>
      </c>
    </row>
    <row r="4003" spans="1:19">
      <c r="A4003" t="n">
        <v>35973</v>
      </c>
      <c r="B4003" s="25" t="n">
        <v>76</v>
      </c>
      <c r="C4003" s="7" t="n">
        <v>1</v>
      </c>
      <c r="D4003" s="7" t="n">
        <v>9</v>
      </c>
      <c r="E4003" s="7" t="n">
        <v>2</v>
      </c>
      <c r="F4003" s="7" t="n">
        <v>0</v>
      </c>
      <c r="G4003" s="7" t="n">
        <v>0</v>
      </c>
      <c r="H4003" s="7" t="n">
        <v>0</v>
      </c>
      <c r="I4003" s="7" t="n">
        <v>0</v>
      </c>
      <c r="J4003" s="7" t="n">
        <v>0</v>
      </c>
    </row>
    <row r="4004" spans="1:19">
      <c r="A4004" t="s">
        <v>4</v>
      </c>
      <c r="B4004" s="4" t="s">
        <v>5</v>
      </c>
      <c r="C4004" s="4" t="s">
        <v>11</v>
      </c>
      <c r="D4004" s="4" t="s">
        <v>8</v>
      </c>
      <c r="E4004" s="4" t="s">
        <v>8</v>
      </c>
      <c r="F4004" s="4" t="s">
        <v>8</v>
      </c>
      <c r="G4004" s="4" t="s">
        <v>7</v>
      </c>
      <c r="H4004" s="4" t="s">
        <v>15</v>
      </c>
      <c r="I4004" s="4" t="s">
        <v>13</v>
      </c>
      <c r="J4004" s="4" t="s">
        <v>13</v>
      </c>
      <c r="K4004" s="4" t="s">
        <v>13</v>
      </c>
      <c r="L4004" s="4" t="s">
        <v>13</v>
      </c>
      <c r="M4004" s="4" t="s">
        <v>13</v>
      </c>
      <c r="N4004" s="4" t="s">
        <v>13</v>
      </c>
      <c r="O4004" s="4" t="s">
        <v>13</v>
      </c>
      <c r="P4004" s="4" t="s">
        <v>8</v>
      </c>
      <c r="Q4004" s="4" t="s">
        <v>8</v>
      </c>
      <c r="R4004" s="4" t="s">
        <v>15</v>
      </c>
      <c r="S4004" s="4" t="s">
        <v>7</v>
      </c>
      <c r="T4004" s="4" t="s">
        <v>15</v>
      </c>
      <c r="U4004" s="4" t="s">
        <v>15</v>
      </c>
      <c r="V4004" s="4" t="s">
        <v>11</v>
      </c>
    </row>
    <row r="4005" spans="1:19">
      <c r="A4005" t="n">
        <v>35997</v>
      </c>
      <c r="B4005" s="62" t="n">
        <v>19</v>
      </c>
      <c r="C4005" s="7" t="n">
        <v>3</v>
      </c>
      <c r="D4005" s="7" t="s">
        <v>387</v>
      </c>
      <c r="E4005" s="7" t="s">
        <v>388</v>
      </c>
      <c r="F4005" s="7" t="s">
        <v>16</v>
      </c>
      <c r="G4005" s="7" t="n">
        <v>0</v>
      </c>
      <c r="H4005" s="7" t="n">
        <v>1</v>
      </c>
      <c r="I4005" s="7" t="n">
        <v>0</v>
      </c>
      <c r="J4005" s="7" t="n">
        <v>0</v>
      </c>
      <c r="K4005" s="7" t="n">
        <v>0</v>
      </c>
      <c r="L4005" s="7" t="n">
        <v>0</v>
      </c>
      <c r="M4005" s="7" t="n">
        <v>1</v>
      </c>
      <c r="N4005" s="7" t="n">
        <v>1.60000002384186</v>
      </c>
      <c r="O4005" s="7" t="n">
        <v>0.0900000035762787</v>
      </c>
      <c r="P4005" s="7" t="s">
        <v>16</v>
      </c>
      <c r="Q4005" s="7" t="s">
        <v>16</v>
      </c>
      <c r="R4005" s="7" t="n">
        <v>-1</v>
      </c>
      <c r="S4005" s="7" t="n">
        <v>0</v>
      </c>
      <c r="T4005" s="7" t="n">
        <v>0</v>
      </c>
      <c r="U4005" s="7" t="n">
        <v>0</v>
      </c>
      <c r="V4005" s="7" t="n">
        <v>0</v>
      </c>
    </row>
    <row r="4006" spans="1:19">
      <c r="A4006" t="s">
        <v>4</v>
      </c>
      <c r="B4006" s="4" t="s">
        <v>5</v>
      </c>
      <c r="C4006" s="4" t="s">
        <v>11</v>
      </c>
      <c r="D4006" s="4" t="s">
        <v>7</v>
      </c>
      <c r="E4006" s="4" t="s">
        <v>7</v>
      </c>
      <c r="F4006" s="4" t="s">
        <v>8</v>
      </c>
    </row>
    <row r="4007" spans="1:19">
      <c r="A4007" t="n">
        <v>36070</v>
      </c>
      <c r="B4007" s="50" t="n">
        <v>20</v>
      </c>
      <c r="C4007" s="7" t="n">
        <v>0</v>
      </c>
      <c r="D4007" s="7" t="n">
        <v>3</v>
      </c>
      <c r="E4007" s="7" t="n">
        <v>10</v>
      </c>
      <c r="F4007" s="7" t="s">
        <v>108</v>
      </c>
    </row>
    <row r="4008" spans="1:19">
      <c r="A4008" t="s">
        <v>4</v>
      </c>
      <c r="B4008" s="4" t="s">
        <v>5</v>
      </c>
      <c r="C4008" s="4" t="s">
        <v>11</v>
      </c>
    </row>
    <row r="4009" spans="1:19">
      <c r="A4009" t="n">
        <v>36088</v>
      </c>
      <c r="B4009" s="29" t="n">
        <v>16</v>
      </c>
      <c r="C4009" s="7" t="n">
        <v>0</v>
      </c>
    </row>
    <row r="4010" spans="1:19">
      <c r="A4010" t="s">
        <v>4</v>
      </c>
      <c r="B4010" s="4" t="s">
        <v>5</v>
      </c>
      <c r="C4010" s="4" t="s">
        <v>11</v>
      </c>
      <c r="D4010" s="4" t="s">
        <v>7</v>
      </c>
      <c r="E4010" s="4" t="s">
        <v>7</v>
      </c>
      <c r="F4010" s="4" t="s">
        <v>8</v>
      </c>
    </row>
    <row r="4011" spans="1:19">
      <c r="A4011" t="n">
        <v>36091</v>
      </c>
      <c r="B4011" s="50" t="n">
        <v>20</v>
      </c>
      <c r="C4011" s="7" t="n">
        <v>3</v>
      </c>
      <c r="D4011" s="7" t="n">
        <v>3</v>
      </c>
      <c r="E4011" s="7" t="n">
        <v>10</v>
      </c>
      <c r="F4011" s="7" t="s">
        <v>108</v>
      </c>
    </row>
    <row r="4012" spans="1:19">
      <c r="A4012" t="s">
        <v>4</v>
      </c>
      <c r="B4012" s="4" t="s">
        <v>5</v>
      </c>
      <c r="C4012" s="4" t="s">
        <v>11</v>
      </c>
    </row>
    <row r="4013" spans="1:19">
      <c r="A4013" t="n">
        <v>36109</v>
      </c>
      <c r="B4013" s="29" t="n">
        <v>16</v>
      </c>
      <c r="C4013" s="7" t="n">
        <v>0</v>
      </c>
    </row>
    <row r="4014" spans="1:19">
      <c r="A4014" t="s">
        <v>4</v>
      </c>
      <c r="B4014" s="4" t="s">
        <v>5</v>
      </c>
      <c r="C4014" s="4" t="s">
        <v>11</v>
      </c>
      <c r="D4014" s="4" t="s">
        <v>15</v>
      </c>
    </row>
    <row r="4015" spans="1:19">
      <c r="A4015" t="n">
        <v>36112</v>
      </c>
      <c r="B4015" s="39" t="n">
        <v>43</v>
      </c>
      <c r="C4015" s="7" t="n">
        <v>3</v>
      </c>
      <c r="D4015" s="7" t="n">
        <v>1</v>
      </c>
    </row>
    <row r="4016" spans="1:19">
      <c r="A4016" t="s">
        <v>4</v>
      </c>
      <c r="B4016" s="4" t="s">
        <v>5</v>
      </c>
      <c r="C4016" s="4" t="s">
        <v>7</v>
      </c>
    </row>
    <row r="4017" spans="1:22">
      <c r="A4017" t="n">
        <v>36119</v>
      </c>
      <c r="B4017" s="49" t="n">
        <v>116</v>
      </c>
      <c r="C4017" s="7" t="n">
        <v>0</v>
      </c>
    </row>
    <row r="4018" spans="1:22">
      <c r="A4018" t="s">
        <v>4</v>
      </c>
      <c r="B4018" s="4" t="s">
        <v>5</v>
      </c>
      <c r="C4018" s="4" t="s">
        <v>7</v>
      </c>
      <c r="D4018" s="4" t="s">
        <v>11</v>
      </c>
    </row>
    <row r="4019" spans="1:22">
      <c r="A4019" t="n">
        <v>36121</v>
      </c>
      <c r="B4019" s="49" t="n">
        <v>116</v>
      </c>
      <c r="C4019" s="7" t="n">
        <v>2</v>
      </c>
      <c r="D4019" s="7" t="n">
        <v>1</v>
      </c>
    </row>
    <row r="4020" spans="1:22">
      <c r="A4020" t="s">
        <v>4</v>
      </c>
      <c r="B4020" s="4" t="s">
        <v>5</v>
      </c>
      <c r="C4020" s="4" t="s">
        <v>7</v>
      </c>
      <c r="D4020" s="4" t="s">
        <v>15</v>
      </c>
    </row>
    <row r="4021" spans="1:22">
      <c r="A4021" t="n">
        <v>36125</v>
      </c>
      <c r="B4021" s="49" t="n">
        <v>116</v>
      </c>
      <c r="C4021" s="7" t="n">
        <v>5</v>
      </c>
      <c r="D4021" s="7" t="n">
        <v>1106247680</v>
      </c>
    </row>
    <row r="4022" spans="1:22">
      <c r="A4022" t="s">
        <v>4</v>
      </c>
      <c r="B4022" s="4" t="s">
        <v>5</v>
      </c>
      <c r="C4022" s="4" t="s">
        <v>7</v>
      </c>
      <c r="D4022" s="4" t="s">
        <v>11</v>
      </c>
    </row>
    <row r="4023" spans="1:22">
      <c r="A4023" t="n">
        <v>36131</v>
      </c>
      <c r="B4023" s="49" t="n">
        <v>116</v>
      </c>
      <c r="C4023" s="7" t="n">
        <v>6</v>
      </c>
      <c r="D4023" s="7" t="n">
        <v>1</v>
      </c>
    </row>
    <row r="4024" spans="1:22">
      <c r="A4024" t="s">
        <v>4</v>
      </c>
      <c r="B4024" s="4" t="s">
        <v>5</v>
      </c>
      <c r="C4024" s="4" t="s">
        <v>7</v>
      </c>
      <c r="D4024" s="4" t="s">
        <v>11</v>
      </c>
      <c r="E4024" s="4" t="s">
        <v>11</v>
      </c>
      <c r="F4024" s="4" t="s">
        <v>15</v>
      </c>
    </row>
    <row r="4025" spans="1:22">
      <c r="A4025" t="n">
        <v>36135</v>
      </c>
      <c r="B4025" s="76" t="n">
        <v>84</v>
      </c>
      <c r="C4025" s="7" t="n">
        <v>0</v>
      </c>
      <c r="D4025" s="7" t="n">
        <v>0</v>
      </c>
      <c r="E4025" s="7" t="n">
        <v>0</v>
      </c>
      <c r="F4025" s="7" t="n">
        <v>1045220557</v>
      </c>
    </row>
    <row r="4026" spans="1:22">
      <c r="A4026" t="s">
        <v>4</v>
      </c>
      <c r="B4026" s="4" t="s">
        <v>5</v>
      </c>
      <c r="C4026" s="4" t="s">
        <v>11</v>
      </c>
      <c r="D4026" s="4" t="s">
        <v>13</v>
      </c>
      <c r="E4026" s="4" t="s">
        <v>13</v>
      </c>
      <c r="F4026" s="4" t="s">
        <v>13</v>
      </c>
      <c r="G4026" s="4" t="s">
        <v>13</v>
      </c>
    </row>
    <row r="4027" spans="1:22">
      <c r="A4027" t="n">
        <v>36145</v>
      </c>
      <c r="B4027" s="36" t="n">
        <v>46</v>
      </c>
      <c r="C4027" s="7" t="n">
        <v>3</v>
      </c>
      <c r="D4027" s="7" t="n">
        <v>7.6100001335144</v>
      </c>
      <c r="E4027" s="7" t="n">
        <v>0</v>
      </c>
      <c r="F4027" s="7" t="n">
        <v>46.0200004577637</v>
      </c>
      <c r="G4027" s="7" t="n">
        <v>272.200012207031</v>
      </c>
    </row>
    <row r="4028" spans="1:22">
      <c r="A4028" t="s">
        <v>4</v>
      </c>
      <c r="B4028" s="4" t="s">
        <v>5</v>
      </c>
      <c r="C4028" s="4" t="s">
        <v>11</v>
      </c>
      <c r="D4028" s="4" t="s">
        <v>13</v>
      </c>
      <c r="E4028" s="4" t="s">
        <v>13</v>
      </c>
      <c r="F4028" s="4" t="s">
        <v>13</v>
      </c>
      <c r="G4028" s="4" t="s">
        <v>13</v>
      </c>
    </row>
    <row r="4029" spans="1:22">
      <c r="A4029" t="n">
        <v>36164</v>
      </c>
      <c r="B4029" s="36" t="n">
        <v>46</v>
      </c>
      <c r="C4029" s="7" t="n">
        <v>0</v>
      </c>
      <c r="D4029" s="7" t="n">
        <v>4.78000020980835</v>
      </c>
      <c r="E4029" s="7" t="n">
        <v>0</v>
      </c>
      <c r="F4029" s="7" t="n">
        <v>45.3300018310547</v>
      </c>
      <c r="G4029" s="7" t="n">
        <v>-102.300003051758</v>
      </c>
    </row>
    <row r="4030" spans="1:22">
      <c r="A4030" t="s">
        <v>4</v>
      </c>
      <c r="B4030" s="4" t="s">
        <v>5</v>
      </c>
      <c r="C4030" s="4" t="s">
        <v>11</v>
      </c>
      <c r="D4030" s="4" t="s">
        <v>7</v>
      </c>
      <c r="E4030" s="4" t="s">
        <v>8</v>
      </c>
      <c r="F4030" s="4" t="s">
        <v>13</v>
      </c>
      <c r="G4030" s="4" t="s">
        <v>13</v>
      </c>
      <c r="H4030" s="4" t="s">
        <v>13</v>
      </c>
    </row>
    <row r="4031" spans="1:22">
      <c r="A4031" t="n">
        <v>36183</v>
      </c>
      <c r="B4031" s="42" t="n">
        <v>48</v>
      </c>
      <c r="C4031" s="7" t="n">
        <v>0</v>
      </c>
      <c r="D4031" s="7" t="n">
        <v>0</v>
      </c>
      <c r="E4031" s="7" t="s">
        <v>275</v>
      </c>
      <c r="F4031" s="7" t="n">
        <v>0</v>
      </c>
      <c r="G4031" s="7" t="n">
        <v>1</v>
      </c>
      <c r="H4031" s="7" t="n">
        <v>0</v>
      </c>
    </row>
    <row r="4032" spans="1:22">
      <c r="A4032" t="s">
        <v>4</v>
      </c>
      <c r="B4032" s="4" t="s">
        <v>5</v>
      </c>
      <c r="C4032" s="4" t="s">
        <v>7</v>
      </c>
      <c r="D4032" s="4" t="s">
        <v>11</v>
      </c>
      <c r="E4032" s="4" t="s">
        <v>8</v>
      </c>
      <c r="F4032" s="4" t="s">
        <v>8</v>
      </c>
      <c r="G4032" s="4" t="s">
        <v>8</v>
      </c>
      <c r="H4032" s="4" t="s">
        <v>8</v>
      </c>
    </row>
    <row r="4033" spans="1:8">
      <c r="A4033" t="n">
        <v>36208</v>
      </c>
      <c r="B4033" s="38" t="n">
        <v>51</v>
      </c>
      <c r="C4033" s="7" t="n">
        <v>3</v>
      </c>
      <c r="D4033" s="7" t="n">
        <v>0</v>
      </c>
      <c r="E4033" s="7" t="s">
        <v>101</v>
      </c>
      <c r="F4033" s="7" t="s">
        <v>99</v>
      </c>
      <c r="G4033" s="7" t="s">
        <v>78</v>
      </c>
      <c r="H4033" s="7" t="s">
        <v>79</v>
      </c>
    </row>
    <row r="4034" spans="1:8">
      <c r="A4034" t="s">
        <v>4</v>
      </c>
      <c r="B4034" s="4" t="s">
        <v>5</v>
      </c>
      <c r="C4034" s="4" t="s">
        <v>7</v>
      </c>
      <c r="D4034" s="4" t="s">
        <v>11</v>
      </c>
      <c r="E4034" s="4" t="s">
        <v>8</v>
      </c>
      <c r="F4034" s="4" t="s">
        <v>8</v>
      </c>
      <c r="G4034" s="4" t="s">
        <v>8</v>
      </c>
      <c r="H4034" s="4" t="s">
        <v>8</v>
      </c>
    </row>
    <row r="4035" spans="1:8">
      <c r="A4035" t="n">
        <v>36229</v>
      </c>
      <c r="B4035" s="38" t="n">
        <v>51</v>
      </c>
      <c r="C4035" s="7" t="n">
        <v>3</v>
      </c>
      <c r="D4035" s="7" t="n">
        <v>3</v>
      </c>
      <c r="E4035" s="7" t="s">
        <v>101</v>
      </c>
      <c r="F4035" s="7" t="s">
        <v>232</v>
      </c>
      <c r="G4035" s="7" t="s">
        <v>78</v>
      </c>
      <c r="H4035" s="7" t="s">
        <v>79</v>
      </c>
    </row>
    <row r="4036" spans="1:8">
      <c r="A4036" t="s">
        <v>4</v>
      </c>
      <c r="B4036" s="4" t="s">
        <v>5</v>
      </c>
      <c r="C4036" s="4" t="s">
        <v>7</v>
      </c>
      <c r="D4036" s="4" t="s">
        <v>11</v>
      </c>
      <c r="E4036" s="4" t="s">
        <v>7</v>
      </c>
      <c r="F4036" s="4" t="s">
        <v>8</v>
      </c>
      <c r="G4036" s="4" t="s">
        <v>8</v>
      </c>
      <c r="H4036" s="4" t="s">
        <v>8</v>
      </c>
      <c r="I4036" s="4" t="s">
        <v>8</v>
      </c>
      <c r="J4036" s="4" t="s">
        <v>8</v>
      </c>
      <c r="K4036" s="4" t="s">
        <v>8</v>
      </c>
      <c r="L4036" s="4" t="s">
        <v>8</v>
      </c>
      <c r="M4036" s="4" t="s">
        <v>8</v>
      </c>
      <c r="N4036" s="4" t="s">
        <v>8</v>
      </c>
      <c r="O4036" s="4" t="s">
        <v>8</v>
      </c>
      <c r="P4036" s="4" t="s">
        <v>8</v>
      </c>
      <c r="Q4036" s="4" t="s">
        <v>8</v>
      </c>
      <c r="R4036" s="4" t="s">
        <v>8</v>
      </c>
      <c r="S4036" s="4" t="s">
        <v>8</v>
      </c>
      <c r="T4036" s="4" t="s">
        <v>8</v>
      </c>
      <c r="U4036" s="4" t="s">
        <v>8</v>
      </c>
    </row>
    <row r="4037" spans="1:8">
      <c r="A4037" t="n">
        <v>36250</v>
      </c>
      <c r="B4037" s="40" t="n">
        <v>36</v>
      </c>
      <c r="C4037" s="7" t="n">
        <v>8</v>
      </c>
      <c r="D4037" s="7" t="n">
        <v>0</v>
      </c>
      <c r="E4037" s="7" t="n">
        <v>0</v>
      </c>
      <c r="F4037" s="7" t="s">
        <v>389</v>
      </c>
      <c r="G4037" s="7" t="s">
        <v>390</v>
      </c>
      <c r="H4037" s="7" t="s">
        <v>16</v>
      </c>
      <c r="I4037" s="7" t="s">
        <v>16</v>
      </c>
      <c r="J4037" s="7" t="s">
        <v>16</v>
      </c>
      <c r="K4037" s="7" t="s">
        <v>16</v>
      </c>
      <c r="L4037" s="7" t="s">
        <v>16</v>
      </c>
      <c r="M4037" s="7" t="s">
        <v>16</v>
      </c>
      <c r="N4037" s="7" t="s">
        <v>16</v>
      </c>
      <c r="O4037" s="7" t="s">
        <v>16</v>
      </c>
      <c r="P4037" s="7" t="s">
        <v>16</v>
      </c>
      <c r="Q4037" s="7" t="s">
        <v>16</v>
      </c>
      <c r="R4037" s="7" t="s">
        <v>16</v>
      </c>
      <c r="S4037" s="7" t="s">
        <v>16</v>
      </c>
      <c r="T4037" s="7" t="s">
        <v>16</v>
      </c>
      <c r="U4037" s="7" t="s">
        <v>16</v>
      </c>
    </row>
    <row r="4038" spans="1:8">
      <c r="A4038" t="s">
        <v>4</v>
      </c>
      <c r="B4038" s="4" t="s">
        <v>5</v>
      </c>
      <c r="C4038" s="4" t="s">
        <v>7</v>
      </c>
      <c r="D4038" s="4" t="s">
        <v>11</v>
      </c>
      <c r="E4038" s="4" t="s">
        <v>7</v>
      </c>
      <c r="F4038" s="4" t="s">
        <v>8</v>
      </c>
      <c r="G4038" s="4" t="s">
        <v>8</v>
      </c>
      <c r="H4038" s="4" t="s">
        <v>8</v>
      </c>
      <c r="I4038" s="4" t="s">
        <v>8</v>
      </c>
      <c r="J4038" s="4" t="s">
        <v>8</v>
      </c>
      <c r="K4038" s="4" t="s">
        <v>8</v>
      </c>
      <c r="L4038" s="4" t="s">
        <v>8</v>
      </c>
      <c r="M4038" s="4" t="s">
        <v>8</v>
      </c>
      <c r="N4038" s="4" t="s">
        <v>8</v>
      </c>
      <c r="O4038" s="4" t="s">
        <v>8</v>
      </c>
      <c r="P4038" s="4" t="s">
        <v>8</v>
      </c>
      <c r="Q4038" s="4" t="s">
        <v>8</v>
      </c>
      <c r="R4038" s="4" t="s">
        <v>8</v>
      </c>
      <c r="S4038" s="4" t="s">
        <v>8</v>
      </c>
      <c r="T4038" s="4" t="s">
        <v>8</v>
      </c>
      <c r="U4038" s="4" t="s">
        <v>8</v>
      </c>
    </row>
    <row r="4039" spans="1:8">
      <c r="A4039" t="n">
        <v>36289</v>
      </c>
      <c r="B4039" s="40" t="n">
        <v>36</v>
      </c>
      <c r="C4039" s="7" t="n">
        <v>8</v>
      </c>
      <c r="D4039" s="7" t="n">
        <v>3</v>
      </c>
      <c r="E4039" s="7" t="n">
        <v>0</v>
      </c>
      <c r="F4039" s="7" t="s">
        <v>389</v>
      </c>
      <c r="G4039" s="7" t="s">
        <v>390</v>
      </c>
      <c r="H4039" s="7" t="s">
        <v>391</v>
      </c>
      <c r="I4039" s="7" t="s">
        <v>392</v>
      </c>
      <c r="J4039" s="7" t="s">
        <v>16</v>
      </c>
      <c r="K4039" s="7" t="s">
        <v>16</v>
      </c>
      <c r="L4039" s="7" t="s">
        <v>16</v>
      </c>
      <c r="M4039" s="7" t="s">
        <v>16</v>
      </c>
      <c r="N4039" s="7" t="s">
        <v>16</v>
      </c>
      <c r="O4039" s="7" t="s">
        <v>16</v>
      </c>
      <c r="P4039" s="7" t="s">
        <v>16</v>
      </c>
      <c r="Q4039" s="7" t="s">
        <v>16</v>
      </c>
      <c r="R4039" s="7" t="s">
        <v>16</v>
      </c>
      <c r="S4039" s="7" t="s">
        <v>16</v>
      </c>
      <c r="T4039" s="7" t="s">
        <v>16</v>
      </c>
      <c r="U4039" s="7" t="s">
        <v>16</v>
      </c>
    </row>
    <row r="4040" spans="1:8">
      <c r="A4040" t="s">
        <v>4</v>
      </c>
      <c r="B4040" s="4" t="s">
        <v>5</v>
      </c>
      <c r="C4040" s="4" t="s">
        <v>7</v>
      </c>
      <c r="D4040" s="4" t="s">
        <v>7</v>
      </c>
      <c r="E4040" s="4" t="s">
        <v>13</v>
      </c>
      <c r="F4040" s="4" t="s">
        <v>13</v>
      </c>
      <c r="G4040" s="4" t="s">
        <v>13</v>
      </c>
      <c r="H4040" s="4" t="s">
        <v>11</v>
      </c>
    </row>
    <row r="4041" spans="1:8">
      <c r="A4041" t="n">
        <v>36352</v>
      </c>
      <c r="B4041" s="51" t="n">
        <v>45</v>
      </c>
      <c r="C4041" s="7" t="n">
        <v>2</v>
      </c>
      <c r="D4041" s="7" t="n">
        <v>3</v>
      </c>
      <c r="E4041" s="7" t="n">
        <v>-3</v>
      </c>
      <c r="F4041" s="7" t="n">
        <v>2.89000010490417</v>
      </c>
      <c r="G4041" s="7" t="n">
        <v>41.3699989318848</v>
      </c>
      <c r="H4041" s="7" t="n">
        <v>0</v>
      </c>
    </row>
    <row r="4042" spans="1:8">
      <c r="A4042" t="s">
        <v>4</v>
      </c>
      <c r="B4042" s="4" t="s">
        <v>5</v>
      </c>
      <c r="C4042" s="4" t="s">
        <v>7</v>
      </c>
      <c r="D4042" s="4" t="s">
        <v>7</v>
      </c>
      <c r="E4042" s="4" t="s">
        <v>13</v>
      </c>
      <c r="F4042" s="4" t="s">
        <v>13</v>
      </c>
      <c r="G4042" s="4" t="s">
        <v>13</v>
      </c>
      <c r="H4042" s="4" t="s">
        <v>11</v>
      </c>
      <c r="I4042" s="4" t="s">
        <v>7</v>
      </c>
    </row>
    <row r="4043" spans="1:8">
      <c r="A4043" t="n">
        <v>36369</v>
      </c>
      <c r="B4043" s="51" t="n">
        <v>45</v>
      </c>
      <c r="C4043" s="7" t="n">
        <v>4</v>
      </c>
      <c r="D4043" s="7" t="n">
        <v>3</v>
      </c>
      <c r="E4043" s="7" t="n">
        <v>0.649999976158142</v>
      </c>
      <c r="F4043" s="7" t="n">
        <v>105.529998779297</v>
      </c>
      <c r="G4043" s="7" t="n">
        <v>0</v>
      </c>
      <c r="H4043" s="7" t="n">
        <v>0</v>
      </c>
      <c r="I4043" s="7" t="n">
        <v>0</v>
      </c>
    </row>
    <row r="4044" spans="1:8">
      <c r="A4044" t="s">
        <v>4</v>
      </c>
      <c r="B4044" s="4" t="s">
        <v>5</v>
      </c>
      <c r="C4044" s="4" t="s">
        <v>7</v>
      </c>
      <c r="D4044" s="4" t="s">
        <v>7</v>
      </c>
      <c r="E4044" s="4" t="s">
        <v>13</v>
      </c>
      <c r="F4044" s="4" t="s">
        <v>11</v>
      </c>
    </row>
    <row r="4045" spans="1:8">
      <c r="A4045" t="n">
        <v>36387</v>
      </c>
      <c r="B4045" s="51" t="n">
        <v>45</v>
      </c>
      <c r="C4045" s="7" t="n">
        <v>5</v>
      </c>
      <c r="D4045" s="7" t="n">
        <v>3</v>
      </c>
      <c r="E4045" s="7" t="n">
        <v>2.40000009536743</v>
      </c>
      <c r="F4045" s="7" t="n">
        <v>0</v>
      </c>
    </row>
    <row r="4046" spans="1:8">
      <c r="A4046" t="s">
        <v>4</v>
      </c>
      <c r="B4046" s="4" t="s">
        <v>5</v>
      </c>
      <c r="C4046" s="4" t="s">
        <v>7</v>
      </c>
      <c r="D4046" s="4" t="s">
        <v>7</v>
      </c>
      <c r="E4046" s="4" t="s">
        <v>13</v>
      </c>
      <c r="F4046" s="4" t="s">
        <v>11</v>
      </c>
    </row>
    <row r="4047" spans="1:8">
      <c r="A4047" t="n">
        <v>36396</v>
      </c>
      <c r="B4047" s="51" t="n">
        <v>45</v>
      </c>
      <c r="C4047" s="7" t="n">
        <v>11</v>
      </c>
      <c r="D4047" s="7" t="n">
        <v>3</v>
      </c>
      <c r="E4047" s="7" t="n">
        <v>33.4000015258789</v>
      </c>
      <c r="F4047" s="7" t="n">
        <v>0</v>
      </c>
    </row>
    <row r="4048" spans="1:8">
      <c r="A4048" t="s">
        <v>4</v>
      </c>
      <c r="B4048" s="4" t="s">
        <v>5</v>
      </c>
      <c r="C4048" s="4" t="s">
        <v>11</v>
      </c>
      <c r="D4048" s="4" t="s">
        <v>13</v>
      </c>
      <c r="E4048" s="4" t="s">
        <v>13</v>
      </c>
      <c r="F4048" s="4" t="s">
        <v>13</v>
      </c>
      <c r="G4048" s="4" t="s">
        <v>11</v>
      </c>
      <c r="H4048" s="4" t="s">
        <v>11</v>
      </c>
    </row>
    <row r="4049" spans="1:21">
      <c r="A4049" t="n">
        <v>36405</v>
      </c>
      <c r="B4049" s="37" t="n">
        <v>60</v>
      </c>
      <c r="C4049" s="7" t="n">
        <v>0</v>
      </c>
      <c r="D4049" s="7" t="n">
        <v>0</v>
      </c>
      <c r="E4049" s="7" t="n">
        <v>20</v>
      </c>
      <c r="F4049" s="7" t="n">
        <v>0</v>
      </c>
      <c r="G4049" s="7" t="n">
        <v>0</v>
      </c>
      <c r="H4049" s="7" t="n">
        <v>0</v>
      </c>
    </row>
    <row r="4050" spans="1:21">
      <c r="A4050" t="s">
        <v>4</v>
      </c>
      <c r="B4050" s="4" t="s">
        <v>5</v>
      </c>
      <c r="C4050" s="4" t="s">
        <v>7</v>
      </c>
      <c r="D4050" s="4" t="s">
        <v>7</v>
      </c>
      <c r="E4050" s="4" t="s">
        <v>7</v>
      </c>
      <c r="F4050" s="4" t="s">
        <v>13</v>
      </c>
      <c r="G4050" s="4" t="s">
        <v>13</v>
      </c>
      <c r="H4050" s="4" t="s">
        <v>13</v>
      </c>
      <c r="I4050" s="4" t="s">
        <v>13</v>
      </c>
      <c r="J4050" s="4" t="s">
        <v>13</v>
      </c>
    </row>
    <row r="4051" spans="1:21">
      <c r="A4051" t="n">
        <v>36424</v>
      </c>
      <c r="B4051" s="25" t="n">
        <v>76</v>
      </c>
      <c r="C4051" s="7" t="n">
        <v>0</v>
      </c>
      <c r="D4051" s="7" t="n">
        <v>3</v>
      </c>
      <c r="E4051" s="7" t="n">
        <v>2</v>
      </c>
      <c r="F4051" s="7" t="n">
        <v>1</v>
      </c>
      <c r="G4051" s="7" t="n">
        <v>1</v>
      </c>
      <c r="H4051" s="7" t="n">
        <v>1</v>
      </c>
      <c r="I4051" s="7" t="n">
        <v>1</v>
      </c>
      <c r="J4051" s="7" t="n">
        <v>2000</v>
      </c>
    </row>
    <row r="4052" spans="1:21">
      <c r="A4052" t="s">
        <v>4</v>
      </c>
      <c r="B4052" s="4" t="s">
        <v>5</v>
      </c>
      <c r="C4052" s="4" t="s">
        <v>7</v>
      </c>
      <c r="D4052" s="4" t="s">
        <v>7</v>
      </c>
      <c r="E4052" s="4" t="s">
        <v>7</v>
      </c>
      <c r="F4052" s="4" t="s">
        <v>13</v>
      </c>
      <c r="G4052" s="4" t="s">
        <v>13</v>
      </c>
      <c r="H4052" s="4" t="s">
        <v>13</v>
      </c>
      <c r="I4052" s="4" t="s">
        <v>13</v>
      </c>
      <c r="J4052" s="4" t="s">
        <v>13</v>
      </c>
    </row>
    <row r="4053" spans="1:21">
      <c r="A4053" t="n">
        <v>36448</v>
      </c>
      <c r="B4053" s="25" t="n">
        <v>76</v>
      </c>
      <c r="C4053" s="7" t="n">
        <v>0</v>
      </c>
      <c r="D4053" s="7" t="n">
        <v>0</v>
      </c>
      <c r="E4053" s="7" t="n">
        <v>2</v>
      </c>
      <c r="F4053" s="7" t="n">
        <v>64</v>
      </c>
      <c r="G4053" s="7" t="n">
        <v>0</v>
      </c>
      <c r="H4053" s="7" t="n">
        <v>2000</v>
      </c>
      <c r="I4053" s="7" t="n">
        <v>0</v>
      </c>
      <c r="J4053" s="7" t="n">
        <v>0</v>
      </c>
    </row>
    <row r="4054" spans="1:21">
      <c r="A4054" t="s">
        <v>4</v>
      </c>
      <c r="B4054" s="4" t="s">
        <v>5</v>
      </c>
      <c r="C4054" s="4" t="s">
        <v>7</v>
      </c>
      <c r="D4054" s="4" t="s">
        <v>7</v>
      </c>
    </row>
    <row r="4055" spans="1:21">
      <c r="A4055" t="n">
        <v>36472</v>
      </c>
      <c r="B4055" s="26" t="n">
        <v>77</v>
      </c>
      <c r="C4055" s="7" t="n">
        <v>0</v>
      </c>
      <c r="D4055" s="7" t="n">
        <v>3</v>
      </c>
    </row>
    <row r="4056" spans="1:21">
      <c r="A4056" t="s">
        <v>4</v>
      </c>
      <c r="B4056" s="4" t="s">
        <v>5</v>
      </c>
      <c r="C4056" s="4" t="s">
        <v>7</v>
      </c>
      <c r="D4056" s="4" t="s">
        <v>7</v>
      </c>
    </row>
    <row r="4057" spans="1:21">
      <c r="A4057" t="n">
        <v>36475</v>
      </c>
      <c r="B4057" s="26" t="n">
        <v>77</v>
      </c>
      <c r="C4057" s="7" t="n">
        <v>0</v>
      </c>
      <c r="D4057" s="7" t="n">
        <v>0</v>
      </c>
    </row>
    <row r="4058" spans="1:21">
      <c r="A4058" t="s">
        <v>4</v>
      </c>
      <c r="B4058" s="4" t="s">
        <v>5</v>
      </c>
      <c r="C4058" s="4" t="s">
        <v>11</v>
      </c>
    </row>
    <row r="4059" spans="1:21">
      <c r="A4059" t="n">
        <v>36478</v>
      </c>
      <c r="B4059" s="29" t="n">
        <v>16</v>
      </c>
      <c r="C4059" s="7" t="n">
        <v>2000</v>
      </c>
    </row>
    <row r="4060" spans="1:21">
      <c r="A4060" t="s">
        <v>4</v>
      </c>
      <c r="B4060" s="4" t="s">
        <v>5</v>
      </c>
      <c r="C4060" s="4" t="s">
        <v>7</v>
      </c>
      <c r="D4060" s="4" t="s">
        <v>11</v>
      </c>
      <c r="E4060" s="4" t="s">
        <v>15</v>
      </c>
      <c r="F4060" s="4" t="s">
        <v>11</v>
      </c>
      <c r="G4060" s="4" t="s">
        <v>15</v>
      </c>
      <c r="H4060" s="4" t="s">
        <v>7</v>
      </c>
    </row>
    <row r="4061" spans="1:21">
      <c r="A4061" t="n">
        <v>36481</v>
      </c>
      <c r="B4061" s="13" t="n">
        <v>49</v>
      </c>
      <c r="C4061" s="7" t="n">
        <v>0</v>
      </c>
      <c r="D4061" s="7" t="n">
        <v>514</v>
      </c>
      <c r="E4061" s="7" t="n">
        <v>1065353216</v>
      </c>
      <c r="F4061" s="7" t="n">
        <v>0</v>
      </c>
      <c r="G4061" s="7" t="n">
        <v>0</v>
      </c>
      <c r="H4061" s="7" t="n">
        <v>0</v>
      </c>
    </row>
    <row r="4062" spans="1:21">
      <c r="A4062" t="s">
        <v>4</v>
      </c>
      <c r="B4062" s="4" t="s">
        <v>5</v>
      </c>
      <c r="C4062" s="4" t="s">
        <v>7</v>
      </c>
      <c r="D4062" s="4" t="s">
        <v>7</v>
      </c>
      <c r="E4062" s="4" t="s">
        <v>7</v>
      </c>
      <c r="F4062" s="4" t="s">
        <v>13</v>
      </c>
      <c r="G4062" s="4" t="s">
        <v>13</v>
      </c>
      <c r="H4062" s="4" t="s">
        <v>13</v>
      </c>
      <c r="I4062" s="4" t="s">
        <v>13</v>
      </c>
      <c r="J4062" s="4" t="s">
        <v>13</v>
      </c>
    </row>
    <row r="4063" spans="1:21">
      <c r="A4063" t="n">
        <v>36496</v>
      </c>
      <c r="B4063" s="25" t="n">
        <v>76</v>
      </c>
      <c r="C4063" s="7" t="n">
        <v>0</v>
      </c>
      <c r="D4063" s="7" t="n">
        <v>3</v>
      </c>
      <c r="E4063" s="7" t="n">
        <v>1</v>
      </c>
      <c r="F4063" s="7" t="n">
        <v>1</v>
      </c>
      <c r="G4063" s="7" t="n">
        <v>1</v>
      </c>
      <c r="H4063" s="7" t="n">
        <v>1</v>
      </c>
      <c r="I4063" s="7" t="n">
        <v>0</v>
      </c>
      <c r="J4063" s="7" t="n">
        <v>2000</v>
      </c>
    </row>
    <row r="4064" spans="1:21">
      <c r="A4064" t="s">
        <v>4</v>
      </c>
      <c r="B4064" s="4" t="s">
        <v>5</v>
      </c>
      <c r="C4064" s="4" t="s">
        <v>7</v>
      </c>
      <c r="D4064" s="4" t="s">
        <v>7</v>
      </c>
      <c r="E4064" s="4" t="s">
        <v>7</v>
      </c>
      <c r="F4064" s="4" t="s">
        <v>13</v>
      </c>
      <c r="G4064" s="4" t="s">
        <v>13</v>
      </c>
      <c r="H4064" s="4" t="s">
        <v>13</v>
      </c>
      <c r="I4064" s="4" t="s">
        <v>13</v>
      </c>
      <c r="J4064" s="4" t="s">
        <v>13</v>
      </c>
    </row>
    <row r="4065" spans="1:10">
      <c r="A4065" t="n">
        <v>36520</v>
      </c>
      <c r="B4065" s="25" t="n">
        <v>76</v>
      </c>
      <c r="C4065" s="7" t="n">
        <v>0</v>
      </c>
      <c r="D4065" s="7" t="n">
        <v>0</v>
      </c>
      <c r="E4065" s="7" t="n">
        <v>1</v>
      </c>
      <c r="F4065" s="7" t="n">
        <v>128</v>
      </c>
      <c r="G4065" s="7" t="n">
        <v>0</v>
      </c>
      <c r="H4065" s="7" t="n">
        <v>2000</v>
      </c>
      <c r="I4065" s="7" t="n">
        <v>0</v>
      </c>
      <c r="J4065" s="7" t="n">
        <v>0</v>
      </c>
    </row>
    <row r="4066" spans="1:10">
      <c r="A4066" t="s">
        <v>4</v>
      </c>
      <c r="B4066" s="4" t="s">
        <v>5</v>
      </c>
      <c r="C4066" s="4" t="s">
        <v>7</v>
      </c>
      <c r="D4066" s="4" t="s">
        <v>7</v>
      </c>
    </row>
    <row r="4067" spans="1:10">
      <c r="A4067" t="n">
        <v>36544</v>
      </c>
      <c r="B4067" s="26" t="n">
        <v>77</v>
      </c>
      <c r="C4067" s="7" t="n">
        <v>0</v>
      </c>
      <c r="D4067" s="7" t="n">
        <v>3</v>
      </c>
    </row>
    <row r="4068" spans="1:10">
      <c r="A4068" t="s">
        <v>4</v>
      </c>
      <c r="B4068" s="4" t="s">
        <v>5</v>
      </c>
      <c r="C4068" s="4" t="s">
        <v>7</v>
      </c>
      <c r="D4068" s="4" t="s">
        <v>7</v>
      </c>
    </row>
    <row r="4069" spans="1:10">
      <c r="A4069" t="n">
        <v>36547</v>
      </c>
      <c r="B4069" s="26" t="n">
        <v>77</v>
      </c>
      <c r="C4069" s="7" t="n">
        <v>0</v>
      </c>
      <c r="D4069" s="7" t="n">
        <v>0</v>
      </c>
    </row>
    <row r="4070" spans="1:10">
      <c r="A4070" t="s">
        <v>4</v>
      </c>
      <c r="B4070" s="4" t="s">
        <v>5</v>
      </c>
      <c r="C4070" s="4" t="s">
        <v>7</v>
      </c>
      <c r="D4070" s="4" t="s">
        <v>7</v>
      </c>
      <c r="E4070" s="4" t="s">
        <v>13</v>
      </c>
      <c r="F4070" s="4" t="s">
        <v>13</v>
      </c>
      <c r="G4070" s="4" t="s">
        <v>13</v>
      </c>
      <c r="H4070" s="4" t="s">
        <v>11</v>
      </c>
    </row>
    <row r="4071" spans="1:10">
      <c r="A4071" t="n">
        <v>36550</v>
      </c>
      <c r="B4071" s="51" t="n">
        <v>45</v>
      </c>
      <c r="C4071" s="7" t="n">
        <v>2</v>
      </c>
      <c r="D4071" s="7" t="n">
        <v>3</v>
      </c>
      <c r="E4071" s="7" t="n">
        <v>5.23999977111816</v>
      </c>
      <c r="F4071" s="7" t="n">
        <v>2.15000009536743</v>
      </c>
      <c r="G4071" s="7" t="n">
        <v>43.8600006103516</v>
      </c>
      <c r="H4071" s="7" t="n">
        <v>8000</v>
      </c>
    </row>
    <row r="4072" spans="1:10">
      <c r="A4072" t="s">
        <v>4</v>
      </c>
      <c r="B4072" s="4" t="s">
        <v>5</v>
      </c>
      <c r="C4072" s="4" t="s">
        <v>7</v>
      </c>
      <c r="D4072" s="4" t="s">
        <v>7</v>
      </c>
      <c r="E4072" s="4" t="s">
        <v>13</v>
      </c>
      <c r="F4072" s="4" t="s">
        <v>13</v>
      </c>
      <c r="G4072" s="4" t="s">
        <v>13</v>
      </c>
      <c r="H4072" s="4" t="s">
        <v>11</v>
      </c>
      <c r="I4072" s="4" t="s">
        <v>7</v>
      </c>
    </row>
    <row r="4073" spans="1:10">
      <c r="A4073" t="n">
        <v>36567</v>
      </c>
      <c r="B4073" s="51" t="n">
        <v>45</v>
      </c>
      <c r="C4073" s="7" t="n">
        <v>4</v>
      </c>
      <c r="D4073" s="7" t="n">
        <v>3</v>
      </c>
      <c r="E4073" s="7" t="n">
        <v>12.4799995422363</v>
      </c>
      <c r="F4073" s="7" t="n">
        <v>144.25</v>
      </c>
      <c r="G4073" s="7" t="n">
        <v>0</v>
      </c>
      <c r="H4073" s="7" t="n">
        <v>8000</v>
      </c>
      <c r="I4073" s="7" t="n">
        <v>0</v>
      </c>
    </row>
    <row r="4074" spans="1:10">
      <c r="A4074" t="s">
        <v>4</v>
      </c>
      <c r="B4074" s="4" t="s">
        <v>5</v>
      </c>
      <c r="C4074" s="4" t="s">
        <v>7</v>
      </c>
      <c r="D4074" s="4" t="s">
        <v>7</v>
      </c>
      <c r="E4074" s="4" t="s">
        <v>13</v>
      </c>
      <c r="F4074" s="4" t="s">
        <v>11</v>
      </c>
    </row>
    <row r="4075" spans="1:10">
      <c r="A4075" t="n">
        <v>36585</v>
      </c>
      <c r="B4075" s="51" t="n">
        <v>45</v>
      </c>
      <c r="C4075" s="7" t="n">
        <v>5</v>
      </c>
      <c r="D4075" s="7" t="n">
        <v>3</v>
      </c>
      <c r="E4075" s="7" t="n">
        <v>2.40000009536743</v>
      </c>
      <c r="F4075" s="7" t="n">
        <v>8000</v>
      </c>
    </row>
    <row r="4076" spans="1:10">
      <c r="A4076" t="s">
        <v>4</v>
      </c>
      <c r="B4076" s="4" t="s">
        <v>5</v>
      </c>
      <c r="C4076" s="4" t="s">
        <v>7</v>
      </c>
      <c r="D4076" s="4" t="s">
        <v>7</v>
      </c>
      <c r="E4076" s="4" t="s">
        <v>13</v>
      </c>
      <c r="F4076" s="4" t="s">
        <v>11</v>
      </c>
    </row>
    <row r="4077" spans="1:10">
      <c r="A4077" t="n">
        <v>36594</v>
      </c>
      <c r="B4077" s="51" t="n">
        <v>45</v>
      </c>
      <c r="C4077" s="7" t="n">
        <v>11</v>
      </c>
      <c r="D4077" s="7" t="n">
        <v>3</v>
      </c>
      <c r="E4077" s="7" t="n">
        <v>33.4000015258789</v>
      </c>
      <c r="F4077" s="7" t="n">
        <v>8000</v>
      </c>
    </row>
    <row r="4078" spans="1:10">
      <c r="A4078" t="s">
        <v>4</v>
      </c>
      <c r="B4078" s="4" t="s">
        <v>5</v>
      </c>
      <c r="C4078" s="4" t="s">
        <v>7</v>
      </c>
      <c r="D4078" s="4" t="s">
        <v>11</v>
      </c>
      <c r="E4078" s="4" t="s">
        <v>13</v>
      </c>
    </row>
    <row r="4079" spans="1:10">
      <c r="A4079" t="n">
        <v>36603</v>
      </c>
      <c r="B4079" s="23" t="n">
        <v>58</v>
      </c>
      <c r="C4079" s="7" t="n">
        <v>100</v>
      </c>
      <c r="D4079" s="7" t="n">
        <v>1000</v>
      </c>
      <c r="E4079" s="7" t="n">
        <v>1</v>
      </c>
    </row>
    <row r="4080" spans="1:10">
      <c r="A4080" t="s">
        <v>4</v>
      </c>
      <c r="B4080" s="4" t="s">
        <v>5</v>
      </c>
      <c r="C4080" s="4" t="s">
        <v>7</v>
      </c>
      <c r="D4080" s="4" t="s">
        <v>11</v>
      </c>
    </row>
    <row r="4081" spans="1:10">
      <c r="A4081" t="n">
        <v>36611</v>
      </c>
      <c r="B4081" s="23" t="n">
        <v>58</v>
      </c>
      <c r="C4081" s="7" t="n">
        <v>255</v>
      </c>
      <c r="D4081" s="7" t="n">
        <v>0</v>
      </c>
    </row>
    <row r="4082" spans="1:10">
      <c r="A4082" t="s">
        <v>4</v>
      </c>
      <c r="B4082" s="4" t="s">
        <v>5</v>
      </c>
      <c r="C4082" s="4" t="s">
        <v>7</v>
      </c>
      <c r="D4082" s="4" t="s">
        <v>11</v>
      </c>
    </row>
    <row r="4083" spans="1:10">
      <c r="A4083" t="n">
        <v>36615</v>
      </c>
      <c r="B4083" s="51" t="n">
        <v>45</v>
      </c>
      <c r="C4083" s="7" t="n">
        <v>7</v>
      </c>
      <c r="D4083" s="7" t="n">
        <v>255</v>
      </c>
    </row>
    <row r="4084" spans="1:10">
      <c r="A4084" t="s">
        <v>4</v>
      </c>
      <c r="B4084" s="4" t="s">
        <v>5</v>
      </c>
      <c r="C4084" s="4" t="s">
        <v>7</v>
      </c>
      <c r="D4084" s="4" t="s">
        <v>11</v>
      </c>
      <c r="E4084" s="4" t="s">
        <v>13</v>
      </c>
    </row>
    <row r="4085" spans="1:10">
      <c r="A4085" t="n">
        <v>36619</v>
      </c>
      <c r="B4085" s="23" t="n">
        <v>58</v>
      </c>
      <c r="C4085" s="7" t="n">
        <v>101</v>
      </c>
      <c r="D4085" s="7" t="n">
        <v>800</v>
      </c>
      <c r="E4085" s="7" t="n">
        <v>1</v>
      </c>
    </row>
    <row r="4086" spans="1:10">
      <c r="A4086" t="s">
        <v>4</v>
      </c>
      <c r="B4086" s="4" t="s">
        <v>5</v>
      </c>
      <c r="C4086" s="4" t="s">
        <v>7</v>
      </c>
      <c r="D4086" s="4" t="s">
        <v>11</v>
      </c>
    </row>
    <row r="4087" spans="1:10">
      <c r="A4087" t="n">
        <v>36627</v>
      </c>
      <c r="B4087" s="23" t="n">
        <v>58</v>
      </c>
      <c r="C4087" s="7" t="n">
        <v>254</v>
      </c>
      <c r="D4087" s="7" t="n">
        <v>0</v>
      </c>
    </row>
    <row r="4088" spans="1:10">
      <c r="A4088" t="s">
        <v>4</v>
      </c>
      <c r="B4088" s="4" t="s">
        <v>5</v>
      </c>
      <c r="C4088" s="4" t="s">
        <v>7</v>
      </c>
      <c r="D4088" s="4" t="s">
        <v>7</v>
      </c>
      <c r="E4088" s="4" t="s">
        <v>13</v>
      </c>
      <c r="F4088" s="4" t="s">
        <v>13</v>
      </c>
      <c r="G4088" s="4" t="s">
        <v>13</v>
      </c>
      <c r="H4088" s="4" t="s">
        <v>11</v>
      </c>
    </row>
    <row r="4089" spans="1:10">
      <c r="A4089" t="n">
        <v>36631</v>
      </c>
      <c r="B4089" s="51" t="n">
        <v>45</v>
      </c>
      <c r="C4089" s="7" t="n">
        <v>2</v>
      </c>
      <c r="D4089" s="7" t="n">
        <v>3</v>
      </c>
      <c r="E4089" s="7" t="n">
        <v>4.26999998092651</v>
      </c>
      <c r="F4089" s="7" t="n">
        <v>2.44000005722046</v>
      </c>
      <c r="G4089" s="7" t="n">
        <v>44.1500015258789</v>
      </c>
      <c r="H4089" s="7" t="n">
        <v>0</v>
      </c>
    </row>
    <row r="4090" spans="1:10">
      <c r="A4090" t="s">
        <v>4</v>
      </c>
      <c r="B4090" s="4" t="s">
        <v>5</v>
      </c>
      <c r="C4090" s="4" t="s">
        <v>7</v>
      </c>
      <c r="D4090" s="4" t="s">
        <v>7</v>
      </c>
      <c r="E4090" s="4" t="s">
        <v>13</v>
      </c>
      <c r="F4090" s="4" t="s">
        <v>13</v>
      </c>
      <c r="G4090" s="4" t="s">
        <v>13</v>
      </c>
      <c r="H4090" s="4" t="s">
        <v>11</v>
      </c>
      <c r="I4090" s="4" t="s">
        <v>7</v>
      </c>
    </row>
    <row r="4091" spans="1:10">
      <c r="A4091" t="n">
        <v>36648</v>
      </c>
      <c r="B4091" s="51" t="n">
        <v>45</v>
      </c>
      <c r="C4091" s="7" t="n">
        <v>4</v>
      </c>
      <c r="D4091" s="7" t="n">
        <v>3</v>
      </c>
      <c r="E4091" s="7" t="n">
        <v>357.880004882813</v>
      </c>
      <c r="F4091" s="7" t="n">
        <v>321.779998779297</v>
      </c>
      <c r="G4091" s="7" t="n">
        <v>0</v>
      </c>
      <c r="H4091" s="7" t="n">
        <v>0</v>
      </c>
      <c r="I4091" s="7" t="n">
        <v>0</v>
      </c>
    </row>
    <row r="4092" spans="1:10">
      <c r="A4092" t="s">
        <v>4</v>
      </c>
      <c r="B4092" s="4" t="s">
        <v>5</v>
      </c>
      <c r="C4092" s="4" t="s">
        <v>7</v>
      </c>
      <c r="D4092" s="4" t="s">
        <v>7</v>
      </c>
      <c r="E4092" s="4" t="s">
        <v>13</v>
      </c>
      <c r="F4092" s="4" t="s">
        <v>11</v>
      </c>
    </row>
    <row r="4093" spans="1:10">
      <c r="A4093" t="n">
        <v>36666</v>
      </c>
      <c r="B4093" s="51" t="n">
        <v>45</v>
      </c>
      <c r="C4093" s="7" t="n">
        <v>5</v>
      </c>
      <c r="D4093" s="7" t="n">
        <v>3</v>
      </c>
      <c r="E4093" s="7" t="n">
        <v>2.40000009536743</v>
      </c>
      <c r="F4093" s="7" t="n">
        <v>0</v>
      </c>
    </row>
    <row r="4094" spans="1:10">
      <c r="A4094" t="s">
        <v>4</v>
      </c>
      <c r="B4094" s="4" t="s">
        <v>5</v>
      </c>
      <c r="C4094" s="4" t="s">
        <v>7</v>
      </c>
      <c r="D4094" s="4" t="s">
        <v>7</v>
      </c>
      <c r="E4094" s="4" t="s">
        <v>13</v>
      </c>
      <c r="F4094" s="4" t="s">
        <v>11</v>
      </c>
    </row>
    <row r="4095" spans="1:10">
      <c r="A4095" t="n">
        <v>36675</v>
      </c>
      <c r="B4095" s="51" t="n">
        <v>45</v>
      </c>
      <c r="C4095" s="7" t="n">
        <v>11</v>
      </c>
      <c r="D4095" s="7" t="n">
        <v>3</v>
      </c>
      <c r="E4095" s="7" t="n">
        <v>33.4000015258789</v>
      </c>
      <c r="F4095" s="7" t="n">
        <v>0</v>
      </c>
    </row>
    <row r="4096" spans="1:10">
      <c r="A4096" t="s">
        <v>4</v>
      </c>
      <c r="B4096" s="4" t="s">
        <v>5</v>
      </c>
      <c r="C4096" s="4" t="s">
        <v>7</v>
      </c>
      <c r="D4096" s="4" t="s">
        <v>7</v>
      </c>
      <c r="E4096" s="4" t="s">
        <v>13</v>
      </c>
      <c r="F4096" s="4" t="s">
        <v>13</v>
      </c>
      <c r="G4096" s="4" t="s">
        <v>13</v>
      </c>
      <c r="H4096" s="4" t="s">
        <v>11</v>
      </c>
    </row>
    <row r="4097" spans="1:9">
      <c r="A4097" t="n">
        <v>36684</v>
      </c>
      <c r="B4097" s="51" t="n">
        <v>45</v>
      </c>
      <c r="C4097" s="7" t="n">
        <v>2</v>
      </c>
      <c r="D4097" s="7" t="n">
        <v>3</v>
      </c>
      <c r="E4097" s="7" t="n">
        <v>4.76999998092651</v>
      </c>
      <c r="F4097" s="7" t="n">
        <v>1.45000004768372</v>
      </c>
      <c r="G4097" s="7" t="n">
        <v>45.2599983215332</v>
      </c>
      <c r="H4097" s="7" t="n">
        <v>8000</v>
      </c>
    </row>
    <row r="4098" spans="1:9">
      <c r="A4098" t="s">
        <v>4</v>
      </c>
      <c r="B4098" s="4" t="s">
        <v>5</v>
      </c>
      <c r="C4098" s="4" t="s">
        <v>7</v>
      </c>
      <c r="D4098" s="4" t="s">
        <v>7</v>
      </c>
      <c r="E4098" s="4" t="s">
        <v>13</v>
      </c>
      <c r="F4098" s="4" t="s">
        <v>13</v>
      </c>
      <c r="G4098" s="4" t="s">
        <v>13</v>
      </c>
      <c r="H4098" s="4" t="s">
        <v>11</v>
      </c>
      <c r="I4098" s="4" t="s">
        <v>7</v>
      </c>
    </row>
    <row r="4099" spans="1:9">
      <c r="A4099" t="n">
        <v>36701</v>
      </c>
      <c r="B4099" s="51" t="n">
        <v>45</v>
      </c>
      <c r="C4099" s="7" t="n">
        <v>4</v>
      </c>
      <c r="D4099" s="7" t="n">
        <v>3</v>
      </c>
      <c r="E4099" s="7" t="n">
        <v>358.660003662109</v>
      </c>
      <c r="F4099" s="7" t="n">
        <v>283.079986572266</v>
      </c>
      <c r="G4099" s="7" t="n">
        <v>0</v>
      </c>
      <c r="H4099" s="7" t="n">
        <v>8000</v>
      </c>
      <c r="I4099" s="7" t="n">
        <v>0</v>
      </c>
    </row>
    <row r="4100" spans="1:9">
      <c r="A4100" t="s">
        <v>4</v>
      </c>
      <c r="B4100" s="4" t="s">
        <v>5</v>
      </c>
      <c r="C4100" s="4" t="s">
        <v>7</v>
      </c>
      <c r="D4100" s="4" t="s">
        <v>7</v>
      </c>
      <c r="E4100" s="4" t="s">
        <v>13</v>
      </c>
      <c r="F4100" s="4" t="s">
        <v>11</v>
      </c>
    </row>
    <row r="4101" spans="1:9">
      <c r="A4101" t="n">
        <v>36719</v>
      </c>
      <c r="B4101" s="51" t="n">
        <v>45</v>
      </c>
      <c r="C4101" s="7" t="n">
        <v>5</v>
      </c>
      <c r="D4101" s="7" t="n">
        <v>3</v>
      </c>
      <c r="E4101" s="7" t="n">
        <v>2</v>
      </c>
      <c r="F4101" s="7" t="n">
        <v>8000</v>
      </c>
    </row>
    <row r="4102" spans="1:9">
      <c r="A4102" t="s">
        <v>4</v>
      </c>
      <c r="B4102" s="4" t="s">
        <v>5</v>
      </c>
      <c r="C4102" s="4" t="s">
        <v>7</v>
      </c>
      <c r="D4102" s="4" t="s">
        <v>11</v>
      </c>
    </row>
    <row r="4103" spans="1:9">
      <c r="A4103" t="n">
        <v>36728</v>
      </c>
      <c r="B4103" s="23" t="n">
        <v>58</v>
      </c>
      <c r="C4103" s="7" t="n">
        <v>255</v>
      </c>
      <c r="D4103" s="7" t="n">
        <v>0</v>
      </c>
    </row>
    <row r="4104" spans="1:9">
      <c r="A4104" t="s">
        <v>4</v>
      </c>
      <c r="B4104" s="4" t="s">
        <v>5</v>
      </c>
      <c r="C4104" s="4" t="s">
        <v>7</v>
      </c>
      <c r="D4104" s="4" t="s">
        <v>11</v>
      </c>
    </row>
    <row r="4105" spans="1:9">
      <c r="A4105" t="n">
        <v>36732</v>
      </c>
      <c r="B4105" s="51" t="n">
        <v>45</v>
      </c>
      <c r="C4105" s="7" t="n">
        <v>7</v>
      </c>
      <c r="D4105" s="7" t="n">
        <v>255</v>
      </c>
    </row>
    <row r="4106" spans="1:9">
      <c r="A4106" t="s">
        <v>4</v>
      </c>
      <c r="B4106" s="4" t="s">
        <v>5</v>
      </c>
      <c r="C4106" s="4" t="s">
        <v>7</v>
      </c>
      <c r="D4106" s="4" t="s">
        <v>11</v>
      </c>
      <c r="E4106" s="4" t="s">
        <v>13</v>
      </c>
    </row>
    <row r="4107" spans="1:9">
      <c r="A4107" t="n">
        <v>36736</v>
      </c>
      <c r="B4107" s="23" t="n">
        <v>58</v>
      </c>
      <c r="C4107" s="7" t="n">
        <v>101</v>
      </c>
      <c r="D4107" s="7" t="n">
        <v>800</v>
      </c>
      <c r="E4107" s="7" t="n">
        <v>1</v>
      </c>
    </row>
    <row r="4108" spans="1:9">
      <c r="A4108" t="s">
        <v>4</v>
      </c>
      <c r="B4108" s="4" t="s">
        <v>5</v>
      </c>
      <c r="C4108" s="4" t="s">
        <v>7</v>
      </c>
      <c r="D4108" s="4" t="s">
        <v>11</v>
      </c>
    </row>
    <row r="4109" spans="1:9">
      <c r="A4109" t="n">
        <v>36744</v>
      </c>
      <c r="B4109" s="23" t="n">
        <v>58</v>
      </c>
      <c r="C4109" s="7" t="n">
        <v>254</v>
      </c>
      <c r="D4109" s="7" t="n">
        <v>0</v>
      </c>
    </row>
    <row r="4110" spans="1:9">
      <c r="A4110" t="s">
        <v>4</v>
      </c>
      <c r="B4110" s="4" t="s">
        <v>5</v>
      </c>
      <c r="C4110" s="4" t="s">
        <v>7</v>
      </c>
      <c r="D4110" s="4" t="s">
        <v>7</v>
      </c>
      <c r="E4110" s="4" t="s">
        <v>13</v>
      </c>
      <c r="F4110" s="4" t="s">
        <v>13</v>
      </c>
      <c r="G4110" s="4" t="s">
        <v>13</v>
      </c>
      <c r="H4110" s="4" t="s">
        <v>11</v>
      </c>
    </row>
    <row r="4111" spans="1:9">
      <c r="A4111" t="n">
        <v>36748</v>
      </c>
      <c r="B4111" s="51" t="n">
        <v>45</v>
      </c>
      <c r="C4111" s="7" t="n">
        <v>2</v>
      </c>
      <c r="D4111" s="7" t="n">
        <v>3</v>
      </c>
      <c r="E4111" s="7" t="n">
        <v>4.73999977111816</v>
      </c>
      <c r="F4111" s="7" t="n">
        <v>1.37000000476837</v>
      </c>
      <c r="G4111" s="7" t="n">
        <v>45.310001373291</v>
      </c>
      <c r="H4111" s="7" t="n">
        <v>0</v>
      </c>
    </row>
    <row r="4112" spans="1:9">
      <c r="A4112" t="s">
        <v>4</v>
      </c>
      <c r="B4112" s="4" t="s">
        <v>5</v>
      </c>
      <c r="C4112" s="4" t="s">
        <v>7</v>
      </c>
      <c r="D4112" s="4" t="s">
        <v>7</v>
      </c>
      <c r="E4112" s="4" t="s">
        <v>13</v>
      </c>
      <c r="F4112" s="4" t="s">
        <v>13</v>
      </c>
      <c r="G4112" s="4" t="s">
        <v>13</v>
      </c>
      <c r="H4112" s="4" t="s">
        <v>11</v>
      </c>
      <c r="I4112" s="4" t="s">
        <v>7</v>
      </c>
    </row>
    <row r="4113" spans="1:9">
      <c r="A4113" t="n">
        <v>36765</v>
      </c>
      <c r="B4113" s="51" t="n">
        <v>45</v>
      </c>
      <c r="C4113" s="7" t="n">
        <v>4</v>
      </c>
      <c r="D4113" s="7" t="n">
        <v>3</v>
      </c>
      <c r="E4113" s="7" t="n">
        <v>4.3899998664856</v>
      </c>
      <c r="F4113" s="7" t="n">
        <v>107.779998779297</v>
      </c>
      <c r="G4113" s="7" t="n">
        <v>0</v>
      </c>
      <c r="H4113" s="7" t="n">
        <v>0</v>
      </c>
      <c r="I4113" s="7" t="n">
        <v>0</v>
      </c>
    </row>
    <row r="4114" spans="1:9">
      <c r="A4114" t="s">
        <v>4</v>
      </c>
      <c r="B4114" s="4" t="s">
        <v>5</v>
      </c>
      <c r="C4114" s="4" t="s">
        <v>7</v>
      </c>
      <c r="D4114" s="4" t="s">
        <v>7</v>
      </c>
      <c r="E4114" s="4" t="s">
        <v>13</v>
      </c>
      <c r="F4114" s="4" t="s">
        <v>11</v>
      </c>
    </row>
    <row r="4115" spans="1:9">
      <c r="A4115" t="n">
        <v>36783</v>
      </c>
      <c r="B4115" s="51" t="n">
        <v>45</v>
      </c>
      <c r="C4115" s="7" t="n">
        <v>5</v>
      </c>
      <c r="D4115" s="7" t="n">
        <v>3</v>
      </c>
      <c r="E4115" s="7" t="n">
        <v>2</v>
      </c>
      <c r="F4115" s="7" t="n">
        <v>0</v>
      </c>
    </row>
    <row r="4116" spans="1:9">
      <c r="A4116" t="s">
        <v>4</v>
      </c>
      <c r="B4116" s="4" t="s">
        <v>5</v>
      </c>
      <c r="C4116" s="4" t="s">
        <v>7</v>
      </c>
      <c r="D4116" s="4" t="s">
        <v>7</v>
      </c>
      <c r="E4116" s="4" t="s">
        <v>13</v>
      </c>
      <c r="F4116" s="4" t="s">
        <v>11</v>
      </c>
    </row>
    <row r="4117" spans="1:9">
      <c r="A4117" t="n">
        <v>36792</v>
      </c>
      <c r="B4117" s="51" t="n">
        <v>45</v>
      </c>
      <c r="C4117" s="7" t="n">
        <v>11</v>
      </c>
      <c r="D4117" s="7" t="n">
        <v>3</v>
      </c>
      <c r="E4117" s="7" t="n">
        <v>33.4000015258789</v>
      </c>
      <c r="F4117" s="7" t="n">
        <v>0</v>
      </c>
    </row>
    <row r="4118" spans="1:9">
      <c r="A4118" t="s">
        <v>4</v>
      </c>
      <c r="B4118" s="4" t="s">
        <v>5</v>
      </c>
      <c r="C4118" s="4" t="s">
        <v>11</v>
      </c>
      <c r="D4118" s="4" t="s">
        <v>15</v>
      </c>
    </row>
    <row r="4119" spans="1:9">
      <c r="A4119" t="n">
        <v>36801</v>
      </c>
      <c r="B4119" s="63" t="n">
        <v>44</v>
      </c>
      <c r="C4119" s="7" t="n">
        <v>3</v>
      </c>
      <c r="D4119" s="7" t="n">
        <v>1</v>
      </c>
    </row>
    <row r="4120" spans="1:9">
      <c r="A4120" t="s">
        <v>4</v>
      </c>
      <c r="B4120" s="4" t="s">
        <v>5</v>
      </c>
      <c r="C4120" s="4" t="s">
        <v>7</v>
      </c>
      <c r="D4120" s="4" t="s">
        <v>11</v>
      </c>
    </row>
    <row r="4121" spans="1:9">
      <c r="A4121" t="n">
        <v>36808</v>
      </c>
      <c r="B4121" s="23" t="n">
        <v>58</v>
      </c>
      <c r="C4121" s="7" t="n">
        <v>255</v>
      </c>
      <c r="D4121" s="7" t="n">
        <v>0</v>
      </c>
    </row>
    <row r="4122" spans="1:9">
      <c r="A4122" t="s">
        <v>4</v>
      </c>
      <c r="B4122" s="4" t="s">
        <v>5</v>
      </c>
      <c r="C4122" s="4" t="s">
        <v>8</v>
      </c>
      <c r="D4122" s="4" t="s">
        <v>8</v>
      </c>
    </row>
    <row r="4123" spans="1:9">
      <c r="A4123" t="n">
        <v>36812</v>
      </c>
      <c r="B4123" s="52" t="n">
        <v>70</v>
      </c>
      <c r="C4123" s="7" t="s">
        <v>279</v>
      </c>
      <c r="D4123" s="7" t="s">
        <v>280</v>
      </c>
    </row>
    <row r="4124" spans="1:9">
      <c r="A4124" t="s">
        <v>4</v>
      </c>
      <c r="B4124" s="4" t="s">
        <v>5</v>
      </c>
      <c r="C4124" s="4" t="s">
        <v>11</v>
      </c>
    </row>
    <row r="4125" spans="1:9">
      <c r="A4125" t="n">
        <v>36829</v>
      </c>
      <c r="B4125" s="29" t="n">
        <v>16</v>
      </c>
      <c r="C4125" s="7" t="n">
        <v>1000</v>
      </c>
    </row>
    <row r="4126" spans="1:9">
      <c r="A4126" t="s">
        <v>4</v>
      </c>
      <c r="B4126" s="4" t="s">
        <v>5</v>
      </c>
      <c r="C4126" s="4" t="s">
        <v>7</v>
      </c>
      <c r="D4126" s="4" t="s">
        <v>11</v>
      </c>
      <c r="E4126" s="4" t="s">
        <v>11</v>
      </c>
      <c r="F4126" s="4" t="s">
        <v>7</v>
      </c>
    </row>
    <row r="4127" spans="1:9">
      <c r="A4127" t="n">
        <v>36832</v>
      </c>
      <c r="B4127" s="31" t="n">
        <v>25</v>
      </c>
      <c r="C4127" s="7" t="n">
        <v>1</v>
      </c>
      <c r="D4127" s="7" t="n">
        <v>100</v>
      </c>
      <c r="E4127" s="7" t="n">
        <v>500</v>
      </c>
      <c r="F4127" s="7" t="n">
        <v>5</v>
      </c>
    </row>
    <row r="4128" spans="1:9">
      <c r="A4128" t="s">
        <v>4</v>
      </c>
      <c r="B4128" s="4" t="s">
        <v>5</v>
      </c>
      <c r="C4128" s="4" t="s">
        <v>8</v>
      </c>
      <c r="D4128" s="4" t="s">
        <v>11</v>
      </c>
    </row>
    <row r="4129" spans="1:9">
      <c r="A4129" t="n">
        <v>36839</v>
      </c>
      <c r="B4129" s="67" t="n">
        <v>29</v>
      </c>
      <c r="C4129" s="7" t="s">
        <v>281</v>
      </c>
      <c r="D4129" s="7" t="n">
        <v>65533</v>
      </c>
    </row>
    <row r="4130" spans="1:9">
      <c r="A4130" t="s">
        <v>4</v>
      </c>
      <c r="B4130" s="4" t="s">
        <v>5</v>
      </c>
      <c r="C4130" s="4" t="s">
        <v>7</v>
      </c>
      <c r="D4130" s="4" t="s">
        <v>11</v>
      </c>
      <c r="E4130" s="4" t="s">
        <v>8</v>
      </c>
    </row>
    <row r="4131" spans="1:9">
      <c r="A4131" t="n">
        <v>36848</v>
      </c>
      <c r="B4131" s="38" t="n">
        <v>51</v>
      </c>
      <c r="C4131" s="7" t="n">
        <v>4</v>
      </c>
      <c r="D4131" s="7" t="n">
        <v>3</v>
      </c>
      <c r="E4131" s="7" t="s">
        <v>288</v>
      </c>
    </row>
    <row r="4132" spans="1:9">
      <c r="A4132" t="s">
        <v>4</v>
      </c>
      <c r="B4132" s="4" t="s">
        <v>5</v>
      </c>
      <c r="C4132" s="4" t="s">
        <v>11</v>
      </c>
    </row>
    <row r="4133" spans="1:9">
      <c r="A4133" t="n">
        <v>36861</v>
      </c>
      <c r="B4133" s="29" t="n">
        <v>16</v>
      </c>
      <c r="C4133" s="7" t="n">
        <v>0</v>
      </c>
    </row>
    <row r="4134" spans="1:9">
      <c r="A4134" t="s">
        <v>4</v>
      </c>
      <c r="B4134" s="4" t="s">
        <v>5</v>
      </c>
      <c r="C4134" s="4" t="s">
        <v>11</v>
      </c>
      <c r="D4134" s="4" t="s">
        <v>7</v>
      </c>
      <c r="E4134" s="4" t="s">
        <v>15</v>
      </c>
      <c r="F4134" s="4" t="s">
        <v>55</v>
      </c>
      <c r="G4134" s="4" t="s">
        <v>7</v>
      </c>
      <c r="H4134" s="4" t="s">
        <v>7</v>
      </c>
    </row>
    <row r="4135" spans="1:9">
      <c r="A4135" t="n">
        <v>36864</v>
      </c>
      <c r="B4135" s="55" t="n">
        <v>26</v>
      </c>
      <c r="C4135" s="7" t="n">
        <v>3</v>
      </c>
      <c r="D4135" s="7" t="n">
        <v>17</v>
      </c>
      <c r="E4135" s="7" t="n">
        <v>63820</v>
      </c>
      <c r="F4135" s="7" t="s">
        <v>393</v>
      </c>
      <c r="G4135" s="7" t="n">
        <v>2</v>
      </c>
      <c r="H4135" s="7" t="n">
        <v>0</v>
      </c>
    </row>
    <row r="4136" spans="1:9">
      <c r="A4136" t="s">
        <v>4</v>
      </c>
      <c r="B4136" s="4" t="s">
        <v>5</v>
      </c>
    </row>
    <row r="4137" spans="1:9">
      <c r="A4137" t="n">
        <v>36922</v>
      </c>
      <c r="B4137" s="27" t="n">
        <v>28</v>
      </c>
    </row>
    <row r="4138" spans="1:9">
      <c r="A4138" t="s">
        <v>4</v>
      </c>
      <c r="B4138" s="4" t="s">
        <v>5</v>
      </c>
      <c r="C4138" s="4" t="s">
        <v>11</v>
      </c>
      <c r="D4138" s="4" t="s">
        <v>7</v>
      </c>
    </row>
    <row r="4139" spans="1:9">
      <c r="A4139" t="n">
        <v>36923</v>
      </c>
      <c r="B4139" s="68" t="n">
        <v>89</v>
      </c>
      <c r="C4139" s="7" t="n">
        <v>65533</v>
      </c>
      <c r="D4139" s="7" t="n">
        <v>1</v>
      </c>
    </row>
    <row r="4140" spans="1:9">
      <c r="A4140" t="s">
        <v>4</v>
      </c>
      <c r="B4140" s="4" t="s">
        <v>5</v>
      </c>
      <c r="C4140" s="4" t="s">
        <v>7</v>
      </c>
      <c r="D4140" s="4" t="s">
        <v>11</v>
      </c>
      <c r="E4140" s="4" t="s">
        <v>11</v>
      </c>
      <c r="F4140" s="4" t="s">
        <v>7</v>
      </c>
    </row>
    <row r="4141" spans="1:9">
      <c r="A4141" t="n">
        <v>36927</v>
      </c>
      <c r="B4141" s="31" t="n">
        <v>25</v>
      </c>
      <c r="C4141" s="7" t="n">
        <v>1</v>
      </c>
      <c r="D4141" s="7" t="n">
        <v>65535</v>
      </c>
      <c r="E4141" s="7" t="n">
        <v>65535</v>
      </c>
      <c r="F4141" s="7" t="n">
        <v>0</v>
      </c>
    </row>
    <row r="4142" spans="1:9">
      <c r="A4142" t="s">
        <v>4</v>
      </c>
      <c r="B4142" s="4" t="s">
        <v>5</v>
      </c>
      <c r="C4142" s="4" t="s">
        <v>8</v>
      </c>
      <c r="D4142" s="4" t="s">
        <v>11</v>
      </c>
    </row>
    <row r="4143" spans="1:9">
      <c r="A4143" t="n">
        <v>36934</v>
      </c>
      <c r="B4143" s="67" t="n">
        <v>29</v>
      </c>
      <c r="C4143" s="7" t="s">
        <v>16</v>
      </c>
      <c r="D4143" s="7" t="n">
        <v>65533</v>
      </c>
    </row>
    <row r="4144" spans="1:9">
      <c r="A4144" t="s">
        <v>4</v>
      </c>
      <c r="B4144" s="4" t="s">
        <v>5</v>
      </c>
      <c r="C4144" s="4" t="s">
        <v>11</v>
      </c>
      <c r="D4144" s="4" t="s">
        <v>7</v>
      </c>
      <c r="E4144" s="4" t="s">
        <v>13</v>
      </c>
      <c r="F4144" s="4" t="s">
        <v>11</v>
      </c>
    </row>
    <row r="4145" spans="1:8">
      <c r="A4145" t="n">
        <v>36938</v>
      </c>
      <c r="B4145" s="56" t="n">
        <v>59</v>
      </c>
      <c r="C4145" s="7" t="n">
        <v>0</v>
      </c>
      <c r="D4145" s="7" t="n">
        <v>13</v>
      </c>
      <c r="E4145" s="7" t="n">
        <v>0.150000005960464</v>
      </c>
      <c r="F4145" s="7" t="n">
        <v>0</v>
      </c>
    </row>
    <row r="4146" spans="1:8">
      <c r="A4146" t="s">
        <v>4</v>
      </c>
      <c r="B4146" s="4" t="s">
        <v>5</v>
      </c>
      <c r="C4146" s="4" t="s">
        <v>11</v>
      </c>
    </row>
    <row r="4147" spans="1:8">
      <c r="A4147" t="n">
        <v>36948</v>
      </c>
      <c r="B4147" s="29" t="n">
        <v>16</v>
      </c>
      <c r="C4147" s="7" t="n">
        <v>1000</v>
      </c>
    </row>
    <row r="4148" spans="1:8">
      <c r="A4148" t="s">
        <v>4</v>
      </c>
      <c r="B4148" s="4" t="s">
        <v>5</v>
      </c>
      <c r="C4148" s="4" t="s">
        <v>11</v>
      </c>
      <c r="D4148" s="4" t="s">
        <v>13</v>
      </c>
      <c r="E4148" s="4" t="s">
        <v>13</v>
      </c>
      <c r="F4148" s="4" t="s">
        <v>13</v>
      </c>
      <c r="G4148" s="4" t="s">
        <v>11</v>
      </c>
      <c r="H4148" s="4" t="s">
        <v>11</v>
      </c>
    </row>
    <row r="4149" spans="1:8">
      <c r="A4149" t="n">
        <v>36951</v>
      </c>
      <c r="B4149" s="37" t="n">
        <v>60</v>
      </c>
      <c r="C4149" s="7" t="n">
        <v>0</v>
      </c>
      <c r="D4149" s="7" t="n">
        <v>0</v>
      </c>
      <c r="E4149" s="7" t="n">
        <v>0</v>
      </c>
      <c r="F4149" s="7" t="n">
        <v>0</v>
      </c>
      <c r="G4149" s="7" t="n">
        <v>1000</v>
      </c>
      <c r="H4149" s="7" t="n">
        <v>0</v>
      </c>
    </row>
    <row r="4150" spans="1:8">
      <c r="A4150" t="s">
        <v>4</v>
      </c>
      <c r="B4150" s="4" t="s">
        <v>5</v>
      </c>
      <c r="C4150" s="4" t="s">
        <v>11</v>
      </c>
      <c r="D4150" s="4" t="s">
        <v>11</v>
      </c>
      <c r="E4150" s="4" t="s">
        <v>11</v>
      </c>
    </row>
    <row r="4151" spans="1:8">
      <c r="A4151" t="n">
        <v>36970</v>
      </c>
      <c r="B4151" s="72" t="n">
        <v>61</v>
      </c>
      <c r="C4151" s="7" t="n">
        <v>0</v>
      </c>
      <c r="D4151" s="7" t="n">
        <v>3</v>
      </c>
      <c r="E4151" s="7" t="n">
        <v>1000</v>
      </c>
    </row>
    <row r="4152" spans="1:8">
      <c r="A4152" t="s">
        <v>4</v>
      </c>
      <c r="B4152" s="4" t="s">
        <v>5</v>
      </c>
      <c r="C4152" s="4" t="s">
        <v>11</v>
      </c>
      <c r="D4152" s="4" t="s">
        <v>11</v>
      </c>
      <c r="E4152" s="4" t="s">
        <v>11</v>
      </c>
    </row>
    <row r="4153" spans="1:8">
      <c r="A4153" t="n">
        <v>36977</v>
      </c>
      <c r="B4153" s="72" t="n">
        <v>61</v>
      </c>
      <c r="C4153" s="7" t="n">
        <v>3</v>
      </c>
      <c r="D4153" s="7" t="n">
        <v>0</v>
      </c>
      <c r="E4153" s="7" t="n">
        <v>1000</v>
      </c>
    </row>
    <row r="4154" spans="1:8">
      <c r="A4154" t="s">
        <v>4</v>
      </c>
      <c r="B4154" s="4" t="s">
        <v>5</v>
      </c>
      <c r="C4154" s="4" t="s">
        <v>11</v>
      </c>
      <c r="D4154" s="4" t="s">
        <v>13</v>
      </c>
      <c r="E4154" s="4" t="s">
        <v>13</v>
      </c>
      <c r="F4154" s="4" t="s">
        <v>7</v>
      </c>
    </row>
    <row r="4155" spans="1:8">
      <c r="A4155" t="n">
        <v>36984</v>
      </c>
      <c r="B4155" s="65" t="n">
        <v>52</v>
      </c>
      <c r="C4155" s="7" t="n">
        <v>0</v>
      </c>
      <c r="D4155" s="7" t="n">
        <v>332.399993896484</v>
      </c>
      <c r="E4155" s="7" t="n">
        <v>5</v>
      </c>
      <c r="F4155" s="7" t="n">
        <v>0</v>
      </c>
    </row>
    <row r="4156" spans="1:8">
      <c r="A4156" t="s">
        <v>4</v>
      </c>
      <c r="B4156" s="4" t="s">
        <v>5</v>
      </c>
      <c r="C4156" s="4" t="s">
        <v>11</v>
      </c>
    </row>
    <row r="4157" spans="1:8">
      <c r="A4157" t="n">
        <v>36996</v>
      </c>
      <c r="B4157" s="66" t="n">
        <v>54</v>
      </c>
      <c r="C4157" s="7" t="n">
        <v>0</v>
      </c>
    </row>
    <row r="4158" spans="1:8">
      <c r="A4158" t="s">
        <v>4</v>
      </c>
      <c r="B4158" s="4" t="s">
        <v>5</v>
      </c>
      <c r="C4158" s="4" t="s">
        <v>7</v>
      </c>
      <c r="D4158" s="4" t="s">
        <v>11</v>
      </c>
      <c r="E4158" s="4" t="s">
        <v>13</v>
      </c>
    </row>
    <row r="4159" spans="1:8">
      <c r="A4159" t="n">
        <v>36999</v>
      </c>
      <c r="B4159" s="23" t="n">
        <v>58</v>
      </c>
      <c r="C4159" s="7" t="n">
        <v>101</v>
      </c>
      <c r="D4159" s="7" t="n">
        <v>500</v>
      </c>
      <c r="E4159" s="7" t="n">
        <v>1</v>
      </c>
    </row>
    <row r="4160" spans="1:8">
      <c r="A4160" t="s">
        <v>4</v>
      </c>
      <c r="B4160" s="4" t="s">
        <v>5</v>
      </c>
      <c r="C4160" s="4" t="s">
        <v>7</v>
      </c>
      <c r="D4160" s="4" t="s">
        <v>11</v>
      </c>
    </row>
    <row r="4161" spans="1:8">
      <c r="A4161" t="n">
        <v>37007</v>
      </c>
      <c r="B4161" s="23" t="n">
        <v>58</v>
      </c>
      <c r="C4161" s="7" t="n">
        <v>254</v>
      </c>
      <c r="D4161" s="7" t="n">
        <v>0</v>
      </c>
    </row>
    <row r="4162" spans="1:8">
      <c r="A4162" t="s">
        <v>4</v>
      </c>
      <c r="B4162" s="4" t="s">
        <v>5</v>
      </c>
      <c r="C4162" s="4" t="s">
        <v>7</v>
      </c>
      <c r="D4162" s="4" t="s">
        <v>7</v>
      </c>
      <c r="E4162" s="4" t="s">
        <v>13</v>
      </c>
      <c r="F4162" s="4" t="s">
        <v>13</v>
      </c>
      <c r="G4162" s="4" t="s">
        <v>13</v>
      </c>
      <c r="H4162" s="4" t="s">
        <v>11</v>
      </c>
    </row>
    <row r="4163" spans="1:8">
      <c r="A4163" t="n">
        <v>37011</v>
      </c>
      <c r="B4163" s="51" t="n">
        <v>45</v>
      </c>
      <c r="C4163" s="7" t="n">
        <v>2</v>
      </c>
      <c r="D4163" s="7" t="n">
        <v>3</v>
      </c>
      <c r="E4163" s="7" t="n">
        <v>4.92999982833862</v>
      </c>
      <c r="F4163" s="7" t="n">
        <v>1.46000003814697</v>
      </c>
      <c r="G4163" s="7" t="n">
        <v>45.6699981689453</v>
      </c>
      <c r="H4163" s="7" t="n">
        <v>0</v>
      </c>
    </row>
    <row r="4164" spans="1:8">
      <c r="A4164" t="s">
        <v>4</v>
      </c>
      <c r="B4164" s="4" t="s">
        <v>5</v>
      </c>
      <c r="C4164" s="4" t="s">
        <v>7</v>
      </c>
      <c r="D4164" s="4" t="s">
        <v>7</v>
      </c>
      <c r="E4164" s="4" t="s">
        <v>13</v>
      </c>
      <c r="F4164" s="4" t="s">
        <v>13</v>
      </c>
      <c r="G4164" s="4" t="s">
        <v>13</v>
      </c>
      <c r="H4164" s="4" t="s">
        <v>11</v>
      </c>
      <c r="I4164" s="4" t="s">
        <v>7</v>
      </c>
    </row>
    <row r="4165" spans="1:8">
      <c r="A4165" t="n">
        <v>37028</v>
      </c>
      <c r="B4165" s="51" t="n">
        <v>45</v>
      </c>
      <c r="C4165" s="7" t="n">
        <v>4</v>
      </c>
      <c r="D4165" s="7" t="n">
        <v>3</v>
      </c>
      <c r="E4165" s="7" t="n">
        <v>5.69000005722046</v>
      </c>
      <c r="F4165" s="7" t="n">
        <v>260.239990234375</v>
      </c>
      <c r="G4165" s="7" t="n">
        <v>0</v>
      </c>
      <c r="H4165" s="7" t="n">
        <v>0</v>
      </c>
      <c r="I4165" s="7" t="n">
        <v>0</v>
      </c>
    </row>
    <row r="4166" spans="1:8">
      <c r="A4166" t="s">
        <v>4</v>
      </c>
      <c r="B4166" s="4" t="s">
        <v>5</v>
      </c>
      <c r="C4166" s="4" t="s">
        <v>7</v>
      </c>
      <c r="D4166" s="4" t="s">
        <v>7</v>
      </c>
      <c r="E4166" s="4" t="s">
        <v>13</v>
      </c>
      <c r="F4166" s="4" t="s">
        <v>11</v>
      </c>
    </row>
    <row r="4167" spans="1:8">
      <c r="A4167" t="n">
        <v>37046</v>
      </c>
      <c r="B4167" s="51" t="n">
        <v>45</v>
      </c>
      <c r="C4167" s="7" t="n">
        <v>5</v>
      </c>
      <c r="D4167" s="7" t="n">
        <v>3</v>
      </c>
      <c r="E4167" s="7" t="n">
        <v>1.70000004768372</v>
      </c>
      <c r="F4167" s="7" t="n">
        <v>0</v>
      </c>
    </row>
    <row r="4168" spans="1:8">
      <c r="A4168" t="s">
        <v>4</v>
      </c>
      <c r="B4168" s="4" t="s">
        <v>5</v>
      </c>
      <c r="C4168" s="4" t="s">
        <v>7</v>
      </c>
      <c r="D4168" s="4" t="s">
        <v>7</v>
      </c>
      <c r="E4168" s="4" t="s">
        <v>13</v>
      </c>
      <c r="F4168" s="4" t="s">
        <v>11</v>
      </c>
    </row>
    <row r="4169" spans="1:8">
      <c r="A4169" t="n">
        <v>37055</v>
      </c>
      <c r="B4169" s="51" t="n">
        <v>45</v>
      </c>
      <c r="C4169" s="7" t="n">
        <v>11</v>
      </c>
      <c r="D4169" s="7" t="n">
        <v>3</v>
      </c>
      <c r="E4169" s="7" t="n">
        <v>34</v>
      </c>
      <c r="F4169" s="7" t="n">
        <v>0</v>
      </c>
    </row>
    <row r="4170" spans="1:8">
      <c r="A4170" t="s">
        <v>4</v>
      </c>
      <c r="B4170" s="4" t="s">
        <v>5</v>
      </c>
      <c r="C4170" s="4" t="s">
        <v>7</v>
      </c>
      <c r="D4170" s="4" t="s">
        <v>7</v>
      </c>
      <c r="E4170" s="4" t="s">
        <v>13</v>
      </c>
      <c r="F4170" s="4" t="s">
        <v>13</v>
      </c>
      <c r="G4170" s="4" t="s">
        <v>13</v>
      </c>
      <c r="H4170" s="4" t="s">
        <v>11</v>
      </c>
    </row>
    <row r="4171" spans="1:8">
      <c r="A4171" t="n">
        <v>37064</v>
      </c>
      <c r="B4171" s="51" t="n">
        <v>45</v>
      </c>
      <c r="C4171" s="7" t="n">
        <v>2</v>
      </c>
      <c r="D4171" s="7" t="n">
        <v>3</v>
      </c>
      <c r="E4171" s="7" t="n">
        <v>4.84999990463257</v>
      </c>
      <c r="F4171" s="7" t="n">
        <v>1.4099999666214</v>
      </c>
      <c r="G4171" s="7" t="n">
        <v>45.7999992370605</v>
      </c>
      <c r="H4171" s="7" t="n">
        <v>5500</v>
      </c>
    </row>
    <row r="4172" spans="1:8">
      <c r="A4172" t="s">
        <v>4</v>
      </c>
      <c r="B4172" s="4" t="s">
        <v>5</v>
      </c>
      <c r="C4172" s="4" t="s">
        <v>7</v>
      </c>
      <c r="D4172" s="4" t="s">
        <v>7</v>
      </c>
      <c r="E4172" s="4" t="s">
        <v>13</v>
      </c>
      <c r="F4172" s="4" t="s">
        <v>13</v>
      </c>
      <c r="G4172" s="4" t="s">
        <v>13</v>
      </c>
      <c r="H4172" s="4" t="s">
        <v>11</v>
      </c>
      <c r="I4172" s="4" t="s">
        <v>7</v>
      </c>
    </row>
    <row r="4173" spans="1:8">
      <c r="A4173" t="n">
        <v>37081</v>
      </c>
      <c r="B4173" s="51" t="n">
        <v>45</v>
      </c>
      <c r="C4173" s="7" t="n">
        <v>4</v>
      </c>
      <c r="D4173" s="7" t="n">
        <v>3</v>
      </c>
      <c r="E4173" s="7" t="n">
        <v>5.46999979019165</v>
      </c>
      <c r="F4173" s="7" t="n">
        <v>232.490005493164</v>
      </c>
      <c r="G4173" s="7" t="n">
        <v>0</v>
      </c>
      <c r="H4173" s="7" t="n">
        <v>5500</v>
      </c>
      <c r="I4173" s="7" t="n">
        <v>0</v>
      </c>
    </row>
    <row r="4174" spans="1:8">
      <c r="A4174" t="s">
        <v>4</v>
      </c>
      <c r="B4174" s="4" t="s">
        <v>5</v>
      </c>
      <c r="C4174" s="4" t="s">
        <v>11</v>
      </c>
      <c r="D4174" s="4" t="s">
        <v>7</v>
      </c>
      <c r="E4174" s="4" t="s">
        <v>7</v>
      </c>
      <c r="F4174" s="4" t="s">
        <v>8</v>
      </c>
    </row>
    <row r="4175" spans="1:8">
      <c r="A4175" t="n">
        <v>37099</v>
      </c>
      <c r="B4175" s="50" t="n">
        <v>20</v>
      </c>
      <c r="C4175" s="7" t="n">
        <v>3</v>
      </c>
      <c r="D4175" s="7" t="n">
        <v>2</v>
      </c>
      <c r="E4175" s="7" t="n">
        <v>11</v>
      </c>
      <c r="F4175" s="7" t="s">
        <v>283</v>
      </c>
    </row>
    <row r="4176" spans="1:8">
      <c r="A4176" t="s">
        <v>4</v>
      </c>
      <c r="B4176" s="4" t="s">
        <v>5</v>
      </c>
      <c r="C4176" s="4" t="s">
        <v>7</v>
      </c>
    </row>
    <row r="4177" spans="1:9">
      <c r="A4177" t="n">
        <v>37126</v>
      </c>
      <c r="B4177" s="49" t="n">
        <v>116</v>
      </c>
      <c r="C4177" s="7" t="n">
        <v>0</v>
      </c>
    </row>
    <row r="4178" spans="1:9">
      <c r="A4178" t="s">
        <v>4</v>
      </c>
      <c r="B4178" s="4" t="s">
        <v>5</v>
      </c>
      <c r="C4178" s="4" t="s">
        <v>7</v>
      </c>
      <c r="D4178" s="4" t="s">
        <v>11</v>
      </c>
    </row>
    <row r="4179" spans="1:9">
      <c r="A4179" t="n">
        <v>37128</v>
      </c>
      <c r="B4179" s="49" t="n">
        <v>116</v>
      </c>
      <c r="C4179" s="7" t="n">
        <v>2</v>
      </c>
      <c r="D4179" s="7" t="n">
        <v>1</v>
      </c>
    </row>
    <row r="4180" spans="1:9">
      <c r="A4180" t="s">
        <v>4</v>
      </c>
      <c r="B4180" s="4" t="s">
        <v>5</v>
      </c>
      <c r="C4180" s="4" t="s">
        <v>7</v>
      </c>
      <c r="D4180" s="4" t="s">
        <v>15</v>
      </c>
    </row>
    <row r="4181" spans="1:9">
      <c r="A4181" t="n">
        <v>37132</v>
      </c>
      <c r="B4181" s="49" t="n">
        <v>116</v>
      </c>
      <c r="C4181" s="7" t="n">
        <v>5</v>
      </c>
      <c r="D4181" s="7" t="n">
        <v>1084227584</v>
      </c>
    </row>
    <row r="4182" spans="1:9">
      <c r="A4182" t="s">
        <v>4</v>
      </c>
      <c r="B4182" s="4" t="s">
        <v>5</v>
      </c>
      <c r="C4182" s="4" t="s">
        <v>7</v>
      </c>
      <c r="D4182" s="4" t="s">
        <v>11</v>
      </c>
    </row>
    <row r="4183" spans="1:9">
      <c r="A4183" t="n">
        <v>37138</v>
      </c>
      <c r="B4183" s="49" t="n">
        <v>116</v>
      </c>
      <c r="C4183" s="7" t="n">
        <v>6</v>
      </c>
      <c r="D4183" s="7" t="n">
        <v>1</v>
      </c>
    </row>
    <row r="4184" spans="1:9">
      <c r="A4184" t="s">
        <v>4</v>
      </c>
      <c r="B4184" s="4" t="s">
        <v>5</v>
      </c>
      <c r="C4184" s="4" t="s">
        <v>7</v>
      </c>
      <c r="D4184" s="4" t="s">
        <v>11</v>
      </c>
    </row>
    <row r="4185" spans="1:9">
      <c r="A4185" t="n">
        <v>37142</v>
      </c>
      <c r="B4185" s="23" t="n">
        <v>58</v>
      </c>
      <c r="C4185" s="7" t="n">
        <v>255</v>
      </c>
      <c r="D4185" s="7" t="n">
        <v>0</v>
      </c>
    </row>
    <row r="4186" spans="1:9">
      <c r="A4186" t="s">
        <v>4</v>
      </c>
      <c r="B4186" s="4" t="s">
        <v>5</v>
      </c>
      <c r="C4186" s="4" t="s">
        <v>11</v>
      </c>
    </row>
    <row r="4187" spans="1:9">
      <c r="A4187" t="n">
        <v>37146</v>
      </c>
      <c r="B4187" s="29" t="n">
        <v>16</v>
      </c>
      <c r="C4187" s="7" t="n">
        <v>800</v>
      </c>
    </row>
    <row r="4188" spans="1:9">
      <c r="A4188" t="s">
        <v>4</v>
      </c>
      <c r="B4188" s="4" t="s">
        <v>5</v>
      </c>
      <c r="C4188" s="4" t="s">
        <v>8</v>
      </c>
      <c r="D4188" s="4" t="s">
        <v>8</v>
      </c>
    </row>
    <row r="4189" spans="1:9">
      <c r="A4189" t="n">
        <v>37149</v>
      </c>
      <c r="B4189" s="52" t="n">
        <v>70</v>
      </c>
      <c r="C4189" s="7" t="s">
        <v>279</v>
      </c>
      <c r="D4189" s="7" t="s">
        <v>284</v>
      </c>
    </row>
    <row r="4190" spans="1:9">
      <c r="A4190" t="s">
        <v>4</v>
      </c>
      <c r="B4190" s="4" t="s">
        <v>5</v>
      </c>
      <c r="C4190" s="4" t="s">
        <v>7</v>
      </c>
      <c r="D4190" s="4" t="s">
        <v>11</v>
      </c>
    </row>
    <row r="4191" spans="1:9">
      <c r="A4191" t="n">
        <v>37167</v>
      </c>
      <c r="B4191" s="51" t="n">
        <v>45</v>
      </c>
      <c r="C4191" s="7" t="n">
        <v>7</v>
      </c>
      <c r="D4191" s="7" t="n">
        <v>255</v>
      </c>
    </row>
    <row r="4192" spans="1:9">
      <c r="A4192" t="s">
        <v>4</v>
      </c>
      <c r="B4192" s="4" t="s">
        <v>5</v>
      </c>
      <c r="C4192" s="4" t="s">
        <v>7</v>
      </c>
      <c r="D4192" s="4" t="s">
        <v>11</v>
      </c>
      <c r="E4192" s="4" t="s">
        <v>8</v>
      </c>
    </row>
    <row r="4193" spans="1:5">
      <c r="A4193" t="n">
        <v>37171</v>
      </c>
      <c r="B4193" s="38" t="n">
        <v>51</v>
      </c>
      <c r="C4193" s="7" t="n">
        <v>4</v>
      </c>
      <c r="D4193" s="7" t="n">
        <v>0</v>
      </c>
      <c r="E4193" s="7" t="s">
        <v>179</v>
      </c>
    </row>
    <row r="4194" spans="1:5">
      <c r="A4194" t="s">
        <v>4</v>
      </c>
      <c r="B4194" s="4" t="s">
        <v>5</v>
      </c>
      <c r="C4194" s="4" t="s">
        <v>11</v>
      </c>
    </row>
    <row r="4195" spans="1:5">
      <c r="A4195" t="n">
        <v>37185</v>
      </c>
      <c r="B4195" s="29" t="n">
        <v>16</v>
      </c>
      <c r="C4195" s="7" t="n">
        <v>0</v>
      </c>
    </row>
    <row r="4196" spans="1:5">
      <c r="A4196" t="s">
        <v>4</v>
      </c>
      <c r="B4196" s="4" t="s">
        <v>5</v>
      </c>
      <c r="C4196" s="4" t="s">
        <v>11</v>
      </c>
      <c r="D4196" s="4" t="s">
        <v>7</v>
      </c>
      <c r="E4196" s="4" t="s">
        <v>15</v>
      </c>
      <c r="F4196" s="4" t="s">
        <v>55</v>
      </c>
      <c r="G4196" s="4" t="s">
        <v>7</v>
      </c>
      <c r="H4196" s="4" t="s">
        <v>7</v>
      </c>
      <c r="I4196" s="4" t="s">
        <v>7</v>
      </c>
      <c r="J4196" s="4" t="s">
        <v>15</v>
      </c>
      <c r="K4196" s="4" t="s">
        <v>55</v>
      </c>
      <c r="L4196" s="4" t="s">
        <v>7</v>
      </c>
      <c r="M4196" s="4" t="s">
        <v>7</v>
      </c>
    </row>
    <row r="4197" spans="1:5">
      <c r="A4197" t="n">
        <v>37188</v>
      </c>
      <c r="B4197" s="55" t="n">
        <v>26</v>
      </c>
      <c r="C4197" s="7" t="n">
        <v>0</v>
      </c>
      <c r="D4197" s="7" t="n">
        <v>17</v>
      </c>
      <c r="E4197" s="7" t="n">
        <v>63821</v>
      </c>
      <c r="F4197" s="7" t="s">
        <v>394</v>
      </c>
      <c r="G4197" s="7" t="n">
        <v>2</v>
      </c>
      <c r="H4197" s="7" t="n">
        <v>3</v>
      </c>
      <c r="I4197" s="7" t="n">
        <v>17</v>
      </c>
      <c r="J4197" s="7" t="n">
        <v>63822</v>
      </c>
      <c r="K4197" s="7" t="s">
        <v>395</v>
      </c>
      <c r="L4197" s="7" t="n">
        <v>2</v>
      </c>
      <c r="M4197" s="7" t="n">
        <v>0</v>
      </c>
    </row>
    <row r="4198" spans="1:5">
      <c r="A4198" t="s">
        <v>4</v>
      </c>
      <c r="B4198" s="4" t="s">
        <v>5</v>
      </c>
    </row>
    <row r="4199" spans="1:5">
      <c r="A4199" t="n">
        <v>37270</v>
      </c>
      <c r="B4199" s="27" t="n">
        <v>28</v>
      </c>
    </row>
    <row r="4200" spans="1:5">
      <c r="A4200" t="s">
        <v>4</v>
      </c>
      <c r="B4200" s="4" t="s">
        <v>5</v>
      </c>
      <c r="C4200" s="4" t="s">
        <v>7</v>
      </c>
      <c r="D4200" s="4" t="s">
        <v>11</v>
      </c>
      <c r="E4200" s="4" t="s">
        <v>13</v>
      </c>
    </row>
    <row r="4201" spans="1:5">
      <c r="A4201" t="n">
        <v>37271</v>
      </c>
      <c r="B4201" s="23" t="n">
        <v>58</v>
      </c>
      <c r="C4201" s="7" t="n">
        <v>101</v>
      </c>
      <c r="D4201" s="7" t="n">
        <v>500</v>
      </c>
      <c r="E4201" s="7" t="n">
        <v>1</v>
      </c>
    </row>
    <row r="4202" spans="1:5">
      <c r="A4202" t="s">
        <v>4</v>
      </c>
      <c r="B4202" s="4" t="s">
        <v>5</v>
      </c>
      <c r="C4202" s="4" t="s">
        <v>7</v>
      </c>
      <c r="D4202" s="4" t="s">
        <v>11</v>
      </c>
    </row>
    <row r="4203" spans="1:5">
      <c r="A4203" t="n">
        <v>37279</v>
      </c>
      <c r="B4203" s="23" t="n">
        <v>58</v>
      </c>
      <c r="C4203" s="7" t="n">
        <v>254</v>
      </c>
      <c r="D4203" s="7" t="n">
        <v>0</v>
      </c>
    </row>
    <row r="4204" spans="1:5">
      <c r="A4204" t="s">
        <v>4</v>
      </c>
      <c r="B4204" s="4" t="s">
        <v>5</v>
      </c>
      <c r="C4204" s="4" t="s">
        <v>7</v>
      </c>
      <c r="D4204" s="4" t="s">
        <v>7</v>
      </c>
      <c r="E4204" s="4" t="s">
        <v>13</v>
      </c>
      <c r="F4204" s="4" t="s">
        <v>13</v>
      </c>
      <c r="G4204" s="4" t="s">
        <v>13</v>
      </c>
      <c r="H4204" s="4" t="s">
        <v>11</v>
      </c>
    </row>
    <row r="4205" spans="1:5">
      <c r="A4205" t="n">
        <v>37283</v>
      </c>
      <c r="B4205" s="51" t="n">
        <v>45</v>
      </c>
      <c r="C4205" s="7" t="n">
        <v>2</v>
      </c>
      <c r="D4205" s="7" t="n">
        <v>3</v>
      </c>
      <c r="E4205" s="7" t="n">
        <v>4.96999979019165</v>
      </c>
      <c r="F4205" s="7" t="n">
        <v>1.41999995708466</v>
      </c>
      <c r="G4205" s="7" t="n">
        <v>46.3800010681152</v>
      </c>
      <c r="H4205" s="7" t="n">
        <v>0</v>
      </c>
    </row>
    <row r="4206" spans="1:5">
      <c r="A4206" t="s">
        <v>4</v>
      </c>
      <c r="B4206" s="4" t="s">
        <v>5</v>
      </c>
      <c r="C4206" s="4" t="s">
        <v>7</v>
      </c>
      <c r="D4206" s="4" t="s">
        <v>7</v>
      </c>
      <c r="E4206" s="4" t="s">
        <v>13</v>
      </c>
      <c r="F4206" s="4" t="s">
        <v>13</v>
      </c>
      <c r="G4206" s="4" t="s">
        <v>13</v>
      </c>
      <c r="H4206" s="4" t="s">
        <v>11</v>
      </c>
      <c r="I4206" s="4" t="s">
        <v>7</v>
      </c>
    </row>
    <row r="4207" spans="1:5">
      <c r="A4207" t="n">
        <v>37300</v>
      </c>
      <c r="B4207" s="51" t="n">
        <v>45</v>
      </c>
      <c r="C4207" s="7" t="n">
        <v>4</v>
      </c>
      <c r="D4207" s="7" t="n">
        <v>3</v>
      </c>
      <c r="E4207" s="7" t="n">
        <v>8.30000019073486</v>
      </c>
      <c r="F4207" s="7" t="n">
        <v>213.210006713867</v>
      </c>
      <c r="G4207" s="7" t="n">
        <v>0</v>
      </c>
      <c r="H4207" s="7" t="n">
        <v>0</v>
      </c>
      <c r="I4207" s="7" t="n">
        <v>0</v>
      </c>
    </row>
    <row r="4208" spans="1:5">
      <c r="A4208" t="s">
        <v>4</v>
      </c>
      <c r="B4208" s="4" t="s">
        <v>5</v>
      </c>
      <c r="C4208" s="4" t="s">
        <v>7</v>
      </c>
      <c r="D4208" s="4" t="s">
        <v>7</v>
      </c>
      <c r="E4208" s="4" t="s">
        <v>13</v>
      </c>
      <c r="F4208" s="4" t="s">
        <v>11</v>
      </c>
    </row>
    <row r="4209" spans="1:13">
      <c r="A4209" t="n">
        <v>37318</v>
      </c>
      <c r="B4209" s="51" t="n">
        <v>45</v>
      </c>
      <c r="C4209" s="7" t="n">
        <v>5</v>
      </c>
      <c r="D4209" s="7" t="n">
        <v>3</v>
      </c>
      <c r="E4209" s="7" t="n">
        <v>1</v>
      </c>
      <c r="F4209" s="7" t="n">
        <v>0</v>
      </c>
    </row>
    <row r="4210" spans="1:13">
      <c r="A4210" t="s">
        <v>4</v>
      </c>
      <c r="B4210" s="4" t="s">
        <v>5</v>
      </c>
      <c r="C4210" s="4" t="s">
        <v>7</v>
      </c>
      <c r="D4210" s="4" t="s">
        <v>7</v>
      </c>
      <c r="E4210" s="4" t="s">
        <v>13</v>
      </c>
      <c r="F4210" s="4" t="s">
        <v>11</v>
      </c>
    </row>
    <row r="4211" spans="1:13">
      <c r="A4211" t="n">
        <v>37327</v>
      </c>
      <c r="B4211" s="51" t="n">
        <v>45</v>
      </c>
      <c r="C4211" s="7" t="n">
        <v>11</v>
      </c>
      <c r="D4211" s="7" t="n">
        <v>3</v>
      </c>
      <c r="E4211" s="7" t="n">
        <v>34</v>
      </c>
      <c r="F4211" s="7" t="n">
        <v>0</v>
      </c>
    </row>
    <row r="4212" spans="1:13">
      <c r="A4212" t="s">
        <v>4</v>
      </c>
      <c r="B4212" s="4" t="s">
        <v>5</v>
      </c>
      <c r="C4212" s="4" t="s">
        <v>7</v>
      </c>
      <c r="D4212" s="4" t="s">
        <v>11</v>
      </c>
    </row>
    <row r="4213" spans="1:13">
      <c r="A4213" t="n">
        <v>37336</v>
      </c>
      <c r="B4213" s="23" t="n">
        <v>58</v>
      </c>
      <c r="C4213" s="7" t="n">
        <v>255</v>
      </c>
      <c r="D4213" s="7" t="n">
        <v>0</v>
      </c>
    </row>
    <row r="4214" spans="1:13">
      <c r="A4214" t="s">
        <v>4</v>
      </c>
      <c r="B4214" s="4" t="s">
        <v>5</v>
      </c>
      <c r="C4214" s="4" t="s">
        <v>7</v>
      </c>
      <c r="D4214" s="4" t="s">
        <v>11</v>
      </c>
      <c r="E4214" s="4" t="s">
        <v>8</v>
      </c>
    </row>
    <row r="4215" spans="1:13">
      <c r="A4215" t="n">
        <v>37340</v>
      </c>
      <c r="B4215" s="38" t="n">
        <v>51</v>
      </c>
      <c r="C4215" s="7" t="n">
        <v>4</v>
      </c>
      <c r="D4215" s="7" t="n">
        <v>3</v>
      </c>
      <c r="E4215" s="7" t="s">
        <v>288</v>
      </c>
    </row>
    <row r="4216" spans="1:13">
      <c r="A4216" t="s">
        <v>4</v>
      </c>
      <c r="B4216" s="4" t="s">
        <v>5</v>
      </c>
      <c r="C4216" s="4" t="s">
        <v>11</v>
      </c>
    </row>
    <row r="4217" spans="1:13">
      <c r="A4217" t="n">
        <v>37353</v>
      </c>
      <c r="B4217" s="29" t="n">
        <v>16</v>
      </c>
      <c r="C4217" s="7" t="n">
        <v>0</v>
      </c>
    </row>
    <row r="4218" spans="1:13">
      <c r="A4218" t="s">
        <v>4</v>
      </c>
      <c r="B4218" s="4" t="s">
        <v>5</v>
      </c>
      <c r="C4218" s="4" t="s">
        <v>11</v>
      </c>
      <c r="D4218" s="4" t="s">
        <v>7</v>
      </c>
      <c r="E4218" s="4" t="s">
        <v>15</v>
      </c>
      <c r="F4218" s="4" t="s">
        <v>55</v>
      </c>
      <c r="G4218" s="4" t="s">
        <v>7</v>
      </c>
      <c r="H4218" s="4" t="s">
        <v>7</v>
      </c>
      <c r="I4218" s="4" t="s">
        <v>7</v>
      </c>
      <c r="J4218" s="4" t="s">
        <v>15</v>
      </c>
      <c r="K4218" s="4" t="s">
        <v>55</v>
      </c>
      <c r="L4218" s="4" t="s">
        <v>7</v>
      </c>
      <c r="M4218" s="4" t="s">
        <v>7</v>
      </c>
    </row>
    <row r="4219" spans="1:13">
      <c r="A4219" t="n">
        <v>37356</v>
      </c>
      <c r="B4219" s="55" t="n">
        <v>26</v>
      </c>
      <c r="C4219" s="7" t="n">
        <v>3</v>
      </c>
      <c r="D4219" s="7" t="n">
        <v>17</v>
      </c>
      <c r="E4219" s="7" t="n">
        <v>63823</v>
      </c>
      <c r="F4219" s="7" t="s">
        <v>396</v>
      </c>
      <c r="G4219" s="7" t="n">
        <v>2</v>
      </c>
      <c r="H4219" s="7" t="n">
        <v>3</v>
      </c>
      <c r="I4219" s="7" t="n">
        <v>17</v>
      </c>
      <c r="J4219" s="7" t="n">
        <v>63824</v>
      </c>
      <c r="K4219" s="7" t="s">
        <v>397</v>
      </c>
      <c r="L4219" s="7" t="n">
        <v>2</v>
      </c>
      <c r="M4219" s="7" t="n">
        <v>0</v>
      </c>
    </row>
    <row r="4220" spans="1:13">
      <c r="A4220" t="s">
        <v>4</v>
      </c>
      <c r="B4220" s="4" t="s">
        <v>5</v>
      </c>
    </row>
    <row r="4221" spans="1:13">
      <c r="A4221" t="n">
        <v>37449</v>
      </c>
      <c r="B4221" s="27" t="n">
        <v>28</v>
      </c>
    </row>
    <row r="4222" spans="1:13">
      <c r="A4222" t="s">
        <v>4</v>
      </c>
      <c r="B4222" s="4" t="s">
        <v>5</v>
      </c>
      <c r="C4222" s="4" t="s">
        <v>7</v>
      </c>
      <c r="D4222" s="4" t="s">
        <v>11</v>
      </c>
      <c r="E4222" s="4" t="s">
        <v>8</v>
      </c>
      <c r="F4222" s="4" t="s">
        <v>8</v>
      </c>
      <c r="G4222" s="4" t="s">
        <v>8</v>
      </c>
      <c r="H4222" s="4" t="s">
        <v>8</v>
      </c>
    </row>
    <row r="4223" spans="1:13">
      <c r="A4223" t="n">
        <v>37450</v>
      </c>
      <c r="B4223" s="38" t="n">
        <v>51</v>
      </c>
      <c r="C4223" s="7" t="n">
        <v>3</v>
      </c>
      <c r="D4223" s="7" t="n">
        <v>3</v>
      </c>
      <c r="E4223" s="7" t="s">
        <v>295</v>
      </c>
      <c r="F4223" s="7" t="s">
        <v>232</v>
      </c>
      <c r="G4223" s="7" t="s">
        <v>78</v>
      </c>
      <c r="H4223" s="7" t="s">
        <v>79</v>
      </c>
    </row>
    <row r="4224" spans="1:13">
      <c r="A4224" t="s">
        <v>4</v>
      </c>
      <c r="B4224" s="4" t="s">
        <v>5</v>
      </c>
      <c r="C4224" s="4" t="s">
        <v>11</v>
      </c>
      <c r="D4224" s="4" t="s">
        <v>13</v>
      </c>
      <c r="E4224" s="4" t="s">
        <v>13</v>
      </c>
      <c r="F4224" s="4" t="s">
        <v>13</v>
      </c>
      <c r="G4224" s="4" t="s">
        <v>11</v>
      </c>
      <c r="H4224" s="4" t="s">
        <v>11</v>
      </c>
    </row>
    <row r="4225" spans="1:13">
      <c r="A4225" t="n">
        <v>37463</v>
      </c>
      <c r="B4225" s="37" t="n">
        <v>60</v>
      </c>
      <c r="C4225" s="7" t="n">
        <v>3</v>
      </c>
      <c r="D4225" s="7" t="n">
        <v>-45</v>
      </c>
      <c r="E4225" s="7" t="n">
        <v>0</v>
      </c>
      <c r="F4225" s="7" t="n">
        <v>0</v>
      </c>
      <c r="G4225" s="7" t="n">
        <v>1000</v>
      </c>
      <c r="H4225" s="7" t="n">
        <v>0</v>
      </c>
    </row>
    <row r="4226" spans="1:13">
      <c r="A4226" t="s">
        <v>4</v>
      </c>
      <c r="B4226" s="4" t="s">
        <v>5</v>
      </c>
      <c r="C4226" s="4" t="s">
        <v>11</v>
      </c>
    </row>
    <row r="4227" spans="1:13">
      <c r="A4227" t="n">
        <v>37482</v>
      </c>
      <c r="B4227" s="29" t="n">
        <v>16</v>
      </c>
      <c r="C4227" s="7" t="n">
        <v>1000</v>
      </c>
    </row>
    <row r="4228" spans="1:13">
      <c r="A4228" t="s">
        <v>4</v>
      </c>
      <c r="B4228" s="4" t="s">
        <v>5</v>
      </c>
      <c r="C4228" s="4" t="s">
        <v>7</v>
      </c>
      <c r="D4228" s="4" t="s">
        <v>11</v>
      </c>
      <c r="E4228" s="4" t="s">
        <v>8</v>
      </c>
      <c r="F4228" s="4" t="s">
        <v>8</v>
      </c>
      <c r="G4228" s="4" t="s">
        <v>8</v>
      </c>
      <c r="H4228" s="4" t="s">
        <v>8</v>
      </c>
    </row>
    <row r="4229" spans="1:13">
      <c r="A4229" t="n">
        <v>37485</v>
      </c>
      <c r="B4229" s="38" t="n">
        <v>51</v>
      </c>
      <c r="C4229" s="7" t="n">
        <v>3</v>
      </c>
      <c r="D4229" s="7" t="n">
        <v>3</v>
      </c>
      <c r="E4229" s="7" t="s">
        <v>296</v>
      </c>
      <c r="F4229" s="7" t="s">
        <v>232</v>
      </c>
      <c r="G4229" s="7" t="s">
        <v>78</v>
      </c>
      <c r="H4229" s="7" t="s">
        <v>79</v>
      </c>
    </row>
    <row r="4230" spans="1:13">
      <c r="A4230" t="s">
        <v>4</v>
      </c>
      <c r="B4230" s="4" t="s">
        <v>5</v>
      </c>
      <c r="C4230" s="4" t="s">
        <v>11</v>
      </c>
      <c r="D4230" s="4" t="s">
        <v>13</v>
      </c>
      <c r="E4230" s="4" t="s">
        <v>13</v>
      </c>
      <c r="F4230" s="4" t="s">
        <v>13</v>
      </c>
      <c r="G4230" s="4" t="s">
        <v>11</v>
      </c>
      <c r="H4230" s="4" t="s">
        <v>11</v>
      </c>
    </row>
    <row r="4231" spans="1:13">
      <c r="A4231" t="n">
        <v>37499</v>
      </c>
      <c r="B4231" s="37" t="n">
        <v>60</v>
      </c>
      <c r="C4231" s="7" t="n">
        <v>3</v>
      </c>
      <c r="D4231" s="7" t="n">
        <v>45</v>
      </c>
      <c r="E4231" s="7" t="n">
        <v>0</v>
      </c>
      <c r="F4231" s="7" t="n">
        <v>0</v>
      </c>
      <c r="G4231" s="7" t="n">
        <v>1000</v>
      </c>
      <c r="H4231" s="7" t="n">
        <v>0</v>
      </c>
    </row>
    <row r="4232" spans="1:13">
      <c r="A4232" t="s">
        <v>4</v>
      </c>
      <c r="B4232" s="4" t="s">
        <v>5</v>
      </c>
      <c r="C4232" s="4" t="s">
        <v>11</v>
      </c>
    </row>
    <row r="4233" spans="1:13">
      <c r="A4233" t="n">
        <v>37518</v>
      </c>
      <c r="B4233" s="29" t="n">
        <v>16</v>
      </c>
      <c r="C4233" s="7" t="n">
        <v>1200</v>
      </c>
    </row>
    <row r="4234" spans="1:13">
      <c r="A4234" t="s">
        <v>4</v>
      </c>
      <c r="B4234" s="4" t="s">
        <v>5</v>
      </c>
      <c r="C4234" s="4" t="s">
        <v>7</v>
      </c>
      <c r="D4234" s="4" t="s">
        <v>11</v>
      </c>
      <c r="E4234" s="4" t="s">
        <v>8</v>
      </c>
      <c r="F4234" s="4" t="s">
        <v>8</v>
      </c>
      <c r="G4234" s="4" t="s">
        <v>8</v>
      </c>
      <c r="H4234" s="4" t="s">
        <v>8</v>
      </c>
    </row>
    <row r="4235" spans="1:13">
      <c r="A4235" t="n">
        <v>37521</v>
      </c>
      <c r="B4235" s="38" t="n">
        <v>51</v>
      </c>
      <c r="C4235" s="7" t="n">
        <v>3</v>
      </c>
      <c r="D4235" s="7" t="n">
        <v>3</v>
      </c>
      <c r="E4235" s="7" t="s">
        <v>86</v>
      </c>
      <c r="F4235" s="7" t="s">
        <v>232</v>
      </c>
      <c r="G4235" s="7" t="s">
        <v>78</v>
      </c>
      <c r="H4235" s="7" t="s">
        <v>79</v>
      </c>
    </row>
    <row r="4236" spans="1:13">
      <c r="A4236" t="s">
        <v>4</v>
      </c>
      <c r="B4236" s="4" t="s">
        <v>5</v>
      </c>
      <c r="C4236" s="4" t="s">
        <v>11</v>
      </c>
      <c r="D4236" s="4" t="s">
        <v>13</v>
      </c>
      <c r="E4236" s="4" t="s">
        <v>13</v>
      </c>
      <c r="F4236" s="4" t="s">
        <v>13</v>
      </c>
      <c r="G4236" s="4" t="s">
        <v>11</v>
      </c>
      <c r="H4236" s="4" t="s">
        <v>11</v>
      </c>
    </row>
    <row r="4237" spans="1:13">
      <c r="A4237" t="n">
        <v>37534</v>
      </c>
      <c r="B4237" s="37" t="n">
        <v>60</v>
      </c>
      <c r="C4237" s="7" t="n">
        <v>3</v>
      </c>
      <c r="D4237" s="7" t="n">
        <v>0</v>
      </c>
      <c r="E4237" s="7" t="n">
        <v>0</v>
      </c>
      <c r="F4237" s="7" t="n">
        <v>0</v>
      </c>
      <c r="G4237" s="7" t="n">
        <v>1000</v>
      </c>
      <c r="H4237" s="7" t="n">
        <v>0</v>
      </c>
    </row>
    <row r="4238" spans="1:13">
      <c r="A4238" t="s">
        <v>4</v>
      </c>
      <c r="B4238" s="4" t="s">
        <v>5</v>
      </c>
      <c r="C4238" s="4" t="s">
        <v>11</v>
      </c>
    </row>
    <row r="4239" spans="1:13">
      <c r="A4239" t="n">
        <v>37553</v>
      </c>
      <c r="B4239" s="29" t="n">
        <v>16</v>
      </c>
      <c r="C4239" s="7" t="n">
        <v>1000</v>
      </c>
    </row>
    <row r="4240" spans="1:13">
      <c r="A4240" t="s">
        <v>4</v>
      </c>
      <c r="B4240" s="4" t="s">
        <v>5</v>
      </c>
      <c r="C4240" s="4" t="s">
        <v>7</v>
      </c>
      <c r="D4240" s="4" t="s">
        <v>11</v>
      </c>
      <c r="E4240" s="4" t="s">
        <v>8</v>
      </c>
    </row>
    <row r="4241" spans="1:8">
      <c r="A4241" t="n">
        <v>37556</v>
      </c>
      <c r="B4241" s="38" t="n">
        <v>51</v>
      </c>
      <c r="C4241" s="7" t="n">
        <v>4</v>
      </c>
      <c r="D4241" s="7" t="n">
        <v>3</v>
      </c>
      <c r="E4241" s="7" t="s">
        <v>247</v>
      </c>
    </row>
    <row r="4242" spans="1:8">
      <c r="A4242" t="s">
        <v>4</v>
      </c>
      <c r="B4242" s="4" t="s">
        <v>5</v>
      </c>
      <c r="C4242" s="4" t="s">
        <v>11</v>
      </c>
    </row>
    <row r="4243" spans="1:8">
      <c r="A4243" t="n">
        <v>37570</v>
      </c>
      <c r="B4243" s="29" t="n">
        <v>16</v>
      </c>
      <c r="C4243" s="7" t="n">
        <v>0</v>
      </c>
    </row>
    <row r="4244" spans="1:8">
      <c r="A4244" t="s">
        <v>4</v>
      </c>
      <c r="B4244" s="4" t="s">
        <v>5</v>
      </c>
      <c r="C4244" s="4" t="s">
        <v>11</v>
      </c>
      <c r="D4244" s="4" t="s">
        <v>7</v>
      </c>
      <c r="E4244" s="4" t="s">
        <v>15</v>
      </c>
      <c r="F4244" s="4" t="s">
        <v>55</v>
      </c>
      <c r="G4244" s="4" t="s">
        <v>7</v>
      </c>
      <c r="H4244" s="4" t="s">
        <v>7</v>
      </c>
      <c r="I4244" s="4" t="s">
        <v>7</v>
      </c>
      <c r="J4244" s="4" t="s">
        <v>15</v>
      </c>
      <c r="K4244" s="4" t="s">
        <v>55</v>
      </c>
      <c r="L4244" s="4" t="s">
        <v>7</v>
      </c>
      <c r="M4244" s="4" t="s">
        <v>7</v>
      </c>
    </row>
    <row r="4245" spans="1:8">
      <c r="A4245" t="n">
        <v>37573</v>
      </c>
      <c r="B4245" s="55" t="n">
        <v>26</v>
      </c>
      <c r="C4245" s="7" t="n">
        <v>3</v>
      </c>
      <c r="D4245" s="7" t="n">
        <v>17</v>
      </c>
      <c r="E4245" s="7" t="n">
        <v>63825</v>
      </c>
      <c r="F4245" s="7" t="s">
        <v>398</v>
      </c>
      <c r="G4245" s="7" t="n">
        <v>2</v>
      </c>
      <c r="H4245" s="7" t="n">
        <v>3</v>
      </c>
      <c r="I4245" s="7" t="n">
        <v>17</v>
      </c>
      <c r="J4245" s="7" t="n">
        <v>63826</v>
      </c>
      <c r="K4245" s="7" t="s">
        <v>399</v>
      </c>
      <c r="L4245" s="7" t="n">
        <v>2</v>
      </c>
      <c r="M4245" s="7" t="n">
        <v>0</v>
      </c>
    </row>
    <row r="4246" spans="1:8">
      <c r="A4246" t="s">
        <v>4</v>
      </c>
      <c r="B4246" s="4" t="s">
        <v>5</v>
      </c>
    </row>
    <row r="4247" spans="1:8">
      <c r="A4247" t="n">
        <v>37734</v>
      </c>
      <c r="B4247" s="27" t="n">
        <v>28</v>
      </c>
    </row>
    <row r="4248" spans="1:8">
      <c r="A4248" t="s">
        <v>4</v>
      </c>
      <c r="B4248" s="4" t="s">
        <v>5</v>
      </c>
      <c r="C4248" s="4" t="s">
        <v>7</v>
      </c>
      <c r="D4248" s="4" t="s">
        <v>11</v>
      </c>
      <c r="E4248" s="4" t="s">
        <v>8</v>
      </c>
    </row>
    <row r="4249" spans="1:8">
      <c r="A4249" t="n">
        <v>37735</v>
      </c>
      <c r="B4249" s="38" t="n">
        <v>51</v>
      </c>
      <c r="C4249" s="7" t="n">
        <v>4</v>
      </c>
      <c r="D4249" s="7" t="n">
        <v>0</v>
      </c>
      <c r="E4249" s="7" t="s">
        <v>179</v>
      </c>
    </row>
    <row r="4250" spans="1:8">
      <c r="A4250" t="s">
        <v>4</v>
      </c>
      <c r="B4250" s="4" t="s">
        <v>5</v>
      </c>
      <c r="C4250" s="4" t="s">
        <v>11</v>
      </c>
    </row>
    <row r="4251" spans="1:8">
      <c r="A4251" t="n">
        <v>37749</v>
      </c>
      <c r="B4251" s="29" t="n">
        <v>16</v>
      </c>
      <c r="C4251" s="7" t="n">
        <v>0</v>
      </c>
    </row>
    <row r="4252" spans="1:8">
      <c r="A4252" t="s">
        <v>4</v>
      </c>
      <c r="B4252" s="4" t="s">
        <v>5</v>
      </c>
      <c r="C4252" s="4" t="s">
        <v>11</v>
      </c>
      <c r="D4252" s="4" t="s">
        <v>7</v>
      </c>
      <c r="E4252" s="4" t="s">
        <v>15</v>
      </c>
      <c r="F4252" s="4" t="s">
        <v>55</v>
      </c>
      <c r="G4252" s="4" t="s">
        <v>7</v>
      </c>
      <c r="H4252" s="4" t="s">
        <v>7</v>
      </c>
      <c r="I4252" s="4" t="s">
        <v>7</v>
      </c>
      <c r="J4252" s="4" t="s">
        <v>15</v>
      </c>
      <c r="K4252" s="4" t="s">
        <v>55</v>
      </c>
      <c r="L4252" s="4" t="s">
        <v>7</v>
      </c>
      <c r="M4252" s="4" t="s">
        <v>7</v>
      </c>
      <c r="N4252" s="4" t="s">
        <v>7</v>
      </c>
      <c r="O4252" s="4" t="s">
        <v>15</v>
      </c>
      <c r="P4252" s="4" t="s">
        <v>55</v>
      </c>
      <c r="Q4252" s="4" t="s">
        <v>7</v>
      </c>
      <c r="R4252" s="4" t="s">
        <v>7</v>
      </c>
    </row>
    <row r="4253" spans="1:8">
      <c r="A4253" t="n">
        <v>37752</v>
      </c>
      <c r="B4253" s="55" t="n">
        <v>26</v>
      </c>
      <c r="C4253" s="7" t="n">
        <v>0</v>
      </c>
      <c r="D4253" s="7" t="n">
        <v>17</v>
      </c>
      <c r="E4253" s="7" t="n">
        <v>63827</v>
      </c>
      <c r="F4253" s="7" t="s">
        <v>400</v>
      </c>
      <c r="G4253" s="7" t="n">
        <v>2</v>
      </c>
      <c r="H4253" s="7" t="n">
        <v>3</v>
      </c>
      <c r="I4253" s="7" t="n">
        <v>17</v>
      </c>
      <c r="J4253" s="7" t="n">
        <v>63828</v>
      </c>
      <c r="K4253" s="7" t="s">
        <v>401</v>
      </c>
      <c r="L4253" s="7" t="n">
        <v>2</v>
      </c>
      <c r="M4253" s="7" t="n">
        <v>3</v>
      </c>
      <c r="N4253" s="7" t="n">
        <v>17</v>
      </c>
      <c r="O4253" s="7" t="n">
        <v>63780</v>
      </c>
      <c r="P4253" s="7" t="s">
        <v>301</v>
      </c>
      <c r="Q4253" s="7" t="n">
        <v>2</v>
      </c>
      <c r="R4253" s="7" t="n">
        <v>0</v>
      </c>
    </row>
    <row r="4254" spans="1:8">
      <c r="A4254" t="s">
        <v>4</v>
      </c>
      <c r="B4254" s="4" t="s">
        <v>5</v>
      </c>
    </row>
    <row r="4255" spans="1:8">
      <c r="A4255" t="n">
        <v>37909</v>
      </c>
      <c r="B4255" s="27" t="n">
        <v>28</v>
      </c>
    </row>
    <row r="4256" spans="1:8">
      <c r="A4256" t="s">
        <v>4</v>
      </c>
      <c r="B4256" s="4" t="s">
        <v>5</v>
      </c>
      <c r="C4256" s="4" t="s">
        <v>7</v>
      </c>
      <c r="D4256" s="4" t="s">
        <v>11</v>
      </c>
      <c r="E4256" s="4" t="s">
        <v>8</v>
      </c>
    </row>
    <row r="4257" spans="1:18">
      <c r="A4257" t="n">
        <v>37910</v>
      </c>
      <c r="B4257" s="38" t="n">
        <v>51</v>
      </c>
      <c r="C4257" s="7" t="n">
        <v>4</v>
      </c>
      <c r="D4257" s="7" t="n">
        <v>3</v>
      </c>
      <c r="E4257" s="7" t="s">
        <v>238</v>
      </c>
    </row>
    <row r="4258" spans="1:18">
      <c r="A4258" t="s">
        <v>4</v>
      </c>
      <c r="B4258" s="4" t="s">
        <v>5</v>
      </c>
      <c r="C4258" s="4" t="s">
        <v>11</v>
      </c>
    </row>
    <row r="4259" spans="1:18">
      <c r="A4259" t="n">
        <v>37924</v>
      </c>
      <c r="B4259" s="29" t="n">
        <v>16</v>
      </c>
      <c r="C4259" s="7" t="n">
        <v>0</v>
      </c>
    </row>
    <row r="4260" spans="1:18">
      <c r="A4260" t="s">
        <v>4</v>
      </c>
      <c r="B4260" s="4" t="s">
        <v>5</v>
      </c>
      <c r="C4260" s="4" t="s">
        <v>11</v>
      </c>
      <c r="D4260" s="4" t="s">
        <v>7</v>
      </c>
      <c r="E4260" s="4" t="s">
        <v>15</v>
      </c>
      <c r="F4260" s="4" t="s">
        <v>55</v>
      </c>
      <c r="G4260" s="4" t="s">
        <v>7</v>
      </c>
      <c r="H4260" s="4" t="s">
        <v>7</v>
      </c>
    </row>
    <row r="4261" spans="1:18">
      <c r="A4261" t="n">
        <v>37927</v>
      </c>
      <c r="B4261" s="55" t="n">
        <v>26</v>
      </c>
      <c r="C4261" s="7" t="n">
        <v>3</v>
      </c>
      <c r="D4261" s="7" t="n">
        <v>17</v>
      </c>
      <c r="E4261" s="7" t="n">
        <v>63829</v>
      </c>
      <c r="F4261" s="7" t="s">
        <v>402</v>
      </c>
      <c r="G4261" s="7" t="n">
        <v>2</v>
      </c>
      <c r="H4261" s="7" t="n">
        <v>0</v>
      </c>
    </row>
    <row r="4262" spans="1:18">
      <c r="A4262" t="s">
        <v>4</v>
      </c>
      <c r="B4262" s="4" t="s">
        <v>5</v>
      </c>
    </row>
    <row r="4263" spans="1:18">
      <c r="A4263" t="n">
        <v>37957</v>
      </c>
      <c r="B4263" s="27" t="n">
        <v>28</v>
      </c>
    </row>
    <row r="4264" spans="1:18">
      <c r="A4264" t="s">
        <v>4</v>
      </c>
      <c r="B4264" s="4" t="s">
        <v>5</v>
      </c>
      <c r="C4264" s="4" t="s">
        <v>11</v>
      </c>
      <c r="D4264" s="4" t="s">
        <v>7</v>
      </c>
    </row>
    <row r="4265" spans="1:18">
      <c r="A4265" t="n">
        <v>37958</v>
      </c>
      <c r="B4265" s="68" t="n">
        <v>89</v>
      </c>
      <c r="C4265" s="7" t="n">
        <v>65533</v>
      </c>
      <c r="D4265" s="7" t="n">
        <v>1</v>
      </c>
    </row>
    <row r="4266" spans="1:18">
      <c r="A4266" t="s">
        <v>4</v>
      </c>
      <c r="B4266" s="4" t="s">
        <v>5</v>
      </c>
      <c r="C4266" s="4" t="s">
        <v>7</v>
      </c>
      <c r="D4266" s="4" t="s">
        <v>11</v>
      </c>
      <c r="E4266" s="4" t="s">
        <v>13</v>
      </c>
    </row>
    <row r="4267" spans="1:18">
      <c r="A4267" t="n">
        <v>37962</v>
      </c>
      <c r="B4267" s="23" t="n">
        <v>58</v>
      </c>
      <c r="C4267" s="7" t="n">
        <v>101</v>
      </c>
      <c r="D4267" s="7" t="n">
        <v>500</v>
      </c>
      <c r="E4267" s="7" t="n">
        <v>1</v>
      </c>
    </row>
    <row r="4268" spans="1:18">
      <c r="A4268" t="s">
        <v>4</v>
      </c>
      <c r="B4268" s="4" t="s">
        <v>5</v>
      </c>
      <c r="C4268" s="4" t="s">
        <v>7</v>
      </c>
      <c r="D4268" s="4" t="s">
        <v>11</v>
      </c>
    </row>
    <row r="4269" spans="1:18">
      <c r="A4269" t="n">
        <v>37970</v>
      </c>
      <c r="B4269" s="23" t="n">
        <v>58</v>
      </c>
      <c r="C4269" s="7" t="n">
        <v>254</v>
      </c>
      <c r="D4269" s="7" t="n">
        <v>0</v>
      </c>
    </row>
    <row r="4270" spans="1:18">
      <c r="A4270" t="s">
        <v>4</v>
      </c>
      <c r="B4270" s="4" t="s">
        <v>5</v>
      </c>
      <c r="C4270" s="4" t="s">
        <v>7</v>
      </c>
      <c r="D4270" s="4" t="s">
        <v>11</v>
      </c>
      <c r="E4270" s="4" t="s">
        <v>8</v>
      </c>
      <c r="F4270" s="4" t="s">
        <v>8</v>
      </c>
      <c r="G4270" s="4" t="s">
        <v>8</v>
      </c>
      <c r="H4270" s="4" t="s">
        <v>8</v>
      </c>
    </row>
    <row r="4271" spans="1:18">
      <c r="A4271" t="n">
        <v>37974</v>
      </c>
      <c r="B4271" s="38" t="n">
        <v>51</v>
      </c>
      <c r="C4271" s="7" t="n">
        <v>3</v>
      </c>
      <c r="D4271" s="7" t="n">
        <v>0</v>
      </c>
      <c r="E4271" s="7" t="s">
        <v>65</v>
      </c>
      <c r="F4271" s="7" t="s">
        <v>99</v>
      </c>
      <c r="G4271" s="7" t="s">
        <v>78</v>
      </c>
      <c r="H4271" s="7" t="s">
        <v>79</v>
      </c>
    </row>
    <row r="4272" spans="1:18">
      <c r="A4272" t="s">
        <v>4</v>
      </c>
      <c r="B4272" s="4" t="s">
        <v>5</v>
      </c>
      <c r="C4272" s="4" t="s">
        <v>7</v>
      </c>
      <c r="D4272" s="4" t="s">
        <v>11</v>
      </c>
      <c r="E4272" s="4" t="s">
        <v>8</v>
      </c>
      <c r="F4272" s="4" t="s">
        <v>8</v>
      </c>
      <c r="G4272" s="4" t="s">
        <v>8</v>
      </c>
      <c r="H4272" s="4" t="s">
        <v>8</v>
      </c>
    </row>
    <row r="4273" spans="1:8">
      <c r="A4273" t="n">
        <v>37995</v>
      </c>
      <c r="B4273" s="38" t="n">
        <v>51</v>
      </c>
      <c r="C4273" s="7" t="n">
        <v>3</v>
      </c>
      <c r="D4273" s="7" t="n">
        <v>3</v>
      </c>
      <c r="E4273" s="7" t="s">
        <v>65</v>
      </c>
      <c r="F4273" s="7" t="s">
        <v>232</v>
      </c>
      <c r="G4273" s="7" t="s">
        <v>78</v>
      </c>
      <c r="H4273" s="7" t="s">
        <v>79</v>
      </c>
    </row>
    <row r="4274" spans="1:8">
      <c r="A4274" t="s">
        <v>4</v>
      </c>
      <c r="B4274" s="4" t="s">
        <v>5</v>
      </c>
      <c r="C4274" s="4" t="s">
        <v>11</v>
      </c>
      <c r="D4274" s="4" t="s">
        <v>11</v>
      </c>
      <c r="E4274" s="4" t="s">
        <v>11</v>
      </c>
    </row>
    <row r="4275" spans="1:8">
      <c r="A4275" t="n">
        <v>38016</v>
      </c>
      <c r="B4275" s="72" t="n">
        <v>61</v>
      </c>
      <c r="C4275" s="7" t="n">
        <v>0</v>
      </c>
      <c r="D4275" s="7" t="n">
        <v>65533</v>
      </c>
      <c r="E4275" s="7" t="n">
        <v>0</v>
      </c>
    </row>
    <row r="4276" spans="1:8">
      <c r="A4276" t="s">
        <v>4</v>
      </c>
      <c r="B4276" s="4" t="s">
        <v>5</v>
      </c>
      <c r="C4276" s="4" t="s">
        <v>11</v>
      </c>
      <c r="D4276" s="4" t="s">
        <v>11</v>
      </c>
      <c r="E4276" s="4" t="s">
        <v>11</v>
      </c>
    </row>
    <row r="4277" spans="1:8">
      <c r="A4277" t="n">
        <v>38023</v>
      </c>
      <c r="B4277" s="72" t="n">
        <v>61</v>
      </c>
      <c r="C4277" s="7" t="n">
        <v>3</v>
      </c>
      <c r="D4277" s="7" t="n">
        <v>65533</v>
      </c>
      <c r="E4277" s="7" t="n">
        <v>0</v>
      </c>
    </row>
    <row r="4278" spans="1:8">
      <c r="A4278" t="s">
        <v>4</v>
      </c>
      <c r="B4278" s="4" t="s">
        <v>5</v>
      </c>
      <c r="C4278" s="4" t="s">
        <v>7</v>
      </c>
    </row>
    <row r="4279" spans="1:8">
      <c r="A4279" t="n">
        <v>38030</v>
      </c>
      <c r="B4279" s="49" t="n">
        <v>116</v>
      </c>
      <c r="C4279" s="7" t="n">
        <v>0</v>
      </c>
    </row>
    <row r="4280" spans="1:8">
      <c r="A4280" t="s">
        <v>4</v>
      </c>
      <c r="B4280" s="4" t="s">
        <v>5</v>
      </c>
      <c r="C4280" s="4" t="s">
        <v>7</v>
      </c>
      <c r="D4280" s="4" t="s">
        <v>11</v>
      </c>
    </row>
    <row r="4281" spans="1:8">
      <c r="A4281" t="n">
        <v>38032</v>
      </c>
      <c r="B4281" s="49" t="n">
        <v>116</v>
      </c>
      <c r="C4281" s="7" t="n">
        <v>2</v>
      </c>
      <c r="D4281" s="7" t="n">
        <v>1</v>
      </c>
    </row>
    <row r="4282" spans="1:8">
      <c r="A4282" t="s">
        <v>4</v>
      </c>
      <c r="B4282" s="4" t="s">
        <v>5</v>
      </c>
      <c r="C4282" s="4" t="s">
        <v>7</v>
      </c>
      <c r="D4282" s="4" t="s">
        <v>15</v>
      </c>
    </row>
    <row r="4283" spans="1:8">
      <c r="A4283" t="n">
        <v>38036</v>
      </c>
      <c r="B4283" s="49" t="n">
        <v>116</v>
      </c>
      <c r="C4283" s="7" t="n">
        <v>5</v>
      </c>
      <c r="D4283" s="7" t="n">
        <v>1106247680</v>
      </c>
    </row>
    <row r="4284" spans="1:8">
      <c r="A4284" t="s">
        <v>4</v>
      </c>
      <c r="B4284" s="4" t="s">
        <v>5</v>
      </c>
      <c r="C4284" s="4" t="s">
        <v>7</v>
      </c>
      <c r="D4284" s="4" t="s">
        <v>11</v>
      </c>
    </row>
    <row r="4285" spans="1:8">
      <c r="A4285" t="n">
        <v>38042</v>
      </c>
      <c r="B4285" s="49" t="n">
        <v>116</v>
      </c>
      <c r="C4285" s="7" t="n">
        <v>6</v>
      </c>
      <c r="D4285" s="7" t="n">
        <v>1</v>
      </c>
    </row>
    <row r="4286" spans="1:8">
      <c r="A4286" t="s">
        <v>4</v>
      </c>
      <c r="B4286" s="4" t="s">
        <v>5</v>
      </c>
      <c r="C4286" s="4" t="s">
        <v>7</v>
      </c>
      <c r="D4286" s="4" t="s">
        <v>7</v>
      </c>
      <c r="E4286" s="4" t="s">
        <v>13</v>
      </c>
      <c r="F4286" s="4" t="s">
        <v>13</v>
      </c>
      <c r="G4286" s="4" t="s">
        <v>13</v>
      </c>
      <c r="H4286" s="4" t="s">
        <v>11</v>
      </c>
    </row>
    <row r="4287" spans="1:8">
      <c r="A4287" t="n">
        <v>38046</v>
      </c>
      <c r="B4287" s="51" t="n">
        <v>45</v>
      </c>
      <c r="C4287" s="7" t="n">
        <v>2</v>
      </c>
      <c r="D4287" s="7" t="n">
        <v>3</v>
      </c>
      <c r="E4287" s="7" t="n">
        <v>4.53000020980835</v>
      </c>
      <c r="F4287" s="7" t="n">
        <v>1.30999994277954</v>
      </c>
      <c r="G4287" s="7" t="n">
        <v>46.2700004577637</v>
      </c>
      <c r="H4287" s="7" t="n">
        <v>0</v>
      </c>
    </row>
    <row r="4288" spans="1:8">
      <c r="A4288" t="s">
        <v>4</v>
      </c>
      <c r="B4288" s="4" t="s">
        <v>5</v>
      </c>
      <c r="C4288" s="4" t="s">
        <v>7</v>
      </c>
      <c r="D4288" s="4" t="s">
        <v>7</v>
      </c>
      <c r="E4288" s="4" t="s">
        <v>13</v>
      </c>
      <c r="F4288" s="4" t="s">
        <v>13</v>
      </c>
      <c r="G4288" s="4" t="s">
        <v>13</v>
      </c>
      <c r="H4288" s="4" t="s">
        <v>11</v>
      </c>
      <c r="I4288" s="4" t="s">
        <v>7</v>
      </c>
    </row>
    <row r="4289" spans="1:9">
      <c r="A4289" t="n">
        <v>38063</v>
      </c>
      <c r="B4289" s="51" t="n">
        <v>45</v>
      </c>
      <c r="C4289" s="7" t="n">
        <v>4</v>
      </c>
      <c r="D4289" s="7" t="n">
        <v>3</v>
      </c>
      <c r="E4289" s="7" t="n">
        <v>12.8699998855591</v>
      </c>
      <c r="F4289" s="7" t="n">
        <v>80.0199966430664</v>
      </c>
      <c r="G4289" s="7" t="n">
        <v>0</v>
      </c>
      <c r="H4289" s="7" t="n">
        <v>0</v>
      </c>
      <c r="I4289" s="7" t="n">
        <v>0</v>
      </c>
    </row>
    <row r="4290" spans="1:9">
      <c r="A4290" t="s">
        <v>4</v>
      </c>
      <c r="B4290" s="4" t="s">
        <v>5</v>
      </c>
      <c r="C4290" s="4" t="s">
        <v>7</v>
      </c>
      <c r="D4290" s="4" t="s">
        <v>7</v>
      </c>
      <c r="E4290" s="4" t="s">
        <v>13</v>
      </c>
      <c r="F4290" s="4" t="s">
        <v>11</v>
      </c>
    </row>
    <row r="4291" spans="1:9">
      <c r="A4291" t="n">
        <v>38081</v>
      </c>
      <c r="B4291" s="51" t="n">
        <v>45</v>
      </c>
      <c r="C4291" s="7" t="n">
        <v>5</v>
      </c>
      <c r="D4291" s="7" t="n">
        <v>3</v>
      </c>
      <c r="E4291" s="7" t="n">
        <v>3</v>
      </c>
      <c r="F4291" s="7" t="n">
        <v>0</v>
      </c>
    </row>
    <row r="4292" spans="1:9">
      <c r="A4292" t="s">
        <v>4</v>
      </c>
      <c r="B4292" s="4" t="s">
        <v>5</v>
      </c>
      <c r="C4292" s="4" t="s">
        <v>7</v>
      </c>
      <c r="D4292" s="4" t="s">
        <v>7</v>
      </c>
      <c r="E4292" s="4" t="s">
        <v>13</v>
      </c>
      <c r="F4292" s="4" t="s">
        <v>11</v>
      </c>
    </row>
    <row r="4293" spans="1:9">
      <c r="A4293" t="n">
        <v>38090</v>
      </c>
      <c r="B4293" s="51" t="n">
        <v>45</v>
      </c>
      <c r="C4293" s="7" t="n">
        <v>11</v>
      </c>
      <c r="D4293" s="7" t="n">
        <v>3</v>
      </c>
      <c r="E4293" s="7" t="n">
        <v>34</v>
      </c>
      <c r="F4293" s="7" t="n">
        <v>0</v>
      </c>
    </row>
    <row r="4294" spans="1:9">
      <c r="A4294" t="s">
        <v>4</v>
      </c>
      <c r="B4294" s="4" t="s">
        <v>5</v>
      </c>
      <c r="C4294" s="4" t="s">
        <v>7</v>
      </c>
      <c r="D4294" s="4" t="s">
        <v>7</v>
      </c>
      <c r="E4294" s="4" t="s">
        <v>13</v>
      </c>
      <c r="F4294" s="4" t="s">
        <v>13</v>
      </c>
      <c r="G4294" s="4" t="s">
        <v>13</v>
      </c>
      <c r="H4294" s="4" t="s">
        <v>11</v>
      </c>
    </row>
    <row r="4295" spans="1:9">
      <c r="A4295" t="n">
        <v>38099</v>
      </c>
      <c r="B4295" s="51" t="n">
        <v>45</v>
      </c>
      <c r="C4295" s="7" t="n">
        <v>2</v>
      </c>
      <c r="D4295" s="7" t="n">
        <v>3</v>
      </c>
      <c r="E4295" s="7" t="n">
        <v>4.53000020980835</v>
      </c>
      <c r="F4295" s="7" t="n">
        <v>2.30999994277954</v>
      </c>
      <c r="G4295" s="7" t="n">
        <v>46.2700004577637</v>
      </c>
      <c r="H4295" s="7" t="n">
        <v>5000</v>
      </c>
    </row>
    <row r="4296" spans="1:9">
      <c r="A4296" t="s">
        <v>4</v>
      </c>
      <c r="B4296" s="4" t="s">
        <v>5</v>
      </c>
      <c r="C4296" s="4" t="s">
        <v>7</v>
      </c>
      <c r="D4296" s="4" t="s">
        <v>11</v>
      </c>
    </row>
    <row r="4297" spans="1:9">
      <c r="A4297" t="n">
        <v>38116</v>
      </c>
      <c r="B4297" s="23" t="n">
        <v>58</v>
      </c>
      <c r="C4297" s="7" t="n">
        <v>255</v>
      </c>
      <c r="D4297" s="7" t="n">
        <v>0</v>
      </c>
    </row>
    <row r="4298" spans="1:9">
      <c r="A4298" t="s">
        <v>4</v>
      </c>
      <c r="B4298" s="4" t="s">
        <v>5</v>
      </c>
      <c r="C4298" s="4" t="s">
        <v>11</v>
      </c>
      <c r="D4298" s="4" t="s">
        <v>13</v>
      </c>
      <c r="E4298" s="4" t="s">
        <v>13</v>
      </c>
      <c r="F4298" s="4" t="s">
        <v>7</v>
      </c>
    </row>
    <row r="4299" spans="1:9">
      <c r="A4299" t="n">
        <v>38120</v>
      </c>
      <c r="B4299" s="65" t="n">
        <v>52</v>
      </c>
      <c r="C4299" s="7" t="n">
        <v>0</v>
      </c>
      <c r="D4299" s="7" t="n">
        <v>255</v>
      </c>
      <c r="E4299" s="7" t="n">
        <v>5</v>
      </c>
      <c r="F4299" s="7" t="n">
        <v>0</v>
      </c>
    </row>
    <row r="4300" spans="1:9">
      <c r="A4300" t="s">
        <v>4</v>
      </c>
      <c r="B4300" s="4" t="s">
        <v>5</v>
      </c>
      <c r="C4300" s="4" t="s">
        <v>11</v>
      </c>
    </row>
    <row r="4301" spans="1:9">
      <c r="A4301" t="n">
        <v>38132</v>
      </c>
      <c r="B4301" s="29" t="n">
        <v>16</v>
      </c>
      <c r="C4301" s="7" t="n">
        <v>100</v>
      </c>
    </row>
    <row r="4302" spans="1:9">
      <c r="A4302" t="s">
        <v>4</v>
      </c>
      <c r="B4302" s="4" t="s">
        <v>5</v>
      </c>
      <c r="C4302" s="4" t="s">
        <v>11</v>
      </c>
      <c r="D4302" s="4" t="s">
        <v>13</v>
      </c>
      <c r="E4302" s="4" t="s">
        <v>13</v>
      </c>
      <c r="F4302" s="4" t="s">
        <v>7</v>
      </c>
    </row>
    <row r="4303" spans="1:9">
      <c r="A4303" t="n">
        <v>38135</v>
      </c>
      <c r="B4303" s="65" t="n">
        <v>52</v>
      </c>
      <c r="C4303" s="7" t="n">
        <v>3</v>
      </c>
      <c r="D4303" s="7" t="n">
        <v>255</v>
      </c>
      <c r="E4303" s="7" t="n">
        <v>5</v>
      </c>
      <c r="F4303" s="7" t="n">
        <v>0</v>
      </c>
    </row>
    <row r="4304" spans="1:9">
      <c r="A4304" t="s">
        <v>4</v>
      </c>
      <c r="B4304" s="4" t="s">
        <v>5</v>
      </c>
      <c r="C4304" s="4" t="s">
        <v>11</v>
      </c>
    </row>
    <row r="4305" spans="1:9">
      <c r="A4305" t="n">
        <v>38147</v>
      </c>
      <c r="B4305" s="66" t="n">
        <v>54</v>
      </c>
      <c r="C4305" s="7" t="n">
        <v>0</v>
      </c>
    </row>
    <row r="4306" spans="1:9">
      <c r="A4306" t="s">
        <v>4</v>
      </c>
      <c r="B4306" s="4" t="s">
        <v>5</v>
      </c>
      <c r="C4306" s="4" t="s">
        <v>11</v>
      </c>
      <c r="D4306" s="4" t="s">
        <v>11</v>
      </c>
      <c r="E4306" s="4" t="s">
        <v>13</v>
      </c>
      <c r="F4306" s="4" t="s">
        <v>13</v>
      </c>
      <c r="G4306" s="4" t="s">
        <v>13</v>
      </c>
      <c r="H4306" s="4" t="s">
        <v>13</v>
      </c>
      <c r="I4306" s="4" t="s">
        <v>7</v>
      </c>
      <c r="J4306" s="4" t="s">
        <v>11</v>
      </c>
    </row>
    <row r="4307" spans="1:9">
      <c r="A4307" t="n">
        <v>38150</v>
      </c>
      <c r="B4307" s="53" t="n">
        <v>55</v>
      </c>
      <c r="C4307" s="7" t="n">
        <v>0</v>
      </c>
      <c r="D4307" s="7" t="n">
        <v>65024</v>
      </c>
      <c r="E4307" s="7" t="n">
        <v>0</v>
      </c>
      <c r="F4307" s="7" t="n">
        <v>0</v>
      </c>
      <c r="G4307" s="7" t="n">
        <v>6</v>
      </c>
      <c r="H4307" s="7" t="n">
        <v>1.20000004768372</v>
      </c>
      <c r="I4307" s="7" t="n">
        <v>1</v>
      </c>
      <c r="J4307" s="7" t="n">
        <v>0</v>
      </c>
    </row>
    <row r="4308" spans="1:9">
      <c r="A4308" t="s">
        <v>4</v>
      </c>
      <c r="B4308" s="4" t="s">
        <v>5</v>
      </c>
      <c r="C4308" s="4" t="s">
        <v>11</v>
      </c>
    </row>
    <row r="4309" spans="1:9">
      <c r="A4309" t="n">
        <v>38174</v>
      </c>
      <c r="B4309" s="66" t="n">
        <v>54</v>
      </c>
      <c r="C4309" s="7" t="n">
        <v>3</v>
      </c>
    </row>
    <row r="4310" spans="1:9">
      <c r="A4310" t="s">
        <v>4</v>
      </c>
      <c r="B4310" s="4" t="s">
        <v>5</v>
      </c>
      <c r="C4310" s="4" t="s">
        <v>11</v>
      </c>
    </row>
    <row r="4311" spans="1:9">
      <c r="A4311" t="n">
        <v>38177</v>
      </c>
      <c r="B4311" s="29" t="n">
        <v>16</v>
      </c>
      <c r="C4311" s="7" t="n">
        <v>200</v>
      </c>
    </row>
    <row r="4312" spans="1:9">
      <c r="A4312" t="s">
        <v>4</v>
      </c>
      <c r="B4312" s="4" t="s">
        <v>5</v>
      </c>
      <c r="C4312" s="4" t="s">
        <v>11</v>
      </c>
      <c r="D4312" s="4" t="s">
        <v>11</v>
      </c>
      <c r="E4312" s="4" t="s">
        <v>13</v>
      </c>
      <c r="F4312" s="4" t="s">
        <v>13</v>
      </c>
      <c r="G4312" s="4" t="s">
        <v>13</v>
      </c>
      <c r="H4312" s="4" t="s">
        <v>13</v>
      </c>
      <c r="I4312" s="4" t="s">
        <v>7</v>
      </c>
      <c r="J4312" s="4" t="s">
        <v>11</v>
      </c>
    </row>
    <row r="4313" spans="1:9">
      <c r="A4313" t="n">
        <v>38180</v>
      </c>
      <c r="B4313" s="53" t="n">
        <v>55</v>
      </c>
      <c r="C4313" s="7" t="n">
        <v>3</v>
      </c>
      <c r="D4313" s="7" t="n">
        <v>65024</v>
      </c>
      <c r="E4313" s="7" t="n">
        <v>0</v>
      </c>
      <c r="F4313" s="7" t="n">
        <v>0</v>
      </c>
      <c r="G4313" s="7" t="n">
        <v>6</v>
      </c>
      <c r="H4313" s="7" t="n">
        <v>1.20000004768372</v>
      </c>
      <c r="I4313" s="7" t="n">
        <v>1</v>
      </c>
      <c r="J4313" s="7" t="n">
        <v>0</v>
      </c>
    </row>
    <row r="4314" spans="1:9">
      <c r="A4314" t="s">
        <v>4</v>
      </c>
      <c r="B4314" s="4" t="s">
        <v>5</v>
      </c>
      <c r="C4314" s="4" t="s">
        <v>11</v>
      </c>
    </row>
    <row r="4315" spans="1:9">
      <c r="A4315" t="n">
        <v>38204</v>
      </c>
      <c r="B4315" s="29" t="n">
        <v>16</v>
      </c>
      <c r="C4315" s="7" t="n">
        <v>2000</v>
      </c>
    </row>
    <row r="4316" spans="1:9">
      <c r="A4316" t="s">
        <v>4</v>
      </c>
      <c r="B4316" s="4" t="s">
        <v>5</v>
      </c>
      <c r="C4316" s="4" t="s">
        <v>7</v>
      </c>
      <c r="D4316" s="4" t="s">
        <v>11</v>
      </c>
      <c r="E4316" s="4" t="s">
        <v>13</v>
      </c>
    </row>
    <row r="4317" spans="1:9">
      <c r="A4317" t="n">
        <v>38207</v>
      </c>
      <c r="B4317" s="23" t="n">
        <v>58</v>
      </c>
      <c r="C4317" s="7" t="n">
        <v>0</v>
      </c>
      <c r="D4317" s="7" t="n">
        <v>1000</v>
      </c>
      <c r="E4317" s="7" t="n">
        <v>1</v>
      </c>
    </row>
    <row r="4318" spans="1:9">
      <c r="A4318" t="s">
        <v>4</v>
      </c>
      <c r="B4318" s="4" t="s">
        <v>5</v>
      </c>
      <c r="C4318" s="4" t="s">
        <v>7</v>
      </c>
      <c r="D4318" s="4" t="s">
        <v>11</v>
      </c>
    </row>
    <row r="4319" spans="1:9">
      <c r="A4319" t="n">
        <v>38215</v>
      </c>
      <c r="B4319" s="23" t="n">
        <v>58</v>
      </c>
      <c r="C4319" s="7" t="n">
        <v>255</v>
      </c>
      <c r="D4319" s="7" t="n">
        <v>0</v>
      </c>
    </row>
    <row r="4320" spans="1:9">
      <c r="A4320" t="s">
        <v>4</v>
      </c>
      <c r="B4320" s="4" t="s">
        <v>5</v>
      </c>
      <c r="C4320" s="4" t="s">
        <v>11</v>
      </c>
      <c r="D4320" s="4" t="s">
        <v>7</v>
      </c>
    </row>
    <row r="4321" spans="1:10">
      <c r="A4321" t="n">
        <v>38219</v>
      </c>
      <c r="B4321" s="54" t="n">
        <v>56</v>
      </c>
      <c r="C4321" s="7" t="n">
        <v>0</v>
      </c>
      <c r="D4321" s="7" t="n">
        <v>1</v>
      </c>
    </row>
    <row r="4322" spans="1:10">
      <c r="A4322" t="s">
        <v>4</v>
      </c>
      <c r="B4322" s="4" t="s">
        <v>5</v>
      </c>
      <c r="C4322" s="4" t="s">
        <v>11</v>
      </c>
      <c r="D4322" s="4" t="s">
        <v>7</v>
      </c>
    </row>
    <row r="4323" spans="1:10">
      <c r="A4323" t="n">
        <v>38223</v>
      </c>
      <c r="B4323" s="54" t="n">
        <v>56</v>
      </c>
      <c r="C4323" s="7" t="n">
        <v>3</v>
      </c>
      <c r="D4323" s="7" t="n">
        <v>1</v>
      </c>
    </row>
    <row r="4324" spans="1:10">
      <c r="A4324" t="s">
        <v>4</v>
      </c>
      <c r="B4324" s="4" t="s">
        <v>5</v>
      </c>
      <c r="C4324" s="4" t="s">
        <v>11</v>
      </c>
      <c r="D4324" s="4" t="s">
        <v>13</v>
      </c>
      <c r="E4324" s="4" t="s">
        <v>13</v>
      </c>
      <c r="F4324" s="4" t="s">
        <v>13</v>
      </c>
      <c r="G4324" s="4" t="s">
        <v>13</v>
      </c>
    </row>
    <row r="4325" spans="1:10">
      <c r="A4325" t="n">
        <v>38227</v>
      </c>
      <c r="B4325" s="36" t="n">
        <v>46</v>
      </c>
      <c r="C4325" s="7" t="n">
        <v>0</v>
      </c>
      <c r="D4325" s="7" t="n">
        <v>-2.77999997138977</v>
      </c>
      <c r="E4325" s="7" t="n">
        <v>10.0100002288818</v>
      </c>
      <c r="F4325" s="7" t="n">
        <v>55.7299995422363</v>
      </c>
      <c r="G4325" s="7" t="n">
        <v>96</v>
      </c>
    </row>
    <row r="4326" spans="1:10">
      <c r="A4326" t="s">
        <v>4</v>
      </c>
      <c r="B4326" s="4" t="s">
        <v>5</v>
      </c>
      <c r="C4326" s="4" t="s">
        <v>11</v>
      </c>
      <c r="D4326" s="4" t="s">
        <v>13</v>
      </c>
      <c r="E4326" s="4" t="s">
        <v>13</v>
      </c>
      <c r="F4326" s="4" t="s">
        <v>13</v>
      </c>
      <c r="G4326" s="4" t="s">
        <v>13</v>
      </c>
    </row>
    <row r="4327" spans="1:10">
      <c r="A4327" t="n">
        <v>38246</v>
      </c>
      <c r="B4327" s="36" t="n">
        <v>46</v>
      </c>
      <c r="C4327" s="7" t="n">
        <v>3</v>
      </c>
      <c r="D4327" s="7" t="n">
        <v>-1.98000001907349</v>
      </c>
      <c r="E4327" s="7" t="n">
        <v>10.0100002288818</v>
      </c>
      <c r="F4327" s="7" t="n">
        <v>56.3600006103516</v>
      </c>
      <c r="G4327" s="7" t="n">
        <v>90.1999969482422</v>
      </c>
    </row>
    <row r="4328" spans="1:10">
      <c r="A4328" t="s">
        <v>4</v>
      </c>
      <c r="B4328" s="4" t="s">
        <v>5</v>
      </c>
      <c r="C4328" s="4" t="s">
        <v>11</v>
      </c>
      <c r="D4328" s="4" t="s">
        <v>11</v>
      </c>
      <c r="E4328" s="4" t="s">
        <v>11</v>
      </c>
    </row>
    <row r="4329" spans="1:10">
      <c r="A4329" t="n">
        <v>38265</v>
      </c>
      <c r="B4329" s="72" t="n">
        <v>61</v>
      </c>
      <c r="C4329" s="7" t="n">
        <v>0</v>
      </c>
      <c r="D4329" s="7" t="n">
        <v>65533</v>
      </c>
      <c r="E4329" s="7" t="n">
        <v>0</v>
      </c>
    </row>
    <row r="4330" spans="1:10">
      <c r="A4330" t="s">
        <v>4</v>
      </c>
      <c r="B4330" s="4" t="s">
        <v>5</v>
      </c>
      <c r="C4330" s="4" t="s">
        <v>11</v>
      </c>
      <c r="D4330" s="4" t="s">
        <v>11</v>
      </c>
      <c r="E4330" s="4" t="s">
        <v>11</v>
      </c>
    </row>
    <row r="4331" spans="1:10">
      <c r="A4331" t="n">
        <v>38272</v>
      </c>
      <c r="B4331" s="72" t="n">
        <v>61</v>
      </c>
      <c r="C4331" s="7" t="n">
        <v>3</v>
      </c>
      <c r="D4331" s="7" t="n">
        <v>65533</v>
      </c>
      <c r="E4331" s="7" t="n">
        <v>0</v>
      </c>
    </row>
    <row r="4332" spans="1:10">
      <c r="A4332" t="s">
        <v>4</v>
      </c>
      <c r="B4332" s="4" t="s">
        <v>5</v>
      </c>
      <c r="C4332" s="4" t="s">
        <v>7</v>
      </c>
      <c r="D4332" s="4" t="s">
        <v>7</v>
      </c>
      <c r="E4332" s="4" t="s">
        <v>13</v>
      </c>
      <c r="F4332" s="4" t="s">
        <v>13</v>
      </c>
      <c r="G4332" s="4" t="s">
        <v>13</v>
      </c>
      <c r="H4332" s="4" t="s">
        <v>11</v>
      </c>
    </row>
    <row r="4333" spans="1:10">
      <c r="A4333" t="n">
        <v>38279</v>
      </c>
      <c r="B4333" s="51" t="n">
        <v>45</v>
      </c>
      <c r="C4333" s="7" t="n">
        <v>2</v>
      </c>
      <c r="D4333" s="7" t="n">
        <v>3</v>
      </c>
      <c r="E4333" s="7" t="n">
        <v>6.67000007629395</v>
      </c>
      <c r="F4333" s="7" t="n">
        <v>11.6000003814697</v>
      </c>
      <c r="G4333" s="7" t="n">
        <v>55.4500007629395</v>
      </c>
      <c r="H4333" s="7" t="n">
        <v>0</v>
      </c>
    </row>
    <row r="4334" spans="1:10">
      <c r="A4334" t="s">
        <v>4</v>
      </c>
      <c r="B4334" s="4" t="s">
        <v>5</v>
      </c>
      <c r="C4334" s="4" t="s">
        <v>7</v>
      </c>
      <c r="D4334" s="4" t="s">
        <v>7</v>
      </c>
      <c r="E4334" s="4" t="s">
        <v>13</v>
      </c>
      <c r="F4334" s="4" t="s">
        <v>13</v>
      </c>
      <c r="G4334" s="4" t="s">
        <v>13</v>
      </c>
      <c r="H4334" s="4" t="s">
        <v>11</v>
      </c>
      <c r="I4334" s="4" t="s">
        <v>7</v>
      </c>
    </row>
    <row r="4335" spans="1:10">
      <c r="A4335" t="n">
        <v>38296</v>
      </c>
      <c r="B4335" s="51" t="n">
        <v>45</v>
      </c>
      <c r="C4335" s="7" t="n">
        <v>4</v>
      </c>
      <c r="D4335" s="7" t="n">
        <v>3</v>
      </c>
      <c r="E4335" s="7" t="n">
        <v>11.6499996185303</v>
      </c>
      <c r="F4335" s="7" t="n">
        <v>244.470001220703</v>
      </c>
      <c r="G4335" s="7" t="n">
        <v>0</v>
      </c>
      <c r="H4335" s="7" t="n">
        <v>0</v>
      </c>
      <c r="I4335" s="7" t="n">
        <v>0</v>
      </c>
    </row>
    <row r="4336" spans="1:10">
      <c r="A4336" t="s">
        <v>4</v>
      </c>
      <c r="B4336" s="4" t="s">
        <v>5</v>
      </c>
      <c r="C4336" s="4" t="s">
        <v>7</v>
      </c>
      <c r="D4336" s="4" t="s">
        <v>7</v>
      </c>
      <c r="E4336" s="4" t="s">
        <v>13</v>
      </c>
      <c r="F4336" s="4" t="s">
        <v>11</v>
      </c>
    </row>
    <row r="4337" spans="1:9">
      <c r="A4337" t="n">
        <v>38314</v>
      </c>
      <c r="B4337" s="51" t="n">
        <v>45</v>
      </c>
      <c r="C4337" s="7" t="n">
        <v>5</v>
      </c>
      <c r="D4337" s="7" t="n">
        <v>3</v>
      </c>
      <c r="E4337" s="7" t="n">
        <v>3.59999990463257</v>
      </c>
      <c r="F4337" s="7" t="n">
        <v>0</v>
      </c>
    </row>
    <row r="4338" spans="1:9">
      <c r="A4338" t="s">
        <v>4</v>
      </c>
      <c r="B4338" s="4" t="s">
        <v>5</v>
      </c>
      <c r="C4338" s="4" t="s">
        <v>7</v>
      </c>
      <c r="D4338" s="4" t="s">
        <v>7</v>
      </c>
      <c r="E4338" s="4" t="s">
        <v>13</v>
      </c>
      <c r="F4338" s="4" t="s">
        <v>11</v>
      </c>
    </row>
    <row r="4339" spans="1:9">
      <c r="A4339" t="n">
        <v>38323</v>
      </c>
      <c r="B4339" s="51" t="n">
        <v>45</v>
      </c>
      <c r="C4339" s="7" t="n">
        <v>11</v>
      </c>
      <c r="D4339" s="7" t="n">
        <v>3</v>
      </c>
      <c r="E4339" s="7" t="n">
        <v>34</v>
      </c>
      <c r="F4339" s="7" t="n">
        <v>0</v>
      </c>
    </row>
    <row r="4340" spans="1:9">
      <c r="A4340" t="s">
        <v>4</v>
      </c>
      <c r="B4340" s="4" t="s">
        <v>5</v>
      </c>
      <c r="C4340" s="4" t="s">
        <v>7</v>
      </c>
      <c r="D4340" s="4" t="s">
        <v>7</v>
      </c>
      <c r="E4340" s="4" t="s">
        <v>13</v>
      </c>
      <c r="F4340" s="4" t="s">
        <v>13</v>
      </c>
      <c r="G4340" s="4" t="s">
        <v>13</v>
      </c>
      <c r="H4340" s="4" t="s">
        <v>11</v>
      </c>
    </row>
    <row r="4341" spans="1:9">
      <c r="A4341" t="n">
        <v>38332</v>
      </c>
      <c r="B4341" s="51" t="n">
        <v>45</v>
      </c>
      <c r="C4341" s="7" t="n">
        <v>2</v>
      </c>
      <c r="D4341" s="7" t="n">
        <v>3</v>
      </c>
      <c r="E4341" s="7" t="n">
        <v>-2.00999999046326</v>
      </c>
      <c r="F4341" s="7" t="n">
        <v>11.1599998474121</v>
      </c>
      <c r="G4341" s="7" t="n">
        <v>56.2200012207031</v>
      </c>
      <c r="H4341" s="7" t="n">
        <v>6000</v>
      </c>
    </row>
    <row r="4342" spans="1:9">
      <c r="A4342" t="s">
        <v>4</v>
      </c>
      <c r="B4342" s="4" t="s">
        <v>5</v>
      </c>
      <c r="C4342" s="4" t="s">
        <v>7</v>
      </c>
      <c r="D4342" s="4" t="s">
        <v>7</v>
      </c>
      <c r="E4342" s="4" t="s">
        <v>13</v>
      </c>
      <c r="F4342" s="4" t="s">
        <v>13</v>
      </c>
      <c r="G4342" s="4" t="s">
        <v>13</v>
      </c>
      <c r="H4342" s="4" t="s">
        <v>11</v>
      </c>
      <c r="I4342" s="4" t="s">
        <v>7</v>
      </c>
    </row>
    <row r="4343" spans="1:9">
      <c r="A4343" t="n">
        <v>38349</v>
      </c>
      <c r="B4343" s="51" t="n">
        <v>45</v>
      </c>
      <c r="C4343" s="7" t="n">
        <v>4</v>
      </c>
      <c r="D4343" s="7" t="n">
        <v>3</v>
      </c>
      <c r="E4343" s="7" t="n">
        <v>2.75</v>
      </c>
      <c r="F4343" s="7" t="n">
        <v>329.100006103516</v>
      </c>
      <c r="G4343" s="7" t="n">
        <v>0</v>
      </c>
      <c r="H4343" s="7" t="n">
        <v>6000</v>
      </c>
      <c r="I4343" s="7" t="n">
        <v>1</v>
      </c>
    </row>
    <row r="4344" spans="1:9">
      <c r="A4344" t="s">
        <v>4</v>
      </c>
      <c r="B4344" s="4" t="s">
        <v>5</v>
      </c>
      <c r="C4344" s="4" t="s">
        <v>7</v>
      </c>
      <c r="D4344" s="4" t="s">
        <v>7</v>
      </c>
      <c r="E4344" s="4" t="s">
        <v>13</v>
      </c>
      <c r="F4344" s="4" t="s">
        <v>11</v>
      </c>
    </row>
    <row r="4345" spans="1:9">
      <c r="A4345" t="n">
        <v>38367</v>
      </c>
      <c r="B4345" s="51" t="n">
        <v>45</v>
      </c>
      <c r="C4345" s="7" t="n">
        <v>5</v>
      </c>
      <c r="D4345" s="7" t="n">
        <v>3</v>
      </c>
      <c r="E4345" s="7" t="n">
        <v>3.29999995231628</v>
      </c>
      <c r="F4345" s="7" t="n">
        <v>6000</v>
      </c>
    </row>
    <row r="4346" spans="1:9">
      <c r="A4346" t="s">
        <v>4</v>
      </c>
      <c r="B4346" s="4" t="s">
        <v>5</v>
      </c>
      <c r="C4346" s="4" t="s">
        <v>7</v>
      </c>
      <c r="D4346" s="4" t="s">
        <v>11</v>
      </c>
      <c r="E4346" s="4" t="s">
        <v>13</v>
      </c>
    </row>
    <row r="4347" spans="1:9">
      <c r="A4347" t="n">
        <v>38376</v>
      </c>
      <c r="B4347" s="23" t="n">
        <v>58</v>
      </c>
      <c r="C4347" s="7" t="n">
        <v>100</v>
      </c>
      <c r="D4347" s="7" t="n">
        <v>1000</v>
      </c>
      <c r="E4347" s="7" t="n">
        <v>1</v>
      </c>
    </row>
    <row r="4348" spans="1:9">
      <c r="A4348" t="s">
        <v>4</v>
      </c>
      <c r="B4348" s="4" t="s">
        <v>5</v>
      </c>
      <c r="C4348" s="4" t="s">
        <v>7</v>
      </c>
      <c r="D4348" s="4" t="s">
        <v>11</v>
      </c>
    </row>
    <row r="4349" spans="1:9">
      <c r="A4349" t="n">
        <v>38384</v>
      </c>
      <c r="B4349" s="23" t="n">
        <v>58</v>
      </c>
      <c r="C4349" s="7" t="n">
        <v>255</v>
      </c>
      <c r="D4349" s="7" t="n">
        <v>0</v>
      </c>
    </row>
    <row r="4350" spans="1:9">
      <c r="A4350" t="s">
        <v>4</v>
      </c>
      <c r="B4350" s="4" t="s">
        <v>5</v>
      </c>
      <c r="C4350" s="4" t="s">
        <v>8</v>
      </c>
      <c r="D4350" s="4" t="s">
        <v>8</v>
      </c>
    </row>
    <row r="4351" spans="1:9">
      <c r="A4351" t="n">
        <v>38388</v>
      </c>
      <c r="B4351" s="52" t="n">
        <v>70</v>
      </c>
      <c r="C4351" s="7" t="s">
        <v>403</v>
      </c>
      <c r="D4351" s="7" t="s">
        <v>109</v>
      </c>
    </row>
    <row r="4352" spans="1:9">
      <c r="A4352" t="s">
        <v>4</v>
      </c>
      <c r="B4352" s="4" t="s">
        <v>5</v>
      </c>
      <c r="C4352" s="4" t="s">
        <v>11</v>
      </c>
    </row>
    <row r="4353" spans="1:9">
      <c r="A4353" t="n">
        <v>38405</v>
      </c>
      <c r="B4353" s="29" t="n">
        <v>16</v>
      </c>
      <c r="C4353" s="7" t="n">
        <v>2000</v>
      </c>
    </row>
    <row r="4354" spans="1:9">
      <c r="A4354" t="s">
        <v>4</v>
      </c>
      <c r="B4354" s="4" t="s">
        <v>5</v>
      </c>
      <c r="C4354" s="4" t="s">
        <v>11</v>
      </c>
      <c r="D4354" s="4" t="s">
        <v>7</v>
      </c>
      <c r="E4354" s="4" t="s">
        <v>13</v>
      </c>
      <c r="F4354" s="4" t="s">
        <v>11</v>
      </c>
    </row>
    <row r="4355" spans="1:9">
      <c r="A4355" t="n">
        <v>38408</v>
      </c>
      <c r="B4355" s="56" t="n">
        <v>59</v>
      </c>
      <c r="C4355" s="7" t="n">
        <v>3</v>
      </c>
      <c r="D4355" s="7" t="n">
        <v>9</v>
      </c>
      <c r="E4355" s="7" t="n">
        <v>0.150000005960464</v>
      </c>
      <c r="F4355" s="7" t="n">
        <v>0</v>
      </c>
    </row>
    <row r="4356" spans="1:9">
      <c r="A4356" t="s">
        <v>4</v>
      </c>
      <c r="B4356" s="4" t="s">
        <v>5</v>
      </c>
      <c r="C4356" s="4" t="s">
        <v>11</v>
      </c>
      <c r="D4356" s="4" t="s">
        <v>13</v>
      </c>
      <c r="E4356" s="4" t="s">
        <v>13</v>
      </c>
      <c r="F4356" s="4" t="s">
        <v>13</v>
      </c>
      <c r="G4356" s="4" t="s">
        <v>11</v>
      </c>
      <c r="H4356" s="4" t="s">
        <v>11</v>
      </c>
    </row>
    <row r="4357" spans="1:9">
      <c r="A4357" t="n">
        <v>38418</v>
      </c>
      <c r="B4357" s="37" t="n">
        <v>60</v>
      </c>
      <c r="C4357" s="7" t="n">
        <v>3</v>
      </c>
      <c r="D4357" s="7" t="n">
        <v>-45</v>
      </c>
      <c r="E4357" s="7" t="n">
        <v>0</v>
      </c>
      <c r="F4357" s="7" t="n">
        <v>0</v>
      </c>
      <c r="G4357" s="7" t="n">
        <v>1000</v>
      </c>
      <c r="H4357" s="7" t="n">
        <v>0</v>
      </c>
    </row>
    <row r="4358" spans="1:9">
      <c r="A4358" t="s">
        <v>4</v>
      </c>
      <c r="B4358" s="4" t="s">
        <v>5</v>
      </c>
      <c r="C4358" s="4" t="s">
        <v>11</v>
      </c>
    </row>
    <row r="4359" spans="1:9">
      <c r="A4359" t="n">
        <v>38437</v>
      </c>
      <c r="B4359" s="29" t="n">
        <v>16</v>
      </c>
      <c r="C4359" s="7" t="n">
        <v>1000</v>
      </c>
    </row>
    <row r="4360" spans="1:9">
      <c r="A4360" t="s">
        <v>4</v>
      </c>
      <c r="B4360" s="4" t="s">
        <v>5</v>
      </c>
      <c r="C4360" s="4" t="s">
        <v>11</v>
      </c>
      <c r="D4360" s="4" t="s">
        <v>13</v>
      </c>
      <c r="E4360" s="4" t="s">
        <v>13</v>
      </c>
      <c r="F4360" s="4" t="s">
        <v>13</v>
      </c>
      <c r="G4360" s="4" t="s">
        <v>11</v>
      </c>
      <c r="H4360" s="4" t="s">
        <v>11</v>
      </c>
    </row>
    <row r="4361" spans="1:9">
      <c r="A4361" t="n">
        <v>38440</v>
      </c>
      <c r="B4361" s="37" t="n">
        <v>60</v>
      </c>
      <c r="C4361" s="7" t="n">
        <v>3</v>
      </c>
      <c r="D4361" s="7" t="n">
        <v>45</v>
      </c>
      <c r="E4361" s="7" t="n">
        <v>0</v>
      </c>
      <c r="F4361" s="7" t="n">
        <v>0</v>
      </c>
      <c r="G4361" s="7" t="n">
        <v>1000</v>
      </c>
      <c r="H4361" s="7" t="n">
        <v>0</v>
      </c>
    </row>
    <row r="4362" spans="1:9">
      <c r="A4362" t="s">
        <v>4</v>
      </c>
      <c r="B4362" s="4" t="s">
        <v>5</v>
      </c>
      <c r="C4362" s="4" t="s">
        <v>11</v>
      </c>
    </row>
    <row r="4363" spans="1:9">
      <c r="A4363" t="n">
        <v>38459</v>
      </c>
      <c r="B4363" s="29" t="n">
        <v>16</v>
      </c>
      <c r="C4363" s="7" t="n">
        <v>1000</v>
      </c>
    </row>
    <row r="4364" spans="1:9">
      <c r="A4364" t="s">
        <v>4</v>
      </c>
      <c r="B4364" s="4" t="s">
        <v>5</v>
      </c>
      <c r="C4364" s="4" t="s">
        <v>11</v>
      </c>
      <c r="D4364" s="4" t="s">
        <v>13</v>
      </c>
      <c r="E4364" s="4" t="s">
        <v>13</v>
      </c>
      <c r="F4364" s="4" t="s">
        <v>13</v>
      </c>
      <c r="G4364" s="4" t="s">
        <v>11</v>
      </c>
      <c r="H4364" s="4" t="s">
        <v>11</v>
      </c>
    </row>
    <row r="4365" spans="1:9">
      <c r="A4365" t="n">
        <v>38462</v>
      </c>
      <c r="B4365" s="37" t="n">
        <v>60</v>
      </c>
      <c r="C4365" s="7" t="n">
        <v>3</v>
      </c>
      <c r="D4365" s="7" t="n">
        <v>0</v>
      </c>
      <c r="E4365" s="7" t="n">
        <v>0</v>
      </c>
      <c r="F4365" s="7" t="n">
        <v>0</v>
      </c>
      <c r="G4365" s="7" t="n">
        <v>500</v>
      </c>
      <c r="H4365" s="7" t="n">
        <v>0</v>
      </c>
    </row>
    <row r="4366" spans="1:9">
      <c r="A4366" t="s">
        <v>4</v>
      </c>
      <c r="B4366" s="4" t="s">
        <v>5</v>
      </c>
      <c r="C4366" s="4" t="s">
        <v>11</v>
      </c>
    </row>
    <row r="4367" spans="1:9">
      <c r="A4367" t="n">
        <v>38481</v>
      </c>
      <c r="B4367" s="29" t="n">
        <v>16</v>
      </c>
      <c r="C4367" s="7" t="n">
        <v>1000</v>
      </c>
    </row>
    <row r="4368" spans="1:9">
      <c r="A4368" t="s">
        <v>4</v>
      </c>
      <c r="B4368" s="4" t="s">
        <v>5</v>
      </c>
      <c r="C4368" s="4" t="s">
        <v>7</v>
      </c>
      <c r="D4368" s="4" t="s">
        <v>11</v>
      </c>
    </row>
    <row r="4369" spans="1:8">
      <c r="A4369" t="n">
        <v>38484</v>
      </c>
      <c r="B4369" s="51" t="n">
        <v>45</v>
      </c>
      <c r="C4369" s="7" t="n">
        <v>7</v>
      </c>
      <c r="D4369" s="7" t="n">
        <v>255</v>
      </c>
    </row>
    <row r="4370" spans="1:8">
      <c r="A4370" t="s">
        <v>4</v>
      </c>
      <c r="B4370" s="4" t="s">
        <v>5</v>
      </c>
      <c r="C4370" s="4" t="s">
        <v>7</v>
      </c>
      <c r="D4370" s="4" t="s">
        <v>11</v>
      </c>
      <c r="E4370" s="4" t="s">
        <v>13</v>
      </c>
    </row>
    <row r="4371" spans="1:8">
      <c r="A4371" t="n">
        <v>38488</v>
      </c>
      <c r="B4371" s="23" t="n">
        <v>58</v>
      </c>
      <c r="C4371" s="7" t="n">
        <v>0</v>
      </c>
      <c r="D4371" s="7" t="n">
        <v>1000</v>
      </c>
      <c r="E4371" s="7" t="n">
        <v>1</v>
      </c>
    </row>
    <row r="4372" spans="1:8">
      <c r="A4372" t="s">
        <v>4</v>
      </c>
      <c r="B4372" s="4" t="s">
        <v>5</v>
      </c>
      <c r="C4372" s="4" t="s">
        <v>7</v>
      </c>
      <c r="D4372" s="4" t="s">
        <v>11</v>
      </c>
    </row>
    <row r="4373" spans="1:8">
      <c r="A4373" t="n">
        <v>38496</v>
      </c>
      <c r="B4373" s="23" t="n">
        <v>58</v>
      </c>
      <c r="C4373" s="7" t="n">
        <v>255</v>
      </c>
      <c r="D4373" s="7" t="n">
        <v>0</v>
      </c>
    </row>
    <row r="4374" spans="1:8">
      <c r="A4374" t="s">
        <v>4</v>
      </c>
      <c r="B4374" s="4" t="s">
        <v>5</v>
      </c>
      <c r="C4374" s="4" t="s">
        <v>11</v>
      </c>
      <c r="D4374" s="4" t="s">
        <v>11</v>
      </c>
      <c r="E4374" s="4" t="s">
        <v>11</v>
      </c>
    </row>
    <row r="4375" spans="1:8">
      <c r="A4375" t="n">
        <v>38500</v>
      </c>
      <c r="B4375" s="72" t="n">
        <v>61</v>
      </c>
      <c r="C4375" s="7" t="n">
        <v>0</v>
      </c>
      <c r="D4375" s="7" t="n">
        <v>65533</v>
      </c>
      <c r="E4375" s="7" t="n">
        <v>1000</v>
      </c>
    </row>
    <row r="4376" spans="1:8">
      <c r="A4376" t="s">
        <v>4</v>
      </c>
      <c r="B4376" s="4" t="s">
        <v>5</v>
      </c>
      <c r="C4376" s="4" t="s">
        <v>11</v>
      </c>
      <c r="D4376" s="4" t="s">
        <v>11</v>
      </c>
      <c r="E4376" s="4" t="s">
        <v>11</v>
      </c>
    </row>
    <row r="4377" spans="1:8">
      <c r="A4377" t="n">
        <v>38507</v>
      </c>
      <c r="B4377" s="72" t="n">
        <v>61</v>
      </c>
      <c r="C4377" s="7" t="n">
        <v>3</v>
      </c>
      <c r="D4377" s="7" t="n">
        <v>65533</v>
      </c>
      <c r="E4377" s="7" t="n">
        <v>1000</v>
      </c>
    </row>
    <row r="4378" spans="1:8">
      <c r="A4378" t="s">
        <v>4</v>
      </c>
      <c r="B4378" s="4" t="s">
        <v>5</v>
      </c>
      <c r="C4378" s="4" t="s">
        <v>11</v>
      </c>
      <c r="D4378" s="4" t="s">
        <v>13</v>
      </c>
      <c r="E4378" s="4" t="s">
        <v>13</v>
      </c>
      <c r="F4378" s="4" t="s">
        <v>13</v>
      </c>
      <c r="G4378" s="4" t="s">
        <v>13</v>
      </c>
    </row>
    <row r="4379" spans="1:8">
      <c r="A4379" t="n">
        <v>38514</v>
      </c>
      <c r="B4379" s="36" t="n">
        <v>46</v>
      </c>
      <c r="C4379" s="7" t="n">
        <v>0</v>
      </c>
      <c r="D4379" s="7" t="n">
        <v>-2.66000008583069</v>
      </c>
      <c r="E4379" s="7" t="n">
        <v>5.01000022888184</v>
      </c>
      <c r="F4379" s="7" t="n">
        <v>32.189998626709</v>
      </c>
      <c r="G4379" s="7" t="n">
        <v>90</v>
      </c>
    </row>
    <row r="4380" spans="1:8">
      <c r="A4380" t="s">
        <v>4</v>
      </c>
      <c r="B4380" s="4" t="s">
        <v>5</v>
      </c>
      <c r="C4380" s="4" t="s">
        <v>11</v>
      </c>
      <c r="D4380" s="4" t="s">
        <v>13</v>
      </c>
      <c r="E4380" s="4" t="s">
        <v>13</v>
      </c>
      <c r="F4380" s="4" t="s">
        <v>13</v>
      </c>
      <c r="G4380" s="4" t="s">
        <v>13</v>
      </c>
    </row>
    <row r="4381" spans="1:8">
      <c r="A4381" t="n">
        <v>38533</v>
      </c>
      <c r="B4381" s="36" t="n">
        <v>46</v>
      </c>
      <c r="C4381" s="7" t="n">
        <v>3</v>
      </c>
      <c r="D4381" s="7" t="n">
        <v>-3.16000008583069</v>
      </c>
      <c r="E4381" s="7" t="n">
        <v>5.01000022888184</v>
      </c>
      <c r="F4381" s="7" t="n">
        <v>31.7900009155273</v>
      </c>
      <c r="G4381" s="7" t="n">
        <v>90</v>
      </c>
    </row>
    <row r="4382" spans="1:8">
      <c r="A4382" t="s">
        <v>4</v>
      </c>
      <c r="B4382" s="4" t="s">
        <v>5</v>
      </c>
      <c r="C4382" s="4" t="s">
        <v>7</v>
      </c>
      <c r="D4382" s="4" t="s">
        <v>7</v>
      </c>
      <c r="E4382" s="4" t="s">
        <v>13</v>
      </c>
      <c r="F4382" s="4" t="s">
        <v>13</v>
      </c>
      <c r="G4382" s="4" t="s">
        <v>13</v>
      </c>
      <c r="H4382" s="4" t="s">
        <v>11</v>
      </c>
    </row>
    <row r="4383" spans="1:8">
      <c r="A4383" t="n">
        <v>38552</v>
      </c>
      <c r="B4383" s="51" t="n">
        <v>45</v>
      </c>
      <c r="C4383" s="7" t="n">
        <v>2</v>
      </c>
      <c r="D4383" s="7" t="n">
        <v>3</v>
      </c>
      <c r="E4383" s="7" t="n">
        <v>6.82000017166138</v>
      </c>
      <c r="F4383" s="7" t="n">
        <v>6.17999982833862</v>
      </c>
      <c r="G4383" s="7" t="n">
        <v>32.2799987792969</v>
      </c>
      <c r="H4383" s="7" t="n">
        <v>0</v>
      </c>
    </row>
    <row r="4384" spans="1:8">
      <c r="A4384" t="s">
        <v>4</v>
      </c>
      <c r="B4384" s="4" t="s">
        <v>5</v>
      </c>
      <c r="C4384" s="4" t="s">
        <v>7</v>
      </c>
      <c r="D4384" s="4" t="s">
        <v>7</v>
      </c>
      <c r="E4384" s="4" t="s">
        <v>13</v>
      </c>
      <c r="F4384" s="4" t="s">
        <v>13</v>
      </c>
      <c r="G4384" s="4" t="s">
        <v>13</v>
      </c>
      <c r="H4384" s="4" t="s">
        <v>11</v>
      </c>
      <c r="I4384" s="4" t="s">
        <v>7</v>
      </c>
    </row>
    <row r="4385" spans="1:9">
      <c r="A4385" t="n">
        <v>38569</v>
      </c>
      <c r="B4385" s="51" t="n">
        <v>45</v>
      </c>
      <c r="C4385" s="7" t="n">
        <v>4</v>
      </c>
      <c r="D4385" s="7" t="n">
        <v>3</v>
      </c>
      <c r="E4385" s="7" t="n">
        <v>358.239990234375</v>
      </c>
      <c r="F4385" s="7" t="n">
        <v>344.200012207031</v>
      </c>
      <c r="G4385" s="7" t="n">
        <v>0</v>
      </c>
      <c r="H4385" s="7" t="n">
        <v>0</v>
      </c>
      <c r="I4385" s="7" t="n">
        <v>0</v>
      </c>
    </row>
    <row r="4386" spans="1:9">
      <c r="A4386" t="s">
        <v>4</v>
      </c>
      <c r="B4386" s="4" t="s">
        <v>5</v>
      </c>
      <c r="C4386" s="4" t="s">
        <v>7</v>
      </c>
      <c r="D4386" s="4" t="s">
        <v>7</v>
      </c>
      <c r="E4386" s="4" t="s">
        <v>13</v>
      </c>
      <c r="F4386" s="4" t="s">
        <v>11</v>
      </c>
    </row>
    <row r="4387" spans="1:9">
      <c r="A4387" t="n">
        <v>38587</v>
      </c>
      <c r="B4387" s="51" t="n">
        <v>45</v>
      </c>
      <c r="C4387" s="7" t="n">
        <v>5</v>
      </c>
      <c r="D4387" s="7" t="n">
        <v>3</v>
      </c>
      <c r="E4387" s="7" t="n">
        <v>3.40000009536743</v>
      </c>
      <c r="F4387" s="7" t="n">
        <v>0</v>
      </c>
    </row>
    <row r="4388" spans="1:9">
      <c r="A4388" t="s">
        <v>4</v>
      </c>
      <c r="B4388" s="4" t="s">
        <v>5</v>
      </c>
      <c r="C4388" s="4" t="s">
        <v>7</v>
      </c>
      <c r="D4388" s="4" t="s">
        <v>7</v>
      </c>
      <c r="E4388" s="4" t="s">
        <v>13</v>
      </c>
      <c r="F4388" s="4" t="s">
        <v>11</v>
      </c>
    </row>
    <row r="4389" spans="1:9">
      <c r="A4389" t="n">
        <v>38596</v>
      </c>
      <c r="B4389" s="51" t="n">
        <v>45</v>
      </c>
      <c r="C4389" s="7" t="n">
        <v>11</v>
      </c>
      <c r="D4389" s="7" t="n">
        <v>3</v>
      </c>
      <c r="E4389" s="7" t="n">
        <v>40.2999992370605</v>
      </c>
      <c r="F4389" s="7" t="n">
        <v>0</v>
      </c>
    </row>
    <row r="4390" spans="1:9">
      <c r="A4390" t="s">
        <v>4</v>
      </c>
      <c r="B4390" s="4" t="s">
        <v>5</v>
      </c>
      <c r="C4390" s="4" t="s">
        <v>7</v>
      </c>
      <c r="D4390" s="4" t="s">
        <v>7</v>
      </c>
      <c r="E4390" s="4" t="s">
        <v>13</v>
      </c>
      <c r="F4390" s="4" t="s">
        <v>13</v>
      </c>
      <c r="G4390" s="4" t="s">
        <v>13</v>
      </c>
      <c r="H4390" s="4" t="s">
        <v>11</v>
      </c>
    </row>
    <row r="4391" spans="1:9">
      <c r="A4391" t="n">
        <v>38605</v>
      </c>
      <c r="B4391" s="51" t="n">
        <v>45</v>
      </c>
      <c r="C4391" s="7" t="n">
        <v>2</v>
      </c>
      <c r="D4391" s="7" t="n">
        <v>3</v>
      </c>
      <c r="E4391" s="7" t="n">
        <v>-2.55999994277954</v>
      </c>
      <c r="F4391" s="7" t="n">
        <v>6.17999982833862</v>
      </c>
      <c r="G4391" s="7" t="n">
        <v>32.1800003051758</v>
      </c>
      <c r="H4391" s="7" t="n">
        <v>6000</v>
      </c>
    </row>
    <row r="4392" spans="1:9">
      <c r="A4392" t="s">
        <v>4</v>
      </c>
      <c r="B4392" s="4" t="s">
        <v>5</v>
      </c>
      <c r="C4392" s="4" t="s">
        <v>7</v>
      </c>
      <c r="D4392" s="4" t="s">
        <v>7</v>
      </c>
      <c r="E4392" s="4" t="s">
        <v>13</v>
      </c>
      <c r="F4392" s="4" t="s">
        <v>13</v>
      </c>
      <c r="G4392" s="4" t="s">
        <v>13</v>
      </c>
      <c r="H4392" s="4" t="s">
        <v>11</v>
      </c>
      <c r="I4392" s="4" t="s">
        <v>7</v>
      </c>
    </row>
    <row r="4393" spans="1:9">
      <c r="A4393" t="n">
        <v>38622</v>
      </c>
      <c r="B4393" s="51" t="n">
        <v>45</v>
      </c>
      <c r="C4393" s="7" t="n">
        <v>4</v>
      </c>
      <c r="D4393" s="7" t="n">
        <v>3</v>
      </c>
      <c r="E4393" s="7" t="n">
        <v>12.2700004577637</v>
      </c>
      <c r="F4393" s="7" t="n">
        <v>75.7099990844727</v>
      </c>
      <c r="G4393" s="7" t="n">
        <v>0</v>
      </c>
      <c r="H4393" s="7" t="n">
        <v>6000</v>
      </c>
      <c r="I4393" s="7" t="n">
        <v>1</v>
      </c>
    </row>
    <row r="4394" spans="1:9">
      <c r="A4394" t="s">
        <v>4</v>
      </c>
      <c r="B4394" s="4" t="s">
        <v>5</v>
      </c>
      <c r="C4394" s="4" t="s">
        <v>7</v>
      </c>
      <c r="D4394" s="4" t="s">
        <v>7</v>
      </c>
      <c r="E4394" s="4" t="s">
        <v>13</v>
      </c>
      <c r="F4394" s="4" t="s">
        <v>11</v>
      </c>
    </row>
    <row r="4395" spans="1:9">
      <c r="A4395" t="n">
        <v>38640</v>
      </c>
      <c r="B4395" s="51" t="n">
        <v>45</v>
      </c>
      <c r="C4395" s="7" t="n">
        <v>5</v>
      </c>
      <c r="D4395" s="7" t="n">
        <v>3</v>
      </c>
      <c r="E4395" s="7" t="n">
        <v>2.70000004768372</v>
      </c>
      <c r="F4395" s="7" t="n">
        <v>6000</v>
      </c>
    </row>
    <row r="4396" spans="1:9">
      <c r="A4396" t="s">
        <v>4</v>
      </c>
      <c r="B4396" s="4" t="s">
        <v>5</v>
      </c>
      <c r="C4396" s="4" t="s">
        <v>7</v>
      </c>
      <c r="D4396" s="4" t="s">
        <v>11</v>
      </c>
      <c r="E4396" s="4" t="s">
        <v>13</v>
      </c>
    </row>
    <row r="4397" spans="1:9">
      <c r="A4397" t="n">
        <v>38649</v>
      </c>
      <c r="B4397" s="23" t="n">
        <v>58</v>
      </c>
      <c r="C4397" s="7" t="n">
        <v>100</v>
      </c>
      <c r="D4397" s="7" t="n">
        <v>1000</v>
      </c>
      <c r="E4397" s="7" t="n">
        <v>1</v>
      </c>
    </row>
    <row r="4398" spans="1:9">
      <c r="A4398" t="s">
        <v>4</v>
      </c>
      <c r="B4398" s="4" t="s">
        <v>5</v>
      </c>
      <c r="C4398" s="4" t="s">
        <v>7</v>
      </c>
      <c r="D4398" s="4" t="s">
        <v>11</v>
      </c>
    </row>
    <row r="4399" spans="1:9">
      <c r="A4399" t="n">
        <v>38657</v>
      </c>
      <c r="B4399" s="23" t="n">
        <v>58</v>
      </c>
      <c r="C4399" s="7" t="n">
        <v>255</v>
      </c>
      <c r="D4399" s="7" t="n">
        <v>0</v>
      </c>
    </row>
    <row r="4400" spans="1:9">
      <c r="A4400" t="s">
        <v>4</v>
      </c>
      <c r="B4400" s="4" t="s">
        <v>5</v>
      </c>
      <c r="C4400" s="4" t="s">
        <v>8</v>
      </c>
      <c r="D4400" s="4" t="s">
        <v>8</v>
      </c>
    </row>
    <row r="4401" spans="1:9">
      <c r="A4401" t="n">
        <v>38661</v>
      </c>
      <c r="B4401" s="52" t="n">
        <v>70</v>
      </c>
      <c r="C4401" s="7" t="s">
        <v>24</v>
      </c>
      <c r="D4401" s="7" t="s">
        <v>109</v>
      </c>
    </row>
    <row r="4402" spans="1:9">
      <c r="A4402" t="s">
        <v>4</v>
      </c>
      <c r="B4402" s="4" t="s">
        <v>5</v>
      </c>
      <c r="C4402" s="4" t="s">
        <v>11</v>
      </c>
    </row>
    <row r="4403" spans="1:9">
      <c r="A4403" t="n">
        <v>38678</v>
      </c>
      <c r="B4403" s="29" t="n">
        <v>16</v>
      </c>
      <c r="C4403" s="7" t="n">
        <v>4000</v>
      </c>
    </row>
    <row r="4404" spans="1:9">
      <c r="A4404" t="s">
        <v>4</v>
      </c>
      <c r="B4404" s="4" t="s">
        <v>5</v>
      </c>
      <c r="C4404" s="4" t="s">
        <v>11</v>
      </c>
      <c r="D4404" s="4" t="s">
        <v>7</v>
      </c>
      <c r="E4404" s="4" t="s">
        <v>13</v>
      </c>
      <c r="F4404" s="4" t="s">
        <v>11</v>
      </c>
    </row>
    <row r="4405" spans="1:9">
      <c r="A4405" t="n">
        <v>38681</v>
      </c>
      <c r="B4405" s="56" t="n">
        <v>59</v>
      </c>
      <c r="C4405" s="7" t="n">
        <v>0</v>
      </c>
      <c r="D4405" s="7" t="n">
        <v>9</v>
      </c>
      <c r="E4405" s="7" t="n">
        <v>0.150000005960464</v>
      </c>
      <c r="F4405" s="7" t="n">
        <v>0</v>
      </c>
    </row>
    <row r="4406" spans="1:9">
      <c r="A4406" t="s">
        <v>4</v>
      </c>
      <c r="B4406" s="4" t="s">
        <v>5</v>
      </c>
      <c r="C4406" s="4" t="s">
        <v>11</v>
      </c>
    </row>
    <row r="4407" spans="1:9">
      <c r="A4407" t="n">
        <v>38691</v>
      </c>
      <c r="B4407" s="29" t="n">
        <v>16</v>
      </c>
      <c r="C4407" s="7" t="n">
        <v>1800</v>
      </c>
    </row>
    <row r="4408" spans="1:9">
      <c r="A4408" t="s">
        <v>4</v>
      </c>
      <c r="B4408" s="4" t="s">
        <v>5</v>
      </c>
      <c r="C4408" s="4" t="s">
        <v>7</v>
      </c>
      <c r="D4408" s="4" t="s">
        <v>11</v>
      </c>
    </row>
    <row r="4409" spans="1:9">
      <c r="A4409" t="n">
        <v>38694</v>
      </c>
      <c r="B4409" s="51" t="n">
        <v>45</v>
      </c>
      <c r="C4409" s="7" t="n">
        <v>7</v>
      </c>
      <c r="D4409" s="7" t="n">
        <v>255</v>
      </c>
    </row>
    <row r="4410" spans="1:9">
      <c r="A4410" t="s">
        <v>4</v>
      </c>
      <c r="B4410" s="4" t="s">
        <v>5</v>
      </c>
      <c r="C4410" s="4" t="s">
        <v>7</v>
      </c>
      <c r="D4410" s="4" t="s">
        <v>11</v>
      </c>
      <c r="E4410" s="4" t="s">
        <v>13</v>
      </c>
    </row>
    <row r="4411" spans="1:9">
      <c r="A4411" t="n">
        <v>38698</v>
      </c>
      <c r="B4411" s="23" t="n">
        <v>58</v>
      </c>
      <c r="C4411" s="7" t="n">
        <v>0</v>
      </c>
      <c r="D4411" s="7" t="n">
        <v>1000</v>
      </c>
      <c r="E4411" s="7" t="n">
        <v>1</v>
      </c>
    </row>
    <row r="4412" spans="1:9">
      <c r="A4412" t="s">
        <v>4</v>
      </c>
      <c r="B4412" s="4" t="s">
        <v>5</v>
      </c>
      <c r="C4412" s="4" t="s">
        <v>7</v>
      </c>
      <c r="D4412" s="4" t="s">
        <v>11</v>
      </c>
    </row>
    <row r="4413" spans="1:9">
      <c r="A4413" t="n">
        <v>38706</v>
      </c>
      <c r="B4413" s="23" t="n">
        <v>58</v>
      </c>
      <c r="C4413" s="7" t="n">
        <v>255</v>
      </c>
      <c r="D4413" s="7" t="n">
        <v>0</v>
      </c>
    </row>
    <row r="4414" spans="1:9">
      <c r="A4414" t="s">
        <v>4</v>
      </c>
      <c r="B4414" s="4" t="s">
        <v>5</v>
      </c>
      <c r="C4414" s="4" t="s">
        <v>8</v>
      </c>
      <c r="D4414" s="4" t="s">
        <v>8</v>
      </c>
    </row>
    <row r="4415" spans="1:9">
      <c r="A4415" t="n">
        <v>38710</v>
      </c>
      <c r="B4415" s="52" t="n">
        <v>70</v>
      </c>
      <c r="C4415" s="7" t="s">
        <v>24</v>
      </c>
      <c r="D4415" s="7" t="s">
        <v>118</v>
      </c>
    </row>
    <row r="4416" spans="1:9">
      <c r="A4416" t="s">
        <v>4</v>
      </c>
      <c r="B4416" s="4" t="s">
        <v>5</v>
      </c>
      <c r="C4416" s="4" t="s">
        <v>11</v>
      </c>
      <c r="D4416" s="4" t="s">
        <v>13</v>
      </c>
      <c r="E4416" s="4" t="s">
        <v>13</v>
      </c>
      <c r="F4416" s="4" t="s">
        <v>13</v>
      </c>
      <c r="G4416" s="4" t="s">
        <v>13</v>
      </c>
    </row>
    <row r="4417" spans="1:7">
      <c r="A4417" t="n">
        <v>38726</v>
      </c>
      <c r="B4417" s="36" t="n">
        <v>46</v>
      </c>
      <c r="C4417" s="7" t="n">
        <v>0</v>
      </c>
      <c r="D4417" s="7" t="n">
        <v>-10.9899997711182</v>
      </c>
      <c r="E4417" s="7" t="n">
        <v>5.01000022888184</v>
      </c>
      <c r="F4417" s="7" t="n">
        <v>32.4300003051758</v>
      </c>
      <c r="G4417" s="7" t="n">
        <v>270</v>
      </c>
    </row>
    <row r="4418" spans="1:7">
      <c r="A4418" t="s">
        <v>4</v>
      </c>
      <c r="B4418" s="4" t="s">
        <v>5</v>
      </c>
      <c r="C4418" s="4" t="s">
        <v>11</v>
      </c>
      <c r="D4418" s="4" t="s">
        <v>13</v>
      </c>
      <c r="E4418" s="4" t="s">
        <v>13</v>
      </c>
      <c r="F4418" s="4" t="s">
        <v>13</v>
      </c>
      <c r="G4418" s="4" t="s">
        <v>13</v>
      </c>
    </row>
    <row r="4419" spans="1:7">
      <c r="A4419" t="n">
        <v>38745</v>
      </c>
      <c r="B4419" s="36" t="n">
        <v>46</v>
      </c>
      <c r="C4419" s="7" t="n">
        <v>3</v>
      </c>
      <c r="D4419" s="7" t="n">
        <v>-10.5500001907349</v>
      </c>
      <c r="E4419" s="7" t="n">
        <v>5.01000022888184</v>
      </c>
      <c r="F4419" s="7" t="n">
        <v>31.5499992370605</v>
      </c>
      <c r="G4419" s="7" t="n">
        <v>270</v>
      </c>
    </row>
    <row r="4420" spans="1:7">
      <c r="A4420" t="s">
        <v>4</v>
      </c>
      <c r="B4420" s="4" t="s">
        <v>5</v>
      </c>
      <c r="C4420" s="4" t="s">
        <v>7</v>
      </c>
      <c r="D4420" s="4" t="s">
        <v>7</v>
      </c>
      <c r="E4420" s="4" t="s">
        <v>13</v>
      </c>
      <c r="F4420" s="4" t="s">
        <v>13</v>
      </c>
      <c r="G4420" s="4" t="s">
        <v>13</v>
      </c>
      <c r="H4420" s="4" t="s">
        <v>11</v>
      </c>
    </row>
    <row r="4421" spans="1:7">
      <c r="A4421" t="n">
        <v>38764</v>
      </c>
      <c r="B4421" s="51" t="n">
        <v>45</v>
      </c>
      <c r="C4421" s="7" t="n">
        <v>2</v>
      </c>
      <c r="D4421" s="7" t="n">
        <v>3</v>
      </c>
      <c r="E4421" s="7" t="n">
        <v>-14.1199998855591</v>
      </c>
      <c r="F4421" s="7" t="n">
        <v>6.75</v>
      </c>
      <c r="G4421" s="7" t="n">
        <v>31.9300003051758</v>
      </c>
      <c r="H4421" s="7" t="n">
        <v>0</v>
      </c>
    </row>
    <row r="4422" spans="1:7">
      <c r="A4422" t="s">
        <v>4</v>
      </c>
      <c r="B4422" s="4" t="s">
        <v>5</v>
      </c>
      <c r="C4422" s="4" t="s">
        <v>7</v>
      </c>
      <c r="D4422" s="4" t="s">
        <v>7</v>
      </c>
      <c r="E4422" s="4" t="s">
        <v>13</v>
      </c>
      <c r="F4422" s="4" t="s">
        <v>13</v>
      </c>
      <c r="G4422" s="4" t="s">
        <v>13</v>
      </c>
      <c r="H4422" s="4" t="s">
        <v>11</v>
      </c>
      <c r="I4422" s="4" t="s">
        <v>7</v>
      </c>
    </row>
    <row r="4423" spans="1:7">
      <c r="A4423" t="n">
        <v>38781</v>
      </c>
      <c r="B4423" s="51" t="n">
        <v>45</v>
      </c>
      <c r="C4423" s="7" t="n">
        <v>4</v>
      </c>
      <c r="D4423" s="7" t="n">
        <v>3</v>
      </c>
      <c r="E4423" s="7" t="n">
        <v>7.63000011444092</v>
      </c>
      <c r="F4423" s="7" t="n">
        <v>90</v>
      </c>
      <c r="G4423" s="7" t="n">
        <v>0</v>
      </c>
      <c r="H4423" s="7" t="n">
        <v>0</v>
      </c>
      <c r="I4423" s="7" t="n">
        <v>0</v>
      </c>
    </row>
    <row r="4424" spans="1:7">
      <c r="A4424" t="s">
        <v>4</v>
      </c>
      <c r="B4424" s="4" t="s">
        <v>5</v>
      </c>
      <c r="C4424" s="4" t="s">
        <v>7</v>
      </c>
      <c r="D4424" s="4" t="s">
        <v>7</v>
      </c>
      <c r="E4424" s="4" t="s">
        <v>13</v>
      </c>
      <c r="F4424" s="4" t="s">
        <v>11</v>
      </c>
    </row>
    <row r="4425" spans="1:7">
      <c r="A4425" t="n">
        <v>38799</v>
      </c>
      <c r="B4425" s="51" t="n">
        <v>45</v>
      </c>
      <c r="C4425" s="7" t="n">
        <v>5</v>
      </c>
      <c r="D4425" s="7" t="n">
        <v>3</v>
      </c>
      <c r="E4425" s="7" t="n">
        <v>2.09999990463257</v>
      </c>
      <c r="F4425" s="7" t="n">
        <v>0</v>
      </c>
    </row>
    <row r="4426" spans="1:7">
      <c r="A4426" t="s">
        <v>4</v>
      </c>
      <c r="B4426" s="4" t="s">
        <v>5</v>
      </c>
      <c r="C4426" s="4" t="s">
        <v>7</v>
      </c>
      <c r="D4426" s="4" t="s">
        <v>7</v>
      </c>
      <c r="E4426" s="4" t="s">
        <v>13</v>
      </c>
      <c r="F4426" s="4" t="s">
        <v>11</v>
      </c>
    </row>
    <row r="4427" spans="1:7">
      <c r="A4427" t="n">
        <v>38808</v>
      </c>
      <c r="B4427" s="51" t="n">
        <v>45</v>
      </c>
      <c r="C4427" s="7" t="n">
        <v>11</v>
      </c>
      <c r="D4427" s="7" t="n">
        <v>3</v>
      </c>
      <c r="E4427" s="7" t="n">
        <v>40.2999992370605</v>
      </c>
      <c r="F4427" s="7" t="n">
        <v>0</v>
      </c>
    </row>
    <row r="4428" spans="1:7">
      <c r="A4428" t="s">
        <v>4</v>
      </c>
      <c r="B4428" s="4" t="s">
        <v>5</v>
      </c>
      <c r="C4428" s="4" t="s">
        <v>7</v>
      </c>
      <c r="D4428" s="4" t="s">
        <v>7</v>
      </c>
      <c r="E4428" s="4" t="s">
        <v>13</v>
      </c>
      <c r="F4428" s="4" t="s">
        <v>13</v>
      </c>
      <c r="G4428" s="4" t="s">
        <v>13</v>
      </c>
      <c r="H4428" s="4" t="s">
        <v>11</v>
      </c>
    </row>
    <row r="4429" spans="1:7">
      <c r="A4429" t="n">
        <v>38817</v>
      </c>
      <c r="B4429" s="51" t="n">
        <v>45</v>
      </c>
      <c r="C4429" s="7" t="n">
        <v>2</v>
      </c>
      <c r="D4429" s="7" t="n">
        <v>3</v>
      </c>
      <c r="E4429" s="7" t="n">
        <v>-9.10000038146973</v>
      </c>
      <c r="F4429" s="7" t="n">
        <v>6.75</v>
      </c>
      <c r="G4429" s="7" t="n">
        <v>31.9699993133545</v>
      </c>
      <c r="H4429" s="7" t="n">
        <v>6000</v>
      </c>
    </row>
    <row r="4430" spans="1:7">
      <c r="A4430" t="s">
        <v>4</v>
      </c>
      <c r="B4430" s="4" t="s">
        <v>5</v>
      </c>
      <c r="C4430" s="4" t="s">
        <v>7</v>
      </c>
      <c r="D4430" s="4" t="s">
        <v>7</v>
      </c>
      <c r="E4430" s="4" t="s">
        <v>13</v>
      </c>
      <c r="F4430" s="4" t="s">
        <v>13</v>
      </c>
      <c r="G4430" s="4" t="s">
        <v>13</v>
      </c>
      <c r="H4430" s="4" t="s">
        <v>11</v>
      </c>
      <c r="I4430" s="4" t="s">
        <v>7</v>
      </c>
    </row>
    <row r="4431" spans="1:7">
      <c r="A4431" t="n">
        <v>38834</v>
      </c>
      <c r="B4431" s="51" t="n">
        <v>45</v>
      </c>
      <c r="C4431" s="7" t="n">
        <v>4</v>
      </c>
      <c r="D4431" s="7" t="n">
        <v>3</v>
      </c>
      <c r="E4431" s="7" t="n">
        <v>0.0299999993294477</v>
      </c>
      <c r="F4431" s="7" t="n">
        <v>90</v>
      </c>
      <c r="G4431" s="7" t="n">
        <v>0</v>
      </c>
      <c r="H4431" s="7" t="n">
        <v>6000</v>
      </c>
      <c r="I4431" s="7" t="n">
        <v>0</v>
      </c>
    </row>
    <row r="4432" spans="1:7">
      <c r="A4432" t="s">
        <v>4</v>
      </c>
      <c r="B4432" s="4" t="s">
        <v>5</v>
      </c>
      <c r="C4432" s="4" t="s">
        <v>7</v>
      </c>
      <c r="D4432" s="4" t="s">
        <v>7</v>
      </c>
      <c r="E4432" s="4" t="s">
        <v>13</v>
      </c>
      <c r="F4432" s="4" t="s">
        <v>11</v>
      </c>
    </row>
    <row r="4433" spans="1:9">
      <c r="A4433" t="n">
        <v>38852</v>
      </c>
      <c r="B4433" s="51" t="n">
        <v>45</v>
      </c>
      <c r="C4433" s="7" t="n">
        <v>5</v>
      </c>
      <c r="D4433" s="7" t="n">
        <v>3</v>
      </c>
      <c r="E4433" s="7" t="n">
        <v>1.79999995231628</v>
      </c>
      <c r="F4433" s="7" t="n">
        <v>6000</v>
      </c>
    </row>
    <row r="4434" spans="1:9">
      <c r="A4434" t="s">
        <v>4</v>
      </c>
      <c r="B4434" s="4" t="s">
        <v>5</v>
      </c>
      <c r="C4434" s="4" t="s">
        <v>8</v>
      </c>
      <c r="D4434" s="4" t="s">
        <v>8</v>
      </c>
    </row>
    <row r="4435" spans="1:9">
      <c r="A4435" t="n">
        <v>38861</v>
      </c>
      <c r="B4435" s="52" t="n">
        <v>70</v>
      </c>
      <c r="C4435" s="7" t="s">
        <v>25</v>
      </c>
      <c r="D4435" s="7" t="s">
        <v>109</v>
      </c>
    </row>
    <row r="4436" spans="1:9">
      <c r="A4436" t="s">
        <v>4</v>
      </c>
      <c r="B4436" s="4" t="s">
        <v>5</v>
      </c>
      <c r="C4436" s="4" t="s">
        <v>7</v>
      </c>
      <c r="D4436" s="4" t="s">
        <v>11</v>
      </c>
      <c r="E4436" s="4" t="s">
        <v>13</v>
      </c>
    </row>
    <row r="4437" spans="1:9">
      <c r="A4437" t="n">
        <v>38878</v>
      </c>
      <c r="B4437" s="23" t="n">
        <v>58</v>
      </c>
      <c r="C4437" s="7" t="n">
        <v>100</v>
      </c>
      <c r="D4437" s="7" t="n">
        <v>1000</v>
      </c>
      <c r="E4437" s="7" t="n">
        <v>1</v>
      </c>
    </row>
    <row r="4438" spans="1:9">
      <c r="A4438" t="s">
        <v>4</v>
      </c>
      <c r="B4438" s="4" t="s">
        <v>5</v>
      </c>
      <c r="C4438" s="4" t="s">
        <v>7</v>
      </c>
      <c r="D4438" s="4" t="s">
        <v>11</v>
      </c>
    </row>
    <row r="4439" spans="1:9">
      <c r="A4439" t="n">
        <v>38886</v>
      </c>
      <c r="B4439" s="23" t="n">
        <v>58</v>
      </c>
      <c r="C4439" s="7" t="n">
        <v>255</v>
      </c>
      <c r="D4439" s="7" t="n">
        <v>0</v>
      </c>
    </row>
    <row r="4440" spans="1:9">
      <c r="A4440" t="s">
        <v>4</v>
      </c>
      <c r="B4440" s="4" t="s">
        <v>5</v>
      </c>
      <c r="C4440" s="4" t="s">
        <v>7</v>
      </c>
      <c r="D4440" s="4" t="s">
        <v>8</v>
      </c>
      <c r="E4440" s="4" t="s">
        <v>11</v>
      </c>
    </row>
    <row r="4441" spans="1:9">
      <c r="A4441" t="n">
        <v>38890</v>
      </c>
      <c r="B4441" s="15" t="n">
        <v>94</v>
      </c>
      <c r="C4441" s="7" t="n">
        <v>1</v>
      </c>
      <c r="D4441" s="7" t="s">
        <v>25</v>
      </c>
      <c r="E4441" s="7" t="n">
        <v>512</v>
      </c>
    </row>
    <row r="4442" spans="1:9">
      <c r="A4442" t="s">
        <v>4</v>
      </c>
      <c r="B4442" s="4" t="s">
        <v>5</v>
      </c>
      <c r="C4442" s="4" t="s">
        <v>11</v>
      </c>
    </row>
    <row r="4443" spans="1:9">
      <c r="A4443" t="n">
        <v>38904</v>
      </c>
      <c r="B4443" s="29" t="n">
        <v>16</v>
      </c>
      <c r="C4443" s="7" t="n">
        <v>4000</v>
      </c>
    </row>
    <row r="4444" spans="1:9">
      <c r="A4444" t="s">
        <v>4</v>
      </c>
      <c r="B4444" s="4" t="s">
        <v>5</v>
      </c>
      <c r="C4444" s="4" t="s">
        <v>11</v>
      </c>
      <c r="D4444" s="4" t="s">
        <v>7</v>
      </c>
      <c r="E4444" s="4" t="s">
        <v>13</v>
      </c>
      <c r="F4444" s="4" t="s">
        <v>11</v>
      </c>
    </row>
    <row r="4445" spans="1:9">
      <c r="A4445" t="n">
        <v>38907</v>
      </c>
      <c r="B4445" s="56" t="n">
        <v>59</v>
      </c>
      <c r="C4445" s="7" t="n">
        <v>0</v>
      </c>
      <c r="D4445" s="7" t="n">
        <v>9</v>
      </c>
      <c r="E4445" s="7" t="n">
        <v>0.150000005960464</v>
      </c>
      <c r="F4445" s="7" t="n">
        <v>0</v>
      </c>
    </row>
    <row r="4446" spans="1:9">
      <c r="A4446" t="s">
        <v>4</v>
      </c>
      <c r="B4446" s="4" t="s">
        <v>5</v>
      </c>
      <c r="C4446" s="4" t="s">
        <v>11</v>
      </c>
      <c r="D4446" s="4" t="s">
        <v>7</v>
      </c>
      <c r="E4446" s="4" t="s">
        <v>13</v>
      </c>
      <c r="F4446" s="4" t="s">
        <v>11</v>
      </c>
    </row>
    <row r="4447" spans="1:9">
      <c r="A4447" t="n">
        <v>38917</v>
      </c>
      <c r="B4447" s="56" t="n">
        <v>59</v>
      </c>
      <c r="C4447" s="7" t="n">
        <v>3</v>
      </c>
      <c r="D4447" s="7" t="n">
        <v>9</v>
      </c>
      <c r="E4447" s="7" t="n">
        <v>0.150000005960464</v>
      </c>
      <c r="F4447" s="7" t="n">
        <v>0</v>
      </c>
    </row>
    <row r="4448" spans="1:9">
      <c r="A4448" t="s">
        <v>4</v>
      </c>
      <c r="B4448" s="4" t="s">
        <v>5</v>
      </c>
      <c r="C4448" s="4" t="s">
        <v>11</v>
      </c>
    </row>
    <row r="4449" spans="1:6">
      <c r="A4449" t="n">
        <v>38927</v>
      </c>
      <c r="B4449" s="29" t="n">
        <v>16</v>
      </c>
      <c r="C4449" s="7" t="n">
        <v>1500</v>
      </c>
    </row>
    <row r="4450" spans="1:6">
      <c r="A4450" t="s">
        <v>4</v>
      </c>
      <c r="B4450" s="4" t="s">
        <v>5</v>
      </c>
      <c r="C4450" s="4" t="s">
        <v>7</v>
      </c>
      <c r="D4450" s="4" t="s">
        <v>11</v>
      </c>
    </row>
    <row r="4451" spans="1:6">
      <c r="A4451" t="n">
        <v>38930</v>
      </c>
      <c r="B4451" s="51" t="n">
        <v>45</v>
      </c>
      <c r="C4451" s="7" t="n">
        <v>7</v>
      </c>
      <c r="D4451" s="7" t="n">
        <v>255</v>
      </c>
    </row>
    <row r="4452" spans="1:6">
      <c r="A4452" t="s">
        <v>4</v>
      </c>
      <c r="B4452" s="4" t="s">
        <v>5</v>
      </c>
      <c r="C4452" s="4" t="s">
        <v>7</v>
      </c>
      <c r="D4452" s="4" t="s">
        <v>11</v>
      </c>
      <c r="E4452" s="4" t="s">
        <v>13</v>
      </c>
    </row>
    <row r="4453" spans="1:6">
      <c r="A4453" t="n">
        <v>38934</v>
      </c>
      <c r="B4453" s="23" t="n">
        <v>58</v>
      </c>
      <c r="C4453" s="7" t="n">
        <v>0</v>
      </c>
      <c r="D4453" s="7" t="n">
        <v>2000</v>
      </c>
      <c r="E4453" s="7" t="n">
        <v>1</v>
      </c>
    </row>
    <row r="4454" spans="1:6">
      <c r="A4454" t="s">
        <v>4</v>
      </c>
      <c r="B4454" s="4" t="s">
        <v>5</v>
      </c>
      <c r="C4454" s="4" t="s">
        <v>7</v>
      </c>
      <c r="D4454" s="4" t="s">
        <v>11</v>
      </c>
    </row>
    <row r="4455" spans="1:6">
      <c r="A4455" t="n">
        <v>38942</v>
      </c>
      <c r="B4455" s="23" t="n">
        <v>58</v>
      </c>
      <c r="C4455" s="7" t="n">
        <v>255</v>
      </c>
      <c r="D4455" s="7" t="n">
        <v>0</v>
      </c>
    </row>
    <row r="4456" spans="1:6">
      <c r="A4456" t="s">
        <v>4</v>
      </c>
      <c r="B4456" s="4" t="s">
        <v>5</v>
      </c>
      <c r="C4456" s="4" t="s">
        <v>7</v>
      </c>
      <c r="D4456" s="4" t="s">
        <v>7</v>
      </c>
      <c r="E4456" s="4" t="s">
        <v>13</v>
      </c>
      <c r="F4456" s="4" t="s">
        <v>13</v>
      </c>
      <c r="G4456" s="4" t="s">
        <v>13</v>
      </c>
      <c r="H4456" s="4" t="s">
        <v>11</v>
      </c>
    </row>
    <row r="4457" spans="1:6">
      <c r="A4457" t="n">
        <v>38946</v>
      </c>
      <c r="B4457" s="51" t="n">
        <v>45</v>
      </c>
      <c r="C4457" s="7" t="n">
        <v>2</v>
      </c>
      <c r="D4457" s="7" t="n">
        <v>3</v>
      </c>
      <c r="E4457" s="7" t="n">
        <v>-7.84000015258789</v>
      </c>
      <c r="F4457" s="7" t="n">
        <v>7.17000007629395</v>
      </c>
      <c r="G4457" s="7" t="n">
        <v>31.6599998474121</v>
      </c>
      <c r="H4457" s="7" t="n">
        <v>0</v>
      </c>
    </row>
    <row r="4458" spans="1:6">
      <c r="A4458" t="s">
        <v>4</v>
      </c>
      <c r="B4458" s="4" t="s">
        <v>5</v>
      </c>
      <c r="C4458" s="4" t="s">
        <v>7</v>
      </c>
      <c r="D4458" s="4" t="s">
        <v>7</v>
      </c>
      <c r="E4458" s="4" t="s">
        <v>13</v>
      </c>
      <c r="F4458" s="4" t="s">
        <v>13</v>
      </c>
      <c r="G4458" s="4" t="s">
        <v>13</v>
      </c>
      <c r="H4458" s="4" t="s">
        <v>11</v>
      </c>
      <c r="I4458" s="4" t="s">
        <v>7</v>
      </c>
    </row>
    <row r="4459" spans="1:6">
      <c r="A4459" t="n">
        <v>38963</v>
      </c>
      <c r="B4459" s="51" t="n">
        <v>45</v>
      </c>
      <c r="C4459" s="7" t="n">
        <v>4</v>
      </c>
      <c r="D4459" s="7" t="n">
        <v>3</v>
      </c>
      <c r="E4459" s="7" t="n">
        <v>9.01000022888184</v>
      </c>
      <c r="F4459" s="7" t="n">
        <v>55.7900009155273</v>
      </c>
      <c r="G4459" s="7" t="n">
        <v>0</v>
      </c>
      <c r="H4459" s="7" t="n">
        <v>0</v>
      </c>
      <c r="I4459" s="7" t="n">
        <v>0</v>
      </c>
    </row>
    <row r="4460" spans="1:6">
      <c r="A4460" t="s">
        <v>4</v>
      </c>
      <c r="B4460" s="4" t="s">
        <v>5</v>
      </c>
      <c r="C4460" s="4" t="s">
        <v>7</v>
      </c>
      <c r="D4460" s="4" t="s">
        <v>7</v>
      </c>
      <c r="E4460" s="4" t="s">
        <v>13</v>
      </c>
      <c r="F4460" s="4" t="s">
        <v>11</v>
      </c>
    </row>
    <row r="4461" spans="1:6">
      <c r="A4461" t="n">
        <v>38981</v>
      </c>
      <c r="B4461" s="51" t="n">
        <v>45</v>
      </c>
      <c r="C4461" s="7" t="n">
        <v>5</v>
      </c>
      <c r="D4461" s="7" t="n">
        <v>3</v>
      </c>
      <c r="E4461" s="7" t="n">
        <v>2.40000009536743</v>
      </c>
      <c r="F4461" s="7" t="n">
        <v>0</v>
      </c>
    </row>
    <row r="4462" spans="1:6">
      <c r="A4462" t="s">
        <v>4</v>
      </c>
      <c r="B4462" s="4" t="s">
        <v>5</v>
      </c>
      <c r="C4462" s="4" t="s">
        <v>7</v>
      </c>
      <c r="D4462" s="4" t="s">
        <v>7</v>
      </c>
      <c r="E4462" s="4" t="s">
        <v>13</v>
      </c>
      <c r="F4462" s="4" t="s">
        <v>11</v>
      </c>
    </row>
    <row r="4463" spans="1:6">
      <c r="A4463" t="n">
        <v>38990</v>
      </c>
      <c r="B4463" s="51" t="n">
        <v>45</v>
      </c>
      <c r="C4463" s="7" t="n">
        <v>11</v>
      </c>
      <c r="D4463" s="7" t="n">
        <v>3</v>
      </c>
      <c r="E4463" s="7" t="n">
        <v>40.2999992370605</v>
      </c>
      <c r="F4463" s="7" t="n">
        <v>0</v>
      </c>
    </row>
    <row r="4464" spans="1:6">
      <c r="A4464" t="s">
        <v>4</v>
      </c>
      <c r="B4464" s="4" t="s">
        <v>5</v>
      </c>
      <c r="C4464" s="4" t="s">
        <v>7</v>
      </c>
      <c r="D4464" s="4" t="s">
        <v>7</v>
      </c>
      <c r="E4464" s="4" t="s">
        <v>13</v>
      </c>
      <c r="F4464" s="4" t="s">
        <v>13</v>
      </c>
      <c r="G4464" s="4" t="s">
        <v>13</v>
      </c>
      <c r="H4464" s="4" t="s">
        <v>11</v>
      </c>
    </row>
    <row r="4465" spans="1:9">
      <c r="A4465" t="n">
        <v>38999</v>
      </c>
      <c r="B4465" s="51" t="n">
        <v>45</v>
      </c>
      <c r="C4465" s="7" t="n">
        <v>2</v>
      </c>
      <c r="D4465" s="7" t="n">
        <v>3</v>
      </c>
      <c r="E4465" s="7" t="n">
        <v>-6.8899998664856</v>
      </c>
      <c r="F4465" s="7" t="n">
        <v>6.26999998092651</v>
      </c>
      <c r="G4465" s="7" t="n">
        <v>30.0599994659424</v>
      </c>
      <c r="H4465" s="7" t="n">
        <v>6000</v>
      </c>
    </row>
    <row r="4466" spans="1:9">
      <c r="A4466" t="s">
        <v>4</v>
      </c>
      <c r="B4466" s="4" t="s">
        <v>5</v>
      </c>
      <c r="C4466" s="4" t="s">
        <v>7</v>
      </c>
      <c r="D4466" s="4" t="s">
        <v>7</v>
      </c>
      <c r="E4466" s="4" t="s">
        <v>13</v>
      </c>
      <c r="F4466" s="4" t="s">
        <v>13</v>
      </c>
      <c r="G4466" s="4" t="s">
        <v>13</v>
      </c>
      <c r="H4466" s="4" t="s">
        <v>11</v>
      </c>
      <c r="I4466" s="4" t="s">
        <v>7</v>
      </c>
    </row>
    <row r="4467" spans="1:9">
      <c r="A4467" t="n">
        <v>39016</v>
      </c>
      <c r="B4467" s="51" t="n">
        <v>45</v>
      </c>
      <c r="C4467" s="7" t="n">
        <v>4</v>
      </c>
      <c r="D4467" s="7" t="n">
        <v>3</v>
      </c>
      <c r="E4467" s="7" t="n">
        <v>6.73999977111816</v>
      </c>
      <c r="F4467" s="7" t="n">
        <v>13.6199998855591</v>
      </c>
      <c r="G4467" s="7" t="n">
        <v>0</v>
      </c>
      <c r="H4467" s="7" t="n">
        <v>6000</v>
      </c>
      <c r="I4467" s="7" t="n">
        <v>1</v>
      </c>
    </row>
    <row r="4468" spans="1:9">
      <c r="A4468" t="s">
        <v>4</v>
      </c>
      <c r="B4468" s="4" t="s">
        <v>5</v>
      </c>
      <c r="C4468" s="4" t="s">
        <v>11</v>
      </c>
      <c r="D4468" s="4" t="s">
        <v>13</v>
      </c>
      <c r="E4468" s="4" t="s">
        <v>13</v>
      </c>
      <c r="F4468" s="4" t="s">
        <v>13</v>
      </c>
      <c r="G4468" s="4" t="s">
        <v>13</v>
      </c>
    </row>
    <row r="4469" spans="1:9">
      <c r="A4469" t="n">
        <v>39034</v>
      </c>
      <c r="B4469" s="36" t="n">
        <v>46</v>
      </c>
      <c r="C4469" s="7" t="n">
        <v>0</v>
      </c>
      <c r="D4469" s="7" t="n">
        <v>-6.51000022888184</v>
      </c>
      <c r="E4469" s="7" t="n">
        <v>5</v>
      </c>
      <c r="F4469" s="7" t="n">
        <v>29.8999996185303</v>
      </c>
      <c r="G4469" s="7" t="n">
        <v>208</v>
      </c>
    </row>
    <row r="4470" spans="1:9">
      <c r="A4470" t="s">
        <v>4</v>
      </c>
      <c r="B4470" s="4" t="s">
        <v>5</v>
      </c>
      <c r="C4470" s="4" t="s">
        <v>11</v>
      </c>
      <c r="D4470" s="4" t="s">
        <v>13</v>
      </c>
      <c r="E4470" s="4" t="s">
        <v>13</v>
      </c>
      <c r="F4470" s="4" t="s">
        <v>13</v>
      </c>
      <c r="G4470" s="4" t="s">
        <v>13</v>
      </c>
    </row>
    <row r="4471" spans="1:9">
      <c r="A4471" t="n">
        <v>39053</v>
      </c>
      <c r="B4471" s="36" t="n">
        <v>46</v>
      </c>
      <c r="C4471" s="7" t="n">
        <v>3</v>
      </c>
      <c r="D4471" s="7" t="n">
        <v>-7.44999980926514</v>
      </c>
      <c r="E4471" s="7" t="n">
        <v>5</v>
      </c>
      <c r="F4471" s="7" t="n">
        <v>29.7999992370605</v>
      </c>
      <c r="G4471" s="7" t="n">
        <v>151.199996948242</v>
      </c>
    </row>
    <row r="4472" spans="1:9">
      <c r="A4472" t="s">
        <v>4</v>
      </c>
      <c r="B4472" s="4" t="s">
        <v>5</v>
      </c>
      <c r="C4472" s="4" t="s">
        <v>8</v>
      </c>
      <c r="D4472" s="4" t="s">
        <v>8</v>
      </c>
    </row>
    <row r="4473" spans="1:9">
      <c r="A4473" t="n">
        <v>39072</v>
      </c>
      <c r="B4473" s="52" t="n">
        <v>70</v>
      </c>
      <c r="C4473" s="7" t="s">
        <v>25</v>
      </c>
      <c r="D4473" s="7" t="s">
        <v>118</v>
      </c>
    </row>
    <row r="4474" spans="1:9">
      <c r="A4474" t="s">
        <v>4</v>
      </c>
      <c r="B4474" s="4" t="s">
        <v>5</v>
      </c>
      <c r="C4474" s="4" t="s">
        <v>7</v>
      </c>
      <c r="D4474" s="4" t="s">
        <v>11</v>
      </c>
      <c r="E4474" s="4" t="s">
        <v>13</v>
      </c>
    </row>
    <row r="4475" spans="1:9">
      <c r="A4475" t="n">
        <v>39088</v>
      </c>
      <c r="B4475" s="23" t="n">
        <v>58</v>
      </c>
      <c r="C4475" s="7" t="n">
        <v>100</v>
      </c>
      <c r="D4475" s="7" t="n">
        <v>1000</v>
      </c>
      <c r="E4475" s="7" t="n">
        <v>1</v>
      </c>
    </row>
    <row r="4476" spans="1:9">
      <c r="A4476" t="s">
        <v>4</v>
      </c>
      <c r="B4476" s="4" t="s">
        <v>5</v>
      </c>
      <c r="C4476" s="4" t="s">
        <v>7</v>
      </c>
      <c r="D4476" s="4" t="s">
        <v>11</v>
      </c>
    </row>
    <row r="4477" spans="1:9">
      <c r="A4477" t="n">
        <v>39096</v>
      </c>
      <c r="B4477" s="23" t="n">
        <v>58</v>
      </c>
      <c r="C4477" s="7" t="n">
        <v>255</v>
      </c>
      <c r="D4477" s="7" t="n">
        <v>0</v>
      </c>
    </row>
    <row r="4478" spans="1:9">
      <c r="A4478" t="s">
        <v>4</v>
      </c>
      <c r="B4478" s="4" t="s">
        <v>5</v>
      </c>
      <c r="C4478" s="4" t="s">
        <v>11</v>
      </c>
    </row>
    <row r="4479" spans="1:9">
      <c r="A4479" t="n">
        <v>39100</v>
      </c>
      <c r="B4479" s="29" t="n">
        <v>16</v>
      </c>
      <c r="C4479" s="7" t="n">
        <v>1000</v>
      </c>
    </row>
    <row r="4480" spans="1:9">
      <c r="A4480" t="s">
        <v>4</v>
      </c>
      <c r="B4480" s="4" t="s">
        <v>5</v>
      </c>
      <c r="C4480" s="4" t="s">
        <v>7</v>
      </c>
      <c r="D4480" s="4" t="s">
        <v>11</v>
      </c>
    </row>
    <row r="4481" spans="1:9">
      <c r="A4481" t="n">
        <v>39103</v>
      </c>
      <c r="B4481" s="51" t="n">
        <v>45</v>
      </c>
      <c r="C4481" s="7" t="n">
        <v>7</v>
      </c>
      <c r="D4481" s="7" t="n">
        <v>255</v>
      </c>
    </row>
    <row r="4482" spans="1:9">
      <c r="A4482" t="s">
        <v>4</v>
      </c>
      <c r="B4482" s="4" t="s">
        <v>5</v>
      </c>
      <c r="C4482" s="4" t="s">
        <v>7</v>
      </c>
      <c r="D4482" s="4" t="s">
        <v>11</v>
      </c>
      <c r="E4482" s="4" t="s">
        <v>13</v>
      </c>
    </row>
    <row r="4483" spans="1:9">
      <c r="A4483" t="n">
        <v>39107</v>
      </c>
      <c r="B4483" s="23" t="n">
        <v>58</v>
      </c>
      <c r="C4483" s="7" t="n">
        <v>101</v>
      </c>
      <c r="D4483" s="7" t="n">
        <v>500</v>
      </c>
      <c r="E4483" s="7" t="n">
        <v>1</v>
      </c>
    </row>
    <row r="4484" spans="1:9">
      <c r="A4484" t="s">
        <v>4</v>
      </c>
      <c r="B4484" s="4" t="s">
        <v>5</v>
      </c>
      <c r="C4484" s="4" t="s">
        <v>7</v>
      </c>
      <c r="D4484" s="4" t="s">
        <v>11</v>
      </c>
    </row>
    <row r="4485" spans="1:9">
      <c r="A4485" t="n">
        <v>39115</v>
      </c>
      <c r="B4485" s="23" t="n">
        <v>58</v>
      </c>
      <c r="C4485" s="7" t="n">
        <v>254</v>
      </c>
      <c r="D4485" s="7" t="n">
        <v>0</v>
      </c>
    </row>
    <row r="4486" spans="1:9">
      <c r="A4486" t="s">
        <v>4</v>
      </c>
      <c r="B4486" s="4" t="s">
        <v>5</v>
      </c>
      <c r="C4486" s="4" t="s">
        <v>7</v>
      </c>
      <c r="D4486" s="4" t="s">
        <v>11</v>
      </c>
      <c r="E4486" s="4" t="s">
        <v>8</v>
      </c>
      <c r="F4486" s="4" t="s">
        <v>8</v>
      </c>
      <c r="G4486" s="4" t="s">
        <v>8</v>
      </c>
      <c r="H4486" s="4" t="s">
        <v>8</v>
      </c>
    </row>
    <row r="4487" spans="1:9">
      <c r="A4487" t="n">
        <v>39119</v>
      </c>
      <c r="B4487" s="38" t="n">
        <v>51</v>
      </c>
      <c r="C4487" s="7" t="n">
        <v>3</v>
      </c>
      <c r="D4487" s="7" t="n">
        <v>3</v>
      </c>
      <c r="E4487" s="7" t="s">
        <v>79</v>
      </c>
      <c r="F4487" s="7" t="s">
        <v>79</v>
      </c>
      <c r="G4487" s="7" t="s">
        <v>78</v>
      </c>
      <c r="H4487" s="7" t="s">
        <v>79</v>
      </c>
    </row>
    <row r="4488" spans="1:9">
      <c r="A4488" t="s">
        <v>4</v>
      </c>
      <c r="B4488" s="4" t="s">
        <v>5</v>
      </c>
      <c r="C4488" s="4" t="s">
        <v>7</v>
      </c>
      <c r="D4488" s="4" t="s">
        <v>11</v>
      </c>
      <c r="E4488" s="4" t="s">
        <v>11</v>
      </c>
      <c r="F4488" s="4" t="s">
        <v>15</v>
      </c>
      <c r="G4488" s="4" t="s">
        <v>15</v>
      </c>
      <c r="H4488" s="4" t="s">
        <v>15</v>
      </c>
    </row>
    <row r="4489" spans="1:9">
      <c r="A4489" t="n">
        <v>39132</v>
      </c>
      <c r="B4489" s="77" t="n">
        <v>97</v>
      </c>
      <c r="C4489" s="7" t="n">
        <v>6</v>
      </c>
      <c r="D4489" s="7" t="n">
        <v>0</v>
      </c>
      <c r="E4489" s="7" t="n">
        <v>0</v>
      </c>
      <c r="F4489" s="7" t="n">
        <v>-1065143501</v>
      </c>
      <c r="G4489" s="7" t="n">
        <v>1101004800</v>
      </c>
      <c r="H4489" s="7" t="n">
        <v>1101004800</v>
      </c>
    </row>
    <row r="4490" spans="1:9">
      <c r="A4490" t="s">
        <v>4</v>
      </c>
      <c r="B4490" s="4" t="s">
        <v>5</v>
      </c>
      <c r="C4490" s="4" t="s">
        <v>7</v>
      </c>
      <c r="D4490" s="4" t="s">
        <v>7</v>
      </c>
      <c r="E4490" s="4" t="s">
        <v>13</v>
      </c>
      <c r="F4490" s="4" t="s">
        <v>13</v>
      </c>
      <c r="G4490" s="4" t="s">
        <v>13</v>
      </c>
      <c r="H4490" s="4" t="s">
        <v>11</v>
      </c>
    </row>
    <row r="4491" spans="1:9">
      <c r="A4491" t="n">
        <v>39150</v>
      </c>
      <c r="B4491" s="51" t="n">
        <v>45</v>
      </c>
      <c r="C4491" s="7" t="n">
        <v>2</v>
      </c>
      <c r="D4491" s="7" t="n">
        <v>3</v>
      </c>
      <c r="E4491" s="7" t="n">
        <v>-6.86999988555908</v>
      </c>
      <c r="F4491" s="7" t="n">
        <v>6.42999982833862</v>
      </c>
      <c r="G4491" s="7" t="n">
        <v>29.8400001525879</v>
      </c>
      <c r="H4491" s="7" t="n">
        <v>0</v>
      </c>
    </row>
    <row r="4492" spans="1:9">
      <c r="A4492" t="s">
        <v>4</v>
      </c>
      <c r="B4492" s="4" t="s">
        <v>5</v>
      </c>
      <c r="C4492" s="4" t="s">
        <v>7</v>
      </c>
      <c r="D4492" s="4" t="s">
        <v>7</v>
      </c>
      <c r="E4492" s="4" t="s">
        <v>13</v>
      </c>
      <c r="F4492" s="4" t="s">
        <v>13</v>
      </c>
      <c r="G4492" s="4" t="s">
        <v>13</v>
      </c>
      <c r="H4492" s="4" t="s">
        <v>11</v>
      </c>
      <c r="I4492" s="4" t="s">
        <v>7</v>
      </c>
    </row>
    <row r="4493" spans="1:9">
      <c r="A4493" t="n">
        <v>39167</v>
      </c>
      <c r="B4493" s="51" t="n">
        <v>45</v>
      </c>
      <c r="C4493" s="7" t="n">
        <v>4</v>
      </c>
      <c r="D4493" s="7" t="n">
        <v>3</v>
      </c>
      <c r="E4493" s="7" t="n">
        <v>18.2999992370605</v>
      </c>
      <c r="F4493" s="7" t="n">
        <v>135.5</v>
      </c>
      <c r="G4493" s="7" t="n">
        <v>0</v>
      </c>
      <c r="H4493" s="7" t="n">
        <v>0</v>
      </c>
      <c r="I4493" s="7" t="n">
        <v>0</v>
      </c>
    </row>
    <row r="4494" spans="1:9">
      <c r="A4494" t="s">
        <v>4</v>
      </c>
      <c r="B4494" s="4" t="s">
        <v>5</v>
      </c>
      <c r="C4494" s="4" t="s">
        <v>7</v>
      </c>
      <c r="D4494" s="4" t="s">
        <v>7</v>
      </c>
      <c r="E4494" s="4" t="s">
        <v>13</v>
      </c>
      <c r="F4494" s="4" t="s">
        <v>11</v>
      </c>
    </row>
    <row r="4495" spans="1:9">
      <c r="A4495" t="n">
        <v>39185</v>
      </c>
      <c r="B4495" s="51" t="n">
        <v>45</v>
      </c>
      <c r="C4495" s="7" t="n">
        <v>5</v>
      </c>
      <c r="D4495" s="7" t="n">
        <v>3</v>
      </c>
      <c r="E4495" s="7" t="n">
        <v>1.29999995231628</v>
      </c>
      <c r="F4495" s="7" t="n">
        <v>0</v>
      </c>
    </row>
    <row r="4496" spans="1:9">
      <c r="A4496" t="s">
        <v>4</v>
      </c>
      <c r="B4496" s="4" t="s">
        <v>5</v>
      </c>
      <c r="C4496" s="4" t="s">
        <v>7</v>
      </c>
      <c r="D4496" s="4" t="s">
        <v>7</v>
      </c>
      <c r="E4496" s="4" t="s">
        <v>13</v>
      </c>
      <c r="F4496" s="4" t="s">
        <v>11</v>
      </c>
    </row>
    <row r="4497" spans="1:9">
      <c r="A4497" t="n">
        <v>39194</v>
      </c>
      <c r="B4497" s="51" t="n">
        <v>45</v>
      </c>
      <c r="C4497" s="7" t="n">
        <v>11</v>
      </c>
      <c r="D4497" s="7" t="n">
        <v>3</v>
      </c>
      <c r="E4497" s="7" t="n">
        <v>40.2999992370605</v>
      </c>
      <c r="F4497" s="7" t="n">
        <v>0</v>
      </c>
    </row>
    <row r="4498" spans="1:9">
      <c r="A4498" t="s">
        <v>4</v>
      </c>
      <c r="B4498" s="4" t="s">
        <v>5</v>
      </c>
      <c r="C4498" s="4" t="s">
        <v>7</v>
      </c>
      <c r="D4498" s="4" t="s">
        <v>11</v>
      </c>
    </row>
    <row r="4499" spans="1:9">
      <c r="A4499" t="n">
        <v>39203</v>
      </c>
      <c r="B4499" s="23" t="n">
        <v>58</v>
      </c>
      <c r="C4499" s="7" t="n">
        <v>255</v>
      </c>
      <c r="D4499" s="7" t="n">
        <v>0</v>
      </c>
    </row>
    <row r="4500" spans="1:9">
      <c r="A4500" t="s">
        <v>4</v>
      </c>
      <c r="B4500" s="4" t="s">
        <v>5</v>
      </c>
      <c r="C4500" s="4" t="s">
        <v>7</v>
      </c>
      <c r="D4500" s="4" t="s">
        <v>11</v>
      </c>
      <c r="E4500" s="4" t="s">
        <v>8</v>
      </c>
    </row>
    <row r="4501" spans="1:9">
      <c r="A4501" t="n">
        <v>39207</v>
      </c>
      <c r="B4501" s="38" t="n">
        <v>51</v>
      </c>
      <c r="C4501" s="7" t="n">
        <v>4</v>
      </c>
      <c r="D4501" s="7" t="n">
        <v>0</v>
      </c>
      <c r="E4501" s="7" t="s">
        <v>242</v>
      </c>
    </row>
    <row r="4502" spans="1:9">
      <c r="A4502" t="s">
        <v>4</v>
      </c>
      <c r="B4502" s="4" t="s">
        <v>5</v>
      </c>
      <c r="C4502" s="4" t="s">
        <v>11</v>
      </c>
    </row>
    <row r="4503" spans="1:9">
      <c r="A4503" t="n">
        <v>39221</v>
      </c>
      <c r="B4503" s="29" t="n">
        <v>16</v>
      </c>
      <c r="C4503" s="7" t="n">
        <v>0</v>
      </c>
    </row>
    <row r="4504" spans="1:9">
      <c r="A4504" t="s">
        <v>4</v>
      </c>
      <c r="B4504" s="4" t="s">
        <v>5</v>
      </c>
      <c r="C4504" s="4" t="s">
        <v>11</v>
      </c>
      <c r="D4504" s="4" t="s">
        <v>7</v>
      </c>
      <c r="E4504" s="4" t="s">
        <v>15</v>
      </c>
      <c r="F4504" s="4" t="s">
        <v>55</v>
      </c>
      <c r="G4504" s="4" t="s">
        <v>7</v>
      </c>
      <c r="H4504" s="4" t="s">
        <v>7</v>
      </c>
      <c r="I4504" s="4" t="s">
        <v>7</v>
      </c>
      <c r="J4504" s="4" t="s">
        <v>15</v>
      </c>
      <c r="K4504" s="4" t="s">
        <v>55</v>
      </c>
      <c r="L4504" s="4" t="s">
        <v>7</v>
      </c>
      <c r="M4504" s="4" t="s">
        <v>7</v>
      </c>
    </row>
    <row r="4505" spans="1:9">
      <c r="A4505" t="n">
        <v>39224</v>
      </c>
      <c r="B4505" s="55" t="n">
        <v>26</v>
      </c>
      <c r="C4505" s="7" t="n">
        <v>0</v>
      </c>
      <c r="D4505" s="7" t="n">
        <v>17</v>
      </c>
      <c r="E4505" s="7" t="n">
        <v>63830</v>
      </c>
      <c r="F4505" s="7" t="s">
        <v>404</v>
      </c>
      <c r="G4505" s="7" t="n">
        <v>2</v>
      </c>
      <c r="H4505" s="7" t="n">
        <v>3</v>
      </c>
      <c r="I4505" s="7" t="n">
        <v>17</v>
      </c>
      <c r="J4505" s="7" t="n">
        <v>63831</v>
      </c>
      <c r="K4505" s="7" t="s">
        <v>405</v>
      </c>
      <c r="L4505" s="7" t="n">
        <v>2</v>
      </c>
      <c r="M4505" s="7" t="n">
        <v>0</v>
      </c>
    </row>
    <row r="4506" spans="1:9">
      <c r="A4506" t="s">
        <v>4</v>
      </c>
      <c r="B4506" s="4" t="s">
        <v>5</v>
      </c>
    </row>
    <row r="4507" spans="1:9">
      <c r="A4507" t="n">
        <v>39468</v>
      </c>
      <c r="B4507" s="27" t="n">
        <v>28</v>
      </c>
    </row>
    <row r="4508" spans="1:9">
      <c r="A4508" t="s">
        <v>4</v>
      </c>
      <c r="B4508" s="4" t="s">
        <v>5</v>
      </c>
      <c r="C4508" s="4" t="s">
        <v>11</v>
      </c>
      <c r="D4508" s="4" t="s">
        <v>11</v>
      </c>
      <c r="E4508" s="4" t="s">
        <v>11</v>
      </c>
    </row>
    <row r="4509" spans="1:9">
      <c r="A4509" t="n">
        <v>39469</v>
      </c>
      <c r="B4509" s="72" t="n">
        <v>61</v>
      </c>
      <c r="C4509" s="7" t="n">
        <v>3</v>
      </c>
      <c r="D4509" s="7" t="n">
        <v>0</v>
      </c>
      <c r="E4509" s="7" t="n">
        <v>1000</v>
      </c>
    </row>
    <row r="4510" spans="1:9">
      <c r="A4510" t="s">
        <v>4</v>
      </c>
      <c r="B4510" s="4" t="s">
        <v>5</v>
      </c>
      <c r="C4510" s="4" t="s">
        <v>11</v>
      </c>
    </row>
    <row r="4511" spans="1:9">
      <c r="A4511" t="n">
        <v>39476</v>
      </c>
      <c r="B4511" s="29" t="n">
        <v>16</v>
      </c>
      <c r="C4511" s="7" t="n">
        <v>300</v>
      </c>
    </row>
    <row r="4512" spans="1:9">
      <c r="A4512" t="s">
        <v>4</v>
      </c>
      <c r="B4512" s="4" t="s">
        <v>5</v>
      </c>
      <c r="C4512" s="4" t="s">
        <v>7</v>
      </c>
      <c r="D4512" s="4" t="s">
        <v>11</v>
      </c>
      <c r="E4512" s="4" t="s">
        <v>8</v>
      </c>
    </row>
    <row r="4513" spans="1:13">
      <c r="A4513" t="n">
        <v>39479</v>
      </c>
      <c r="B4513" s="38" t="n">
        <v>51</v>
      </c>
      <c r="C4513" s="7" t="n">
        <v>4</v>
      </c>
      <c r="D4513" s="7" t="n">
        <v>3</v>
      </c>
      <c r="E4513" s="7" t="s">
        <v>242</v>
      </c>
    </row>
    <row r="4514" spans="1:13">
      <c r="A4514" t="s">
        <v>4</v>
      </c>
      <c r="B4514" s="4" t="s">
        <v>5</v>
      </c>
      <c r="C4514" s="4" t="s">
        <v>11</v>
      </c>
    </row>
    <row r="4515" spans="1:13">
      <c r="A4515" t="n">
        <v>39493</v>
      </c>
      <c r="B4515" s="29" t="n">
        <v>16</v>
      </c>
      <c r="C4515" s="7" t="n">
        <v>0</v>
      </c>
    </row>
    <row r="4516" spans="1:13">
      <c r="A4516" t="s">
        <v>4</v>
      </c>
      <c r="B4516" s="4" t="s">
        <v>5</v>
      </c>
      <c r="C4516" s="4" t="s">
        <v>11</v>
      </c>
      <c r="D4516" s="4" t="s">
        <v>7</v>
      </c>
      <c r="E4516" s="4" t="s">
        <v>15</v>
      </c>
      <c r="F4516" s="4" t="s">
        <v>55</v>
      </c>
      <c r="G4516" s="4" t="s">
        <v>7</v>
      </c>
      <c r="H4516" s="4" t="s">
        <v>7</v>
      </c>
      <c r="I4516" s="4" t="s">
        <v>7</v>
      </c>
      <c r="J4516" s="4" t="s">
        <v>15</v>
      </c>
      <c r="K4516" s="4" t="s">
        <v>55</v>
      </c>
      <c r="L4516" s="4" t="s">
        <v>7</v>
      </c>
      <c r="M4516" s="4" t="s">
        <v>7</v>
      </c>
    </row>
    <row r="4517" spans="1:13">
      <c r="A4517" t="n">
        <v>39496</v>
      </c>
      <c r="B4517" s="55" t="n">
        <v>26</v>
      </c>
      <c r="C4517" s="7" t="n">
        <v>3</v>
      </c>
      <c r="D4517" s="7" t="n">
        <v>17</v>
      </c>
      <c r="E4517" s="7" t="n">
        <v>63832</v>
      </c>
      <c r="F4517" s="7" t="s">
        <v>406</v>
      </c>
      <c r="G4517" s="7" t="n">
        <v>2</v>
      </c>
      <c r="H4517" s="7" t="n">
        <v>3</v>
      </c>
      <c r="I4517" s="7" t="n">
        <v>17</v>
      </c>
      <c r="J4517" s="7" t="n">
        <v>63833</v>
      </c>
      <c r="K4517" s="7" t="s">
        <v>407</v>
      </c>
      <c r="L4517" s="7" t="n">
        <v>2</v>
      </c>
      <c r="M4517" s="7" t="n">
        <v>0</v>
      </c>
    </row>
    <row r="4518" spans="1:13">
      <c r="A4518" t="s">
        <v>4</v>
      </c>
      <c r="B4518" s="4" t="s">
        <v>5</v>
      </c>
    </row>
    <row r="4519" spans="1:13">
      <c r="A4519" t="n">
        <v>39625</v>
      </c>
      <c r="B4519" s="27" t="n">
        <v>28</v>
      </c>
    </row>
    <row r="4520" spans="1:13">
      <c r="A4520" t="s">
        <v>4</v>
      </c>
      <c r="B4520" s="4" t="s">
        <v>5</v>
      </c>
      <c r="C4520" s="4" t="s">
        <v>11</v>
      </c>
      <c r="D4520" s="4" t="s">
        <v>11</v>
      </c>
      <c r="E4520" s="4" t="s">
        <v>11</v>
      </c>
    </row>
    <row r="4521" spans="1:13">
      <c r="A4521" t="n">
        <v>39626</v>
      </c>
      <c r="B4521" s="72" t="n">
        <v>61</v>
      </c>
      <c r="C4521" s="7" t="n">
        <v>0</v>
      </c>
      <c r="D4521" s="7" t="n">
        <v>3</v>
      </c>
      <c r="E4521" s="7" t="n">
        <v>1000</v>
      </c>
    </row>
    <row r="4522" spans="1:13">
      <c r="A4522" t="s">
        <v>4</v>
      </c>
      <c r="B4522" s="4" t="s">
        <v>5</v>
      </c>
      <c r="C4522" s="4" t="s">
        <v>11</v>
      </c>
    </row>
    <row r="4523" spans="1:13">
      <c r="A4523" t="n">
        <v>39633</v>
      </c>
      <c r="B4523" s="29" t="n">
        <v>16</v>
      </c>
      <c r="C4523" s="7" t="n">
        <v>300</v>
      </c>
    </row>
    <row r="4524" spans="1:13">
      <c r="A4524" t="s">
        <v>4</v>
      </c>
      <c r="B4524" s="4" t="s">
        <v>5</v>
      </c>
      <c r="C4524" s="4" t="s">
        <v>7</v>
      </c>
      <c r="D4524" s="4" t="s">
        <v>11</v>
      </c>
      <c r="E4524" s="4" t="s">
        <v>8</v>
      </c>
    </row>
    <row r="4525" spans="1:13">
      <c r="A4525" t="n">
        <v>39636</v>
      </c>
      <c r="B4525" s="38" t="n">
        <v>51</v>
      </c>
      <c r="C4525" s="7" t="n">
        <v>4</v>
      </c>
      <c r="D4525" s="7" t="n">
        <v>0</v>
      </c>
      <c r="E4525" s="7" t="s">
        <v>242</v>
      </c>
    </row>
    <row r="4526" spans="1:13">
      <c r="A4526" t="s">
        <v>4</v>
      </c>
      <c r="B4526" s="4" t="s">
        <v>5</v>
      </c>
      <c r="C4526" s="4" t="s">
        <v>11</v>
      </c>
    </row>
    <row r="4527" spans="1:13">
      <c r="A4527" t="n">
        <v>39650</v>
      </c>
      <c r="B4527" s="29" t="n">
        <v>16</v>
      </c>
      <c r="C4527" s="7" t="n">
        <v>0</v>
      </c>
    </row>
    <row r="4528" spans="1:13">
      <c r="A4528" t="s">
        <v>4</v>
      </c>
      <c r="B4528" s="4" t="s">
        <v>5</v>
      </c>
      <c r="C4528" s="4" t="s">
        <v>11</v>
      </c>
      <c r="D4528" s="4" t="s">
        <v>7</v>
      </c>
      <c r="E4528" s="4" t="s">
        <v>15</v>
      </c>
      <c r="F4528" s="4" t="s">
        <v>55</v>
      </c>
      <c r="G4528" s="4" t="s">
        <v>7</v>
      </c>
      <c r="H4528" s="4" t="s">
        <v>7</v>
      </c>
      <c r="I4528" s="4" t="s">
        <v>7</v>
      </c>
      <c r="J4528" s="4" t="s">
        <v>15</v>
      </c>
      <c r="K4528" s="4" t="s">
        <v>55</v>
      </c>
      <c r="L4528" s="4" t="s">
        <v>7</v>
      </c>
      <c r="M4528" s="4" t="s">
        <v>7</v>
      </c>
    </row>
    <row r="4529" spans="1:13">
      <c r="A4529" t="n">
        <v>39653</v>
      </c>
      <c r="B4529" s="55" t="n">
        <v>26</v>
      </c>
      <c r="C4529" s="7" t="n">
        <v>0</v>
      </c>
      <c r="D4529" s="7" t="n">
        <v>17</v>
      </c>
      <c r="E4529" s="7" t="n">
        <v>63834</v>
      </c>
      <c r="F4529" s="7" t="s">
        <v>408</v>
      </c>
      <c r="G4529" s="7" t="n">
        <v>2</v>
      </c>
      <c r="H4529" s="7" t="n">
        <v>3</v>
      </c>
      <c r="I4529" s="7" t="n">
        <v>17</v>
      </c>
      <c r="J4529" s="7" t="n">
        <v>63835</v>
      </c>
      <c r="K4529" s="7" t="s">
        <v>409</v>
      </c>
      <c r="L4529" s="7" t="n">
        <v>2</v>
      </c>
      <c r="M4529" s="7" t="n">
        <v>0</v>
      </c>
    </row>
    <row r="4530" spans="1:13">
      <c r="A4530" t="s">
        <v>4</v>
      </c>
      <c r="B4530" s="4" t="s">
        <v>5</v>
      </c>
    </row>
    <row r="4531" spans="1:13">
      <c r="A4531" t="n">
        <v>39822</v>
      </c>
      <c r="B4531" s="27" t="n">
        <v>28</v>
      </c>
    </row>
    <row r="4532" spans="1:13">
      <c r="A4532" t="s">
        <v>4</v>
      </c>
      <c r="B4532" s="4" t="s">
        <v>5</v>
      </c>
      <c r="C4532" s="4" t="s">
        <v>7</v>
      </c>
      <c r="D4532" s="4" t="s">
        <v>11</v>
      </c>
      <c r="E4532" s="4" t="s">
        <v>8</v>
      </c>
    </row>
    <row r="4533" spans="1:13">
      <c r="A4533" t="n">
        <v>39823</v>
      </c>
      <c r="B4533" s="38" t="n">
        <v>51</v>
      </c>
      <c r="C4533" s="7" t="n">
        <v>4</v>
      </c>
      <c r="D4533" s="7" t="n">
        <v>3</v>
      </c>
      <c r="E4533" s="7" t="s">
        <v>247</v>
      </c>
    </row>
    <row r="4534" spans="1:13">
      <c r="A4534" t="s">
        <v>4</v>
      </c>
      <c r="B4534" s="4" t="s">
        <v>5</v>
      </c>
      <c r="C4534" s="4" t="s">
        <v>11</v>
      </c>
    </row>
    <row r="4535" spans="1:13">
      <c r="A4535" t="n">
        <v>39837</v>
      </c>
      <c r="B4535" s="29" t="n">
        <v>16</v>
      </c>
      <c r="C4535" s="7" t="n">
        <v>0</v>
      </c>
    </row>
    <row r="4536" spans="1:13">
      <c r="A4536" t="s">
        <v>4</v>
      </c>
      <c r="B4536" s="4" t="s">
        <v>5</v>
      </c>
      <c r="C4536" s="4" t="s">
        <v>11</v>
      </c>
      <c r="D4536" s="4" t="s">
        <v>7</v>
      </c>
      <c r="E4536" s="4" t="s">
        <v>15</v>
      </c>
      <c r="F4536" s="4" t="s">
        <v>55</v>
      </c>
      <c r="G4536" s="4" t="s">
        <v>7</v>
      </c>
      <c r="H4536" s="4" t="s">
        <v>7</v>
      </c>
      <c r="I4536" s="4" t="s">
        <v>7</v>
      </c>
      <c r="J4536" s="4" t="s">
        <v>15</v>
      </c>
      <c r="K4536" s="4" t="s">
        <v>55</v>
      </c>
      <c r="L4536" s="4" t="s">
        <v>7</v>
      </c>
      <c r="M4536" s="4" t="s">
        <v>7</v>
      </c>
    </row>
    <row r="4537" spans="1:13">
      <c r="A4537" t="n">
        <v>39840</v>
      </c>
      <c r="B4537" s="55" t="n">
        <v>26</v>
      </c>
      <c r="C4537" s="7" t="n">
        <v>3</v>
      </c>
      <c r="D4537" s="7" t="n">
        <v>17</v>
      </c>
      <c r="E4537" s="7" t="n">
        <v>63836</v>
      </c>
      <c r="F4537" s="7" t="s">
        <v>410</v>
      </c>
      <c r="G4537" s="7" t="n">
        <v>2</v>
      </c>
      <c r="H4537" s="7" t="n">
        <v>3</v>
      </c>
      <c r="I4537" s="7" t="n">
        <v>17</v>
      </c>
      <c r="J4537" s="7" t="n">
        <v>63837</v>
      </c>
      <c r="K4537" s="7" t="s">
        <v>411</v>
      </c>
      <c r="L4537" s="7" t="n">
        <v>2</v>
      </c>
      <c r="M4537" s="7" t="n">
        <v>0</v>
      </c>
    </row>
    <row r="4538" spans="1:13">
      <c r="A4538" t="s">
        <v>4</v>
      </c>
      <c r="B4538" s="4" t="s">
        <v>5</v>
      </c>
    </row>
    <row r="4539" spans="1:13">
      <c r="A4539" t="n">
        <v>40000</v>
      </c>
      <c r="B4539" s="27" t="n">
        <v>28</v>
      </c>
    </row>
    <row r="4540" spans="1:13">
      <c r="A4540" t="s">
        <v>4</v>
      </c>
      <c r="B4540" s="4" t="s">
        <v>5</v>
      </c>
      <c r="C4540" s="4" t="s">
        <v>7</v>
      </c>
      <c r="D4540" s="4" t="s">
        <v>11</v>
      </c>
      <c r="E4540" s="4" t="s">
        <v>7</v>
      </c>
    </row>
    <row r="4541" spans="1:13">
      <c r="A4541" t="n">
        <v>40001</v>
      </c>
      <c r="B4541" s="13" t="n">
        <v>49</v>
      </c>
      <c r="C4541" s="7" t="n">
        <v>1</v>
      </c>
      <c r="D4541" s="7" t="n">
        <v>3000</v>
      </c>
      <c r="E4541" s="7" t="n">
        <v>0</v>
      </c>
    </row>
    <row r="4542" spans="1:13">
      <c r="A4542" t="s">
        <v>4</v>
      </c>
      <c r="B4542" s="4" t="s">
        <v>5</v>
      </c>
      <c r="C4542" s="4" t="s">
        <v>7</v>
      </c>
      <c r="D4542" s="4" t="s">
        <v>11</v>
      </c>
      <c r="E4542" s="4" t="s">
        <v>8</v>
      </c>
      <c r="F4542" s="4" t="s">
        <v>8</v>
      </c>
      <c r="G4542" s="4" t="s">
        <v>8</v>
      </c>
      <c r="H4542" s="4" t="s">
        <v>8</v>
      </c>
    </row>
    <row r="4543" spans="1:13">
      <c r="A4543" t="n">
        <v>40006</v>
      </c>
      <c r="B4543" s="38" t="n">
        <v>51</v>
      </c>
      <c r="C4543" s="7" t="n">
        <v>3</v>
      </c>
      <c r="D4543" s="7" t="n">
        <v>3</v>
      </c>
      <c r="E4543" s="7" t="s">
        <v>319</v>
      </c>
      <c r="F4543" s="7" t="s">
        <v>232</v>
      </c>
      <c r="G4543" s="7" t="s">
        <v>78</v>
      </c>
      <c r="H4543" s="7" t="s">
        <v>79</v>
      </c>
    </row>
    <row r="4544" spans="1:13">
      <c r="A4544" t="s">
        <v>4</v>
      </c>
      <c r="B4544" s="4" t="s">
        <v>5</v>
      </c>
      <c r="C4544" s="4" t="s">
        <v>11</v>
      </c>
      <c r="D4544" s="4" t="s">
        <v>7</v>
      </c>
      <c r="E4544" s="4" t="s">
        <v>13</v>
      </c>
      <c r="F4544" s="4" t="s">
        <v>11</v>
      </c>
    </row>
    <row r="4545" spans="1:13">
      <c r="A4545" t="n">
        <v>40019</v>
      </c>
      <c r="B4545" s="56" t="n">
        <v>59</v>
      </c>
      <c r="C4545" s="7" t="n">
        <v>3</v>
      </c>
      <c r="D4545" s="7" t="n">
        <v>9</v>
      </c>
      <c r="E4545" s="7" t="n">
        <v>0.150000005960464</v>
      </c>
      <c r="F4545" s="7" t="n">
        <v>0</v>
      </c>
    </row>
    <row r="4546" spans="1:13">
      <c r="A4546" t="s">
        <v>4</v>
      </c>
      <c r="B4546" s="4" t="s">
        <v>5</v>
      </c>
      <c r="C4546" s="4" t="s">
        <v>11</v>
      </c>
    </row>
    <row r="4547" spans="1:13">
      <c r="A4547" t="n">
        <v>40029</v>
      </c>
      <c r="B4547" s="29" t="n">
        <v>16</v>
      </c>
      <c r="C4547" s="7" t="n">
        <v>1800</v>
      </c>
    </row>
    <row r="4548" spans="1:13">
      <c r="A4548" t="s">
        <v>4</v>
      </c>
      <c r="B4548" s="4" t="s">
        <v>5</v>
      </c>
      <c r="C4548" s="4" t="s">
        <v>7</v>
      </c>
      <c r="D4548" s="4" t="s">
        <v>11</v>
      </c>
      <c r="E4548" s="4" t="s">
        <v>13</v>
      </c>
    </row>
    <row r="4549" spans="1:13">
      <c r="A4549" t="n">
        <v>40032</v>
      </c>
      <c r="B4549" s="23" t="n">
        <v>58</v>
      </c>
      <c r="C4549" s="7" t="n">
        <v>101</v>
      </c>
      <c r="D4549" s="7" t="n">
        <v>800</v>
      </c>
      <c r="E4549" s="7" t="n">
        <v>1</v>
      </c>
    </row>
    <row r="4550" spans="1:13">
      <c r="A4550" t="s">
        <v>4</v>
      </c>
      <c r="B4550" s="4" t="s">
        <v>5</v>
      </c>
      <c r="C4550" s="4" t="s">
        <v>7</v>
      </c>
      <c r="D4550" s="4" t="s">
        <v>11</v>
      </c>
    </row>
    <row r="4551" spans="1:13">
      <c r="A4551" t="n">
        <v>40040</v>
      </c>
      <c r="B4551" s="23" t="n">
        <v>58</v>
      </c>
      <c r="C4551" s="7" t="n">
        <v>254</v>
      </c>
      <c r="D4551" s="7" t="n">
        <v>0</v>
      </c>
    </row>
    <row r="4552" spans="1:13">
      <c r="A4552" t="s">
        <v>4</v>
      </c>
      <c r="B4552" s="4" t="s">
        <v>5</v>
      </c>
      <c r="C4552" s="4" t="s">
        <v>7</v>
      </c>
      <c r="D4552" s="4" t="s">
        <v>7</v>
      </c>
      <c r="E4552" s="4" t="s">
        <v>13</v>
      </c>
      <c r="F4552" s="4" t="s">
        <v>13</v>
      </c>
      <c r="G4552" s="4" t="s">
        <v>13</v>
      </c>
      <c r="H4552" s="4" t="s">
        <v>11</v>
      </c>
    </row>
    <row r="4553" spans="1:13">
      <c r="A4553" t="n">
        <v>40044</v>
      </c>
      <c r="B4553" s="51" t="n">
        <v>45</v>
      </c>
      <c r="C4553" s="7" t="n">
        <v>2</v>
      </c>
      <c r="D4553" s="7" t="n">
        <v>3</v>
      </c>
      <c r="E4553" s="7" t="n">
        <v>-7.36999988555908</v>
      </c>
      <c r="F4553" s="7" t="n">
        <v>6.42999982833862</v>
      </c>
      <c r="G4553" s="7" t="n">
        <v>29.8199996948242</v>
      </c>
      <c r="H4553" s="7" t="n">
        <v>0</v>
      </c>
    </row>
    <row r="4554" spans="1:13">
      <c r="A4554" t="s">
        <v>4</v>
      </c>
      <c r="B4554" s="4" t="s">
        <v>5</v>
      </c>
      <c r="C4554" s="4" t="s">
        <v>7</v>
      </c>
      <c r="D4554" s="4" t="s">
        <v>7</v>
      </c>
      <c r="E4554" s="4" t="s">
        <v>13</v>
      </c>
      <c r="F4554" s="4" t="s">
        <v>13</v>
      </c>
      <c r="G4554" s="4" t="s">
        <v>13</v>
      </c>
      <c r="H4554" s="4" t="s">
        <v>11</v>
      </c>
      <c r="I4554" s="4" t="s">
        <v>7</v>
      </c>
    </row>
    <row r="4555" spans="1:13">
      <c r="A4555" t="n">
        <v>40061</v>
      </c>
      <c r="B4555" s="51" t="n">
        <v>45</v>
      </c>
      <c r="C4555" s="7" t="n">
        <v>4</v>
      </c>
      <c r="D4555" s="7" t="n">
        <v>3</v>
      </c>
      <c r="E4555" s="7" t="n">
        <v>10.3299999237061</v>
      </c>
      <c r="F4555" s="7" t="n">
        <v>61.2000007629395</v>
      </c>
      <c r="G4555" s="7" t="n">
        <v>356</v>
      </c>
      <c r="H4555" s="7" t="n">
        <v>0</v>
      </c>
      <c r="I4555" s="7" t="n">
        <v>0</v>
      </c>
    </row>
    <row r="4556" spans="1:13">
      <c r="A4556" t="s">
        <v>4</v>
      </c>
      <c r="B4556" s="4" t="s">
        <v>5</v>
      </c>
      <c r="C4556" s="4" t="s">
        <v>7</v>
      </c>
      <c r="D4556" s="4" t="s">
        <v>7</v>
      </c>
      <c r="E4556" s="4" t="s">
        <v>13</v>
      </c>
      <c r="F4556" s="4" t="s">
        <v>11</v>
      </c>
    </row>
    <row r="4557" spans="1:13">
      <c r="A4557" t="n">
        <v>40079</v>
      </c>
      <c r="B4557" s="51" t="n">
        <v>45</v>
      </c>
      <c r="C4557" s="7" t="n">
        <v>5</v>
      </c>
      <c r="D4557" s="7" t="n">
        <v>3</v>
      </c>
      <c r="E4557" s="7" t="n">
        <v>0.800000011920929</v>
      </c>
      <c r="F4557" s="7" t="n">
        <v>0</v>
      </c>
    </row>
    <row r="4558" spans="1:13">
      <c r="A4558" t="s">
        <v>4</v>
      </c>
      <c r="B4558" s="4" t="s">
        <v>5</v>
      </c>
      <c r="C4558" s="4" t="s">
        <v>7</v>
      </c>
      <c r="D4558" s="4" t="s">
        <v>7</v>
      </c>
      <c r="E4558" s="4" t="s">
        <v>13</v>
      </c>
      <c r="F4558" s="4" t="s">
        <v>11</v>
      </c>
    </row>
    <row r="4559" spans="1:13">
      <c r="A4559" t="n">
        <v>40088</v>
      </c>
      <c r="B4559" s="51" t="n">
        <v>45</v>
      </c>
      <c r="C4559" s="7" t="n">
        <v>11</v>
      </c>
      <c r="D4559" s="7" t="n">
        <v>3</v>
      </c>
      <c r="E4559" s="7" t="n">
        <v>40.2999992370605</v>
      </c>
      <c r="F4559" s="7" t="n">
        <v>0</v>
      </c>
    </row>
    <row r="4560" spans="1:13">
      <c r="A4560" t="s">
        <v>4</v>
      </c>
      <c r="B4560" s="4" t="s">
        <v>5</v>
      </c>
      <c r="C4560" s="4" t="s">
        <v>7</v>
      </c>
    </row>
    <row r="4561" spans="1:9">
      <c r="A4561" t="n">
        <v>40097</v>
      </c>
      <c r="B4561" s="49" t="n">
        <v>116</v>
      </c>
      <c r="C4561" s="7" t="n">
        <v>0</v>
      </c>
    </row>
    <row r="4562" spans="1:9">
      <c r="A4562" t="s">
        <v>4</v>
      </c>
      <c r="B4562" s="4" t="s">
        <v>5</v>
      </c>
      <c r="C4562" s="4" t="s">
        <v>7</v>
      </c>
      <c r="D4562" s="4" t="s">
        <v>11</v>
      </c>
    </row>
    <row r="4563" spans="1:9">
      <c r="A4563" t="n">
        <v>40099</v>
      </c>
      <c r="B4563" s="49" t="n">
        <v>116</v>
      </c>
      <c r="C4563" s="7" t="n">
        <v>2</v>
      </c>
      <c r="D4563" s="7" t="n">
        <v>1</v>
      </c>
    </row>
    <row r="4564" spans="1:9">
      <c r="A4564" t="s">
        <v>4</v>
      </c>
      <c r="B4564" s="4" t="s">
        <v>5</v>
      </c>
      <c r="C4564" s="4" t="s">
        <v>7</v>
      </c>
      <c r="D4564" s="4" t="s">
        <v>15</v>
      </c>
    </row>
    <row r="4565" spans="1:9">
      <c r="A4565" t="n">
        <v>40103</v>
      </c>
      <c r="B4565" s="49" t="n">
        <v>116</v>
      </c>
      <c r="C4565" s="7" t="n">
        <v>5</v>
      </c>
      <c r="D4565" s="7" t="n">
        <v>1077936128</v>
      </c>
    </row>
    <row r="4566" spans="1:9">
      <c r="A4566" t="s">
        <v>4</v>
      </c>
      <c r="B4566" s="4" t="s">
        <v>5</v>
      </c>
      <c r="C4566" s="4" t="s">
        <v>7</v>
      </c>
      <c r="D4566" s="4" t="s">
        <v>11</v>
      </c>
    </row>
    <row r="4567" spans="1:9">
      <c r="A4567" t="n">
        <v>40109</v>
      </c>
      <c r="B4567" s="49" t="n">
        <v>116</v>
      </c>
      <c r="C4567" s="7" t="n">
        <v>6</v>
      </c>
      <c r="D4567" s="7" t="n">
        <v>1</v>
      </c>
    </row>
    <row r="4568" spans="1:9">
      <c r="A4568" t="s">
        <v>4</v>
      </c>
      <c r="B4568" s="4" t="s">
        <v>5</v>
      </c>
      <c r="C4568" s="4" t="s">
        <v>7</v>
      </c>
      <c r="D4568" s="4" t="s">
        <v>11</v>
      </c>
      <c r="E4568" s="4" t="s">
        <v>8</v>
      </c>
      <c r="F4568" s="4" t="s">
        <v>8</v>
      </c>
      <c r="G4568" s="4" t="s">
        <v>8</v>
      </c>
      <c r="H4568" s="4" t="s">
        <v>8</v>
      </c>
    </row>
    <row r="4569" spans="1:9">
      <c r="A4569" t="n">
        <v>40113</v>
      </c>
      <c r="B4569" s="38" t="n">
        <v>51</v>
      </c>
      <c r="C4569" s="7" t="n">
        <v>3</v>
      </c>
      <c r="D4569" s="7" t="n">
        <v>3</v>
      </c>
      <c r="E4569" s="7" t="s">
        <v>86</v>
      </c>
      <c r="F4569" s="7" t="s">
        <v>79</v>
      </c>
      <c r="G4569" s="7" t="s">
        <v>78</v>
      </c>
      <c r="H4569" s="7" t="s">
        <v>79</v>
      </c>
    </row>
    <row r="4570" spans="1:9">
      <c r="A4570" t="s">
        <v>4</v>
      </c>
      <c r="B4570" s="4" t="s">
        <v>5</v>
      </c>
      <c r="C4570" s="4" t="s">
        <v>11</v>
      </c>
      <c r="D4570" s="4" t="s">
        <v>11</v>
      </c>
      <c r="E4570" s="4" t="s">
        <v>13</v>
      </c>
      <c r="F4570" s="4" t="s">
        <v>7</v>
      </c>
    </row>
    <row r="4571" spans="1:9">
      <c r="A4571" t="n">
        <v>40126</v>
      </c>
      <c r="B4571" s="73" t="n">
        <v>53</v>
      </c>
      <c r="C4571" s="7" t="n">
        <v>0</v>
      </c>
      <c r="D4571" s="7" t="n">
        <v>3</v>
      </c>
      <c r="E4571" s="7" t="n">
        <v>0</v>
      </c>
      <c r="F4571" s="7" t="n">
        <v>0</v>
      </c>
    </row>
    <row r="4572" spans="1:9">
      <c r="A4572" t="s">
        <v>4</v>
      </c>
      <c r="B4572" s="4" t="s">
        <v>5</v>
      </c>
      <c r="C4572" s="4" t="s">
        <v>7</v>
      </c>
      <c r="D4572" s="4" t="s">
        <v>11</v>
      </c>
    </row>
    <row r="4573" spans="1:9">
      <c r="A4573" t="n">
        <v>40136</v>
      </c>
      <c r="B4573" s="23" t="n">
        <v>58</v>
      </c>
      <c r="C4573" s="7" t="n">
        <v>255</v>
      </c>
      <c r="D4573" s="7" t="n">
        <v>0</v>
      </c>
    </row>
    <row r="4574" spans="1:9">
      <c r="A4574" t="s">
        <v>4</v>
      </c>
      <c r="B4574" s="4" t="s">
        <v>5</v>
      </c>
      <c r="C4574" s="4" t="s">
        <v>11</v>
      </c>
      <c r="D4574" s="4" t="s">
        <v>15</v>
      </c>
    </row>
    <row r="4575" spans="1:9">
      <c r="A4575" t="n">
        <v>40140</v>
      </c>
      <c r="B4575" s="39" t="n">
        <v>43</v>
      </c>
      <c r="C4575" s="7" t="n">
        <v>3</v>
      </c>
      <c r="D4575" s="7" t="n">
        <v>32768</v>
      </c>
    </row>
    <row r="4576" spans="1:9">
      <c r="A4576" t="s">
        <v>4</v>
      </c>
      <c r="B4576" s="4" t="s">
        <v>5</v>
      </c>
      <c r="C4576" s="4" t="s">
        <v>11</v>
      </c>
      <c r="D4576" s="4" t="s">
        <v>11</v>
      </c>
      <c r="E4576" s="4" t="s">
        <v>13</v>
      </c>
      <c r="F4576" s="4" t="s">
        <v>7</v>
      </c>
    </row>
    <row r="4577" spans="1:8">
      <c r="A4577" t="n">
        <v>40147</v>
      </c>
      <c r="B4577" s="73" t="n">
        <v>53</v>
      </c>
      <c r="C4577" s="7" t="n">
        <v>3</v>
      </c>
      <c r="D4577" s="7" t="n">
        <v>0</v>
      </c>
      <c r="E4577" s="7" t="n">
        <v>5</v>
      </c>
      <c r="F4577" s="7" t="n">
        <v>0</v>
      </c>
    </row>
    <row r="4578" spans="1:8">
      <c r="A4578" t="s">
        <v>4</v>
      </c>
      <c r="B4578" s="4" t="s">
        <v>5</v>
      </c>
      <c r="C4578" s="4" t="s">
        <v>11</v>
      </c>
    </row>
    <row r="4579" spans="1:8">
      <c r="A4579" t="n">
        <v>40157</v>
      </c>
      <c r="B4579" s="66" t="n">
        <v>54</v>
      </c>
      <c r="C4579" s="7" t="n">
        <v>3</v>
      </c>
    </row>
    <row r="4580" spans="1:8">
      <c r="A4580" t="s">
        <v>4</v>
      </c>
      <c r="B4580" s="4" t="s">
        <v>5</v>
      </c>
      <c r="C4580" s="4" t="s">
        <v>11</v>
      </c>
      <c r="D4580" s="4" t="s">
        <v>7</v>
      </c>
      <c r="E4580" s="4" t="s">
        <v>8</v>
      </c>
      <c r="F4580" s="4" t="s">
        <v>13</v>
      </c>
      <c r="G4580" s="4" t="s">
        <v>13</v>
      </c>
      <c r="H4580" s="4" t="s">
        <v>13</v>
      </c>
    </row>
    <row r="4581" spans="1:8">
      <c r="A4581" t="n">
        <v>40160</v>
      </c>
      <c r="B4581" s="42" t="n">
        <v>48</v>
      </c>
      <c r="C4581" s="7" t="n">
        <v>3</v>
      </c>
      <c r="D4581" s="7" t="n">
        <v>0</v>
      </c>
      <c r="E4581" s="7" t="s">
        <v>391</v>
      </c>
      <c r="F4581" s="7" t="n">
        <v>-1</v>
      </c>
      <c r="G4581" s="7" t="n">
        <v>1</v>
      </c>
      <c r="H4581" s="7" t="n">
        <v>0</v>
      </c>
    </row>
    <row r="4582" spans="1:8">
      <c r="A4582" t="s">
        <v>4</v>
      </c>
      <c r="B4582" s="4" t="s">
        <v>5</v>
      </c>
      <c r="C4582" s="4" t="s">
        <v>7</v>
      </c>
      <c r="D4582" s="4" t="s">
        <v>7</v>
      </c>
    </row>
    <row r="4583" spans="1:8">
      <c r="A4583" t="n">
        <v>40190</v>
      </c>
      <c r="B4583" s="13" t="n">
        <v>49</v>
      </c>
      <c r="C4583" s="7" t="n">
        <v>2</v>
      </c>
      <c r="D4583" s="7" t="n">
        <v>0</v>
      </c>
    </row>
    <row r="4584" spans="1:8">
      <c r="A4584" t="s">
        <v>4</v>
      </c>
      <c r="B4584" s="4" t="s">
        <v>5</v>
      </c>
      <c r="C4584" s="4" t="s">
        <v>7</v>
      </c>
      <c r="D4584" s="4" t="s">
        <v>11</v>
      </c>
      <c r="E4584" s="4" t="s">
        <v>15</v>
      </c>
      <c r="F4584" s="4" t="s">
        <v>11</v>
      </c>
      <c r="G4584" s="4" t="s">
        <v>15</v>
      </c>
      <c r="H4584" s="4" t="s">
        <v>7</v>
      </c>
    </row>
    <row r="4585" spans="1:8">
      <c r="A4585" t="n">
        <v>40193</v>
      </c>
      <c r="B4585" s="13" t="n">
        <v>49</v>
      </c>
      <c r="C4585" s="7" t="n">
        <v>0</v>
      </c>
      <c r="D4585" s="7" t="n">
        <v>551</v>
      </c>
      <c r="E4585" s="7" t="n">
        <v>1061997773</v>
      </c>
      <c r="F4585" s="7" t="n">
        <v>0</v>
      </c>
      <c r="G4585" s="7" t="n">
        <v>0</v>
      </c>
      <c r="H4585" s="7" t="n">
        <v>0</v>
      </c>
    </row>
    <row r="4586" spans="1:8">
      <c r="A4586" t="s">
        <v>4</v>
      </c>
      <c r="B4586" s="4" t="s">
        <v>5</v>
      </c>
      <c r="C4586" s="4" t="s">
        <v>7</v>
      </c>
      <c r="D4586" s="4" t="s">
        <v>11</v>
      </c>
    </row>
    <row r="4587" spans="1:8">
      <c r="A4587" t="n">
        <v>40208</v>
      </c>
      <c r="B4587" s="13" t="n">
        <v>49</v>
      </c>
      <c r="C4587" s="7" t="n">
        <v>6</v>
      </c>
      <c r="D4587" s="7" t="n">
        <v>551</v>
      </c>
    </row>
    <row r="4588" spans="1:8">
      <c r="A4588" t="s">
        <v>4</v>
      </c>
      <c r="B4588" s="4" t="s">
        <v>5</v>
      </c>
      <c r="C4588" s="4" t="s">
        <v>11</v>
      </c>
    </row>
    <row r="4589" spans="1:8">
      <c r="A4589" t="n">
        <v>40212</v>
      </c>
      <c r="B4589" s="29" t="n">
        <v>16</v>
      </c>
      <c r="C4589" s="7" t="n">
        <v>500</v>
      </c>
    </row>
    <row r="4590" spans="1:8">
      <c r="A4590" t="s">
        <v>4</v>
      </c>
      <c r="B4590" s="4" t="s">
        <v>5</v>
      </c>
      <c r="C4590" s="4" t="s">
        <v>7</v>
      </c>
      <c r="D4590" s="4" t="s">
        <v>11</v>
      </c>
      <c r="E4590" s="4" t="s">
        <v>8</v>
      </c>
    </row>
    <row r="4591" spans="1:8">
      <c r="A4591" t="n">
        <v>40215</v>
      </c>
      <c r="B4591" s="38" t="n">
        <v>51</v>
      </c>
      <c r="C4591" s="7" t="n">
        <v>4</v>
      </c>
      <c r="D4591" s="7" t="n">
        <v>3</v>
      </c>
      <c r="E4591" s="7" t="s">
        <v>242</v>
      </c>
    </row>
    <row r="4592" spans="1:8">
      <c r="A4592" t="s">
        <v>4</v>
      </c>
      <c r="B4592" s="4" t="s">
        <v>5</v>
      </c>
      <c r="C4592" s="4" t="s">
        <v>11</v>
      </c>
    </row>
    <row r="4593" spans="1:8">
      <c r="A4593" t="n">
        <v>40229</v>
      </c>
      <c r="B4593" s="29" t="n">
        <v>16</v>
      </c>
      <c r="C4593" s="7" t="n">
        <v>0</v>
      </c>
    </row>
    <row r="4594" spans="1:8">
      <c r="A4594" t="s">
        <v>4</v>
      </c>
      <c r="B4594" s="4" t="s">
        <v>5</v>
      </c>
      <c r="C4594" s="4" t="s">
        <v>11</v>
      </c>
      <c r="D4594" s="4" t="s">
        <v>7</v>
      </c>
      <c r="E4594" s="4" t="s">
        <v>15</v>
      </c>
      <c r="F4594" s="4" t="s">
        <v>55</v>
      </c>
      <c r="G4594" s="4" t="s">
        <v>7</v>
      </c>
      <c r="H4594" s="4" t="s">
        <v>7</v>
      </c>
      <c r="I4594" s="4" t="s">
        <v>7</v>
      </c>
      <c r="J4594" s="4" t="s">
        <v>15</v>
      </c>
      <c r="K4594" s="4" t="s">
        <v>55</v>
      </c>
      <c r="L4594" s="4" t="s">
        <v>7</v>
      </c>
      <c r="M4594" s="4" t="s">
        <v>7</v>
      </c>
    </row>
    <row r="4595" spans="1:8">
      <c r="A4595" t="n">
        <v>40232</v>
      </c>
      <c r="B4595" s="55" t="n">
        <v>26</v>
      </c>
      <c r="C4595" s="7" t="n">
        <v>3</v>
      </c>
      <c r="D4595" s="7" t="n">
        <v>17</v>
      </c>
      <c r="E4595" s="7" t="n">
        <v>2800</v>
      </c>
      <c r="F4595" s="7" t="s">
        <v>412</v>
      </c>
      <c r="G4595" s="7" t="n">
        <v>2</v>
      </c>
      <c r="H4595" s="7" t="n">
        <v>3</v>
      </c>
      <c r="I4595" s="7" t="n">
        <v>17</v>
      </c>
      <c r="J4595" s="7" t="n">
        <v>2801</v>
      </c>
      <c r="K4595" s="7" t="s">
        <v>413</v>
      </c>
      <c r="L4595" s="7" t="n">
        <v>2</v>
      </c>
      <c r="M4595" s="7" t="n">
        <v>0</v>
      </c>
    </row>
    <row r="4596" spans="1:8">
      <c r="A4596" t="s">
        <v>4</v>
      </c>
      <c r="B4596" s="4" t="s">
        <v>5</v>
      </c>
    </row>
    <row r="4597" spans="1:8">
      <c r="A4597" t="n">
        <v>40356</v>
      </c>
      <c r="B4597" s="27" t="n">
        <v>28</v>
      </c>
    </row>
    <row r="4598" spans="1:8">
      <c r="A4598" t="s">
        <v>4</v>
      </c>
      <c r="B4598" s="4" t="s">
        <v>5</v>
      </c>
      <c r="C4598" s="4" t="s">
        <v>11</v>
      </c>
      <c r="D4598" s="4" t="s">
        <v>7</v>
      </c>
    </row>
    <row r="4599" spans="1:8">
      <c r="A4599" t="n">
        <v>40357</v>
      </c>
      <c r="B4599" s="68" t="n">
        <v>89</v>
      </c>
      <c r="C4599" s="7" t="n">
        <v>65533</v>
      </c>
      <c r="D4599" s="7" t="n">
        <v>1</v>
      </c>
    </row>
    <row r="4600" spans="1:8">
      <c r="A4600" t="s">
        <v>4</v>
      </c>
      <c r="B4600" s="4" t="s">
        <v>5</v>
      </c>
      <c r="C4600" s="4" t="s">
        <v>7</v>
      </c>
      <c r="D4600" s="4" t="s">
        <v>13</v>
      </c>
      <c r="E4600" s="4" t="s">
        <v>11</v>
      </c>
      <c r="F4600" s="4" t="s">
        <v>7</v>
      </c>
    </row>
    <row r="4601" spans="1:8">
      <c r="A4601" t="n">
        <v>40361</v>
      </c>
      <c r="B4601" s="13" t="n">
        <v>49</v>
      </c>
      <c r="C4601" s="7" t="n">
        <v>3</v>
      </c>
      <c r="D4601" s="7" t="n">
        <v>0.600000023841858</v>
      </c>
      <c r="E4601" s="7" t="n">
        <v>500</v>
      </c>
      <c r="F4601" s="7" t="n">
        <v>0</v>
      </c>
    </row>
    <row r="4602" spans="1:8">
      <c r="A4602" t="s">
        <v>4</v>
      </c>
      <c r="B4602" s="4" t="s">
        <v>5</v>
      </c>
      <c r="C4602" s="4" t="s">
        <v>7</v>
      </c>
      <c r="D4602" s="4" t="s">
        <v>7</v>
      </c>
      <c r="E4602" s="4" t="s">
        <v>7</v>
      </c>
      <c r="F4602" s="4" t="s">
        <v>13</v>
      </c>
      <c r="G4602" s="4" t="s">
        <v>13</v>
      </c>
      <c r="H4602" s="4" t="s">
        <v>13</v>
      </c>
      <c r="I4602" s="4" t="s">
        <v>13</v>
      </c>
      <c r="J4602" s="4" t="s">
        <v>13</v>
      </c>
    </row>
    <row r="4603" spans="1:8">
      <c r="A4603" t="n">
        <v>40370</v>
      </c>
      <c r="B4603" s="25" t="n">
        <v>76</v>
      </c>
      <c r="C4603" s="7" t="n">
        <v>1</v>
      </c>
      <c r="D4603" s="7" t="n">
        <v>3</v>
      </c>
      <c r="E4603" s="7" t="n">
        <v>0</v>
      </c>
      <c r="F4603" s="7" t="n">
        <v>1</v>
      </c>
      <c r="G4603" s="7" t="n">
        <v>1</v>
      </c>
      <c r="H4603" s="7" t="n">
        <v>1</v>
      </c>
      <c r="I4603" s="7" t="n">
        <v>1</v>
      </c>
      <c r="J4603" s="7" t="n">
        <v>1000</v>
      </c>
    </row>
    <row r="4604" spans="1:8">
      <c r="A4604" t="s">
        <v>4</v>
      </c>
      <c r="B4604" s="4" t="s">
        <v>5</v>
      </c>
      <c r="C4604" s="4" t="s">
        <v>7</v>
      </c>
      <c r="D4604" s="4" t="s">
        <v>7</v>
      </c>
    </row>
    <row r="4605" spans="1:8">
      <c r="A4605" t="n">
        <v>40394</v>
      </c>
      <c r="B4605" s="26" t="n">
        <v>77</v>
      </c>
      <c r="C4605" s="7" t="n">
        <v>1</v>
      </c>
      <c r="D4605" s="7" t="n">
        <v>3</v>
      </c>
    </row>
    <row r="4606" spans="1:8">
      <c r="A4606" t="s">
        <v>4</v>
      </c>
      <c r="B4606" s="4" t="s">
        <v>5</v>
      </c>
      <c r="C4606" s="4" t="s">
        <v>11</v>
      </c>
    </row>
    <row r="4607" spans="1:8">
      <c r="A4607" t="n">
        <v>40397</v>
      </c>
      <c r="B4607" s="29" t="n">
        <v>16</v>
      </c>
      <c r="C4607" s="7" t="n">
        <v>2000</v>
      </c>
    </row>
    <row r="4608" spans="1:8">
      <c r="A4608" t="s">
        <v>4</v>
      </c>
      <c r="B4608" s="4" t="s">
        <v>5</v>
      </c>
      <c r="C4608" s="4" t="s">
        <v>7</v>
      </c>
      <c r="D4608" s="4" t="s">
        <v>13</v>
      </c>
      <c r="E4608" s="4" t="s">
        <v>11</v>
      </c>
      <c r="F4608" s="4" t="s">
        <v>7</v>
      </c>
    </row>
    <row r="4609" spans="1:13">
      <c r="A4609" t="n">
        <v>40400</v>
      </c>
      <c r="B4609" s="13" t="n">
        <v>49</v>
      </c>
      <c r="C4609" s="7" t="n">
        <v>3</v>
      </c>
      <c r="D4609" s="7" t="n">
        <v>0.800000011920929</v>
      </c>
      <c r="E4609" s="7" t="n">
        <v>1000</v>
      </c>
      <c r="F4609" s="7" t="n">
        <v>0</v>
      </c>
    </row>
    <row r="4610" spans="1:13">
      <c r="A4610" t="s">
        <v>4</v>
      </c>
      <c r="B4610" s="4" t="s">
        <v>5</v>
      </c>
      <c r="C4610" s="4" t="s">
        <v>7</v>
      </c>
      <c r="D4610" s="4" t="s">
        <v>7</v>
      </c>
      <c r="E4610" s="4" t="s">
        <v>7</v>
      </c>
      <c r="F4610" s="4" t="s">
        <v>13</v>
      </c>
      <c r="G4610" s="4" t="s">
        <v>13</v>
      </c>
      <c r="H4610" s="4" t="s">
        <v>13</v>
      </c>
      <c r="I4610" s="4" t="s">
        <v>13</v>
      </c>
      <c r="J4610" s="4" t="s">
        <v>13</v>
      </c>
    </row>
    <row r="4611" spans="1:13">
      <c r="A4611" t="n">
        <v>40409</v>
      </c>
      <c r="B4611" s="25" t="n">
        <v>76</v>
      </c>
      <c r="C4611" s="7" t="n">
        <v>1</v>
      </c>
      <c r="D4611" s="7" t="n">
        <v>3</v>
      </c>
      <c r="E4611" s="7" t="n">
        <v>0</v>
      </c>
      <c r="F4611" s="7" t="n">
        <v>1</v>
      </c>
      <c r="G4611" s="7" t="n">
        <v>1</v>
      </c>
      <c r="H4611" s="7" t="n">
        <v>1</v>
      </c>
      <c r="I4611" s="7" t="n">
        <v>0</v>
      </c>
      <c r="J4611" s="7" t="n">
        <v>1000</v>
      </c>
    </row>
    <row r="4612" spans="1:13">
      <c r="A4612" t="s">
        <v>4</v>
      </c>
      <c r="B4612" s="4" t="s">
        <v>5</v>
      </c>
      <c r="C4612" s="4" t="s">
        <v>7</v>
      </c>
      <c r="D4612" s="4" t="s">
        <v>7</v>
      </c>
    </row>
    <row r="4613" spans="1:13">
      <c r="A4613" t="n">
        <v>40433</v>
      </c>
      <c r="B4613" s="26" t="n">
        <v>77</v>
      </c>
      <c r="C4613" s="7" t="n">
        <v>1</v>
      </c>
      <c r="D4613" s="7" t="n">
        <v>3</v>
      </c>
    </row>
    <row r="4614" spans="1:13">
      <c r="A4614" t="s">
        <v>4</v>
      </c>
      <c r="B4614" s="4" t="s">
        <v>5</v>
      </c>
      <c r="C4614" s="4" t="s">
        <v>7</v>
      </c>
      <c r="D4614" s="4" t="s">
        <v>11</v>
      </c>
      <c r="E4614" s="4" t="s">
        <v>8</v>
      </c>
    </row>
    <row r="4615" spans="1:13">
      <c r="A4615" t="n">
        <v>40436</v>
      </c>
      <c r="B4615" s="38" t="n">
        <v>51</v>
      </c>
      <c r="C4615" s="7" t="n">
        <v>4</v>
      </c>
      <c r="D4615" s="7" t="n">
        <v>0</v>
      </c>
      <c r="E4615" s="7" t="s">
        <v>179</v>
      </c>
    </row>
    <row r="4616" spans="1:13">
      <c r="A4616" t="s">
        <v>4</v>
      </c>
      <c r="B4616" s="4" t="s">
        <v>5</v>
      </c>
      <c r="C4616" s="4" t="s">
        <v>11</v>
      </c>
    </row>
    <row r="4617" spans="1:13">
      <c r="A4617" t="n">
        <v>40450</v>
      </c>
      <c r="B4617" s="29" t="n">
        <v>16</v>
      </c>
      <c r="C4617" s="7" t="n">
        <v>0</v>
      </c>
    </row>
    <row r="4618" spans="1:13">
      <c r="A4618" t="s">
        <v>4</v>
      </c>
      <c r="B4618" s="4" t="s">
        <v>5</v>
      </c>
      <c r="C4618" s="4" t="s">
        <v>11</v>
      </c>
      <c r="D4618" s="4" t="s">
        <v>7</v>
      </c>
      <c r="E4618" s="4" t="s">
        <v>15</v>
      </c>
      <c r="F4618" s="4" t="s">
        <v>55</v>
      </c>
      <c r="G4618" s="4" t="s">
        <v>7</v>
      </c>
      <c r="H4618" s="4" t="s">
        <v>7</v>
      </c>
      <c r="I4618" s="4" t="s">
        <v>7</v>
      </c>
      <c r="J4618" s="4" t="s">
        <v>15</v>
      </c>
      <c r="K4618" s="4" t="s">
        <v>55</v>
      </c>
      <c r="L4618" s="4" t="s">
        <v>7</v>
      </c>
      <c r="M4618" s="4" t="s">
        <v>7</v>
      </c>
      <c r="N4618" s="4" t="s">
        <v>7</v>
      </c>
      <c r="O4618" s="4" t="s">
        <v>15</v>
      </c>
      <c r="P4618" s="4" t="s">
        <v>55</v>
      </c>
      <c r="Q4618" s="4" t="s">
        <v>7</v>
      </c>
      <c r="R4618" s="4" t="s">
        <v>7</v>
      </c>
    </row>
    <row r="4619" spans="1:13">
      <c r="A4619" t="n">
        <v>40453</v>
      </c>
      <c r="B4619" s="55" t="n">
        <v>26</v>
      </c>
      <c r="C4619" s="7" t="n">
        <v>0</v>
      </c>
      <c r="D4619" s="7" t="n">
        <v>17</v>
      </c>
      <c r="E4619" s="7" t="n">
        <v>63838</v>
      </c>
      <c r="F4619" s="7" t="s">
        <v>414</v>
      </c>
      <c r="G4619" s="7" t="n">
        <v>2</v>
      </c>
      <c r="H4619" s="7" t="n">
        <v>3</v>
      </c>
      <c r="I4619" s="7" t="n">
        <v>17</v>
      </c>
      <c r="J4619" s="7" t="n">
        <v>63839</v>
      </c>
      <c r="K4619" s="7" t="s">
        <v>415</v>
      </c>
      <c r="L4619" s="7" t="n">
        <v>2</v>
      </c>
      <c r="M4619" s="7" t="n">
        <v>3</v>
      </c>
      <c r="N4619" s="7" t="n">
        <v>17</v>
      </c>
      <c r="O4619" s="7" t="n">
        <v>63840</v>
      </c>
      <c r="P4619" s="7" t="s">
        <v>416</v>
      </c>
      <c r="Q4619" s="7" t="n">
        <v>2</v>
      </c>
      <c r="R4619" s="7" t="n">
        <v>0</v>
      </c>
    </row>
    <row r="4620" spans="1:13">
      <c r="A4620" t="s">
        <v>4</v>
      </c>
      <c r="B4620" s="4" t="s">
        <v>5</v>
      </c>
    </row>
    <row r="4621" spans="1:13">
      <c r="A4621" t="n">
        <v>40632</v>
      </c>
      <c r="B4621" s="27" t="n">
        <v>28</v>
      </c>
    </row>
    <row r="4622" spans="1:13">
      <c r="A4622" t="s">
        <v>4</v>
      </c>
      <c r="B4622" s="4" t="s">
        <v>5</v>
      </c>
      <c r="C4622" s="4" t="s">
        <v>7</v>
      </c>
      <c r="D4622" s="4" t="s">
        <v>11</v>
      </c>
      <c r="E4622" s="4" t="s">
        <v>8</v>
      </c>
    </row>
    <row r="4623" spans="1:13">
      <c r="A4623" t="n">
        <v>40633</v>
      </c>
      <c r="B4623" s="38" t="n">
        <v>51</v>
      </c>
      <c r="C4623" s="7" t="n">
        <v>4</v>
      </c>
      <c r="D4623" s="7" t="n">
        <v>3</v>
      </c>
      <c r="E4623" s="7" t="s">
        <v>417</v>
      </c>
    </row>
    <row r="4624" spans="1:13">
      <c r="A4624" t="s">
        <v>4</v>
      </c>
      <c r="B4624" s="4" t="s">
        <v>5</v>
      </c>
      <c r="C4624" s="4" t="s">
        <v>11</v>
      </c>
    </row>
    <row r="4625" spans="1:18">
      <c r="A4625" t="n">
        <v>40647</v>
      </c>
      <c r="B4625" s="29" t="n">
        <v>16</v>
      </c>
      <c r="C4625" s="7" t="n">
        <v>0</v>
      </c>
    </row>
    <row r="4626" spans="1:18">
      <c r="A4626" t="s">
        <v>4</v>
      </c>
      <c r="B4626" s="4" t="s">
        <v>5</v>
      </c>
      <c r="C4626" s="4" t="s">
        <v>11</v>
      </c>
      <c r="D4626" s="4" t="s">
        <v>7</v>
      </c>
      <c r="E4626" s="4" t="s">
        <v>15</v>
      </c>
      <c r="F4626" s="4" t="s">
        <v>55</v>
      </c>
      <c r="G4626" s="4" t="s">
        <v>7</v>
      </c>
      <c r="H4626" s="4" t="s">
        <v>7</v>
      </c>
      <c r="I4626" s="4" t="s">
        <v>7</v>
      </c>
      <c r="J4626" s="4" t="s">
        <v>15</v>
      </c>
      <c r="K4626" s="4" t="s">
        <v>55</v>
      </c>
      <c r="L4626" s="4" t="s">
        <v>7</v>
      </c>
      <c r="M4626" s="4" t="s">
        <v>7</v>
      </c>
      <c r="N4626" s="4" t="s">
        <v>7</v>
      </c>
      <c r="O4626" s="4" t="s">
        <v>15</v>
      </c>
      <c r="P4626" s="4" t="s">
        <v>55</v>
      </c>
      <c r="Q4626" s="4" t="s">
        <v>7</v>
      </c>
      <c r="R4626" s="4" t="s">
        <v>7</v>
      </c>
    </row>
    <row r="4627" spans="1:18">
      <c r="A4627" t="n">
        <v>40650</v>
      </c>
      <c r="B4627" s="55" t="n">
        <v>26</v>
      </c>
      <c r="C4627" s="7" t="n">
        <v>3</v>
      </c>
      <c r="D4627" s="7" t="n">
        <v>17</v>
      </c>
      <c r="E4627" s="7" t="n">
        <v>2802</v>
      </c>
      <c r="F4627" s="7" t="s">
        <v>418</v>
      </c>
      <c r="G4627" s="7" t="n">
        <v>2</v>
      </c>
      <c r="H4627" s="7" t="n">
        <v>3</v>
      </c>
      <c r="I4627" s="7" t="n">
        <v>17</v>
      </c>
      <c r="J4627" s="7" t="n">
        <v>2803</v>
      </c>
      <c r="K4627" s="7" t="s">
        <v>419</v>
      </c>
      <c r="L4627" s="7" t="n">
        <v>2</v>
      </c>
      <c r="M4627" s="7" t="n">
        <v>3</v>
      </c>
      <c r="N4627" s="7" t="n">
        <v>17</v>
      </c>
      <c r="O4627" s="7" t="n">
        <v>2804</v>
      </c>
      <c r="P4627" s="7" t="s">
        <v>420</v>
      </c>
      <c r="Q4627" s="7" t="n">
        <v>2</v>
      </c>
      <c r="R4627" s="7" t="n">
        <v>0</v>
      </c>
    </row>
    <row r="4628" spans="1:18">
      <c r="A4628" t="s">
        <v>4</v>
      </c>
      <c r="B4628" s="4" t="s">
        <v>5</v>
      </c>
    </row>
    <row r="4629" spans="1:18">
      <c r="A4629" t="n">
        <v>40908</v>
      </c>
      <c r="B4629" s="27" t="n">
        <v>28</v>
      </c>
    </row>
    <row r="4630" spans="1:18">
      <c r="A4630" t="s">
        <v>4</v>
      </c>
      <c r="B4630" s="4" t="s">
        <v>5</v>
      </c>
      <c r="C4630" s="4" t="s">
        <v>7</v>
      </c>
      <c r="D4630" s="4" t="s">
        <v>11</v>
      </c>
      <c r="E4630" s="4" t="s">
        <v>8</v>
      </c>
    </row>
    <row r="4631" spans="1:18">
      <c r="A4631" t="n">
        <v>40909</v>
      </c>
      <c r="B4631" s="38" t="n">
        <v>51</v>
      </c>
      <c r="C4631" s="7" t="n">
        <v>4</v>
      </c>
      <c r="D4631" s="7" t="n">
        <v>0</v>
      </c>
      <c r="E4631" s="7" t="s">
        <v>179</v>
      </c>
    </row>
    <row r="4632" spans="1:18">
      <c r="A4632" t="s">
        <v>4</v>
      </c>
      <c r="B4632" s="4" t="s">
        <v>5</v>
      </c>
      <c r="C4632" s="4" t="s">
        <v>11</v>
      </c>
    </row>
    <row r="4633" spans="1:18">
      <c r="A4633" t="n">
        <v>40923</v>
      </c>
      <c r="B4633" s="29" t="n">
        <v>16</v>
      </c>
      <c r="C4633" s="7" t="n">
        <v>0</v>
      </c>
    </row>
    <row r="4634" spans="1:18">
      <c r="A4634" t="s">
        <v>4</v>
      </c>
      <c r="B4634" s="4" t="s">
        <v>5</v>
      </c>
      <c r="C4634" s="4" t="s">
        <v>11</v>
      </c>
      <c r="D4634" s="4" t="s">
        <v>7</v>
      </c>
      <c r="E4634" s="4" t="s">
        <v>15</v>
      </c>
      <c r="F4634" s="4" t="s">
        <v>55</v>
      </c>
      <c r="G4634" s="4" t="s">
        <v>7</v>
      </c>
      <c r="H4634" s="4" t="s">
        <v>7</v>
      </c>
    </row>
    <row r="4635" spans="1:18">
      <c r="A4635" t="n">
        <v>40926</v>
      </c>
      <c r="B4635" s="55" t="n">
        <v>26</v>
      </c>
      <c r="C4635" s="7" t="n">
        <v>0</v>
      </c>
      <c r="D4635" s="7" t="n">
        <v>17</v>
      </c>
      <c r="E4635" s="7" t="n">
        <v>63841</v>
      </c>
      <c r="F4635" s="7" t="s">
        <v>421</v>
      </c>
      <c r="G4635" s="7" t="n">
        <v>2</v>
      </c>
      <c r="H4635" s="7" t="n">
        <v>0</v>
      </c>
    </row>
    <row r="4636" spans="1:18">
      <c r="A4636" t="s">
        <v>4</v>
      </c>
      <c r="B4636" s="4" t="s">
        <v>5</v>
      </c>
    </row>
    <row r="4637" spans="1:18">
      <c r="A4637" t="n">
        <v>40951</v>
      </c>
      <c r="B4637" s="27" t="n">
        <v>28</v>
      </c>
    </row>
    <row r="4638" spans="1:18">
      <c r="A4638" t="s">
        <v>4</v>
      </c>
      <c r="B4638" s="4" t="s">
        <v>5</v>
      </c>
      <c r="C4638" s="4" t="s">
        <v>11</v>
      </c>
    </row>
    <row r="4639" spans="1:18">
      <c r="A4639" t="n">
        <v>40952</v>
      </c>
      <c r="B4639" s="29" t="n">
        <v>16</v>
      </c>
      <c r="C4639" s="7" t="n">
        <v>300</v>
      </c>
    </row>
    <row r="4640" spans="1:18">
      <c r="A4640" t="s">
        <v>4</v>
      </c>
      <c r="B4640" s="4" t="s">
        <v>5</v>
      </c>
      <c r="C4640" s="4" t="s">
        <v>7</v>
      </c>
      <c r="D4640" s="4" t="s">
        <v>11</v>
      </c>
      <c r="E4640" s="4" t="s">
        <v>8</v>
      </c>
    </row>
    <row r="4641" spans="1:18">
      <c r="A4641" t="n">
        <v>40955</v>
      </c>
      <c r="B4641" s="38" t="n">
        <v>51</v>
      </c>
      <c r="C4641" s="7" t="n">
        <v>4</v>
      </c>
      <c r="D4641" s="7" t="n">
        <v>0</v>
      </c>
      <c r="E4641" s="7" t="s">
        <v>173</v>
      </c>
    </row>
    <row r="4642" spans="1:18">
      <c r="A4642" t="s">
        <v>4</v>
      </c>
      <c r="B4642" s="4" t="s">
        <v>5</v>
      </c>
      <c r="C4642" s="4" t="s">
        <v>11</v>
      </c>
    </row>
    <row r="4643" spans="1:18">
      <c r="A4643" t="n">
        <v>40968</v>
      </c>
      <c r="B4643" s="29" t="n">
        <v>16</v>
      </c>
      <c r="C4643" s="7" t="n">
        <v>500</v>
      </c>
    </row>
    <row r="4644" spans="1:18">
      <c r="A4644" t="s">
        <v>4</v>
      </c>
      <c r="B4644" s="4" t="s">
        <v>5</v>
      </c>
      <c r="C4644" s="4" t="s">
        <v>11</v>
      </c>
      <c r="D4644" s="4" t="s">
        <v>7</v>
      </c>
      <c r="E4644" s="4" t="s">
        <v>15</v>
      </c>
      <c r="F4644" s="4" t="s">
        <v>55</v>
      </c>
      <c r="G4644" s="4" t="s">
        <v>7</v>
      </c>
      <c r="H4644" s="4" t="s">
        <v>7</v>
      </c>
      <c r="I4644" s="4" t="s">
        <v>7</v>
      </c>
      <c r="J4644" s="4" t="s">
        <v>15</v>
      </c>
      <c r="K4644" s="4" t="s">
        <v>55</v>
      </c>
      <c r="L4644" s="4" t="s">
        <v>7</v>
      </c>
      <c r="M4644" s="4" t="s">
        <v>7</v>
      </c>
      <c r="N4644" s="4" t="s">
        <v>7</v>
      </c>
      <c r="O4644" s="4" t="s">
        <v>15</v>
      </c>
      <c r="P4644" s="4" t="s">
        <v>55</v>
      </c>
      <c r="Q4644" s="4" t="s">
        <v>7</v>
      </c>
      <c r="R4644" s="4" t="s">
        <v>7</v>
      </c>
    </row>
    <row r="4645" spans="1:18">
      <c r="A4645" t="n">
        <v>40971</v>
      </c>
      <c r="B4645" s="55" t="n">
        <v>26</v>
      </c>
      <c r="C4645" s="7" t="n">
        <v>0</v>
      </c>
      <c r="D4645" s="7" t="n">
        <v>17</v>
      </c>
      <c r="E4645" s="7" t="n">
        <v>63842</v>
      </c>
      <c r="F4645" s="7" t="s">
        <v>422</v>
      </c>
      <c r="G4645" s="7" t="n">
        <v>2</v>
      </c>
      <c r="H4645" s="7" t="n">
        <v>3</v>
      </c>
      <c r="I4645" s="7" t="n">
        <v>17</v>
      </c>
      <c r="J4645" s="7" t="n">
        <v>63843</v>
      </c>
      <c r="K4645" s="7" t="s">
        <v>423</v>
      </c>
      <c r="L4645" s="7" t="n">
        <v>2</v>
      </c>
      <c r="M4645" s="7" t="n">
        <v>3</v>
      </c>
      <c r="N4645" s="7" t="n">
        <v>17</v>
      </c>
      <c r="O4645" s="7" t="n">
        <v>63844</v>
      </c>
      <c r="P4645" s="7" t="s">
        <v>424</v>
      </c>
      <c r="Q4645" s="7" t="n">
        <v>2</v>
      </c>
      <c r="R4645" s="7" t="n">
        <v>0</v>
      </c>
    </row>
    <row r="4646" spans="1:18">
      <c r="A4646" t="s">
        <v>4</v>
      </c>
      <c r="B4646" s="4" t="s">
        <v>5</v>
      </c>
    </row>
    <row r="4647" spans="1:18">
      <c r="A4647" t="n">
        <v>41283</v>
      </c>
      <c r="B4647" s="27" t="n">
        <v>28</v>
      </c>
    </row>
    <row r="4648" spans="1:18">
      <c r="A4648" t="s">
        <v>4</v>
      </c>
      <c r="B4648" s="4" t="s">
        <v>5</v>
      </c>
      <c r="C4648" s="4" t="s">
        <v>7</v>
      </c>
      <c r="D4648" s="4" t="s">
        <v>11</v>
      </c>
      <c r="E4648" s="4" t="s">
        <v>8</v>
      </c>
    </row>
    <row r="4649" spans="1:18">
      <c r="A4649" t="n">
        <v>41284</v>
      </c>
      <c r="B4649" s="38" t="n">
        <v>51</v>
      </c>
      <c r="C4649" s="7" t="n">
        <v>4</v>
      </c>
      <c r="D4649" s="7" t="n">
        <v>3</v>
      </c>
      <c r="E4649" s="7" t="s">
        <v>247</v>
      </c>
    </row>
    <row r="4650" spans="1:18">
      <c r="A4650" t="s">
        <v>4</v>
      </c>
      <c r="B4650" s="4" t="s">
        <v>5</v>
      </c>
      <c r="C4650" s="4" t="s">
        <v>11</v>
      </c>
    </row>
    <row r="4651" spans="1:18">
      <c r="A4651" t="n">
        <v>41298</v>
      </c>
      <c r="B4651" s="29" t="n">
        <v>16</v>
      </c>
      <c r="C4651" s="7" t="n">
        <v>500</v>
      </c>
    </row>
    <row r="4652" spans="1:18">
      <c r="A4652" t="s">
        <v>4</v>
      </c>
      <c r="B4652" s="4" t="s">
        <v>5</v>
      </c>
      <c r="C4652" s="4" t="s">
        <v>11</v>
      </c>
      <c r="D4652" s="4" t="s">
        <v>7</v>
      </c>
      <c r="E4652" s="4" t="s">
        <v>15</v>
      </c>
      <c r="F4652" s="4" t="s">
        <v>55</v>
      </c>
      <c r="G4652" s="4" t="s">
        <v>7</v>
      </c>
      <c r="H4652" s="4" t="s">
        <v>7</v>
      </c>
      <c r="I4652" s="4" t="s">
        <v>7</v>
      </c>
      <c r="J4652" s="4" t="s">
        <v>15</v>
      </c>
      <c r="K4652" s="4" t="s">
        <v>55</v>
      </c>
      <c r="L4652" s="4" t="s">
        <v>7</v>
      </c>
      <c r="M4652" s="4" t="s">
        <v>7</v>
      </c>
      <c r="N4652" s="4" t="s">
        <v>7</v>
      </c>
      <c r="O4652" s="4" t="s">
        <v>15</v>
      </c>
      <c r="P4652" s="4" t="s">
        <v>55</v>
      </c>
      <c r="Q4652" s="4" t="s">
        <v>7</v>
      </c>
      <c r="R4652" s="4" t="s">
        <v>7</v>
      </c>
      <c r="S4652" s="4" t="s">
        <v>7</v>
      </c>
      <c r="T4652" s="4" t="s">
        <v>15</v>
      </c>
      <c r="U4652" s="4" t="s">
        <v>55</v>
      </c>
      <c r="V4652" s="4" t="s">
        <v>7</v>
      </c>
      <c r="W4652" s="4" t="s">
        <v>7</v>
      </c>
    </row>
    <row r="4653" spans="1:18">
      <c r="A4653" t="n">
        <v>41301</v>
      </c>
      <c r="B4653" s="55" t="n">
        <v>26</v>
      </c>
      <c r="C4653" s="7" t="n">
        <v>3</v>
      </c>
      <c r="D4653" s="7" t="n">
        <v>17</v>
      </c>
      <c r="E4653" s="7" t="n">
        <v>2805</v>
      </c>
      <c r="F4653" s="7" t="s">
        <v>425</v>
      </c>
      <c r="G4653" s="7" t="n">
        <v>2</v>
      </c>
      <c r="H4653" s="7" t="n">
        <v>3</v>
      </c>
      <c r="I4653" s="7" t="n">
        <v>17</v>
      </c>
      <c r="J4653" s="7" t="n">
        <v>2806</v>
      </c>
      <c r="K4653" s="7" t="s">
        <v>426</v>
      </c>
      <c r="L4653" s="7" t="n">
        <v>2</v>
      </c>
      <c r="M4653" s="7" t="n">
        <v>3</v>
      </c>
      <c r="N4653" s="7" t="n">
        <v>17</v>
      </c>
      <c r="O4653" s="7" t="n">
        <v>2807</v>
      </c>
      <c r="P4653" s="7" t="s">
        <v>427</v>
      </c>
      <c r="Q4653" s="7" t="n">
        <v>2</v>
      </c>
      <c r="R4653" s="7" t="n">
        <v>3</v>
      </c>
      <c r="S4653" s="7" t="n">
        <v>17</v>
      </c>
      <c r="T4653" s="7" t="n">
        <v>2808</v>
      </c>
      <c r="U4653" s="7" t="s">
        <v>428</v>
      </c>
      <c r="V4653" s="7" t="n">
        <v>2</v>
      </c>
      <c r="W4653" s="7" t="n">
        <v>0</v>
      </c>
    </row>
    <row r="4654" spans="1:18">
      <c r="A4654" t="s">
        <v>4</v>
      </c>
      <c r="B4654" s="4" t="s">
        <v>5</v>
      </c>
    </row>
    <row r="4655" spans="1:18">
      <c r="A4655" t="n">
        <v>41656</v>
      </c>
      <c r="B4655" s="27" t="n">
        <v>28</v>
      </c>
    </row>
    <row r="4656" spans="1:18">
      <c r="A4656" t="s">
        <v>4</v>
      </c>
      <c r="B4656" s="4" t="s">
        <v>5</v>
      </c>
      <c r="C4656" s="4" t="s">
        <v>7</v>
      </c>
      <c r="D4656" s="4" t="s">
        <v>11</v>
      </c>
      <c r="E4656" s="4" t="s">
        <v>8</v>
      </c>
      <c r="F4656" s="4" t="s">
        <v>8</v>
      </c>
      <c r="G4656" s="4" t="s">
        <v>8</v>
      </c>
      <c r="H4656" s="4" t="s">
        <v>8</v>
      </c>
    </row>
    <row r="4657" spans="1:23">
      <c r="A4657" t="n">
        <v>41657</v>
      </c>
      <c r="B4657" s="38" t="n">
        <v>51</v>
      </c>
      <c r="C4657" s="7" t="n">
        <v>3</v>
      </c>
      <c r="D4657" s="7" t="n">
        <v>3</v>
      </c>
      <c r="E4657" s="7" t="s">
        <v>99</v>
      </c>
      <c r="F4657" s="7" t="s">
        <v>79</v>
      </c>
      <c r="G4657" s="7" t="s">
        <v>78</v>
      </c>
      <c r="H4657" s="7" t="s">
        <v>79</v>
      </c>
    </row>
    <row r="4658" spans="1:23">
      <c r="A4658" t="s">
        <v>4</v>
      </c>
      <c r="B4658" s="4" t="s">
        <v>5</v>
      </c>
      <c r="C4658" s="4" t="s">
        <v>11</v>
      </c>
      <c r="D4658" s="4" t="s">
        <v>13</v>
      </c>
      <c r="E4658" s="4" t="s">
        <v>13</v>
      </c>
      <c r="F4658" s="4" t="s">
        <v>13</v>
      </c>
      <c r="G4658" s="4" t="s">
        <v>11</v>
      </c>
      <c r="H4658" s="4" t="s">
        <v>11</v>
      </c>
    </row>
    <row r="4659" spans="1:23">
      <c r="A4659" t="n">
        <v>41670</v>
      </c>
      <c r="B4659" s="37" t="n">
        <v>60</v>
      </c>
      <c r="C4659" s="7" t="n">
        <v>3</v>
      </c>
      <c r="D4659" s="7" t="n">
        <v>0</v>
      </c>
      <c r="E4659" s="7" t="n">
        <v>-10</v>
      </c>
      <c r="F4659" s="7" t="n">
        <v>0</v>
      </c>
      <c r="G4659" s="7" t="n">
        <v>1000</v>
      </c>
      <c r="H4659" s="7" t="n">
        <v>0</v>
      </c>
    </row>
    <row r="4660" spans="1:23">
      <c r="A4660" t="s">
        <v>4</v>
      </c>
      <c r="B4660" s="4" t="s">
        <v>5</v>
      </c>
      <c r="C4660" s="4" t="s">
        <v>11</v>
      </c>
    </row>
    <row r="4661" spans="1:23">
      <c r="A4661" t="n">
        <v>41689</v>
      </c>
      <c r="B4661" s="29" t="n">
        <v>16</v>
      </c>
      <c r="C4661" s="7" t="n">
        <v>800</v>
      </c>
    </row>
    <row r="4662" spans="1:23">
      <c r="A4662" t="s">
        <v>4</v>
      </c>
      <c r="B4662" s="4" t="s">
        <v>5</v>
      </c>
      <c r="C4662" s="4" t="s">
        <v>7</v>
      </c>
      <c r="D4662" s="4" t="s">
        <v>11</v>
      </c>
      <c r="E4662" s="4" t="s">
        <v>8</v>
      </c>
    </row>
    <row r="4663" spans="1:23">
      <c r="A4663" t="n">
        <v>41692</v>
      </c>
      <c r="B4663" s="38" t="n">
        <v>51</v>
      </c>
      <c r="C4663" s="7" t="n">
        <v>4</v>
      </c>
      <c r="D4663" s="7" t="n">
        <v>3</v>
      </c>
      <c r="E4663" s="7" t="s">
        <v>235</v>
      </c>
    </row>
    <row r="4664" spans="1:23">
      <c r="A4664" t="s">
        <v>4</v>
      </c>
      <c r="B4664" s="4" t="s">
        <v>5</v>
      </c>
      <c r="C4664" s="4" t="s">
        <v>11</v>
      </c>
    </row>
    <row r="4665" spans="1:23">
      <c r="A4665" t="n">
        <v>41706</v>
      </c>
      <c r="B4665" s="29" t="n">
        <v>16</v>
      </c>
      <c r="C4665" s="7" t="n">
        <v>0</v>
      </c>
    </row>
    <row r="4666" spans="1:23">
      <c r="A4666" t="s">
        <v>4</v>
      </c>
      <c r="B4666" s="4" t="s">
        <v>5</v>
      </c>
      <c r="C4666" s="4" t="s">
        <v>11</v>
      </c>
      <c r="D4666" s="4" t="s">
        <v>7</v>
      </c>
      <c r="E4666" s="4" t="s">
        <v>15</v>
      </c>
      <c r="F4666" s="4" t="s">
        <v>55</v>
      </c>
      <c r="G4666" s="4" t="s">
        <v>7</v>
      </c>
      <c r="H4666" s="4" t="s">
        <v>7</v>
      </c>
    </row>
    <row r="4667" spans="1:23">
      <c r="A4667" t="n">
        <v>41709</v>
      </c>
      <c r="B4667" s="55" t="n">
        <v>26</v>
      </c>
      <c r="C4667" s="7" t="n">
        <v>3</v>
      </c>
      <c r="D4667" s="7" t="n">
        <v>17</v>
      </c>
      <c r="E4667" s="7" t="n">
        <v>2809</v>
      </c>
      <c r="F4667" s="7" t="s">
        <v>429</v>
      </c>
      <c r="G4667" s="7" t="n">
        <v>2</v>
      </c>
      <c r="H4667" s="7" t="n">
        <v>0</v>
      </c>
    </row>
    <row r="4668" spans="1:23">
      <c r="A4668" t="s">
        <v>4</v>
      </c>
      <c r="B4668" s="4" t="s">
        <v>5</v>
      </c>
    </row>
    <row r="4669" spans="1:23">
      <c r="A4669" t="n">
        <v>41773</v>
      </c>
      <c r="B4669" s="27" t="n">
        <v>28</v>
      </c>
    </row>
    <row r="4670" spans="1:23">
      <c r="A4670" t="s">
        <v>4</v>
      </c>
      <c r="B4670" s="4" t="s">
        <v>5</v>
      </c>
      <c r="C4670" s="4" t="s">
        <v>7</v>
      </c>
      <c r="D4670" s="4" t="s">
        <v>11</v>
      </c>
      <c r="E4670" s="4" t="s">
        <v>8</v>
      </c>
    </row>
    <row r="4671" spans="1:23">
      <c r="A4671" t="n">
        <v>41774</v>
      </c>
      <c r="B4671" s="38" t="n">
        <v>51</v>
      </c>
      <c r="C4671" s="7" t="n">
        <v>4</v>
      </c>
      <c r="D4671" s="7" t="n">
        <v>0</v>
      </c>
      <c r="E4671" s="7" t="s">
        <v>430</v>
      </c>
    </row>
    <row r="4672" spans="1:23">
      <c r="A4672" t="s">
        <v>4</v>
      </c>
      <c r="B4672" s="4" t="s">
        <v>5</v>
      </c>
      <c r="C4672" s="4" t="s">
        <v>11</v>
      </c>
    </row>
    <row r="4673" spans="1:8">
      <c r="A4673" t="n">
        <v>41787</v>
      </c>
      <c r="B4673" s="29" t="n">
        <v>16</v>
      </c>
      <c r="C4673" s="7" t="n">
        <v>0</v>
      </c>
    </row>
    <row r="4674" spans="1:8">
      <c r="A4674" t="s">
        <v>4</v>
      </c>
      <c r="B4674" s="4" t="s">
        <v>5</v>
      </c>
      <c r="C4674" s="4" t="s">
        <v>11</v>
      </c>
      <c r="D4674" s="4" t="s">
        <v>7</v>
      </c>
      <c r="E4674" s="4" t="s">
        <v>15</v>
      </c>
      <c r="F4674" s="4" t="s">
        <v>55</v>
      </c>
      <c r="G4674" s="4" t="s">
        <v>7</v>
      </c>
      <c r="H4674" s="4" t="s">
        <v>7</v>
      </c>
    </row>
    <row r="4675" spans="1:8">
      <c r="A4675" t="n">
        <v>41790</v>
      </c>
      <c r="B4675" s="55" t="n">
        <v>26</v>
      </c>
      <c r="C4675" s="7" t="n">
        <v>0</v>
      </c>
      <c r="D4675" s="7" t="n">
        <v>17</v>
      </c>
      <c r="E4675" s="7" t="n">
        <v>63845</v>
      </c>
      <c r="F4675" s="7" t="s">
        <v>431</v>
      </c>
      <c r="G4675" s="7" t="n">
        <v>2</v>
      </c>
      <c r="H4675" s="7" t="n">
        <v>0</v>
      </c>
    </row>
    <row r="4676" spans="1:8">
      <c r="A4676" t="s">
        <v>4</v>
      </c>
      <c r="B4676" s="4" t="s">
        <v>5</v>
      </c>
    </row>
    <row r="4677" spans="1:8">
      <c r="A4677" t="n">
        <v>41826</v>
      </c>
      <c r="B4677" s="27" t="n">
        <v>28</v>
      </c>
    </row>
    <row r="4678" spans="1:8">
      <c r="A4678" t="s">
        <v>4</v>
      </c>
      <c r="B4678" s="4" t="s">
        <v>5</v>
      </c>
      <c r="C4678" s="4" t="s">
        <v>7</v>
      </c>
      <c r="D4678" s="4" t="s">
        <v>11</v>
      </c>
      <c r="E4678" s="4" t="s">
        <v>8</v>
      </c>
    </row>
    <row r="4679" spans="1:8">
      <c r="A4679" t="n">
        <v>41827</v>
      </c>
      <c r="B4679" s="38" t="n">
        <v>51</v>
      </c>
      <c r="C4679" s="7" t="n">
        <v>4</v>
      </c>
      <c r="D4679" s="7" t="n">
        <v>3</v>
      </c>
      <c r="E4679" s="7" t="s">
        <v>432</v>
      </c>
    </row>
    <row r="4680" spans="1:8">
      <c r="A4680" t="s">
        <v>4</v>
      </c>
      <c r="B4680" s="4" t="s">
        <v>5</v>
      </c>
      <c r="C4680" s="4" t="s">
        <v>11</v>
      </c>
    </row>
    <row r="4681" spans="1:8">
      <c r="A4681" t="n">
        <v>41840</v>
      </c>
      <c r="B4681" s="29" t="n">
        <v>16</v>
      </c>
      <c r="C4681" s="7" t="n">
        <v>0</v>
      </c>
    </row>
    <row r="4682" spans="1:8">
      <c r="A4682" t="s">
        <v>4</v>
      </c>
      <c r="B4682" s="4" t="s">
        <v>5</v>
      </c>
      <c r="C4682" s="4" t="s">
        <v>11</v>
      </c>
      <c r="D4682" s="4" t="s">
        <v>7</v>
      </c>
      <c r="E4682" s="4" t="s">
        <v>15</v>
      </c>
      <c r="F4682" s="4" t="s">
        <v>55</v>
      </c>
      <c r="G4682" s="4" t="s">
        <v>7</v>
      </c>
      <c r="H4682" s="4" t="s">
        <v>7</v>
      </c>
      <c r="I4682" s="4" t="s">
        <v>7</v>
      </c>
      <c r="J4682" s="4" t="s">
        <v>15</v>
      </c>
      <c r="K4682" s="4" t="s">
        <v>55</v>
      </c>
      <c r="L4682" s="4" t="s">
        <v>7</v>
      </c>
      <c r="M4682" s="4" t="s">
        <v>7</v>
      </c>
    </row>
    <row r="4683" spans="1:8">
      <c r="A4683" t="n">
        <v>41843</v>
      </c>
      <c r="B4683" s="55" t="n">
        <v>26</v>
      </c>
      <c r="C4683" s="7" t="n">
        <v>3</v>
      </c>
      <c r="D4683" s="7" t="n">
        <v>17</v>
      </c>
      <c r="E4683" s="7" t="n">
        <v>2810</v>
      </c>
      <c r="F4683" s="7" t="s">
        <v>433</v>
      </c>
      <c r="G4683" s="7" t="n">
        <v>2</v>
      </c>
      <c r="H4683" s="7" t="n">
        <v>3</v>
      </c>
      <c r="I4683" s="7" t="n">
        <v>17</v>
      </c>
      <c r="J4683" s="7" t="n">
        <v>2811</v>
      </c>
      <c r="K4683" s="7" t="s">
        <v>434</v>
      </c>
      <c r="L4683" s="7" t="n">
        <v>2</v>
      </c>
      <c r="M4683" s="7" t="n">
        <v>0</v>
      </c>
    </row>
    <row r="4684" spans="1:8">
      <c r="A4684" t="s">
        <v>4</v>
      </c>
      <c r="B4684" s="4" t="s">
        <v>5</v>
      </c>
    </row>
    <row r="4685" spans="1:8">
      <c r="A4685" t="n">
        <v>42029</v>
      </c>
      <c r="B4685" s="27" t="n">
        <v>28</v>
      </c>
    </row>
    <row r="4686" spans="1:8">
      <c r="A4686" t="s">
        <v>4</v>
      </c>
      <c r="B4686" s="4" t="s">
        <v>5</v>
      </c>
      <c r="C4686" s="4" t="s">
        <v>7</v>
      </c>
      <c r="D4686" s="4" t="s">
        <v>11</v>
      </c>
      <c r="E4686" s="4" t="s">
        <v>8</v>
      </c>
    </row>
    <row r="4687" spans="1:8">
      <c r="A4687" t="n">
        <v>42030</v>
      </c>
      <c r="B4687" s="38" t="n">
        <v>51</v>
      </c>
      <c r="C4687" s="7" t="n">
        <v>4</v>
      </c>
      <c r="D4687" s="7" t="n">
        <v>0</v>
      </c>
      <c r="E4687" s="7" t="s">
        <v>147</v>
      </c>
    </row>
    <row r="4688" spans="1:8">
      <c r="A4688" t="s">
        <v>4</v>
      </c>
      <c r="B4688" s="4" t="s">
        <v>5</v>
      </c>
      <c r="C4688" s="4" t="s">
        <v>11</v>
      </c>
    </row>
    <row r="4689" spans="1:13">
      <c r="A4689" t="n">
        <v>42044</v>
      </c>
      <c r="B4689" s="29" t="n">
        <v>16</v>
      </c>
      <c r="C4689" s="7" t="n">
        <v>0</v>
      </c>
    </row>
    <row r="4690" spans="1:13">
      <c r="A4690" t="s">
        <v>4</v>
      </c>
      <c r="B4690" s="4" t="s">
        <v>5</v>
      </c>
      <c r="C4690" s="4" t="s">
        <v>11</v>
      </c>
      <c r="D4690" s="4" t="s">
        <v>7</v>
      </c>
      <c r="E4690" s="4" t="s">
        <v>15</v>
      </c>
      <c r="F4690" s="4" t="s">
        <v>55</v>
      </c>
      <c r="G4690" s="4" t="s">
        <v>7</v>
      </c>
      <c r="H4690" s="4" t="s">
        <v>7</v>
      </c>
    </row>
    <row r="4691" spans="1:13">
      <c r="A4691" t="n">
        <v>42047</v>
      </c>
      <c r="B4691" s="55" t="n">
        <v>26</v>
      </c>
      <c r="C4691" s="7" t="n">
        <v>0</v>
      </c>
      <c r="D4691" s="7" t="n">
        <v>17</v>
      </c>
      <c r="E4691" s="7" t="n">
        <v>63846</v>
      </c>
      <c r="F4691" s="7" t="s">
        <v>435</v>
      </c>
      <c r="G4691" s="7" t="n">
        <v>2</v>
      </c>
      <c r="H4691" s="7" t="n">
        <v>0</v>
      </c>
    </row>
    <row r="4692" spans="1:13">
      <c r="A4692" t="s">
        <v>4</v>
      </c>
      <c r="B4692" s="4" t="s">
        <v>5</v>
      </c>
    </row>
    <row r="4693" spans="1:13">
      <c r="A4693" t="n">
        <v>42082</v>
      </c>
      <c r="B4693" s="27" t="n">
        <v>28</v>
      </c>
    </row>
    <row r="4694" spans="1:13">
      <c r="A4694" t="s">
        <v>4</v>
      </c>
      <c r="B4694" s="4" t="s">
        <v>5</v>
      </c>
      <c r="C4694" s="4" t="s">
        <v>11</v>
      </c>
    </row>
    <row r="4695" spans="1:13">
      <c r="A4695" t="n">
        <v>42083</v>
      </c>
      <c r="B4695" s="29" t="n">
        <v>16</v>
      </c>
      <c r="C4695" s="7" t="n">
        <v>300</v>
      </c>
    </row>
    <row r="4696" spans="1:13">
      <c r="A4696" t="s">
        <v>4</v>
      </c>
      <c r="B4696" s="4" t="s">
        <v>5</v>
      </c>
      <c r="C4696" s="4" t="s">
        <v>7</v>
      </c>
      <c r="D4696" s="4" t="s">
        <v>11</v>
      </c>
      <c r="E4696" s="4" t="s">
        <v>8</v>
      </c>
    </row>
    <row r="4697" spans="1:13">
      <c r="A4697" t="n">
        <v>42086</v>
      </c>
      <c r="B4697" s="38" t="n">
        <v>51</v>
      </c>
      <c r="C4697" s="7" t="n">
        <v>4</v>
      </c>
      <c r="D4697" s="7" t="n">
        <v>3</v>
      </c>
      <c r="E4697" s="7" t="s">
        <v>235</v>
      </c>
    </row>
    <row r="4698" spans="1:13">
      <c r="A4698" t="s">
        <v>4</v>
      </c>
      <c r="B4698" s="4" t="s">
        <v>5</v>
      </c>
      <c r="C4698" s="4" t="s">
        <v>11</v>
      </c>
    </row>
    <row r="4699" spans="1:13">
      <c r="A4699" t="n">
        <v>42100</v>
      </c>
      <c r="B4699" s="29" t="n">
        <v>16</v>
      </c>
      <c r="C4699" s="7" t="n">
        <v>0</v>
      </c>
    </row>
    <row r="4700" spans="1:13">
      <c r="A4700" t="s">
        <v>4</v>
      </c>
      <c r="B4700" s="4" t="s">
        <v>5</v>
      </c>
      <c r="C4700" s="4" t="s">
        <v>11</v>
      </c>
      <c r="D4700" s="4" t="s">
        <v>7</v>
      </c>
      <c r="E4700" s="4" t="s">
        <v>15</v>
      </c>
      <c r="F4700" s="4" t="s">
        <v>55</v>
      </c>
      <c r="G4700" s="4" t="s">
        <v>7</v>
      </c>
      <c r="H4700" s="4" t="s">
        <v>7</v>
      </c>
      <c r="I4700" s="4" t="s">
        <v>7</v>
      </c>
      <c r="J4700" s="4" t="s">
        <v>15</v>
      </c>
      <c r="K4700" s="4" t="s">
        <v>55</v>
      </c>
      <c r="L4700" s="4" t="s">
        <v>7</v>
      </c>
      <c r="M4700" s="4" t="s">
        <v>7</v>
      </c>
      <c r="N4700" s="4" t="s">
        <v>7</v>
      </c>
      <c r="O4700" s="4" t="s">
        <v>15</v>
      </c>
      <c r="P4700" s="4" t="s">
        <v>55</v>
      </c>
      <c r="Q4700" s="4" t="s">
        <v>7</v>
      </c>
      <c r="R4700" s="4" t="s">
        <v>7</v>
      </c>
    </row>
    <row r="4701" spans="1:13">
      <c r="A4701" t="n">
        <v>42103</v>
      </c>
      <c r="B4701" s="55" t="n">
        <v>26</v>
      </c>
      <c r="C4701" s="7" t="n">
        <v>3</v>
      </c>
      <c r="D4701" s="7" t="n">
        <v>17</v>
      </c>
      <c r="E4701" s="7" t="n">
        <v>2812</v>
      </c>
      <c r="F4701" s="7" t="s">
        <v>436</v>
      </c>
      <c r="G4701" s="7" t="n">
        <v>2</v>
      </c>
      <c r="H4701" s="7" t="n">
        <v>3</v>
      </c>
      <c r="I4701" s="7" t="n">
        <v>17</v>
      </c>
      <c r="J4701" s="7" t="n">
        <v>2813</v>
      </c>
      <c r="K4701" s="7" t="s">
        <v>437</v>
      </c>
      <c r="L4701" s="7" t="n">
        <v>2</v>
      </c>
      <c r="M4701" s="7" t="n">
        <v>3</v>
      </c>
      <c r="N4701" s="7" t="n">
        <v>17</v>
      </c>
      <c r="O4701" s="7" t="n">
        <v>2814</v>
      </c>
      <c r="P4701" s="7" t="s">
        <v>438</v>
      </c>
      <c r="Q4701" s="7" t="n">
        <v>2</v>
      </c>
      <c r="R4701" s="7" t="n">
        <v>0</v>
      </c>
    </row>
    <row r="4702" spans="1:13">
      <c r="A4702" t="s">
        <v>4</v>
      </c>
      <c r="B4702" s="4" t="s">
        <v>5</v>
      </c>
    </row>
    <row r="4703" spans="1:13">
      <c r="A4703" t="n">
        <v>42433</v>
      </c>
      <c r="B4703" s="27" t="n">
        <v>28</v>
      </c>
    </row>
    <row r="4704" spans="1:13">
      <c r="A4704" t="s">
        <v>4</v>
      </c>
      <c r="B4704" s="4" t="s">
        <v>5</v>
      </c>
      <c r="C4704" s="4" t="s">
        <v>11</v>
      </c>
      <c r="D4704" s="4" t="s">
        <v>7</v>
      </c>
      <c r="E4704" s="4" t="s">
        <v>8</v>
      </c>
      <c r="F4704" s="4" t="s">
        <v>13</v>
      </c>
      <c r="G4704" s="4" t="s">
        <v>13</v>
      </c>
      <c r="H4704" s="4" t="s">
        <v>13</v>
      </c>
    </row>
    <row r="4705" spans="1:18">
      <c r="A4705" t="n">
        <v>42434</v>
      </c>
      <c r="B4705" s="42" t="n">
        <v>48</v>
      </c>
      <c r="C4705" s="7" t="n">
        <v>3</v>
      </c>
      <c r="D4705" s="7" t="n">
        <v>0</v>
      </c>
      <c r="E4705" s="7" t="s">
        <v>392</v>
      </c>
      <c r="F4705" s="7" t="n">
        <v>-1</v>
      </c>
      <c r="G4705" s="7" t="n">
        <v>1</v>
      </c>
      <c r="H4705" s="7" t="n">
        <v>0</v>
      </c>
    </row>
    <row r="4706" spans="1:18">
      <c r="A4706" t="s">
        <v>4</v>
      </c>
      <c r="B4706" s="4" t="s">
        <v>5</v>
      </c>
      <c r="C4706" s="4" t="s">
        <v>7</v>
      </c>
      <c r="D4706" s="4" t="s">
        <v>11</v>
      </c>
      <c r="E4706" s="4" t="s">
        <v>8</v>
      </c>
      <c r="F4706" s="4" t="s">
        <v>8</v>
      </c>
      <c r="G4706" s="4" t="s">
        <v>8</v>
      </c>
      <c r="H4706" s="4" t="s">
        <v>8</v>
      </c>
    </row>
    <row r="4707" spans="1:18">
      <c r="A4707" t="n">
        <v>42462</v>
      </c>
      <c r="B4707" s="38" t="n">
        <v>51</v>
      </c>
      <c r="C4707" s="7" t="n">
        <v>3</v>
      </c>
      <c r="D4707" s="7" t="n">
        <v>3</v>
      </c>
      <c r="E4707" s="7" t="s">
        <v>86</v>
      </c>
      <c r="F4707" s="7" t="s">
        <v>232</v>
      </c>
      <c r="G4707" s="7" t="s">
        <v>78</v>
      </c>
      <c r="H4707" s="7" t="s">
        <v>79</v>
      </c>
    </row>
    <row r="4708" spans="1:18">
      <c r="A4708" t="s">
        <v>4</v>
      </c>
      <c r="B4708" s="4" t="s">
        <v>5</v>
      </c>
      <c r="C4708" s="4" t="s">
        <v>11</v>
      </c>
      <c r="D4708" s="4" t="s">
        <v>13</v>
      </c>
      <c r="E4708" s="4" t="s">
        <v>13</v>
      </c>
      <c r="F4708" s="4" t="s">
        <v>13</v>
      </c>
      <c r="G4708" s="4" t="s">
        <v>11</v>
      </c>
      <c r="H4708" s="4" t="s">
        <v>11</v>
      </c>
    </row>
    <row r="4709" spans="1:18">
      <c r="A4709" t="n">
        <v>42475</v>
      </c>
      <c r="B4709" s="37" t="n">
        <v>60</v>
      </c>
      <c r="C4709" s="7" t="n">
        <v>3</v>
      </c>
      <c r="D4709" s="7" t="n">
        <v>0</v>
      </c>
      <c r="E4709" s="7" t="n">
        <v>0</v>
      </c>
      <c r="F4709" s="7" t="n">
        <v>0</v>
      </c>
      <c r="G4709" s="7" t="n">
        <v>1000</v>
      </c>
      <c r="H4709" s="7" t="n">
        <v>0</v>
      </c>
    </row>
    <row r="4710" spans="1:18">
      <c r="A4710" t="s">
        <v>4</v>
      </c>
      <c r="B4710" s="4" t="s">
        <v>5</v>
      </c>
      <c r="C4710" s="4" t="s">
        <v>11</v>
      </c>
    </row>
    <row r="4711" spans="1:18">
      <c r="A4711" t="n">
        <v>42494</v>
      </c>
      <c r="B4711" s="29" t="n">
        <v>16</v>
      </c>
      <c r="C4711" s="7" t="n">
        <v>1000</v>
      </c>
    </row>
    <row r="4712" spans="1:18">
      <c r="A4712" t="s">
        <v>4</v>
      </c>
      <c r="B4712" s="4" t="s">
        <v>5</v>
      </c>
      <c r="C4712" s="4" t="s">
        <v>7</v>
      </c>
      <c r="D4712" s="4" t="s">
        <v>11</v>
      </c>
      <c r="E4712" s="4" t="s">
        <v>8</v>
      </c>
    </row>
    <row r="4713" spans="1:18">
      <c r="A4713" t="n">
        <v>42497</v>
      </c>
      <c r="B4713" s="38" t="n">
        <v>51</v>
      </c>
      <c r="C4713" s="7" t="n">
        <v>4</v>
      </c>
      <c r="D4713" s="7" t="n">
        <v>3</v>
      </c>
      <c r="E4713" s="7" t="s">
        <v>359</v>
      </c>
    </row>
    <row r="4714" spans="1:18">
      <c r="A4714" t="s">
        <v>4</v>
      </c>
      <c r="B4714" s="4" t="s">
        <v>5</v>
      </c>
      <c r="C4714" s="4" t="s">
        <v>11</v>
      </c>
    </row>
    <row r="4715" spans="1:18">
      <c r="A4715" t="n">
        <v>42516</v>
      </c>
      <c r="B4715" s="29" t="n">
        <v>16</v>
      </c>
      <c r="C4715" s="7" t="n">
        <v>0</v>
      </c>
    </row>
    <row r="4716" spans="1:18">
      <c r="A4716" t="s">
        <v>4</v>
      </c>
      <c r="B4716" s="4" t="s">
        <v>5</v>
      </c>
      <c r="C4716" s="4" t="s">
        <v>11</v>
      </c>
      <c r="D4716" s="4" t="s">
        <v>7</v>
      </c>
      <c r="E4716" s="4" t="s">
        <v>15</v>
      </c>
      <c r="F4716" s="4" t="s">
        <v>55</v>
      </c>
      <c r="G4716" s="4" t="s">
        <v>7</v>
      </c>
      <c r="H4716" s="4" t="s">
        <v>7</v>
      </c>
    </row>
    <row r="4717" spans="1:18">
      <c r="A4717" t="n">
        <v>42519</v>
      </c>
      <c r="B4717" s="55" t="n">
        <v>26</v>
      </c>
      <c r="C4717" s="7" t="n">
        <v>3</v>
      </c>
      <c r="D4717" s="7" t="n">
        <v>17</v>
      </c>
      <c r="E4717" s="7" t="n">
        <v>2815</v>
      </c>
      <c r="F4717" s="7" t="s">
        <v>439</v>
      </c>
      <c r="G4717" s="7" t="n">
        <v>2</v>
      </c>
      <c r="H4717" s="7" t="n">
        <v>0</v>
      </c>
    </row>
    <row r="4718" spans="1:18">
      <c r="A4718" t="s">
        <v>4</v>
      </c>
      <c r="B4718" s="4" t="s">
        <v>5</v>
      </c>
    </row>
    <row r="4719" spans="1:18">
      <c r="A4719" t="n">
        <v>42562</v>
      </c>
      <c r="B4719" s="27" t="n">
        <v>28</v>
      </c>
    </row>
    <row r="4720" spans="1:18">
      <c r="A4720" t="s">
        <v>4</v>
      </c>
      <c r="B4720" s="4" t="s">
        <v>5</v>
      </c>
      <c r="C4720" s="4" t="s">
        <v>7</v>
      </c>
      <c r="D4720" s="4" t="s">
        <v>11</v>
      </c>
      <c r="E4720" s="4" t="s">
        <v>8</v>
      </c>
    </row>
    <row r="4721" spans="1:8">
      <c r="A4721" t="n">
        <v>42563</v>
      </c>
      <c r="B4721" s="38" t="n">
        <v>51</v>
      </c>
      <c r="C4721" s="7" t="n">
        <v>4</v>
      </c>
      <c r="D4721" s="7" t="n">
        <v>0</v>
      </c>
      <c r="E4721" s="7" t="s">
        <v>322</v>
      </c>
    </row>
    <row r="4722" spans="1:8">
      <c r="A4722" t="s">
        <v>4</v>
      </c>
      <c r="B4722" s="4" t="s">
        <v>5</v>
      </c>
      <c r="C4722" s="4" t="s">
        <v>11</v>
      </c>
    </row>
    <row r="4723" spans="1:8">
      <c r="A4723" t="n">
        <v>42577</v>
      </c>
      <c r="B4723" s="29" t="n">
        <v>16</v>
      </c>
      <c r="C4723" s="7" t="n">
        <v>0</v>
      </c>
    </row>
    <row r="4724" spans="1:8">
      <c r="A4724" t="s">
        <v>4</v>
      </c>
      <c r="B4724" s="4" t="s">
        <v>5</v>
      </c>
      <c r="C4724" s="4" t="s">
        <v>11</v>
      </c>
      <c r="D4724" s="4" t="s">
        <v>7</v>
      </c>
      <c r="E4724" s="4" t="s">
        <v>15</v>
      </c>
      <c r="F4724" s="4" t="s">
        <v>55</v>
      </c>
      <c r="G4724" s="4" t="s">
        <v>7</v>
      </c>
      <c r="H4724" s="4" t="s">
        <v>7</v>
      </c>
    </row>
    <row r="4725" spans="1:8">
      <c r="A4725" t="n">
        <v>42580</v>
      </c>
      <c r="B4725" s="55" t="n">
        <v>26</v>
      </c>
      <c r="C4725" s="7" t="n">
        <v>0</v>
      </c>
      <c r="D4725" s="7" t="n">
        <v>17</v>
      </c>
      <c r="E4725" s="7" t="n">
        <v>63847</v>
      </c>
      <c r="F4725" s="7" t="s">
        <v>440</v>
      </c>
      <c r="G4725" s="7" t="n">
        <v>2</v>
      </c>
      <c r="H4725" s="7" t="n">
        <v>0</v>
      </c>
    </row>
    <row r="4726" spans="1:8">
      <c r="A4726" t="s">
        <v>4</v>
      </c>
      <c r="B4726" s="4" t="s">
        <v>5</v>
      </c>
    </row>
    <row r="4727" spans="1:8">
      <c r="A4727" t="n">
        <v>42607</v>
      </c>
      <c r="B4727" s="27" t="n">
        <v>28</v>
      </c>
    </row>
    <row r="4728" spans="1:8">
      <c r="A4728" t="s">
        <v>4</v>
      </c>
      <c r="B4728" s="4" t="s">
        <v>5</v>
      </c>
      <c r="C4728" s="4" t="s">
        <v>7</v>
      </c>
      <c r="D4728" s="4" t="s">
        <v>11</v>
      </c>
      <c r="E4728" s="4" t="s">
        <v>8</v>
      </c>
    </row>
    <row r="4729" spans="1:8">
      <c r="A4729" t="n">
        <v>42608</v>
      </c>
      <c r="B4729" s="38" t="n">
        <v>51</v>
      </c>
      <c r="C4729" s="7" t="n">
        <v>4</v>
      </c>
      <c r="D4729" s="7" t="n">
        <v>3</v>
      </c>
      <c r="E4729" s="7" t="s">
        <v>441</v>
      </c>
    </row>
    <row r="4730" spans="1:8">
      <c r="A4730" t="s">
        <v>4</v>
      </c>
      <c r="B4730" s="4" t="s">
        <v>5</v>
      </c>
      <c r="C4730" s="4" t="s">
        <v>11</v>
      </c>
    </row>
    <row r="4731" spans="1:8">
      <c r="A4731" t="n">
        <v>42622</v>
      </c>
      <c r="B4731" s="29" t="n">
        <v>16</v>
      </c>
      <c r="C4731" s="7" t="n">
        <v>0</v>
      </c>
    </row>
    <row r="4732" spans="1:8">
      <c r="A4732" t="s">
        <v>4</v>
      </c>
      <c r="B4732" s="4" t="s">
        <v>5</v>
      </c>
      <c r="C4732" s="4" t="s">
        <v>11</v>
      </c>
      <c r="D4732" s="4" t="s">
        <v>7</v>
      </c>
      <c r="E4732" s="4" t="s">
        <v>15</v>
      </c>
      <c r="F4732" s="4" t="s">
        <v>55</v>
      </c>
      <c r="G4732" s="4" t="s">
        <v>7</v>
      </c>
      <c r="H4732" s="4" t="s">
        <v>7</v>
      </c>
      <c r="I4732" s="4" t="s">
        <v>7</v>
      </c>
      <c r="J4732" s="4" t="s">
        <v>15</v>
      </c>
      <c r="K4732" s="4" t="s">
        <v>55</v>
      </c>
      <c r="L4732" s="4" t="s">
        <v>7</v>
      </c>
      <c r="M4732" s="4" t="s">
        <v>7</v>
      </c>
      <c r="N4732" s="4" t="s">
        <v>7</v>
      </c>
      <c r="O4732" s="4" t="s">
        <v>15</v>
      </c>
      <c r="P4732" s="4" t="s">
        <v>55</v>
      </c>
      <c r="Q4732" s="4" t="s">
        <v>7</v>
      </c>
      <c r="R4732" s="4" t="s">
        <v>7</v>
      </c>
      <c r="S4732" s="4" t="s">
        <v>7</v>
      </c>
      <c r="T4732" s="4" t="s">
        <v>15</v>
      </c>
      <c r="U4732" s="4" t="s">
        <v>55</v>
      </c>
      <c r="V4732" s="4" t="s">
        <v>7</v>
      </c>
      <c r="W4732" s="4" t="s">
        <v>7</v>
      </c>
    </row>
    <row r="4733" spans="1:8">
      <c r="A4733" t="n">
        <v>42625</v>
      </c>
      <c r="B4733" s="55" t="n">
        <v>26</v>
      </c>
      <c r="C4733" s="7" t="n">
        <v>3</v>
      </c>
      <c r="D4733" s="7" t="n">
        <v>17</v>
      </c>
      <c r="E4733" s="7" t="n">
        <v>2816</v>
      </c>
      <c r="F4733" s="7" t="s">
        <v>442</v>
      </c>
      <c r="G4733" s="7" t="n">
        <v>2</v>
      </c>
      <c r="H4733" s="7" t="n">
        <v>3</v>
      </c>
      <c r="I4733" s="7" t="n">
        <v>17</v>
      </c>
      <c r="J4733" s="7" t="n">
        <v>2817</v>
      </c>
      <c r="K4733" s="7" t="s">
        <v>443</v>
      </c>
      <c r="L4733" s="7" t="n">
        <v>2</v>
      </c>
      <c r="M4733" s="7" t="n">
        <v>3</v>
      </c>
      <c r="N4733" s="7" t="n">
        <v>17</v>
      </c>
      <c r="O4733" s="7" t="n">
        <v>2818</v>
      </c>
      <c r="P4733" s="7" t="s">
        <v>444</v>
      </c>
      <c r="Q4733" s="7" t="n">
        <v>2</v>
      </c>
      <c r="R4733" s="7" t="n">
        <v>3</v>
      </c>
      <c r="S4733" s="7" t="n">
        <v>17</v>
      </c>
      <c r="T4733" s="7" t="n">
        <v>2819</v>
      </c>
      <c r="U4733" s="7" t="s">
        <v>445</v>
      </c>
      <c r="V4733" s="7" t="n">
        <v>2</v>
      </c>
      <c r="W4733" s="7" t="n">
        <v>0</v>
      </c>
    </row>
    <row r="4734" spans="1:8">
      <c r="A4734" t="s">
        <v>4</v>
      </c>
      <c r="B4734" s="4" t="s">
        <v>5</v>
      </c>
    </row>
    <row r="4735" spans="1:8">
      <c r="A4735" t="n">
        <v>42860</v>
      </c>
      <c r="B4735" s="27" t="n">
        <v>28</v>
      </c>
    </row>
    <row r="4736" spans="1:8">
      <c r="A4736" t="s">
        <v>4</v>
      </c>
      <c r="B4736" s="4" t="s">
        <v>5</v>
      </c>
      <c r="C4736" s="4" t="s">
        <v>11</v>
      </c>
      <c r="D4736" s="4" t="s">
        <v>7</v>
      </c>
    </row>
    <row r="4737" spans="1:23">
      <c r="A4737" t="n">
        <v>42861</v>
      </c>
      <c r="B4737" s="68" t="n">
        <v>89</v>
      </c>
      <c r="C4737" s="7" t="n">
        <v>65533</v>
      </c>
      <c r="D4737" s="7" t="n">
        <v>1</v>
      </c>
    </row>
    <row r="4738" spans="1:23">
      <c r="A4738" t="s">
        <v>4</v>
      </c>
      <c r="B4738" s="4" t="s">
        <v>5</v>
      </c>
      <c r="C4738" s="4" t="s">
        <v>7</v>
      </c>
      <c r="D4738" s="4" t="s">
        <v>11</v>
      </c>
      <c r="E4738" s="4" t="s">
        <v>13</v>
      </c>
    </row>
    <row r="4739" spans="1:23">
      <c r="A4739" t="n">
        <v>42865</v>
      </c>
      <c r="B4739" s="23" t="n">
        <v>58</v>
      </c>
      <c r="C4739" s="7" t="n">
        <v>101</v>
      </c>
      <c r="D4739" s="7" t="n">
        <v>500</v>
      </c>
      <c r="E4739" s="7" t="n">
        <v>1</v>
      </c>
    </row>
    <row r="4740" spans="1:23">
      <c r="A4740" t="s">
        <v>4</v>
      </c>
      <c r="B4740" s="4" t="s">
        <v>5</v>
      </c>
      <c r="C4740" s="4" t="s">
        <v>7</v>
      </c>
      <c r="D4740" s="4" t="s">
        <v>11</v>
      </c>
    </row>
    <row r="4741" spans="1:23">
      <c r="A4741" t="n">
        <v>42873</v>
      </c>
      <c r="B4741" s="23" t="n">
        <v>58</v>
      </c>
      <c r="C4741" s="7" t="n">
        <v>254</v>
      </c>
      <c r="D4741" s="7" t="n">
        <v>0</v>
      </c>
    </row>
    <row r="4742" spans="1:23">
      <c r="A4742" t="s">
        <v>4</v>
      </c>
      <c r="B4742" s="4" t="s">
        <v>5</v>
      </c>
      <c r="C4742" s="4" t="s">
        <v>7</v>
      </c>
      <c r="D4742" s="4" t="s">
        <v>7</v>
      </c>
      <c r="E4742" s="4" t="s">
        <v>13</v>
      </c>
      <c r="F4742" s="4" t="s">
        <v>13</v>
      </c>
      <c r="G4742" s="4" t="s">
        <v>13</v>
      </c>
      <c r="H4742" s="4" t="s">
        <v>11</v>
      </c>
    </row>
    <row r="4743" spans="1:23">
      <c r="A4743" t="n">
        <v>42877</v>
      </c>
      <c r="B4743" s="51" t="n">
        <v>45</v>
      </c>
      <c r="C4743" s="7" t="n">
        <v>2</v>
      </c>
      <c r="D4743" s="7" t="n">
        <v>3</v>
      </c>
      <c r="E4743" s="7" t="n">
        <v>-6.86999988555908</v>
      </c>
      <c r="F4743" s="7" t="n">
        <v>6.46000003814697</v>
      </c>
      <c r="G4743" s="7" t="n">
        <v>29.9200000762939</v>
      </c>
      <c r="H4743" s="7" t="n">
        <v>0</v>
      </c>
    </row>
    <row r="4744" spans="1:23">
      <c r="A4744" t="s">
        <v>4</v>
      </c>
      <c r="B4744" s="4" t="s">
        <v>5</v>
      </c>
      <c r="C4744" s="4" t="s">
        <v>7</v>
      </c>
      <c r="D4744" s="4" t="s">
        <v>7</v>
      </c>
      <c r="E4744" s="4" t="s">
        <v>13</v>
      </c>
      <c r="F4744" s="4" t="s">
        <v>13</v>
      </c>
      <c r="G4744" s="4" t="s">
        <v>13</v>
      </c>
      <c r="H4744" s="4" t="s">
        <v>11</v>
      </c>
      <c r="I4744" s="4" t="s">
        <v>7</v>
      </c>
    </row>
    <row r="4745" spans="1:23">
      <c r="A4745" t="n">
        <v>42894</v>
      </c>
      <c r="B4745" s="51" t="n">
        <v>45</v>
      </c>
      <c r="C4745" s="7" t="n">
        <v>4</v>
      </c>
      <c r="D4745" s="7" t="n">
        <v>3</v>
      </c>
      <c r="E4745" s="7" t="n">
        <v>9.21000003814697</v>
      </c>
      <c r="F4745" s="7" t="n">
        <v>50.6699981689453</v>
      </c>
      <c r="G4745" s="7" t="n">
        <v>8</v>
      </c>
      <c r="H4745" s="7" t="n">
        <v>0</v>
      </c>
      <c r="I4745" s="7" t="n">
        <v>0</v>
      </c>
    </row>
    <row r="4746" spans="1:23">
      <c r="A4746" t="s">
        <v>4</v>
      </c>
      <c r="B4746" s="4" t="s">
        <v>5</v>
      </c>
      <c r="C4746" s="4" t="s">
        <v>7</v>
      </c>
      <c r="D4746" s="4" t="s">
        <v>7</v>
      </c>
      <c r="E4746" s="4" t="s">
        <v>13</v>
      </c>
      <c r="F4746" s="4" t="s">
        <v>11</v>
      </c>
    </row>
    <row r="4747" spans="1:23">
      <c r="A4747" t="n">
        <v>42912</v>
      </c>
      <c r="B4747" s="51" t="n">
        <v>45</v>
      </c>
      <c r="C4747" s="7" t="n">
        <v>5</v>
      </c>
      <c r="D4747" s="7" t="n">
        <v>3</v>
      </c>
      <c r="E4747" s="7" t="n">
        <v>1.10000002384186</v>
      </c>
      <c r="F4747" s="7" t="n">
        <v>0</v>
      </c>
    </row>
    <row r="4748" spans="1:23">
      <c r="A4748" t="s">
        <v>4</v>
      </c>
      <c r="B4748" s="4" t="s">
        <v>5</v>
      </c>
      <c r="C4748" s="4" t="s">
        <v>7</v>
      </c>
      <c r="D4748" s="4" t="s">
        <v>7</v>
      </c>
      <c r="E4748" s="4" t="s">
        <v>13</v>
      </c>
      <c r="F4748" s="4" t="s">
        <v>11</v>
      </c>
    </row>
    <row r="4749" spans="1:23">
      <c r="A4749" t="n">
        <v>42921</v>
      </c>
      <c r="B4749" s="51" t="n">
        <v>45</v>
      </c>
      <c r="C4749" s="7" t="n">
        <v>11</v>
      </c>
      <c r="D4749" s="7" t="n">
        <v>3</v>
      </c>
      <c r="E4749" s="7" t="n">
        <v>40.2999992370605</v>
      </c>
      <c r="F4749" s="7" t="n">
        <v>0</v>
      </c>
    </row>
    <row r="4750" spans="1:23">
      <c r="A4750" t="s">
        <v>4</v>
      </c>
      <c r="B4750" s="4" t="s">
        <v>5</v>
      </c>
      <c r="C4750" s="4" t="s">
        <v>7</v>
      </c>
      <c r="D4750" s="4" t="s">
        <v>11</v>
      </c>
    </row>
    <row r="4751" spans="1:23">
      <c r="A4751" t="n">
        <v>42930</v>
      </c>
      <c r="B4751" s="23" t="n">
        <v>58</v>
      </c>
      <c r="C4751" s="7" t="n">
        <v>255</v>
      </c>
      <c r="D4751" s="7" t="n">
        <v>0</v>
      </c>
    </row>
    <row r="4752" spans="1:23">
      <c r="A4752" t="s">
        <v>4</v>
      </c>
      <c r="B4752" s="4" t="s">
        <v>5</v>
      </c>
      <c r="C4752" s="4" t="s">
        <v>7</v>
      </c>
      <c r="D4752" s="4" t="s">
        <v>11</v>
      </c>
      <c r="E4752" s="4" t="s">
        <v>8</v>
      </c>
    </row>
    <row r="4753" spans="1:9">
      <c r="A4753" t="n">
        <v>42934</v>
      </c>
      <c r="B4753" s="38" t="n">
        <v>51</v>
      </c>
      <c r="C4753" s="7" t="n">
        <v>4</v>
      </c>
      <c r="D4753" s="7" t="n">
        <v>0</v>
      </c>
      <c r="E4753" s="7" t="s">
        <v>206</v>
      </c>
    </row>
    <row r="4754" spans="1:9">
      <c r="A4754" t="s">
        <v>4</v>
      </c>
      <c r="B4754" s="4" t="s">
        <v>5</v>
      </c>
      <c r="C4754" s="4" t="s">
        <v>11</v>
      </c>
    </row>
    <row r="4755" spans="1:9">
      <c r="A4755" t="n">
        <v>42949</v>
      </c>
      <c r="B4755" s="29" t="n">
        <v>16</v>
      </c>
      <c r="C4755" s="7" t="n">
        <v>0</v>
      </c>
    </row>
    <row r="4756" spans="1:9">
      <c r="A4756" t="s">
        <v>4</v>
      </c>
      <c r="B4756" s="4" t="s">
        <v>5</v>
      </c>
      <c r="C4756" s="4" t="s">
        <v>11</v>
      </c>
      <c r="D4756" s="4" t="s">
        <v>55</v>
      </c>
      <c r="E4756" s="4" t="s">
        <v>7</v>
      </c>
      <c r="F4756" s="4" t="s">
        <v>7</v>
      </c>
      <c r="G4756" s="4" t="s">
        <v>7</v>
      </c>
      <c r="H4756" s="4" t="s">
        <v>15</v>
      </c>
      <c r="I4756" s="4" t="s">
        <v>55</v>
      </c>
      <c r="J4756" s="4" t="s">
        <v>7</v>
      </c>
      <c r="K4756" s="4" t="s">
        <v>7</v>
      </c>
      <c r="L4756" s="4" t="s">
        <v>7</v>
      </c>
      <c r="M4756" s="4" t="s">
        <v>15</v>
      </c>
      <c r="N4756" s="4" t="s">
        <v>55</v>
      </c>
      <c r="O4756" s="4" t="s">
        <v>7</v>
      </c>
      <c r="P4756" s="4" t="s">
        <v>7</v>
      </c>
    </row>
    <row r="4757" spans="1:9">
      <c r="A4757" t="n">
        <v>42952</v>
      </c>
      <c r="B4757" s="55" t="n">
        <v>26</v>
      </c>
      <c r="C4757" s="7" t="n">
        <v>0</v>
      </c>
      <c r="D4757" s="7" t="s">
        <v>446</v>
      </c>
      <c r="E4757" s="7" t="n">
        <v>2</v>
      </c>
      <c r="F4757" s="7" t="n">
        <v>3</v>
      </c>
      <c r="G4757" s="7" t="n">
        <v>17</v>
      </c>
      <c r="H4757" s="7" t="n">
        <v>63848</v>
      </c>
      <c r="I4757" s="7" t="s">
        <v>447</v>
      </c>
      <c r="J4757" s="7" t="n">
        <v>2</v>
      </c>
      <c r="K4757" s="7" t="n">
        <v>3</v>
      </c>
      <c r="L4757" s="7" t="n">
        <v>17</v>
      </c>
      <c r="M4757" s="7" t="n">
        <v>63849</v>
      </c>
      <c r="N4757" s="7" t="s">
        <v>448</v>
      </c>
      <c r="O4757" s="7" t="n">
        <v>2</v>
      </c>
      <c r="P4757" s="7" t="n">
        <v>0</v>
      </c>
    </row>
    <row r="4758" spans="1:9">
      <c r="A4758" t="s">
        <v>4</v>
      </c>
      <c r="B4758" s="4" t="s">
        <v>5</v>
      </c>
    </row>
    <row r="4759" spans="1:9">
      <c r="A4759" t="n">
        <v>43134</v>
      </c>
      <c r="B4759" s="27" t="n">
        <v>28</v>
      </c>
    </row>
    <row r="4760" spans="1:9">
      <c r="A4760" t="s">
        <v>4</v>
      </c>
      <c r="B4760" s="4" t="s">
        <v>5</v>
      </c>
      <c r="C4760" s="4" t="s">
        <v>7</v>
      </c>
      <c r="D4760" s="4" t="s">
        <v>11</v>
      </c>
      <c r="E4760" s="4" t="s">
        <v>8</v>
      </c>
    </row>
    <row r="4761" spans="1:9">
      <c r="A4761" t="n">
        <v>43135</v>
      </c>
      <c r="B4761" s="38" t="n">
        <v>51</v>
      </c>
      <c r="C4761" s="7" t="n">
        <v>4</v>
      </c>
      <c r="D4761" s="7" t="n">
        <v>3</v>
      </c>
      <c r="E4761" s="7" t="s">
        <v>327</v>
      </c>
    </row>
    <row r="4762" spans="1:9">
      <c r="A4762" t="s">
        <v>4</v>
      </c>
      <c r="B4762" s="4" t="s">
        <v>5</v>
      </c>
      <c r="C4762" s="4" t="s">
        <v>11</v>
      </c>
    </row>
    <row r="4763" spans="1:9">
      <c r="A4763" t="n">
        <v>43154</v>
      </c>
      <c r="B4763" s="29" t="n">
        <v>16</v>
      </c>
      <c r="C4763" s="7" t="n">
        <v>0</v>
      </c>
    </row>
    <row r="4764" spans="1:9">
      <c r="A4764" t="s">
        <v>4</v>
      </c>
      <c r="B4764" s="4" t="s">
        <v>5</v>
      </c>
      <c r="C4764" s="4" t="s">
        <v>11</v>
      </c>
      <c r="D4764" s="4" t="s">
        <v>7</v>
      </c>
      <c r="E4764" s="4" t="s">
        <v>15</v>
      </c>
      <c r="F4764" s="4" t="s">
        <v>55</v>
      </c>
      <c r="G4764" s="4" t="s">
        <v>7</v>
      </c>
      <c r="H4764" s="4" t="s">
        <v>7</v>
      </c>
    </row>
    <row r="4765" spans="1:9">
      <c r="A4765" t="n">
        <v>43157</v>
      </c>
      <c r="B4765" s="55" t="n">
        <v>26</v>
      </c>
      <c r="C4765" s="7" t="n">
        <v>3</v>
      </c>
      <c r="D4765" s="7" t="n">
        <v>17</v>
      </c>
      <c r="E4765" s="7" t="n">
        <v>2820</v>
      </c>
      <c r="F4765" s="7" t="s">
        <v>449</v>
      </c>
      <c r="G4765" s="7" t="n">
        <v>2</v>
      </c>
      <c r="H4765" s="7" t="n">
        <v>0</v>
      </c>
    </row>
    <row r="4766" spans="1:9">
      <c r="A4766" t="s">
        <v>4</v>
      </c>
      <c r="B4766" s="4" t="s">
        <v>5</v>
      </c>
    </row>
    <row r="4767" spans="1:9">
      <c r="A4767" t="n">
        <v>43253</v>
      </c>
      <c r="B4767" s="27" t="n">
        <v>28</v>
      </c>
    </row>
    <row r="4768" spans="1:9">
      <c r="A4768" t="s">
        <v>4</v>
      </c>
      <c r="B4768" s="4" t="s">
        <v>5</v>
      </c>
      <c r="C4768" s="4" t="s">
        <v>7</v>
      </c>
      <c r="D4768" s="4" t="s">
        <v>11</v>
      </c>
      <c r="E4768" s="4" t="s">
        <v>8</v>
      </c>
    </row>
    <row r="4769" spans="1:16">
      <c r="A4769" t="n">
        <v>43254</v>
      </c>
      <c r="B4769" s="38" t="n">
        <v>51</v>
      </c>
      <c r="C4769" s="7" t="n">
        <v>4</v>
      </c>
      <c r="D4769" s="7" t="n">
        <v>0</v>
      </c>
      <c r="E4769" s="7" t="s">
        <v>450</v>
      </c>
    </row>
    <row r="4770" spans="1:16">
      <c r="A4770" t="s">
        <v>4</v>
      </c>
      <c r="B4770" s="4" t="s">
        <v>5</v>
      </c>
      <c r="C4770" s="4" t="s">
        <v>11</v>
      </c>
    </row>
    <row r="4771" spans="1:16">
      <c r="A4771" t="n">
        <v>43268</v>
      </c>
      <c r="B4771" s="29" t="n">
        <v>16</v>
      </c>
      <c r="C4771" s="7" t="n">
        <v>0</v>
      </c>
    </row>
    <row r="4772" spans="1:16">
      <c r="A4772" t="s">
        <v>4</v>
      </c>
      <c r="B4772" s="4" t="s">
        <v>5</v>
      </c>
      <c r="C4772" s="4" t="s">
        <v>11</v>
      </c>
      <c r="D4772" s="4" t="s">
        <v>7</v>
      </c>
      <c r="E4772" s="4" t="s">
        <v>15</v>
      </c>
      <c r="F4772" s="4" t="s">
        <v>55</v>
      </c>
      <c r="G4772" s="4" t="s">
        <v>7</v>
      </c>
      <c r="H4772" s="4" t="s">
        <v>7</v>
      </c>
      <c r="I4772" s="4" t="s">
        <v>7</v>
      </c>
      <c r="J4772" s="4" t="s">
        <v>15</v>
      </c>
      <c r="K4772" s="4" t="s">
        <v>55</v>
      </c>
      <c r="L4772" s="4" t="s">
        <v>7</v>
      </c>
      <c r="M4772" s="4" t="s">
        <v>7</v>
      </c>
      <c r="N4772" s="4" t="s">
        <v>7</v>
      </c>
      <c r="O4772" s="4" t="s">
        <v>15</v>
      </c>
      <c r="P4772" s="4" t="s">
        <v>55</v>
      </c>
      <c r="Q4772" s="4" t="s">
        <v>7</v>
      </c>
      <c r="R4772" s="4" t="s">
        <v>7</v>
      </c>
      <c r="S4772" s="4" t="s">
        <v>7</v>
      </c>
      <c r="T4772" s="4" t="s">
        <v>15</v>
      </c>
      <c r="U4772" s="4" t="s">
        <v>55</v>
      </c>
      <c r="V4772" s="4" t="s">
        <v>7</v>
      </c>
      <c r="W4772" s="4" t="s">
        <v>7</v>
      </c>
      <c r="X4772" s="4" t="s">
        <v>7</v>
      </c>
      <c r="Y4772" s="4" t="s">
        <v>15</v>
      </c>
      <c r="Z4772" s="4" t="s">
        <v>55</v>
      </c>
      <c r="AA4772" s="4" t="s">
        <v>7</v>
      </c>
      <c r="AB4772" s="4" t="s">
        <v>7</v>
      </c>
    </row>
    <row r="4773" spans="1:16">
      <c r="A4773" t="n">
        <v>43271</v>
      </c>
      <c r="B4773" s="55" t="n">
        <v>26</v>
      </c>
      <c r="C4773" s="7" t="n">
        <v>0</v>
      </c>
      <c r="D4773" s="7" t="n">
        <v>17</v>
      </c>
      <c r="E4773" s="7" t="n">
        <v>63850</v>
      </c>
      <c r="F4773" s="7" t="s">
        <v>451</v>
      </c>
      <c r="G4773" s="7" t="n">
        <v>2</v>
      </c>
      <c r="H4773" s="7" t="n">
        <v>3</v>
      </c>
      <c r="I4773" s="7" t="n">
        <v>17</v>
      </c>
      <c r="J4773" s="7" t="n">
        <v>63851</v>
      </c>
      <c r="K4773" s="7" t="s">
        <v>452</v>
      </c>
      <c r="L4773" s="7" t="n">
        <v>2</v>
      </c>
      <c r="M4773" s="7" t="n">
        <v>3</v>
      </c>
      <c r="N4773" s="7" t="n">
        <v>17</v>
      </c>
      <c r="O4773" s="7" t="n">
        <v>63852</v>
      </c>
      <c r="P4773" s="7" t="s">
        <v>453</v>
      </c>
      <c r="Q4773" s="7" t="n">
        <v>2</v>
      </c>
      <c r="R4773" s="7" t="n">
        <v>3</v>
      </c>
      <c r="S4773" s="7" t="n">
        <v>17</v>
      </c>
      <c r="T4773" s="7" t="n">
        <v>63853</v>
      </c>
      <c r="U4773" s="7" t="s">
        <v>454</v>
      </c>
      <c r="V4773" s="7" t="n">
        <v>2</v>
      </c>
      <c r="W4773" s="7" t="n">
        <v>3</v>
      </c>
      <c r="X4773" s="7" t="n">
        <v>17</v>
      </c>
      <c r="Y4773" s="7" t="n">
        <v>63854</v>
      </c>
      <c r="Z4773" s="7" t="s">
        <v>455</v>
      </c>
      <c r="AA4773" s="7" t="n">
        <v>2</v>
      </c>
      <c r="AB4773" s="7" t="n">
        <v>0</v>
      </c>
    </row>
    <row r="4774" spans="1:16">
      <c r="A4774" t="s">
        <v>4</v>
      </c>
      <c r="B4774" s="4" t="s">
        <v>5</v>
      </c>
    </row>
    <row r="4775" spans="1:16">
      <c r="A4775" t="n">
        <v>43784</v>
      </c>
      <c r="B4775" s="27" t="n">
        <v>28</v>
      </c>
    </row>
    <row r="4776" spans="1:16">
      <c r="A4776" t="s">
        <v>4</v>
      </c>
      <c r="B4776" s="4" t="s">
        <v>5</v>
      </c>
      <c r="C4776" s="4" t="s">
        <v>7</v>
      </c>
      <c r="D4776" s="4" t="s">
        <v>11</v>
      </c>
      <c r="E4776" s="4" t="s">
        <v>8</v>
      </c>
    </row>
    <row r="4777" spans="1:16">
      <c r="A4777" t="n">
        <v>43785</v>
      </c>
      <c r="B4777" s="38" t="n">
        <v>51</v>
      </c>
      <c r="C4777" s="7" t="n">
        <v>4</v>
      </c>
      <c r="D4777" s="7" t="n">
        <v>3</v>
      </c>
      <c r="E4777" s="7" t="s">
        <v>353</v>
      </c>
    </row>
    <row r="4778" spans="1:16">
      <c r="A4778" t="s">
        <v>4</v>
      </c>
      <c r="B4778" s="4" t="s">
        <v>5</v>
      </c>
      <c r="C4778" s="4" t="s">
        <v>11</v>
      </c>
    </row>
    <row r="4779" spans="1:16">
      <c r="A4779" t="n">
        <v>43804</v>
      </c>
      <c r="B4779" s="29" t="n">
        <v>16</v>
      </c>
      <c r="C4779" s="7" t="n">
        <v>0</v>
      </c>
    </row>
    <row r="4780" spans="1:16">
      <c r="A4780" t="s">
        <v>4</v>
      </c>
      <c r="B4780" s="4" t="s">
        <v>5</v>
      </c>
      <c r="C4780" s="4" t="s">
        <v>11</v>
      </c>
      <c r="D4780" s="4" t="s">
        <v>7</v>
      </c>
      <c r="E4780" s="4" t="s">
        <v>15</v>
      </c>
      <c r="F4780" s="4" t="s">
        <v>55</v>
      </c>
      <c r="G4780" s="4" t="s">
        <v>7</v>
      </c>
      <c r="H4780" s="4" t="s">
        <v>7</v>
      </c>
    </row>
    <row r="4781" spans="1:16">
      <c r="A4781" t="n">
        <v>43807</v>
      </c>
      <c r="B4781" s="55" t="n">
        <v>26</v>
      </c>
      <c r="C4781" s="7" t="n">
        <v>3</v>
      </c>
      <c r="D4781" s="7" t="n">
        <v>17</v>
      </c>
      <c r="E4781" s="7" t="n">
        <v>2821</v>
      </c>
      <c r="F4781" s="7" t="s">
        <v>456</v>
      </c>
      <c r="G4781" s="7" t="n">
        <v>2</v>
      </c>
      <c r="H4781" s="7" t="n">
        <v>0</v>
      </c>
    </row>
    <row r="4782" spans="1:16">
      <c r="A4782" t="s">
        <v>4</v>
      </c>
      <c r="B4782" s="4" t="s">
        <v>5</v>
      </c>
    </row>
    <row r="4783" spans="1:16">
      <c r="A4783" t="n">
        <v>43831</v>
      </c>
      <c r="B4783" s="27" t="n">
        <v>28</v>
      </c>
    </row>
    <row r="4784" spans="1:16">
      <c r="A4784" t="s">
        <v>4</v>
      </c>
      <c r="B4784" s="4" t="s">
        <v>5</v>
      </c>
      <c r="C4784" s="4" t="s">
        <v>11</v>
      </c>
      <c r="D4784" s="4" t="s">
        <v>7</v>
      </c>
    </row>
    <row r="4785" spans="1:28">
      <c r="A4785" t="n">
        <v>43832</v>
      </c>
      <c r="B4785" s="68" t="n">
        <v>89</v>
      </c>
      <c r="C4785" s="7" t="n">
        <v>65533</v>
      </c>
      <c r="D4785" s="7" t="n">
        <v>1</v>
      </c>
    </row>
    <row r="4786" spans="1:28">
      <c r="A4786" t="s">
        <v>4</v>
      </c>
      <c r="B4786" s="4" t="s">
        <v>5</v>
      </c>
      <c r="C4786" s="4" t="s">
        <v>7</v>
      </c>
      <c r="D4786" s="4" t="s">
        <v>11</v>
      </c>
      <c r="E4786" s="4" t="s">
        <v>13</v>
      </c>
    </row>
    <row r="4787" spans="1:28">
      <c r="A4787" t="n">
        <v>43836</v>
      </c>
      <c r="B4787" s="23" t="n">
        <v>58</v>
      </c>
      <c r="C4787" s="7" t="n">
        <v>101</v>
      </c>
      <c r="D4787" s="7" t="n">
        <v>500</v>
      </c>
      <c r="E4787" s="7" t="n">
        <v>1</v>
      </c>
    </row>
    <row r="4788" spans="1:28">
      <c r="A4788" t="s">
        <v>4</v>
      </c>
      <c r="B4788" s="4" t="s">
        <v>5</v>
      </c>
      <c r="C4788" s="4" t="s">
        <v>7</v>
      </c>
      <c r="D4788" s="4" t="s">
        <v>11</v>
      </c>
    </row>
    <row r="4789" spans="1:28">
      <c r="A4789" t="n">
        <v>43844</v>
      </c>
      <c r="B4789" s="23" t="n">
        <v>58</v>
      </c>
      <c r="C4789" s="7" t="n">
        <v>254</v>
      </c>
      <c r="D4789" s="7" t="n">
        <v>0</v>
      </c>
    </row>
    <row r="4790" spans="1:28">
      <c r="A4790" t="s">
        <v>4</v>
      </c>
      <c r="B4790" s="4" t="s">
        <v>5</v>
      </c>
      <c r="C4790" s="4" t="s">
        <v>7</v>
      </c>
      <c r="D4790" s="4" t="s">
        <v>7</v>
      </c>
      <c r="E4790" s="4" t="s">
        <v>13</v>
      </c>
      <c r="F4790" s="4" t="s">
        <v>13</v>
      </c>
      <c r="G4790" s="4" t="s">
        <v>13</v>
      </c>
      <c r="H4790" s="4" t="s">
        <v>11</v>
      </c>
    </row>
    <row r="4791" spans="1:28">
      <c r="A4791" t="n">
        <v>43848</v>
      </c>
      <c r="B4791" s="51" t="n">
        <v>45</v>
      </c>
      <c r="C4791" s="7" t="n">
        <v>2</v>
      </c>
      <c r="D4791" s="7" t="n">
        <v>3</v>
      </c>
      <c r="E4791" s="7" t="n">
        <v>-6.6100001335144</v>
      </c>
      <c r="F4791" s="7" t="n">
        <v>6.44000005722046</v>
      </c>
      <c r="G4791" s="7" t="n">
        <v>29.9300003051758</v>
      </c>
      <c r="H4791" s="7" t="n">
        <v>0</v>
      </c>
    </row>
    <row r="4792" spans="1:28">
      <c r="A4792" t="s">
        <v>4</v>
      </c>
      <c r="B4792" s="4" t="s">
        <v>5</v>
      </c>
      <c r="C4792" s="4" t="s">
        <v>7</v>
      </c>
      <c r="D4792" s="4" t="s">
        <v>7</v>
      </c>
      <c r="E4792" s="4" t="s">
        <v>13</v>
      </c>
      <c r="F4792" s="4" t="s">
        <v>13</v>
      </c>
      <c r="G4792" s="4" t="s">
        <v>13</v>
      </c>
      <c r="H4792" s="4" t="s">
        <v>11</v>
      </c>
      <c r="I4792" s="4" t="s">
        <v>7</v>
      </c>
    </row>
    <row r="4793" spans="1:28">
      <c r="A4793" t="n">
        <v>43865</v>
      </c>
      <c r="B4793" s="51" t="n">
        <v>45</v>
      </c>
      <c r="C4793" s="7" t="n">
        <v>4</v>
      </c>
      <c r="D4793" s="7" t="n">
        <v>3</v>
      </c>
      <c r="E4793" s="7" t="n">
        <v>357</v>
      </c>
      <c r="F4793" s="7" t="n">
        <v>284.700012207031</v>
      </c>
      <c r="G4793" s="7" t="n">
        <v>4</v>
      </c>
      <c r="H4793" s="7" t="n">
        <v>0</v>
      </c>
      <c r="I4793" s="7" t="n">
        <v>0</v>
      </c>
    </row>
    <row r="4794" spans="1:28">
      <c r="A4794" t="s">
        <v>4</v>
      </c>
      <c r="B4794" s="4" t="s">
        <v>5</v>
      </c>
      <c r="C4794" s="4" t="s">
        <v>7</v>
      </c>
      <c r="D4794" s="4" t="s">
        <v>7</v>
      </c>
      <c r="E4794" s="4" t="s">
        <v>13</v>
      </c>
      <c r="F4794" s="4" t="s">
        <v>11</v>
      </c>
    </row>
    <row r="4795" spans="1:28">
      <c r="A4795" t="n">
        <v>43883</v>
      </c>
      <c r="B4795" s="51" t="n">
        <v>45</v>
      </c>
      <c r="C4795" s="7" t="n">
        <v>5</v>
      </c>
      <c r="D4795" s="7" t="n">
        <v>3</v>
      </c>
      <c r="E4795" s="7" t="n">
        <v>1</v>
      </c>
      <c r="F4795" s="7" t="n">
        <v>0</v>
      </c>
    </row>
    <row r="4796" spans="1:28">
      <c r="A4796" t="s">
        <v>4</v>
      </c>
      <c r="B4796" s="4" t="s">
        <v>5</v>
      </c>
      <c r="C4796" s="4" t="s">
        <v>7</v>
      </c>
      <c r="D4796" s="4" t="s">
        <v>7</v>
      </c>
      <c r="E4796" s="4" t="s">
        <v>13</v>
      </c>
      <c r="F4796" s="4" t="s">
        <v>11</v>
      </c>
    </row>
    <row r="4797" spans="1:28">
      <c r="A4797" t="n">
        <v>43892</v>
      </c>
      <c r="B4797" s="51" t="n">
        <v>45</v>
      </c>
      <c r="C4797" s="7" t="n">
        <v>11</v>
      </c>
      <c r="D4797" s="7" t="n">
        <v>3</v>
      </c>
      <c r="E4797" s="7" t="n">
        <v>40.2999992370605</v>
      </c>
      <c r="F4797" s="7" t="n">
        <v>0</v>
      </c>
    </row>
    <row r="4798" spans="1:28">
      <c r="A4798" t="s">
        <v>4</v>
      </c>
      <c r="B4798" s="4" t="s">
        <v>5</v>
      </c>
      <c r="C4798" s="4" t="s">
        <v>7</v>
      </c>
      <c r="D4798" s="4" t="s">
        <v>11</v>
      </c>
      <c r="E4798" s="4" t="s">
        <v>8</v>
      </c>
      <c r="F4798" s="4" t="s">
        <v>8</v>
      </c>
      <c r="G4798" s="4" t="s">
        <v>8</v>
      </c>
      <c r="H4798" s="4" t="s">
        <v>8</v>
      </c>
    </row>
    <row r="4799" spans="1:28">
      <c r="A4799" t="n">
        <v>43901</v>
      </c>
      <c r="B4799" s="38" t="n">
        <v>51</v>
      </c>
      <c r="C4799" s="7" t="n">
        <v>3</v>
      </c>
      <c r="D4799" s="7" t="n">
        <v>0</v>
      </c>
      <c r="E4799" s="7" t="s">
        <v>86</v>
      </c>
      <c r="F4799" s="7" t="s">
        <v>79</v>
      </c>
      <c r="G4799" s="7" t="s">
        <v>78</v>
      </c>
      <c r="H4799" s="7" t="s">
        <v>79</v>
      </c>
    </row>
    <row r="4800" spans="1:28">
      <c r="A4800" t="s">
        <v>4</v>
      </c>
      <c r="B4800" s="4" t="s">
        <v>5</v>
      </c>
      <c r="C4800" s="4" t="s">
        <v>7</v>
      </c>
      <c r="D4800" s="4" t="s">
        <v>11</v>
      </c>
    </row>
    <row r="4801" spans="1:9">
      <c r="A4801" t="n">
        <v>43914</v>
      </c>
      <c r="B4801" s="23" t="n">
        <v>58</v>
      </c>
      <c r="C4801" s="7" t="n">
        <v>255</v>
      </c>
      <c r="D4801" s="7" t="n">
        <v>0</v>
      </c>
    </row>
    <row r="4802" spans="1:9">
      <c r="A4802" t="s">
        <v>4</v>
      </c>
      <c r="B4802" s="4" t="s">
        <v>5</v>
      </c>
      <c r="C4802" s="4" t="s">
        <v>7</v>
      </c>
      <c r="D4802" s="4" t="s">
        <v>11</v>
      </c>
    </row>
    <row r="4803" spans="1:9">
      <c r="A4803" t="n">
        <v>43918</v>
      </c>
      <c r="B4803" s="51" t="n">
        <v>45</v>
      </c>
      <c r="C4803" s="7" t="n">
        <v>7</v>
      </c>
      <c r="D4803" s="7" t="n">
        <v>255</v>
      </c>
    </row>
    <row r="4804" spans="1:9">
      <c r="A4804" t="s">
        <v>4</v>
      </c>
      <c r="B4804" s="4" t="s">
        <v>5</v>
      </c>
      <c r="C4804" s="4" t="s">
        <v>7</v>
      </c>
      <c r="D4804" s="4" t="s">
        <v>11</v>
      </c>
      <c r="E4804" s="4" t="s">
        <v>8</v>
      </c>
    </row>
    <row r="4805" spans="1:9">
      <c r="A4805" t="n">
        <v>43922</v>
      </c>
      <c r="B4805" s="38" t="n">
        <v>51</v>
      </c>
      <c r="C4805" s="7" t="n">
        <v>4</v>
      </c>
      <c r="D4805" s="7" t="n">
        <v>0</v>
      </c>
      <c r="E4805" s="7" t="s">
        <v>137</v>
      </c>
    </row>
    <row r="4806" spans="1:9">
      <c r="A4806" t="s">
        <v>4</v>
      </c>
      <c r="B4806" s="4" t="s">
        <v>5</v>
      </c>
      <c r="C4806" s="4" t="s">
        <v>11</v>
      </c>
    </row>
    <row r="4807" spans="1:9">
      <c r="A4807" t="n">
        <v>43935</v>
      </c>
      <c r="B4807" s="29" t="n">
        <v>16</v>
      </c>
      <c r="C4807" s="7" t="n">
        <v>500</v>
      </c>
    </row>
    <row r="4808" spans="1:9">
      <c r="A4808" t="s">
        <v>4</v>
      </c>
      <c r="B4808" s="4" t="s">
        <v>5</v>
      </c>
      <c r="C4808" s="4" t="s">
        <v>11</v>
      </c>
      <c r="D4808" s="4" t="s">
        <v>7</v>
      </c>
      <c r="E4808" s="4" t="s">
        <v>15</v>
      </c>
      <c r="F4808" s="4" t="s">
        <v>55</v>
      </c>
      <c r="G4808" s="4" t="s">
        <v>7</v>
      </c>
      <c r="H4808" s="4" t="s">
        <v>7</v>
      </c>
      <c r="I4808" s="4" t="s">
        <v>7</v>
      </c>
      <c r="J4808" s="4" t="s">
        <v>15</v>
      </c>
      <c r="K4808" s="4" t="s">
        <v>55</v>
      </c>
      <c r="L4808" s="4" t="s">
        <v>7</v>
      </c>
      <c r="M4808" s="4" t="s">
        <v>7</v>
      </c>
      <c r="N4808" s="4" t="s">
        <v>7</v>
      </c>
      <c r="O4808" s="4" t="s">
        <v>15</v>
      </c>
      <c r="P4808" s="4" t="s">
        <v>55</v>
      </c>
      <c r="Q4808" s="4" t="s">
        <v>7</v>
      </c>
      <c r="R4808" s="4" t="s">
        <v>7</v>
      </c>
      <c r="S4808" s="4" t="s">
        <v>7</v>
      </c>
      <c r="T4808" s="4" t="s">
        <v>15</v>
      </c>
      <c r="U4808" s="4" t="s">
        <v>55</v>
      </c>
      <c r="V4808" s="4" t="s">
        <v>7</v>
      </c>
      <c r="W4808" s="4" t="s">
        <v>7</v>
      </c>
    </row>
    <row r="4809" spans="1:9">
      <c r="A4809" t="n">
        <v>43938</v>
      </c>
      <c r="B4809" s="55" t="n">
        <v>26</v>
      </c>
      <c r="C4809" s="7" t="n">
        <v>0</v>
      </c>
      <c r="D4809" s="7" t="n">
        <v>17</v>
      </c>
      <c r="E4809" s="7" t="n">
        <v>63855</v>
      </c>
      <c r="F4809" s="7" t="s">
        <v>457</v>
      </c>
      <c r="G4809" s="7" t="n">
        <v>2</v>
      </c>
      <c r="H4809" s="7" t="n">
        <v>3</v>
      </c>
      <c r="I4809" s="7" t="n">
        <v>17</v>
      </c>
      <c r="J4809" s="7" t="n">
        <v>63856</v>
      </c>
      <c r="K4809" s="7" t="s">
        <v>458</v>
      </c>
      <c r="L4809" s="7" t="n">
        <v>2</v>
      </c>
      <c r="M4809" s="7" t="n">
        <v>3</v>
      </c>
      <c r="N4809" s="7" t="n">
        <v>17</v>
      </c>
      <c r="O4809" s="7" t="n">
        <v>63857</v>
      </c>
      <c r="P4809" s="7" t="s">
        <v>459</v>
      </c>
      <c r="Q4809" s="7" t="n">
        <v>2</v>
      </c>
      <c r="R4809" s="7" t="n">
        <v>3</v>
      </c>
      <c r="S4809" s="7" t="n">
        <v>17</v>
      </c>
      <c r="T4809" s="7" t="n">
        <v>63858</v>
      </c>
      <c r="U4809" s="7" t="s">
        <v>460</v>
      </c>
      <c r="V4809" s="7" t="n">
        <v>2</v>
      </c>
      <c r="W4809" s="7" t="n">
        <v>0</v>
      </c>
    </row>
    <row r="4810" spans="1:9">
      <c r="A4810" t="s">
        <v>4</v>
      </c>
      <c r="B4810" s="4" t="s">
        <v>5</v>
      </c>
    </row>
    <row r="4811" spans="1:9">
      <c r="A4811" t="n">
        <v>44239</v>
      </c>
      <c r="B4811" s="27" t="n">
        <v>28</v>
      </c>
    </row>
    <row r="4812" spans="1:9">
      <c r="A4812" t="s">
        <v>4</v>
      </c>
      <c r="B4812" s="4" t="s">
        <v>5</v>
      </c>
      <c r="C4812" s="4" t="s">
        <v>11</v>
      </c>
      <c r="D4812" s="4" t="s">
        <v>7</v>
      </c>
    </row>
    <row r="4813" spans="1:9">
      <c r="A4813" t="n">
        <v>44240</v>
      </c>
      <c r="B4813" s="68" t="n">
        <v>89</v>
      </c>
      <c r="C4813" s="7" t="n">
        <v>65533</v>
      </c>
      <c r="D4813" s="7" t="n">
        <v>1</v>
      </c>
    </row>
    <row r="4814" spans="1:9">
      <c r="A4814" t="s">
        <v>4</v>
      </c>
      <c r="B4814" s="4" t="s">
        <v>5</v>
      </c>
      <c r="C4814" s="4" t="s">
        <v>7</v>
      </c>
      <c r="D4814" s="4" t="s">
        <v>11</v>
      </c>
      <c r="E4814" s="4" t="s">
        <v>13</v>
      </c>
    </row>
    <row r="4815" spans="1:9">
      <c r="A4815" t="n">
        <v>44244</v>
      </c>
      <c r="B4815" s="23" t="n">
        <v>58</v>
      </c>
      <c r="C4815" s="7" t="n">
        <v>101</v>
      </c>
      <c r="D4815" s="7" t="n">
        <v>500</v>
      </c>
      <c r="E4815" s="7" t="n">
        <v>1</v>
      </c>
    </row>
    <row r="4816" spans="1:9">
      <c r="A4816" t="s">
        <v>4</v>
      </c>
      <c r="B4816" s="4" t="s">
        <v>5</v>
      </c>
      <c r="C4816" s="4" t="s">
        <v>7</v>
      </c>
      <c r="D4816" s="4" t="s">
        <v>11</v>
      </c>
    </row>
    <row r="4817" spans="1:23">
      <c r="A4817" t="n">
        <v>44252</v>
      </c>
      <c r="B4817" s="23" t="n">
        <v>58</v>
      </c>
      <c r="C4817" s="7" t="n">
        <v>254</v>
      </c>
      <c r="D4817" s="7" t="n">
        <v>0</v>
      </c>
    </row>
    <row r="4818" spans="1:23">
      <c r="A4818" t="s">
        <v>4</v>
      </c>
      <c r="B4818" s="4" t="s">
        <v>5</v>
      </c>
      <c r="C4818" s="4" t="s">
        <v>7</v>
      </c>
      <c r="D4818" s="4" t="s">
        <v>7</v>
      </c>
      <c r="E4818" s="4" t="s">
        <v>13</v>
      </c>
      <c r="F4818" s="4" t="s">
        <v>13</v>
      </c>
      <c r="G4818" s="4" t="s">
        <v>13</v>
      </c>
      <c r="H4818" s="4" t="s">
        <v>11</v>
      </c>
    </row>
    <row r="4819" spans="1:23">
      <c r="A4819" t="n">
        <v>44256</v>
      </c>
      <c r="B4819" s="51" t="n">
        <v>45</v>
      </c>
      <c r="C4819" s="7" t="n">
        <v>2</v>
      </c>
      <c r="D4819" s="7" t="n">
        <v>3</v>
      </c>
      <c r="E4819" s="7" t="n">
        <v>-7.3600001335144</v>
      </c>
      <c r="F4819" s="7" t="n">
        <v>6.42999982833862</v>
      </c>
      <c r="G4819" s="7" t="n">
        <v>29.8199996948242</v>
      </c>
      <c r="H4819" s="7" t="n">
        <v>0</v>
      </c>
    </row>
    <row r="4820" spans="1:23">
      <c r="A4820" t="s">
        <v>4</v>
      </c>
      <c r="B4820" s="4" t="s">
        <v>5</v>
      </c>
      <c r="C4820" s="4" t="s">
        <v>7</v>
      </c>
      <c r="D4820" s="4" t="s">
        <v>7</v>
      </c>
      <c r="E4820" s="4" t="s">
        <v>13</v>
      </c>
      <c r="F4820" s="4" t="s">
        <v>13</v>
      </c>
      <c r="G4820" s="4" t="s">
        <v>13</v>
      </c>
      <c r="H4820" s="4" t="s">
        <v>11</v>
      </c>
      <c r="I4820" s="4" t="s">
        <v>7</v>
      </c>
    </row>
    <row r="4821" spans="1:23">
      <c r="A4821" t="n">
        <v>44273</v>
      </c>
      <c r="B4821" s="51" t="n">
        <v>45</v>
      </c>
      <c r="C4821" s="7" t="n">
        <v>4</v>
      </c>
      <c r="D4821" s="7" t="n">
        <v>3</v>
      </c>
      <c r="E4821" s="7" t="n">
        <v>8.11999988555908</v>
      </c>
      <c r="F4821" s="7" t="n">
        <v>60.310001373291</v>
      </c>
      <c r="G4821" s="7" t="n">
        <v>354</v>
      </c>
      <c r="H4821" s="7" t="n">
        <v>0</v>
      </c>
      <c r="I4821" s="7" t="n">
        <v>0</v>
      </c>
    </row>
    <row r="4822" spans="1:23">
      <c r="A4822" t="s">
        <v>4</v>
      </c>
      <c r="B4822" s="4" t="s">
        <v>5</v>
      </c>
      <c r="C4822" s="4" t="s">
        <v>7</v>
      </c>
      <c r="D4822" s="4" t="s">
        <v>7</v>
      </c>
      <c r="E4822" s="4" t="s">
        <v>13</v>
      </c>
      <c r="F4822" s="4" t="s">
        <v>11</v>
      </c>
    </row>
    <row r="4823" spans="1:23">
      <c r="A4823" t="n">
        <v>44291</v>
      </c>
      <c r="B4823" s="51" t="n">
        <v>45</v>
      </c>
      <c r="C4823" s="7" t="n">
        <v>5</v>
      </c>
      <c r="D4823" s="7" t="n">
        <v>3</v>
      </c>
      <c r="E4823" s="7" t="n">
        <v>0.800000011920929</v>
      </c>
      <c r="F4823" s="7" t="n">
        <v>0</v>
      </c>
    </row>
    <row r="4824" spans="1:23">
      <c r="A4824" t="s">
        <v>4</v>
      </c>
      <c r="B4824" s="4" t="s">
        <v>5</v>
      </c>
      <c r="C4824" s="4" t="s">
        <v>7</v>
      </c>
      <c r="D4824" s="4" t="s">
        <v>7</v>
      </c>
      <c r="E4824" s="4" t="s">
        <v>13</v>
      </c>
      <c r="F4824" s="4" t="s">
        <v>11</v>
      </c>
    </row>
    <row r="4825" spans="1:23">
      <c r="A4825" t="n">
        <v>44300</v>
      </c>
      <c r="B4825" s="51" t="n">
        <v>45</v>
      </c>
      <c r="C4825" s="7" t="n">
        <v>11</v>
      </c>
      <c r="D4825" s="7" t="n">
        <v>3</v>
      </c>
      <c r="E4825" s="7" t="n">
        <v>40.2999992370605</v>
      </c>
      <c r="F4825" s="7" t="n">
        <v>0</v>
      </c>
    </row>
    <row r="4826" spans="1:23">
      <c r="A4826" t="s">
        <v>4</v>
      </c>
      <c r="B4826" s="4" t="s">
        <v>5</v>
      </c>
      <c r="C4826" s="4" t="s">
        <v>7</v>
      </c>
      <c r="D4826" s="4" t="s">
        <v>11</v>
      </c>
    </row>
    <row r="4827" spans="1:23">
      <c r="A4827" t="n">
        <v>44309</v>
      </c>
      <c r="B4827" s="23" t="n">
        <v>58</v>
      </c>
      <c r="C4827" s="7" t="n">
        <v>255</v>
      </c>
      <c r="D4827" s="7" t="n">
        <v>0</v>
      </c>
    </row>
    <row r="4828" spans="1:23">
      <c r="A4828" t="s">
        <v>4</v>
      </c>
      <c r="B4828" s="4" t="s">
        <v>5</v>
      </c>
      <c r="C4828" s="4" t="s">
        <v>7</v>
      </c>
      <c r="D4828" s="4" t="s">
        <v>11</v>
      </c>
      <c r="E4828" s="4" t="s">
        <v>8</v>
      </c>
    </row>
    <row r="4829" spans="1:23">
      <c r="A4829" t="n">
        <v>44313</v>
      </c>
      <c r="B4829" s="38" t="n">
        <v>51</v>
      </c>
      <c r="C4829" s="7" t="n">
        <v>4</v>
      </c>
      <c r="D4829" s="7" t="n">
        <v>3</v>
      </c>
      <c r="E4829" s="7" t="s">
        <v>461</v>
      </c>
    </row>
    <row r="4830" spans="1:23">
      <c r="A4830" t="s">
        <v>4</v>
      </c>
      <c r="B4830" s="4" t="s">
        <v>5</v>
      </c>
      <c r="C4830" s="4" t="s">
        <v>11</v>
      </c>
    </row>
    <row r="4831" spans="1:23">
      <c r="A4831" t="n">
        <v>44333</v>
      </c>
      <c r="B4831" s="29" t="n">
        <v>16</v>
      </c>
      <c r="C4831" s="7" t="n">
        <v>0</v>
      </c>
    </row>
    <row r="4832" spans="1:23">
      <c r="A4832" t="s">
        <v>4</v>
      </c>
      <c r="B4832" s="4" t="s">
        <v>5</v>
      </c>
      <c r="C4832" s="4" t="s">
        <v>11</v>
      </c>
      <c r="D4832" s="4" t="s">
        <v>7</v>
      </c>
      <c r="E4832" s="4" t="s">
        <v>15</v>
      </c>
      <c r="F4832" s="4" t="s">
        <v>55</v>
      </c>
      <c r="G4832" s="4" t="s">
        <v>7</v>
      </c>
      <c r="H4832" s="4" t="s">
        <v>7</v>
      </c>
    </row>
    <row r="4833" spans="1:9">
      <c r="A4833" t="n">
        <v>44336</v>
      </c>
      <c r="B4833" s="55" t="n">
        <v>26</v>
      </c>
      <c r="C4833" s="7" t="n">
        <v>3</v>
      </c>
      <c r="D4833" s="7" t="n">
        <v>17</v>
      </c>
      <c r="E4833" s="7" t="n">
        <v>2822</v>
      </c>
      <c r="F4833" s="7" t="s">
        <v>462</v>
      </c>
      <c r="G4833" s="7" t="n">
        <v>2</v>
      </c>
      <c r="H4833" s="7" t="n">
        <v>0</v>
      </c>
    </row>
    <row r="4834" spans="1:9">
      <c r="A4834" t="s">
        <v>4</v>
      </c>
      <c r="B4834" s="4" t="s">
        <v>5</v>
      </c>
    </row>
    <row r="4835" spans="1:9">
      <c r="A4835" t="n">
        <v>44355</v>
      </c>
      <c r="B4835" s="27" t="n">
        <v>28</v>
      </c>
    </row>
    <row r="4836" spans="1:9">
      <c r="A4836" t="s">
        <v>4</v>
      </c>
      <c r="B4836" s="4" t="s">
        <v>5</v>
      </c>
      <c r="C4836" s="4" t="s">
        <v>11</v>
      </c>
      <c r="D4836" s="4" t="s">
        <v>7</v>
      </c>
    </row>
    <row r="4837" spans="1:9">
      <c r="A4837" t="n">
        <v>44356</v>
      </c>
      <c r="B4837" s="68" t="n">
        <v>89</v>
      </c>
      <c r="C4837" s="7" t="n">
        <v>65533</v>
      </c>
      <c r="D4837" s="7" t="n">
        <v>1</v>
      </c>
    </row>
    <row r="4838" spans="1:9">
      <c r="A4838" t="s">
        <v>4</v>
      </c>
      <c r="B4838" s="4" t="s">
        <v>5</v>
      </c>
      <c r="C4838" s="4" t="s">
        <v>7</v>
      </c>
      <c r="D4838" s="4" t="s">
        <v>11</v>
      </c>
      <c r="E4838" s="4" t="s">
        <v>8</v>
      </c>
    </row>
    <row r="4839" spans="1:9">
      <c r="A4839" t="n">
        <v>44360</v>
      </c>
      <c r="B4839" s="38" t="n">
        <v>51</v>
      </c>
      <c r="C4839" s="7" t="n">
        <v>4</v>
      </c>
      <c r="D4839" s="7" t="n">
        <v>3</v>
      </c>
      <c r="E4839" s="7" t="s">
        <v>463</v>
      </c>
    </row>
    <row r="4840" spans="1:9">
      <c r="A4840" t="s">
        <v>4</v>
      </c>
      <c r="B4840" s="4" t="s">
        <v>5</v>
      </c>
      <c r="C4840" s="4" t="s">
        <v>11</v>
      </c>
    </row>
    <row r="4841" spans="1:9">
      <c r="A4841" t="n">
        <v>44380</v>
      </c>
      <c r="B4841" s="29" t="n">
        <v>16</v>
      </c>
      <c r="C4841" s="7" t="n">
        <v>0</v>
      </c>
    </row>
    <row r="4842" spans="1:9">
      <c r="A4842" t="s">
        <v>4</v>
      </c>
      <c r="B4842" s="4" t="s">
        <v>5</v>
      </c>
      <c r="C4842" s="4" t="s">
        <v>11</v>
      </c>
      <c r="D4842" s="4" t="s">
        <v>7</v>
      </c>
      <c r="E4842" s="4" t="s">
        <v>15</v>
      </c>
      <c r="F4842" s="4" t="s">
        <v>55</v>
      </c>
      <c r="G4842" s="4" t="s">
        <v>7</v>
      </c>
      <c r="H4842" s="4" t="s">
        <v>7</v>
      </c>
      <c r="I4842" s="4" t="s">
        <v>7</v>
      </c>
    </row>
    <row r="4843" spans="1:9">
      <c r="A4843" t="n">
        <v>44383</v>
      </c>
      <c r="B4843" s="55" t="n">
        <v>26</v>
      </c>
      <c r="C4843" s="7" t="n">
        <v>3</v>
      </c>
      <c r="D4843" s="7" t="n">
        <v>17</v>
      </c>
      <c r="E4843" s="7" t="n">
        <v>2823</v>
      </c>
      <c r="F4843" s="7" t="s">
        <v>464</v>
      </c>
      <c r="G4843" s="7" t="n">
        <v>8</v>
      </c>
      <c r="H4843" s="7" t="n">
        <v>2</v>
      </c>
      <c r="I4843" s="7" t="n">
        <v>0</v>
      </c>
    </row>
    <row r="4844" spans="1:9">
      <c r="A4844" t="s">
        <v>4</v>
      </c>
      <c r="B4844" s="4" t="s">
        <v>5</v>
      </c>
      <c r="C4844" s="4" t="s">
        <v>11</v>
      </c>
    </row>
    <row r="4845" spans="1:9">
      <c r="A4845" t="n">
        <v>44397</v>
      </c>
      <c r="B4845" s="29" t="n">
        <v>16</v>
      </c>
      <c r="C4845" s="7" t="n">
        <v>1</v>
      </c>
    </row>
    <row r="4846" spans="1:9">
      <c r="A4846" t="s">
        <v>4</v>
      </c>
      <c r="B4846" s="4" t="s">
        <v>5</v>
      </c>
      <c r="C4846" s="4" t="s">
        <v>7</v>
      </c>
      <c r="D4846" s="4" t="s">
        <v>11</v>
      </c>
    </row>
    <row r="4847" spans="1:9">
      <c r="A4847" t="n">
        <v>44400</v>
      </c>
      <c r="B4847" s="57" t="n">
        <v>50</v>
      </c>
      <c r="C4847" s="7" t="n">
        <v>52</v>
      </c>
      <c r="D4847" s="7" t="n">
        <v>2823</v>
      </c>
    </row>
    <row r="4848" spans="1:9">
      <c r="A4848" t="s">
        <v>4</v>
      </c>
      <c r="B4848" s="4" t="s">
        <v>5</v>
      </c>
      <c r="C4848" s="4" t="s">
        <v>11</v>
      </c>
    </row>
    <row r="4849" spans="1:9">
      <c r="A4849" t="n">
        <v>44404</v>
      </c>
      <c r="B4849" s="29" t="n">
        <v>16</v>
      </c>
      <c r="C4849" s="7" t="n">
        <v>1000</v>
      </c>
    </row>
    <row r="4850" spans="1:9">
      <c r="A4850" t="s">
        <v>4</v>
      </c>
      <c r="B4850" s="4" t="s">
        <v>5</v>
      </c>
      <c r="C4850" s="4" t="s">
        <v>11</v>
      </c>
      <c r="D4850" s="4" t="s">
        <v>7</v>
      </c>
    </row>
    <row r="4851" spans="1:9">
      <c r="A4851" t="n">
        <v>44407</v>
      </c>
      <c r="B4851" s="68" t="n">
        <v>89</v>
      </c>
      <c r="C4851" s="7" t="n">
        <v>65533</v>
      </c>
      <c r="D4851" s="7" t="n">
        <v>0</v>
      </c>
    </row>
    <row r="4852" spans="1:9">
      <c r="A4852" t="s">
        <v>4</v>
      </c>
      <c r="B4852" s="4" t="s">
        <v>5</v>
      </c>
      <c r="C4852" s="4" t="s">
        <v>11</v>
      </c>
      <c r="D4852" s="4" t="s">
        <v>7</v>
      </c>
    </row>
    <row r="4853" spans="1:9">
      <c r="A4853" t="n">
        <v>44411</v>
      </c>
      <c r="B4853" s="68" t="n">
        <v>89</v>
      </c>
      <c r="C4853" s="7" t="n">
        <v>65533</v>
      </c>
      <c r="D4853" s="7" t="n">
        <v>1</v>
      </c>
    </row>
    <row r="4854" spans="1:9">
      <c r="A4854" t="s">
        <v>4</v>
      </c>
      <c r="B4854" s="4" t="s">
        <v>5</v>
      </c>
      <c r="C4854" s="4" t="s">
        <v>11</v>
      </c>
      <c r="D4854" s="4" t="s">
        <v>11</v>
      </c>
      <c r="E4854" s="4" t="s">
        <v>13</v>
      </c>
      <c r="F4854" s="4" t="s">
        <v>13</v>
      </c>
      <c r="G4854" s="4" t="s">
        <v>13</v>
      </c>
      <c r="H4854" s="4" t="s">
        <v>13</v>
      </c>
      <c r="I4854" s="4" t="s">
        <v>7</v>
      </c>
      <c r="J4854" s="4" t="s">
        <v>11</v>
      </c>
    </row>
    <row r="4855" spans="1:9">
      <c r="A4855" t="n">
        <v>44415</v>
      </c>
      <c r="B4855" s="53" t="n">
        <v>55</v>
      </c>
      <c r="C4855" s="7" t="n">
        <v>3</v>
      </c>
      <c r="D4855" s="7" t="n">
        <v>65533</v>
      </c>
      <c r="E4855" s="7" t="n">
        <v>-6.90999984741211</v>
      </c>
      <c r="F4855" s="7" t="n">
        <v>5</v>
      </c>
      <c r="G4855" s="7" t="n">
        <v>29.8600006103516</v>
      </c>
      <c r="H4855" s="7" t="n">
        <v>2.79999995231628</v>
      </c>
      <c r="I4855" s="7" t="n">
        <v>1</v>
      </c>
      <c r="J4855" s="7" t="n">
        <v>0</v>
      </c>
    </row>
    <row r="4856" spans="1:9">
      <c r="A4856" t="s">
        <v>4</v>
      </c>
      <c r="B4856" s="4" t="s">
        <v>5</v>
      </c>
      <c r="C4856" s="4" t="s">
        <v>11</v>
      </c>
    </row>
    <row r="4857" spans="1:9">
      <c r="A4857" t="n">
        <v>44439</v>
      </c>
      <c r="B4857" s="29" t="n">
        <v>16</v>
      </c>
      <c r="C4857" s="7" t="n">
        <v>100</v>
      </c>
    </row>
    <row r="4858" spans="1:9">
      <c r="A4858" t="s">
        <v>4</v>
      </c>
      <c r="B4858" s="4" t="s">
        <v>5</v>
      </c>
      <c r="C4858" s="4" t="s">
        <v>7</v>
      </c>
      <c r="D4858" s="4" t="s">
        <v>11</v>
      </c>
      <c r="E4858" s="4" t="s">
        <v>13</v>
      </c>
    </row>
    <row r="4859" spans="1:9">
      <c r="A4859" t="n">
        <v>44442</v>
      </c>
      <c r="B4859" s="23" t="n">
        <v>58</v>
      </c>
      <c r="C4859" s="7" t="n">
        <v>101</v>
      </c>
      <c r="D4859" s="7" t="n">
        <v>500</v>
      </c>
      <c r="E4859" s="7" t="n">
        <v>1</v>
      </c>
    </row>
    <row r="4860" spans="1:9">
      <c r="A4860" t="s">
        <v>4</v>
      </c>
      <c r="B4860" s="4" t="s">
        <v>5</v>
      </c>
      <c r="C4860" s="4" t="s">
        <v>7</v>
      </c>
      <c r="D4860" s="4" t="s">
        <v>11</v>
      </c>
    </row>
    <row r="4861" spans="1:9">
      <c r="A4861" t="n">
        <v>44450</v>
      </c>
      <c r="B4861" s="23" t="n">
        <v>58</v>
      </c>
      <c r="C4861" s="7" t="n">
        <v>254</v>
      </c>
      <c r="D4861" s="7" t="n">
        <v>0</v>
      </c>
    </row>
    <row r="4862" spans="1:9">
      <c r="A4862" t="s">
        <v>4</v>
      </c>
      <c r="B4862" s="4" t="s">
        <v>5</v>
      </c>
      <c r="C4862" s="4" t="s">
        <v>11</v>
      </c>
      <c r="D4862" s="4" t="s">
        <v>13</v>
      </c>
      <c r="E4862" s="4" t="s">
        <v>13</v>
      </c>
      <c r="F4862" s="4" t="s">
        <v>13</v>
      </c>
      <c r="G4862" s="4" t="s">
        <v>11</v>
      </c>
      <c r="H4862" s="4" t="s">
        <v>11</v>
      </c>
    </row>
    <row r="4863" spans="1:9">
      <c r="A4863" t="n">
        <v>44454</v>
      </c>
      <c r="B4863" s="37" t="n">
        <v>60</v>
      </c>
      <c r="C4863" s="7" t="n">
        <v>0</v>
      </c>
      <c r="D4863" s="7" t="n">
        <v>0</v>
      </c>
      <c r="E4863" s="7" t="n">
        <v>0</v>
      </c>
      <c r="F4863" s="7" t="n">
        <v>0</v>
      </c>
      <c r="G4863" s="7" t="n">
        <v>0</v>
      </c>
      <c r="H4863" s="7" t="n">
        <v>1</v>
      </c>
    </row>
    <row r="4864" spans="1:9">
      <c r="A4864" t="s">
        <v>4</v>
      </c>
      <c r="B4864" s="4" t="s">
        <v>5</v>
      </c>
      <c r="C4864" s="4" t="s">
        <v>11</v>
      </c>
      <c r="D4864" s="4" t="s">
        <v>13</v>
      </c>
      <c r="E4864" s="4" t="s">
        <v>13</v>
      </c>
      <c r="F4864" s="4" t="s">
        <v>13</v>
      </c>
      <c r="G4864" s="4" t="s">
        <v>11</v>
      </c>
      <c r="H4864" s="4" t="s">
        <v>11</v>
      </c>
    </row>
    <row r="4865" spans="1:10">
      <c r="A4865" t="n">
        <v>44473</v>
      </c>
      <c r="B4865" s="37" t="n">
        <v>60</v>
      </c>
      <c r="C4865" s="7" t="n">
        <v>0</v>
      </c>
      <c r="D4865" s="7" t="n">
        <v>0</v>
      </c>
      <c r="E4865" s="7" t="n">
        <v>0</v>
      </c>
      <c r="F4865" s="7" t="n">
        <v>0</v>
      </c>
      <c r="G4865" s="7" t="n">
        <v>0</v>
      </c>
      <c r="H4865" s="7" t="n">
        <v>0</v>
      </c>
    </row>
    <row r="4866" spans="1:10">
      <c r="A4866" t="s">
        <v>4</v>
      </c>
      <c r="B4866" s="4" t="s">
        <v>5</v>
      </c>
      <c r="C4866" s="4" t="s">
        <v>11</v>
      </c>
      <c r="D4866" s="4" t="s">
        <v>11</v>
      </c>
      <c r="E4866" s="4" t="s">
        <v>11</v>
      </c>
    </row>
    <row r="4867" spans="1:10">
      <c r="A4867" t="n">
        <v>44492</v>
      </c>
      <c r="B4867" s="72" t="n">
        <v>61</v>
      </c>
      <c r="C4867" s="7" t="n">
        <v>0</v>
      </c>
      <c r="D4867" s="7" t="n">
        <v>65533</v>
      </c>
      <c r="E4867" s="7" t="n">
        <v>0</v>
      </c>
    </row>
    <row r="4868" spans="1:10">
      <c r="A4868" t="s">
        <v>4</v>
      </c>
      <c r="B4868" s="4" t="s">
        <v>5</v>
      </c>
      <c r="C4868" s="4" t="s">
        <v>11</v>
      </c>
      <c r="D4868" s="4" t="s">
        <v>13</v>
      </c>
      <c r="E4868" s="4" t="s">
        <v>13</v>
      </c>
      <c r="F4868" s="4" t="s">
        <v>13</v>
      </c>
      <c r="G4868" s="4" t="s">
        <v>11</v>
      </c>
      <c r="H4868" s="4" t="s">
        <v>11</v>
      </c>
    </row>
    <row r="4869" spans="1:10">
      <c r="A4869" t="n">
        <v>44499</v>
      </c>
      <c r="B4869" s="37" t="n">
        <v>60</v>
      </c>
      <c r="C4869" s="7" t="n">
        <v>3</v>
      </c>
      <c r="D4869" s="7" t="n">
        <v>0</v>
      </c>
      <c r="E4869" s="7" t="n">
        <v>0</v>
      </c>
      <c r="F4869" s="7" t="n">
        <v>0</v>
      </c>
      <c r="G4869" s="7" t="n">
        <v>0</v>
      </c>
      <c r="H4869" s="7" t="n">
        <v>1</v>
      </c>
    </row>
    <row r="4870" spans="1:10">
      <c r="A4870" t="s">
        <v>4</v>
      </c>
      <c r="B4870" s="4" t="s">
        <v>5</v>
      </c>
      <c r="C4870" s="4" t="s">
        <v>11</v>
      </c>
      <c r="D4870" s="4" t="s">
        <v>13</v>
      </c>
      <c r="E4870" s="4" t="s">
        <v>13</v>
      </c>
      <c r="F4870" s="4" t="s">
        <v>13</v>
      </c>
      <c r="G4870" s="4" t="s">
        <v>11</v>
      </c>
      <c r="H4870" s="4" t="s">
        <v>11</v>
      </c>
    </row>
    <row r="4871" spans="1:10">
      <c r="A4871" t="n">
        <v>44518</v>
      </c>
      <c r="B4871" s="37" t="n">
        <v>60</v>
      </c>
      <c r="C4871" s="7" t="n">
        <v>3</v>
      </c>
      <c r="D4871" s="7" t="n">
        <v>0</v>
      </c>
      <c r="E4871" s="7" t="n">
        <v>0</v>
      </c>
      <c r="F4871" s="7" t="n">
        <v>0</v>
      </c>
      <c r="G4871" s="7" t="n">
        <v>0</v>
      </c>
      <c r="H4871" s="7" t="n">
        <v>0</v>
      </c>
    </row>
    <row r="4872" spans="1:10">
      <c r="A4872" t="s">
        <v>4</v>
      </c>
      <c r="B4872" s="4" t="s">
        <v>5</v>
      </c>
      <c r="C4872" s="4" t="s">
        <v>11</v>
      </c>
      <c r="D4872" s="4" t="s">
        <v>11</v>
      </c>
      <c r="E4872" s="4" t="s">
        <v>11</v>
      </c>
    </row>
    <row r="4873" spans="1:10">
      <c r="A4873" t="n">
        <v>44537</v>
      </c>
      <c r="B4873" s="72" t="n">
        <v>61</v>
      </c>
      <c r="C4873" s="7" t="n">
        <v>3</v>
      </c>
      <c r="D4873" s="7" t="n">
        <v>65533</v>
      </c>
      <c r="E4873" s="7" t="n">
        <v>0</v>
      </c>
    </row>
    <row r="4874" spans="1:10">
      <c r="A4874" t="s">
        <v>4</v>
      </c>
      <c r="B4874" s="4" t="s">
        <v>5</v>
      </c>
      <c r="C4874" s="4" t="s">
        <v>7</v>
      </c>
      <c r="D4874" s="4" t="s">
        <v>7</v>
      </c>
      <c r="E4874" s="4" t="s">
        <v>13</v>
      </c>
      <c r="F4874" s="4" t="s">
        <v>13</v>
      </c>
      <c r="G4874" s="4" t="s">
        <v>13</v>
      </c>
      <c r="H4874" s="4" t="s">
        <v>11</v>
      </c>
    </row>
    <row r="4875" spans="1:10">
      <c r="A4875" t="n">
        <v>44544</v>
      </c>
      <c r="B4875" s="51" t="n">
        <v>45</v>
      </c>
      <c r="C4875" s="7" t="n">
        <v>2</v>
      </c>
      <c r="D4875" s="7" t="n">
        <v>3</v>
      </c>
      <c r="E4875" s="7" t="n">
        <v>-6.82000017166138</v>
      </c>
      <c r="F4875" s="7" t="n">
        <v>6.3600001335144</v>
      </c>
      <c r="G4875" s="7" t="n">
        <v>29.9099998474121</v>
      </c>
      <c r="H4875" s="7" t="n">
        <v>0</v>
      </c>
    </row>
    <row r="4876" spans="1:10">
      <c r="A4876" t="s">
        <v>4</v>
      </c>
      <c r="B4876" s="4" t="s">
        <v>5</v>
      </c>
      <c r="C4876" s="4" t="s">
        <v>7</v>
      </c>
      <c r="D4876" s="4" t="s">
        <v>7</v>
      </c>
      <c r="E4876" s="4" t="s">
        <v>13</v>
      </c>
      <c r="F4876" s="4" t="s">
        <v>13</v>
      </c>
      <c r="G4876" s="4" t="s">
        <v>13</v>
      </c>
      <c r="H4876" s="4" t="s">
        <v>11</v>
      </c>
      <c r="I4876" s="4" t="s">
        <v>7</v>
      </c>
    </row>
    <row r="4877" spans="1:10">
      <c r="A4877" t="n">
        <v>44561</v>
      </c>
      <c r="B4877" s="51" t="n">
        <v>45</v>
      </c>
      <c r="C4877" s="7" t="n">
        <v>4</v>
      </c>
      <c r="D4877" s="7" t="n">
        <v>3</v>
      </c>
      <c r="E4877" s="7" t="n">
        <v>13.1300001144409</v>
      </c>
      <c r="F4877" s="7" t="n">
        <v>311.959991455078</v>
      </c>
      <c r="G4877" s="7" t="n">
        <v>354</v>
      </c>
      <c r="H4877" s="7" t="n">
        <v>0</v>
      </c>
      <c r="I4877" s="7" t="n">
        <v>0</v>
      </c>
    </row>
    <row r="4878" spans="1:10">
      <c r="A4878" t="s">
        <v>4</v>
      </c>
      <c r="B4878" s="4" t="s">
        <v>5</v>
      </c>
      <c r="C4878" s="4" t="s">
        <v>7</v>
      </c>
      <c r="D4878" s="4" t="s">
        <v>7</v>
      </c>
      <c r="E4878" s="4" t="s">
        <v>13</v>
      </c>
      <c r="F4878" s="4" t="s">
        <v>11</v>
      </c>
    </row>
    <row r="4879" spans="1:10">
      <c r="A4879" t="n">
        <v>44579</v>
      </c>
      <c r="B4879" s="51" t="n">
        <v>45</v>
      </c>
      <c r="C4879" s="7" t="n">
        <v>5</v>
      </c>
      <c r="D4879" s="7" t="n">
        <v>3</v>
      </c>
      <c r="E4879" s="7" t="n">
        <v>1.10000002384186</v>
      </c>
      <c r="F4879" s="7" t="n">
        <v>0</v>
      </c>
    </row>
    <row r="4880" spans="1:10">
      <c r="A4880" t="s">
        <v>4</v>
      </c>
      <c r="B4880" s="4" t="s">
        <v>5</v>
      </c>
      <c r="C4880" s="4" t="s">
        <v>7</v>
      </c>
      <c r="D4880" s="4" t="s">
        <v>7</v>
      </c>
      <c r="E4880" s="4" t="s">
        <v>13</v>
      </c>
      <c r="F4880" s="4" t="s">
        <v>11</v>
      </c>
    </row>
    <row r="4881" spans="1:9">
      <c r="A4881" t="n">
        <v>44588</v>
      </c>
      <c r="B4881" s="51" t="n">
        <v>45</v>
      </c>
      <c r="C4881" s="7" t="n">
        <v>11</v>
      </c>
      <c r="D4881" s="7" t="n">
        <v>3</v>
      </c>
      <c r="E4881" s="7" t="n">
        <v>40.2999992370605</v>
      </c>
      <c r="F4881" s="7" t="n">
        <v>0</v>
      </c>
    </row>
    <row r="4882" spans="1:9">
      <c r="A4882" t="s">
        <v>4</v>
      </c>
      <c r="B4882" s="4" t="s">
        <v>5</v>
      </c>
      <c r="C4882" s="4" t="s">
        <v>7</v>
      </c>
      <c r="D4882" s="4" t="s">
        <v>7</v>
      </c>
      <c r="E4882" s="4" t="s">
        <v>13</v>
      </c>
      <c r="F4882" s="4" t="s">
        <v>13</v>
      </c>
      <c r="G4882" s="4" t="s">
        <v>13</v>
      </c>
      <c r="H4882" s="4" t="s">
        <v>11</v>
      </c>
    </row>
    <row r="4883" spans="1:9">
      <c r="A4883" t="n">
        <v>44597</v>
      </c>
      <c r="B4883" s="51" t="n">
        <v>45</v>
      </c>
      <c r="C4883" s="7" t="n">
        <v>2</v>
      </c>
      <c r="D4883" s="7" t="n">
        <v>3</v>
      </c>
      <c r="E4883" s="7" t="n">
        <v>-6.65000009536743</v>
      </c>
      <c r="F4883" s="7" t="n">
        <v>6.40999984741211</v>
      </c>
      <c r="G4883" s="7" t="n">
        <v>29.8899993896484</v>
      </c>
      <c r="H4883" s="7" t="n">
        <v>3000</v>
      </c>
    </row>
    <row r="4884" spans="1:9">
      <c r="A4884" t="s">
        <v>4</v>
      </c>
      <c r="B4884" s="4" t="s">
        <v>5</v>
      </c>
      <c r="C4884" s="4" t="s">
        <v>7</v>
      </c>
      <c r="D4884" s="4" t="s">
        <v>7</v>
      </c>
      <c r="E4884" s="4" t="s">
        <v>13</v>
      </c>
      <c r="F4884" s="4" t="s">
        <v>13</v>
      </c>
      <c r="G4884" s="4" t="s">
        <v>13</v>
      </c>
      <c r="H4884" s="4" t="s">
        <v>11</v>
      </c>
      <c r="I4884" s="4" t="s">
        <v>7</v>
      </c>
    </row>
    <row r="4885" spans="1:9">
      <c r="A4885" t="n">
        <v>44614</v>
      </c>
      <c r="B4885" s="51" t="n">
        <v>45</v>
      </c>
      <c r="C4885" s="7" t="n">
        <v>4</v>
      </c>
      <c r="D4885" s="7" t="n">
        <v>3</v>
      </c>
      <c r="E4885" s="7" t="n">
        <v>1.94000005722046</v>
      </c>
      <c r="F4885" s="7" t="n">
        <v>0.479999989271164</v>
      </c>
      <c r="G4885" s="7" t="n">
        <v>354</v>
      </c>
      <c r="H4885" s="7" t="n">
        <v>3000</v>
      </c>
      <c r="I4885" s="7" t="n">
        <v>1</v>
      </c>
    </row>
    <row r="4886" spans="1:9">
      <c r="A4886" t="s">
        <v>4</v>
      </c>
      <c r="B4886" s="4" t="s">
        <v>5</v>
      </c>
      <c r="C4886" s="4" t="s">
        <v>7</v>
      </c>
      <c r="D4886" s="4" t="s">
        <v>7</v>
      </c>
      <c r="E4886" s="4" t="s">
        <v>13</v>
      </c>
      <c r="F4886" s="4" t="s">
        <v>11</v>
      </c>
    </row>
    <row r="4887" spans="1:9">
      <c r="A4887" t="n">
        <v>44632</v>
      </c>
      <c r="B4887" s="51" t="n">
        <v>45</v>
      </c>
      <c r="C4887" s="7" t="n">
        <v>5</v>
      </c>
      <c r="D4887" s="7" t="n">
        <v>3</v>
      </c>
      <c r="E4887" s="7" t="n">
        <v>1</v>
      </c>
      <c r="F4887" s="7" t="n">
        <v>3000</v>
      </c>
    </row>
    <row r="4888" spans="1:9">
      <c r="A4888" t="s">
        <v>4</v>
      </c>
      <c r="B4888" s="4" t="s">
        <v>5</v>
      </c>
      <c r="C4888" s="4" t="s">
        <v>7</v>
      </c>
      <c r="D4888" s="4" t="s">
        <v>7</v>
      </c>
      <c r="E4888" s="4" t="s">
        <v>13</v>
      </c>
      <c r="F4888" s="4" t="s">
        <v>11</v>
      </c>
    </row>
    <row r="4889" spans="1:9">
      <c r="A4889" t="n">
        <v>44641</v>
      </c>
      <c r="B4889" s="51" t="n">
        <v>45</v>
      </c>
      <c r="C4889" s="7" t="n">
        <v>11</v>
      </c>
      <c r="D4889" s="7" t="n">
        <v>3</v>
      </c>
      <c r="E4889" s="7" t="n">
        <v>40.2999992370605</v>
      </c>
      <c r="F4889" s="7" t="n">
        <v>3000</v>
      </c>
    </row>
    <row r="4890" spans="1:9">
      <c r="A4890" t="s">
        <v>4</v>
      </c>
      <c r="B4890" s="4" t="s">
        <v>5</v>
      </c>
      <c r="C4890" s="4" t="s">
        <v>11</v>
      </c>
      <c r="D4890" s="4" t="s">
        <v>7</v>
      </c>
    </row>
    <row r="4891" spans="1:9">
      <c r="A4891" t="n">
        <v>44650</v>
      </c>
      <c r="B4891" s="54" t="n">
        <v>56</v>
      </c>
      <c r="C4891" s="7" t="n">
        <v>3</v>
      </c>
      <c r="D4891" s="7" t="n">
        <v>0</v>
      </c>
    </row>
    <row r="4892" spans="1:9">
      <c r="A4892" t="s">
        <v>4</v>
      </c>
      <c r="B4892" s="4" t="s">
        <v>5</v>
      </c>
      <c r="C4892" s="4" t="s">
        <v>11</v>
      </c>
      <c r="D4892" s="4" t="s">
        <v>7</v>
      </c>
      <c r="E4892" s="4" t="s">
        <v>8</v>
      </c>
      <c r="F4892" s="4" t="s">
        <v>13</v>
      </c>
      <c r="G4892" s="4" t="s">
        <v>13</v>
      </c>
      <c r="H4892" s="4" t="s">
        <v>13</v>
      </c>
    </row>
    <row r="4893" spans="1:9">
      <c r="A4893" t="n">
        <v>44654</v>
      </c>
      <c r="B4893" s="42" t="n">
        <v>48</v>
      </c>
      <c r="C4893" s="7" t="n">
        <v>0</v>
      </c>
      <c r="D4893" s="7" t="n">
        <v>0</v>
      </c>
      <c r="E4893" s="7" t="s">
        <v>210</v>
      </c>
      <c r="F4893" s="7" t="n">
        <v>0</v>
      </c>
      <c r="G4893" s="7" t="n">
        <v>1</v>
      </c>
      <c r="H4893" s="7" t="n">
        <v>0</v>
      </c>
    </row>
    <row r="4894" spans="1:9">
      <c r="A4894" t="s">
        <v>4</v>
      </c>
      <c r="B4894" s="4" t="s">
        <v>5</v>
      </c>
      <c r="C4894" s="4" t="s">
        <v>11</v>
      </c>
      <c r="D4894" s="4" t="s">
        <v>7</v>
      </c>
      <c r="E4894" s="4" t="s">
        <v>8</v>
      </c>
      <c r="F4894" s="4" t="s">
        <v>13</v>
      </c>
      <c r="G4894" s="4" t="s">
        <v>13</v>
      </c>
      <c r="H4894" s="4" t="s">
        <v>13</v>
      </c>
    </row>
    <row r="4895" spans="1:9">
      <c r="A4895" t="n">
        <v>44679</v>
      </c>
      <c r="B4895" s="42" t="n">
        <v>48</v>
      </c>
      <c r="C4895" s="7" t="n">
        <v>3</v>
      </c>
      <c r="D4895" s="7" t="n">
        <v>0</v>
      </c>
      <c r="E4895" s="7" t="s">
        <v>210</v>
      </c>
      <c r="F4895" s="7" t="n">
        <v>0</v>
      </c>
      <c r="G4895" s="7" t="n">
        <v>1</v>
      </c>
      <c r="H4895" s="7" t="n">
        <v>0</v>
      </c>
    </row>
    <row r="4896" spans="1:9">
      <c r="A4896" t="s">
        <v>4</v>
      </c>
      <c r="B4896" s="4" t="s">
        <v>5</v>
      </c>
      <c r="C4896" s="4" t="s">
        <v>7</v>
      </c>
      <c r="D4896" s="4" t="s">
        <v>11</v>
      </c>
      <c r="E4896" s="4" t="s">
        <v>8</v>
      </c>
      <c r="F4896" s="4" t="s">
        <v>8</v>
      </c>
      <c r="G4896" s="4" t="s">
        <v>8</v>
      </c>
      <c r="H4896" s="4" t="s">
        <v>8</v>
      </c>
    </row>
    <row r="4897" spans="1:9">
      <c r="A4897" t="n">
        <v>44704</v>
      </c>
      <c r="B4897" s="38" t="n">
        <v>51</v>
      </c>
      <c r="C4897" s="7" t="n">
        <v>3</v>
      </c>
      <c r="D4897" s="7" t="n">
        <v>0</v>
      </c>
      <c r="E4897" s="7" t="s">
        <v>154</v>
      </c>
      <c r="F4897" s="7" t="s">
        <v>155</v>
      </c>
      <c r="G4897" s="7" t="s">
        <v>78</v>
      </c>
      <c r="H4897" s="7" t="s">
        <v>79</v>
      </c>
    </row>
    <row r="4898" spans="1:9">
      <c r="A4898" t="s">
        <v>4</v>
      </c>
      <c r="B4898" s="4" t="s">
        <v>5</v>
      </c>
      <c r="C4898" s="4" t="s">
        <v>7</v>
      </c>
      <c r="D4898" s="4" t="s">
        <v>11</v>
      </c>
    </row>
    <row r="4899" spans="1:9">
      <c r="A4899" t="n">
        <v>44717</v>
      </c>
      <c r="B4899" s="23" t="n">
        <v>58</v>
      </c>
      <c r="C4899" s="7" t="n">
        <v>255</v>
      </c>
      <c r="D4899" s="7" t="n">
        <v>0</v>
      </c>
    </row>
    <row r="4900" spans="1:9">
      <c r="A4900" t="s">
        <v>4</v>
      </c>
      <c r="B4900" s="4" t="s">
        <v>5</v>
      </c>
      <c r="C4900" s="4" t="s">
        <v>11</v>
      </c>
      <c r="D4900" s="4" t="s">
        <v>7</v>
      </c>
      <c r="E4900" s="4" t="s">
        <v>8</v>
      </c>
      <c r="F4900" s="4" t="s">
        <v>13</v>
      </c>
      <c r="G4900" s="4" t="s">
        <v>13</v>
      </c>
      <c r="H4900" s="4" t="s">
        <v>13</v>
      </c>
    </row>
    <row r="4901" spans="1:9">
      <c r="A4901" t="n">
        <v>44721</v>
      </c>
      <c r="B4901" s="42" t="n">
        <v>48</v>
      </c>
      <c r="C4901" s="7" t="n">
        <v>0</v>
      </c>
      <c r="D4901" s="7" t="n">
        <v>0</v>
      </c>
      <c r="E4901" s="7" t="s">
        <v>389</v>
      </c>
      <c r="F4901" s="7" t="n">
        <v>-1</v>
      </c>
      <c r="G4901" s="7" t="n">
        <v>1</v>
      </c>
      <c r="H4901" s="7" t="n">
        <v>0</v>
      </c>
    </row>
    <row r="4902" spans="1:9">
      <c r="A4902" t="s">
        <v>4</v>
      </c>
      <c r="B4902" s="4" t="s">
        <v>5</v>
      </c>
      <c r="C4902" s="4" t="s">
        <v>11</v>
      </c>
      <c r="D4902" s="4" t="s">
        <v>7</v>
      </c>
      <c r="E4902" s="4" t="s">
        <v>8</v>
      </c>
      <c r="F4902" s="4" t="s">
        <v>13</v>
      </c>
      <c r="G4902" s="4" t="s">
        <v>13</v>
      </c>
      <c r="H4902" s="4" t="s">
        <v>13</v>
      </c>
    </row>
    <row r="4903" spans="1:9">
      <c r="A4903" t="n">
        <v>44747</v>
      </c>
      <c r="B4903" s="42" t="n">
        <v>48</v>
      </c>
      <c r="C4903" s="7" t="n">
        <v>3</v>
      </c>
      <c r="D4903" s="7" t="n">
        <v>0</v>
      </c>
      <c r="E4903" s="7" t="s">
        <v>389</v>
      </c>
      <c r="F4903" s="7" t="n">
        <v>-1</v>
      </c>
      <c r="G4903" s="7" t="n">
        <v>1</v>
      </c>
      <c r="H4903" s="7" t="n">
        <v>0</v>
      </c>
    </row>
    <row r="4904" spans="1:9">
      <c r="A4904" t="s">
        <v>4</v>
      </c>
      <c r="B4904" s="4" t="s">
        <v>5</v>
      </c>
      <c r="C4904" s="4" t="s">
        <v>7</v>
      </c>
      <c r="D4904" s="4" t="s">
        <v>11</v>
      </c>
      <c r="E4904" s="4" t="s">
        <v>13</v>
      </c>
      <c r="F4904" s="4" t="s">
        <v>11</v>
      </c>
      <c r="G4904" s="4" t="s">
        <v>15</v>
      </c>
      <c r="H4904" s="4" t="s">
        <v>15</v>
      </c>
      <c r="I4904" s="4" t="s">
        <v>11</v>
      </c>
      <c r="J4904" s="4" t="s">
        <v>11</v>
      </c>
      <c r="K4904" s="4" t="s">
        <v>15</v>
      </c>
      <c r="L4904" s="4" t="s">
        <v>15</v>
      </c>
      <c r="M4904" s="4" t="s">
        <v>15</v>
      </c>
      <c r="N4904" s="4" t="s">
        <v>15</v>
      </c>
      <c r="O4904" s="4" t="s">
        <v>8</v>
      </c>
    </row>
    <row r="4905" spans="1:9">
      <c r="A4905" t="n">
        <v>44773</v>
      </c>
      <c r="B4905" s="57" t="n">
        <v>50</v>
      </c>
      <c r="C4905" s="7" t="n">
        <v>0</v>
      </c>
      <c r="D4905" s="7" t="n">
        <v>2004</v>
      </c>
      <c r="E4905" s="7" t="n">
        <v>0.5</v>
      </c>
      <c r="F4905" s="7" t="n">
        <v>200</v>
      </c>
      <c r="G4905" s="7" t="n">
        <v>0</v>
      </c>
      <c r="H4905" s="7" t="n">
        <v>1073741824</v>
      </c>
      <c r="I4905" s="7" t="n">
        <v>0</v>
      </c>
      <c r="J4905" s="7" t="n">
        <v>65533</v>
      </c>
      <c r="K4905" s="7" t="n">
        <v>0</v>
      </c>
      <c r="L4905" s="7" t="n">
        <v>0</v>
      </c>
      <c r="M4905" s="7" t="n">
        <v>0</v>
      </c>
      <c r="N4905" s="7" t="n">
        <v>0</v>
      </c>
      <c r="O4905" s="7" t="s">
        <v>16</v>
      </c>
    </row>
    <row r="4906" spans="1:9">
      <c r="A4906" t="s">
        <v>4</v>
      </c>
      <c r="B4906" s="4" t="s">
        <v>5</v>
      </c>
      <c r="C4906" s="4" t="s">
        <v>11</v>
      </c>
      <c r="D4906" s="4" t="s">
        <v>15</v>
      </c>
      <c r="E4906" s="4" t="s">
        <v>7</v>
      </c>
    </row>
    <row r="4907" spans="1:9">
      <c r="A4907" t="n">
        <v>44812</v>
      </c>
      <c r="B4907" s="78" t="n">
        <v>35</v>
      </c>
      <c r="C4907" s="7" t="n">
        <v>0</v>
      </c>
      <c r="D4907" s="7" t="n">
        <v>0</v>
      </c>
      <c r="E4907" s="7" t="n">
        <v>0</v>
      </c>
    </row>
    <row r="4908" spans="1:9">
      <c r="A4908" t="s">
        <v>4</v>
      </c>
      <c r="B4908" s="4" t="s">
        <v>5</v>
      </c>
      <c r="C4908" s="4" t="s">
        <v>11</v>
      </c>
      <c r="D4908" s="4" t="s">
        <v>15</v>
      </c>
      <c r="E4908" s="4" t="s">
        <v>7</v>
      </c>
    </row>
    <row r="4909" spans="1:9">
      <c r="A4909" t="n">
        <v>44820</v>
      </c>
      <c r="B4909" s="78" t="n">
        <v>35</v>
      </c>
      <c r="C4909" s="7" t="n">
        <v>3</v>
      </c>
      <c r="D4909" s="7" t="n">
        <v>0</v>
      </c>
      <c r="E4909" s="7" t="n">
        <v>0</v>
      </c>
    </row>
    <row r="4910" spans="1:9">
      <c r="A4910" t="s">
        <v>4</v>
      </c>
      <c r="B4910" s="4" t="s">
        <v>5</v>
      </c>
      <c r="C4910" s="4" t="s">
        <v>7</v>
      </c>
      <c r="D4910" s="4" t="s">
        <v>11</v>
      </c>
    </row>
    <row r="4911" spans="1:9">
      <c r="A4911" t="n">
        <v>44828</v>
      </c>
      <c r="B4911" s="51" t="n">
        <v>45</v>
      </c>
      <c r="C4911" s="7" t="n">
        <v>7</v>
      </c>
      <c r="D4911" s="7" t="n">
        <v>255</v>
      </c>
    </row>
    <row r="4912" spans="1:9">
      <c r="A4912" t="s">
        <v>4</v>
      </c>
      <c r="B4912" s="4" t="s">
        <v>5</v>
      </c>
      <c r="C4912" s="4" t="s">
        <v>7</v>
      </c>
      <c r="D4912" s="4" t="s">
        <v>11</v>
      </c>
      <c r="E4912" s="4" t="s">
        <v>8</v>
      </c>
    </row>
    <row r="4913" spans="1:15">
      <c r="A4913" t="n">
        <v>44832</v>
      </c>
      <c r="B4913" s="38" t="n">
        <v>51</v>
      </c>
      <c r="C4913" s="7" t="n">
        <v>4</v>
      </c>
      <c r="D4913" s="7" t="n">
        <v>0</v>
      </c>
      <c r="E4913" s="7" t="s">
        <v>147</v>
      </c>
    </row>
    <row r="4914" spans="1:15">
      <c r="A4914" t="s">
        <v>4</v>
      </c>
      <c r="B4914" s="4" t="s">
        <v>5</v>
      </c>
      <c r="C4914" s="4" t="s">
        <v>11</v>
      </c>
    </row>
    <row r="4915" spans="1:15">
      <c r="A4915" t="n">
        <v>44846</v>
      </c>
      <c r="B4915" s="29" t="n">
        <v>16</v>
      </c>
      <c r="C4915" s="7" t="n">
        <v>0</v>
      </c>
    </row>
    <row r="4916" spans="1:15">
      <c r="A4916" t="s">
        <v>4</v>
      </c>
      <c r="B4916" s="4" t="s">
        <v>5</v>
      </c>
      <c r="C4916" s="4" t="s">
        <v>11</v>
      </c>
      <c r="D4916" s="4" t="s">
        <v>7</v>
      </c>
      <c r="E4916" s="4" t="s">
        <v>15</v>
      </c>
      <c r="F4916" s="4" t="s">
        <v>55</v>
      </c>
      <c r="G4916" s="4" t="s">
        <v>7</v>
      </c>
      <c r="H4916" s="4" t="s">
        <v>7</v>
      </c>
    </row>
    <row r="4917" spans="1:15">
      <c r="A4917" t="n">
        <v>44849</v>
      </c>
      <c r="B4917" s="55" t="n">
        <v>26</v>
      </c>
      <c r="C4917" s="7" t="n">
        <v>0</v>
      </c>
      <c r="D4917" s="7" t="n">
        <v>17</v>
      </c>
      <c r="E4917" s="7" t="n">
        <v>63859</v>
      </c>
      <c r="F4917" s="7" t="s">
        <v>465</v>
      </c>
      <c r="G4917" s="7" t="n">
        <v>2</v>
      </c>
      <c r="H4917" s="7" t="n">
        <v>0</v>
      </c>
    </row>
    <row r="4918" spans="1:15">
      <c r="A4918" t="s">
        <v>4</v>
      </c>
      <c r="B4918" s="4" t="s">
        <v>5</v>
      </c>
    </row>
    <row r="4919" spans="1:15">
      <c r="A4919" t="n">
        <v>44873</v>
      </c>
      <c r="B4919" s="27" t="n">
        <v>28</v>
      </c>
    </row>
    <row r="4920" spans="1:15">
      <c r="A4920" t="s">
        <v>4</v>
      </c>
      <c r="B4920" s="4" t="s">
        <v>5</v>
      </c>
      <c r="C4920" s="4" t="s">
        <v>7</v>
      </c>
      <c r="D4920" s="4" t="s">
        <v>11</v>
      </c>
      <c r="E4920" s="4" t="s">
        <v>8</v>
      </c>
    </row>
    <row r="4921" spans="1:15">
      <c r="A4921" t="n">
        <v>44874</v>
      </c>
      <c r="B4921" s="38" t="n">
        <v>51</v>
      </c>
      <c r="C4921" s="7" t="n">
        <v>4</v>
      </c>
      <c r="D4921" s="7" t="n">
        <v>3</v>
      </c>
      <c r="E4921" s="7" t="s">
        <v>466</v>
      </c>
    </row>
    <row r="4922" spans="1:15">
      <c r="A4922" t="s">
        <v>4</v>
      </c>
      <c r="B4922" s="4" t="s">
        <v>5</v>
      </c>
      <c r="C4922" s="4" t="s">
        <v>11</v>
      </c>
    </row>
    <row r="4923" spans="1:15">
      <c r="A4923" t="n">
        <v>44888</v>
      </c>
      <c r="B4923" s="29" t="n">
        <v>16</v>
      </c>
      <c r="C4923" s="7" t="n">
        <v>0</v>
      </c>
    </row>
    <row r="4924" spans="1:15">
      <c r="A4924" t="s">
        <v>4</v>
      </c>
      <c r="B4924" s="4" t="s">
        <v>5</v>
      </c>
      <c r="C4924" s="4" t="s">
        <v>11</v>
      </c>
      <c r="D4924" s="4" t="s">
        <v>7</v>
      </c>
      <c r="E4924" s="4" t="s">
        <v>15</v>
      </c>
      <c r="F4924" s="4" t="s">
        <v>55</v>
      </c>
      <c r="G4924" s="4" t="s">
        <v>7</v>
      </c>
      <c r="H4924" s="4" t="s">
        <v>7</v>
      </c>
      <c r="I4924" s="4" t="s">
        <v>7</v>
      </c>
      <c r="J4924" s="4" t="s">
        <v>15</v>
      </c>
      <c r="K4924" s="4" t="s">
        <v>55</v>
      </c>
      <c r="L4924" s="4" t="s">
        <v>7</v>
      </c>
      <c r="M4924" s="4" t="s">
        <v>7</v>
      </c>
    </row>
    <row r="4925" spans="1:15">
      <c r="A4925" t="n">
        <v>44891</v>
      </c>
      <c r="B4925" s="55" t="n">
        <v>26</v>
      </c>
      <c r="C4925" s="7" t="n">
        <v>3</v>
      </c>
      <c r="D4925" s="7" t="n">
        <v>17</v>
      </c>
      <c r="E4925" s="7" t="n">
        <v>2824</v>
      </c>
      <c r="F4925" s="7" t="s">
        <v>467</v>
      </c>
      <c r="G4925" s="7" t="n">
        <v>2</v>
      </c>
      <c r="H4925" s="7" t="n">
        <v>3</v>
      </c>
      <c r="I4925" s="7" t="n">
        <v>17</v>
      </c>
      <c r="J4925" s="7" t="n">
        <v>2825</v>
      </c>
      <c r="K4925" s="7" t="s">
        <v>468</v>
      </c>
      <c r="L4925" s="7" t="n">
        <v>2</v>
      </c>
      <c r="M4925" s="7" t="n">
        <v>0</v>
      </c>
    </row>
    <row r="4926" spans="1:15">
      <c r="A4926" t="s">
        <v>4</v>
      </c>
      <c r="B4926" s="4" t="s">
        <v>5</v>
      </c>
    </row>
    <row r="4927" spans="1:15">
      <c r="A4927" t="n">
        <v>45048</v>
      </c>
      <c r="B4927" s="27" t="n">
        <v>28</v>
      </c>
    </row>
    <row r="4928" spans="1:15">
      <c r="A4928" t="s">
        <v>4</v>
      </c>
      <c r="B4928" s="4" t="s">
        <v>5</v>
      </c>
      <c r="C4928" s="4" t="s">
        <v>7</v>
      </c>
      <c r="D4928" s="4" t="s">
        <v>11</v>
      </c>
      <c r="E4928" s="4" t="s">
        <v>8</v>
      </c>
    </row>
    <row r="4929" spans="1:13">
      <c r="A4929" t="n">
        <v>45049</v>
      </c>
      <c r="B4929" s="38" t="n">
        <v>51</v>
      </c>
      <c r="C4929" s="7" t="n">
        <v>4</v>
      </c>
      <c r="D4929" s="7" t="n">
        <v>0</v>
      </c>
      <c r="E4929" s="7" t="s">
        <v>379</v>
      </c>
    </row>
    <row r="4930" spans="1:13">
      <c r="A4930" t="s">
        <v>4</v>
      </c>
      <c r="B4930" s="4" t="s">
        <v>5</v>
      </c>
      <c r="C4930" s="4" t="s">
        <v>11</v>
      </c>
    </row>
    <row r="4931" spans="1:13">
      <c r="A4931" t="n">
        <v>45063</v>
      </c>
      <c r="B4931" s="29" t="n">
        <v>16</v>
      </c>
      <c r="C4931" s="7" t="n">
        <v>0</v>
      </c>
    </row>
    <row r="4932" spans="1:13">
      <c r="A4932" t="s">
        <v>4</v>
      </c>
      <c r="B4932" s="4" t="s">
        <v>5</v>
      </c>
      <c r="C4932" s="4" t="s">
        <v>11</v>
      </c>
      <c r="D4932" s="4" t="s">
        <v>7</v>
      </c>
      <c r="E4932" s="4" t="s">
        <v>15</v>
      </c>
      <c r="F4932" s="4" t="s">
        <v>55</v>
      </c>
      <c r="G4932" s="4" t="s">
        <v>7</v>
      </c>
      <c r="H4932" s="4" t="s">
        <v>7</v>
      </c>
    </row>
    <row r="4933" spans="1:13">
      <c r="A4933" t="n">
        <v>45066</v>
      </c>
      <c r="B4933" s="55" t="n">
        <v>26</v>
      </c>
      <c r="C4933" s="7" t="n">
        <v>0</v>
      </c>
      <c r="D4933" s="7" t="n">
        <v>17</v>
      </c>
      <c r="E4933" s="7" t="n">
        <v>63860</v>
      </c>
      <c r="F4933" s="7" t="s">
        <v>469</v>
      </c>
      <c r="G4933" s="7" t="n">
        <v>2</v>
      </c>
      <c r="H4933" s="7" t="n">
        <v>0</v>
      </c>
    </row>
    <row r="4934" spans="1:13">
      <c r="A4934" t="s">
        <v>4</v>
      </c>
      <c r="B4934" s="4" t="s">
        <v>5</v>
      </c>
    </row>
    <row r="4935" spans="1:13">
      <c r="A4935" t="n">
        <v>45118</v>
      </c>
      <c r="B4935" s="27" t="n">
        <v>28</v>
      </c>
    </row>
    <row r="4936" spans="1:13">
      <c r="A4936" t="s">
        <v>4</v>
      </c>
      <c r="B4936" s="4" t="s">
        <v>5</v>
      </c>
      <c r="C4936" s="4" t="s">
        <v>11</v>
      </c>
      <c r="D4936" s="4" t="s">
        <v>7</v>
      </c>
      <c r="E4936" s="4" t="s">
        <v>8</v>
      </c>
      <c r="F4936" s="4" t="s">
        <v>13</v>
      </c>
      <c r="G4936" s="4" t="s">
        <v>13</v>
      </c>
      <c r="H4936" s="4" t="s">
        <v>13</v>
      </c>
    </row>
    <row r="4937" spans="1:13">
      <c r="A4937" t="n">
        <v>45119</v>
      </c>
      <c r="B4937" s="42" t="n">
        <v>48</v>
      </c>
      <c r="C4937" s="7" t="n">
        <v>0</v>
      </c>
      <c r="D4937" s="7" t="n">
        <v>0</v>
      </c>
      <c r="E4937" s="7" t="s">
        <v>390</v>
      </c>
      <c r="F4937" s="7" t="n">
        <v>-1</v>
      </c>
      <c r="G4937" s="7" t="n">
        <v>1</v>
      </c>
      <c r="H4937" s="7" t="n">
        <v>0</v>
      </c>
    </row>
    <row r="4938" spans="1:13">
      <c r="A4938" t="s">
        <v>4</v>
      </c>
      <c r="B4938" s="4" t="s">
        <v>5</v>
      </c>
      <c r="C4938" s="4" t="s">
        <v>11</v>
      </c>
      <c r="D4938" s="4" t="s">
        <v>7</v>
      </c>
      <c r="E4938" s="4" t="s">
        <v>8</v>
      </c>
      <c r="F4938" s="4" t="s">
        <v>13</v>
      </c>
      <c r="G4938" s="4" t="s">
        <v>13</v>
      </c>
      <c r="H4938" s="4" t="s">
        <v>13</v>
      </c>
    </row>
    <row r="4939" spans="1:13">
      <c r="A4939" t="n">
        <v>45145</v>
      </c>
      <c r="B4939" s="42" t="n">
        <v>48</v>
      </c>
      <c r="C4939" s="7" t="n">
        <v>3</v>
      </c>
      <c r="D4939" s="7" t="n">
        <v>0</v>
      </c>
      <c r="E4939" s="7" t="s">
        <v>390</v>
      </c>
      <c r="F4939" s="7" t="n">
        <v>-1</v>
      </c>
      <c r="G4939" s="7" t="n">
        <v>1</v>
      </c>
      <c r="H4939" s="7" t="n">
        <v>0</v>
      </c>
    </row>
    <row r="4940" spans="1:13">
      <c r="A4940" t="s">
        <v>4</v>
      </c>
      <c r="B4940" s="4" t="s">
        <v>5</v>
      </c>
      <c r="C4940" s="4" t="s">
        <v>11</v>
      </c>
    </row>
    <row r="4941" spans="1:13">
      <c r="A4941" t="n">
        <v>45171</v>
      </c>
      <c r="B4941" s="29" t="n">
        <v>16</v>
      </c>
      <c r="C4941" s="7" t="n">
        <v>500</v>
      </c>
    </row>
    <row r="4942" spans="1:13">
      <c r="A4942" t="s">
        <v>4</v>
      </c>
      <c r="B4942" s="4" t="s">
        <v>5</v>
      </c>
      <c r="C4942" s="4" t="s">
        <v>7</v>
      </c>
      <c r="D4942" s="4" t="s">
        <v>11</v>
      </c>
      <c r="E4942" s="4" t="s">
        <v>13</v>
      </c>
      <c r="F4942" s="4" t="s">
        <v>11</v>
      </c>
      <c r="G4942" s="4" t="s">
        <v>15</v>
      </c>
      <c r="H4942" s="4" t="s">
        <v>15</v>
      </c>
      <c r="I4942" s="4" t="s">
        <v>11</v>
      </c>
      <c r="J4942" s="4" t="s">
        <v>11</v>
      </c>
      <c r="K4942" s="4" t="s">
        <v>15</v>
      </c>
      <c r="L4942" s="4" t="s">
        <v>15</v>
      </c>
      <c r="M4942" s="4" t="s">
        <v>15</v>
      </c>
      <c r="N4942" s="4" t="s">
        <v>15</v>
      </c>
      <c r="O4942" s="4" t="s">
        <v>8</v>
      </c>
    </row>
    <row r="4943" spans="1:13">
      <c r="A4943" t="n">
        <v>45174</v>
      </c>
      <c r="B4943" s="57" t="n">
        <v>50</v>
      </c>
      <c r="C4943" s="7" t="n">
        <v>0</v>
      </c>
      <c r="D4943" s="7" t="n">
        <v>2000</v>
      </c>
      <c r="E4943" s="7" t="n">
        <v>0.400000005960464</v>
      </c>
      <c r="F4943" s="7" t="n">
        <v>0</v>
      </c>
      <c r="G4943" s="7" t="n">
        <v>0</v>
      </c>
      <c r="H4943" s="7" t="n">
        <v>1073741824</v>
      </c>
      <c r="I4943" s="7" t="n">
        <v>0</v>
      </c>
      <c r="J4943" s="7" t="n">
        <v>65533</v>
      </c>
      <c r="K4943" s="7" t="n">
        <v>0</v>
      </c>
      <c r="L4943" s="7" t="n">
        <v>0</v>
      </c>
      <c r="M4943" s="7" t="n">
        <v>0</v>
      </c>
      <c r="N4943" s="7" t="n">
        <v>0</v>
      </c>
      <c r="O4943" s="7" t="s">
        <v>16</v>
      </c>
    </row>
    <row r="4944" spans="1:13">
      <c r="A4944" t="s">
        <v>4</v>
      </c>
      <c r="B4944" s="4" t="s">
        <v>5</v>
      </c>
      <c r="C4944" s="4" t="s">
        <v>11</v>
      </c>
      <c r="D4944" s="4" t="s">
        <v>15</v>
      </c>
      <c r="E4944" s="4" t="s">
        <v>7</v>
      </c>
    </row>
    <row r="4945" spans="1:15">
      <c r="A4945" t="n">
        <v>45213</v>
      </c>
      <c r="B4945" s="78" t="n">
        <v>35</v>
      </c>
      <c r="C4945" s="7" t="n">
        <v>0</v>
      </c>
      <c r="D4945" s="7" t="n">
        <v>0</v>
      </c>
      <c r="E4945" s="7" t="n">
        <v>0</v>
      </c>
    </row>
    <row r="4946" spans="1:15">
      <c r="A4946" t="s">
        <v>4</v>
      </c>
      <c r="B4946" s="4" t="s">
        <v>5</v>
      </c>
      <c r="C4946" s="4" t="s">
        <v>11</v>
      </c>
      <c r="D4946" s="4" t="s">
        <v>15</v>
      </c>
      <c r="E4946" s="4" t="s">
        <v>7</v>
      </c>
    </row>
    <row r="4947" spans="1:15">
      <c r="A4947" t="n">
        <v>45221</v>
      </c>
      <c r="B4947" s="78" t="n">
        <v>35</v>
      </c>
      <c r="C4947" s="7" t="n">
        <v>3</v>
      </c>
      <c r="D4947" s="7" t="n">
        <v>0</v>
      </c>
      <c r="E4947" s="7" t="n">
        <v>0</v>
      </c>
    </row>
    <row r="4948" spans="1:15">
      <c r="A4948" t="s">
        <v>4</v>
      </c>
      <c r="B4948" s="4" t="s">
        <v>5</v>
      </c>
      <c r="C4948" s="4" t="s">
        <v>7</v>
      </c>
      <c r="D4948" s="4" t="s">
        <v>11</v>
      </c>
      <c r="E4948" s="4" t="s">
        <v>13</v>
      </c>
    </row>
    <row r="4949" spans="1:15">
      <c r="A4949" t="n">
        <v>45229</v>
      </c>
      <c r="B4949" s="23" t="n">
        <v>58</v>
      </c>
      <c r="C4949" s="7" t="n">
        <v>101</v>
      </c>
      <c r="D4949" s="7" t="n">
        <v>500</v>
      </c>
      <c r="E4949" s="7" t="n">
        <v>1</v>
      </c>
    </row>
    <row r="4950" spans="1:15">
      <c r="A4950" t="s">
        <v>4</v>
      </c>
      <c r="B4950" s="4" t="s">
        <v>5</v>
      </c>
      <c r="C4950" s="4" t="s">
        <v>7</v>
      </c>
      <c r="D4950" s="4" t="s">
        <v>11</v>
      </c>
    </row>
    <row r="4951" spans="1:15">
      <c r="A4951" t="n">
        <v>45237</v>
      </c>
      <c r="B4951" s="23" t="n">
        <v>58</v>
      </c>
      <c r="C4951" s="7" t="n">
        <v>254</v>
      </c>
      <c r="D4951" s="7" t="n">
        <v>0</v>
      </c>
    </row>
    <row r="4952" spans="1:15">
      <c r="A4952" t="s">
        <v>4</v>
      </c>
      <c r="B4952" s="4" t="s">
        <v>5</v>
      </c>
      <c r="C4952" s="4" t="s">
        <v>7</v>
      </c>
      <c r="D4952" s="4" t="s">
        <v>11</v>
      </c>
      <c r="E4952" s="4" t="s">
        <v>8</v>
      </c>
      <c r="F4952" s="4" t="s">
        <v>8</v>
      </c>
      <c r="G4952" s="4" t="s">
        <v>8</v>
      </c>
      <c r="H4952" s="4" t="s">
        <v>8</v>
      </c>
    </row>
    <row r="4953" spans="1:15">
      <c r="A4953" t="n">
        <v>45241</v>
      </c>
      <c r="B4953" s="38" t="n">
        <v>51</v>
      </c>
      <c r="C4953" s="7" t="n">
        <v>3</v>
      </c>
      <c r="D4953" s="7" t="n">
        <v>0</v>
      </c>
      <c r="E4953" s="7" t="s">
        <v>86</v>
      </c>
      <c r="F4953" s="7" t="s">
        <v>99</v>
      </c>
      <c r="G4953" s="7" t="s">
        <v>78</v>
      </c>
      <c r="H4953" s="7" t="s">
        <v>79</v>
      </c>
    </row>
    <row r="4954" spans="1:15">
      <c r="A4954" t="s">
        <v>4</v>
      </c>
      <c r="B4954" s="4" t="s">
        <v>5</v>
      </c>
      <c r="C4954" s="4" t="s">
        <v>7</v>
      </c>
      <c r="D4954" s="4" t="s">
        <v>7</v>
      </c>
      <c r="E4954" s="4" t="s">
        <v>13</v>
      </c>
      <c r="F4954" s="4" t="s">
        <v>13</v>
      </c>
      <c r="G4954" s="4" t="s">
        <v>13</v>
      </c>
      <c r="H4954" s="4" t="s">
        <v>11</v>
      </c>
    </row>
    <row r="4955" spans="1:15">
      <c r="A4955" t="n">
        <v>45254</v>
      </c>
      <c r="B4955" s="51" t="n">
        <v>45</v>
      </c>
      <c r="C4955" s="7" t="n">
        <v>2</v>
      </c>
      <c r="D4955" s="7" t="n">
        <v>3</v>
      </c>
      <c r="E4955" s="7" t="n">
        <v>-6.67000007629395</v>
      </c>
      <c r="F4955" s="7" t="n">
        <v>6.42000007629395</v>
      </c>
      <c r="G4955" s="7" t="n">
        <v>29.8899993896484</v>
      </c>
      <c r="H4955" s="7" t="n">
        <v>0</v>
      </c>
    </row>
    <row r="4956" spans="1:15">
      <c r="A4956" t="s">
        <v>4</v>
      </c>
      <c r="B4956" s="4" t="s">
        <v>5</v>
      </c>
      <c r="C4956" s="4" t="s">
        <v>7</v>
      </c>
      <c r="D4956" s="4" t="s">
        <v>7</v>
      </c>
      <c r="E4956" s="4" t="s">
        <v>13</v>
      </c>
      <c r="F4956" s="4" t="s">
        <v>13</v>
      </c>
      <c r="G4956" s="4" t="s">
        <v>13</v>
      </c>
      <c r="H4956" s="4" t="s">
        <v>11</v>
      </c>
      <c r="I4956" s="4" t="s">
        <v>7</v>
      </c>
    </row>
    <row r="4957" spans="1:15">
      <c r="A4957" t="n">
        <v>45271</v>
      </c>
      <c r="B4957" s="51" t="n">
        <v>45</v>
      </c>
      <c r="C4957" s="7" t="n">
        <v>4</v>
      </c>
      <c r="D4957" s="7" t="n">
        <v>3</v>
      </c>
      <c r="E4957" s="7" t="n">
        <v>15.4700002670288</v>
      </c>
      <c r="F4957" s="7" t="n">
        <v>48.25</v>
      </c>
      <c r="G4957" s="7" t="n">
        <v>354</v>
      </c>
      <c r="H4957" s="7" t="n">
        <v>0</v>
      </c>
      <c r="I4957" s="7" t="n">
        <v>0</v>
      </c>
    </row>
    <row r="4958" spans="1:15">
      <c r="A4958" t="s">
        <v>4</v>
      </c>
      <c r="B4958" s="4" t="s">
        <v>5</v>
      </c>
      <c r="C4958" s="4" t="s">
        <v>7</v>
      </c>
      <c r="D4958" s="4" t="s">
        <v>7</v>
      </c>
      <c r="E4958" s="4" t="s">
        <v>13</v>
      </c>
      <c r="F4958" s="4" t="s">
        <v>13</v>
      </c>
      <c r="G4958" s="4" t="s">
        <v>13</v>
      </c>
      <c r="H4958" s="4" t="s">
        <v>11</v>
      </c>
      <c r="I4958" s="4" t="s">
        <v>7</v>
      </c>
    </row>
    <row r="4959" spans="1:15">
      <c r="A4959" t="n">
        <v>45289</v>
      </c>
      <c r="B4959" s="51" t="n">
        <v>45</v>
      </c>
      <c r="C4959" s="7" t="n">
        <v>4</v>
      </c>
      <c r="D4959" s="7" t="n">
        <v>3</v>
      </c>
      <c r="E4959" s="7" t="n">
        <v>15.4700002670288</v>
      </c>
      <c r="F4959" s="7" t="n">
        <v>33.1500015258789</v>
      </c>
      <c r="G4959" s="7" t="n">
        <v>354</v>
      </c>
      <c r="H4959" s="7" t="n">
        <v>20000</v>
      </c>
      <c r="I4959" s="7" t="n">
        <v>1</v>
      </c>
    </row>
    <row r="4960" spans="1:15">
      <c r="A4960" t="s">
        <v>4</v>
      </c>
      <c r="B4960" s="4" t="s">
        <v>5</v>
      </c>
      <c r="C4960" s="4" t="s">
        <v>7</v>
      </c>
      <c r="D4960" s="4" t="s">
        <v>7</v>
      </c>
      <c r="E4960" s="4" t="s">
        <v>13</v>
      </c>
      <c r="F4960" s="4" t="s">
        <v>11</v>
      </c>
    </row>
    <row r="4961" spans="1:9">
      <c r="A4961" t="n">
        <v>45307</v>
      </c>
      <c r="B4961" s="51" t="n">
        <v>45</v>
      </c>
      <c r="C4961" s="7" t="n">
        <v>5</v>
      </c>
      <c r="D4961" s="7" t="n">
        <v>3</v>
      </c>
      <c r="E4961" s="7" t="n">
        <v>1</v>
      </c>
      <c r="F4961" s="7" t="n">
        <v>0</v>
      </c>
    </row>
    <row r="4962" spans="1:9">
      <c r="A4962" t="s">
        <v>4</v>
      </c>
      <c r="B4962" s="4" t="s">
        <v>5</v>
      </c>
      <c r="C4962" s="4" t="s">
        <v>7</v>
      </c>
      <c r="D4962" s="4" t="s">
        <v>7</v>
      </c>
      <c r="E4962" s="4" t="s">
        <v>13</v>
      </c>
      <c r="F4962" s="4" t="s">
        <v>11</v>
      </c>
    </row>
    <row r="4963" spans="1:9">
      <c r="A4963" t="n">
        <v>45316</v>
      </c>
      <c r="B4963" s="51" t="n">
        <v>45</v>
      </c>
      <c r="C4963" s="7" t="n">
        <v>11</v>
      </c>
      <c r="D4963" s="7" t="n">
        <v>3</v>
      </c>
      <c r="E4963" s="7" t="n">
        <v>40.2999992370605</v>
      </c>
      <c r="F4963" s="7" t="n">
        <v>0</v>
      </c>
    </row>
    <row r="4964" spans="1:9">
      <c r="A4964" t="s">
        <v>4</v>
      </c>
      <c r="B4964" s="4" t="s">
        <v>5</v>
      </c>
      <c r="C4964" s="4" t="s">
        <v>7</v>
      </c>
      <c r="D4964" s="4" t="s">
        <v>11</v>
      </c>
    </row>
    <row r="4965" spans="1:9">
      <c r="A4965" t="n">
        <v>45325</v>
      </c>
      <c r="B4965" s="23" t="n">
        <v>58</v>
      </c>
      <c r="C4965" s="7" t="n">
        <v>254</v>
      </c>
      <c r="D4965" s="7" t="n">
        <v>0</v>
      </c>
    </row>
    <row r="4966" spans="1:9">
      <c r="A4966" t="s">
        <v>4</v>
      </c>
      <c r="B4966" s="4" t="s">
        <v>5</v>
      </c>
      <c r="C4966" s="4" t="s">
        <v>7</v>
      </c>
      <c r="D4966" s="4" t="s">
        <v>11</v>
      </c>
    </row>
    <row r="4967" spans="1:9">
      <c r="A4967" t="n">
        <v>45329</v>
      </c>
      <c r="B4967" s="23" t="n">
        <v>58</v>
      </c>
      <c r="C4967" s="7" t="n">
        <v>255</v>
      </c>
      <c r="D4967" s="7" t="n">
        <v>0</v>
      </c>
    </row>
    <row r="4968" spans="1:9">
      <c r="A4968" t="s">
        <v>4</v>
      </c>
      <c r="B4968" s="4" t="s">
        <v>5</v>
      </c>
      <c r="C4968" s="4" t="s">
        <v>7</v>
      </c>
      <c r="D4968" s="4" t="s">
        <v>11</v>
      </c>
      <c r="E4968" s="4" t="s">
        <v>8</v>
      </c>
    </row>
    <row r="4969" spans="1:9">
      <c r="A4969" t="n">
        <v>45333</v>
      </c>
      <c r="B4969" s="38" t="n">
        <v>51</v>
      </c>
      <c r="C4969" s="7" t="n">
        <v>4</v>
      </c>
      <c r="D4969" s="7" t="n">
        <v>0</v>
      </c>
      <c r="E4969" s="7" t="s">
        <v>470</v>
      </c>
    </row>
    <row r="4970" spans="1:9">
      <c r="A4970" t="s">
        <v>4</v>
      </c>
      <c r="B4970" s="4" t="s">
        <v>5</v>
      </c>
      <c r="C4970" s="4" t="s">
        <v>11</v>
      </c>
    </row>
    <row r="4971" spans="1:9">
      <c r="A4971" t="n">
        <v>45347</v>
      </c>
      <c r="B4971" s="29" t="n">
        <v>16</v>
      </c>
      <c r="C4971" s="7" t="n">
        <v>0</v>
      </c>
    </row>
    <row r="4972" spans="1:9">
      <c r="A4972" t="s">
        <v>4</v>
      </c>
      <c r="B4972" s="4" t="s">
        <v>5</v>
      </c>
      <c r="C4972" s="4" t="s">
        <v>11</v>
      </c>
      <c r="D4972" s="4" t="s">
        <v>7</v>
      </c>
      <c r="E4972" s="4" t="s">
        <v>15</v>
      </c>
      <c r="F4972" s="4" t="s">
        <v>55</v>
      </c>
      <c r="G4972" s="4" t="s">
        <v>7</v>
      </c>
      <c r="H4972" s="4" t="s">
        <v>7</v>
      </c>
      <c r="I4972" s="4" t="s">
        <v>7</v>
      </c>
      <c r="J4972" s="4" t="s">
        <v>15</v>
      </c>
      <c r="K4972" s="4" t="s">
        <v>55</v>
      </c>
      <c r="L4972" s="4" t="s">
        <v>7</v>
      </c>
      <c r="M4972" s="4" t="s">
        <v>7</v>
      </c>
      <c r="N4972" s="4" t="s">
        <v>7</v>
      </c>
      <c r="O4972" s="4" t="s">
        <v>15</v>
      </c>
      <c r="P4972" s="4" t="s">
        <v>55</v>
      </c>
      <c r="Q4972" s="4" t="s">
        <v>7</v>
      </c>
      <c r="R4972" s="4" t="s">
        <v>7</v>
      </c>
    </row>
    <row r="4973" spans="1:9">
      <c r="A4973" t="n">
        <v>45350</v>
      </c>
      <c r="B4973" s="55" t="n">
        <v>26</v>
      </c>
      <c r="C4973" s="7" t="n">
        <v>0</v>
      </c>
      <c r="D4973" s="7" t="n">
        <v>17</v>
      </c>
      <c r="E4973" s="7" t="n">
        <v>63861</v>
      </c>
      <c r="F4973" s="7" t="s">
        <v>471</v>
      </c>
      <c r="G4973" s="7" t="n">
        <v>2</v>
      </c>
      <c r="H4973" s="7" t="n">
        <v>3</v>
      </c>
      <c r="I4973" s="7" t="n">
        <v>17</v>
      </c>
      <c r="J4973" s="7" t="n">
        <v>63862</v>
      </c>
      <c r="K4973" s="7" t="s">
        <v>472</v>
      </c>
      <c r="L4973" s="7" t="n">
        <v>2</v>
      </c>
      <c r="M4973" s="7" t="n">
        <v>3</v>
      </c>
      <c r="N4973" s="7" t="n">
        <v>17</v>
      </c>
      <c r="O4973" s="7" t="n">
        <v>63863</v>
      </c>
      <c r="P4973" s="7" t="s">
        <v>473</v>
      </c>
      <c r="Q4973" s="7" t="n">
        <v>2</v>
      </c>
      <c r="R4973" s="7" t="n">
        <v>0</v>
      </c>
    </row>
    <row r="4974" spans="1:9">
      <c r="A4974" t="s">
        <v>4</v>
      </c>
      <c r="B4974" s="4" t="s">
        <v>5</v>
      </c>
    </row>
    <row r="4975" spans="1:9">
      <c r="A4975" t="n">
        <v>45638</v>
      </c>
      <c r="B4975" s="27" t="n">
        <v>28</v>
      </c>
    </row>
    <row r="4976" spans="1:9">
      <c r="A4976" t="s">
        <v>4</v>
      </c>
      <c r="B4976" s="4" t="s">
        <v>5</v>
      </c>
      <c r="C4976" s="4" t="s">
        <v>7</v>
      </c>
      <c r="D4976" s="4" t="s">
        <v>11</v>
      </c>
      <c r="E4976" s="4" t="s">
        <v>8</v>
      </c>
      <c r="F4976" s="4" t="s">
        <v>8</v>
      </c>
      <c r="G4976" s="4" t="s">
        <v>8</v>
      </c>
      <c r="H4976" s="4" t="s">
        <v>8</v>
      </c>
    </row>
    <row r="4977" spans="1:18">
      <c r="A4977" t="n">
        <v>45639</v>
      </c>
      <c r="B4977" s="38" t="n">
        <v>51</v>
      </c>
      <c r="C4977" s="7" t="n">
        <v>3</v>
      </c>
      <c r="D4977" s="7" t="n">
        <v>3</v>
      </c>
      <c r="E4977" s="7" t="s">
        <v>319</v>
      </c>
      <c r="F4977" s="7" t="s">
        <v>232</v>
      </c>
      <c r="G4977" s="7" t="s">
        <v>16</v>
      </c>
      <c r="H4977" s="7" t="s">
        <v>68</v>
      </c>
    </row>
    <row r="4978" spans="1:18">
      <c r="A4978" t="s">
        <v>4</v>
      </c>
      <c r="B4978" s="4" t="s">
        <v>5</v>
      </c>
      <c r="C4978" s="4" t="s">
        <v>11</v>
      </c>
      <c r="D4978" s="4" t="s">
        <v>13</v>
      </c>
      <c r="E4978" s="4" t="s">
        <v>13</v>
      </c>
      <c r="F4978" s="4" t="s">
        <v>13</v>
      </c>
      <c r="G4978" s="4" t="s">
        <v>11</v>
      </c>
      <c r="H4978" s="4" t="s">
        <v>11</v>
      </c>
    </row>
    <row r="4979" spans="1:18">
      <c r="A4979" t="n">
        <v>45650</v>
      </c>
      <c r="B4979" s="37" t="n">
        <v>60</v>
      </c>
      <c r="C4979" s="7" t="n">
        <v>3</v>
      </c>
      <c r="D4979" s="7" t="n">
        <v>0</v>
      </c>
      <c r="E4979" s="7" t="n">
        <v>20</v>
      </c>
      <c r="F4979" s="7" t="n">
        <v>0</v>
      </c>
      <c r="G4979" s="7" t="n">
        <v>800</v>
      </c>
      <c r="H4979" s="7" t="n">
        <v>0</v>
      </c>
    </row>
    <row r="4980" spans="1:18">
      <c r="A4980" t="s">
        <v>4</v>
      </c>
      <c r="B4980" s="4" t="s">
        <v>5</v>
      </c>
      <c r="C4980" s="4" t="s">
        <v>11</v>
      </c>
    </row>
    <row r="4981" spans="1:18">
      <c r="A4981" t="n">
        <v>45669</v>
      </c>
      <c r="B4981" s="29" t="n">
        <v>16</v>
      </c>
      <c r="C4981" s="7" t="n">
        <v>600</v>
      </c>
    </row>
    <row r="4982" spans="1:18">
      <c r="A4982" t="s">
        <v>4</v>
      </c>
      <c r="B4982" s="4" t="s">
        <v>5</v>
      </c>
      <c r="C4982" s="4" t="s">
        <v>7</v>
      </c>
      <c r="D4982" s="4" t="s">
        <v>11</v>
      </c>
      <c r="E4982" s="4" t="s">
        <v>8</v>
      </c>
    </row>
    <row r="4983" spans="1:18">
      <c r="A4983" t="n">
        <v>45672</v>
      </c>
      <c r="B4983" s="38" t="n">
        <v>51</v>
      </c>
      <c r="C4983" s="7" t="n">
        <v>4</v>
      </c>
      <c r="D4983" s="7" t="n">
        <v>3</v>
      </c>
      <c r="E4983" s="7" t="s">
        <v>359</v>
      </c>
    </row>
    <row r="4984" spans="1:18">
      <c r="A4984" t="s">
        <v>4</v>
      </c>
      <c r="B4984" s="4" t="s">
        <v>5</v>
      </c>
      <c r="C4984" s="4" t="s">
        <v>11</v>
      </c>
    </row>
    <row r="4985" spans="1:18">
      <c r="A4985" t="n">
        <v>45691</v>
      </c>
      <c r="B4985" s="29" t="n">
        <v>16</v>
      </c>
      <c r="C4985" s="7" t="n">
        <v>0</v>
      </c>
    </row>
    <row r="4986" spans="1:18">
      <c r="A4986" t="s">
        <v>4</v>
      </c>
      <c r="B4986" s="4" t="s">
        <v>5</v>
      </c>
      <c r="C4986" s="4" t="s">
        <v>11</v>
      </c>
      <c r="D4986" s="4" t="s">
        <v>7</v>
      </c>
      <c r="E4986" s="4" t="s">
        <v>15</v>
      </c>
      <c r="F4986" s="4" t="s">
        <v>55</v>
      </c>
      <c r="G4986" s="4" t="s">
        <v>7</v>
      </c>
      <c r="H4986" s="4" t="s">
        <v>7</v>
      </c>
      <c r="I4986" s="4" t="s">
        <v>7</v>
      </c>
      <c r="J4986" s="4" t="s">
        <v>15</v>
      </c>
      <c r="K4986" s="4" t="s">
        <v>55</v>
      </c>
      <c r="L4986" s="4" t="s">
        <v>7</v>
      </c>
      <c r="M4986" s="4" t="s">
        <v>7</v>
      </c>
    </row>
    <row r="4987" spans="1:18">
      <c r="A4987" t="n">
        <v>45694</v>
      </c>
      <c r="B4987" s="55" t="n">
        <v>26</v>
      </c>
      <c r="C4987" s="7" t="n">
        <v>3</v>
      </c>
      <c r="D4987" s="7" t="n">
        <v>17</v>
      </c>
      <c r="E4987" s="7" t="n">
        <v>2826</v>
      </c>
      <c r="F4987" s="7" t="s">
        <v>474</v>
      </c>
      <c r="G4987" s="7" t="n">
        <v>2</v>
      </c>
      <c r="H4987" s="7" t="n">
        <v>3</v>
      </c>
      <c r="I4987" s="7" t="n">
        <v>17</v>
      </c>
      <c r="J4987" s="7" t="n">
        <v>2827</v>
      </c>
      <c r="K4987" s="7" t="s">
        <v>475</v>
      </c>
      <c r="L4987" s="7" t="n">
        <v>2</v>
      </c>
      <c r="M4987" s="7" t="n">
        <v>0</v>
      </c>
    </row>
    <row r="4988" spans="1:18">
      <c r="A4988" t="s">
        <v>4</v>
      </c>
      <c r="B4988" s="4" t="s">
        <v>5</v>
      </c>
    </row>
    <row r="4989" spans="1:18">
      <c r="A4989" t="n">
        <v>45842</v>
      </c>
      <c r="B4989" s="27" t="n">
        <v>28</v>
      </c>
    </row>
    <row r="4990" spans="1:18">
      <c r="A4990" t="s">
        <v>4</v>
      </c>
      <c r="B4990" s="4" t="s">
        <v>5</v>
      </c>
      <c r="C4990" s="4" t="s">
        <v>11</v>
      </c>
    </row>
    <row r="4991" spans="1:18">
      <c r="A4991" t="n">
        <v>45843</v>
      </c>
      <c r="B4991" s="29" t="n">
        <v>16</v>
      </c>
      <c r="C4991" s="7" t="n">
        <v>1000</v>
      </c>
    </row>
    <row r="4992" spans="1:18">
      <c r="A4992" t="s">
        <v>4</v>
      </c>
      <c r="B4992" s="4" t="s">
        <v>5</v>
      </c>
      <c r="C4992" s="4" t="s">
        <v>7</v>
      </c>
      <c r="D4992" s="4" t="s">
        <v>13</v>
      </c>
      <c r="E4992" s="4" t="s">
        <v>11</v>
      </c>
      <c r="F4992" s="4" t="s">
        <v>7</v>
      </c>
    </row>
    <row r="4993" spans="1:13">
      <c r="A4993" t="n">
        <v>45846</v>
      </c>
      <c r="B4993" s="13" t="n">
        <v>49</v>
      </c>
      <c r="C4993" s="7" t="n">
        <v>3</v>
      </c>
      <c r="D4993" s="7" t="n">
        <v>1</v>
      </c>
      <c r="E4993" s="7" t="n">
        <v>1000</v>
      </c>
      <c r="F4993" s="7" t="n">
        <v>0</v>
      </c>
    </row>
    <row r="4994" spans="1:13">
      <c r="A4994" t="s">
        <v>4</v>
      </c>
      <c r="B4994" s="4" t="s">
        <v>5</v>
      </c>
      <c r="C4994" s="4" t="s">
        <v>7</v>
      </c>
      <c r="D4994" s="4" t="s">
        <v>11</v>
      </c>
      <c r="E4994" s="4" t="s">
        <v>13</v>
      </c>
    </row>
    <row r="4995" spans="1:13">
      <c r="A4995" t="n">
        <v>45855</v>
      </c>
      <c r="B4995" s="23" t="n">
        <v>58</v>
      </c>
      <c r="C4995" s="7" t="n">
        <v>101</v>
      </c>
      <c r="D4995" s="7" t="n">
        <v>1000</v>
      </c>
      <c r="E4995" s="7" t="n">
        <v>1</v>
      </c>
    </row>
    <row r="4996" spans="1:13">
      <c r="A4996" t="s">
        <v>4</v>
      </c>
      <c r="B4996" s="4" t="s">
        <v>5</v>
      </c>
      <c r="C4996" s="4" t="s">
        <v>7</v>
      </c>
      <c r="D4996" s="4" t="s">
        <v>11</v>
      </c>
    </row>
    <row r="4997" spans="1:13">
      <c r="A4997" t="n">
        <v>45863</v>
      </c>
      <c r="B4997" s="23" t="n">
        <v>58</v>
      </c>
      <c r="C4997" s="7" t="n">
        <v>254</v>
      </c>
      <c r="D4997" s="7" t="n">
        <v>0</v>
      </c>
    </row>
    <row r="4998" spans="1:13">
      <c r="A4998" t="s">
        <v>4</v>
      </c>
      <c r="B4998" s="4" t="s">
        <v>5</v>
      </c>
      <c r="C4998" s="4" t="s">
        <v>7</v>
      </c>
    </row>
    <row r="4999" spans="1:13">
      <c r="A4999" t="n">
        <v>45867</v>
      </c>
      <c r="B4999" s="49" t="n">
        <v>116</v>
      </c>
      <c r="C4999" s="7" t="n">
        <v>0</v>
      </c>
    </row>
    <row r="5000" spans="1:13">
      <c r="A5000" t="s">
        <v>4</v>
      </c>
      <c r="B5000" s="4" t="s">
        <v>5</v>
      </c>
      <c r="C5000" s="4" t="s">
        <v>7</v>
      </c>
      <c r="D5000" s="4" t="s">
        <v>11</v>
      </c>
    </row>
    <row r="5001" spans="1:13">
      <c r="A5001" t="n">
        <v>45869</v>
      </c>
      <c r="B5001" s="49" t="n">
        <v>116</v>
      </c>
      <c r="C5001" s="7" t="n">
        <v>2</v>
      </c>
      <c r="D5001" s="7" t="n">
        <v>1</v>
      </c>
    </row>
    <row r="5002" spans="1:13">
      <c r="A5002" t="s">
        <v>4</v>
      </c>
      <c r="B5002" s="4" t="s">
        <v>5</v>
      </c>
      <c r="C5002" s="4" t="s">
        <v>7</v>
      </c>
      <c r="D5002" s="4" t="s">
        <v>15</v>
      </c>
    </row>
    <row r="5003" spans="1:13">
      <c r="A5003" t="n">
        <v>45873</v>
      </c>
      <c r="B5003" s="49" t="n">
        <v>116</v>
      </c>
      <c r="C5003" s="7" t="n">
        <v>5</v>
      </c>
      <c r="D5003" s="7" t="n">
        <v>1092616192</v>
      </c>
    </row>
    <row r="5004" spans="1:13">
      <c r="A5004" t="s">
        <v>4</v>
      </c>
      <c r="B5004" s="4" t="s">
        <v>5</v>
      </c>
      <c r="C5004" s="4" t="s">
        <v>7</v>
      </c>
      <c r="D5004" s="4" t="s">
        <v>11</v>
      </c>
    </row>
    <row r="5005" spans="1:13">
      <c r="A5005" t="n">
        <v>45879</v>
      </c>
      <c r="B5005" s="49" t="n">
        <v>116</v>
      </c>
      <c r="C5005" s="7" t="n">
        <v>6</v>
      </c>
      <c r="D5005" s="7" t="n">
        <v>1</v>
      </c>
    </row>
    <row r="5006" spans="1:13">
      <c r="A5006" t="s">
        <v>4</v>
      </c>
      <c r="B5006" s="4" t="s">
        <v>5</v>
      </c>
      <c r="C5006" s="4" t="s">
        <v>7</v>
      </c>
      <c r="D5006" s="4" t="s">
        <v>7</v>
      </c>
      <c r="E5006" s="4" t="s">
        <v>13</v>
      </c>
      <c r="F5006" s="4" t="s">
        <v>13</v>
      </c>
      <c r="G5006" s="4" t="s">
        <v>13</v>
      </c>
      <c r="H5006" s="4" t="s">
        <v>11</v>
      </c>
    </row>
    <row r="5007" spans="1:13">
      <c r="A5007" t="n">
        <v>45883</v>
      </c>
      <c r="B5007" s="51" t="n">
        <v>45</v>
      </c>
      <c r="C5007" s="7" t="n">
        <v>2</v>
      </c>
      <c r="D5007" s="7" t="n">
        <v>3</v>
      </c>
      <c r="E5007" s="7" t="n">
        <v>-6.67000007629395</v>
      </c>
      <c r="F5007" s="7" t="n">
        <v>6.42000007629395</v>
      </c>
      <c r="G5007" s="7" t="n">
        <v>29.8899993896484</v>
      </c>
      <c r="H5007" s="7" t="n">
        <v>0</v>
      </c>
    </row>
    <row r="5008" spans="1:13">
      <c r="A5008" t="s">
        <v>4</v>
      </c>
      <c r="B5008" s="4" t="s">
        <v>5</v>
      </c>
      <c r="C5008" s="4" t="s">
        <v>7</v>
      </c>
      <c r="D5008" s="4" t="s">
        <v>7</v>
      </c>
      <c r="E5008" s="4" t="s">
        <v>13</v>
      </c>
      <c r="F5008" s="4" t="s">
        <v>13</v>
      </c>
      <c r="G5008" s="4" t="s">
        <v>13</v>
      </c>
      <c r="H5008" s="4" t="s">
        <v>11</v>
      </c>
      <c r="I5008" s="4" t="s">
        <v>7</v>
      </c>
    </row>
    <row r="5009" spans="1:9">
      <c r="A5009" t="n">
        <v>45900</v>
      </c>
      <c r="B5009" s="51" t="n">
        <v>45</v>
      </c>
      <c r="C5009" s="7" t="n">
        <v>4</v>
      </c>
      <c r="D5009" s="7" t="n">
        <v>3</v>
      </c>
      <c r="E5009" s="7" t="n">
        <v>15.4700002670288</v>
      </c>
      <c r="F5009" s="7" t="n">
        <v>56.1100006103516</v>
      </c>
      <c r="G5009" s="7" t="n">
        <v>354</v>
      </c>
      <c r="H5009" s="7" t="n">
        <v>0</v>
      </c>
      <c r="I5009" s="7" t="n">
        <v>0</v>
      </c>
    </row>
    <row r="5010" spans="1:9">
      <c r="A5010" t="s">
        <v>4</v>
      </c>
      <c r="B5010" s="4" t="s">
        <v>5</v>
      </c>
      <c r="C5010" s="4" t="s">
        <v>7</v>
      </c>
      <c r="D5010" s="4" t="s">
        <v>7</v>
      </c>
      <c r="E5010" s="4" t="s">
        <v>13</v>
      </c>
      <c r="F5010" s="4" t="s">
        <v>11</v>
      </c>
    </row>
    <row r="5011" spans="1:9">
      <c r="A5011" t="n">
        <v>45918</v>
      </c>
      <c r="B5011" s="51" t="n">
        <v>45</v>
      </c>
      <c r="C5011" s="7" t="n">
        <v>5</v>
      </c>
      <c r="D5011" s="7" t="n">
        <v>3</v>
      </c>
      <c r="E5011" s="7" t="n">
        <v>1.5</v>
      </c>
      <c r="F5011" s="7" t="n">
        <v>0</v>
      </c>
    </row>
    <row r="5012" spans="1:9">
      <c r="A5012" t="s">
        <v>4</v>
      </c>
      <c r="B5012" s="4" t="s">
        <v>5</v>
      </c>
      <c r="C5012" s="4" t="s">
        <v>7</v>
      </c>
      <c r="D5012" s="4" t="s">
        <v>7</v>
      </c>
      <c r="E5012" s="4" t="s">
        <v>13</v>
      </c>
      <c r="F5012" s="4" t="s">
        <v>11</v>
      </c>
    </row>
    <row r="5013" spans="1:9">
      <c r="A5013" t="n">
        <v>45927</v>
      </c>
      <c r="B5013" s="51" t="n">
        <v>45</v>
      </c>
      <c r="C5013" s="7" t="n">
        <v>11</v>
      </c>
      <c r="D5013" s="7" t="n">
        <v>3</v>
      </c>
      <c r="E5013" s="7" t="n">
        <v>40.2999992370605</v>
      </c>
      <c r="F5013" s="7" t="n">
        <v>0</v>
      </c>
    </row>
    <row r="5014" spans="1:9">
      <c r="A5014" t="s">
        <v>4</v>
      </c>
      <c r="B5014" s="4" t="s">
        <v>5</v>
      </c>
      <c r="C5014" s="4" t="s">
        <v>7</v>
      </c>
      <c r="D5014" s="4" t="s">
        <v>7</v>
      </c>
      <c r="E5014" s="4" t="s">
        <v>13</v>
      </c>
      <c r="F5014" s="4" t="s">
        <v>13</v>
      </c>
      <c r="G5014" s="4" t="s">
        <v>13</v>
      </c>
      <c r="H5014" s="4" t="s">
        <v>11</v>
      </c>
    </row>
    <row r="5015" spans="1:9">
      <c r="A5015" t="n">
        <v>45936</v>
      </c>
      <c r="B5015" s="51" t="n">
        <v>45</v>
      </c>
      <c r="C5015" s="7" t="n">
        <v>2</v>
      </c>
      <c r="D5015" s="7" t="n">
        <v>3</v>
      </c>
      <c r="E5015" s="7" t="n">
        <v>-6.34000015258789</v>
      </c>
      <c r="F5015" s="7" t="n">
        <v>6.59000015258789</v>
      </c>
      <c r="G5015" s="7" t="n">
        <v>28.8899993896484</v>
      </c>
      <c r="H5015" s="7" t="n">
        <v>6000</v>
      </c>
    </row>
    <row r="5016" spans="1:9">
      <c r="A5016" t="s">
        <v>4</v>
      </c>
      <c r="B5016" s="4" t="s">
        <v>5</v>
      </c>
      <c r="C5016" s="4" t="s">
        <v>7</v>
      </c>
      <c r="D5016" s="4" t="s">
        <v>7</v>
      </c>
      <c r="E5016" s="4" t="s">
        <v>13</v>
      </c>
      <c r="F5016" s="4" t="s">
        <v>13</v>
      </c>
      <c r="G5016" s="4" t="s">
        <v>13</v>
      </c>
      <c r="H5016" s="4" t="s">
        <v>11</v>
      </c>
      <c r="I5016" s="4" t="s">
        <v>7</v>
      </c>
    </row>
    <row r="5017" spans="1:9">
      <c r="A5017" t="n">
        <v>45953</v>
      </c>
      <c r="B5017" s="51" t="n">
        <v>45</v>
      </c>
      <c r="C5017" s="7" t="n">
        <v>4</v>
      </c>
      <c r="D5017" s="7" t="n">
        <v>3</v>
      </c>
      <c r="E5017" s="7" t="n">
        <v>10.7700004577637</v>
      </c>
      <c r="F5017" s="7" t="n">
        <v>43.6100006103516</v>
      </c>
      <c r="G5017" s="7" t="n">
        <v>360</v>
      </c>
      <c r="H5017" s="7" t="n">
        <v>6000</v>
      </c>
      <c r="I5017" s="7" t="n">
        <v>1</v>
      </c>
    </row>
    <row r="5018" spans="1:9">
      <c r="A5018" t="s">
        <v>4</v>
      </c>
      <c r="B5018" s="4" t="s">
        <v>5</v>
      </c>
      <c r="C5018" s="4" t="s">
        <v>7</v>
      </c>
      <c r="D5018" s="4" t="s">
        <v>11</v>
      </c>
    </row>
    <row r="5019" spans="1:9">
      <c r="A5019" t="n">
        <v>45971</v>
      </c>
      <c r="B5019" s="23" t="n">
        <v>58</v>
      </c>
      <c r="C5019" s="7" t="n">
        <v>255</v>
      </c>
      <c r="D5019" s="7" t="n">
        <v>0</v>
      </c>
    </row>
    <row r="5020" spans="1:9">
      <c r="A5020" t="s">
        <v>4</v>
      </c>
      <c r="B5020" s="4" t="s">
        <v>5</v>
      </c>
      <c r="C5020" s="4" t="s">
        <v>7</v>
      </c>
      <c r="D5020" s="4" t="s">
        <v>11</v>
      </c>
    </row>
    <row r="5021" spans="1:9">
      <c r="A5021" t="n">
        <v>45975</v>
      </c>
      <c r="B5021" s="51" t="n">
        <v>45</v>
      </c>
      <c r="C5021" s="7" t="n">
        <v>7</v>
      </c>
      <c r="D5021" s="7" t="n">
        <v>255</v>
      </c>
    </row>
    <row r="5022" spans="1:9">
      <c r="A5022" t="s">
        <v>4</v>
      </c>
      <c r="B5022" s="4" t="s">
        <v>5</v>
      </c>
      <c r="C5022" s="4" t="s">
        <v>7</v>
      </c>
      <c r="D5022" s="4" t="s">
        <v>11</v>
      </c>
      <c r="E5022" s="4" t="s">
        <v>13</v>
      </c>
    </row>
    <row r="5023" spans="1:9">
      <c r="A5023" t="n">
        <v>45979</v>
      </c>
      <c r="B5023" s="23" t="n">
        <v>58</v>
      </c>
      <c r="C5023" s="7" t="n">
        <v>0</v>
      </c>
      <c r="D5023" s="7" t="n">
        <v>2000</v>
      </c>
      <c r="E5023" s="7" t="n">
        <v>1</v>
      </c>
    </row>
    <row r="5024" spans="1:9">
      <c r="A5024" t="s">
        <v>4</v>
      </c>
      <c r="B5024" s="4" t="s">
        <v>5</v>
      </c>
      <c r="C5024" s="4" t="s">
        <v>7</v>
      </c>
      <c r="D5024" s="4" t="s">
        <v>11</v>
      </c>
    </row>
    <row r="5025" spans="1:9">
      <c r="A5025" t="n">
        <v>45987</v>
      </c>
      <c r="B5025" s="23" t="n">
        <v>58</v>
      </c>
      <c r="C5025" s="7" t="n">
        <v>255</v>
      </c>
      <c r="D5025" s="7" t="n">
        <v>0</v>
      </c>
    </row>
    <row r="5026" spans="1:9">
      <c r="A5026" t="s">
        <v>4</v>
      </c>
      <c r="B5026" s="4" t="s">
        <v>5</v>
      </c>
      <c r="C5026" s="4" t="s">
        <v>7</v>
      </c>
      <c r="D5026" s="4" t="s">
        <v>11</v>
      </c>
      <c r="E5026" s="4" t="s">
        <v>11</v>
      </c>
      <c r="F5026" s="4" t="s">
        <v>15</v>
      </c>
    </row>
    <row r="5027" spans="1:9">
      <c r="A5027" t="n">
        <v>45991</v>
      </c>
      <c r="B5027" s="76" t="n">
        <v>84</v>
      </c>
      <c r="C5027" s="7" t="n">
        <v>1</v>
      </c>
      <c r="D5027" s="7" t="n">
        <v>0</v>
      </c>
      <c r="E5027" s="7" t="n">
        <v>0</v>
      </c>
      <c r="F5027" s="7" t="n">
        <v>0</v>
      </c>
    </row>
    <row r="5028" spans="1:9">
      <c r="A5028" t="s">
        <v>4</v>
      </c>
      <c r="B5028" s="4" t="s">
        <v>5</v>
      </c>
      <c r="C5028" s="4" t="s">
        <v>7</v>
      </c>
    </row>
    <row r="5029" spans="1:9">
      <c r="A5029" t="n">
        <v>46001</v>
      </c>
      <c r="B5029" s="28" t="n">
        <v>78</v>
      </c>
      <c r="C5029" s="7" t="n">
        <v>255</v>
      </c>
    </row>
    <row r="5030" spans="1:9">
      <c r="A5030" t="s">
        <v>4</v>
      </c>
      <c r="B5030" s="4" t="s">
        <v>5</v>
      </c>
      <c r="C5030" s="4" t="s">
        <v>7</v>
      </c>
      <c r="D5030" s="4" t="s">
        <v>11</v>
      </c>
      <c r="E5030" s="4" t="s">
        <v>7</v>
      </c>
    </row>
    <row r="5031" spans="1:9">
      <c r="A5031" t="n">
        <v>46003</v>
      </c>
      <c r="B5031" s="40" t="n">
        <v>36</v>
      </c>
      <c r="C5031" s="7" t="n">
        <v>9</v>
      </c>
      <c r="D5031" s="7" t="n">
        <v>0</v>
      </c>
      <c r="E5031" s="7" t="n">
        <v>0</v>
      </c>
    </row>
    <row r="5032" spans="1:9">
      <c r="A5032" t="s">
        <v>4</v>
      </c>
      <c r="B5032" s="4" t="s">
        <v>5</v>
      </c>
      <c r="C5032" s="4" t="s">
        <v>7</v>
      </c>
      <c r="D5032" s="4" t="s">
        <v>11</v>
      </c>
      <c r="E5032" s="4" t="s">
        <v>7</v>
      </c>
    </row>
    <row r="5033" spans="1:9">
      <c r="A5033" t="n">
        <v>46008</v>
      </c>
      <c r="B5033" s="40" t="n">
        <v>36</v>
      </c>
      <c r="C5033" s="7" t="n">
        <v>9</v>
      </c>
      <c r="D5033" s="7" t="n">
        <v>3</v>
      </c>
      <c r="E5033" s="7" t="n">
        <v>0</v>
      </c>
    </row>
    <row r="5034" spans="1:9">
      <c r="A5034" t="s">
        <v>4</v>
      </c>
      <c r="B5034" s="4" t="s">
        <v>5</v>
      </c>
      <c r="C5034" s="4" t="s">
        <v>11</v>
      </c>
    </row>
    <row r="5035" spans="1:9">
      <c r="A5035" t="n">
        <v>46013</v>
      </c>
      <c r="B5035" s="43" t="n">
        <v>12</v>
      </c>
      <c r="C5035" s="7" t="n">
        <v>10817</v>
      </c>
    </row>
    <row r="5036" spans="1:9">
      <c r="A5036" t="s">
        <v>4</v>
      </c>
      <c r="B5036" s="4" t="s">
        <v>5</v>
      </c>
      <c r="C5036" s="4" t="s">
        <v>11</v>
      </c>
    </row>
    <row r="5037" spans="1:9">
      <c r="A5037" t="n">
        <v>46016</v>
      </c>
      <c r="B5037" s="43" t="n">
        <v>12</v>
      </c>
      <c r="C5037" s="7" t="n">
        <v>6578</v>
      </c>
    </row>
    <row r="5038" spans="1:9">
      <c r="A5038" t="s">
        <v>4</v>
      </c>
      <c r="B5038" s="4" t="s">
        <v>5</v>
      </c>
      <c r="C5038" s="4" t="s">
        <v>7</v>
      </c>
      <c r="D5038" s="4" t="s">
        <v>15</v>
      </c>
    </row>
    <row r="5039" spans="1:9">
      <c r="A5039" t="n">
        <v>46019</v>
      </c>
      <c r="B5039" s="79" t="n">
        <v>137</v>
      </c>
      <c r="C5039" s="7" t="n">
        <v>6</v>
      </c>
      <c r="D5039" s="7" t="n">
        <v>64</v>
      </c>
    </row>
    <row r="5040" spans="1:9">
      <c r="A5040" t="s">
        <v>4</v>
      </c>
      <c r="B5040" s="4" t="s">
        <v>5</v>
      </c>
      <c r="C5040" s="4" t="s">
        <v>11</v>
      </c>
      <c r="D5040" s="4" t="s">
        <v>7</v>
      </c>
      <c r="E5040" s="4" t="s">
        <v>11</v>
      </c>
    </row>
    <row r="5041" spans="1:6">
      <c r="A5041" t="n">
        <v>46025</v>
      </c>
      <c r="B5041" s="58" t="n">
        <v>104</v>
      </c>
      <c r="C5041" s="7" t="n">
        <v>127</v>
      </c>
      <c r="D5041" s="7" t="n">
        <v>1</v>
      </c>
      <c r="E5041" s="7" t="n">
        <v>5</v>
      </c>
    </row>
    <row r="5042" spans="1:6">
      <c r="A5042" t="s">
        <v>4</v>
      </c>
      <c r="B5042" s="4" t="s">
        <v>5</v>
      </c>
    </row>
    <row r="5043" spans="1:6">
      <c r="A5043" t="n">
        <v>46031</v>
      </c>
      <c r="B5043" s="5" t="n">
        <v>1</v>
      </c>
    </row>
    <row r="5044" spans="1:6">
      <c r="A5044" t="s">
        <v>4</v>
      </c>
      <c r="B5044" s="4" t="s">
        <v>5</v>
      </c>
      <c r="C5044" s="4" t="s">
        <v>7</v>
      </c>
      <c r="D5044" s="4" t="s">
        <v>11</v>
      </c>
      <c r="E5044" s="4" t="s">
        <v>11</v>
      </c>
      <c r="F5044" s="4" t="s">
        <v>15</v>
      </c>
      <c r="G5044" s="4" t="s">
        <v>15</v>
      </c>
      <c r="H5044" s="4" t="s">
        <v>15</v>
      </c>
    </row>
    <row r="5045" spans="1:6">
      <c r="A5045" t="n">
        <v>46032</v>
      </c>
      <c r="B5045" s="77" t="n">
        <v>97</v>
      </c>
      <c r="C5045" s="7" t="n">
        <v>7</v>
      </c>
      <c r="D5045" s="7" t="n">
        <v>0</v>
      </c>
      <c r="E5045" s="7" t="n">
        <v>0</v>
      </c>
      <c r="F5045" s="7" t="n">
        <v>0</v>
      </c>
      <c r="G5045" s="7" t="n">
        <v>0</v>
      </c>
      <c r="H5045" s="7" t="n">
        <v>0</v>
      </c>
    </row>
    <row r="5046" spans="1:6">
      <c r="A5046" t="s">
        <v>4</v>
      </c>
      <c r="B5046" s="4" t="s">
        <v>5</v>
      </c>
      <c r="C5046" s="4" t="s">
        <v>11</v>
      </c>
      <c r="D5046" s="4" t="s">
        <v>13</v>
      </c>
      <c r="E5046" s="4" t="s">
        <v>13</v>
      </c>
      <c r="F5046" s="4" t="s">
        <v>13</v>
      </c>
      <c r="G5046" s="4" t="s">
        <v>13</v>
      </c>
    </row>
    <row r="5047" spans="1:6">
      <c r="A5047" t="n">
        <v>46050</v>
      </c>
      <c r="B5047" s="36" t="n">
        <v>46</v>
      </c>
      <c r="C5047" s="7" t="n">
        <v>61456</v>
      </c>
      <c r="D5047" s="7" t="n">
        <v>0</v>
      </c>
      <c r="E5047" s="7" t="n">
        <v>0</v>
      </c>
      <c r="F5047" s="7" t="n">
        <v>0</v>
      </c>
      <c r="G5047" s="7" t="n">
        <v>0</v>
      </c>
    </row>
    <row r="5048" spans="1:6">
      <c r="A5048" t="s">
        <v>4</v>
      </c>
      <c r="B5048" s="4" t="s">
        <v>5</v>
      </c>
      <c r="C5048" s="4" t="s">
        <v>7</v>
      </c>
      <c r="D5048" s="4" t="s">
        <v>11</v>
      </c>
    </row>
    <row r="5049" spans="1:6">
      <c r="A5049" t="n">
        <v>46069</v>
      </c>
      <c r="B5049" s="8" t="n">
        <v>162</v>
      </c>
      <c r="C5049" s="7" t="n">
        <v>1</v>
      </c>
      <c r="D5049" s="7" t="n">
        <v>0</v>
      </c>
    </row>
    <row r="5050" spans="1:6">
      <c r="A5050" t="s">
        <v>4</v>
      </c>
      <c r="B5050" s="4" t="s">
        <v>5</v>
      </c>
    </row>
    <row r="5051" spans="1:6">
      <c r="A5051" t="n">
        <v>46073</v>
      </c>
      <c r="B5051" s="5" t="n">
        <v>1</v>
      </c>
    </row>
    <row r="5052" spans="1:6" s="3" customFormat="1" customHeight="0">
      <c r="A5052" s="3" t="s">
        <v>2</v>
      </c>
      <c r="B5052" s="3" t="s">
        <v>476</v>
      </c>
    </row>
    <row r="5053" spans="1:6">
      <c r="A5053" t="s">
        <v>4</v>
      </c>
      <c r="B5053" s="4" t="s">
        <v>5</v>
      </c>
      <c r="C5053" s="4" t="s">
        <v>7</v>
      </c>
      <c r="D5053" s="4" t="s">
        <v>7</v>
      </c>
      <c r="E5053" s="4" t="s">
        <v>7</v>
      </c>
      <c r="F5053" s="4" t="s">
        <v>7</v>
      </c>
    </row>
    <row r="5054" spans="1:6">
      <c r="A5054" t="n">
        <v>46076</v>
      </c>
      <c r="B5054" s="9" t="n">
        <v>14</v>
      </c>
      <c r="C5054" s="7" t="n">
        <v>2</v>
      </c>
      <c r="D5054" s="7" t="n">
        <v>0</v>
      </c>
      <c r="E5054" s="7" t="n">
        <v>0</v>
      </c>
      <c r="F5054" s="7" t="n">
        <v>0</v>
      </c>
    </row>
    <row r="5055" spans="1:6">
      <c r="A5055" t="s">
        <v>4</v>
      </c>
      <c r="B5055" s="4" t="s">
        <v>5</v>
      </c>
      <c r="C5055" s="4" t="s">
        <v>7</v>
      </c>
      <c r="D5055" s="20" t="s">
        <v>35</v>
      </c>
      <c r="E5055" s="4" t="s">
        <v>5</v>
      </c>
      <c r="F5055" s="4" t="s">
        <v>7</v>
      </c>
      <c r="G5055" s="4" t="s">
        <v>11</v>
      </c>
      <c r="H5055" s="20" t="s">
        <v>36</v>
      </c>
      <c r="I5055" s="4" t="s">
        <v>7</v>
      </c>
      <c r="J5055" s="4" t="s">
        <v>15</v>
      </c>
      <c r="K5055" s="4" t="s">
        <v>7</v>
      </c>
      <c r="L5055" s="4" t="s">
        <v>7</v>
      </c>
      <c r="M5055" s="20" t="s">
        <v>35</v>
      </c>
      <c r="N5055" s="4" t="s">
        <v>5</v>
      </c>
      <c r="O5055" s="4" t="s">
        <v>7</v>
      </c>
      <c r="P5055" s="4" t="s">
        <v>11</v>
      </c>
      <c r="Q5055" s="20" t="s">
        <v>36</v>
      </c>
      <c r="R5055" s="4" t="s">
        <v>7</v>
      </c>
      <c r="S5055" s="4" t="s">
        <v>15</v>
      </c>
      <c r="T5055" s="4" t="s">
        <v>7</v>
      </c>
      <c r="U5055" s="4" t="s">
        <v>7</v>
      </c>
      <c r="V5055" s="4" t="s">
        <v>7</v>
      </c>
      <c r="W5055" s="4" t="s">
        <v>12</v>
      </c>
    </row>
    <row r="5056" spans="1:6">
      <c r="A5056" t="n">
        <v>46081</v>
      </c>
      <c r="B5056" s="10" t="n">
        <v>5</v>
      </c>
      <c r="C5056" s="7" t="n">
        <v>28</v>
      </c>
      <c r="D5056" s="20" t="s">
        <v>3</v>
      </c>
      <c r="E5056" s="8" t="n">
        <v>162</v>
      </c>
      <c r="F5056" s="7" t="n">
        <v>3</v>
      </c>
      <c r="G5056" s="7" t="n">
        <v>32881</v>
      </c>
      <c r="H5056" s="20" t="s">
        <v>3</v>
      </c>
      <c r="I5056" s="7" t="n">
        <v>0</v>
      </c>
      <c r="J5056" s="7" t="n">
        <v>1</v>
      </c>
      <c r="K5056" s="7" t="n">
        <v>2</v>
      </c>
      <c r="L5056" s="7" t="n">
        <v>28</v>
      </c>
      <c r="M5056" s="20" t="s">
        <v>3</v>
      </c>
      <c r="N5056" s="8" t="n">
        <v>162</v>
      </c>
      <c r="O5056" s="7" t="n">
        <v>3</v>
      </c>
      <c r="P5056" s="7" t="n">
        <v>32881</v>
      </c>
      <c r="Q5056" s="20" t="s">
        <v>3</v>
      </c>
      <c r="R5056" s="7" t="n">
        <v>0</v>
      </c>
      <c r="S5056" s="7" t="n">
        <v>2</v>
      </c>
      <c r="T5056" s="7" t="n">
        <v>2</v>
      </c>
      <c r="U5056" s="7" t="n">
        <v>11</v>
      </c>
      <c r="V5056" s="7" t="n">
        <v>1</v>
      </c>
      <c r="W5056" s="11" t="n">
        <f t="normal" ca="1">A5060</f>
        <v>0</v>
      </c>
    </row>
    <row r="5057" spans="1:23">
      <c r="A5057" t="s">
        <v>4</v>
      </c>
      <c r="B5057" s="4" t="s">
        <v>5</v>
      </c>
      <c r="C5057" s="4" t="s">
        <v>7</v>
      </c>
      <c r="D5057" s="4" t="s">
        <v>11</v>
      </c>
      <c r="E5057" s="4" t="s">
        <v>13</v>
      </c>
    </row>
    <row r="5058" spans="1:23">
      <c r="A5058" t="n">
        <v>46110</v>
      </c>
      <c r="B5058" s="23" t="n">
        <v>58</v>
      </c>
      <c r="C5058" s="7" t="n">
        <v>0</v>
      </c>
      <c r="D5058" s="7" t="n">
        <v>0</v>
      </c>
      <c r="E5058" s="7" t="n">
        <v>1</v>
      </c>
    </row>
    <row r="5059" spans="1:23">
      <c r="A5059" t="s">
        <v>4</v>
      </c>
      <c r="B5059" s="4" t="s">
        <v>5</v>
      </c>
      <c r="C5059" s="4" t="s">
        <v>7</v>
      </c>
      <c r="D5059" s="20" t="s">
        <v>35</v>
      </c>
      <c r="E5059" s="4" t="s">
        <v>5</v>
      </c>
      <c r="F5059" s="4" t="s">
        <v>7</v>
      </c>
      <c r="G5059" s="4" t="s">
        <v>11</v>
      </c>
      <c r="H5059" s="20" t="s">
        <v>36</v>
      </c>
      <c r="I5059" s="4" t="s">
        <v>7</v>
      </c>
      <c r="J5059" s="4" t="s">
        <v>15</v>
      </c>
      <c r="K5059" s="4" t="s">
        <v>7</v>
      </c>
      <c r="L5059" s="4" t="s">
        <v>7</v>
      </c>
      <c r="M5059" s="20" t="s">
        <v>35</v>
      </c>
      <c r="N5059" s="4" t="s">
        <v>5</v>
      </c>
      <c r="O5059" s="4" t="s">
        <v>7</v>
      </c>
      <c r="P5059" s="4" t="s">
        <v>11</v>
      </c>
      <c r="Q5059" s="20" t="s">
        <v>36</v>
      </c>
      <c r="R5059" s="4" t="s">
        <v>7</v>
      </c>
      <c r="S5059" s="4" t="s">
        <v>15</v>
      </c>
      <c r="T5059" s="4" t="s">
        <v>7</v>
      </c>
      <c r="U5059" s="4" t="s">
        <v>7</v>
      </c>
      <c r="V5059" s="4" t="s">
        <v>7</v>
      </c>
      <c r="W5059" s="4" t="s">
        <v>12</v>
      </c>
    </row>
    <row r="5060" spans="1:23">
      <c r="A5060" t="n">
        <v>46118</v>
      </c>
      <c r="B5060" s="10" t="n">
        <v>5</v>
      </c>
      <c r="C5060" s="7" t="n">
        <v>28</v>
      </c>
      <c r="D5060" s="20" t="s">
        <v>3</v>
      </c>
      <c r="E5060" s="8" t="n">
        <v>162</v>
      </c>
      <c r="F5060" s="7" t="n">
        <v>3</v>
      </c>
      <c r="G5060" s="7" t="n">
        <v>32881</v>
      </c>
      <c r="H5060" s="20" t="s">
        <v>3</v>
      </c>
      <c r="I5060" s="7" t="n">
        <v>0</v>
      </c>
      <c r="J5060" s="7" t="n">
        <v>1</v>
      </c>
      <c r="K5060" s="7" t="n">
        <v>3</v>
      </c>
      <c r="L5060" s="7" t="n">
        <v>28</v>
      </c>
      <c r="M5060" s="20" t="s">
        <v>3</v>
      </c>
      <c r="N5060" s="8" t="n">
        <v>162</v>
      </c>
      <c r="O5060" s="7" t="n">
        <v>3</v>
      </c>
      <c r="P5060" s="7" t="n">
        <v>32881</v>
      </c>
      <c r="Q5060" s="20" t="s">
        <v>3</v>
      </c>
      <c r="R5060" s="7" t="n">
        <v>0</v>
      </c>
      <c r="S5060" s="7" t="n">
        <v>2</v>
      </c>
      <c r="T5060" s="7" t="n">
        <v>3</v>
      </c>
      <c r="U5060" s="7" t="n">
        <v>9</v>
      </c>
      <c r="V5060" s="7" t="n">
        <v>1</v>
      </c>
      <c r="W5060" s="11" t="n">
        <f t="normal" ca="1">A5070</f>
        <v>0</v>
      </c>
    </row>
    <row r="5061" spans="1:23">
      <c r="A5061" t="s">
        <v>4</v>
      </c>
      <c r="B5061" s="4" t="s">
        <v>5</v>
      </c>
      <c r="C5061" s="4" t="s">
        <v>7</v>
      </c>
      <c r="D5061" s="20" t="s">
        <v>35</v>
      </c>
      <c r="E5061" s="4" t="s">
        <v>5</v>
      </c>
      <c r="F5061" s="4" t="s">
        <v>11</v>
      </c>
      <c r="G5061" s="4" t="s">
        <v>7</v>
      </c>
      <c r="H5061" s="4" t="s">
        <v>7</v>
      </c>
      <c r="I5061" s="4" t="s">
        <v>8</v>
      </c>
      <c r="J5061" s="20" t="s">
        <v>36</v>
      </c>
      <c r="K5061" s="4" t="s">
        <v>7</v>
      </c>
      <c r="L5061" s="4" t="s">
        <v>7</v>
      </c>
      <c r="M5061" s="20" t="s">
        <v>35</v>
      </c>
      <c r="N5061" s="4" t="s">
        <v>5</v>
      </c>
      <c r="O5061" s="4" t="s">
        <v>7</v>
      </c>
      <c r="P5061" s="20" t="s">
        <v>36</v>
      </c>
      <c r="Q5061" s="4" t="s">
        <v>7</v>
      </c>
      <c r="R5061" s="4" t="s">
        <v>15</v>
      </c>
      <c r="S5061" s="4" t="s">
        <v>7</v>
      </c>
      <c r="T5061" s="4" t="s">
        <v>7</v>
      </c>
      <c r="U5061" s="4" t="s">
        <v>7</v>
      </c>
      <c r="V5061" s="20" t="s">
        <v>35</v>
      </c>
      <c r="W5061" s="4" t="s">
        <v>5</v>
      </c>
      <c r="X5061" s="4" t="s">
        <v>7</v>
      </c>
      <c r="Y5061" s="20" t="s">
        <v>36</v>
      </c>
      <c r="Z5061" s="4" t="s">
        <v>7</v>
      </c>
      <c r="AA5061" s="4" t="s">
        <v>15</v>
      </c>
      <c r="AB5061" s="4" t="s">
        <v>7</v>
      </c>
      <c r="AC5061" s="4" t="s">
        <v>7</v>
      </c>
      <c r="AD5061" s="4" t="s">
        <v>7</v>
      </c>
      <c r="AE5061" s="4" t="s">
        <v>12</v>
      </c>
    </row>
    <row r="5062" spans="1:23">
      <c r="A5062" t="n">
        <v>46147</v>
      </c>
      <c r="B5062" s="10" t="n">
        <v>5</v>
      </c>
      <c r="C5062" s="7" t="n">
        <v>28</v>
      </c>
      <c r="D5062" s="20" t="s">
        <v>3</v>
      </c>
      <c r="E5062" s="41" t="n">
        <v>47</v>
      </c>
      <c r="F5062" s="7" t="n">
        <v>61456</v>
      </c>
      <c r="G5062" s="7" t="n">
        <v>2</v>
      </c>
      <c r="H5062" s="7" t="n">
        <v>0</v>
      </c>
      <c r="I5062" s="7" t="s">
        <v>105</v>
      </c>
      <c r="J5062" s="20" t="s">
        <v>3</v>
      </c>
      <c r="K5062" s="7" t="n">
        <v>8</v>
      </c>
      <c r="L5062" s="7" t="n">
        <v>28</v>
      </c>
      <c r="M5062" s="20" t="s">
        <v>3</v>
      </c>
      <c r="N5062" s="45" t="n">
        <v>74</v>
      </c>
      <c r="O5062" s="7" t="n">
        <v>65</v>
      </c>
      <c r="P5062" s="20" t="s">
        <v>3</v>
      </c>
      <c r="Q5062" s="7" t="n">
        <v>0</v>
      </c>
      <c r="R5062" s="7" t="n">
        <v>1</v>
      </c>
      <c r="S5062" s="7" t="n">
        <v>3</v>
      </c>
      <c r="T5062" s="7" t="n">
        <v>9</v>
      </c>
      <c r="U5062" s="7" t="n">
        <v>28</v>
      </c>
      <c r="V5062" s="20" t="s">
        <v>3</v>
      </c>
      <c r="W5062" s="45" t="n">
        <v>74</v>
      </c>
      <c r="X5062" s="7" t="n">
        <v>65</v>
      </c>
      <c r="Y5062" s="20" t="s">
        <v>3</v>
      </c>
      <c r="Z5062" s="7" t="n">
        <v>0</v>
      </c>
      <c r="AA5062" s="7" t="n">
        <v>2</v>
      </c>
      <c r="AB5062" s="7" t="n">
        <v>3</v>
      </c>
      <c r="AC5062" s="7" t="n">
        <v>9</v>
      </c>
      <c r="AD5062" s="7" t="n">
        <v>1</v>
      </c>
      <c r="AE5062" s="11" t="n">
        <f t="normal" ca="1">A5066</f>
        <v>0</v>
      </c>
    </row>
    <row r="5063" spans="1:23">
      <c r="A5063" t="s">
        <v>4</v>
      </c>
      <c r="B5063" s="4" t="s">
        <v>5</v>
      </c>
      <c r="C5063" s="4" t="s">
        <v>11</v>
      </c>
      <c r="D5063" s="4" t="s">
        <v>7</v>
      </c>
      <c r="E5063" s="4" t="s">
        <v>7</v>
      </c>
      <c r="F5063" s="4" t="s">
        <v>8</v>
      </c>
    </row>
    <row r="5064" spans="1:23">
      <c r="A5064" t="n">
        <v>46195</v>
      </c>
      <c r="B5064" s="41" t="n">
        <v>47</v>
      </c>
      <c r="C5064" s="7" t="n">
        <v>61456</v>
      </c>
      <c r="D5064" s="7" t="n">
        <v>0</v>
      </c>
      <c r="E5064" s="7" t="n">
        <v>0</v>
      </c>
      <c r="F5064" s="7" t="s">
        <v>106</v>
      </c>
    </row>
    <row r="5065" spans="1:23">
      <c r="A5065" t="s">
        <v>4</v>
      </c>
      <c r="B5065" s="4" t="s">
        <v>5</v>
      </c>
      <c r="C5065" s="4" t="s">
        <v>7</v>
      </c>
      <c r="D5065" s="4" t="s">
        <v>11</v>
      </c>
      <c r="E5065" s="4" t="s">
        <v>13</v>
      </c>
    </row>
    <row r="5066" spans="1:23">
      <c r="A5066" t="n">
        <v>46208</v>
      </c>
      <c r="B5066" s="23" t="n">
        <v>58</v>
      </c>
      <c r="C5066" s="7" t="n">
        <v>0</v>
      </c>
      <c r="D5066" s="7" t="n">
        <v>300</v>
      </c>
      <c r="E5066" s="7" t="n">
        <v>1</v>
      </c>
    </row>
    <row r="5067" spans="1:23">
      <c r="A5067" t="s">
        <v>4</v>
      </c>
      <c r="B5067" s="4" t="s">
        <v>5</v>
      </c>
      <c r="C5067" s="4" t="s">
        <v>7</v>
      </c>
      <c r="D5067" s="4" t="s">
        <v>11</v>
      </c>
    </row>
    <row r="5068" spans="1:23">
      <c r="A5068" t="n">
        <v>46216</v>
      </c>
      <c r="B5068" s="23" t="n">
        <v>58</v>
      </c>
      <c r="C5068" s="7" t="n">
        <v>255</v>
      </c>
      <c r="D5068" s="7" t="n">
        <v>0</v>
      </c>
    </row>
    <row r="5069" spans="1:23">
      <c r="A5069" t="s">
        <v>4</v>
      </c>
      <c r="B5069" s="4" t="s">
        <v>5</v>
      </c>
      <c r="C5069" s="4" t="s">
        <v>7</v>
      </c>
      <c r="D5069" s="4" t="s">
        <v>7</v>
      </c>
      <c r="E5069" s="4" t="s">
        <v>7</v>
      </c>
      <c r="F5069" s="4" t="s">
        <v>7</v>
      </c>
    </row>
    <row r="5070" spans="1:23">
      <c r="A5070" t="n">
        <v>46220</v>
      </c>
      <c r="B5070" s="9" t="n">
        <v>14</v>
      </c>
      <c r="C5070" s="7" t="n">
        <v>0</v>
      </c>
      <c r="D5070" s="7" t="n">
        <v>0</v>
      </c>
      <c r="E5070" s="7" t="n">
        <v>0</v>
      </c>
      <c r="F5070" s="7" t="n">
        <v>64</v>
      </c>
    </row>
    <row r="5071" spans="1:23">
      <c r="A5071" t="s">
        <v>4</v>
      </c>
      <c r="B5071" s="4" t="s">
        <v>5</v>
      </c>
      <c r="C5071" s="4" t="s">
        <v>7</v>
      </c>
      <c r="D5071" s="4" t="s">
        <v>11</v>
      </c>
    </row>
    <row r="5072" spans="1:23">
      <c r="A5072" t="n">
        <v>46225</v>
      </c>
      <c r="B5072" s="22" t="n">
        <v>22</v>
      </c>
      <c r="C5072" s="7" t="n">
        <v>0</v>
      </c>
      <c r="D5072" s="7" t="n">
        <v>32881</v>
      </c>
    </row>
    <row r="5073" spans="1:31">
      <c r="A5073" t="s">
        <v>4</v>
      </c>
      <c r="B5073" s="4" t="s">
        <v>5</v>
      </c>
      <c r="C5073" s="4" t="s">
        <v>7</v>
      </c>
      <c r="D5073" s="4" t="s">
        <v>11</v>
      </c>
    </row>
    <row r="5074" spans="1:31">
      <c r="A5074" t="n">
        <v>46229</v>
      </c>
      <c r="B5074" s="23" t="n">
        <v>58</v>
      </c>
      <c r="C5074" s="7" t="n">
        <v>5</v>
      </c>
      <c r="D5074" s="7" t="n">
        <v>300</v>
      </c>
    </row>
    <row r="5075" spans="1:31">
      <c r="A5075" t="s">
        <v>4</v>
      </c>
      <c r="B5075" s="4" t="s">
        <v>5</v>
      </c>
      <c r="C5075" s="4" t="s">
        <v>13</v>
      </c>
      <c r="D5075" s="4" t="s">
        <v>11</v>
      </c>
    </row>
    <row r="5076" spans="1:31">
      <c r="A5076" t="n">
        <v>46233</v>
      </c>
      <c r="B5076" s="46" t="n">
        <v>103</v>
      </c>
      <c r="C5076" s="7" t="n">
        <v>0</v>
      </c>
      <c r="D5076" s="7" t="n">
        <v>300</v>
      </c>
    </row>
    <row r="5077" spans="1:31">
      <c r="A5077" t="s">
        <v>4</v>
      </c>
      <c r="B5077" s="4" t="s">
        <v>5</v>
      </c>
      <c r="C5077" s="4" t="s">
        <v>7</v>
      </c>
    </row>
    <row r="5078" spans="1:31">
      <c r="A5078" t="n">
        <v>46240</v>
      </c>
      <c r="B5078" s="47" t="n">
        <v>64</v>
      </c>
      <c r="C5078" s="7" t="n">
        <v>7</v>
      </c>
    </row>
    <row r="5079" spans="1:31">
      <c r="A5079" t="s">
        <v>4</v>
      </c>
      <c r="B5079" s="4" t="s">
        <v>5</v>
      </c>
      <c r="C5079" s="4" t="s">
        <v>7</v>
      </c>
      <c r="D5079" s="4" t="s">
        <v>11</v>
      </c>
    </row>
    <row r="5080" spans="1:31">
      <c r="A5080" t="n">
        <v>46242</v>
      </c>
      <c r="B5080" s="48" t="n">
        <v>72</v>
      </c>
      <c r="C5080" s="7" t="n">
        <v>5</v>
      </c>
      <c r="D5080" s="7" t="n">
        <v>0</v>
      </c>
    </row>
    <row r="5081" spans="1:31">
      <c r="A5081" t="s">
        <v>4</v>
      </c>
      <c r="B5081" s="4" t="s">
        <v>5</v>
      </c>
      <c r="C5081" s="4" t="s">
        <v>7</v>
      </c>
      <c r="D5081" s="20" t="s">
        <v>35</v>
      </c>
      <c r="E5081" s="4" t="s">
        <v>5</v>
      </c>
      <c r="F5081" s="4" t="s">
        <v>7</v>
      </c>
      <c r="G5081" s="4" t="s">
        <v>11</v>
      </c>
      <c r="H5081" s="20" t="s">
        <v>36</v>
      </c>
      <c r="I5081" s="4" t="s">
        <v>7</v>
      </c>
      <c r="J5081" s="4" t="s">
        <v>15</v>
      </c>
      <c r="K5081" s="4" t="s">
        <v>7</v>
      </c>
      <c r="L5081" s="4" t="s">
        <v>7</v>
      </c>
      <c r="M5081" s="4" t="s">
        <v>12</v>
      </c>
    </row>
    <row r="5082" spans="1:31">
      <c r="A5082" t="n">
        <v>46246</v>
      </c>
      <c r="B5082" s="10" t="n">
        <v>5</v>
      </c>
      <c r="C5082" s="7" t="n">
        <v>28</v>
      </c>
      <c r="D5082" s="20" t="s">
        <v>3</v>
      </c>
      <c r="E5082" s="8" t="n">
        <v>162</v>
      </c>
      <c r="F5082" s="7" t="n">
        <v>4</v>
      </c>
      <c r="G5082" s="7" t="n">
        <v>32881</v>
      </c>
      <c r="H5082" s="20" t="s">
        <v>3</v>
      </c>
      <c r="I5082" s="7" t="n">
        <v>0</v>
      </c>
      <c r="J5082" s="7" t="n">
        <v>1</v>
      </c>
      <c r="K5082" s="7" t="n">
        <v>2</v>
      </c>
      <c r="L5082" s="7" t="n">
        <v>1</v>
      </c>
      <c r="M5082" s="11" t="n">
        <f t="normal" ca="1">A5088</f>
        <v>0</v>
      </c>
    </row>
    <row r="5083" spans="1:31">
      <c r="A5083" t="s">
        <v>4</v>
      </c>
      <c r="B5083" s="4" t="s">
        <v>5</v>
      </c>
      <c r="C5083" s="4" t="s">
        <v>7</v>
      </c>
      <c r="D5083" s="4" t="s">
        <v>8</v>
      </c>
    </row>
    <row r="5084" spans="1:31">
      <c r="A5084" t="n">
        <v>46263</v>
      </c>
      <c r="B5084" s="6" t="n">
        <v>2</v>
      </c>
      <c r="C5084" s="7" t="n">
        <v>10</v>
      </c>
      <c r="D5084" s="7" t="s">
        <v>107</v>
      </c>
    </row>
    <row r="5085" spans="1:31">
      <c r="A5085" t="s">
        <v>4</v>
      </c>
      <c r="B5085" s="4" t="s">
        <v>5</v>
      </c>
      <c r="C5085" s="4" t="s">
        <v>11</v>
      </c>
    </row>
    <row r="5086" spans="1:31">
      <c r="A5086" t="n">
        <v>46280</v>
      </c>
      <c r="B5086" s="29" t="n">
        <v>16</v>
      </c>
      <c r="C5086" s="7" t="n">
        <v>0</v>
      </c>
    </row>
    <row r="5087" spans="1:31">
      <c r="A5087" t="s">
        <v>4</v>
      </c>
      <c r="B5087" s="4" t="s">
        <v>5</v>
      </c>
      <c r="C5087" s="4" t="s">
        <v>7</v>
      </c>
      <c r="D5087" s="4" t="s">
        <v>11</v>
      </c>
      <c r="E5087" s="4" t="s">
        <v>11</v>
      </c>
      <c r="F5087" s="4" t="s">
        <v>11</v>
      </c>
      <c r="G5087" s="4" t="s">
        <v>11</v>
      </c>
      <c r="H5087" s="4" t="s">
        <v>11</v>
      </c>
      <c r="I5087" s="4" t="s">
        <v>11</v>
      </c>
      <c r="J5087" s="4" t="s">
        <v>11</v>
      </c>
      <c r="K5087" s="4" t="s">
        <v>11</v>
      </c>
      <c r="L5087" s="4" t="s">
        <v>11</v>
      </c>
      <c r="M5087" s="4" t="s">
        <v>11</v>
      </c>
      <c r="N5087" s="4" t="s">
        <v>15</v>
      </c>
      <c r="O5087" s="4" t="s">
        <v>15</v>
      </c>
      <c r="P5087" s="4" t="s">
        <v>15</v>
      </c>
      <c r="Q5087" s="4" t="s">
        <v>15</v>
      </c>
      <c r="R5087" s="4" t="s">
        <v>7</v>
      </c>
      <c r="S5087" s="4" t="s">
        <v>8</v>
      </c>
    </row>
    <row r="5088" spans="1:31">
      <c r="A5088" t="n">
        <v>46283</v>
      </c>
      <c r="B5088" s="24" t="n">
        <v>75</v>
      </c>
      <c r="C5088" s="7" t="n">
        <v>0</v>
      </c>
      <c r="D5088" s="7" t="n">
        <v>484</v>
      </c>
      <c r="E5088" s="7" t="n">
        <v>328</v>
      </c>
      <c r="F5088" s="7" t="n">
        <v>996</v>
      </c>
      <c r="G5088" s="7" t="n">
        <v>392</v>
      </c>
      <c r="H5088" s="7" t="n">
        <v>0</v>
      </c>
      <c r="I5088" s="7" t="n">
        <v>0</v>
      </c>
      <c r="J5088" s="7" t="n">
        <v>0</v>
      </c>
      <c r="K5088" s="7" t="n">
        <v>448</v>
      </c>
      <c r="L5088" s="7" t="n">
        <v>512</v>
      </c>
      <c r="M5088" s="7" t="n">
        <v>512</v>
      </c>
      <c r="N5088" s="7" t="n">
        <v>1065353216</v>
      </c>
      <c r="O5088" s="7" t="n">
        <v>1065353216</v>
      </c>
      <c r="P5088" s="7" t="n">
        <v>1065353216</v>
      </c>
      <c r="Q5088" s="7" t="n">
        <v>0</v>
      </c>
      <c r="R5088" s="7" t="n">
        <v>0</v>
      </c>
      <c r="S5088" s="7" t="s">
        <v>271</v>
      </c>
    </row>
    <row r="5089" spans="1:19">
      <c r="A5089" t="s">
        <v>4</v>
      </c>
      <c r="B5089" s="4" t="s">
        <v>5</v>
      </c>
      <c r="C5089" s="4" t="s">
        <v>11</v>
      </c>
      <c r="D5089" s="4" t="s">
        <v>8</v>
      </c>
      <c r="E5089" s="4" t="s">
        <v>8</v>
      </c>
      <c r="F5089" s="4" t="s">
        <v>8</v>
      </c>
      <c r="G5089" s="4" t="s">
        <v>7</v>
      </c>
      <c r="H5089" s="4" t="s">
        <v>15</v>
      </c>
      <c r="I5089" s="4" t="s">
        <v>13</v>
      </c>
      <c r="J5089" s="4" t="s">
        <v>13</v>
      </c>
      <c r="K5089" s="4" t="s">
        <v>13</v>
      </c>
      <c r="L5089" s="4" t="s">
        <v>13</v>
      </c>
      <c r="M5089" s="4" t="s">
        <v>13</v>
      </c>
      <c r="N5089" s="4" t="s">
        <v>13</v>
      </c>
      <c r="O5089" s="4" t="s">
        <v>13</v>
      </c>
      <c r="P5089" s="4" t="s">
        <v>8</v>
      </c>
      <c r="Q5089" s="4" t="s">
        <v>8</v>
      </c>
      <c r="R5089" s="4" t="s">
        <v>15</v>
      </c>
      <c r="S5089" s="4" t="s">
        <v>7</v>
      </c>
      <c r="T5089" s="4" t="s">
        <v>15</v>
      </c>
      <c r="U5089" s="4" t="s">
        <v>15</v>
      </c>
      <c r="V5089" s="4" t="s">
        <v>11</v>
      </c>
    </row>
    <row r="5090" spans="1:19">
      <c r="A5090" t="n">
        <v>46332</v>
      </c>
      <c r="B5090" s="62" t="n">
        <v>19</v>
      </c>
      <c r="C5090" s="7" t="n">
        <v>5</v>
      </c>
      <c r="D5090" s="7" t="s">
        <v>477</v>
      </c>
      <c r="E5090" s="7" t="s">
        <v>478</v>
      </c>
      <c r="F5090" s="7" t="s">
        <v>16</v>
      </c>
      <c r="G5090" s="7" t="n">
        <v>0</v>
      </c>
      <c r="H5090" s="7" t="n">
        <v>1</v>
      </c>
      <c r="I5090" s="7" t="n">
        <v>0</v>
      </c>
      <c r="J5090" s="7" t="n">
        <v>0</v>
      </c>
      <c r="K5090" s="7" t="n">
        <v>0</v>
      </c>
      <c r="L5090" s="7" t="n">
        <v>0</v>
      </c>
      <c r="M5090" s="7" t="n">
        <v>1</v>
      </c>
      <c r="N5090" s="7" t="n">
        <v>1.60000002384186</v>
      </c>
      <c r="O5090" s="7" t="n">
        <v>0.0900000035762787</v>
      </c>
      <c r="P5090" s="7" t="s">
        <v>16</v>
      </c>
      <c r="Q5090" s="7" t="s">
        <v>16</v>
      </c>
      <c r="R5090" s="7" t="n">
        <v>-1</v>
      </c>
      <c r="S5090" s="7" t="n">
        <v>0</v>
      </c>
      <c r="T5090" s="7" t="n">
        <v>0</v>
      </c>
      <c r="U5090" s="7" t="n">
        <v>0</v>
      </c>
      <c r="V5090" s="7" t="n">
        <v>0</v>
      </c>
    </row>
    <row r="5091" spans="1:19">
      <c r="A5091" t="s">
        <v>4</v>
      </c>
      <c r="B5091" s="4" t="s">
        <v>5</v>
      </c>
      <c r="C5091" s="4" t="s">
        <v>11</v>
      </c>
      <c r="D5091" s="4" t="s">
        <v>7</v>
      </c>
      <c r="E5091" s="4" t="s">
        <v>7</v>
      </c>
      <c r="F5091" s="4" t="s">
        <v>8</v>
      </c>
    </row>
    <row r="5092" spans="1:19">
      <c r="A5092" t="n">
        <v>46404</v>
      </c>
      <c r="B5092" s="50" t="n">
        <v>20</v>
      </c>
      <c r="C5092" s="7" t="n">
        <v>0</v>
      </c>
      <c r="D5092" s="7" t="n">
        <v>3</v>
      </c>
      <c r="E5092" s="7" t="n">
        <v>10</v>
      </c>
      <c r="F5092" s="7" t="s">
        <v>108</v>
      </c>
    </row>
    <row r="5093" spans="1:19">
      <c r="A5093" t="s">
        <v>4</v>
      </c>
      <c r="B5093" s="4" t="s">
        <v>5</v>
      </c>
      <c r="C5093" s="4" t="s">
        <v>11</v>
      </c>
    </row>
    <row r="5094" spans="1:19">
      <c r="A5094" t="n">
        <v>46422</v>
      </c>
      <c r="B5094" s="29" t="n">
        <v>16</v>
      </c>
      <c r="C5094" s="7" t="n">
        <v>0</v>
      </c>
    </row>
    <row r="5095" spans="1:19">
      <c r="A5095" t="s">
        <v>4</v>
      </c>
      <c r="B5095" s="4" t="s">
        <v>5</v>
      </c>
      <c r="C5095" s="4" t="s">
        <v>11</v>
      </c>
      <c r="D5095" s="4" t="s">
        <v>7</v>
      </c>
      <c r="E5095" s="4" t="s">
        <v>7</v>
      </c>
      <c r="F5095" s="4" t="s">
        <v>8</v>
      </c>
    </row>
    <row r="5096" spans="1:19">
      <c r="A5096" t="n">
        <v>46425</v>
      </c>
      <c r="B5096" s="50" t="n">
        <v>20</v>
      </c>
      <c r="C5096" s="7" t="n">
        <v>5</v>
      </c>
      <c r="D5096" s="7" t="n">
        <v>3</v>
      </c>
      <c r="E5096" s="7" t="n">
        <v>10</v>
      </c>
      <c r="F5096" s="7" t="s">
        <v>108</v>
      </c>
    </row>
    <row r="5097" spans="1:19">
      <c r="A5097" t="s">
        <v>4</v>
      </c>
      <c r="B5097" s="4" t="s">
        <v>5</v>
      </c>
      <c r="C5097" s="4" t="s">
        <v>11</v>
      </c>
    </row>
    <row r="5098" spans="1:19">
      <c r="A5098" t="n">
        <v>46443</v>
      </c>
      <c r="B5098" s="29" t="n">
        <v>16</v>
      </c>
      <c r="C5098" s="7" t="n">
        <v>0</v>
      </c>
    </row>
    <row r="5099" spans="1:19">
      <c r="A5099" t="s">
        <v>4</v>
      </c>
      <c r="B5099" s="4" t="s">
        <v>5</v>
      </c>
      <c r="C5099" s="4" t="s">
        <v>11</v>
      </c>
      <c r="D5099" s="4" t="s">
        <v>15</v>
      </c>
    </row>
    <row r="5100" spans="1:19">
      <c r="A5100" t="n">
        <v>46446</v>
      </c>
      <c r="B5100" s="39" t="n">
        <v>43</v>
      </c>
      <c r="C5100" s="7" t="n">
        <v>5</v>
      </c>
      <c r="D5100" s="7" t="n">
        <v>1</v>
      </c>
    </row>
    <row r="5101" spans="1:19">
      <c r="A5101" t="s">
        <v>4</v>
      </c>
      <c r="B5101" s="4" t="s">
        <v>5</v>
      </c>
      <c r="C5101" s="4" t="s">
        <v>7</v>
      </c>
    </row>
    <row r="5102" spans="1:19">
      <c r="A5102" t="n">
        <v>46453</v>
      </c>
      <c r="B5102" s="49" t="n">
        <v>116</v>
      </c>
      <c r="C5102" s="7" t="n">
        <v>0</v>
      </c>
    </row>
    <row r="5103" spans="1:19">
      <c r="A5103" t="s">
        <v>4</v>
      </c>
      <c r="B5103" s="4" t="s">
        <v>5</v>
      </c>
      <c r="C5103" s="4" t="s">
        <v>7</v>
      </c>
      <c r="D5103" s="4" t="s">
        <v>11</v>
      </c>
    </row>
    <row r="5104" spans="1:19">
      <c r="A5104" t="n">
        <v>46455</v>
      </c>
      <c r="B5104" s="49" t="n">
        <v>116</v>
      </c>
      <c r="C5104" s="7" t="n">
        <v>2</v>
      </c>
      <c r="D5104" s="7" t="n">
        <v>1</v>
      </c>
    </row>
    <row r="5105" spans="1:22">
      <c r="A5105" t="s">
        <v>4</v>
      </c>
      <c r="B5105" s="4" t="s">
        <v>5</v>
      </c>
      <c r="C5105" s="4" t="s">
        <v>7</v>
      </c>
      <c r="D5105" s="4" t="s">
        <v>15</v>
      </c>
    </row>
    <row r="5106" spans="1:22">
      <c r="A5106" t="n">
        <v>46459</v>
      </c>
      <c r="B5106" s="49" t="n">
        <v>116</v>
      </c>
      <c r="C5106" s="7" t="n">
        <v>5</v>
      </c>
      <c r="D5106" s="7" t="n">
        <v>1106247680</v>
      </c>
    </row>
    <row r="5107" spans="1:22">
      <c r="A5107" t="s">
        <v>4</v>
      </c>
      <c r="B5107" s="4" t="s">
        <v>5</v>
      </c>
      <c r="C5107" s="4" t="s">
        <v>7</v>
      </c>
      <c r="D5107" s="4" t="s">
        <v>11</v>
      </c>
    </row>
    <row r="5108" spans="1:22">
      <c r="A5108" t="n">
        <v>46465</v>
      </c>
      <c r="B5108" s="49" t="n">
        <v>116</v>
      </c>
      <c r="C5108" s="7" t="n">
        <v>6</v>
      </c>
      <c r="D5108" s="7" t="n">
        <v>1</v>
      </c>
    </row>
    <row r="5109" spans="1:22">
      <c r="A5109" t="s">
        <v>4</v>
      </c>
      <c r="B5109" s="4" t="s">
        <v>5</v>
      </c>
      <c r="C5109" s="4" t="s">
        <v>7</v>
      </c>
      <c r="D5109" s="4" t="s">
        <v>11</v>
      </c>
      <c r="E5109" s="4" t="s">
        <v>11</v>
      </c>
      <c r="F5109" s="4" t="s">
        <v>15</v>
      </c>
    </row>
    <row r="5110" spans="1:22">
      <c r="A5110" t="n">
        <v>46469</v>
      </c>
      <c r="B5110" s="76" t="n">
        <v>84</v>
      </c>
      <c r="C5110" s="7" t="n">
        <v>0</v>
      </c>
      <c r="D5110" s="7" t="n">
        <v>0</v>
      </c>
      <c r="E5110" s="7" t="n">
        <v>0</v>
      </c>
      <c r="F5110" s="7" t="n">
        <v>1045220557</v>
      </c>
    </row>
    <row r="5111" spans="1:22">
      <c r="A5111" t="s">
        <v>4</v>
      </c>
      <c r="B5111" s="4" t="s">
        <v>5</v>
      </c>
      <c r="C5111" s="4" t="s">
        <v>11</v>
      </c>
      <c r="D5111" s="4" t="s">
        <v>13</v>
      </c>
      <c r="E5111" s="4" t="s">
        <v>13</v>
      </c>
      <c r="F5111" s="4" t="s">
        <v>13</v>
      </c>
      <c r="G5111" s="4" t="s">
        <v>13</v>
      </c>
    </row>
    <row r="5112" spans="1:22">
      <c r="A5112" t="n">
        <v>46479</v>
      </c>
      <c r="B5112" s="36" t="n">
        <v>46</v>
      </c>
      <c r="C5112" s="7" t="n">
        <v>5</v>
      </c>
      <c r="D5112" s="7" t="n">
        <v>7.6100001335144</v>
      </c>
      <c r="E5112" s="7" t="n">
        <v>0</v>
      </c>
      <c r="F5112" s="7" t="n">
        <v>46.0200004577637</v>
      </c>
      <c r="G5112" s="7" t="n">
        <v>272.200012207031</v>
      </c>
    </row>
    <row r="5113" spans="1:22">
      <c r="A5113" t="s">
        <v>4</v>
      </c>
      <c r="B5113" s="4" t="s">
        <v>5</v>
      </c>
      <c r="C5113" s="4" t="s">
        <v>11</v>
      </c>
      <c r="D5113" s="4" t="s">
        <v>13</v>
      </c>
      <c r="E5113" s="4" t="s">
        <v>13</v>
      </c>
      <c r="F5113" s="4" t="s">
        <v>13</v>
      </c>
      <c r="G5113" s="4" t="s">
        <v>13</v>
      </c>
    </row>
    <row r="5114" spans="1:22">
      <c r="A5114" t="n">
        <v>46498</v>
      </c>
      <c r="B5114" s="36" t="n">
        <v>46</v>
      </c>
      <c r="C5114" s="7" t="n">
        <v>0</v>
      </c>
      <c r="D5114" s="7" t="n">
        <v>4.78000020980835</v>
      </c>
      <c r="E5114" s="7" t="n">
        <v>0</v>
      </c>
      <c r="F5114" s="7" t="n">
        <v>45.3300018310547</v>
      </c>
      <c r="G5114" s="7" t="n">
        <v>-102.300003051758</v>
      </c>
    </row>
    <row r="5115" spans="1:22">
      <c r="A5115" t="s">
        <v>4</v>
      </c>
      <c r="B5115" s="4" t="s">
        <v>5</v>
      </c>
      <c r="C5115" s="4" t="s">
        <v>11</v>
      </c>
      <c r="D5115" s="4" t="s">
        <v>7</v>
      </c>
      <c r="E5115" s="4" t="s">
        <v>8</v>
      </c>
      <c r="F5115" s="4" t="s">
        <v>13</v>
      </c>
      <c r="G5115" s="4" t="s">
        <v>13</v>
      </c>
      <c r="H5115" s="4" t="s">
        <v>13</v>
      </c>
    </row>
    <row r="5116" spans="1:22">
      <c r="A5116" t="n">
        <v>46517</v>
      </c>
      <c r="B5116" s="42" t="n">
        <v>48</v>
      </c>
      <c r="C5116" s="7" t="n">
        <v>0</v>
      </c>
      <c r="D5116" s="7" t="n">
        <v>0</v>
      </c>
      <c r="E5116" s="7" t="s">
        <v>275</v>
      </c>
      <c r="F5116" s="7" t="n">
        <v>0</v>
      </c>
      <c r="G5116" s="7" t="n">
        <v>1</v>
      </c>
      <c r="H5116" s="7" t="n">
        <v>0</v>
      </c>
    </row>
    <row r="5117" spans="1:22">
      <c r="A5117" t="s">
        <v>4</v>
      </c>
      <c r="B5117" s="4" t="s">
        <v>5</v>
      </c>
      <c r="C5117" s="4" t="s">
        <v>7</v>
      </c>
      <c r="D5117" s="4" t="s">
        <v>11</v>
      </c>
      <c r="E5117" s="4" t="s">
        <v>8</v>
      </c>
      <c r="F5117" s="4" t="s">
        <v>8</v>
      </c>
      <c r="G5117" s="4" t="s">
        <v>8</v>
      </c>
      <c r="H5117" s="4" t="s">
        <v>8</v>
      </c>
    </row>
    <row r="5118" spans="1:22">
      <c r="A5118" t="n">
        <v>46542</v>
      </c>
      <c r="B5118" s="38" t="n">
        <v>51</v>
      </c>
      <c r="C5118" s="7" t="n">
        <v>3</v>
      </c>
      <c r="D5118" s="7" t="n">
        <v>0</v>
      </c>
      <c r="E5118" s="7" t="s">
        <v>101</v>
      </c>
      <c r="F5118" s="7" t="s">
        <v>99</v>
      </c>
      <c r="G5118" s="7" t="s">
        <v>78</v>
      </c>
      <c r="H5118" s="7" t="s">
        <v>79</v>
      </c>
    </row>
    <row r="5119" spans="1:22">
      <c r="A5119" t="s">
        <v>4</v>
      </c>
      <c r="B5119" s="4" t="s">
        <v>5</v>
      </c>
      <c r="C5119" s="4" t="s">
        <v>7</v>
      </c>
      <c r="D5119" s="4" t="s">
        <v>11</v>
      </c>
      <c r="E5119" s="4" t="s">
        <v>8</v>
      </c>
      <c r="F5119" s="4" t="s">
        <v>8</v>
      </c>
      <c r="G5119" s="4" t="s">
        <v>8</v>
      </c>
      <c r="H5119" s="4" t="s">
        <v>8</v>
      </c>
    </row>
    <row r="5120" spans="1:22">
      <c r="A5120" t="n">
        <v>46563</v>
      </c>
      <c r="B5120" s="38" t="n">
        <v>51</v>
      </c>
      <c r="C5120" s="7" t="n">
        <v>3</v>
      </c>
      <c r="D5120" s="7" t="n">
        <v>5</v>
      </c>
      <c r="E5120" s="7" t="s">
        <v>101</v>
      </c>
      <c r="F5120" s="7" t="s">
        <v>79</v>
      </c>
      <c r="G5120" s="7" t="s">
        <v>78</v>
      </c>
      <c r="H5120" s="7" t="s">
        <v>79</v>
      </c>
    </row>
    <row r="5121" spans="1:8">
      <c r="A5121" t="s">
        <v>4</v>
      </c>
      <c r="B5121" s="4" t="s">
        <v>5</v>
      </c>
      <c r="C5121" s="4" t="s">
        <v>7</v>
      </c>
      <c r="D5121" s="4" t="s">
        <v>11</v>
      </c>
      <c r="E5121" s="4" t="s">
        <v>7</v>
      </c>
      <c r="F5121" s="4" t="s">
        <v>8</v>
      </c>
      <c r="G5121" s="4" t="s">
        <v>8</v>
      </c>
      <c r="H5121" s="4" t="s">
        <v>8</v>
      </c>
      <c r="I5121" s="4" t="s">
        <v>8</v>
      </c>
      <c r="J5121" s="4" t="s">
        <v>8</v>
      </c>
      <c r="K5121" s="4" t="s">
        <v>8</v>
      </c>
      <c r="L5121" s="4" t="s">
        <v>8</v>
      </c>
      <c r="M5121" s="4" t="s">
        <v>8</v>
      </c>
      <c r="N5121" s="4" t="s">
        <v>8</v>
      </c>
      <c r="O5121" s="4" t="s">
        <v>8</v>
      </c>
      <c r="P5121" s="4" t="s">
        <v>8</v>
      </c>
      <c r="Q5121" s="4" t="s">
        <v>8</v>
      </c>
      <c r="R5121" s="4" t="s">
        <v>8</v>
      </c>
      <c r="S5121" s="4" t="s">
        <v>8</v>
      </c>
      <c r="T5121" s="4" t="s">
        <v>8</v>
      </c>
      <c r="U5121" s="4" t="s">
        <v>8</v>
      </c>
    </row>
    <row r="5122" spans="1:8">
      <c r="A5122" t="n">
        <v>46584</v>
      </c>
      <c r="B5122" s="40" t="n">
        <v>36</v>
      </c>
      <c r="C5122" s="7" t="n">
        <v>8</v>
      </c>
      <c r="D5122" s="7" t="n">
        <v>0</v>
      </c>
      <c r="E5122" s="7" t="n">
        <v>0</v>
      </c>
      <c r="F5122" s="7" t="s">
        <v>479</v>
      </c>
      <c r="G5122" s="7" t="s">
        <v>16</v>
      </c>
      <c r="H5122" s="7" t="s">
        <v>16</v>
      </c>
      <c r="I5122" s="7" t="s">
        <v>16</v>
      </c>
      <c r="J5122" s="7" t="s">
        <v>16</v>
      </c>
      <c r="K5122" s="7" t="s">
        <v>16</v>
      </c>
      <c r="L5122" s="7" t="s">
        <v>16</v>
      </c>
      <c r="M5122" s="7" t="s">
        <v>16</v>
      </c>
      <c r="N5122" s="7" t="s">
        <v>16</v>
      </c>
      <c r="O5122" s="7" t="s">
        <v>16</v>
      </c>
      <c r="P5122" s="7" t="s">
        <v>16</v>
      </c>
      <c r="Q5122" s="7" t="s">
        <v>16</v>
      </c>
      <c r="R5122" s="7" t="s">
        <v>16</v>
      </c>
      <c r="S5122" s="7" t="s">
        <v>16</v>
      </c>
      <c r="T5122" s="7" t="s">
        <v>16</v>
      </c>
      <c r="U5122" s="7" t="s">
        <v>16</v>
      </c>
    </row>
    <row r="5123" spans="1:8">
      <c r="A5123" t="s">
        <v>4</v>
      </c>
      <c r="B5123" s="4" t="s">
        <v>5</v>
      </c>
      <c r="C5123" s="4" t="s">
        <v>7</v>
      </c>
      <c r="D5123" s="4" t="s">
        <v>11</v>
      </c>
      <c r="E5123" s="4" t="s">
        <v>7</v>
      </c>
      <c r="F5123" s="4" t="s">
        <v>8</v>
      </c>
      <c r="G5123" s="4" t="s">
        <v>8</v>
      </c>
      <c r="H5123" s="4" t="s">
        <v>8</v>
      </c>
      <c r="I5123" s="4" t="s">
        <v>8</v>
      </c>
      <c r="J5123" s="4" t="s">
        <v>8</v>
      </c>
      <c r="K5123" s="4" t="s">
        <v>8</v>
      </c>
      <c r="L5123" s="4" t="s">
        <v>8</v>
      </c>
      <c r="M5123" s="4" t="s">
        <v>8</v>
      </c>
      <c r="N5123" s="4" t="s">
        <v>8</v>
      </c>
      <c r="O5123" s="4" t="s">
        <v>8</v>
      </c>
      <c r="P5123" s="4" t="s">
        <v>8</v>
      </c>
      <c r="Q5123" s="4" t="s">
        <v>8</v>
      </c>
      <c r="R5123" s="4" t="s">
        <v>8</v>
      </c>
      <c r="S5123" s="4" t="s">
        <v>8</v>
      </c>
      <c r="T5123" s="4" t="s">
        <v>8</v>
      </c>
      <c r="U5123" s="4" t="s">
        <v>8</v>
      </c>
    </row>
    <row r="5124" spans="1:8">
      <c r="A5124" t="n">
        <v>46614</v>
      </c>
      <c r="B5124" s="40" t="n">
        <v>36</v>
      </c>
      <c r="C5124" s="7" t="n">
        <v>8</v>
      </c>
      <c r="D5124" s="7" t="n">
        <v>5</v>
      </c>
      <c r="E5124" s="7" t="n">
        <v>0</v>
      </c>
      <c r="F5124" s="7" t="s">
        <v>479</v>
      </c>
      <c r="G5124" s="7" t="s">
        <v>480</v>
      </c>
      <c r="H5124" s="7" t="s">
        <v>16</v>
      </c>
      <c r="I5124" s="7" t="s">
        <v>16</v>
      </c>
      <c r="J5124" s="7" t="s">
        <v>16</v>
      </c>
      <c r="K5124" s="7" t="s">
        <v>16</v>
      </c>
      <c r="L5124" s="7" t="s">
        <v>16</v>
      </c>
      <c r="M5124" s="7" t="s">
        <v>16</v>
      </c>
      <c r="N5124" s="7" t="s">
        <v>16</v>
      </c>
      <c r="O5124" s="7" t="s">
        <v>16</v>
      </c>
      <c r="P5124" s="7" t="s">
        <v>16</v>
      </c>
      <c r="Q5124" s="7" t="s">
        <v>16</v>
      </c>
      <c r="R5124" s="7" t="s">
        <v>16</v>
      </c>
      <c r="S5124" s="7" t="s">
        <v>16</v>
      </c>
      <c r="T5124" s="7" t="s">
        <v>16</v>
      </c>
      <c r="U5124" s="7" t="s">
        <v>16</v>
      </c>
    </row>
    <row r="5125" spans="1:8">
      <c r="A5125" t="s">
        <v>4</v>
      </c>
      <c r="B5125" s="4" t="s">
        <v>5</v>
      </c>
      <c r="C5125" s="4" t="s">
        <v>7</v>
      </c>
      <c r="D5125" s="4" t="s">
        <v>7</v>
      </c>
      <c r="E5125" s="4" t="s">
        <v>13</v>
      </c>
      <c r="F5125" s="4" t="s">
        <v>13</v>
      </c>
      <c r="G5125" s="4" t="s">
        <v>13</v>
      </c>
      <c r="H5125" s="4" t="s">
        <v>11</v>
      </c>
    </row>
    <row r="5126" spans="1:8">
      <c r="A5126" t="n">
        <v>46657</v>
      </c>
      <c r="B5126" s="51" t="n">
        <v>45</v>
      </c>
      <c r="C5126" s="7" t="n">
        <v>2</v>
      </c>
      <c r="D5126" s="7" t="n">
        <v>3</v>
      </c>
      <c r="E5126" s="7" t="n">
        <v>-3</v>
      </c>
      <c r="F5126" s="7" t="n">
        <v>2.89000010490417</v>
      </c>
      <c r="G5126" s="7" t="n">
        <v>41.3699989318848</v>
      </c>
      <c r="H5126" s="7" t="n">
        <v>0</v>
      </c>
    </row>
    <row r="5127" spans="1:8">
      <c r="A5127" t="s">
        <v>4</v>
      </c>
      <c r="B5127" s="4" t="s">
        <v>5</v>
      </c>
      <c r="C5127" s="4" t="s">
        <v>7</v>
      </c>
      <c r="D5127" s="4" t="s">
        <v>7</v>
      </c>
      <c r="E5127" s="4" t="s">
        <v>13</v>
      </c>
      <c r="F5127" s="4" t="s">
        <v>13</v>
      </c>
      <c r="G5127" s="4" t="s">
        <v>13</v>
      </c>
      <c r="H5127" s="4" t="s">
        <v>11</v>
      </c>
      <c r="I5127" s="4" t="s">
        <v>7</v>
      </c>
    </row>
    <row r="5128" spans="1:8">
      <c r="A5128" t="n">
        <v>46674</v>
      </c>
      <c r="B5128" s="51" t="n">
        <v>45</v>
      </c>
      <c r="C5128" s="7" t="n">
        <v>4</v>
      </c>
      <c r="D5128" s="7" t="n">
        <v>3</v>
      </c>
      <c r="E5128" s="7" t="n">
        <v>0.649999976158142</v>
      </c>
      <c r="F5128" s="7" t="n">
        <v>105.529998779297</v>
      </c>
      <c r="G5128" s="7" t="n">
        <v>0</v>
      </c>
      <c r="H5128" s="7" t="n">
        <v>0</v>
      </c>
      <c r="I5128" s="7" t="n">
        <v>0</v>
      </c>
    </row>
    <row r="5129" spans="1:8">
      <c r="A5129" t="s">
        <v>4</v>
      </c>
      <c r="B5129" s="4" t="s">
        <v>5</v>
      </c>
      <c r="C5129" s="4" t="s">
        <v>7</v>
      </c>
      <c r="D5129" s="4" t="s">
        <v>7</v>
      </c>
      <c r="E5129" s="4" t="s">
        <v>13</v>
      </c>
      <c r="F5129" s="4" t="s">
        <v>11</v>
      </c>
    </row>
    <row r="5130" spans="1:8">
      <c r="A5130" t="n">
        <v>46692</v>
      </c>
      <c r="B5130" s="51" t="n">
        <v>45</v>
      </c>
      <c r="C5130" s="7" t="n">
        <v>5</v>
      </c>
      <c r="D5130" s="7" t="n">
        <v>3</v>
      </c>
      <c r="E5130" s="7" t="n">
        <v>2.40000009536743</v>
      </c>
      <c r="F5130" s="7" t="n">
        <v>0</v>
      </c>
    </row>
    <row r="5131" spans="1:8">
      <c r="A5131" t="s">
        <v>4</v>
      </c>
      <c r="B5131" s="4" t="s">
        <v>5</v>
      </c>
      <c r="C5131" s="4" t="s">
        <v>7</v>
      </c>
      <c r="D5131" s="4" t="s">
        <v>7</v>
      </c>
      <c r="E5131" s="4" t="s">
        <v>13</v>
      </c>
      <c r="F5131" s="4" t="s">
        <v>11</v>
      </c>
    </row>
    <row r="5132" spans="1:8">
      <c r="A5132" t="n">
        <v>46701</v>
      </c>
      <c r="B5132" s="51" t="n">
        <v>45</v>
      </c>
      <c r="C5132" s="7" t="n">
        <v>11</v>
      </c>
      <c r="D5132" s="7" t="n">
        <v>3</v>
      </c>
      <c r="E5132" s="7" t="n">
        <v>33.4000015258789</v>
      </c>
      <c r="F5132" s="7" t="n">
        <v>0</v>
      </c>
    </row>
    <row r="5133" spans="1:8">
      <c r="A5133" t="s">
        <v>4</v>
      </c>
      <c r="B5133" s="4" t="s">
        <v>5</v>
      </c>
      <c r="C5133" s="4" t="s">
        <v>11</v>
      </c>
      <c r="D5133" s="4" t="s">
        <v>13</v>
      </c>
      <c r="E5133" s="4" t="s">
        <v>13</v>
      </c>
      <c r="F5133" s="4" t="s">
        <v>13</v>
      </c>
      <c r="G5133" s="4" t="s">
        <v>11</v>
      </c>
      <c r="H5133" s="4" t="s">
        <v>11</v>
      </c>
    </row>
    <row r="5134" spans="1:8">
      <c r="A5134" t="n">
        <v>46710</v>
      </c>
      <c r="B5134" s="37" t="n">
        <v>60</v>
      </c>
      <c r="C5134" s="7" t="n">
        <v>0</v>
      </c>
      <c r="D5134" s="7" t="n">
        <v>0</v>
      </c>
      <c r="E5134" s="7" t="n">
        <v>20</v>
      </c>
      <c r="F5134" s="7" t="n">
        <v>0</v>
      </c>
      <c r="G5134" s="7" t="n">
        <v>0</v>
      </c>
      <c r="H5134" s="7" t="n">
        <v>0</v>
      </c>
    </row>
    <row r="5135" spans="1:8">
      <c r="A5135" t="s">
        <v>4</v>
      </c>
      <c r="B5135" s="4" t="s">
        <v>5</v>
      </c>
      <c r="C5135" s="4" t="s">
        <v>7</v>
      </c>
      <c r="D5135" s="4" t="s">
        <v>7</v>
      </c>
      <c r="E5135" s="4" t="s">
        <v>7</v>
      </c>
      <c r="F5135" s="4" t="s">
        <v>13</v>
      </c>
      <c r="G5135" s="4" t="s">
        <v>13</v>
      </c>
      <c r="H5135" s="4" t="s">
        <v>13</v>
      </c>
      <c r="I5135" s="4" t="s">
        <v>13</v>
      </c>
      <c r="J5135" s="4" t="s">
        <v>13</v>
      </c>
    </row>
    <row r="5136" spans="1:8">
      <c r="A5136" t="n">
        <v>46729</v>
      </c>
      <c r="B5136" s="25" t="n">
        <v>76</v>
      </c>
      <c r="C5136" s="7" t="n">
        <v>0</v>
      </c>
      <c r="D5136" s="7" t="n">
        <v>3</v>
      </c>
      <c r="E5136" s="7" t="n">
        <v>2</v>
      </c>
      <c r="F5136" s="7" t="n">
        <v>1</v>
      </c>
      <c r="G5136" s="7" t="n">
        <v>1</v>
      </c>
      <c r="H5136" s="7" t="n">
        <v>1</v>
      </c>
      <c r="I5136" s="7" t="n">
        <v>1</v>
      </c>
      <c r="J5136" s="7" t="n">
        <v>2000</v>
      </c>
    </row>
    <row r="5137" spans="1:21">
      <c r="A5137" t="s">
        <v>4</v>
      </c>
      <c r="B5137" s="4" t="s">
        <v>5</v>
      </c>
      <c r="C5137" s="4" t="s">
        <v>7</v>
      </c>
      <c r="D5137" s="4" t="s">
        <v>7</v>
      </c>
      <c r="E5137" s="4" t="s">
        <v>7</v>
      </c>
      <c r="F5137" s="4" t="s">
        <v>13</v>
      </c>
      <c r="G5137" s="4" t="s">
        <v>13</v>
      </c>
      <c r="H5137" s="4" t="s">
        <v>13</v>
      </c>
      <c r="I5137" s="4" t="s">
        <v>13</v>
      </c>
      <c r="J5137" s="4" t="s">
        <v>13</v>
      </c>
    </row>
    <row r="5138" spans="1:21">
      <c r="A5138" t="n">
        <v>46753</v>
      </c>
      <c r="B5138" s="25" t="n">
        <v>76</v>
      </c>
      <c r="C5138" s="7" t="n">
        <v>0</v>
      </c>
      <c r="D5138" s="7" t="n">
        <v>0</v>
      </c>
      <c r="E5138" s="7" t="n">
        <v>2</v>
      </c>
      <c r="F5138" s="7" t="n">
        <v>64</v>
      </c>
      <c r="G5138" s="7" t="n">
        <v>0</v>
      </c>
      <c r="H5138" s="7" t="n">
        <v>2000</v>
      </c>
      <c r="I5138" s="7" t="n">
        <v>0</v>
      </c>
      <c r="J5138" s="7" t="n">
        <v>0</v>
      </c>
    </row>
    <row r="5139" spans="1:21">
      <c r="A5139" t="s">
        <v>4</v>
      </c>
      <c r="B5139" s="4" t="s">
        <v>5</v>
      </c>
      <c r="C5139" s="4" t="s">
        <v>7</v>
      </c>
      <c r="D5139" s="4" t="s">
        <v>7</v>
      </c>
    </row>
    <row r="5140" spans="1:21">
      <c r="A5140" t="n">
        <v>46777</v>
      </c>
      <c r="B5140" s="26" t="n">
        <v>77</v>
      </c>
      <c r="C5140" s="7" t="n">
        <v>0</v>
      </c>
      <c r="D5140" s="7" t="n">
        <v>3</v>
      </c>
    </row>
    <row r="5141" spans="1:21">
      <c r="A5141" t="s">
        <v>4</v>
      </c>
      <c r="B5141" s="4" t="s">
        <v>5</v>
      </c>
      <c r="C5141" s="4" t="s">
        <v>7</v>
      </c>
      <c r="D5141" s="4" t="s">
        <v>7</v>
      </c>
    </row>
    <row r="5142" spans="1:21">
      <c r="A5142" t="n">
        <v>46780</v>
      </c>
      <c r="B5142" s="26" t="n">
        <v>77</v>
      </c>
      <c r="C5142" s="7" t="n">
        <v>0</v>
      </c>
      <c r="D5142" s="7" t="n">
        <v>0</v>
      </c>
    </row>
    <row r="5143" spans="1:21">
      <c r="A5143" t="s">
        <v>4</v>
      </c>
      <c r="B5143" s="4" t="s">
        <v>5</v>
      </c>
      <c r="C5143" s="4" t="s">
        <v>11</v>
      </c>
    </row>
    <row r="5144" spans="1:21">
      <c r="A5144" t="n">
        <v>46783</v>
      </c>
      <c r="B5144" s="29" t="n">
        <v>16</v>
      </c>
      <c r="C5144" s="7" t="n">
        <v>2000</v>
      </c>
    </row>
    <row r="5145" spans="1:21">
      <c r="A5145" t="s">
        <v>4</v>
      </c>
      <c r="B5145" s="4" t="s">
        <v>5</v>
      </c>
      <c r="C5145" s="4" t="s">
        <v>7</v>
      </c>
      <c r="D5145" s="4" t="s">
        <v>11</v>
      </c>
      <c r="E5145" s="4" t="s">
        <v>15</v>
      </c>
      <c r="F5145" s="4" t="s">
        <v>11</v>
      </c>
      <c r="G5145" s="4" t="s">
        <v>15</v>
      </c>
      <c r="H5145" s="4" t="s">
        <v>7</v>
      </c>
    </row>
    <row r="5146" spans="1:21">
      <c r="A5146" t="n">
        <v>46786</v>
      </c>
      <c r="B5146" s="13" t="n">
        <v>49</v>
      </c>
      <c r="C5146" s="7" t="n">
        <v>0</v>
      </c>
      <c r="D5146" s="7" t="n">
        <v>514</v>
      </c>
      <c r="E5146" s="7" t="n">
        <v>1065353216</v>
      </c>
      <c r="F5146" s="7" t="n">
        <v>0</v>
      </c>
      <c r="G5146" s="7" t="n">
        <v>0</v>
      </c>
      <c r="H5146" s="7" t="n">
        <v>0</v>
      </c>
    </row>
    <row r="5147" spans="1:21">
      <c r="A5147" t="s">
        <v>4</v>
      </c>
      <c r="B5147" s="4" t="s">
        <v>5</v>
      </c>
      <c r="C5147" s="4" t="s">
        <v>7</v>
      </c>
      <c r="D5147" s="4" t="s">
        <v>7</v>
      </c>
      <c r="E5147" s="4" t="s">
        <v>7</v>
      </c>
      <c r="F5147" s="4" t="s">
        <v>13</v>
      </c>
      <c r="G5147" s="4" t="s">
        <v>13</v>
      </c>
      <c r="H5147" s="4" t="s">
        <v>13</v>
      </c>
      <c r="I5147" s="4" t="s">
        <v>13</v>
      </c>
      <c r="J5147" s="4" t="s">
        <v>13</v>
      </c>
    </row>
    <row r="5148" spans="1:21">
      <c r="A5148" t="n">
        <v>46801</v>
      </c>
      <c r="B5148" s="25" t="n">
        <v>76</v>
      </c>
      <c r="C5148" s="7" t="n">
        <v>0</v>
      </c>
      <c r="D5148" s="7" t="n">
        <v>3</v>
      </c>
      <c r="E5148" s="7" t="n">
        <v>1</v>
      </c>
      <c r="F5148" s="7" t="n">
        <v>1</v>
      </c>
      <c r="G5148" s="7" t="n">
        <v>1</v>
      </c>
      <c r="H5148" s="7" t="n">
        <v>1</v>
      </c>
      <c r="I5148" s="7" t="n">
        <v>0</v>
      </c>
      <c r="J5148" s="7" t="n">
        <v>2000</v>
      </c>
    </row>
    <row r="5149" spans="1:21">
      <c r="A5149" t="s">
        <v>4</v>
      </c>
      <c r="B5149" s="4" t="s">
        <v>5</v>
      </c>
      <c r="C5149" s="4" t="s">
        <v>7</v>
      </c>
      <c r="D5149" s="4" t="s">
        <v>7</v>
      </c>
      <c r="E5149" s="4" t="s">
        <v>7</v>
      </c>
      <c r="F5149" s="4" t="s">
        <v>13</v>
      </c>
      <c r="G5149" s="4" t="s">
        <v>13</v>
      </c>
      <c r="H5149" s="4" t="s">
        <v>13</v>
      </c>
      <c r="I5149" s="4" t="s">
        <v>13</v>
      </c>
      <c r="J5149" s="4" t="s">
        <v>13</v>
      </c>
    </row>
    <row r="5150" spans="1:21">
      <c r="A5150" t="n">
        <v>46825</v>
      </c>
      <c r="B5150" s="25" t="n">
        <v>76</v>
      </c>
      <c r="C5150" s="7" t="n">
        <v>0</v>
      </c>
      <c r="D5150" s="7" t="n">
        <v>0</v>
      </c>
      <c r="E5150" s="7" t="n">
        <v>1</v>
      </c>
      <c r="F5150" s="7" t="n">
        <v>128</v>
      </c>
      <c r="G5150" s="7" t="n">
        <v>0</v>
      </c>
      <c r="H5150" s="7" t="n">
        <v>2000</v>
      </c>
      <c r="I5150" s="7" t="n">
        <v>0</v>
      </c>
      <c r="J5150" s="7" t="n">
        <v>0</v>
      </c>
    </row>
    <row r="5151" spans="1:21">
      <c r="A5151" t="s">
        <v>4</v>
      </c>
      <c r="B5151" s="4" t="s">
        <v>5</v>
      </c>
      <c r="C5151" s="4" t="s">
        <v>7</v>
      </c>
      <c r="D5151" s="4" t="s">
        <v>7</v>
      </c>
    </row>
    <row r="5152" spans="1:21">
      <c r="A5152" t="n">
        <v>46849</v>
      </c>
      <c r="B5152" s="26" t="n">
        <v>77</v>
      </c>
      <c r="C5152" s="7" t="n">
        <v>0</v>
      </c>
      <c r="D5152" s="7" t="n">
        <v>3</v>
      </c>
    </row>
    <row r="5153" spans="1:10">
      <c r="A5153" t="s">
        <v>4</v>
      </c>
      <c r="B5153" s="4" t="s">
        <v>5</v>
      </c>
      <c r="C5153" s="4" t="s">
        <v>7</v>
      </c>
      <c r="D5153" s="4" t="s">
        <v>7</v>
      </c>
    </row>
    <row r="5154" spans="1:10">
      <c r="A5154" t="n">
        <v>46852</v>
      </c>
      <c r="B5154" s="26" t="n">
        <v>77</v>
      </c>
      <c r="C5154" s="7" t="n">
        <v>0</v>
      </c>
      <c r="D5154" s="7" t="n">
        <v>0</v>
      </c>
    </row>
    <row r="5155" spans="1:10">
      <c r="A5155" t="s">
        <v>4</v>
      </c>
      <c r="B5155" s="4" t="s">
        <v>5</v>
      </c>
      <c r="C5155" s="4" t="s">
        <v>7</v>
      </c>
      <c r="D5155" s="4" t="s">
        <v>7</v>
      </c>
      <c r="E5155" s="4" t="s">
        <v>13</v>
      </c>
      <c r="F5155" s="4" t="s">
        <v>13</v>
      </c>
      <c r="G5155" s="4" t="s">
        <v>13</v>
      </c>
      <c r="H5155" s="4" t="s">
        <v>11</v>
      </c>
    </row>
    <row r="5156" spans="1:10">
      <c r="A5156" t="n">
        <v>46855</v>
      </c>
      <c r="B5156" s="51" t="n">
        <v>45</v>
      </c>
      <c r="C5156" s="7" t="n">
        <v>2</v>
      </c>
      <c r="D5156" s="7" t="n">
        <v>3</v>
      </c>
      <c r="E5156" s="7" t="n">
        <v>5.23999977111816</v>
      </c>
      <c r="F5156" s="7" t="n">
        <v>2.15000009536743</v>
      </c>
      <c r="G5156" s="7" t="n">
        <v>43.8600006103516</v>
      </c>
      <c r="H5156" s="7" t="n">
        <v>8000</v>
      </c>
    </row>
    <row r="5157" spans="1:10">
      <c r="A5157" t="s">
        <v>4</v>
      </c>
      <c r="B5157" s="4" t="s">
        <v>5</v>
      </c>
      <c r="C5157" s="4" t="s">
        <v>7</v>
      </c>
      <c r="D5157" s="4" t="s">
        <v>7</v>
      </c>
      <c r="E5157" s="4" t="s">
        <v>13</v>
      </c>
      <c r="F5157" s="4" t="s">
        <v>13</v>
      </c>
      <c r="G5157" s="4" t="s">
        <v>13</v>
      </c>
      <c r="H5157" s="4" t="s">
        <v>11</v>
      </c>
      <c r="I5157" s="4" t="s">
        <v>7</v>
      </c>
    </row>
    <row r="5158" spans="1:10">
      <c r="A5158" t="n">
        <v>46872</v>
      </c>
      <c r="B5158" s="51" t="n">
        <v>45</v>
      </c>
      <c r="C5158" s="7" t="n">
        <v>4</v>
      </c>
      <c r="D5158" s="7" t="n">
        <v>3</v>
      </c>
      <c r="E5158" s="7" t="n">
        <v>12.4799995422363</v>
      </c>
      <c r="F5158" s="7" t="n">
        <v>144.25</v>
      </c>
      <c r="G5158" s="7" t="n">
        <v>0</v>
      </c>
      <c r="H5158" s="7" t="n">
        <v>8000</v>
      </c>
      <c r="I5158" s="7" t="n">
        <v>0</v>
      </c>
    </row>
    <row r="5159" spans="1:10">
      <c r="A5159" t="s">
        <v>4</v>
      </c>
      <c r="B5159" s="4" t="s">
        <v>5</v>
      </c>
      <c r="C5159" s="4" t="s">
        <v>7</v>
      </c>
      <c r="D5159" s="4" t="s">
        <v>7</v>
      </c>
      <c r="E5159" s="4" t="s">
        <v>13</v>
      </c>
      <c r="F5159" s="4" t="s">
        <v>11</v>
      </c>
    </row>
    <row r="5160" spans="1:10">
      <c r="A5160" t="n">
        <v>46890</v>
      </c>
      <c r="B5160" s="51" t="n">
        <v>45</v>
      </c>
      <c r="C5160" s="7" t="n">
        <v>5</v>
      </c>
      <c r="D5160" s="7" t="n">
        <v>3</v>
      </c>
      <c r="E5160" s="7" t="n">
        <v>2.40000009536743</v>
      </c>
      <c r="F5160" s="7" t="n">
        <v>8000</v>
      </c>
    </row>
    <row r="5161" spans="1:10">
      <c r="A5161" t="s">
        <v>4</v>
      </c>
      <c r="B5161" s="4" t="s">
        <v>5</v>
      </c>
      <c r="C5161" s="4" t="s">
        <v>7</v>
      </c>
      <c r="D5161" s="4" t="s">
        <v>7</v>
      </c>
      <c r="E5161" s="4" t="s">
        <v>13</v>
      </c>
      <c r="F5161" s="4" t="s">
        <v>11</v>
      </c>
    </row>
    <row r="5162" spans="1:10">
      <c r="A5162" t="n">
        <v>46899</v>
      </c>
      <c r="B5162" s="51" t="n">
        <v>45</v>
      </c>
      <c r="C5162" s="7" t="n">
        <v>11</v>
      </c>
      <c r="D5162" s="7" t="n">
        <v>3</v>
      </c>
      <c r="E5162" s="7" t="n">
        <v>33.4000015258789</v>
      </c>
      <c r="F5162" s="7" t="n">
        <v>8000</v>
      </c>
    </row>
    <row r="5163" spans="1:10">
      <c r="A5163" t="s">
        <v>4</v>
      </c>
      <c r="B5163" s="4" t="s">
        <v>5</v>
      </c>
      <c r="C5163" s="4" t="s">
        <v>7</v>
      </c>
      <c r="D5163" s="4" t="s">
        <v>11</v>
      </c>
      <c r="E5163" s="4" t="s">
        <v>13</v>
      </c>
    </row>
    <row r="5164" spans="1:10">
      <c r="A5164" t="n">
        <v>46908</v>
      </c>
      <c r="B5164" s="23" t="n">
        <v>58</v>
      </c>
      <c r="C5164" s="7" t="n">
        <v>100</v>
      </c>
      <c r="D5164" s="7" t="n">
        <v>1000</v>
      </c>
      <c r="E5164" s="7" t="n">
        <v>1</v>
      </c>
    </row>
    <row r="5165" spans="1:10">
      <c r="A5165" t="s">
        <v>4</v>
      </c>
      <c r="B5165" s="4" t="s">
        <v>5</v>
      </c>
      <c r="C5165" s="4" t="s">
        <v>7</v>
      </c>
      <c r="D5165" s="4" t="s">
        <v>11</v>
      </c>
    </row>
    <row r="5166" spans="1:10">
      <c r="A5166" t="n">
        <v>46916</v>
      </c>
      <c r="B5166" s="23" t="n">
        <v>58</v>
      </c>
      <c r="C5166" s="7" t="n">
        <v>255</v>
      </c>
      <c r="D5166" s="7" t="n">
        <v>0</v>
      </c>
    </row>
    <row r="5167" spans="1:10">
      <c r="A5167" t="s">
        <v>4</v>
      </c>
      <c r="B5167" s="4" t="s">
        <v>5</v>
      </c>
      <c r="C5167" s="4" t="s">
        <v>7</v>
      </c>
      <c r="D5167" s="4" t="s">
        <v>11</v>
      </c>
    </row>
    <row r="5168" spans="1:10">
      <c r="A5168" t="n">
        <v>46920</v>
      </c>
      <c r="B5168" s="51" t="n">
        <v>45</v>
      </c>
      <c r="C5168" s="7" t="n">
        <v>7</v>
      </c>
      <c r="D5168" s="7" t="n">
        <v>255</v>
      </c>
    </row>
    <row r="5169" spans="1:9">
      <c r="A5169" t="s">
        <v>4</v>
      </c>
      <c r="B5169" s="4" t="s">
        <v>5</v>
      </c>
      <c r="C5169" s="4" t="s">
        <v>7</v>
      </c>
      <c r="D5169" s="4" t="s">
        <v>11</v>
      </c>
      <c r="E5169" s="4" t="s">
        <v>13</v>
      </c>
    </row>
    <row r="5170" spans="1:9">
      <c r="A5170" t="n">
        <v>46924</v>
      </c>
      <c r="B5170" s="23" t="n">
        <v>58</v>
      </c>
      <c r="C5170" s="7" t="n">
        <v>101</v>
      </c>
      <c r="D5170" s="7" t="n">
        <v>800</v>
      </c>
      <c r="E5170" s="7" t="n">
        <v>1</v>
      </c>
    </row>
    <row r="5171" spans="1:9">
      <c r="A5171" t="s">
        <v>4</v>
      </c>
      <c r="B5171" s="4" t="s">
        <v>5</v>
      </c>
      <c r="C5171" s="4" t="s">
        <v>7</v>
      </c>
      <c r="D5171" s="4" t="s">
        <v>11</v>
      </c>
    </row>
    <row r="5172" spans="1:9">
      <c r="A5172" t="n">
        <v>46932</v>
      </c>
      <c r="B5172" s="23" t="n">
        <v>58</v>
      </c>
      <c r="C5172" s="7" t="n">
        <v>254</v>
      </c>
      <c r="D5172" s="7" t="n">
        <v>0</v>
      </c>
    </row>
    <row r="5173" spans="1:9">
      <c r="A5173" t="s">
        <v>4</v>
      </c>
      <c r="B5173" s="4" t="s">
        <v>5</v>
      </c>
      <c r="C5173" s="4" t="s">
        <v>7</v>
      </c>
      <c r="D5173" s="4" t="s">
        <v>7</v>
      </c>
      <c r="E5173" s="4" t="s">
        <v>13</v>
      </c>
      <c r="F5173" s="4" t="s">
        <v>13</v>
      </c>
      <c r="G5173" s="4" t="s">
        <v>13</v>
      </c>
      <c r="H5173" s="4" t="s">
        <v>11</v>
      </c>
    </row>
    <row r="5174" spans="1:9">
      <c r="A5174" t="n">
        <v>46936</v>
      </c>
      <c r="B5174" s="51" t="n">
        <v>45</v>
      </c>
      <c r="C5174" s="7" t="n">
        <v>2</v>
      </c>
      <c r="D5174" s="7" t="n">
        <v>3</v>
      </c>
      <c r="E5174" s="7" t="n">
        <v>4.26999998092651</v>
      </c>
      <c r="F5174" s="7" t="n">
        <v>2.44000005722046</v>
      </c>
      <c r="G5174" s="7" t="n">
        <v>44.1500015258789</v>
      </c>
      <c r="H5174" s="7" t="n">
        <v>0</v>
      </c>
    </row>
    <row r="5175" spans="1:9">
      <c r="A5175" t="s">
        <v>4</v>
      </c>
      <c r="B5175" s="4" t="s">
        <v>5</v>
      </c>
      <c r="C5175" s="4" t="s">
        <v>7</v>
      </c>
      <c r="D5175" s="4" t="s">
        <v>7</v>
      </c>
      <c r="E5175" s="4" t="s">
        <v>13</v>
      </c>
      <c r="F5175" s="4" t="s">
        <v>13</v>
      </c>
      <c r="G5175" s="4" t="s">
        <v>13</v>
      </c>
      <c r="H5175" s="4" t="s">
        <v>11</v>
      </c>
      <c r="I5175" s="4" t="s">
        <v>7</v>
      </c>
    </row>
    <row r="5176" spans="1:9">
      <c r="A5176" t="n">
        <v>46953</v>
      </c>
      <c r="B5176" s="51" t="n">
        <v>45</v>
      </c>
      <c r="C5176" s="7" t="n">
        <v>4</v>
      </c>
      <c r="D5176" s="7" t="n">
        <v>3</v>
      </c>
      <c r="E5176" s="7" t="n">
        <v>357.880004882813</v>
      </c>
      <c r="F5176" s="7" t="n">
        <v>321.779998779297</v>
      </c>
      <c r="G5176" s="7" t="n">
        <v>0</v>
      </c>
      <c r="H5176" s="7" t="n">
        <v>0</v>
      </c>
      <c r="I5176" s="7" t="n">
        <v>0</v>
      </c>
    </row>
    <row r="5177" spans="1:9">
      <c r="A5177" t="s">
        <v>4</v>
      </c>
      <c r="B5177" s="4" t="s">
        <v>5</v>
      </c>
      <c r="C5177" s="4" t="s">
        <v>7</v>
      </c>
      <c r="D5177" s="4" t="s">
        <v>7</v>
      </c>
      <c r="E5177" s="4" t="s">
        <v>13</v>
      </c>
      <c r="F5177" s="4" t="s">
        <v>11</v>
      </c>
    </row>
    <row r="5178" spans="1:9">
      <c r="A5178" t="n">
        <v>46971</v>
      </c>
      <c r="B5178" s="51" t="n">
        <v>45</v>
      </c>
      <c r="C5178" s="7" t="n">
        <v>5</v>
      </c>
      <c r="D5178" s="7" t="n">
        <v>3</v>
      </c>
      <c r="E5178" s="7" t="n">
        <v>2.40000009536743</v>
      </c>
      <c r="F5178" s="7" t="n">
        <v>0</v>
      </c>
    </row>
    <row r="5179" spans="1:9">
      <c r="A5179" t="s">
        <v>4</v>
      </c>
      <c r="B5179" s="4" t="s">
        <v>5</v>
      </c>
      <c r="C5179" s="4" t="s">
        <v>7</v>
      </c>
      <c r="D5179" s="4" t="s">
        <v>7</v>
      </c>
      <c r="E5179" s="4" t="s">
        <v>13</v>
      </c>
      <c r="F5179" s="4" t="s">
        <v>11</v>
      </c>
    </row>
    <row r="5180" spans="1:9">
      <c r="A5180" t="n">
        <v>46980</v>
      </c>
      <c r="B5180" s="51" t="n">
        <v>45</v>
      </c>
      <c r="C5180" s="7" t="n">
        <v>11</v>
      </c>
      <c r="D5180" s="7" t="n">
        <v>3</v>
      </c>
      <c r="E5180" s="7" t="n">
        <v>33.4000015258789</v>
      </c>
      <c r="F5180" s="7" t="n">
        <v>0</v>
      </c>
    </row>
    <row r="5181" spans="1:9">
      <c r="A5181" t="s">
        <v>4</v>
      </c>
      <c r="B5181" s="4" t="s">
        <v>5</v>
      </c>
      <c r="C5181" s="4" t="s">
        <v>7</v>
      </c>
      <c r="D5181" s="4" t="s">
        <v>7</v>
      </c>
      <c r="E5181" s="4" t="s">
        <v>13</v>
      </c>
      <c r="F5181" s="4" t="s">
        <v>13</v>
      </c>
      <c r="G5181" s="4" t="s">
        <v>13</v>
      </c>
      <c r="H5181" s="4" t="s">
        <v>11</v>
      </c>
    </row>
    <row r="5182" spans="1:9">
      <c r="A5182" t="n">
        <v>46989</v>
      </c>
      <c r="B5182" s="51" t="n">
        <v>45</v>
      </c>
      <c r="C5182" s="7" t="n">
        <v>2</v>
      </c>
      <c r="D5182" s="7" t="n">
        <v>3</v>
      </c>
      <c r="E5182" s="7" t="n">
        <v>4.76999998092651</v>
      </c>
      <c r="F5182" s="7" t="n">
        <v>1.45000004768372</v>
      </c>
      <c r="G5182" s="7" t="n">
        <v>45.2599983215332</v>
      </c>
      <c r="H5182" s="7" t="n">
        <v>8000</v>
      </c>
    </row>
    <row r="5183" spans="1:9">
      <c r="A5183" t="s">
        <v>4</v>
      </c>
      <c r="B5183" s="4" t="s">
        <v>5</v>
      </c>
      <c r="C5183" s="4" t="s">
        <v>7</v>
      </c>
      <c r="D5183" s="4" t="s">
        <v>7</v>
      </c>
      <c r="E5183" s="4" t="s">
        <v>13</v>
      </c>
      <c r="F5183" s="4" t="s">
        <v>13</v>
      </c>
      <c r="G5183" s="4" t="s">
        <v>13</v>
      </c>
      <c r="H5183" s="4" t="s">
        <v>11</v>
      </c>
      <c r="I5183" s="4" t="s">
        <v>7</v>
      </c>
    </row>
    <row r="5184" spans="1:9">
      <c r="A5184" t="n">
        <v>47006</v>
      </c>
      <c r="B5184" s="51" t="n">
        <v>45</v>
      </c>
      <c r="C5184" s="7" t="n">
        <v>4</v>
      </c>
      <c r="D5184" s="7" t="n">
        <v>3</v>
      </c>
      <c r="E5184" s="7" t="n">
        <v>358.660003662109</v>
      </c>
      <c r="F5184" s="7" t="n">
        <v>283.079986572266</v>
      </c>
      <c r="G5184" s="7" t="n">
        <v>0</v>
      </c>
      <c r="H5184" s="7" t="n">
        <v>8000</v>
      </c>
      <c r="I5184" s="7" t="n">
        <v>0</v>
      </c>
    </row>
    <row r="5185" spans="1:9">
      <c r="A5185" t="s">
        <v>4</v>
      </c>
      <c r="B5185" s="4" t="s">
        <v>5</v>
      </c>
      <c r="C5185" s="4" t="s">
        <v>7</v>
      </c>
      <c r="D5185" s="4" t="s">
        <v>7</v>
      </c>
      <c r="E5185" s="4" t="s">
        <v>13</v>
      </c>
      <c r="F5185" s="4" t="s">
        <v>11</v>
      </c>
    </row>
    <row r="5186" spans="1:9">
      <c r="A5186" t="n">
        <v>47024</v>
      </c>
      <c r="B5186" s="51" t="n">
        <v>45</v>
      </c>
      <c r="C5186" s="7" t="n">
        <v>5</v>
      </c>
      <c r="D5186" s="7" t="n">
        <v>3</v>
      </c>
      <c r="E5186" s="7" t="n">
        <v>2</v>
      </c>
      <c r="F5186" s="7" t="n">
        <v>8000</v>
      </c>
    </row>
    <row r="5187" spans="1:9">
      <c r="A5187" t="s">
        <v>4</v>
      </c>
      <c r="B5187" s="4" t="s">
        <v>5</v>
      </c>
      <c r="C5187" s="4" t="s">
        <v>7</v>
      </c>
      <c r="D5187" s="4" t="s">
        <v>11</v>
      </c>
    </row>
    <row r="5188" spans="1:9">
      <c r="A5188" t="n">
        <v>47033</v>
      </c>
      <c r="B5188" s="23" t="n">
        <v>58</v>
      </c>
      <c r="C5188" s="7" t="n">
        <v>255</v>
      </c>
      <c r="D5188" s="7" t="n">
        <v>0</v>
      </c>
    </row>
    <row r="5189" spans="1:9">
      <c r="A5189" t="s">
        <v>4</v>
      </c>
      <c r="B5189" s="4" t="s">
        <v>5</v>
      </c>
      <c r="C5189" s="4" t="s">
        <v>7</v>
      </c>
      <c r="D5189" s="4" t="s">
        <v>11</v>
      </c>
    </row>
    <row r="5190" spans="1:9">
      <c r="A5190" t="n">
        <v>47037</v>
      </c>
      <c r="B5190" s="51" t="n">
        <v>45</v>
      </c>
      <c r="C5190" s="7" t="n">
        <v>7</v>
      </c>
      <c r="D5190" s="7" t="n">
        <v>255</v>
      </c>
    </row>
    <row r="5191" spans="1:9">
      <c r="A5191" t="s">
        <v>4</v>
      </c>
      <c r="B5191" s="4" t="s">
        <v>5</v>
      </c>
      <c r="C5191" s="4" t="s">
        <v>7</v>
      </c>
      <c r="D5191" s="4" t="s">
        <v>11</v>
      </c>
      <c r="E5191" s="4" t="s">
        <v>13</v>
      </c>
    </row>
    <row r="5192" spans="1:9">
      <c r="A5192" t="n">
        <v>47041</v>
      </c>
      <c r="B5192" s="23" t="n">
        <v>58</v>
      </c>
      <c r="C5192" s="7" t="n">
        <v>101</v>
      </c>
      <c r="D5192" s="7" t="n">
        <v>800</v>
      </c>
      <c r="E5192" s="7" t="n">
        <v>1</v>
      </c>
    </row>
    <row r="5193" spans="1:9">
      <c r="A5193" t="s">
        <v>4</v>
      </c>
      <c r="B5193" s="4" t="s">
        <v>5</v>
      </c>
      <c r="C5193" s="4" t="s">
        <v>7</v>
      </c>
      <c r="D5193" s="4" t="s">
        <v>11</v>
      </c>
    </row>
    <row r="5194" spans="1:9">
      <c r="A5194" t="n">
        <v>47049</v>
      </c>
      <c r="B5194" s="23" t="n">
        <v>58</v>
      </c>
      <c r="C5194" s="7" t="n">
        <v>254</v>
      </c>
      <c r="D5194" s="7" t="n">
        <v>0</v>
      </c>
    </row>
    <row r="5195" spans="1:9">
      <c r="A5195" t="s">
        <v>4</v>
      </c>
      <c r="B5195" s="4" t="s">
        <v>5</v>
      </c>
      <c r="C5195" s="4" t="s">
        <v>7</v>
      </c>
      <c r="D5195" s="4" t="s">
        <v>7</v>
      </c>
      <c r="E5195" s="4" t="s">
        <v>13</v>
      </c>
      <c r="F5195" s="4" t="s">
        <v>13</v>
      </c>
      <c r="G5195" s="4" t="s">
        <v>13</v>
      </c>
      <c r="H5195" s="4" t="s">
        <v>11</v>
      </c>
    </row>
    <row r="5196" spans="1:9">
      <c r="A5196" t="n">
        <v>47053</v>
      </c>
      <c r="B5196" s="51" t="n">
        <v>45</v>
      </c>
      <c r="C5196" s="7" t="n">
        <v>2</v>
      </c>
      <c r="D5196" s="7" t="n">
        <v>3</v>
      </c>
      <c r="E5196" s="7" t="n">
        <v>4.73999977111816</v>
      </c>
      <c r="F5196" s="7" t="n">
        <v>1.37000000476837</v>
      </c>
      <c r="G5196" s="7" t="n">
        <v>45.310001373291</v>
      </c>
      <c r="H5196" s="7" t="n">
        <v>0</v>
      </c>
    </row>
    <row r="5197" spans="1:9">
      <c r="A5197" t="s">
        <v>4</v>
      </c>
      <c r="B5197" s="4" t="s">
        <v>5</v>
      </c>
      <c r="C5197" s="4" t="s">
        <v>7</v>
      </c>
      <c r="D5197" s="4" t="s">
        <v>7</v>
      </c>
      <c r="E5197" s="4" t="s">
        <v>13</v>
      </c>
      <c r="F5197" s="4" t="s">
        <v>13</v>
      </c>
      <c r="G5197" s="4" t="s">
        <v>13</v>
      </c>
      <c r="H5197" s="4" t="s">
        <v>11</v>
      </c>
      <c r="I5197" s="4" t="s">
        <v>7</v>
      </c>
    </row>
    <row r="5198" spans="1:9">
      <c r="A5198" t="n">
        <v>47070</v>
      </c>
      <c r="B5198" s="51" t="n">
        <v>45</v>
      </c>
      <c r="C5198" s="7" t="n">
        <v>4</v>
      </c>
      <c r="D5198" s="7" t="n">
        <v>3</v>
      </c>
      <c r="E5198" s="7" t="n">
        <v>4.3899998664856</v>
      </c>
      <c r="F5198" s="7" t="n">
        <v>107.779998779297</v>
      </c>
      <c r="G5198" s="7" t="n">
        <v>0</v>
      </c>
      <c r="H5198" s="7" t="n">
        <v>0</v>
      </c>
      <c r="I5198" s="7" t="n">
        <v>0</v>
      </c>
    </row>
    <row r="5199" spans="1:9">
      <c r="A5199" t="s">
        <v>4</v>
      </c>
      <c r="B5199" s="4" t="s">
        <v>5</v>
      </c>
      <c r="C5199" s="4" t="s">
        <v>7</v>
      </c>
      <c r="D5199" s="4" t="s">
        <v>7</v>
      </c>
      <c r="E5199" s="4" t="s">
        <v>13</v>
      </c>
      <c r="F5199" s="4" t="s">
        <v>11</v>
      </c>
    </row>
    <row r="5200" spans="1:9">
      <c r="A5200" t="n">
        <v>47088</v>
      </c>
      <c r="B5200" s="51" t="n">
        <v>45</v>
      </c>
      <c r="C5200" s="7" t="n">
        <v>5</v>
      </c>
      <c r="D5200" s="7" t="n">
        <v>3</v>
      </c>
      <c r="E5200" s="7" t="n">
        <v>2</v>
      </c>
      <c r="F5200" s="7" t="n">
        <v>0</v>
      </c>
    </row>
    <row r="5201" spans="1:9">
      <c r="A5201" t="s">
        <v>4</v>
      </c>
      <c r="B5201" s="4" t="s">
        <v>5</v>
      </c>
      <c r="C5201" s="4" t="s">
        <v>7</v>
      </c>
      <c r="D5201" s="4" t="s">
        <v>7</v>
      </c>
      <c r="E5201" s="4" t="s">
        <v>13</v>
      </c>
      <c r="F5201" s="4" t="s">
        <v>11</v>
      </c>
    </row>
    <row r="5202" spans="1:9">
      <c r="A5202" t="n">
        <v>47097</v>
      </c>
      <c r="B5202" s="51" t="n">
        <v>45</v>
      </c>
      <c r="C5202" s="7" t="n">
        <v>11</v>
      </c>
      <c r="D5202" s="7" t="n">
        <v>3</v>
      </c>
      <c r="E5202" s="7" t="n">
        <v>33.4000015258789</v>
      </c>
      <c r="F5202" s="7" t="n">
        <v>0</v>
      </c>
    </row>
    <row r="5203" spans="1:9">
      <c r="A5203" t="s">
        <v>4</v>
      </c>
      <c r="B5203" s="4" t="s">
        <v>5</v>
      </c>
      <c r="C5203" s="4" t="s">
        <v>11</v>
      </c>
      <c r="D5203" s="4" t="s">
        <v>15</v>
      </c>
    </row>
    <row r="5204" spans="1:9">
      <c r="A5204" t="n">
        <v>47106</v>
      </c>
      <c r="B5204" s="63" t="n">
        <v>44</v>
      </c>
      <c r="C5204" s="7" t="n">
        <v>5</v>
      </c>
      <c r="D5204" s="7" t="n">
        <v>1</v>
      </c>
    </row>
    <row r="5205" spans="1:9">
      <c r="A5205" t="s">
        <v>4</v>
      </c>
      <c r="B5205" s="4" t="s">
        <v>5</v>
      </c>
      <c r="C5205" s="4" t="s">
        <v>7</v>
      </c>
      <c r="D5205" s="4" t="s">
        <v>11</v>
      </c>
    </row>
    <row r="5206" spans="1:9">
      <c r="A5206" t="n">
        <v>47113</v>
      </c>
      <c r="B5206" s="23" t="n">
        <v>58</v>
      </c>
      <c r="C5206" s="7" t="n">
        <v>255</v>
      </c>
      <c r="D5206" s="7" t="n">
        <v>0</v>
      </c>
    </row>
    <row r="5207" spans="1:9">
      <c r="A5207" t="s">
        <v>4</v>
      </c>
      <c r="B5207" s="4" t="s">
        <v>5</v>
      </c>
      <c r="C5207" s="4" t="s">
        <v>8</v>
      </c>
      <c r="D5207" s="4" t="s">
        <v>8</v>
      </c>
    </row>
    <row r="5208" spans="1:9">
      <c r="A5208" t="n">
        <v>47117</v>
      </c>
      <c r="B5208" s="52" t="n">
        <v>70</v>
      </c>
      <c r="C5208" s="7" t="s">
        <v>279</v>
      </c>
      <c r="D5208" s="7" t="s">
        <v>280</v>
      </c>
    </row>
    <row r="5209" spans="1:9">
      <c r="A5209" t="s">
        <v>4</v>
      </c>
      <c r="B5209" s="4" t="s">
        <v>5</v>
      </c>
      <c r="C5209" s="4" t="s">
        <v>11</v>
      </c>
    </row>
    <row r="5210" spans="1:9">
      <c r="A5210" t="n">
        <v>47134</v>
      </c>
      <c r="B5210" s="29" t="n">
        <v>16</v>
      </c>
      <c r="C5210" s="7" t="n">
        <v>1000</v>
      </c>
    </row>
    <row r="5211" spans="1:9">
      <c r="A5211" t="s">
        <v>4</v>
      </c>
      <c r="B5211" s="4" t="s">
        <v>5</v>
      </c>
      <c r="C5211" s="4" t="s">
        <v>7</v>
      </c>
      <c r="D5211" s="4" t="s">
        <v>11</v>
      </c>
      <c r="E5211" s="4" t="s">
        <v>11</v>
      </c>
      <c r="F5211" s="4" t="s">
        <v>7</v>
      </c>
    </row>
    <row r="5212" spans="1:9">
      <c r="A5212" t="n">
        <v>47137</v>
      </c>
      <c r="B5212" s="31" t="n">
        <v>25</v>
      </c>
      <c r="C5212" s="7" t="n">
        <v>1</v>
      </c>
      <c r="D5212" s="7" t="n">
        <v>100</v>
      </c>
      <c r="E5212" s="7" t="n">
        <v>500</v>
      </c>
      <c r="F5212" s="7" t="n">
        <v>5</v>
      </c>
    </row>
    <row r="5213" spans="1:9">
      <c r="A5213" t="s">
        <v>4</v>
      </c>
      <c r="B5213" s="4" t="s">
        <v>5</v>
      </c>
      <c r="C5213" s="4" t="s">
        <v>8</v>
      </c>
      <c r="D5213" s="4" t="s">
        <v>11</v>
      </c>
    </row>
    <row r="5214" spans="1:9">
      <c r="A5214" t="n">
        <v>47144</v>
      </c>
      <c r="B5214" s="67" t="n">
        <v>29</v>
      </c>
      <c r="C5214" s="7" t="s">
        <v>281</v>
      </c>
      <c r="D5214" s="7" t="n">
        <v>65533</v>
      </c>
    </row>
    <row r="5215" spans="1:9">
      <c r="A5215" t="s">
        <v>4</v>
      </c>
      <c r="B5215" s="4" t="s">
        <v>5</v>
      </c>
      <c r="C5215" s="4" t="s">
        <v>7</v>
      </c>
      <c r="D5215" s="4" t="s">
        <v>11</v>
      </c>
      <c r="E5215" s="4" t="s">
        <v>8</v>
      </c>
    </row>
    <row r="5216" spans="1:9">
      <c r="A5216" t="n">
        <v>47153</v>
      </c>
      <c r="B5216" s="38" t="n">
        <v>51</v>
      </c>
      <c r="C5216" s="7" t="n">
        <v>4</v>
      </c>
      <c r="D5216" s="7" t="n">
        <v>5</v>
      </c>
      <c r="E5216" s="7" t="s">
        <v>16</v>
      </c>
    </row>
    <row r="5217" spans="1:6">
      <c r="A5217" t="s">
        <v>4</v>
      </c>
      <c r="B5217" s="4" t="s">
        <v>5</v>
      </c>
      <c r="C5217" s="4" t="s">
        <v>11</v>
      </c>
    </row>
    <row r="5218" spans="1:6">
      <c r="A5218" t="n">
        <v>47158</v>
      </c>
      <c r="B5218" s="29" t="n">
        <v>16</v>
      </c>
      <c r="C5218" s="7" t="n">
        <v>0</v>
      </c>
    </row>
    <row r="5219" spans="1:6">
      <c r="A5219" t="s">
        <v>4</v>
      </c>
      <c r="B5219" s="4" t="s">
        <v>5</v>
      </c>
      <c r="C5219" s="4" t="s">
        <v>11</v>
      </c>
      <c r="D5219" s="4" t="s">
        <v>7</v>
      </c>
      <c r="E5219" s="4" t="s">
        <v>15</v>
      </c>
      <c r="F5219" s="4" t="s">
        <v>55</v>
      </c>
      <c r="G5219" s="4" t="s">
        <v>7</v>
      </c>
      <c r="H5219" s="4" t="s">
        <v>7</v>
      </c>
    </row>
    <row r="5220" spans="1:6">
      <c r="A5220" t="n">
        <v>47161</v>
      </c>
      <c r="B5220" s="55" t="n">
        <v>26</v>
      </c>
      <c r="C5220" s="7" t="n">
        <v>5</v>
      </c>
      <c r="D5220" s="7" t="n">
        <v>17</v>
      </c>
      <c r="E5220" s="7" t="n">
        <v>63864</v>
      </c>
      <c r="F5220" s="7" t="s">
        <v>481</v>
      </c>
      <c r="G5220" s="7" t="n">
        <v>2</v>
      </c>
      <c r="H5220" s="7" t="n">
        <v>0</v>
      </c>
    </row>
    <row r="5221" spans="1:6">
      <c r="A5221" t="s">
        <v>4</v>
      </c>
      <c r="B5221" s="4" t="s">
        <v>5</v>
      </c>
    </row>
    <row r="5222" spans="1:6">
      <c r="A5222" t="n">
        <v>47240</v>
      </c>
      <c r="B5222" s="27" t="n">
        <v>28</v>
      </c>
    </row>
    <row r="5223" spans="1:6">
      <c r="A5223" t="s">
        <v>4</v>
      </c>
      <c r="B5223" s="4" t="s">
        <v>5</v>
      </c>
      <c r="C5223" s="4" t="s">
        <v>11</v>
      </c>
      <c r="D5223" s="4" t="s">
        <v>7</v>
      </c>
    </row>
    <row r="5224" spans="1:6">
      <c r="A5224" t="n">
        <v>47241</v>
      </c>
      <c r="B5224" s="68" t="n">
        <v>89</v>
      </c>
      <c r="C5224" s="7" t="n">
        <v>65533</v>
      </c>
      <c r="D5224" s="7" t="n">
        <v>1</v>
      </c>
    </row>
    <row r="5225" spans="1:6">
      <c r="A5225" t="s">
        <v>4</v>
      </c>
      <c r="B5225" s="4" t="s">
        <v>5</v>
      </c>
      <c r="C5225" s="4" t="s">
        <v>7</v>
      </c>
      <c r="D5225" s="4" t="s">
        <v>11</v>
      </c>
      <c r="E5225" s="4" t="s">
        <v>11</v>
      </c>
      <c r="F5225" s="4" t="s">
        <v>7</v>
      </c>
    </row>
    <row r="5226" spans="1:6">
      <c r="A5226" t="n">
        <v>47245</v>
      </c>
      <c r="B5226" s="31" t="n">
        <v>25</v>
      </c>
      <c r="C5226" s="7" t="n">
        <v>1</v>
      </c>
      <c r="D5226" s="7" t="n">
        <v>65535</v>
      </c>
      <c r="E5226" s="7" t="n">
        <v>65535</v>
      </c>
      <c r="F5226" s="7" t="n">
        <v>0</v>
      </c>
    </row>
    <row r="5227" spans="1:6">
      <c r="A5227" t="s">
        <v>4</v>
      </c>
      <c r="B5227" s="4" t="s">
        <v>5</v>
      </c>
      <c r="C5227" s="4" t="s">
        <v>8</v>
      </c>
      <c r="D5227" s="4" t="s">
        <v>11</v>
      </c>
    </row>
    <row r="5228" spans="1:6">
      <c r="A5228" t="n">
        <v>47252</v>
      </c>
      <c r="B5228" s="67" t="n">
        <v>29</v>
      </c>
      <c r="C5228" s="7" t="s">
        <v>16</v>
      </c>
      <c r="D5228" s="7" t="n">
        <v>65533</v>
      </c>
    </row>
    <row r="5229" spans="1:6">
      <c r="A5229" t="s">
        <v>4</v>
      </c>
      <c r="B5229" s="4" t="s">
        <v>5</v>
      </c>
      <c r="C5229" s="4" t="s">
        <v>11</v>
      </c>
      <c r="D5229" s="4" t="s">
        <v>7</v>
      </c>
      <c r="E5229" s="4" t="s">
        <v>13</v>
      </c>
      <c r="F5229" s="4" t="s">
        <v>11</v>
      </c>
    </row>
    <row r="5230" spans="1:6">
      <c r="A5230" t="n">
        <v>47256</v>
      </c>
      <c r="B5230" s="56" t="n">
        <v>59</v>
      </c>
      <c r="C5230" s="7" t="n">
        <v>0</v>
      </c>
      <c r="D5230" s="7" t="n">
        <v>13</v>
      </c>
      <c r="E5230" s="7" t="n">
        <v>0.150000005960464</v>
      </c>
      <c r="F5230" s="7" t="n">
        <v>0</v>
      </c>
    </row>
    <row r="5231" spans="1:6">
      <c r="A5231" t="s">
        <v>4</v>
      </c>
      <c r="B5231" s="4" t="s">
        <v>5</v>
      </c>
      <c r="C5231" s="4" t="s">
        <v>11</v>
      </c>
    </row>
    <row r="5232" spans="1:6">
      <c r="A5232" t="n">
        <v>47266</v>
      </c>
      <c r="B5232" s="29" t="n">
        <v>16</v>
      </c>
      <c r="C5232" s="7" t="n">
        <v>1000</v>
      </c>
    </row>
    <row r="5233" spans="1:8">
      <c r="A5233" t="s">
        <v>4</v>
      </c>
      <c r="B5233" s="4" t="s">
        <v>5</v>
      </c>
      <c r="C5233" s="4" t="s">
        <v>11</v>
      </c>
      <c r="D5233" s="4" t="s">
        <v>13</v>
      </c>
      <c r="E5233" s="4" t="s">
        <v>13</v>
      </c>
      <c r="F5233" s="4" t="s">
        <v>13</v>
      </c>
      <c r="G5233" s="4" t="s">
        <v>11</v>
      </c>
      <c r="H5233" s="4" t="s">
        <v>11</v>
      </c>
    </row>
    <row r="5234" spans="1:8">
      <c r="A5234" t="n">
        <v>47269</v>
      </c>
      <c r="B5234" s="37" t="n">
        <v>60</v>
      </c>
      <c r="C5234" s="7" t="n">
        <v>0</v>
      </c>
      <c r="D5234" s="7" t="n">
        <v>0</v>
      </c>
      <c r="E5234" s="7" t="n">
        <v>0</v>
      </c>
      <c r="F5234" s="7" t="n">
        <v>0</v>
      </c>
      <c r="G5234" s="7" t="n">
        <v>1000</v>
      </c>
      <c r="H5234" s="7" t="n">
        <v>0</v>
      </c>
    </row>
    <row r="5235" spans="1:8">
      <c r="A5235" t="s">
        <v>4</v>
      </c>
      <c r="B5235" s="4" t="s">
        <v>5</v>
      </c>
      <c r="C5235" s="4" t="s">
        <v>11</v>
      </c>
      <c r="D5235" s="4" t="s">
        <v>11</v>
      </c>
      <c r="E5235" s="4" t="s">
        <v>11</v>
      </c>
    </row>
    <row r="5236" spans="1:8">
      <c r="A5236" t="n">
        <v>47288</v>
      </c>
      <c r="B5236" s="72" t="n">
        <v>61</v>
      </c>
      <c r="C5236" s="7" t="n">
        <v>0</v>
      </c>
      <c r="D5236" s="7" t="n">
        <v>5</v>
      </c>
      <c r="E5236" s="7" t="n">
        <v>1000</v>
      </c>
    </row>
    <row r="5237" spans="1:8">
      <c r="A5237" t="s">
        <v>4</v>
      </c>
      <c r="B5237" s="4" t="s">
        <v>5</v>
      </c>
      <c r="C5237" s="4" t="s">
        <v>11</v>
      </c>
      <c r="D5237" s="4" t="s">
        <v>11</v>
      </c>
      <c r="E5237" s="4" t="s">
        <v>11</v>
      </c>
    </row>
    <row r="5238" spans="1:8">
      <c r="A5238" t="n">
        <v>47295</v>
      </c>
      <c r="B5238" s="72" t="n">
        <v>61</v>
      </c>
      <c r="C5238" s="7" t="n">
        <v>5</v>
      </c>
      <c r="D5238" s="7" t="n">
        <v>0</v>
      </c>
      <c r="E5238" s="7" t="n">
        <v>1000</v>
      </c>
    </row>
    <row r="5239" spans="1:8">
      <c r="A5239" t="s">
        <v>4</v>
      </c>
      <c r="B5239" s="4" t="s">
        <v>5</v>
      </c>
      <c r="C5239" s="4" t="s">
        <v>11</v>
      </c>
      <c r="D5239" s="4" t="s">
        <v>13</v>
      </c>
      <c r="E5239" s="4" t="s">
        <v>13</v>
      </c>
      <c r="F5239" s="4" t="s">
        <v>7</v>
      </c>
    </row>
    <row r="5240" spans="1:8">
      <c r="A5240" t="n">
        <v>47302</v>
      </c>
      <c r="B5240" s="65" t="n">
        <v>52</v>
      </c>
      <c r="C5240" s="7" t="n">
        <v>0</v>
      </c>
      <c r="D5240" s="7" t="n">
        <v>332.399993896484</v>
      </c>
      <c r="E5240" s="7" t="n">
        <v>5</v>
      </c>
      <c r="F5240" s="7" t="n">
        <v>0</v>
      </c>
    </row>
    <row r="5241" spans="1:8">
      <c r="A5241" t="s">
        <v>4</v>
      </c>
      <c r="B5241" s="4" t="s">
        <v>5</v>
      </c>
      <c r="C5241" s="4" t="s">
        <v>11</v>
      </c>
    </row>
    <row r="5242" spans="1:8">
      <c r="A5242" t="n">
        <v>47314</v>
      </c>
      <c r="B5242" s="66" t="n">
        <v>54</v>
      </c>
      <c r="C5242" s="7" t="n">
        <v>0</v>
      </c>
    </row>
    <row r="5243" spans="1:8">
      <c r="A5243" t="s">
        <v>4</v>
      </c>
      <c r="B5243" s="4" t="s">
        <v>5</v>
      </c>
      <c r="C5243" s="4" t="s">
        <v>7</v>
      </c>
      <c r="D5243" s="4" t="s">
        <v>11</v>
      </c>
      <c r="E5243" s="4" t="s">
        <v>13</v>
      </c>
    </row>
    <row r="5244" spans="1:8">
      <c r="A5244" t="n">
        <v>47317</v>
      </c>
      <c r="B5244" s="23" t="n">
        <v>58</v>
      </c>
      <c r="C5244" s="7" t="n">
        <v>101</v>
      </c>
      <c r="D5244" s="7" t="n">
        <v>500</v>
      </c>
      <c r="E5244" s="7" t="n">
        <v>1</v>
      </c>
    </row>
    <row r="5245" spans="1:8">
      <c r="A5245" t="s">
        <v>4</v>
      </c>
      <c r="B5245" s="4" t="s">
        <v>5</v>
      </c>
      <c r="C5245" s="4" t="s">
        <v>7</v>
      </c>
      <c r="D5245" s="4" t="s">
        <v>11</v>
      </c>
    </row>
    <row r="5246" spans="1:8">
      <c r="A5246" t="n">
        <v>47325</v>
      </c>
      <c r="B5246" s="23" t="n">
        <v>58</v>
      </c>
      <c r="C5246" s="7" t="n">
        <v>254</v>
      </c>
      <c r="D5246" s="7" t="n">
        <v>0</v>
      </c>
    </row>
    <row r="5247" spans="1:8">
      <c r="A5247" t="s">
        <v>4</v>
      </c>
      <c r="B5247" s="4" t="s">
        <v>5</v>
      </c>
      <c r="C5247" s="4" t="s">
        <v>7</v>
      </c>
      <c r="D5247" s="4" t="s">
        <v>7</v>
      </c>
      <c r="E5247" s="4" t="s">
        <v>13</v>
      </c>
      <c r="F5247" s="4" t="s">
        <v>13</v>
      </c>
      <c r="G5247" s="4" t="s">
        <v>13</v>
      </c>
      <c r="H5247" s="4" t="s">
        <v>11</v>
      </c>
    </row>
    <row r="5248" spans="1:8">
      <c r="A5248" t="n">
        <v>47329</v>
      </c>
      <c r="B5248" s="51" t="n">
        <v>45</v>
      </c>
      <c r="C5248" s="7" t="n">
        <v>2</v>
      </c>
      <c r="D5248" s="7" t="n">
        <v>3</v>
      </c>
      <c r="E5248" s="7" t="n">
        <v>4.92999982833862</v>
      </c>
      <c r="F5248" s="7" t="n">
        <v>1.46000003814697</v>
      </c>
      <c r="G5248" s="7" t="n">
        <v>45.6699981689453</v>
      </c>
      <c r="H5248" s="7" t="n">
        <v>0</v>
      </c>
    </row>
    <row r="5249" spans="1:8">
      <c r="A5249" t="s">
        <v>4</v>
      </c>
      <c r="B5249" s="4" t="s">
        <v>5</v>
      </c>
      <c r="C5249" s="4" t="s">
        <v>7</v>
      </c>
      <c r="D5249" s="4" t="s">
        <v>7</v>
      </c>
      <c r="E5249" s="4" t="s">
        <v>13</v>
      </c>
      <c r="F5249" s="4" t="s">
        <v>13</v>
      </c>
      <c r="G5249" s="4" t="s">
        <v>13</v>
      </c>
      <c r="H5249" s="4" t="s">
        <v>11</v>
      </c>
      <c r="I5249" s="4" t="s">
        <v>7</v>
      </c>
    </row>
    <row r="5250" spans="1:8">
      <c r="A5250" t="n">
        <v>47346</v>
      </c>
      <c r="B5250" s="51" t="n">
        <v>45</v>
      </c>
      <c r="C5250" s="7" t="n">
        <v>4</v>
      </c>
      <c r="D5250" s="7" t="n">
        <v>3</v>
      </c>
      <c r="E5250" s="7" t="n">
        <v>5.69000005722046</v>
      </c>
      <c r="F5250" s="7" t="n">
        <v>260.239990234375</v>
      </c>
      <c r="G5250" s="7" t="n">
        <v>0</v>
      </c>
      <c r="H5250" s="7" t="n">
        <v>0</v>
      </c>
      <c r="I5250" s="7" t="n">
        <v>0</v>
      </c>
    </row>
    <row r="5251" spans="1:8">
      <c r="A5251" t="s">
        <v>4</v>
      </c>
      <c r="B5251" s="4" t="s">
        <v>5</v>
      </c>
      <c r="C5251" s="4" t="s">
        <v>7</v>
      </c>
      <c r="D5251" s="4" t="s">
        <v>7</v>
      </c>
      <c r="E5251" s="4" t="s">
        <v>13</v>
      </c>
      <c r="F5251" s="4" t="s">
        <v>11</v>
      </c>
    </row>
    <row r="5252" spans="1:8">
      <c r="A5252" t="n">
        <v>47364</v>
      </c>
      <c r="B5252" s="51" t="n">
        <v>45</v>
      </c>
      <c r="C5252" s="7" t="n">
        <v>5</v>
      </c>
      <c r="D5252" s="7" t="n">
        <v>3</v>
      </c>
      <c r="E5252" s="7" t="n">
        <v>1.70000004768372</v>
      </c>
      <c r="F5252" s="7" t="n">
        <v>0</v>
      </c>
    </row>
    <row r="5253" spans="1:8">
      <c r="A5253" t="s">
        <v>4</v>
      </c>
      <c r="B5253" s="4" t="s">
        <v>5</v>
      </c>
      <c r="C5253" s="4" t="s">
        <v>7</v>
      </c>
      <c r="D5253" s="4" t="s">
        <v>7</v>
      </c>
      <c r="E5253" s="4" t="s">
        <v>13</v>
      </c>
      <c r="F5253" s="4" t="s">
        <v>11</v>
      </c>
    </row>
    <row r="5254" spans="1:8">
      <c r="A5254" t="n">
        <v>47373</v>
      </c>
      <c r="B5254" s="51" t="n">
        <v>45</v>
      </c>
      <c r="C5254" s="7" t="n">
        <v>11</v>
      </c>
      <c r="D5254" s="7" t="n">
        <v>3</v>
      </c>
      <c r="E5254" s="7" t="n">
        <v>34</v>
      </c>
      <c r="F5254" s="7" t="n">
        <v>0</v>
      </c>
    </row>
    <row r="5255" spans="1:8">
      <c r="A5255" t="s">
        <v>4</v>
      </c>
      <c r="B5255" s="4" t="s">
        <v>5</v>
      </c>
      <c r="C5255" s="4" t="s">
        <v>7</v>
      </c>
      <c r="D5255" s="4" t="s">
        <v>7</v>
      </c>
      <c r="E5255" s="4" t="s">
        <v>13</v>
      </c>
      <c r="F5255" s="4" t="s">
        <v>13</v>
      </c>
      <c r="G5255" s="4" t="s">
        <v>13</v>
      </c>
      <c r="H5255" s="4" t="s">
        <v>11</v>
      </c>
    </row>
    <row r="5256" spans="1:8">
      <c r="A5256" t="n">
        <v>47382</v>
      </c>
      <c r="B5256" s="51" t="n">
        <v>45</v>
      </c>
      <c r="C5256" s="7" t="n">
        <v>2</v>
      </c>
      <c r="D5256" s="7" t="n">
        <v>3</v>
      </c>
      <c r="E5256" s="7" t="n">
        <v>4.84999990463257</v>
      </c>
      <c r="F5256" s="7" t="n">
        <v>1.4099999666214</v>
      </c>
      <c r="G5256" s="7" t="n">
        <v>45.7999992370605</v>
      </c>
      <c r="H5256" s="7" t="n">
        <v>5500</v>
      </c>
    </row>
    <row r="5257" spans="1:8">
      <c r="A5257" t="s">
        <v>4</v>
      </c>
      <c r="B5257" s="4" t="s">
        <v>5</v>
      </c>
      <c r="C5257" s="4" t="s">
        <v>7</v>
      </c>
      <c r="D5257" s="4" t="s">
        <v>7</v>
      </c>
      <c r="E5257" s="4" t="s">
        <v>13</v>
      </c>
      <c r="F5257" s="4" t="s">
        <v>13</v>
      </c>
      <c r="G5257" s="4" t="s">
        <v>13</v>
      </c>
      <c r="H5257" s="4" t="s">
        <v>11</v>
      </c>
      <c r="I5257" s="4" t="s">
        <v>7</v>
      </c>
    </row>
    <row r="5258" spans="1:8">
      <c r="A5258" t="n">
        <v>47399</v>
      </c>
      <c r="B5258" s="51" t="n">
        <v>45</v>
      </c>
      <c r="C5258" s="7" t="n">
        <v>4</v>
      </c>
      <c r="D5258" s="7" t="n">
        <v>3</v>
      </c>
      <c r="E5258" s="7" t="n">
        <v>5.46999979019165</v>
      </c>
      <c r="F5258" s="7" t="n">
        <v>232.490005493164</v>
      </c>
      <c r="G5258" s="7" t="n">
        <v>0</v>
      </c>
      <c r="H5258" s="7" t="n">
        <v>5500</v>
      </c>
      <c r="I5258" s="7" t="n">
        <v>0</v>
      </c>
    </row>
    <row r="5259" spans="1:8">
      <c r="A5259" t="s">
        <v>4</v>
      </c>
      <c r="B5259" s="4" t="s">
        <v>5</v>
      </c>
      <c r="C5259" s="4" t="s">
        <v>11</v>
      </c>
      <c r="D5259" s="4" t="s">
        <v>7</v>
      </c>
      <c r="E5259" s="4" t="s">
        <v>7</v>
      </c>
      <c r="F5259" s="4" t="s">
        <v>8</v>
      </c>
    </row>
    <row r="5260" spans="1:8">
      <c r="A5260" t="n">
        <v>47417</v>
      </c>
      <c r="B5260" s="50" t="n">
        <v>20</v>
      </c>
      <c r="C5260" s="7" t="n">
        <v>5</v>
      </c>
      <c r="D5260" s="7" t="n">
        <v>2</v>
      </c>
      <c r="E5260" s="7" t="n">
        <v>11</v>
      </c>
      <c r="F5260" s="7" t="s">
        <v>283</v>
      </c>
    </row>
    <row r="5261" spans="1:8">
      <c r="A5261" t="s">
        <v>4</v>
      </c>
      <c r="B5261" s="4" t="s">
        <v>5</v>
      </c>
      <c r="C5261" s="4" t="s">
        <v>7</v>
      </c>
    </row>
    <row r="5262" spans="1:8">
      <c r="A5262" t="n">
        <v>47444</v>
      </c>
      <c r="B5262" s="49" t="n">
        <v>116</v>
      </c>
      <c r="C5262" s="7" t="n">
        <v>0</v>
      </c>
    </row>
    <row r="5263" spans="1:8">
      <c r="A5263" t="s">
        <v>4</v>
      </c>
      <c r="B5263" s="4" t="s">
        <v>5</v>
      </c>
      <c r="C5263" s="4" t="s">
        <v>7</v>
      </c>
      <c r="D5263" s="4" t="s">
        <v>11</v>
      </c>
    </row>
    <row r="5264" spans="1:8">
      <c r="A5264" t="n">
        <v>47446</v>
      </c>
      <c r="B5264" s="49" t="n">
        <v>116</v>
      </c>
      <c r="C5264" s="7" t="n">
        <v>2</v>
      </c>
      <c r="D5264" s="7" t="n">
        <v>1</v>
      </c>
    </row>
    <row r="5265" spans="1:9">
      <c r="A5265" t="s">
        <v>4</v>
      </c>
      <c r="B5265" s="4" t="s">
        <v>5</v>
      </c>
      <c r="C5265" s="4" t="s">
        <v>7</v>
      </c>
      <c r="D5265" s="4" t="s">
        <v>15</v>
      </c>
    </row>
    <row r="5266" spans="1:9">
      <c r="A5266" t="n">
        <v>47450</v>
      </c>
      <c r="B5266" s="49" t="n">
        <v>116</v>
      </c>
      <c r="C5266" s="7" t="n">
        <v>5</v>
      </c>
      <c r="D5266" s="7" t="n">
        <v>1084227584</v>
      </c>
    </row>
    <row r="5267" spans="1:9">
      <c r="A5267" t="s">
        <v>4</v>
      </c>
      <c r="B5267" s="4" t="s">
        <v>5</v>
      </c>
      <c r="C5267" s="4" t="s">
        <v>7</v>
      </c>
      <c r="D5267" s="4" t="s">
        <v>11</v>
      </c>
    </row>
    <row r="5268" spans="1:9">
      <c r="A5268" t="n">
        <v>47456</v>
      </c>
      <c r="B5268" s="49" t="n">
        <v>116</v>
      </c>
      <c r="C5268" s="7" t="n">
        <v>6</v>
      </c>
      <c r="D5268" s="7" t="n">
        <v>1</v>
      </c>
    </row>
    <row r="5269" spans="1:9">
      <c r="A5269" t="s">
        <v>4</v>
      </c>
      <c r="B5269" s="4" t="s">
        <v>5</v>
      </c>
      <c r="C5269" s="4" t="s">
        <v>7</v>
      </c>
      <c r="D5269" s="4" t="s">
        <v>11</v>
      </c>
    </row>
    <row r="5270" spans="1:9">
      <c r="A5270" t="n">
        <v>47460</v>
      </c>
      <c r="B5270" s="23" t="n">
        <v>58</v>
      </c>
      <c r="C5270" s="7" t="n">
        <v>255</v>
      </c>
      <c r="D5270" s="7" t="n">
        <v>0</v>
      </c>
    </row>
    <row r="5271" spans="1:9">
      <c r="A5271" t="s">
        <v>4</v>
      </c>
      <c r="B5271" s="4" t="s">
        <v>5</v>
      </c>
      <c r="C5271" s="4" t="s">
        <v>11</v>
      </c>
    </row>
    <row r="5272" spans="1:9">
      <c r="A5272" t="n">
        <v>47464</v>
      </c>
      <c r="B5272" s="29" t="n">
        <v>16</v>
      </c>
      <c r="C5272" s="7" t="n">
        <v>800</v>
      </c>
    </row>
    <row r="5273" spans="1:9">
      <c r="A5273" t="s">
        <v>4</v>
      </c>
      <c r="B5273" s="4" t="s">
        <v>5</v>
      </c>
      <c r="C5273" s="4" t="s">
        <v>8</v>
      </c>
      <c r="D5273" s="4" t="s">
        <v>8</v>
      </c>
    </row>
    <row r="5274" spans="1:9">
      <c r="A5274" t="n">
        <v>47467</v>
      </c>
      <c r="B5274" s="52" t="n">
        <v>70</v>
      </c>
      <c r="C5274" s="7" t="s">
        <v>279</v>
      </c>
      <c r="D5274" s="7" t="s">
        <v>284</v>
      </c>
    </row>
    <row r="5275" spans="1:9">
      <c r="A5275" t="s">
        <v>4</v>
      </c>
      <c r="B5275" s="4" t="s">
        <v>5</v>
      </c>
      <c r="C5275" s="4" t="s">
        <v>7</v>
      </c>
      <c r="D5275" s="4" t="s">
        <v>11</v>
      </c>
    </row>
    <row r="5276" spans="1:9">
      <c r="A5276" t="n">
        <v>47485</v>
      </c>
      <c r="B5276" s="51" t="n">
        <v>45</v>
      </c>
      <c r="C5276" s="7" t="n">
        <v>7</v>
      </c>
      <c r="D5276" s="7" t="n">
        <v>255</v>
      </c>
    </row>
    <row r="5277" spans="1:9">
      <c r="A5277" t="s">
        <v>4</v>
      </c>
      <c r="B5277" s="4" t="s">
        <v>5</v>
      </c>
      <c r="C5277" s="4" t="s">
        <v>7</v>
      </c>
      <c r="D5277" s="4" t="s">
        <v>11</v>
      </c>
      <c r="E5277" s="4" t="s">
        <v>8</v>
      </c>
    </row>
    <row r="5278" spans="1:9">
      <c r="A5278" t="n">
        <v>47489</v>
      </c>
      <c r="B5278" s="38" t="n">
        <v>51</v>
      </c>
      <c r="C5278" s="7" t="n">
        <v>4</v>
      </c>
      <c r="D5278" s="7" t="n">
        <v>0</v>
      </c>
      <c r="E5278" s="7" t="s">
        <v>285</v>
      </c>
    </row>
    <row r="5279" spans="1:9">
      <c r="A5279" t="s">
        <v>4</v>
      </c>
      <c r="B5279" s="4" t="s">
        <v>5</v>
      </c>
      <c r="C5279" s="4" t="s">
        <v>11</v>
      </c>
    </row>
    <row r="5280" spans="1:9">
      <c r="A5280" t="n">
        <v>47502</v>
      </c>
      <c r="B5280" s="29" t="n">
        <v>16</v>
      </c>
      <c r="C5280" s="7" t="n">
        <v>0</v>
      </c>
    </row>
    <row r="5281" spans="1:5">
      <c r="A5281" t="s">
        <v>4</v>
      </c>
      <c r="B5281" s="4" t="s">
        <v>5</v>
      </c>
      <c r="C5281" s="4" t="s">
        <v>11</v>
      </c>
      <c r="D5281" s="4" t="s">
        <v>7</v>
      </c>
      <c r="E5281" s="4" t="s">
        <v>15</v>
      </c>
      <c r="F5281" s="4" t="s">
        <v>55</v>
      </c>
      <c r="G5281" s="4" t="s">
        <v>7</v>
      </c>
      <c r="H5281" s="4" t="s">
        <v>7</v>
      </c>
      <c r="I5281" s="4" t="s">
        <v>7</v>
      </c>
      <c r="J5281" s="4" t="s">
        <v>15</v>
      </c>
      <c r="K5281" s="4" t="s">
        <v>55</v>
      </c>
      <c r="L5281" s="4" t="s">
        <v>7</v>
      </c>
      <c r="M5281" s="4" t="s">
        <v>7</v>
      </c>
    </row>
    <row r="5282" spans="1:5">
      <c r="A5282" t="n">
        <v>47505</v>
      </c>
      <c r="B5282" s="55" t="n">
        <v>26</v>
      </c>
      <c r="C5282" s="7" t="n">
        <v>0</v>
      </c>
      <c r="D5282" s="7" t="n">
        <v>17</v>
      </c>
      <c r="E5282" s="7" t="n">
        <v>63865</v>
      </c>
      <c r="F5282" s="7" t="s">
        <v>482</v>
      </c>
      <c r="G5282" s="7" t="n">
        <v>2</v>
      </c>
      <c r="H5282" s="7" t="n">
        <v>3</v>
      </c>
      <c r="I5282" s="7" t="n">
        <v>17</v>
      </c>
      <c r="J5282" s="7" t="n">
        <v>63866</v>
      </c>
      <c r="K5282" s="7" t="s">
        <v>483</v>
      </c>
      <c r="L5282" s="7" t="n">
        <v>2</v>
      </c>
      <c r="M5282" s="7" t="n">
        <v>0</v>
      </c>
    </row>
    <row r="5283" spans="1:5">
      <c r="A5283" t="s">
        <v>4</v>
      </c>
      <c r="B5283" s="4" t="s">
        <v>5</v>
      </c>
    </row>
    <row r="5284" spans="1:5">
      <c r="A5284" t="n">
        <v>47612</v>
      </c>
      <c r="B5284" s="27" t="n">
        <v>28</v>
      </c>
    </row>
    <row r="5285" spans="1:5">
      <c r="A5285" t="s">
        <v>4</v>
      </c>
      <c r="B5285" s="4" t="s">
        <v>5</v>
      </c>
      <c r="C5285" s="4" t="s">
        <v>7</v>
      </c>
      <c r="D5285" s="4" t="s">
        <v>11</v>
      </c>
      <c r="E5285" s="4" t="s">
        <v>13</v>
      </c>
    </row>
    <row r="5286" spans="1:5">
      <c r="A5286" t="n">
        <v>47613</v>
      </c>
      <c r="B5286" s="23" t="n">
        <v>58</v>
      </c>
      <c r="C5286" s="7" t="n">
        <v>101</v>
      </c>
      <c r="D5286" s="7" t="n">
        <v>500</v>
      </c>
      <c r="E5286" s="7" t="n">
        <v>1</v>
      </c>
    </row>
    <row r="5287" spans="1:5">
      <c r="A5287" t="s">
        <v>4</v>
      </c>
      <c r="B5287" s="4" t="s">
        <v>5</v>
      </c>
      <c r="C5287" s="4" t="s">
        <v>7</v>
      </c>
      <c r="D5287" s="4" t="s">
        <v>11</v>
      </c>
    </row>
    <row r="5288" spans="1:5">
      <c r="A5288" t="n">
        <v>47621</v>
      </c>
      <c r="B5288" s="23" t="n">
        <v>58</v>
      </c>
      <c r="C5288" s="7" t="n">
        <v>254</v>
      </c>
      <c r="D5288" s="7" t="n">
        <v>0</v>
      </c>
    </row>
    <row r="5289" spans="1:5">
      <c r="A5289" t="s">
        <v>4</v>
      </c>
      <c r="B5289" s="4" t="s">
        <v>5</v>
      </c>
      <c r="C5289" s="4" t="s">
        <v>7</v>
      </c>
      <c r="D5289" s="4" t="s">
        <v>7</v>
      </c>
      <c r="E5289" s="4" t="s">
        <v>13</v>
      </c>
      <c r="F5289" s="4" t="s">
        <v>13</v>
      </c>
      <c r="G5289" s="4" t="s">
        <v>13</v>
      </c>
      <c r="H5289" s="4" t="s">
        <v>11</v>
      </c>
    </row>
    <row r="5290" spans="1:5">
      <c r="A5290" t="n">
        <v>47625</v>
      </c>
      <c r="B5290" s="51" t="n">
        <v>45</v>
      </c>
      <c r="C5290" s="7" t="n">
        <v>2</v>
      </c>
      <c r="D5290" s="7" t="n">
        <v>3</v>
      </c>
      <c r="E5290" s="7" t="n">
        <v>4.96999979019165</v>
      </c>
      <c r="F5290" s="7" t="n">
        <v>1.41999995708466</v>
      </c>
      <c r="G5290" s="7" t="n">
        <v>46.3800010681152</v>
      </c>
      <c r="H5290" s="7" t="n">
        <v>0</v>
      </c>
    </row>
    <row r="5291" spans="1:5">
      <c r="A5291" t="s">
        <v>4</v>
      </c>
      <c r="B5291" s="4" t="s">
        <v>5</v>
      </c>
      <c r="C5291" s="4" t="s">
        <v>7</v>
      </c>
      <c r="D5291" s="4" t="s">
        <v>7</v>
      </c>
      <c r="E5291" s="4" t="s">
        <v>13</v>
      </c>
      <c r="F5291" s="4" t="s">
        <v>13</v>
      </c>
      <c r="G5291" s="4" t="s">
        <v>13</v>
      </c>
      <c r="H5291" s="4" t="s">
        <v>11</v>
      </c>
      <c r="I5291" s="4" t="s">
        <v>7</v>
      </c>
    </row>
    <row r="5292" spans="1:5">
      <c r="A5292" t="n">
        <v>47642</v>
      </c>
      <c r="B5292" s="51" t="n">
        <v>45</v>
      </c>
      <c r="C5292" s="7" t="n">
        <v>4</v>
      </c>
      <c r="D5292" s="7" t="n">
        <v>3</v>
      </c>
      <c r="E5292" s="7" t="n">
        <v>8.30000019073486</v>
      </c>
      <c r="F5292" s="7" t="n">
        <v>213.210006713867</v>
      </c>
      <c r="G5292" s="7" t="n">
        <v>0</v>
      </c>
      <c r="H5292" s="7" t="n">
        <v>0</v>
      </c>
      <c r="I5292" s="7" t="n">
        <v>0</v>
      </c>
    </row>
    <row r="5293" spans="1:5">
      <c r="A5293" t="s">
        <v>4</v>
      </c>
      <c r="B5293" s="4" t="s">
        <v>5</v>
      </c>
      <c r="C5293" s="4" t="s">
        <v>7</v>
      </c>
      <c r="D5293" s="4" t="s">
        <v>7</v>
      </c>
      <c r="E5293" s="4" t="s">
        <v>13</v>
      </c>
      <c r="F5293" s="4" t="s">
        <v>11</v>
      </c>
    </row>
    <row r="5294" spans="1:5">
      <c r="A5294" t="n">
        <v>47660</v>
      </c>
      <c r="B5294" s="51" t="n">
        <v>45</v>
      </c>
      <c r="C5294" s="7" t="n">
        <v>5</v>
      </c>
      <c r="D5294" s="7" t="n">
        <v>3</v>
      </c>
      <c r="E5294" s="7" t="n">
        <v>1</v>
      </c>
      <c r="F5294" s="7" t="n">
        <v>0</v>
      </c>
    </row>
    <row r="5295" spans="1:5">
      <c r="A5295" t="s">
        <v>4</v>
      </c>
      <c r="B5295" s="4" t="s">
        <v>5</v>
      </c>
      <c r="C5295" s="4" t="s">
        <v>7</v>
      </c>
      <c r="D5295" s="4" t="s">
        <v>7</v>
      </c>
      <c r="E5295" s="4" t="s">
        <v>13</v>
      </c>
      <c r="F5295" s="4" t="s">
        <v>11</v>
      </c>
    </row>
    <row r="5296" spans="1:5">
      <c r="A5296" t="n">
        <v>47669</v>
      </c>
      <c r="B5296" s="51" t="n">
        <v>45</v>
      </c>
      <c r="C5296" s="7" t="n">
        <v>11</v>
      </c>
      <c r="D5296" s="7" t="n">
        <v>3</v>
      </c>
      <c r="E5296" s="7" t="n">
        <v>34</v>
      </c>
      <c r="F5296" s="7" t="n">
        <v>0</v>
      </c>
    </row>
    <row r="5297" spans="1:13">
      <c r="A5297" t="s">
        <v>4</v>
      </c>
      <c r="B5297" s="4" t="s">
        <v>5</v>
      </c>
      <c r="C5297" s="4" t="s">
        <v>7</v>
      </c>
      <c r="D5297" s="4" t="s">
        <v>11</v>
      </c>
    </row>
    <row r="5298" spans="1:13">
      <c r="A5298" t="n">
        <v>47678</v>
      </c>
      <c r="B5298" s="23" t="n">
        <v>58</v>
      </c>
      <c r="C5298" s="7" t="n">
        <v>255</v>
      </c>
      <c r="D5298" s="7" t="n">
        <v>0</v>
      </c>
    </row>
    <row r="5299" spans="1:13">
      <c r="A5299" t="s">
        <v>4</v>
      </c>
      <c r="B5299" s="4" t="s">
        <v>5</v>
      </c>
      <c r="C5299" s="4" t="s">
        <v>7</v>
      </c>
      <c r="D5299" s="4" t="s">
        <v>11</v>
      </c>
      <c r="E5299" s="4" t="s">
        <v>8</v>
      </c>
    </row>
    <row r="5300" spans="1:13">
      <c r="A5300" t="n">
        <v>47682</v>
      </c>
      <c r="B5300" s="38" t="n">
        <v>51</v>
      </c>
      <c r="C5300" s="7" t="n">
        <v>4</v>
      </c>
      <c r="D5300" s="7" t="n">
        <v>5</v>
      </c>
      <c r="E5300" s="7" t="s">
        <v>242</v>
      </c>
    </row>
    <row r="5301" spans="1:13">
      <c r="A5301" t="s">
        <v>4</v>
      </c>
      <c r="B5301" s="4" t="s">
        <v>5</v>
      </c>
      <c r="C5301" s="4" t="s">
        <v>11</v>
      </c>
    </row>
    <row r="5302" spans="1:13">
      <c r="A5302" t="n">
        <v>47696</v>
      </c>
      <c r="B5302" s="29" t="n">
        <v>16</v>
      </c>
      <c r="C5302" s="7" t="n">
        <v>0</v>
      </c>
    </row>
    <row r="5303" spans="1:13">
      <c r="A5303" t="s">
        <v>4</v>
      </c>
      <c r="B5303" s="4" t="s">
        <v>5</v>
      </c>
      <c r="C5303" s="4" t="s">
        <v>11</v>
      </c>
      <c r="D5303" s="4" t="s">
        <v>7</v>
      </c>
      <c r="E5303" s="4" t="s">
        <v>15</v>
      </c>
      <c r="F5303" s="4" t="s">
        <v>55</v>
      </c>
      <c r="G5303" s="4" t="s">
        <v>7</v>
      </c>
      <c r="H5303" s="4" t="s">
        <v>7</v>
      </c>
      <c r="I5303" s="4" t="s">
        <v>7</v>
      </c>
      <c r="J5303" s="4" t="s">
        <v>15</v>
      </c>
      <c r="K5303" s="4" t="s">
        <v>55</v>
      </c>
      <c r="L5303" s="4" t="s">
        <v>7</v>
      </c>
      <c r="M5303" s="4" t="s">
        <v>7</v>
      </c>
    </row>
    <row r="5304" spans="1:13">
      <c r="A5304" t="n">
        <v>47699</v>
      </c>
      <c r="B5304" s="55" t="n">
        <v>26</v>
      </c>
      <c r="C5304" s="7" t="n">
        <v>5</v>
      </c>
      <c r="D5304" s="7" t="n">
        <v>17</v>
      </c>
      <c r="E5304" s="7" t="n">
        <v>63867</v>
      </c>
      <c r="F5304" s="7" t="s">
        <v>484</v>
      </c>
      <c r="G5304" s="7" t="n">
        <v>2</v>
      </c>
      <c r="H5304" s="7" t="n">
        <v>3</v>
      </c>
      <c r="I5304" s="7" t="n">
        <v>17</v>
      </c>
      <c r="J5304" s="7" t="n">
        <v>63868</v>
      </c>
      <c r="K5304" s="7" t="s">
        <v>485</v>
      </c>
      <c r="L5304" s="7" t="n">
        <v>2</v>
      </c>
      <c r="M5304" s="7" t="n">
        <v>0</v>
      </c>
    </row>
    <row r="5305" spans="1:13">
      <c r="A5305" t="s">
        <v>4</v>
      </c>
      <c r="B5305" s="4" t="s">
        <v>5</v>
      </c>
    </row>
    <row r="5306" spans="1:13">
      <c r="A5306" t="n">
        <v>47858</v>
      </c>
      <c r="B5306" s="27" t="n">
        <v>28</v>
      </c>
    </row>
    <row r="5307" spans="1:13">
      <c r="A5307" t="s">
        <v>4</v>
      </c>
      <c r="B5307" s="4" t="s">
        <v>5</v>
      </c>
      <c r="C5307" s="4" t="s">
        <v>7</v>
      </c>
      <c r="D5307" s="4" t="s">
        <v>11</v>
      </c>
      <c r="E5307" s="4" t="s">
        <v>8</v>
      </c>
    </row>
    <row r="5308" spans="1:13">
      <c r="A5308" t="n">
        <v>47859</v>
      </c>
      <c r="B5308" s="38" t="n">
        <v>51</v>
      </c>
      <c r="C5308" s="7" t="n">
        <v>4</v>
      </c>
      <c r="D5308" s="7" t="n">
        <v>0</v>
      </c>
      <c r="E5308" s="7" t="s">
        <v>173</v>
      </c>
    </row>
    <row r="5309" spans="1:13">
      <c r="A5309" t="s">
        <v>4</v>
      </c>
      <c r="B5309" s="4" t="s">
        <v>5</v>
      </c>
      <c r="C5309" s="4" t="s">
        <v>11</v>
      </c>
    </row>
    <row r="5310" spans="1:13">
      <c r="A5310" t="n">
        <v>47872</v>
      </c>
      <c r="B5310" s="29" t="n">
        <v>16</v>
      </c>
      <c r="C5310" s="7" t="n">
        <v>0</v>
      </c>
    </row>
    <row r="5311" spans="1:13">
      <c r="A5311" t="s">
        <v>4</v>
      </c>
      <c r="B5311" s="4" t="s">
        <v>5</v>
      </c>
      <c r="C5311" s="4" t="s">
        <v>11</v>
      </c>
      <c r="D5311" s="4" t="s">
        <v>7</v>
      </c>
      <c r="E5311" s="4" t="s">
        <v>15</v>
      </c>
      <c r="F5311" s="4" t="s">
        <v>55</v>
      </c>
      <c r="G5311" s="4" t="s">
        <v>7</v>
      </c>
      <c r="H5311" s="4" t="s">
        <v>7</v>
      </c>
    </row>
    <row r="5312" spans="1:13">
      <c r="A5312" t="n">
        <v>47875</v>
      </c>
      <c r="B5312" s="55" t="n">
        <v>26</v>
      </c>
      <c r="C5312" s="7" t="n">
        <v>0</v>
      </c>
      <c r="D5312" s="7" t="n">
        <v>17</v>
      </c>
      <c r="E5312" s="7" t="n">
        <v>63869</v>
      </c>
      <c r="F5312" s="7" t="s">
        <v>486</v>
      </c>
      <c r="G5312" s="7" t="n">
        <v>2</v>
      </c>
      <c r="H5312" s="7" t="n">
        <v>0</v>
      </c>
    </row>
    <row r="5313" spans="1:13">
      <c r="A5313" t="s">
        <v>4</v>
      </c>
      <c r="B5313" s="4" t="s">
        <v>5</v>
      </c>
    </row>
    <row r="5314" spans="1:13">
      <c r="A5314" t="n">
        <v>47902</v>
      </c>
      <c r="B5314" s="27" t="n">
        <v>28</v>
      </c>
    </row>
    <row r="5315" spans="1:13">
      <c r="A5315" t="s">
        <v>4</v>
      </c>
      <c r="B5315" s="4" t="s">
        <v>5</v>
      </c>
      <c r="C5315" s="4" t="s">
        <v>7</v>
      </c>
      <c r="D5315" s="4" t="s">
        <v>11</v>
      </c>
      <c r="E5315" s="4" t="s">
        <v>8</v>
      </c>
      <c r="F5315" s="4" t="s">
        <v>8</v>
      </c>
      <c r="G5315" s="4" t="s">
        <v>8</v>
      </c>
      <c r="H5315" s="4" t="s">
        <v>8</v>
      </c>
    </row>
    <row r="5316" spans="1:13">
      <c r="A5316" t="n">
        <v>47903</v>
      </c>
      <c r="B5316" s="38" t="n">
        <v>51</v>
      </c>
      <c r="C5316" s="7" t="n">
        <v>3</v>
      </c>
      <c r="D5316" s="7" t="n">
        <v>5</v>
      </c>
      <c r="E5316" s="7" t="s">
        <v>295</v>
      </c>
      <c r="F5316" s="7" t="s">
        <v>79</v>
      </c>
      <c r="G5316" s="7" t="s">
        <v>78</v>
      </c>
      <c r="H5316" s="7" t="s">
        <v>79</v>
      </c>
    </row>
    <row r="5317" spans="1:13">
      <c r="A5317" t="s">
        <v>4</v>
      </c>
      <c r="B5317" s="4" t="s">
        <v>5</v>
      </c>
      <c r="C5317" s="4" t="s">
        <v>11</v>
      </c>
      <c r="D5317" s="4" t="s">
        <v>13</v>
      </c>
      <c r="E5317" s="4" t="s">
        <v>13</v>
      </c>
      <c r="F5317" s="4" t="s">
        <v>13</v>
      </c>
      <c r="G5317" s="4" t="s">
        <v>11</v>
      </c>
      <c r="H5317" s="4" t="s">
        <v>11</v>
      </c>
    </row>
    <row r="5318" spans="1:13">
      <c r="A5318" t="n">
        <v>47916</v>
      </c>
      <c r="B5318" s="37" t="n">
        <v>60</v>
      </c>
      <c r="C5318" s="7" t="n">
        <v>5</v>
      </c>
      <c r="D5318" s="7" t="n">
        <v>-45</v>
      </c>
      <c r="E5318" s="7" t="n">
        <v>0</v>
      </c>
      <c r="F5318" s="7" t="n">
        <v>0</v>
      </c>
      <c r="G5318" s="7" t="n">
        <v>1000</v>
      </c>
      <c r="H5318" s="7" t="n">
        <v>0</v>
      </c>
    </row>
    <row r="5319" spans="1:13">
      <c r="A5319" t="s">
        <v>4</v>
      </c>
      <c r="B5319" s="4" t="s">
        <v>5</v>
      </c>
      <c r="C5319" s="4" t="s">
        <v>11</v>
      </c>
    </row>
    <row r="5320" spans="1:13">
      <c r="A5320" t="n">
        <v>47935</v>
      </c>
      <c r="B5320" s="29" t="n">
        <v>16</v>
      </c>
      <c r="C5320" s="7" t="n">
        <v>1000</v>
      </c>
    </row>
    <row r="5321" spans="1:13">
      <c r="A5321" t="s">
        <v>4</v>
      </c>
      <c r="B5321" s="4" t="s">
        <v>5</v>
      </c>
      <c r="C5321" s="4" t="s">
        <v>7</v>
      </c>
      <c r="D5321" s="4" t="s">
        <v>11</v>
      </c>
      <c r="E5321" s="4" t="s">
        <v>8</v>
      </c>
      <c r="F5321" s="4" t="s">
        <v>8</v>
      </c>
      <c r="G5321" s="4" t="s">
        <v>8</v>
      </c>
      <c r="H5321" s="4" t="s">
        <v>8</v>
      </c>
    </row>
    <row r="5322" spans="1:13">
      <c r="A5322" t="n">
        <v>47938</v>
      </c>
      <c r="B5322" s="38" t="n">
        <v>51</v>
      </c>
      <c r="C5322" s="7" t="n">
        <v>3</v>
      </c>
      <c r="D5322" s="7" t="n">
        <v>5</v>
      </c>
      <c r="E5322" s="7" t="s">
        <v>296</v>
      </c>
      <c r="F5322" s="7" t="s">
        <v>79</v>
      </c>
      <c r="G5322" s="7" t="s">
        <v>78</v>
      </c>
      <c r="H5322" s="7" t="s">
        <v>79</v>
      </c>
    </row>
    <row r="5323" spans="1:13">
      <c r="A5323" t="s">
        <v>4</v>
      </c>
      <c r="B5323" s="4" t="s">
        <v>5</v>
      </c>
      <c r="C5323" s="4" t="s">
        <v>11</v>
      </c>
      <c r="D5323" s="4" t="s">
        <v>13</v>
      </c>
      <c r="E5323" s="4" t="s">
        <v>13</v>
      </c>
      <c r="F5323" s="4" t="s">
        <v>13</v>
      </c>
      <c r="G5323" s="4" t="s">
        <v>11</v>
      </c>
      <c r="H5323" s="4" t="s">
        <v>11</v>
      </c>
    </row>
    <row r="5324" spans="1:13">
      <c r="A5324" t="n">
        <v>47952</v>
      </c>
      <c r="B5324" s="37" t="n">
        <v>60</v>
      </c>
      <c r="C5324" s="7" t="n">
        <v>5</v>
      </c>
      <c r="D5324" s="7" t="n">
        <v>45</v>
      </c>
      <c r="E5324" s="7" t="n">
        <v>0</v>
      </c>
      <c r="F5324" s="7" t="n">
        <v>0</v>
      </c>
      <c r="G5324" s="7" t="n">
        <v>1000</v>
      </c>
      <c r="H5324" s="7" t="n">
        <v>0</v>
      </c>
    </row>
    <row r="5325" spans="1:13">
      <c r="A5325" t="s">
        <v>4</v>
      </c>
      <c r="B5325" s="4" t="s">
        <v>5</v>
      </c>
      <c r="C5325" s="4" t="s">
        <v>11</v>
      </c>
    </row>
    <row r="5326" spans="1:13">
      <c r="A5326" t="n">
        <v>47971</v>
      </c>
      <c r="B5326" s="29" t="n">
        <v>16</v>
      </c>
      <c r="C5326" s="7" t="n">
        <v>1200</v>
      </c>
    </row>
    <row r="5327" spans="1:13">
      <c r="A5327" t="s">
        <v>4</v>
      </c>
      <c r="B5327" s="4" t="s">
        <v>5</v>
      </c>
      <c r="C5327" s="4" t="s">
        <v>7</v>
      </c>
      <c r="D5327" s="4" t="s">
        <v>11</v>
      </c>
      <c r="E5327" s="4" t="s">
        <v>8</v>
      </c>
      <c r="F5327" s="4" t="s">
        <v>8</v>
      </c>
      <c r="G5327" s="4" t="s">
        <v>8</v>
      </c>
      <c r="H5327" s="4" t="s">
        <v>8</v>
      </c>
    </row>
    <row r="5328" spans="1:13">
      <c r="A5328" t="n">
        <v>47974</v>
      </c>
      <c r="B5328" s="38" t="n">
        <v>51</v>
      </c>
      <c r="C5328" s="7" t="n">
        <v>3</v>
      </c>
      <c r="D5328" s="7" t="n">
        <v>5</v>
      </c>
      <c r="E5328" s="7" t="s">
        <v>86</v>
      </c>
      <c r="F5328" s="7" t="s">
        <v>79</v>
      </c>
      <c r="G5328" s="7" t="s">
        <v>78</v>
      </c>
      <c r="H5328" s="7" t="s">
        <v>79</v>
      </c>
    </row>
    <row r="5329" spans="1:8">
      <c r="A5329" t="s">
        <v>4</v>
      </c>
      <c r="B5329" s="4" t="s">
        <v>5</v>
      </c>
      <c r="C5329" s="4" t="s">
        <v>11</v>
      </c>
      <c r="D5329" s="4" t="s">
        <v>13</v>
      </c>
      <c r="E5329" s="4" t="s">
        <v>13</v>
      </c>
      <c r="F5329" s="4" t="s">
        <v>13</v>
      </c>
      <c r="G5329" s="4" t="s">
        <v>11</v>
      </c>
      <c r="H5329" s="4" t="s">
        <v>11</v>
      </c>
    </row>
    <row r="5330" spans="1:8">
      <c r="A5330" t="n">
        <v>47987</v>
      </c>
      <c r="B5330" s="37" t="n">
        <v>60</v>
      </c>
      <c r="C5330" s="7" t="n">
        <v>5</v>
      </c>
      <c r="D5330" s="7" t="n">
        <v>0</v>
      </c>
      <c r="E5330" s="7" t="n">
        <v>0</v>
      </c>
      <c r="F5330" s="7" t="n">
        <v>0</v>
      </c>
      <c r="G5330" s="7" t="n">
        <v>1000</v>
      </c>
      <c r="H5330" s="7" t="n">
        <v>0</v>
      </c>
    </row>
    <row r="5331" spans="1:8">
      <c r="A5331" t="s">
        <v>4</v>
      </c>
      <c r="B5331" s="4" t="s">
        <v>5</v>
      </c>
      <c r="C5331" s="4" t="s">
        <v>11</v>
      </c>
    </row>
    <row r="5332" spans="1:8">
      <c r="A5332" t="n">
        <v>48006</v>
      </c>
      <c r="B5332" s="29" t="n">
        <v>16</v>
      </c>
      <c r="C5332" s="7" t="n">
        <v>1000</v>
      </c>
    </row>
    <row r="5333" spans="1:8">
      <c r="A5333" t="s">
        <v>4</v>
      </c>
      <c r="B5333" s="4" t="s">
        <v>5</v>
      </c>
      <c r="C5333" s="4" t="s">
        <v>7</v>
      </c>
      <c r="D5333" s="4" t="s">
        <v>11</v>
      </c>
      <c r="E5333" s="4" t="s">
        <v>8</v>
      </c>
    </row>
    <row r="5334" spans="1:8">
      <c r="A5334" t="n">
        <v>48009</v>
      </c>
      <c r="B5334" s="38" t="n">
        <v>51</v>
      </c>
      <c r="C5334" s="7" t="n">
        <v>4</v>
      </c>
      <c r="D5334" s="7" t="n">
        <v>5</v>
      </c>
      <c r="E5334" s="7" t="s">
        <v>242</v>
      </c>
    </row>
    <row r="5335" spans="1:8">
      <c r="A5335" t="s">
        <v>4</v>
      </c>
      <c r="B5335" s="4" t="s">
        <v>5</v>
      </c>
      <c r="C5335" s="4" t="s">
        <v>11</v>
      </c>
    </row>
    <row r="5336" spans="1:8">
      <c r="A5336" t="n">
        <v>48023</v>
      </c>
      <c r="B5336" s="29" t="n">
        <v>16</v>
      </c>
      <c r="C5336" s="7" t="n">
        <v>0</v>
      </c>
    </row>
    <row r="5337" spans="1:8">
      <c r="A5337" t="s">
        <v>4</v>
      </c>
      <c r="B5337" s="4" t="s">
        <v>5</v>
      </c>
      <c r="C5337" s="4" t="s">
        <v>11</v>
      </c>
      <c r="D5337" s="4" t="s">
        <v>7</v>
      </c>
      <c r="E5337" s="4" t="s">
        <v>15</v>
      </c>
      <c r="F5337" s="4" t="s">
        <v>55</v>
      </c>
      <c r="G5337" s="4" t="s">
        <v>7</v>
      </c>
      <c r="H5337" s="4" t="s">
        <v>7</v>
      </c>
      <c r="I5337" s="4" t="s">
        <v>7</v>
      </c>
      <c r="J5337" s="4" t="s">
        <v>15</v>
      </c>
      <c r="K5337" s="4" t="s">
        <v>55</v>
      </c>
      <c r="L5337" s="4" t="s">
        <v>7</v>
      </c>
      <c r="M5337" s="4" t="s">
        <v>7</v>
      </c>
    </row>
    <row r="5338" spans="1:8">
      <c r="A5338" t="n">
        <v>48026</v>
      </c>
      <c r="B5338" s="55" t="n">
        <v>26</v>
      </c>
      <c r="C5338" s="7" t="n">
        <v>5</v>
      </c>
      <c r="D5338" s="7" t="n">
        <v>17</v>
      </c>
      <c r="E5338" s="7" t="n">
        <v>63870</v>
      </c>
      <c r="F5338" s="7" t="s">
        <v>487</v>
      </c>
      <c r="G5338" s="7" t="n">
        <v>2</v>
      </c>
      <c r="H5338" s="7" t="n">
        <v>3</v>
      </c>
      <c r="I5338" s="7" t="n">
        <v>17</v>
      </c>
      <c r="J5338" s="7" t="n">
        <v>63871</v>
      </c>
      <c r="K5338" s="7" t="s">
        <v>488</v>
      </c>
      <c r="L5338" s="7" t="n">
        <v>2</v>
      </c>
      <c r="M5338" s="7" t="n">
        <v>0</v>
      </c>
    </row>
    <row r="5339" spans="1:8">
      <c r="A5339" t="s">
        <v>4</v>
      </c>
      <c r="B5339" s="4" t="s">
        <v>5</v>
      </c>
    </row>
    <row r="5340" spans="1:8">
      <c r="A5340" t="n">
        <v>48201</v>
      </c>
      <c r="B5340" s="27" t="n">
        <v>28</v>
      </c>
    </row>
    <row r="5341" spans="1:8">
      <c r="A5341" t="s">
        <v>4</v>
      </c>
      <c r="B5341" s="4" t="s">
        <v>5</v>
      </c>
      <c r="C5341" s="4" t="s">
        <v>7</v>
      </c>
      <c r="D5341" s="4" t="s">
        <v>11</v>
      </c>
      <c r="E5341" s="4" t="s">
        <v>8</v>
      </c>
    </row>
    <row r="5342" spans="1:8">
      <c r="A5342" t="n">
        <v>48202</v>
      </c>
      <c r="B5342" s="38" t="n">
        <v>51</v>
      </c>
      <c r="C5342" s="7" t="n">
        <v>4</v>
      </c>
      <c r="D5342" s="7" t="n">
        <v>0</v>
      </c>
      <c r="E5342" s="7" t="s">
        <v>304</v>
      </c>
    </row>
    <row r="5343" spans="1:8">
      <c r="A5343" t="s">
        <v>4</v>
      </c>
      <c r="B5343" s="4" t="s">
        <v>5</v>
      </c>
      <c r="C5343" s="4" t="s">
        <v>11</v>
      </c>
    </row>
    <row r="5344" spans="1:8">
      <c r="A5344" t="n">
        <v>48215</v>
      </c>
      <c r="B5344" s="29" t="n">
        <v>16</v>
      </c>
      <c r="C5344" s="7" t="n">
        <v>0</v>
      </c>
    </row>
    <row r="5345" spans="1:13">
      <c r="A5345" t="s">
        <v>4</v>
      </c>
      <c r="B5345" s="4" t="s">
        <v>5</v>
      </c>
      <c r="C5345" s="4" t="s">
        <v>11</v>
      </c>
      <c r="D5345" s="4" t="s">
        <v>7</v>
      </c>
      <c r="E5345" s="4" t="s">
        <v>15</v>
      </c>
      <c r="F5345" s="4" t="s">
        <v>55</v>
      </c>
      <c r="G5345" s="4" t="s">
        <v>7</v>
      </c>
      <c r="H5345" s="4" t="s">
        <v>7</v>
      </c>
      <c r="I5345" s="4" t="s">
        <v>7</v>
      </c>
      <c r="J5345" s="4" t="s">
        <v>15</v>
      </c>
      <c r="K5345" s="4" t="s">
        <v>55</v>
      </c>
      <c r="L5345" s="4" t="s">
        <v>7</v>
      </c>
      <c r="M5345" s="4" t="s">
        <v>7</v>
      </c>
    </row>
    <row r="5346" spans="1:13">
      <c r="A5346" t="n">
        <v>48218</v>
      </c>
      <c r="B5346" s="55" t="n">
        <v>26</v>
      </c>
      <c r="C5346" s="7" t="n">
        <v>0</v>
      </c>
      <c r="D5346" s="7" t="n">
        <v>17</v>
      </c>
      <c r="E5346" s="7" t="n">
        <v>63872</v>
      </c>
      <c r="F5346" s="7" t="s">
        <v>489</v>
      </c>
      <c r="G5346" s="7" t="n">
        <v>2</v>
      </c>
      <c r="H5346" s="7" t="n">
        <v>3</v>
      </c>
      <c r="I5346" s="7" t="n">
        <v>17</v>
      </c>
      <c r="J5346" s="7" t="n">
        <v>63873</v>
      </c>
      <c r="K5346" s="7" t="s">
        <v>490</v>
      </c>
      <c r="L5346" s="7" t="n">
        <v>2</v>
      </c>
      <c r="M5346" s="7" t="n">
        <v>0</v>
      </c>
    </row>
    <row r="5347" spans="1:13">
      <c r="A5347" t="s">
        <v>4</v>
      </c>
      <c r="B5347" s="4" t="s">
        <v>5</v>
      </c>
    </row>
    <row r="5348" spans="1:13">
      <c r="A5348" t="n">
        <v>48388</v>
      </c>
      <c r="B5348" s="27" t="n">
        <v>28</v>
      </c>
    </row>
    <row r="5349" spans="1:13">
      <c r="A5349" t="s">
        <v>4</v>
      </c>
      <c r="B5349" s="4" t="s">
        <v>5</v>
      </c>
      <c r="C5349" s="4" t="s">
        <v>7</v>
      </c>
      <c r="D5349" s="4" t="s">
        <v>11</v>
      </c>
      <c r="E5349" s="4" t="s">
        <v>8</v>
      </c>
    </row>
    <row r="5350" spans="1:13">
      <c r="A5350" t="n">
        <v>48389</v>
      </c>
      <c r="B5350" s="38" t="n">
        <v>51</v>
      </c>
      <c r="C5350" s="7" t="n">
        <v>4</v>
      </c>
      <c r="D5350" s="7" t="n">
        <v>5</v>
      </c>
      <c r="E5350" s="7" t="s">
        <v>491</v>
      </c>
    </row>
    <row r="5351" spans="1:13">
      <c r="A5351" t="s">
        <v>4</v>
      </c>
      <c r="B5351" s="4" t="s">
        <v>5</v>
      </c>
      <c r="C5351" s="4" t="s">
        <v>11</v>
      </c>
    </row>
    <row r="5352" spans="1:13">
      <c r="A5352" t="n">
        <v>48403</v>
      </c>
      <c r="B5352" s="29" t="n">
        <v>16</v>
      </c>
      <c r="C5352" s="7" t="n">
        <v>0</v>
      </c>
    </row>
    <row r="5353" spans="1:13">
      <c r="A5353" t="s">
        <v>4</v>
      </c>
      <c r="B5353" s="4" t="s">
        <v>5</v>
      </c>
      <c r="C5353" s="4" t="s">
        <v>11</v>
      </c>
      <c r="D5353" s="4" t="s">
        <v>7</v>
      </c>
      <c r="E5353" s="4" t="s">
        <v>15</v>
      </c>
      <c r="F5353" s="4" t="s">
        <v>55</v>
      </c>
      <c r="G5353" s="4" t="s">
        <v>7</v>
      </c>
      <c r="H5353" s="4" t="s">
        <v>7</v>
      </c>
    </row>
    <row r="5354" spans="1:13">
      <c r="A5354" t="n">
        <v>48406</v>
      </c>
      <c r="B5354" s="55" t="n">
        <v>26</v>
      </c>
      <c r="C5354" s="7" t="n">
        <v>5</v>
      </c>
      <c r="D5354" s="7" t="n">
        <v>17</v>
      </c>
      <c r="E5354" s="7" t="n">
        <v>63874</v>
      </c>
      <c r="F5354" s="7" t="s">
        <v>492</v>
      </c>
      <c r="G5354" s="7" t="n">
        <v>2</v>
      </c>
      <c r="H5354" s="7" t="n">
        <v>0</v>
      </c>
    </row>
    <row r="5355" spans="1:13">
      <c r="A5355" t="s">
        <v>4</v>
      </c>
      <c r="B5355" s="4" t="s">
        <v>5</v>
      </c>
    </row>
    <row r="5356" spans="1:13">
      <c r="A5356" t="n">
        <v>48437</v>
      </c>
      <c r="B5356" s="27" t="n">
        <v>28</v>
      </c>
    </row>
    <row r="5357" spans="1:13">
      <c r="A5357" t="s">
        <v>4</v>
      </c>
      <c r="B5357" s="4" t="s">
        <v>5</v>
      </c>
      <c r="C5357" s="4" t="s">
        <v>11</v>
      </c>
      <c r="D5357" s="4" t="s">
        <v>7</v>
      </c>
    </row>
    <row r="5358" spans="1:13">
      <c r="A5358" t="n">
        <v>48438</v>
      </c>
      <c r="B5358" s="68" t="n">
        <v>89</v>
      </c>
      <c r="C5358" s="7" t="n">
        <v>65533</v>
      </c>
      <c r="D5358" s="7" t="n">
        <v>1</v>
      </c>
    </row>
    <row r="5359" spans="1:13">
      <c r="A5359" t="s">
        <v>4</v>
      </c>
      <c r="B5359" s="4" t="s">
        <v>5</v>
      </c>
      <c r="C5359" s="4" t="s">
        <v>7</v>
      </c>
      <c r="D5359" s="4" t="s">
        <v>11</v>
      </c>
      <c r="E5359" s="4" t="s">
        <v>13</v>
      </c>
    </row>
    <row r="5360" spans="1:13">
      <c r="A5360" t="n">
        <v>48442</v>
      </c>
      <c r="B5360" s="23" t="n">
        <v>58</v>
      </c>
      <c r="C5360" s="7" t="n">
        <v>101</v>
      </c>
      <c r="D5360" s="7" t="n">
        <v>500</v>
      </c>
      <c r="E5360" s="7" t="n">
        <v>1</v>
      </c>
    </row>
    <row r="5361" spans="1:13">
      <c r="A5361" t="s">
        <v>4</v>
      </c>
      <c r="B5361" s="4" t="s">
        <v>5</v>
      </c>
      <c r="C5361" s="4" t="s">
        <v>7</v>
      </c>
      <c r="D5361" s="4" t="s">
        <v>11</v>
      </c>
    </row>
    <row r="5362" spans="1:13">
      <c r="A5362" t="n">
        <v>48450</v>
      </c>
      <c r="B5362" s="23" t="n">
        <v>58</v>
      </c>
      <c r="C5362" s="7" t="n">
        <v>254</v>
      </c>
      <c r="D5362" s="7" t="n">
        <v>0</v>
      </c>
    </row>
    <row r="5363" spans="1:13">
      <c r="A5363" t="s">
        <v>4</v>
      </c>
      <c r="B5363" s="4" t="s">
        <v>5</v>
      </c>
      <c r="C5363" s="4" t="s">
        <v>7</v>
      </c>
      <c r="D5363" s="4" t="s">
        <v>11</v>
      </c>
      <c r="E5363" s="4" t="s">
        <v>8</v>
      </c>
      <c r="F5363" s="4" t="s">
        <v>8</v>
      </c>
      <c r="G5363" s="4" t="s">
        <v>8</v>
      </c>
      <c r="H5363" s="4" t="s">
        <v>8</v>
      </c>
    </row>
    <row r="5364" spans="1:13">
      <c r="A5364" t="n">
        <v>48454</v>
      </c>
      <c r="B5364" s="38" t="n">
        <v>51</v>
      </c>
      <c r="C5364" s="7" t="n">
        <v>3</v>
      </c>
      <c r="D5364" s="7" t="n">
        <v>0</v>
      </c>
      <c r="E5364" s="7" t="s">
        <v>65</v>
      </c>
      <c r="F5364" s="7" t="s">
        <v>99</v>
      </c>
      <c r="G5364" s="7" t="s">
        <v>78</v>
      </c>
      <c r="H5364" s="7" t="s">
        <v>79</v>
      </c>
    </row>
    <row r="5365" spans="1:13">
      <c r="A5365" t="s">
        <v>4</v>
      </c>
      <c r="B5365" s="4" t="s">
        <v>5</v>
      </c>
      <c r="C5365" s="4" t="s">
        <v>7</v>
      </c>
      <c r="D5365" s="4" t="s">
        <v>11</v>
      </c>
      <c r="E5365" s="4" t="s">
        <v>8</v>
      </c>
      <c r="F5365" s="4" t="s">
        <v>8</v>
      </c>
      <c r="G5365" s="4" t="s">
        <v>8</v>
      </c>
      <c r="H5365" s="4" t="s">
        <v>8</v>
      </c>
    </row>
    <row r="5366" spans="1:13">
      <c r="A5366" t="n">
        <v>48475</v>
      </c>
      <c r="B5366" s="38" t="n">
        <v>51</v>
      </c>
      <c r="C5366" s="7" t="n">
        <v>3</v>
      </c>
      <c r="D5366" s="7" t="n">
        <v>5</v>
      </c>
      <c r="E5366" s="7" t="s">
        <v>65</v>
      </c>
      <c r="F5366" s="7" t="s">
        <v>232</v>
      </c>
      <c r="G5366" s="7" t="s">
        <v>78</v>
      </c>
      <c r="H5366" s="7" t="s">
        <v>79</v>
      </c>
    </row>
    <row r="5367" spans="1:13">
      <c r="A5367" t="s">
        <v>4</v>
      </c>
      <c r="B5367" s="4" t="s">
        <v>5</v>
      </c>
      <c r="C5367" s="4" t="s">
        <v>11</v>
      </c>
      <c r="D5367" s="4" t="s">
        <v>11</v>
      </c>
      <c r="E5367" s="4" t="s">
        <v>11</v>
      </c>
    </row>
    <row r="5368" spans="1:13">
      <c r="A5368" t="n">
        <v>48496</v>
      </c>
      <c r="B5368" s="72" t="n">
        <v>61</v>
      </c>
      <c r="C5368" s="7" t="n">
        <v>0</v>
      </c>
      <c r="D5368" s="7" t="n">
        <v>65533</v>
      </c>
      <c r="E5368" s="7" t="n">
        <v>0</v>
      </c>
    </row>
    <row r="5369" spans="1:13">
      <c r="A5369" t="s">
        <v>4</v>
      </c>
      <c r="B5369" s="4" t="s">
        <v>5</v>
      </c>
      <c r="C5369" s="4" t="s">
        <v>11</v>
      </c>
      <c r="D5369" s="4" t="s">
        <v>11</v>
      </c>
      <c r="E5369" s="4" t="s">
        <v>11</v>
      </c>
    </row>
    <row r="5370" spans="1:13">
      <c r="A5370" t="n">
        <v>48503</v>
      </c>
      <c r="B5370" s="72" t="n">
        <v>61</v>
      </c>
      <c r="C5370" s="7" t="n">
        <v>5</v>
      </c>
      <c r="D5370" s="7" t="n">
        <v>65533</v>
      </c>
      <c r="E5370" s="7" t="n">
        <v>0</v>
      </c>
    </row>
    <row r="5371" spans="1:13">
      <c r="A5371" t="s">
        <v>4</v>
      </c>
      <c r="B5371" s="4" t="s">
        <v>5</v>
      </c>
      <c r="C5371" s="4" t="s">
        <v>7</v>
      </c>
    </row>
    <row r="5372" spans="1:13">
      <c r="A5372" t="n">
        <v>48510</v>
      </c>
      <c r="B5372" s="49" t="n">
        <v>116</v>
      </c>
      <c r="C5372" s="7" t="n">
        <v>0</v>
      </c>
    </row>
    <row r="5373" spans="1:13">
      <c r="A5373" t="s">
        <v>4</v>
      </c>
      <c r="B5373" s="4" t="s">
        <v>5</v>
      </c>
      <c r="C5373" s="4" t="s">
        <v>7</v>
      </c>
      <c r="D5373" s="4" t="s">
        <v>11</v>
      </c>
    </row>
    <row r="5374" spans="1:13">
      <c r="A5374" t="n">
        <v>48512</v>
      </c>
      <c r="B5374" s="49" t="n">
        <v>116</v>
      </c>
      <c r="C5374" s="7" t="n">
        <v>2</v>
      </c>
      <c r="D5374" s="7" t="n">
        <v>1</v>
      </c>
    </row>
    <row r="5375" spans="1:13">
      <c r="A5375" t="s">
        <v>4</v>
      </c>
      <c r="B5375" s="4" t="s">
        <v>5</v>
      </c>
      <c r="C5375" s="4" t="s">
        <v>7</v>
      </c>
      <c r="D5375" s="4" t="s">
        <v>15</v>
      </c>
    </row>
    <row r="5376" spans="1:13">
      <c r="A5376" t="n">
        <v>48516</v>
      </c>
      <c r="B5376" s="49" t="n">
        <v>116</v>
      </c>
      <c r="C5376" s="7" t="n">
        <v>5</v>
      </c>
      <c r="D5376" s="7" t="n">
        <v>1106247680</v>
      </c>
    </row>
    <row r="5377" spans="1:8">
      <c r="A5377" t="s">
        <v>4</v>
      </c>
      <c r="B5377" s="4" t="s">
        <v>5</v>
      </c>
      <c r="C5377" s="4" t="s">
        <v>7</v>
      </c>
      <c r="D5377" s="4" t="s">
        <v>11</v>
      </c>
    </row>
    <row r="5378" spans="1:8">
      <c r="A5378" t="n">
        <v>48522</v>
      </c>
      <c r="B5378" s="49" t="n">
        <v>116</v>
      </c>
      <c r="C5378" s="7" t="n">
        <v>6</v>
      </c>
      <c r="D5378" s="7" t="n">
        <v>1</v>
      </c>
    </row>
    <row r="5379" spans="1:8">
      <c r="A5379" t="s">
        <v>4</v>
      </c>
      <c r="B5379" s="4" t="s">
        <v>5</v>
      </c>
      <c r="C5379" s="4" t="s">
        <v>7</v>
      </c>
      <c r="D5379" s="4" t="s">
        <v>7</v>
      </c>
      <c r="E5379" s="4" t="s">
        <v>13</v>
      </c>
      <c r="F5379" s="4" t="s">
        <v>13</v>
      </c>
      <c r="G5379" s="4" t="s">
        <v>13</v>
      </c>
      <c r="H5379" s="4" t="s">
        <v>11</v>
      </c>
    </row>
    <row r="5380" spans="1:8">
      <c r="A5380" t="n">
        <v>48526</v>
      </c>
      <c r="B5380" s="51" t="n">
        <v>45</v>
      </c>
      <c r="C5380" s="7" t="n">
        <v>2</v>
      </c>
      <c r="D5380" s="7" t="n">
        <v>3</v>
      </c>
      <c r="E5380" s="7" t="n">
        <v>4.53000020980835</v>
      </c>
      <c r="F5380" s="7" t="n">
        <v>1.30999994277954</v>
      </c>
      <c r="G5380" s="7" t="n">
        <v>46.2700004577637</v>
      </c>
      <c r="H5380" s="7" t="n">
        <v>0</v>
      </c>
    </row>
    <row r="5381" spans="1:8">
      <c r="A5381" t="s">
        <v>4</v>
      </c>
      <c r="B5381" s="4" t="s">
        <v>5</v>
      </c>
      <c r="C5381" s="4" t="s">
        <v>7</v>
      </c>
      <c r="D5381" s="4" t="s">
        <v>7</v>
      </c>
      <c r="E5381" s="4" t="s">
        <v>13</v>
      </c>
      <c r="F5381" s="4" t="s">
        <v>13</v>
      </c>
      <c r="G5381" s="4" t="s">
        <v>13</v>
      </c>
      <c r="H5381" s="4" t="s">
        <v>11</v>
      </c>
      <c r="I5381" s="4" t="s">
        <v>7</v>
      </c>
    </row>
    <row r="5382" spans="1:8">
      <c r="A5382" t="n">
        <v>48543</v>
      </c>
      <c r="B5382" s="51" t="n">
        <v>45</v>
      </c>
      <c r="C5382" s="7" t="n">
        <v>4</v>
      </c>
      <c r="D5382" s="7" t="n">
        <v>3</v>
      </c>
      <c r="E5382" s="7" t="n">
        <v>12.8699998855591</v>
      </c>
      <c r="F5382" s="7" t="n">
        <v>80.0199966430664</v>
      </c>
      <c r="G5382" s="7" t="n">
        <v>0</v>
      </c>
      <c r="H5382" s="7" t="n">
        <v>0</v>
      </c>
      <c r="I5382" s="7" t="n">
        <v>0</v>
      </c>
    </row>
    <row r="5383" spans="1:8">
      <c r="A5383" t="s">
        <v>4</v>
      </c>
      <c r="B5383" s="4" t="s">
        <v>5</v>
      </c>
      <c r="C5383" s="4" t="s">
        <v>7</v>
      </c>
      <c r="D5383" s="4" t="s">
        <v>7</v>
      </c>
      <c r="E5383" s="4" t="s">
        <v>13</v>
      </c>
      <c r="F5383" s="4" t="s">
        <v>11</v>
      </c>
    </row>
    <row r="5384" spans="1:8">
      <c r="A5384" t="n">
        <v>48561</v>
      </c>
      <c r="B5384" s="51" t="n">
        <v>45</v>
      </c>
      <c r="C5384" s="7" t="n">
        <v>5</v>
      </c>
      <c r="D5384" s="7" t="n">
        <v>3</v>
      </c>
      <c r="E5384" s="7" t="n">
        <v>3</v>
      </c>
      <c r="F5384" s="7" t="n">
        <v>0</v>
      </c>
    </row>
    <row r="5385" spans="1:8">
      <c r="A5385" t="s">
        <v>4</v>
      </c>
      <c r="B5385" s="4" t="s">
        <v>5</v>
      </c>
      <c r="C5385" s="4" t="s">
        <v>7</v>
      </c>
      <c r="D5385" s="4" t="s">
        <v>7</v>
      </c>
      <c r="E5385" s="4" t="s">
        <v>13</v>
      </c>
      <c r="F5385" s="4" t="s">
        <v>11</v>
      </c>
    </row>
    <row r="5386" spans="1:8">
      <c r="A5386" t="n">
        <v>48570</v>
      </c>
      <c r="B5386" s="51" t="n">
        <v>45</v>
      </c>
      <c r="C5386" s="7" t="n">
        <v>11</v>
      </c>
      <c r="D5386" s="7" t="n">
        <v>3</v>
      </c>
      <c r="E5386" s="7" t="n">
        <v>34</v>
      </c>
      <c r="F5386" s="7" t="n">
        <v>0</v>
      </c>
    </row>
    <row r="5387" spans="1:8">
      <c r="A5387" t="s">
        <v>4</v>
      </c>
      <c r="B5387" s="4" t="s">
        <v>5</v>
      </c>
      <c r="C5387" s="4" t="s">
        <v>7</v>
      </c>
      <c r="D5387" s="4" t="s">
        <v>7</v>
      </c>
      <c r="E5387" s="4" t="s">
        <v>13</v>
      </c>
      <c r="F5387" s="4" t="s">
        <v>13</v>
      </c>
      <c r="G5387" s="4" t="s">
        <v>13</v>
      </c>
      <c r="H5387" s="4" t="s">
        <v>11</v>
      </c>
    </row>
    <row r="5388" spans="1:8">
      <c r="A5388" t="n">
        <v>48579</v>
      </c>
      <c r="B5388" s="51" t="n">
        <v>45</v>
      </c>
      <c r="C5388" s="7" t="n">
        <v>2</v>
      </c>
      <c r="D5388" s="7" t="n">
        <v>3</v>
      </c>
      <c r="E5388" s="7" t="n">
        <v>4.53000020980835</v>
      </c>
      <c r="F5388" s="7" t="n">
        <v>2.30999994277954</v>
      </c>
      <c r="G5388" s="7" t="n">
        <v>46.2700004577637</v>
      </c>
      <c r="H5388" s="7" t="n">
        <v>5000</v>
      </c>
    </row>
    <row r="5389" spans="1:8">
      <c r="A5389" t="s">
        <v>4</v>
      </c>
      <c r="B5389" s="4" t="s">
        <v>5</v>
      </c>
      <c r="C5389" s="4" t="s">
        <v>7</v>
      </c>
      <c r="D5389" s="4" t="s">
        <v>11</v>
      </c>
    </row>
    <row r="5390" spans="1:8">
      <c r="A5390" t="n">
        <v>48596</v>
      </c>
      <c r="B5390" s="23" t="n">
        <v>58</v>
      </c>
      <c r="C5390" s="7" t="n">
        <v>255</v>
      </c>
      <c r="D5390" s="7" t="n">
        <v>0</v>
      </c>
    </row>
    <row r="5391" spans="1:8">
      <c r="A5391" t="s">
        <v>4</v>
      </c>
      <c r="B5391" s="4" t="s">
        <v>5</v>
      </c>
      <c r="C5391" s="4" t="s">
        <v>11</v>
      </c>
      <c r="D5391" s="4" t="s">
        <v>13</v>
      </c>
      <c r="E5391" s="4" t="s">
        <v>13</v>
      </c>
      <c r="F5391" s="4" t="s">
        <v>7</v>
      </c>
    </row>
    <row r="5392" spans="1:8">
      <c r="A5392" t="n">
        <v>48600</v>
      </c>
      <c r="B5392" s="65" t="n">
        <v>52</v>
      </c>
      <c r="C5392" s="7" t="n">
        <v>0</v>
      </c>
      <c r="D5392" s="7" t="n">
        <v>255</v>
      </c>
      <c r="E5392" s="7" t="n">
        <v>5</v>
      </c>
      <c r="F5392" s="7" t="n">
        <v>0</v>
      </c>
    </row>
    <row r="5393" spans="1:9">
      <c r="A5393" t="s">
        <v>4</v>
      </c>
      <c r="B5393" s="4" t="s">
        <v>5</v>
      </c>
      <c r="C5393" s="4" t="s">
        <v>11</v>
      </c>
    </row>
    <row r="5394" spans="1:9">
      <c r="A5394" t="n">
        <v>48612</v>
      </c>
      <c r="B5394" s="29" t="n">
        <v>16</v>
      </c>
      <c r="C5394" s="7" t="n">
        <v>100</v>
      </c>
    </row>
    <row r="5395" spans="1:9">
      <c r="A5395" t="s">
        <v>4</v>
      </c>
      <c r="B5395" s="4" t="s">
        <v>5</v>
      </c>
      <c r="C5395" s="4" t="s">
        <v>11</v>
      </c>
      <c r="D5395" s="4" t="s">
        <v>13</v>
      </c>
      <c r="E5395" s="4" t="s">
        <v>13</v>
      </c>
      <c r="F5395" s="4" t="s">
        <v>7</v>
      </c>
    </row>
    <row r="5396" spans="1:9">
      <c r="A5396" t="n">
        <v>48615</v>
      </c>
      <c r="B5396" s="65" t="n">
        <v>52</v>
      </c>
      <c r="C5396" s="7" t="n">
        <v>5</v>
      </c>
      <c r="D5396" s="7" t="n">
        <v>255</v>
      </c>
      <c r="E5396" s="7" t="n">
        <v>5</v>
      </c>
      <c r="F5396" s="7" t="n">
        <v>0</v>
      </c>
    </row>
    <row r="5397" spans="1:9">
      <c r="A5397" t="s">
        <v>4</v>
      </c>
      <c r="B5397" s="4" t="s">
        <v>5</v>
      </c>
      <c r="C5397" s="4" t="s">
        <v>11</v>
      </c>
    </row>
    <row r="5398" spans="1:9">
      <c r="A5398" t="n">
        <v>48627</v>
      </c>
      <c r="B5398" s="66" t="n">
        <v>54</v>
      </c>
      <c r="C5398" s="7" t="n">
        <v>0</v>
      </c>
    </row>
    <row r="5399" spans="1:9">
      <c r="A5399" t="s">
        <v>4</v>
      </c>
      <c r="B5399" s="4" t="s">
        <v>5</v>
      </c>
      <c r="C5399" s="4" t="s">
        <v>11</v>
      </c>
      <c r="D5399" s="4" t="s">
        <v>11</v>
      </c>
      <c r="E5399" s="4" t="s">
        <v>13</v>
      </c>
      <c r="F5399" s="4" t="s">
        <v>13</v>
      </c>
      <c r="G5399" s="4" t="s">
        <v>13</v>
      </c>
      <c r="H5399" s="4" t="s">
        <v>13</v>
      </c>
      <c r="I5399" s="4" t="s">
        <v>7</v>
      </c>
      <c r="J5399" s="4" t="s">
        <v>11</v>
      </c>
    </row>
    <row r="5400" spans="1:9">
      <c r="A5400" t="n">
        <v>48630</v>
      </c>
      <c r="B5400" s="53" t="n">
        <v>55</v>
      </c>
      <c r="C5400" s="7" t="n">
        <v>0</v>
      </c>
      <c r="D5400" s="7" t="n">
        <v>65024</v>
      </c>
      <c r="E5400" s="7" t="n">
        <v>0</v>
      </c>
      <c r="F5400" s="7" t="n">
        <v>0</v>
      </c>
      <c r="G5400" s="7" t="n">
        <v>6</v>
      </c>
      <c r="H5400" s="7" t="n">
        <v>1.20000004768372</v>
      </c>
      <c r="I5400" s="7" t="n">
        <v>1</v>
      </c>
      <c r="J5400" s="7" t="n">
        <v>0</v>
      </c>
    </row>
    <row r="5401" spans="1:9">
      <c r="A5401" t="s">
        <v>4</v>
      </c>
      <c r="B5401" s="4" t="s">
        <v>5</v>
      </c>
      <c r="C5401" s="4" t="s">
        <v>11</v>
      </c>
    </row>
    <row r="5402" spans="1:9">
      <c r="A5402" t="n">
        <v>48654</v>
      </c>
      <c r="B5402" s="66" t="n">
        <v>54</v>
      </c>
      <c r="C5402" s="7" t="n">
        <v>5</v>
      </c>
    </row>
    <row r="5403" spans="1:9">
      <c r="A5403" t="s">
        <v>4</v>
      </c>
      <c r="B5403" s="4" t="s">
        <v>5</v>
      </c>
      <c r="C5403" s="4" t="s">
        <v>11</v>
      </c>
    </row>
    <row r="5404" spans="1:9">
      <c r="A5404" t="n">
        <v>48657</v>
      </c>
      <c r="B5404" s="29" t="n">
        <v>16</v>
      </c>
      <c r="C5404" s="7" t="n">
        <v>200</v>
      </c>
    </row>
    <row r="5405" spans="1:9">
      <c r="A5405" t="s">
        <v>4</v>
      </c>
      <c r="B5405" s="4" t="s">
        <v>5</v>
      </c>
      <c r="C5405" s="4" t="s">
        <v>11</v>
      </c>
      <c r="D5405" s="4" t="s">
        <v>11</v>
      </c>
      <c r="E5405" s="4" t="s">
        <v>13</v>
      </c>
      <c r="F5405" s="4" t="s">
        <v>13</v>
      </c>
      <c r="G5405" s="4" t="s">
        <v>13</v>
      </c>
      <c r="H5405" s="4" t="s">
        <v>13</v>
      </c>
      <c r="I5405" s="4" t="s">
        <v>7</v>
      </c>
      <c r="J5405" s="4" t="s">
        <v>11</v>
      </c>
    </row>
    <row r="5406" spans="1:9">
      <c r="A5406" t="n">
        <v>48660</v>
      </c>
      <c r="B5406" s="53" t="n">
        <v>55</v>
      </c>
      <c r="C5406" s="7" t="n">
        <v>5</v>
      </c>
      <c r="D5406" s="7" t="n">
        <v>65024</v>
      </c>
      <c r="E5406" s="7" t="n">
        <v>0</v>
      </c>
      <c r="F5406" s="7" t="n">
        <v>0</v>
      </c>
      <c r="G5406" s="7" t="n">
        <v>6</v>
      </c>
      <c r="H5406" s="7" t="n">
        <v>1.20000004768372</v>
      </c>
      <c r="I5406" s="7" t="n">
        <v>1</v>
      </c>
      <c r="J5406" s="7" t="n">
        <v>0</v>
      </c>
    </row>
    <row r="5407" spans="1:9">
      <c r="A5407" t="s">
        <v>4</v>
      </c>
      <c r="B5407" s="4" t="s">
        <v>5</v>
      </c>
      <c r="C5407" s="4" t="s">
        <v>11</v>
      </c>
    </row>
    <row r="5408" spans="1:9">
      <c r="A5408" t="n">
        <v>48684</v>
      </c>
      <c r="B5408" s="29" t="n">
        <v>16</v>
      </c>
      <c r="C5408" s="7" t="n">
        <v>2000</v>
      </c>
    </row>
    <row r="5409" spans="1:10">
      <c r="A5409" t="s">
        <v>4</v>
      </c>
      <c r="B5409" s="4" t="s">
        <v>5</v>
      </c>
      <c r="C5409" s="4" t="s">
        <v>7</v>
      </c>
      <c r="D5409" s="4" t="s">
        <v>11</v>
      </c>
      <c r="E5409" s="4" t="s">
        <v>13</v>
      </c>
    </row>
    <row r="5410" spans="1:10">
      <c r="A5410" t="n">
        <v>48687</v>
      </c>
      <c r="B5410" s="23" t="n">
        <v>58</v>
      </c>
      <c r="C5410" s="7" t="n">
        <v>0</v>
      </c>
      <c r="D5410" s="7" t="n">
        <v>1000</v>
      </c>
      <c r="E5410" s="7" t="n">
        <v>1</v>
      </c>
    </row>
    <row r="5411" spans="1:10">
      <c r="A5411" t="s">
        <v>4</v>
      </c>
      <c r="B5411" s="4" t="s">
        <v>5</v>
      </c>
      <c r="C5411" s="4" t="s">
        <v>7</v>
      </c>
      <c r="D5411" s="4" t="s">
        <v>11</v>
      </c>
    </row>
    <row r="5412" spans="1:10">
      <c r="A5412" t="n">
        <v>48695</v>
      </c>
      <c r="B5412" s="23" t="n">
        <v>58</v>
      </c>
      <c r="C5412" s="7" t="n">
        <v>255</v>
      </c>
      <c r="D5412" s="7" t="n">
        <v>0</v>
      </c>
    </row>
    <row r="5413" spans="1:10">
      <c r="A5413" t="s">
        <v>4</v>
      </c>
      <c r="B5413" s="4" t="s">
        <v>5</v>
      </c>
      <c r="C5413" s="4" t="s">
        <v>11</v>
      </c>
      <c r="D5413" s="4" t="s">
        <v>7</v>
      </c>
    </row>
    <row r="5414" spans="1:10">
      <c r="A5414" t="n">
        <v>48699</v>
      </c>
      <c r="B5414" s="54" t="n">
        <v>56</v>
      </c>
      <c r="C5414" s="7" t="n">
        <v>0</v>
      </c>
      <c r="D5414" s="7" t="n">
        <v>1</v>
      </c>
    </row>
    <row r="5415" spans="1:10">
      <c r="A5415" t="s">
        <v>4</v>
      </c>
      <c r="B5415" s="4" t="s">
        <v>5</v>
      </c>
      <c r="C5415" s="4" t="s">
        <v>11</v>
      </c>
      <c r="D5415" s="4" t="s">
        <v>7</v>
      </c>
    </row>
    <row r="5416" spans="1:10">
      <c r="A5416" t="n">
        <v>48703</v>
      </c>
      <c r="B5416" s="54" t="n">
        <v>56</v>
      </c>
      <c r="C5416" s="7" t="n">
        <v>5</v>
      </c>
      <c r="D5416" s="7" t="n">
        <v>1</v>
      </c>
    </row>
    <row r="5417" spans="1:10">
      <c r="A5417" t="s">
        <v>4</v>
      </c>
      <c r="B5417" s="4" t="s">
        <v>5</v>
      </c>
      <c r="C5417" s="4" t="s">
        <v>11</v>
      </c>
      <c r="D5417" s="4" t="s">
        <v>13</v>
      </c>
      <c r="E5417" s="4" t="s">
        <v>13</v>
      </c>
      <c r="F5417" s="4" t="s">
        <v>13</v>
      </c>
      <c r="G5417" s="4" t="s">
        <v>13</v>
      </c>
    </row>
    <row r="5418" spans="1:10">
      <c r="A5418" t="n">
        <v>48707</v>
      </c>
      <c r="B5418" s="36" t="n">
        <v>46</v>
      </c>
      <c r="C5418" s="7" t="n">
        <v>0</v>
      </c>
      <c r="D5418" s="7" t="n">
        <v>-11.1000003814697</v>
      </c>
      <c r="E5418" s="7" t="n">
        <v>10.0100002288818</v>
      </c>
      <c r="F5418" s="7" t="n">
        <v>56.1599998474121</v>
      </c>
      <c r="G5418" s="7" t="n">
        <v>278.399993896484</v>
      </c>
    </row>
    <row r="5419" spans="1:10">
      <c r="A5419" t="s">
        <v>4</v>
      </c>
      <c r="B5419" s="4" t="s">
        <v>5</v>
      </c>
      <c r="C5419" s="4" t="s">
        <v>11</v>
      </c>
      <c r="D5419" s="4" t="s">
        <v>13</v>
      </c>
      <c r="E5419" s="4" t="s">
        <v>13</v>
      </c>
      <c r="F5419" s="4" t="s">
        <v>13</v>
      </c>
      <c r="G5419" s="4" t="s">
        <v>13</v>
      </c>
    </row>
    <row r="5420" spans="1:10">
      <c r="A5420" t="n">
        <v>48726</v>
      </c>
      <c r="B5420" s="36" t="n">
        <v>46</v>
      </c>
      <c r="C5420" s="7" t="n">
        <v>5</v>
      </c>
      <c r="D5420" s="7" t="n">
        <v>-11.8299999237061</v>
      </c>
      <c r="E5420" s="7" t="n">
        <v>10.0100002288818</v>
      </c>
      <c r="F5420" s="7" t="n">
        <v>55.7799987792969</v>
      </c>
      <c r="G5420" s="7" t="n">
        <v>272.600006103516</v>
      </c>
    </row>
    <row r="5421" spans="1:10">
      <c r="A5421" t="s">
        <v>4</v>
      </c>
      <c r="B5421" s="4" t="s">
        <v>5</v>
      </c>
      <c r="C5421" s="4" t="s">
        <v>11</v>
      </c>
      <c r="D5421" s="4" t="s">
        <v>11</v>
      </c>
      <c r="E5421" s="4" t="s">
        <v>11</v>
      </c>
    </row>
    <row r="5422" spans="1:10">
      <c r="A5422" t="n">
        <v>48745</v>
      </c>
      <c r="B5422" s="72" t="n">
        <v>61</v>
      </c>
      <c r="C5422" s="7" t="n">
        <v>0</v>
      </c>
      <c r="D5422" s="7" t="n">
        <v>65533</v>
      </c>
      <c r="E5422" s="7" t="n">
        <v>0</v>
      </c>
    </row>
    <row r="5423" spans="1:10">
      <c r="A5423" t="s">
        <v>4</v>
      </c>
      <c r="B5423" s="4" t="s">
        <v>5</v>
      </c>
      <c r="C5423" s="4" t="s">
        <v>11</v>
      </c>
      <c r="D5423" s="4" t="s">
        <v>11</v>
      </c>
      <c r="E5423" s="4" t="s">
        <v>11</v>
      </c>
    </row>
    <row r="5424" spans="1:10">
      <c r="A5424" t="n">
        <v>48752</v>
      </c>
      <c r="B5424" s="72" t="n">
        <v>61</v>
      </c>
      <c r="C5424" s="7" t="n">
        <v>5</v>
      </c>
      <c r="D5424" s="7" t="n">
        <v>65533</v>
      </c>
      <c r="E5424" s="7" t="n">
        <v>0</v>
      </c>
    </row>
    <row r="5425" spans="1:7">
      <c r="A5425" t="s">
        <v>4</v>
      </c>
      <c r="B5425" s="4" t="s">
        <v>5</v>
      </c>
      <c r="C5425" s="4" t="s">
        <v>7</v>
      </c>
      <c r="D5425" s="4" t="s">
        <v>7</v>
      </c>
      <c r="E5425" s="4" t="s">
        <v>13</v>
      </c>
      <c r="F5425" s="4" t="s">
        <v>13</v>
      </c>
      <c r="G5425" s="4" t="s">
        <v>13</v>
      </c>
      <c r="H5425" s="4" t="s">
        <v>11</v>
      </c>
    </row>
    <row r="5426" spans="1:7">
      <c r="A5426" t="n">
        <v>48759</v>
      </c>
      <c r="B5426" s="51" t="n">
        <v>45</v>
      </c>
      <c r="C5426" s="7" t="n">
        <v>2</v>
      </c>
      <c r="D5426" s="7" t="n">
        <v>3</v>
      </c>
      <c r="E5426" s="7" t="n">
        <v>-20.8400001525879</v>
      </c>
      <c r="F5426" s="7" t="n">
        <v>11.3599996566772</v>
      </c>
      <c r="G5426" s="7" t="n">
        <v>56.5299987792969</v>
      </c>
      <c r="H5426" s="7" t="n">
        <v>0</v>
      </c>
    </row>
    <row r="5427" spans="1:7">
      <c r="A5427" t="s">
        <v>4</v>
      </c>
      <c r="B5427" s="4" t="s">
        <v>5</v>
      </c>
      <c r="C5427" s="4" t="s">
        <v>7</v>
      </c>
      <c r="D5427" s="4" t="s">
        <v>7</v>
      </c>
      <c r="E5427" s="4" t="s">
        <v>13</v>
      </c>
      <c r="F5427" s="4" t="s">
        <v>13</v>
      </c>
      <c r="G5427" s="4" t="s">
        <v>13</v>
      </c>
      <c r="H5427" s="4" t="s">
        <v>11</v>
      </c>
      <c r="I5427" s="4" t="s">
        <v>7</v>
      </c>
    </row>
    <row r="5428" spans="1:7">
      <c r="A5428" t="n">
        <v>48776</v>
      </c>
      <c r="B5428" s="51" t="n">
        <v>45</v>
      </c>
      <c r="C5428" s="7" t="n">
        <v>4</v>
      </c>
      <c r="D5428" s="7" t="n">
        <v>3</v>
      </c>
      <c r="E5428" s="7" t="n">
        <v>16.3999996185303</v>
      </c>
      <c r="F5428" s="7" t="n">
        <v>42.7000007629395</v>
      </c>
      <c r="G5428" s="7" t="n">
        <v>0</v>
      </c>
      <c r="H5428" s="7" t="n">
        <v>0</v>
      </c>
      <c r="I5428" s="7" t="n">
        <v>0</v>
      </c>
    </row>
    <row r="5429" spans="1:7">
      <c r="A5429" t="s">
        <v>4</v>
      </c>
      <c r="B5429" s="4" t="s">
        <v>5</v>
      </c>
      <c r="C5429" s="4" t="s">
        <v>7</v>
      </c>
      <c r="D5429" s="4" t="s">
        <v>7</v>
      </c>
      <c r="E5429" s="4" t="s">
        <v>13</v>
      </c>
      <c r="F5429" s="4" t="s">
        <v>11</v>
      </c>
    </row>
    <row r="5430" spans="1:7">
      <c r="A5430" t="n">
        <v>48794</v>
      </c>
      <c r="B5430" s="51" t="n">
        <v>45</v>
      </c>
      <c r="C5430" s="7" t="n">
        <v>5</v>
      </c>
      <c r="D5430" s="7" t="n">
        <v>3</v>
      </c>
      <c r="E5430" s="7" t="n">
        <v>3.29999995231628</v>
      </c>
      <c r="F5430" s="7" t="n">
        <v>0</v>
      </c>
    </row>
    <row r="5431" spans="1:7">
      <c r="A5431" t="s">
        <v>4</v>
      </c>
      <c r="B5431" s="4" t="s">
        <v>5</v>
      </c>
      <c r="C5431" s="4" t="s">
        <v>7</v>
      </c>
      <c r="D5431" s="4" t="s">
        <v>7</v>
      </c>
      <c r="E5431" s="4" t="s">
        <v>13</v>
      </c>
      <c r="F5431" s="4" t="s">
        <v>11</v>
      </c>
    </row>
    <row r="5432" spans="1:7">
      <c r="A5432" t="n">
        <v>48803</v>
      </c>
      <c r="B5432" s="51" t="n">
        <v>45</v>
      </c>
      <c r="C5432" s="7" t="n">
        <v>11</v>
      </c>
      <c r="D5432" s="7" t="n">
        <v>3</v>
      </c>
      <c r="E5432" s="7" t="n">
        <v>34</v>
      </c>
      <c r="F5432" s="7" t="n">
        <v>0</v>
      </c>
    </row>
    <row r="5433" spans="1:7">
      <c r="A5433" t="s">
        <v>4</v>
      </c>
      <c r="B5433" s="4" t="s">
        <v>5</v>
      </c>
      <c r="C5433" s="4" t="s">
        <v>7</v>
      </c>
      <c r="D5433" s="4" t="s">
        <v>7</v>
      </c>
      <c r="E5433" s="4" t="s">
        <v>13</v>
      </c>
      <c r="F5433" s="4" t="s">
        <v>13</v>
      </c>
      <c r="G5433" s="4" t="s">
        <v>13</v>
      </c>
      <c r="H5433" s="4" t="s">
        <v>11</v>
      </c>
    </row>
    <row r="5434" spans="1:7">
      <c r="A5434" t="n">
        <v>48812</v>
      </c>
      <c r="B5434" s="51" t="n">
        <v>45</v>
      </c>
      <c r="C5434" s="7" t="n">
        <v>2</v>
      </c>
      <c r="D5434" s="7" t="n">
        <v>3</v>
      </c>
      <c r="E5434" s="7" t="n">
        <v>-13.3599996566772</v>
      </c>
      <c r="F5434" s="7" t="n">
        <v>10.9899997711182</v>
      </c>
      <c r="G5434" s="7" t="n">
        <v>55.939998626709</v>
      </c>
      <c r="H5434" s="7" t="n">
        <v>7000</v>
      </c>
    </row>
    <row r="5435" spans="1:7">
      <c r="A5435" t="s">
        <v>4</v>
      </c>
      <c r="B5435" s="4" t="s">
        <v>5</v>
      </c>
      <c r="C5435" s="4" t="s">
        <v>7</v>
      </c>
      <c r="D5435" s="4" t="s">
        <v>7</v>
      </c>
      <c r="E5435" s="4" t="s">
        <v>13</v>
      </c>
      <c r="F5435" s="4" t="s">
        <v>13</v>
      </c>
      <c r="G5435" s="4" t="s">
        <v>13</v>
      </c>
      <c r="H5435" s="4" t="s">
        <v>11</v>
      </c>
      <c r="I5435" s="4" t="s">
        <v>7</v>
      </c>
    </row>
    <row r="5436" spans="1:7">
      <c r="A5436" t="n">
        <v>48829</v>
      </c>
      <c r="B5436" s="51" t="n">
        <v>45</v>
      </c>
      <c r="C5436" s="7" t="n">
        <v>4</v>
      </c>
      <c r="D5436" s="7" t="n">
        <v>3</v>
      </c>
      <c r="E5436" s="7" t="n">
        <v>359.200012207031</v>
      </c>
      <c r="F5436" s="7" t="n">
        <v>317.269989013672</v>
      </c>
      <c r="G5436" s="7" t="n">
        <v>0</v>
      </c>
      <c r="H5436" s="7" t="n">
        <v>7000</v>
      </c>
      <c r="I5436" s="7" t="n">
        <v>1</v>
      </c>
    </row>
    <row r="5437" spans="1:7">
      <c r="A5437" t="s">
        <v>4</v>
      </c>
      <c r="B5437" s="4" t="s">
        <v>5</v>
      </c>
      <c r="C5437" s="4" t="s">
        <v>7</v>
      </c>
      <c r="D5437" s="4" t="s">
        <v>11</v>
      </c>
      <c r="E5437" s="4" t="s">
        <v>13</v>
      </c>
    </row>
    <row r="5438" spans="1:7">
      <c r="A5438" t="n">
        <v>48847</v>
      </c>
      <c r="B5438" s="23" t="n">
        <v>58</v>
      </c>
      <c r="C5438" s="7" t="n">
        <v>100</v>
      </c>
      <c r="D5438" s="7" t="n">
        <v>1000</v>
      </c>
      <c r="E5438" s="7" t="n">
        <v>1</v>
      </c>
    </row>
    <row r="5439" spans="1:7">
      <c r="A5439" t="s">
        <v>4</v>
      </c>
      <c r="B5439" s="4" t="s">
        <v>5</v>
      </c>
      <c r="C5439" s="4" t="s">
        <v>7</v>
      </c>
      <c r="D5439" s="4" t="s">
        <v>11</v>
      </c>
    </row>
    <row r="5440" spans="1:7">
      <c r="A5440" t="n">
        <v>48855</v>
      </c>
      <c r="B5440" s="23" t="n">
        <v>58</v>
      </c>
      <c r="C5440" s="7" t="n">
        <v>255</v>
      </c>
      <c r="D5440" s="7" t="n">
        <v>0</v>
      </c>
    </row>
    <row r="5441" spans="1:9">
      <c r="A5441" t="s">
        <v>4</v>
      </c>
      <c r="B5441" s="4" t="s">
        <v>5</v>
      </c>
      <c r="C5441" s="4" t="s">
        <v>8</v>
      </c>
      <c r="D5441" s="4" t="s">
        <v>8</v>
      </c>
    </row>
    <row r="5442" spans="1:9">
      <c r="A5442" t="n">
        <v>48859</v>
      </c>
      <c r="B5442" s="52" t="n">
        <v>70</v>
      </c>
      <c r="C5442" s="7" t="s">
        <v>493</v>
      </c>
      <c r="D5442" s="7" t="s">
        <v>109</v>
      </c>
    </row>
    <row r="5443" spans="1:9">
      <c r="A5443" t="s">
        <v>4</v>
      </c>
      <c r="B5443" s="4" t="s">
        <v>5</v>
      </c>
      <c r="C5443" s="4" t="s">
        <v>11</v>
      </c>
    </row>
    <row r="5444" spans="1:9">
      <c r="A5444" t="n">
        <v>48876</v>
      </c>
      <c r="B5444" s="29" t="n">
        <v>16</v>
      </c>
      <c r="C5444" s="7" t="n">
        <v>3000</v>
      </c>
    </row>
    <row r="5445" spans="1:9">
      <c r="A5445" t="s">
        <v>4</v>
      </c>
      <c r="B5445" s="4" t="s">
        <v>5</v>
      </c>
      <c r="C5445" s="4" t="s">
        <v>11</v>
      </c>
      <c r="D5445" s="4" t="s">
        <v>7</v>
      </c>
      <c r="E5445" s="4" t="s">
        <v>13</v>
      </c>
      <c r="F5445" s="4" t="s">
        <v>11</v>
      </c>
    </row>
    <row r="5446" spans="1:9">
      <c r="A5446" t="n">
        <v>48879</v>
      </c>
      <c r="B5446" s="56" t="n">
        <v>59</v>
      </c>
      <c r="C5446" s="7" t="n">
        <v>5</v>
      </c>
      <c r="D5446" s="7" t="n">
        <v>9</v>
      </c>
      <c r="E5446" s="7" t="n">
        <v>0.150000005960464</v>
      </c>
      <c r="F5446" s="7" t="n">
        <v>0</v>
      </c>
    </row>
    <row r="5447" spans="1:9">
      <c r="A5447" t="s">
        <v>4</v>
      </c>
      <c r="B5447" s="4" t="s">
        <v>5</v>
      </c>
      <c r="C5447" s="4" t="s">
        <v>11</v>
      </c>
      <c r="D5447" s="4" t="s">
        <v>13</v>
      </c>
      <c r="E5447" s="4" t="s">
        <v>13</v>
      </c>
      <c r="F5447" s="4" t="s">
        <v>13</v>
      </c>
      <c r="G5447" s="4" t="s">
        <v>11</v>
      </c>
      <c r="H5447" s="4" t="s">
        <v>11</v>
      </c>
    </row>
    <row r="5448" spans="1:9">
      <c r="A5448" t="n">
        <v>48889</v>
      </c>
      <c r="B5448" s="37" t="n">
        <v>60</v>
      </c>
      <c r="C5448" s="7" t="n">
        <v>5</v>
      </c>
      <c r="D5448" s="7" t="n">
        <v>-45</v>
      </c>
      <c r="E5448" s="7" t="n">
        <v>0</v>
      </c>
      <c r="F5448" s="7" t="n">
        <v>0</v>
      </c>
      <c r="G5448" s="7" t="n">
        <v>1000</v>
      </c>
      <c r="H5448" s="7" t="n">
        <v>0</v>
      </c>
    </row>
    <row r="5449" spans="1:9">
      <c r="A5449" t="s">
        <v>4</v>
      </c>
      <c r="B5449" s="4" t="s">
        <v>5</v>
      </c>
      <c r="C5449" s="4" t="s">
        <v>11</v>
      </c>
    </row>
    <row r="5450" spans="1:9">
      <c r="A5450" t="n">
        <v>48908</v>
      </c>
      <c r="B5450" s="29" t="n">
        <v>16</v>
      </c>
      <c r="C5450" s="7" t="n">
        <v>1000</v>
      </c>
    </row>
    <row r="5451" spans="1:9">
      <c r="A5451" t="s">
        <v>4</v>
      </c>
      <c r="B5451" s="4" t="s">
        <v>5</v>
      </c>
      <c r="C5451" s="4" t="s">
        <v>11</v>
      </c>
      <c r="D5451" s="4" t="s">
        <v>13</v>
      </c>
      <c r="E5451" s="4" t="s">
        <v>13</v>
      </c>
      <c r="F5451" s="4" t="s">
        <v>13</v>
      </c>
      <c r="G5451" s="4" t="s">
        <v>11</v>
      </c>
      <c r="H5451" s="4" t="s">
        <v>11</v>
      </c>
    </row>
    <row r="5452" spans="1:9">
      <c r="A5452" t="n">
        <v>48911</v>
      </c>
      <c r="B5452" s="37" t="n">
        <v>60</v>
      </c>
      <c r="C5452" s="7" t="n">
        <v>5</v>
      </c>
      <c r="D5452" s="7" t="n">
        <v>45</v>
      </c>
      <c r="E5452" s="7" t="n">
        <v>0</v>
      </c>
      <c r="F5452" s="7" t="n">
        <v>0</v>
      </c>
      <c r="G5452" s="7" t="n">
        <v>1000</v>
      </c>
      <c r="H5452" s="7" t="n">
        <v>0</v>
      </c>
    </row>
    <row r="5453" spans="1:9">
      <c r="A5453" t="s">
        <v>4</v>
      </c>
      <c r="B5453" s="4" t="s">
        <v>5</v>
      </c>
      <c r="C5453" s="4" t="s">
        <v>11</v>
      </c>
    </row>
    <row r="5454" spans="1:9">
      <c r="A5454" t="n">
        <v>48930</v>
      </c>
      <c r="B5454" s="29" t="n">
        <v>16</v>
      </c>
      <c r="C5454" s="7" t="n">
        <v>1000</v>
      </c>
    </row>
    <row r="5455" spans="1:9">
      <c r="A5455" t="s">
        <v>4</v>
      </c>
      <c r="B5455" s="4" t="s">
        <v>5</v>
      </c>
      <c r="C5455" s="4" t="s">
        <v>11</v>
      </c>
      <c r="D5455" s="4" t="s">
        <v>13</v>
      </c>
      <c r="E5455" s="4" t="s">
        <v>13</v>
      </c>
      <c r="F5455" s="4" t="s">
        <v>13</v>
      </c>
      <c r="G5455" s="4" t="s">
        <v>11</v>
      </c>
      <c r="H5455" s="4" t="s">
        <v>11</v>
      </c>
    </row>
    <row r="5456" spans="1:9">
      <c r="A5456" t="n">
        <v>48933</v>
      </c>
      <c r="B5456" s="37" t="n">
        <v>60</v>
      </c>
      <c r="C5456" s="7" t="n">
        <v>5</v>
      </c>
      <c r="D5456" s="7" t="n">
        <v>0</v>
      </c>
      <c r="E5456" s="7" t="n">
        <v>0</v>
      </c>
      <c r="F5456" s="7" t="n">
        <v>0</v>
      </c>
      <c r="G5456" s="7" t="n">
        <v>500</v>
      </c>
      <c r="H5456" s="7" t="n">
        <v>0</v>
      </c>
    </row>
    <row r="5457" spans="1:8">
      <c r="A5457" t="s">
        <v>4</v>
      </c>
      <c r="B5457" s="4" t="s">
        <v>5</v>
      </c>
      <c r="C5457" s="4" t="s">
        <v>11</v>
      </c>
    </row>
    <row r="5458" spans="1:8">
      <c r="A5458" t="n">
        <v>48952</v>
      </c>
      <c r="B5458" s="29" t="n">
        <v>16</v>
      </c>
      <c r="C5458" s="7" t="n">
        <v>1000</v>
      </c>
    </row>
    <row r="5459" spans="1:8">
      <c r="A5459" t="s">
        <v>4</v>
      </c>
      <c r="B5459" s="4" t="s">
        <v>5</v>
      </c>
      <c r="C5459" s="4" t="s">
        <v>7</v>
      </c>
      <c r="D5459" s="4" t="s">
        <v>11</v>
      </c>
    </row>
    <row r="5460" spans="1:8">
      <c r="A5460" t="n">
        <v>48955</v>
      </c>
      <c r="B5460" s="51" t="n">
        <v>45</v>
      </c>
      <c r="C5460" s="7" t="n">
        <v>7</v>
      </c>
      <c r="D5460" s="7" t="n">
        <v>255</v>
      </c>
    </row>
    <row r="5461" spans="1:8">
      <c r="A5461" t="s">
        <v>4</v>
      </c>
      <c r="B5461" s="4" t="s">
        <v>5</v>
      </c>
      <c r="C5461" s="4" t="s">
        <v>7</v>
      </c>
      <c r="D5461" s="4" t="s">
        <v>11</v>
      </c>
      <c r="E5461" s="4" t="s">
        <v>13</v>
      </c>
    </row>
    <row r="5462" spans="1:8">
      <c r="A5462" t="n">
        <v>48959</v>
      </c>
      <c r="B5462" s="23" t="n">
        <v>58</v>
      </c>
      <c r="C5462" s="7" t="n">
        <v>0</v>
      </c>
      <c r="D5462" s="7" t="n">
        <v>1000</v>
      </c>
      <c r="E5462" s="7" t="n">
        <v>1</v>
      </c>
    </row>
    <row r="5463" spans="1:8">
      <c r="A5463" t="s">
        <v>4</v>
      </c>
      <c r="B5463" s="4" t="s">
        <v>5</v>
      </c>
      <c r="C5463" s="4" t="s">
        <v>7</v>
      </c>
      <c r="D5463" s="4" t="s">
        <v>11</v>
      </c>
    </row>
    <row r="5464" spans="1:8">
      <c r="A5464" t="n">
        <v>48967</v>
      </c>
      <c r="B5464" s="23" t="n">
        <v>58</v>
      </c>
      <c r="C5464" s="7" t="n">
        <v>255</v>
      </c>
      <c r="D5464" s="7" t="n">
        <v>0</v>
      </c>
    </row>
    <row r="5465" spans="1:8">
      <c r="A5465" t="s">
        <v>4</v>
      </c>
      <c r="B5465" s="4" t="s">
        <v>5</v>
      </c>
      <c r="C5465" s="4" t="s">
        <v>11</v>
      </c>
      <c r="D5465" s="4" t="s">
        <v>11</v>
      </c>
      <c r="E5465" s="4" t="s">
        <v>11</v>
      </c>
    </row>
    <row r="5466" spans="1:8">
      <c r="A5466" t="n">
        <v>48971</v>
      </c>
      <c r="B5466" s="72" t="n">
        <v>61</v>
      </c>
      <c r="C5466" s="7" t="n">
        <v>0</v>
      </c>
      <c r="D5466" s="7" t="n">
        <v>65533</v>
      </c>
      <c r="E5466" s="7" t="n">
        <v>1000</v>
      </c>
    </row>
    <row r="5467" spans="1:8">
      <c r="A5467" t="s">
        <v>4</v>
      </c>
      <c r="B5467" s="4" t="s">
        <v>5</v>
      </c>
      <c r="C5467" s="4" t="s">
        <v>11</v>
      </c>
      <c r="D5467" s="4" t="s">
        <v>11</v>
      </c>
      <c r="E5467" s="4" t="s">
        <v>11</v>
      </c>
    </row>
    <row r="5468" spans="1:8">
      <c r="A5468" t="n">
        <v>48978</v>
      </c>
      <c r="B5468" s="72" t="n">
        <v>61</v>
      </c>
      <c r="C5468" s="7" t="n">
        <v>5</v>
      </c>
      <c r="D5468" s="7" t="n">
        <v>65533</v>
      </c>
      <c r="E5468" s="7" t="n">
        <v>1000</v>
      </c>
    </row>
    <row r="5469" spans="1:8">
      <c r="A5469" t="s">
        <v>4</v>
      </c>
      <c r="B5469" s="4" t="s">
        <v>5</v>
      </c>
      <c r="C5469" s="4" t="s">
        <v>11</v>
      </c>
      <c r="D5469" s="4" t="s">
        <v>13</v>
      </c>
      <c r="E5469" s="4" t="s">
        <v>13</v>
      </c>
      <c r="F5469" s="4" t="s">
        <v>13</v>
      </c>
      <c r="G5469" s="4" t="s">
        <v>13</v>
      </c>
    </row>
    <row r="5470" spans="1:8">
      <c r="A5470" t="n">
        <v>48985</v>
      </c>
      <c r="B5470" s="36" t="n">
        <v>46</v>
      </c>
      <c r="C5470" s="7" t="n">
        <v>0</v>
      </c>
      <c r="D5470" s="7" t="n">
        <v>-2.66000008583069</v>
      </c>
      <c r="E5470" s="7" t="n">
        <v>5.01000022888184</v>
      </c>
      <c r="F5470" s="7" t="n">
        <v>32.189998626709</v>
      </c>
      <c r="G5470" s="7" t="n">
        <v>90</v>
      </c>
    </row>
    <row r="5471" spans="1:8">
      <c r="A5471" t="s">
        <v>4</v>
      </c>
      <c r="B5471" s="4" t="s">
        <v>5</v>
      </c>
      <c r="C5471" s="4" t="s">
        <v>11</v>
      </c>
      <c r="D5471" s="4" t="s">
        <v>13</v>
      </c>
      <c r="E5471" s="4" t="s">
        <v>13</v>
      </c>
      <c r="F5471" s="4" t="s">
        <v>13</v>
      </c>
      <c r="G5471" s="4" t="s">
        <v>13</v>
      </c>
    </row>
    <row r="5472" spans="1:8">
      <c r="A5472" t="n">
        <v>49004</v>
      </c>
      <c r="B5472" s="36" t="n">
        <v>46</v>
      </c>
      <c r="C5472" s="7" t="n">
        <v>5</v>
      </c>
      <c r="D5472" s="7" t="n">
        <v>-3.16000008583069</v>
      </c>
      <c r="E5472" s="7" t="n">
        <v>5.01000022888184</v>
      </c>
      <c r="F5472" s="7" t="n">
        <v>31.7900009155273</v>
      </c>
      <c r="G5472" s="7" t="n">
        <v>90</v>
      </c>
    </row>
    <row r="5473" spans="1:7">
      <c r="A5473" t="s">
        <v>4</v>
      </c>
      <c r="B5473" s="4" t="s">
        <v>5</v>
      </c>
      <c r="C5473" s="4" t="s">
        <v>7</v>
      </c>
      <c r="D5473" s="4" t="s">
        <v>7</v>
      </c>
      <c r="E5473" s="4" t="s">
        <v>13</v>
      </c>
      <c r="F5473" s="4" t="s">
        <v>13</v>
      </c>
      <c r="G5473" s="4" t="s">
        <v>13</v>
      </c>
      <c r="H5473" s="4" t="s">
        <v>11</v>
      </c>
    </row>
    <row r="5474" spans="1:7">
      <c r="A5474" t="n">
        <v>49023</v>
      </c>
      <c r="B5474" s="51" t="n">
        <v>45</v>
      </c>
      <c r="C5474" s="7" t="n">
        <v>2</v>
      </c>
      <c r="D5474" s="7" t="n">
        <v>3</v>
      </c>
      <c r="E5474" s="7" t="n">
        <v>6.82000017166138</v>
      </c>
      <c r="F5474" s="7" t="n">
        <v>6.17999982833862</v>
      </c>
      <c r="G5474" s="7" t="n">
        <v>32.2799987792969</v>
      </c>
      <c r="H5474" s="7" t="n">
        <v>0</v>
      </c>
    </row>
    <row r="5475" spans="1:7">
      <c r="A5475" t="s">
        <v>4</v>
      </c>
      <c r="B5475" s="4" t="s">
        <v>5</v>
      </c>
      <c r="C5475" s="4" t="s">
        <v>7</v>
      </c>
      <c r="D5475" s="4" t="s">
        <v>7</v>
      </c>
      <c r="E5475" s="4" t="s">
        <v>13</v>
      </c>
      <c r="F5475" s="4" t="s">
        <v>13</v>
      </c>
      <c r="G5475" s="4" t="s">
        <v>13</v>
      </c>
      <c r="H5475" s="4" t="s">
        <v>11</v>
      </c>
      <c r="I5475" s="4" t="s">
        <v>7</v>
      </c>
    </row>
    <row r="5476" spans="1:7">
      <c r="A5476" t="n">
        <v>49040</v>
      </c>
      <c r="B5476" s="51" t="n">
        <v>45</v>
      </c>
      <c r="C5476" s="7" t="n">
        <v>4</v>
      </c>
      <c r="D5476" s="7" t="n">
        <v>3</v>
      </c>
      <c r="E5476" s="7" t="n">
        <v>358.239990234375</v>
      </c>
      <c r="F5476" s="7" t="n">
        <v>344.200012207031</v>
      </c>
      <c r="G5476" s="7" t="n">
        <v>0</v>
      </c>
      <c r="H5476" s="7" t="n">
        <v>0</v>
      </c>
      <c r="I5476" s="7" t="n">
        <v>0</v>
      </c>
    </row>
    <row r="5477" spans="1:7">
      <c r="A5477" t="s">
        <v>4</v>
      </c>
      <c r="B5477" s="4" t="s">
        <v>5</v>
      </c>
      <c r="C5477" s="4" t="s">
        <v>7</v>
      </c>
      <c r="D5477" s="4" t="s">
        <v>7</v>
      </c>
      <c r="E5477" s="4" t="s">
        <v>13</v>
      </c>
      <c r="F5477" s="4" t="s">
        <v>11</v>
      </c>
    </row>
    <row r="5478" spans="1:7">
      <c r="A5478" t="n">
        <v>49058</v>
      </c>
      <c r="B5478" s="51" t="n">
        <v>45</v>
      </c>
      <c r="C5478" s="7" t="n">
        <v>5</v>
      </c>
      <c r="D5478" s="7" t="n">
        <v>3</v>
      </c>
      <c r="E5478" s="7" t="n">
        <v>3.40000009536743</v>
      </c>
      <c r="F5478" s="7" t="n">
        <v>0</v>
      </c>
    </row>
    <row r="5479" spans="1:7">
      <c r="A5479" t="s">
        <v>4</v>
      </c>
      <c r="B5479" s="4" t="s">
        <v>5</v>
      </c>
      <c r="C5479" s="4" t="s">
        <v>7</v>
      </c>
      <c r="D5479" s="4" t="s">
        <v>7</v>
      </c>
      <c r="E5479" s="4" t="s">
        <v>13</v>
      </c>
      <c r="F5479" s="4" t="s">
        <v>11</v>
      </c>
    </row>
    <row r="5480" spans="1:7">
      <c r="A5480" t="n">
        <v>49067</v>
      </c>
      <c r="B5480" s="51" t="n">
        <v>45</v>
      </c>
      <c r="C5480" s="7" t="n">
        <v>11</v>
      </c>
      <c r="D5480" s="7" t="n">
        <v>3</v>
      </c>
      <c r="E5480" s="7" t="n">
        <v>40.2999992370605</v>
      </c>
      <c r="F5480" s="7" t="n">
        <v>0</v>
      </c>
    </row>
    <row r="5481" spans="1:7">
      <c r="A5481" t="s">
        <v>4</v>
      </c>
      <c r="B5481" s="4" t="s">
        <v>5</v>
      </c>
      <c r="C5481" s="4" t="s">
        <v>7</v>
      </c>
      <c r="D5481" s="4" t="s">
        <v>7</v>
      </c>
      <c r="E5481" s="4" t="s">
        <v>13</v>
      </c>
      <c r="F5481" s="4" t="s">
        <v>13</v>
      </c>
      <c r="G5481" s="4" t="s">
        <v>13</v>
      </c>
      <c r="H5481" s="4" t="s">
        <v>11</v>
      </c>
    </row>
    <row r="5482" spans="1:7">
      <c r="A5482" t="n">
        <v>49076</v>
      </c>
      <c r="B5482" s="51" t="n">
        <v>45</v>
      </c>
      <c r="C5482" s="7" t="n">
        <v>2</v>
      </c>
      <c r="D5482" s="7" t="n">
        <v>3</v>
      </c>
      <c r="E5482" s="7" t="n">
        <v>-2.55999994277954</v>
      </c>
      <c r="F5482" s="7" t="n">
        <v>6.17999982833862</v>
      </c>
      <c r="G5482" s="7" t="n">
        <v>32.1800003051758</v>
      </c>
      <c r="H5482" s="7" t="n">
        <v>6000</v>
      </c>
    </row>
    <row r="5483" spans="1:7">
      <c r="A5483" t="s">
        <v>4</v>
      </c>
      <c r="B5483" s="4" t="s">
        <v>5</v>
      </c>
      <c r="C5483" s="4" t="s">
        <v>7</v>
      </c>
      <c r="D5483" s="4" t="s">
        <v>7</v>
      </c>
      <c r="E5483" s="4" t="s">
        <v>13</v>
      </c>
      <c r="F5483" s="4" t="s">
        <v>13</v>
      </c>
      <c r="G5483" s="4" t="s">
        <v>13</v>
      </c>
      <c r="H5483" s="4" t="s">
        <v>11</v>
      </c>
      <c r="I5483" s="4" t="s">
        <v>7</v>
      </c>
    </row>
    <row r="5484" spans="1:7">
      <c r="A5484" t="n">
        <v>49093</v>
      </c>
      <c r="B5484" s="51" t="n">
        <v>45</v>
      </c>
      <c r="C5484" s="7" t="n">
        <v>4</v>
      </c>
      <c r="D5484" s="7" t="n">
        <v>3</v>
      </c>
      <c r="E5484" s="7" t="n">
        <v>12.2700004577637</v>
      </c>
      <c r="F5484" s="7" t="n">
        <v>75.7099990844727</v>
      </c>
      <c r="G5484" s="7" t="n">
        <v>0</v>
      </c>
      <c r="H5484" s="7" t="n">
        <v>6000</v>
      </c>
      <c r="I5484" s="7" t="n">
        <v>1</v>
      </c>
    </row>
    <row r="5485" spans="1:7">
      <c r="A5485" t="s">
        <v>4</v>
      </c>
      <c r="B5485" s="4" t="s">
        <v>5</v>
      </c>
      <c r="C5485" s="4" t="s">
        <v>7</v>
      </c>
      <c r="D5485" s="4" t="s">
        <v>7</v>
      </c>
      <c r="E5485" s="4" t="s">
        <v>13</v>
      </c>
      <c r="F5485" s="4" t="s">
        <v>11</v>
      </c>
    </row>
    <row r="5486" spans="1:7">
      <c r="A5486" t="n">
        <v>49111</v>
      </c>
      <c r="B5486" s="51" t="n">
        <v>45</v>
      </c>
      <c r="C5486" s="7" t="n">
        <v>5</v>
      </c>
      <c r="D5486" s="7" t="n">
        <v>3</v>
      </c>
      <c r="E5486" s="7" t="n">
        <v>2.70000004768372</v>
      </c>
      <c r="F5486" s="7" t="n">
        <v>6000</v>
      </c>
    </row>
    <row r="5487" spans="1:7">
      <c r="A5487" t="s">
        <v>4</v>
      </c>
      <c r="B5487" s="4" t="s">
        <v>5</v>
      </c>
      <c r="C5487" s="4" t="s">
        <v>7</v>
      </c>
      <c r="D5487" s="4" t="s">
        <v>11</v>
      </c>
      <c r="E5487" s="4" t="s">
        <v>13</v>
      </c>
    </row>
    <row r="5488" spans="1:7">
      <c r="A5488" t="n">
        <v>49120</v>
      </c>
      <c r="B5488" s="23" t="n">
        <v>58</v>
      </c>
      <c r="C5488" s="7" t="n">
        <v>100</v>
      </c>
      <c r="D5488" s="7" t="n">
        <v>1000</v>
      </c>
      <c r="E5488" s="7" t="n">
        <v>1</v>
      </c>
    </row>
    <row r="5489" spans="1:9">
      <c r="A5489" t="s">
        <v>4</v>
      </c>
      <c r="B5489" s="4" t="s">
        <v>5</v>
      </c>
      <c r="C5489" s="4" t="s">
        <v>7</v>
      </c>
      <c r="D5489" s="4" t="s">
        <v>11</v>
      </c>
    </row>
    <row r="5490" spans="1:9">
      <c r="A5490" t="n">
        <v>49128</v>
      </c>
      <c r="B5490" s="23" t="n">
        <v>58</v>
      </c>
      <c r="C5490" s="7" t="n">
        <v>255</v>
      </c>
      <c r="D5490" s="7" t="n">
        <v>0</v>
      </c>
    </row>
    <row r="5491" spans="1:9">
      <c r="A5491" t="s">
        <v>4</v>
      </c>
      <c r="B5491" s="4" t="s">
        <v>5</v>
      </c>
      <c r="C5491" s="4" t="s">
        <v>8</v>
      </c>
      <c r="D5491" s="4" t="s">
        <v>8</v>
      </c>
    </row>
    <row r="5492" spans="1:9">
      <c r="A5492" t="n">
        <v>49132</v>
      </c>
      <c r="B5492" s="52" t="n">
        <v>70</v>
      </c>
      <c r="C5492" s="7" t="s">
        <v>24</v>
      </c>
      <c r="D5492" s="7" t="s">
        <v>109</v>
      </c>
    </row>
    <row r="5493" spans="1:9">
      <c r="A5493" t="s">
        <v>4</v>
      </c>
      <c r="B5493" s="4" t="s">
        <v>5</v>
      </c>
      <c r="C5493" s="4" t="s">
        <v>11</v>
      </c>
    </row>
    <row r="5494" spans="1:9">
      <c r="A5494" t="n">
        <v>49149</v>
      </c>
      <c r="B5494" s="29" t="n">
        <v>16</v>
      </c>
      <c r="C5494" s="7" t="n">
        <v>4000</v>
      </c>
    </row>
    <row r="5495" spans="1:9">
      <c r="A5495" t="s">
        <v>4</v>
      </c>
      <c r="B5495" s="4" t="s">
        <v>5</v>
      </c>
      <c r="C5495" s="4" t="s">
        <v>11</v>
      </c>
      <c r="D5495" s="4" t="s">
        <v>7</v>
      </c>
      <c r="E5495" s="4" t="s">
        <v>13</v>
      </c>
      <c r="F5495" s="4" t="s">
        <v>11</v>
      </c>
    </row>
    <row r="5496" spans="1:9">
      <c r="A5496" t="n">
        <v>49152</v>
      </c>
      <c r="B5496" s="56" t="n">
        <v>59</v>
      </c>
      <c r="C5496" s="7" t="n">
        <v>0</v>
      </c>
      <c r="D5496" s="7" t="n">
        <v>9</v>
      </c>
      <c r="E5496" s="7" t="n">
        <v>0.150000005960464</v>
      </c>
      <c r="F5496" s="7" t="n">
        <v>0</v>
      </c>
    </row>
    <row r="5497" spans="1:9">
      <c r="A5497" t="s">
        <v>4</v>
      </c>
      <c r="B5497" s="4" t="s">
        <v>5</v>
      </c>
      <c r="C5497" s="4" t="s">
        <v>11</v>
      </c>
    </row>
    <row r="5498" spans="1:9">
      <c r="A5498" t="n">
        <v>49162</v>
      </c>
      <c r="B5498" s="29" t="n">
        <v>16</v>
      </c>
      <c r="C5498" s="7" t="n">
        <v>1800</v>
      </c>
    </row>
    <row r="5499" spans="1:9">
      <c r="A5499" t="s">
        <v>4</v>
      </c>
      <c r="B5499" s="4" t="s">
        <v>5</v>
      </c>
      <c r="C5499" s="4" t="s">
        <v>7</v>
      </c>
      <c r="D5499" s="4" t="s">
        <v>11</v>
      </c>
    </row>
    <row r="5500" spans="1:9">
      <c r="A5500" t="n">
        <v>49165</v>
      </c>
      <c r="B5500" s="51" t="n">
        <v>45</v>
      </c>
      <c r="C5500" s="7" t="n">
        <v>7</v>
      </c>
      <c r="D5500" s="7" t="n">
        <v>255</v>
      </c>
    </row>
    <row r="5501" spans="1:9">
      <c r="A5501" t="s">
        <v>4</v>
      </c>
      <c r="B5501" s="4" t="s">
        <v>5</v>
      </c>
      <c r="C5501" s="4" t="s">
        <v>7</v>
      </c>
      <c r="D5501" s="4" t="s">
        <v>11</v>
      </c>
      <c r="E5501" s="4" t="s">
        <v>13</v>
      </c>
    </row>
    <row r="5502" spans="1:9">
      <c r="A5502" t="n">
        <v>49169</v>
      </c>
      <c r="B5502" s="23" t="n">
        <v>58</v>
      </c>
      <c r="C5502" s="7" t="n">
        <v>0</v>
      </c>
      <c r="D5502" s="7" t="n">
        <v>1000</v>
      </c>
      <c r="E5502" s="7" t="n">
        <v>1</v>
      </c>
    </row>
    <row r="5503" spans="1:9">
      <c r="A5503" t="s">
        <v>4</v>
      </c>
      <c r="B5503" s="4" t="s">
        <v>5</v>
      </c>
      <c r="C5503" s="4" t="s">
        <v>7</v>
      </c>
      <c r="D5503" s="4" t="s">
        <v>11</v>
      </c>
    </row>
    <row r="5504" spans="1:9">
      <c r="A5504" t="n">
        <v>49177</v>
      </c>
      <c r="B5504" s="23" t="n">
        <v>58</v>
      </c>
      <c r="C5504" s="7" t="n">
        <v>255</v>
      </c>
      <c r="D5504" s="7" t="n">
        <v>0</v>
      </c>
    </row>
    <row r="5505" spans="1:6">
      <c r="A5505" t="s">
        <v>4</v>
      </c>
      <c r="B5505" s="4" t="s">
        <v>5</v>
      </c>
      <c r="C5505" s="4" t="s">
        <v>8</v>
      </c>
      <c r="D5505" s="4" t="s">
        <v>8</v>
      </c>
    </row>
    <row r="5506" spans="1:6">
      <c r="A5506" t="n">
        <v>49181</v>
      </c>
      <c r="B5506" s="52" t="n">
        <v>70</v>
      </c>
      <c r="C5506" s="7" t="s">
        <v>24</v>
      </c>
      <c r="D5506" s="7" t="s">
        <v>118</v>
      </c>
    </row>
    <row r="5507" spans="1:6">
      <c r="A5507" t="s">
        <v>4</v>
      </c>
      <c r="B5507" s="4" t="s">
        <v>5</v>
      </c>
      <c r="C5507" s="4" t="s">
        <v>11</v>
      </c>
      <c r="D5507" s="4" t="s">
        <v>13</v>
      </c>
      <c r="E5507" s="4" t="s">
        <v>13</v>
      </c>
      <c r="F5507" s="4" t="s">
        <v>13</v>
      </c>
      <c r="G5507" s="4" t="s">
        <v>13</v>
      </c>
    </row>
    <row r="5508" spans="1:6">
      <c r="A5508" t="n">
        <v>49197</v>
      </c>
      <c r="B5508" s="36" t="n">
        <v>46</v>
      </c>
      <c r="C5508" s="7" t="n">
        <v>0</v>
      </c>
      <c r="D5508" s="7" t="n">
        <v>-10.9899997711182</v>
      </c>
      <c r="E5508" s="7" t="n">
        <v>5.01000022888184</v>
      </c>
      <c r="F5508" s="7" t="n">
        <v>32.4300003051758</v>
      </c>
      <c r="G5508" s="7" t="n">
        <v>270</v>
      </c>
    </row>
    <row r="5509" spans="1:6">
      <c r="A5509" t="s">
        <v>4</v>
      </c>
      <c r="B5509" s="4" t="s">
        <v>5</v>
      </c>
      <c r="C5509" s="4" t="s">
        <v>11</v>
      </c>
      <c r="D5509" s="4" t="s">
        <v>13</v>
      </c>
      <c r="E5509" s="4" t="s">
        <v>13</v>
      </c>
      <c r="F5509" s="4" t="s">
        <v>13</v>
      </c>
      <c r="G5509" s="4" t="s">
        <v>13</v>
      </c>
    </row>
    <row r="5510" spans="1:6">
      <c r="A5510" t="n">
        <v>49216</v>
      </c>
      <c r="B5510" s="36" t="n">
        <v>46</v>
      </c>
      <c r="C5510" s="7" t="n">
        <v>5</v>
      </c>
      <c r="D5510" s="7" t="n">
        <v>-10.5500001907349</v>
      </c>
      <c r="E5510" s="7" t="n">
        <v>5.01000022888184</v>
      </c>
      <c r="F5510" s="7" t="n">
        <v>31.5499992370605</v>
      </c>
      <c r="G5510" s="7" t="n">
        <v>270</v>
      </c>
    </row>
    <row r="5511" spans="1:6">
      <c r="A5511" t="s">
        <v>4</v>
      </c>
      <c r="B5511" s="4" t="s">
        <v>5</v>
      </c>
      <c r="C5511" s="4" t="s">
        <v>7</v>
      </c>
      <c r="D5511" s="4" t="s">
        <v>7</v>
      </c>
      <c r="E5511" s="4" t="s">
        <v>13</v>
      </c>
      <c r="F5511" s="4" t="s">
        <v>13</v>
      </c>
      <c r="G5511" s="4" t="s">
        <v>13</v>
      </c>
      <c r="H5511" s="4" t="s">
        <v>11</v>
      </c>
    </row>
    <row r="5512" spans="1:6">
      <c r="A5512" t="n">
        <v>49235</v>
      </c>
      <c r="B5512" s="51" t="n">
        <v>45</v>
      </c>
      <c r="C5512" s="7" t="n">
        <v>2</v>
      </c>
      <c r="D5512" s="7" t="n">
        <v>3</v>
      </c>
      <c r="E5512" s="7" t="n">
        <v>-14.1199998855591</v>
      </c>
      <c r="F5512" s="7" t="n">
        <v>6.75</v>
      </c>
      <c r="G5512" s="7" t="n">
        <v>31.9300003051758</v>
      </c>
      <c r="H5512" s="7" t="n">
        <v>0</v>
      </c>
    </row>
    <row r="5513" spans="1:6">
      <c r="A5513" t="s">
        <v>4</v>
      </c>
      <c r="B5513" s="4" t="s">
        <v>5</v>
      </c>
      <c r="C5513" s="4" t="s">
        <v>7</v>
      </c>
      <c r="D5513" s="4" t="s">
        <v>7</v>
      </c>
      <c r="E5513" s="4" t="s">
        <v>13</v>
      </c>
      <c r="F5513" s="4" t="s">
        <v>13</v>
      </c>
      <c r="G5513" s="4" t="s">
        <v>13</v>
      </c>
      <c r="H5513" s="4" t="s">
        <v>11</v>
      </c>
      <c r="I5513" s="4" t="s">
        <v>7</v>
      </c>
    </row>
    <row r="5514" spans="1:6">
      <c r="A5514" t="n">
        <v>49252</v>
      </c>
      <c r="B5514" s="51" t="n">
        <v>45</v>
      </c>
      <c r="C5514" s="7" t="n">
        <v>4</v>
      </c>
      <c r="D5514" s="7" t="n">
        <v>3</v>
      </c>
      <c r="E5514" s="7" t="n">
        <v>7.63000011444092</v>
      </c>
      <c r="F5514" s="7" t="n">
        <v>90</v>
      </c>
      <c r="G5514" s="7" t="n">
        <v>0</v>
      </c>
      <c r="H5514" s="7" t="n">
        <v>0</v>
      </c>
      <c r="I5514" s="7" t="n">
        <v>0</v>
      </c>
    </row>
    <row r="5515" spans="1:6">
      <c r="A5515" t="s">
        <v>4</v>
      </c>
      <c r="B5515" s="4" t="s">
        <v>5</v>
      </c>
      <c r="C5515" s="4" t="s">
        <v>7</v>
      </c>
      <c r="D5515" s="4" t="s">
        <v>7</v>
      </c>
      <c r="E5515" s="4" t="s">
        <v>13</v>
      </c>
      <c r="F5515" s="4" t="s">
        <v>11</v>
      </c>
    </row>
    <row r="5516" spans="1:6">
      <c r="A5516" t="n">
        <v>49270</v>
      </c>
      <c r="B5516" s="51" t="n">
        <v>45</v>
      </c>
      <c r="C5516" s="7" t="n">
        <v>5</v>
      </c>
      <c r="D5516" s="7" t="n">
        <v>3</v>
      </c>
      <c r="E5516" s="7" t="n">
        <v>2.09999990463257</v>
      </c>
      <c r="F5516" s="7" t="n">
        <v>0</v>
      </c>
    </row>
    <row r="5517" spans="1:6">
      <c r="A5517" t="s">
        <v>4</v>
      </c>
      <c r="B5517" s="4" t="s">
        <v>5</v>
      </c>
      <c r="C5517" s="4" t="s">
        <v>7</v>
      </c>
      <c r="D5517" s="4" t="s">
        <v>7</v>
      </c>
      <c r="E5517" s="4" t="s">
        <v>13</v>
      </c>
      <c r="F5517" s="4" t="s">
        <v>11</v>
      </c>
    </row>
    <row r="5518" spans="1:6">
      <c r="A5518" t="n">
        <v>49279</v>
      </c>
      <c r="B5518" s="51" t="n">
        <v>45</v>
      </c>
      <c r="C5518" s="7" t="n">
        <v>11</v>
      </c>
      <c r="D5518" s="7" t="n">
        <v>3</v>
      </c>
      <c r="E5518" s="7" t="n">
        <v>40.2999992370605</v>
      </c>
      <c r="F5518" s="7" t="n">
        <v>0</v>
      </c>
    </row>
    <row r="5519" spans="1:6">
      <c r="A5519" t="s">
        <v>4</v>
      </c>
      <c r="B5519" s="4" t="s">
        <v>5</v>
      </c>
      <c r="C5519" s="4" t="s">
        <v>7</v>
      </c>
      <c r="D5519" s="4" t="s">
        <v>7</v>
      </c>
      <c r="E5519" s="4" t="s">
        <v>13</v>
      </c>
      <c r="F5519" s="4" t="s">
        <v>13</v>
      </c>
      <c r="G5519" s="4" t="s">
        <v>13</v>
      </c>
      <c r="H5519" s="4" t="s">
        <v>11</v>
      </c>
    </row>
    <row r="5520" spans="1:6">
      <c r="A5520" t="n">
        <v>49288</v>
      </c>
      <c r="B5520" s="51" t="n">
        <v>45</v>
      </c>
      <c r="C5520" s="7" t="n">
        <v>2</v>
      </c>
      <c r="D5520" s="7" t="n">
        <v>3</v>
      </c>
      <c r="E5520" s="7" t="n">
        <v>-9.10000038146973</v>
      </c>
      <c r="F5520" s="7" t="n">
        <v>6.75</v>
      </c>
      <c r="G5520" s="7" t="n">
        <v>31.9699993133545</v>
      </c>
      <c r="H5520" s="7" t="n">
        <v>6000</v>
      </c>
    </row>
    <row r="5521" spans="1:9">
      <c r="A5521" t="s">
        <v>4</v>
      </c>
      <c r="B5521" s="4" t="s">
        <v>5</v>
      </c>
      <c r="C5521" s="4" t="s">
        <v>7</v>
      </c>
      <c r="D5521" s="4" t="s">
        <v>7</v>
      </c>
      <c r="E5521" s="4" t="s">
        <v>13</v>
      </c>
      <c r="F5521" s="4" t="s">
        <v>13</v>
      </c>
      <c r="G5521" s="4" t="s">
        <v>13</v>
      </c>
      <c r="H5521" s="4" t="s">
        <v>11</v>
      </c>
      <c r="I5521" s="4" t="s">
        <v>7</v>
      </c>
    </row>
    <row r="5522" spans="1:9">
      <c r="A5522" t="n">
        <v>49305</v>
      </c>
      <c r="B5522" s="51" t="n">
        <v>45</v>
      </c>
      <c r="C5522" s="7" t="n">
        <v>4</v>
      </c>
      <c r="D5522" s="7" t="n">
        <v>3</v>
      </c>
      <c r="E5522" s="7" t="n">
        <v>0.0299999993294477</v>
      </c>
      <c r="F5522" s="7" t="n">
        <v>90</v>
      </c>
      <c r="G5522" s="7" t="n">
        <v>0</v>
      </c>
      <c r="H5522" s="7" t="n">
        <v>6000</v>
      </c>
      <c r="I5522" s="7" t="n">
        <v>0</v>
      </c>
    </row>
    <row r="5523" spans="1:9">
      <c r="A5523" t="s">
        <v>4</v>
      </c>
      <c r="B5523" s="4" t="s">
        <v>5</v>
      </c>
      <c r="C5523" s="4" t="s">
        <v>7</v>
      </c>
      <c r="D5523" s="4" t="s">
        <v>7</v>
      </c>
      <c r="E5523" s="4" t="s">
        <v>13</v>
      </c>
      <c r="F5523" s="4" t="s">
        <v>11</v>
      </c>
    </row>
    <row r="5524" spans="1:9">
      <c r="A5524" t="n">
        <v>49323</v>
      </c>
      <c r="B5524" s="51" t="n">
        <v>45</v>
      </c>
      <c r="C5524" s="7" t="n">
        <v>5</v>
      </c>
      <c r="D5524" s="7" t="n">
        <v>3</v>
      </c>
      <c r="E5524" s="7" t="n">
        <v>1.79999995231628</v>
      </c>
      <c r="F5524" s="7" t="n">
        <v>6000</v>
      </c>
    </row>
    <row r="5525" spans="1:9">
      <c r="A5525" t="s">
        <v>4</v>
      </c>
      <c r="B5525" s="4" t="s">
        <v>5</v>
      </c>
      <c r="C5525" s="4" t="s">
        <v>8</v>
      </c>
      <c r="D5525" s="4" t="s">
        <v>8</v>
      </c>
    </row>
    <row r="5526" spans="1:9">
      <c r="A5526" t="n">
        <v>49332</v>
      </c>
      <c r="B5526" s="52" t="n">
        <v>70</v>
      </c>
      <c r="C5526" s="7" t="s">
        <v>25</v>
      </c>
      <c r="D5526" s="7" t="s">
        <v>109</v>
      </c>
    </row>
    <row r="5527" spans="1:9">
      <c r="A5527" t="s">
        <v>4</v>
      </c>
      <c r="B5527" s="4" t="s">
        <v>5</v>
      </c>
      <c r="C5527" s="4" t="s">
        <v>7</v>
      </c>
      <c r="D5527" s="4" t="s">
        <v>11</v>
      </c>
      <c r="E5527" s="4" t="s">
        <v>13</v>
      </c>
    </row>
    <row r="5528" spans="1:9">
      <c r="A5528" t="n">
        <v>49349</v>
      </c>
      <c r="B5528" s="23" t="n">
        <v>58</v>
      </c>
      <c r="C5528" s="7" t="n">
        <v>100</v>
      </c>
      <c r="D5528" s="7" t="n">
        <v>1000</v>
      </c>
      <c r="E5528" s="7" t="n">
        <v>1</v>
      </c>
    </row>
    <row r="5529" spans="1:9">
      <c r="A5529" t="s">
        <v>4</v>
      </c>
      <c r="B5529" s="4" t="s">
        <v>5</v>
      </c>
      <c r="C5529" s="4" t="s">
        <v>7</v>
      </c>
      <c r="D5529" s="4" t="s">
        <v>11</v>
      </c>
    </row>
    <row r="5530" spans="1:9">
      <c r="A5530" t="n">
        <v>49357</v>
      </c>
      <c r="B5530" s="23" t="n">
        <v>58</v>
      </c>
      <c r="C5530" s="7" t="n">
        <v>255</v>
      </c>
      <c r="D5530" s="7" t="n">
        <v>0</v>
      </c>
    </row>
    <row r="5531" spans="1:9">
      <c r="A5531" t="s">
        <v>4</v>
      </c>
      <c r="B5531" s="4" t="s">
        <v>5</v>
      </c>
      <c r="C5531" s="4" t="s">
        <v>7</v>
      </c>
      <c r="D5531" s="4" t="s">
        <v>8</v>
      </c>
      <c r="E5531" s="4" t="s">
        <v>11</v>
      </c>
    </row>
    <row r="5532" spans="1:9">
      <c r="A5532" t="n">
        <v>49361</v>
      </c>
      <c r="B5532" s="15" t="n">
        <v>94</v>
      </c>
      <c r="C5532" s="7" t="n">
        <v>1</v>
      </c>
      <c r="D5532" s="7" t="s">
        <v>25</v>
      </c>
      <c r="E5532" s="7" t="n">
        <v>512</v>
      </c>
    </row>
    <row r="5533" spans="1:9">
      <c r="A5533" t="s">
        <v>4</v>
      </c>
      <c r="B5533" s="4" t="s">
        <v>5</v>
      </c>
      <c r="C5533" s="4" t="s">
        <v>11</v>
      </c>
    </row>
    <row r="5534" spans="1:9">
      <c r="A5534" t="n">
        <v>49375</v>
      </c>
      <c r="B5534" s="29" t="n">
        <v>16</v>
      </c>
      <c r="C5534" s="7" t="n">
        <v>4000</v>
      </c>
    </row>
    <row r="5535" spans="1:9">
      <c r="A5535" t="s">
        <v>4</v>
      </c>
      <c r="B5535" s="4" t="s">
        <v>5</v>
      </c>
      <c r="C5535" s="4" t="s">
        <v>11</v>
      </c>
      <c r="D5535" s="4" t="s">
        <v>7</v>
      </c>
      <c r="E5535" s="4" t="s">
        <v>13</v>
      </c>
      <c r="F5535" s="4" t="s">
        <v>11</v>
      </c>
    </row>
    <row r="5536" spans="1:9">
      <c r="A5536" t="n">
        <v>49378</v>
      </c>
      <c r="B5536" s="56" t="n">
        <v>59</v>
      </c>
      <c r="C5536" s="7" t="n">
        <v>0</v>
      </c>
      <c r="D5536" s="7" t="n">
        <v>9</v>
      </c>
      <c r="E5536" s="7" t="n">
        <v>0.150000005960464</v>
      </c>
      <c r="F5536" s="7" t="n">
        <v>0</v>
      </c>
    </row>
    <row r="5537" spans="1:9">
      <c r="A5537" t="s">
        <v>4</v>
      </c>
      <c r="B5537" s="4" t="s">
        <v>5</v>
      </c>
      <c r="C5537" s="4" t="s">
        <v>11</v>
      </c>
      <c r="D5537" s="4" t="s">
        <v>7</v>
      </c>
      <c r="E5537" s="4" t="s">
        <v>13</v>
      </c>
      <c r="F5537" s="4" t="s">
        <v>11</v>
      </c>
    </row>
    <row r="5538" spans="1:9">
      <c r="A5538" t="n">
        <v>49388</v>
      </c>
      <c r="B5538" s="56" t="n">
        <v>59</v>
      </c>
      <c r="C5538" s="7" t="n">
        <v>5</v>
      </c>
      <c r="D5538" s="7" t="n">
        <v>9</v>
      </c>
      <c r="E5538" s="7" t="n">
        <v>0.150000005960464</v>
      </c>
      <c r="F5538" s="7" t="n">
        <v>0</v>
      </c>
    </row>
    <row r="5539" spans="1:9">
      <c r="A5539" t="s">
        <v>4</v>
      </c>
      <c r="B5539" s="4" t="s">
        <v>5</v>
      </c>
      <c r="C5539" s="4" t="s">
        <v>11</v>
      </c>
    </row>
    <row r="5540" spans="1:9">
      <c r="A5540" t="n">
        <v>49398</v>
      </c>
      <c r="B5540" s="29" t="n">
        <v>16</v>
      </c>
      <c r="C5540" s="7" t="n">
        <v>1500</v>
      </c>
    </row>
    <row r="5541" spans="1:9">
      <c r="A5541" t="s">
        <v>4</v>
      </c>
      <c r="B5541" s="4" t="s">
        <v>5</v>
      </c>
      <c r="C5541" s="4" t="s">
        <v>7</v>
      </c>
      <c r="D5541" s="4" t="s">
        <v>11</v>
      </c>
    </row>
    <row r="5542" spans="1:9">
      <c r="A5542" t="n">
        <v>49401</v>
      </c>
      <c r="B5542" s="51" t="n">
        <v>45</v>
      </c>
      <c r="C5542" s="7" t="n">
        <v>7</v>
      </c>
      <c r="D5542" s="7" t="n">
        <v>255</v>
      </c>
    </row>
    <row r="5543" spans="1:9">
      <c r="A5543" t="s">
        <v>4</v>
      </c>
      <c r="B5543" s="4" t="s">
        <v>5</v>
      </c>
      <c r="C5543" s="4" t="s">
        <v>7</v>
      </c>
      <c r="D5543" s="4" t="s">
        <v>11</v>
      </c>
      <c r="E5543" s="4" t="s">
        <v>13</v>
      </c>
    </row>
    <row r="5544" spans="1:9">
      <c r="A5544" t="n">
        <v>49405</v>
      </c>
      <c r="B5544" s="23" t="n">
        <v>58</v>
      </c>
      <c r="C5544" s="7" t="n">
        <v>0</v>
      </c>
      <c r="D5544" s="7" t="n">
        <v>2000</v>
      </c>
      <c r="E5544" s="7" t="n">
        <v>1</v>
      </c>
    </row>
    <row r="5545" spans="1:9">
      <c r="A5545" t="s">
        <v>4</v>
      </c>
      <c r="B5545" s="4" t="s">
        <v>5</v>
      </c>
      <c r="C5545" s="4" t="s">
        <v>7</v>
      </c>
      <c r="D5545" s="4" t="s">
        <v>11</v>
      </c>
    </row>
    <row r="5546" spans="1:9">
      <c r="A5546" t="n">
        <v>49413</v>
      </c>
      <c r="B5546" s="23" t="n">
        <v>58</v>
      </c>
      <c r="C5546" s="7" t="n">
        <v>255</v>
      </c>
      <c r="D5546" s="7" t="n">
        <v>0</v>
      </c>
    </row>
    <row r="5547" spans="1:9">
      <c r="A5547" t="s">
        <v>4</v>
      </c>
      <c r="B5547" s="4" t="s">
        <v>5</v>
      </c>
      <c r="C5547" s="4" t="s">
        <v>7</v>
      </c>
      <c r="D5547" s="4" t="s">
        <v>7</v>
      </c>
      <c r="E5547" s="4" t="s">
        <v>13</v>
      </c>
      <c r="F5547" s="4" t="s">
        <v>13</v>
      </c>
      <c r="G5547" s="4" t="s">
        <v>13</v>
      </c>
      <c r="H5547" s="4" t="s">
        <v>11</v>
      </c>
    </row>
    <row r="5548" spans="1:9">
      <c r="A5548" t="n">
        <v>49417</v>
      </c>
      <c r="B5548" s="51" t="n">
        <v>45</v>
      </c>
      <c r="C5548" s="7" t="n">
        <v>2</v>
      </c>
      <c r="D5548" s="7" t="n">
        <v>3</v>
      </c>
      <c r="E5548" s="7" t="n">
        <v>-7.84000015258789</v>
      </c>
      <c r="F5548" s="7" t="n">
        <v>7.17000007629395</v>
      </c>
      <c r="G5548" s="7" t="n">
        <v>31.6599998474121</v>
      </c>
      <c r="H5548" s="7" t="n">
        <v>0</v>
      </c>
    </row>
    <row r="5549" spans="1:9">
      <c r="A5549" t="s">
        <v>4</v>
      </c>
      <c r="B5549" s="4" t="s">
        <v>5</v>
      </c>
      <c r="C5549" s="4" t="s">
        <v>7</v>
      </c>
      <c r="D5549" s="4" t="s">
        <v>7</v>
      </c>
      <c r="E5549" s="4" t="s">
        <v>13</v>
      </c>
      <c r="F5549" s="4" t="s">
        <v>13</v>
      </c>
      <c r="G5549" s="4" t="s">
        <v>13</v>
      </c>
      <c r="H5549" s="4" t="s">
        <v>11</v>
      </c>
      <c r="I5549" s="4" t="s">
        <v>7</v>
      </c>
    </row>
    <row r="5550" spans="1:9">
      <c r="A5550" t="n">
        <v>49434</v>
      </c>
      <c r="B5550" s="51" t="n">
        <v>45</v>
      </c>
      <c r="C5550" s="7" t="n">
        <v>4</v>
      </c>
      <c r="D5550" s="7" t="n">
        <v>3</v>
      </c>
      <c r="E5550" s="7" t="n">
        <v>9.01000022888184</v>
      </c>
      <c r="F5550" s="7" t="n">
        <v>55.7900009155273</v>
      </c>
      <c r="G5550" s="7" t="n">
        <v>0</v>
      </c>
      <c r="H5550" s="7" t="n">
        <v>0</v>
      </c>
      <c r="I5550" s="7" t="n">
        <v>0</v>
      </c>
    </row>
    <row r="5551" spans="1:9">
      <c r="A5551" t="s">
        <v>4</v>
      </c>
      <c r="B5551" s="4" t="s">
        <v>5</v>
      </c>
      <c r="C5551" s="4" t="s">
        <v>7</v>
      </c>
      <c r="D5551" s="4" t="s">
        <v>7</v>
      </c>
      <c r="E5551" s="4" t="s">
        <v>13</v>
      </c>
      <c r="F5551" s="4" t="s">
        <v>11</v>
      </c>
    </row>
    <row r="5552" spans="1:9">
      <c r="A5552" t="n">
        <v>49452</v>
      </c>
      <c r="B5552" s="51" t="n">
        <v>45</v>
      </c>
      <c r="C5552" s="7" t="n">
        <v>5</v>
      </c>
      <c r="D5552" s="7" t="n">
        <v>3</v>
      </c>
      <c r="E5552" s="7" t="n">
        <v>2.40000009536743</v>
      </c>
      <c r="F5552" s="7" t="n">
        <v>0</v>
      </c>
    </row>
    <row r="5553" spans="1:9">
      <c r="A5553" t="s">
        <v>4</v>
      </c>
      <c r="B5553" s="4" t="s">
        <v>5</v>
      </c>
      <c r="C5553" s="4" t="s">
        <v>7</v>
      </c>
      <c r="D5553" s="4" t="s">
        <v>7</v>
      </c>
      <c r="E5553" s="4" t="s">
        <v>13</v>
      </c>
      <c r="F5553" s="4" t="s">
        <v>11</v>
      </c>
    </row>
    <row r="5554" spans="1:9">
      <c r="A5554" t="n">
        <v>49461</v>
      </c>
      <c r="B5554" s="51" t="n">
        <v>45</v>
      </c>
      <c r="C5554" s="7" t="n">
        <v>11</v>
      </c>
      <c r="D5554" s="7" t="n">
        <v>3</v>
      </c>
      <c r="E5554" s="7" t="n">
        <v>40.2999992370605</v>
      </c>
      <c r="F5554" s="7" t="n">
        <v>0</v>
      </c>
    </row>
    <row r="5555" spans="1:9">
      <c r="A5555" t="s">
        <v>4</v>
      </c>
      <c r="B5555" s="4" t="s">
        <v>5</v>
      </c>
      <c r="C5555" s="4" t="s">
        <v>7</v>
      </c>
      <c r="D5555" s="4" t="s">
        <v>7</v>
      </c>
      <c r="E5555" s="4" t="s">
        <v>13</v>
      </c>
      <c r="F5555" s="4" t="s">
        <v>13</v>
      </c>
      <c r="G5555" s="4" t="s">
        <v>13</v>
      </c>
      <c r="H5555" s="4" t="s">
        <v>11</v>
      </c>
    </row>
    <row r="5556" spans="1:9">
      <c r="A5556" t="n">
        <v>49470</v>
      </c>
      <c r="B5556" s="51" t="n">
        <v>45</v>
      </c>
      <c r="C5556" s="7" t="n">
        <v>2</v>
      </c>
      <c r="D5556" s="7" t="n">
        <v>3</v>
      </c>
      <c r="E5556" s="7" t="n">
        <v>-6.8899998664856</v>
      </c>
      <c r="F5556" s="7" t="n">
        <v>6.26999998092651</v>
      </c>
      <c r="G5556" s="7" t="n">
        <v>30.0599994659424</v>
      </c>
      <c r="H5556" s="7" t="n">
        <v>6000</v>
      </c>
    </row>
    <row r="5557" spans="1:9">
      <c r="A5557" t="s">
        <v>4</v>
      </c>
      <c r="B5557" s="4" t="s">
        <v>5</v>
      </c>
      <c r="C5557" s="4" t="s">
        <v>7</v>
      </c>
      <c r="D5557" s="4" t="s">
        <v>7</v>
      </c>
      <c r="E5557" s="4" t="s">
        <v>13</v>
      </c>
      <c r="F5557" s="4" t="s">
        <v>13</v>
      </c>
      <c r="G5557" s="4" t="s">
        <v>13</v>
      </c>
      <c r="H5557" s="4" t="s">
        <v>11</v>
      </c>
      <c r="I5557" s="4" t="s">
        <v>7</v>
      </c>
    </row>
    <row r="5558" spans="1:9">
      <c r="A5558" t="n">
        <v>49487</v>
      </c>
      <c r="B5558" s="51" t="n">
        <v>45</v>
      </c>
      <c r="C5558" s="7" t="n">
        <v>4</v>
      </c>
      <c r="D5558" s="7" t="n">
        <v>3</v>
      </c>
      <c r="E5558" s="7" t="n">
        <v>6.73999977111816</v>
      </c>
      <c r="F5558" s="7" t="n">
        <v>13.6199998855591</v>
      </c>
      <c r="G5558" s="7" t="n">
        <v>0</v>
      </c>
      <c r="H5558" s="7" t="n">
        <v>6000</v>
      </c>
      <c r="I5558" s="7" t="n">
        <v>1</v>
      </c>
    </row>
    <row r="5559" spans="1:9">
      <c r="A5559" t="s">
        <v>4</v>
      </c>
      <c r="B5559" s="4" t="s">
        <v>5</v>
      </c>
      <c r="C5559" s="4" t="s">
        <v>11</v>
      </c>
      <c r="D5559" s="4" t="s">
        <v>13</v>
      </c>
      <c r="E5559" s="4" t="s">
        <v>13</v>
      </c>
      <c r="F5559" s="4" t="s">
        <v>13</v>
      </c>
      <c r="G5559" s="4" t="s">
        <v>13</v>
      </c>
    </row>
    <row r="5560" spans="1:9">
      <c r="A5560" t="n">
        <v>49505</v>
      </c>
      <c r="B5560" s="36" t="n">
        <v>46</v>
      </c>
      <c r="C5560" s="7" t="n">
        <v>0</v>
      </c>
      <c r="D5560" s="7" t="n">
        <v>-6.51000022888184</v>
      </c>
      <c r="E5560" s="7" t="n">
        <v>5</v>
      </c>
      <c r="F5560" s="7" t="n">
        <v>29.8999996185303</v>
      </c>
      <c r="G5560" s="7" t="n">
        <v>208</v>
      </c>
    </row>
    <row r="5561" spans="1:9">
      <c r="A5561" t="s">
        <v>4</v>
      </c>
      <c r="B5561" s="4" t="s">
        <v>5</v>
      </c>
      <c r="C5561" s="4" t="s">
        <v>11</v>
      </c>
      <c r="D5561" s="4" t="s">
        <v>13</v>
      </c>
      <c r="E5561" s="4" t="s">
        <v>13</v>
      </c>
      <c r="F5561" s="4" t="s">
        <v>13</v>
      </c>
      <c r="G5561" s="4" t="s">
        <v>13</v>
      </c>
    </row>
    <row r="5562" spans="1:9">
      <c r="A5562" t="n">
        <v>49524</v>
      </c>
      <c r="B5562" s="36" t="n">
        <v>46</v>
      </c>
      <c r="C5562" s="7" t="n">
        <v>5</v>
      </c>
      <c r="D5562" s="7" t="n">
        <v>-7.44999980926514</v>
      </c>
      <c r="E5562" s="7" t="n">
        <v>5</v>
      </c>
      <c r="F5562" s="7" t="n">
        <v>29.7999992370605</v>
      </c>
      <c r="G5562" s="7" t="n">
        <v>151.199996948242</v>
      </c>
    </row>
    <row r="5563" spans="1:9">
      <c r="A5563" t="s">
        <v>4</v>
      </c>
      <c r="B5563" s="4" t="s">
        <v>5</v>
      </c>
      <c r="C5563" s="4" t="s">
        <v>11</v>
      </c>
      <c r="D5563" s="4" t="s">
        <v>11</v>
      </c>
      <c r="E5563" s="4" t="s">
        <v>11</v>
      </c>
    </row>
    <row r="5564" spans="1:9">
      <c r="A5564" t="n">
        <v>49543</v>
      </c>
      <c r="B5564" s="72" t="n">
        <v>61</v>
      </c>
      <c r="C5564" s="7" t="n">
        <v>0</v>
      </c>
      <c r="D5564" s="7" t="n">
        <v>5</v>
      </c>
      <c r="E5564" s="7" t="n">
        <v>0</v>
      </c>
    </row>
    <row r="5565" spans="1:9">
      <c r="A5565" t="s">
        <v>4</v>
      </c>
      <c r="B5565" s="4" t="s">
        <v>5</v>
      </c>
      <c r="C5565" s="4" t="s">
        <v>11</v>
      </c>
      <c r="D5565" s="4" t="s">
        <v>11</v>
      </c>
      <c r="E5565" s="4" t="s">
        <v>11</v>
      </c>
    </row>
    <row r="5566" spans="1:9">
      <c r="A5566" t="n">
        <v>49550</v>
      </c>
      <c r="B5566" s="72" t="n">
        <v>61</v>
      </c>
      <c r="C5566" s="7" t="n">
        <v>5</v>
      </c>
      <c r="D5566" s="7" t="n">
        <v>0</v>
      </c>
      <c r="E5566" s="7" t="n">
        <v>0</v>
      </c>
    </row>
    <row r="5567" spans="1:9">
      <c r="A5567" t="s">
        <v>4</v>
      </c>
      <c r="B5567" s="4" t="s">
        <v>5</v>
      </c>
      <c r="C5567" s="4" t="s">
        <v>8</v>
      </c>
      <c r="D5567" s="4" t="s">
        <v>8</v>
      </c>
    </row>
    <row r="5568" spans="1:9">
      <c r="A5568" t="n">
        <v>49557</v>
      </c>
      <c r="B5568" s="52" t="n">
        <v>70</v>
      </c>
      <c r="C5568" s="7" t="s">
        <v>25</v>
      </c>
      <c r="D5568" s="7" t="s">
        <v>118</v>
      </c>
    </row>
    <row r="5569" spans="1:9">
      <c r="A5569" t="s">
        <v>4</v>
      </c>
      <c r="B5569" s="4" t="s">
        <v>5</v>
      </c>
      <c r="C5569" s="4" t="s">
        <v>7</v>
      </c>
      <c r="D5569" s="4" t="s">
        <v>11</v>
      </c>
      <c r="E5569" s="4" t="s">
        <v>13</v>
      </c>
    </row>
    <row r="5570" spans="1:9">
      <c r="A5570" t="n">
        <v>49573</v>
      </c>
      <c r="B5570" s="23" t="n">
        <v>58</v>
      </c>
      <c r="C5570" s="7" t="n">
        <v>100</v>
      </c>
      <c r="D5570" s="7" t="n">
        <v>1000</v>
      </c>
      <c r="E5570" s="7" t="n">
        <v>1</v>
      </c>
    </row>
    <row r="5571" spans="1:9">
      <c r="A5571" t="s">
        <v>4</v>
      </c>
      <c r="B5571" s="4" t="s">
        <v>5</v>
      </c>
      <c r="C5571" s="4" t="s">
        <v>7</v>
      </c>
      <c r="D5571" s="4" t="s">
        <v>11</v>
      </c>
    </row>
    <row r="5572" spans="1:9">
      <c r="A5572" t="n">
        <v>49581</v>
      </c>
      <c r="B5572" s="23" t="n">
        <v>58</v>
      </c>
      <c r="C5572" s="7" t="n">
        <v>255</v>
      </c>
      <c r="D5572" s="7" t="n">
        <v>0</v>
      </c>
    </row>
    <row r="5573" spans="1:9">
      <c r="A5573" t="s">
        <v>4</v>
      </c>
      <c r="B5573" s="4" t="s">
        <v>5</v>
      </c>
      <c r="C5573" s="4" t="s">
        <v>11</v>
      </c>
    </row>
    <row r="5574" spans="1:9">
      <c r="A5574" t="n">
        <v>49585</v>
      </c>
      <c r="B5574" s="29" t="n">
        <v>16</v>
      </c>
      <c r="C5574" s="7" t="n">
        <v>1000</v>
      </c>
    </row>
    <row r="5575" spans="1:9">
      <c r="A5575" t="s">
        <v>4</v>
      </c>
      <c r="B5575" s="4" t="s">
        <v>5</v>
      </c>
      <c r="C5575" s="4" t="s">
        <v>7</v>
      </c>
      <c r="D5575" s="4" t="s">
        <v>11</v>
      </c>
    </row>
    <row r="5576" spans="1:9">
      <c r="A5576" t="n">
        <v>49588</v>
      </c>
      <c r="B5576" s="51" t="n">
        <v>45</v>
      </c>
      <c r="C5576" s="7" t="n">
        <v>7</v>
      </c>
      <c r="D5576" s="7" t="n">
        <v>255</v>
      </c>
    </row>
    <row r="5577" spans="1:9">
      <c r="A5577" t="s">
        <v>4</v>
      </c>
      <c r="B5577" s="4" t="s">
        <v>5</v>
      </c>
      <c r="C5577" s="4" t="s">
        <v>7</v>
      </c>
      <c r="D5577" s="4" t="s">
        <v>11</v>
      </c>
      <c r="E5577" s="4" t="s">
        <v>13</v>
      </c>
    </row>
    <row r="5578" spans="1:9">
      <c r="A5578" t="n">
        <v>49592</v>
      </c>
      <c r="B5578" s="23" t="n">
        <v>58</v>
      </c>
      <c r="C5578" s="7" t="n">
        <v>101</v>
      </c>
      <c r="D5578" s="7" t="n">
        <v>500</v>
      </c>
      <c r="E5578" s="7" t="n">
        <v>1</v>
      </c>
    </row>
    <row r="5579" spans="1:9">
      <c r="A5579" t="s">
        <v>4</v>
      </c>
      <c r="B5579" s="4" t="s">
        <v>5</v>
      </c>
      <c r="C5579" s="4" t="s">
        <v>7</v>
      </c>
      <c r="D5579" s="4" t="s">
        <v>11</v>
      </c>
    </row>
    <row r="5580" spans="1:9">
      <c r="A5580" t="n">
        <v>49600</v>
      </c>
      <c r="B5580" s="23" t="n">
        <v>58</v>
      </c>
      <c r="C5580" s="7" t="n">
        <v>254</v>
      </c>
      <c r="D5580" s="7" t="n">
        <v>0</v>
      </c>
    </row>
    <row r="5581" spans="1:9">
      <c r="A5581" t="s">
        <v>4</v>
      </c>
      <c r="B5581" s="4" t="s">
        <v>5</v>
      </c>
      <c r="C5581" s="4" t="s">
        <v>7</v>
      </c>
      <c r="D5581" s="4" t="s">
        <v>11</v>
      </c>
      <c r="E5581" s="4" t="s">
        <v>8</v>
      </c>
      <c r="F5581" s="4" t="s">
        <v>8</v>
      </c>
      <c r="G5581" s="4" t="s">
        <v>8</v>
      </c>
      <c r="H5581" s="4" t="s">
        <v>8</v>
      </c>
    </row>
    <row r="5582" spans="1:9">
      <c r="A5582" t="n">
        <v>49604</v>
      </c>
      <c r="B5582" s="38" t="n">
        <v>51</v>
      </c>
      <c r="C5582" s="7" t="n">
        <v>3</v>
      </c>
      <c r="D5582" s="7" t="n">
        <v>5</v>
      </c>
      <c r="E5582" s="7" t="s">
        <v>79</v>
      </c>
      <c r="F5582" s="7" t="s">
        <v>79</v>
      </c>
      <c r="G5582" s="7" t="s">
        <v>78</v>
      </c>
      <c r="H5582" s="7" t="s">
        <v>79</v>
      </c>
    </row>
    <row r="5583" spans="1:9">
      <c r="A5583" t="s">
        <v>4</v>
      </c>
      <c r="B5583" s="4" t="s">
        <v>5</v>
      </c>
      <c r="C5583" s="4" t="s">
        <v>7</v>
      </c>
      <c r="D5583" s="4" t="s">
        <v>11</v>
      </c>
      <c r="E5583" s="4" t="s">
        <v>11</v>
      </c>
      <c r="F5583" s="4" t="s">
        <v>15</v>
      </c>
      <c r="G5583" s="4" t="s">
        <v>15</v>
      </c>
      <c r="H5583" s="4" t="s">
        <v>15</v>
      </c>
    </row>
    <row r="5584" spans="1:9">
      <c r="A5584" t="n">
        <v>49617</v>
      </c>
      <c r="B5584" s="77" t="n">
        <v>97</v>
      </c>
      <c r="C5584" s="7" t="n">
        <v>6</v>
      </c>
      <c r="D5584" s="7" t="n">
        <v>0</v>
      </c>
      <c r="E5584" s="7" t="n">
        <v>0</v>
      </c>
      <c r="F5584" s="7" t="n">
        <v>-1065143501</v>
      </c>
      <c r="G5584" s="7" t="n">
        <v>1101004800</v>
      </c>
      <c r="H5584" s="7" t="n">
        <v>1101004800</v>
      </c>
    </row>
    <row r="5585" spans="1:8">
      <c r="A5585" t="s">
        <v>4</v>
      </c>
      <c r="B5585" s="4" t="s">
        <v>5</v>
      </c>
      <c r="C5585" s="4" t="s">
        <v>7</v>
      </c>
      <c r="D5585" s="4" t="s">
        <v>7</v>
      </c>
      <c r="E5585" s="4" t="s">
        <v>13</v>
      </c>
      <c r="F5585" s="4" t="s">
        <v>13</v>
      </c>
      <c r="G5585" s="4" t="s">
        <v>13</v>
      </c>
      <c r="H5585" s="4" t="s">
        <v>11</v>
      </c>
    </row>
    <row r="5586" spans="1:8">
      <c r="A5586" t="n">
        <v>49635</v>
      </c>
      <c r="B5586" s="51" t="n">
        <v>45</v>
      </c>
      <c r="C5586" s="7" t="n">
        <v>2</v>
      </c>
      <c r="D5586" s="7" t="n">
        <v>3</v>
      </c>
      <c r="E5586" s="7" t="n">
        <v>-6.86999988555908</v>
      </c>
      <c r="F5586" s="7" t="n">
        <v>6.42999982833862</v>
      </c>
      <c r="G5586" s="7" t="n">
        <v>29.8400001525879</v>
      </c>
      <c r="H5586" s="7" t="n">
        <v>0</v>
      </c>
    </row>
    <row r="5587" spans="1:8">
      <c r="A5587" t="s">
        <v>4</v>
      </c>
      <c r="B5587" s="4" t="s">
        <v>5</v>
      </c>
      <c r="C5587" s="4" t="s">
        <v>7</v>
      </c>
      <c r="D5587" s="4" t="s">
        <v>7</v>
      </c>
      <c r="E5587" s="4" t="s">
        <v>13</v>
      </c>
      <c r="F5587" s="4" t="s">
        <v>13</v>
      </c>
      <c r="G5587" s="4" t="s">
        <v>13</v>
      </c>
      <c r="H5587" s="4" t="s">
        <v>11</v>
      </c>
      <c r="I5587" s="4" t="s">
        <v>7</v>
      </c>
    </row>
    <row r="5588" spans="1:8">
      <c r="A5588" t="n">
        <v>49652</v>
      </c>
      <c r="B5588" s="51" t="n">
        <v>45</v>
      </c>
      <c r="C5588" s="7" t="n">
        <v>4</v>
      </c>
      <c r="D5588" s="7" t="n">
        <v>3</v>
      </c>
      <c r="E5588" s="7" t="n">
        <v>18.2999992370605</v>
      </c>
      <c r="F5588" s="7" t="n">
        <v>135.5</v>
      </c>
      <c r="G5588" s="7" t="n">
        <v>0</v>
      </c>
      <c r="H5588" s="7" t="n">
        <v>0</v>
      </c>
      <c r="I5588" s="7" t="n">
        <v>0</v>
      </c>
    </row>
    <row r="5589" spans="1:8">
      <c r="A5589" t="s">
        <v>4</v>
      </c>
      <c r="B5589" s="4" t="s">
        <v>5</v>
      </c>
      <c r="C5589" s="4" t="s">
        <v>7</v>
      </c>
      <c r="D5589" s="4" t="s">
        <v>7</v>
      </c>
      <c r="E5589" s="4" t="s">
        <v>13</v>
      </c>
      <c r="F5589" s="4" t="s">
        <v>11</v>
      </c>
    </row>
    <row r="5590" spans="1:8">
      <c r="A5590" t="n">
        <v>49670</v>
      </c>
      <c r="B5590" s="51" t="n">
        <v>45</v>
      </c>
      <c r="C5590" s="7" t="n">
        <v>5</v>
      </c>
      <c r="D5590" s="7" t="n">
        <v>3</v>
      </c>
      <c r="E5590" s="7" t="n">
        <v>1.29999995231628</v>
      </c>
      <c r="F5590" s="7" t="n">
        <v>0</v>
      </c>
    </row>
    <row r="5591" spans="1:8">
      <c r="A5591" t="s">
        <v>4</v>
      </c>
      <c r="B5591" s="4" t="s">
        <v>5</v>
      </c>
      <c r="C5591" s="4" t="s">
        <v>7</v>
      </c>
      <c r="D5591" s="4" t="s">
        <v>7</v>
      </c>
      <c r="E5591" s="4" t="s">
        <v>13</v>
      </c>
      <c r="F5591" s="4" t="s">
        <v>11</v>
      </c>
    </row>
    <row r="5592" spans="1:8">
      <c r="A5592" t="n">
        <v>49679</v>
      </c>
      <c r="B5592" s="51" t="n">
        <v>45</v>
      </c>
      <c r="C5592" s="7" t="n">
        <v>11</v>
      </c>
      <c r="D5592" s="7" t="n">
        <v>3</v>
      </c>
      <c r="E5592" s="7" t="n">
        <v>40.2999992370605</v>
      </c>
      <c r="F5592" s="7" t="n">
        <v>0</v>
      </c>
    </row>
    <row r="5593" spans="1:8">
      <c r="A5593" t="s">
        <v>4</v>
      </c>
      <c r="B5593" s="4" t="s">
        <v>5</v>
      </c>
      <c r="C5593" s="4" t="s">
        <v>7</v>
      </c>
      <c r="D5593" s="4" t="s">
        <v>11</v>
      </c>
    </row>
    <row r="5594" spans="1:8">
      <c r="A5594" t="n">
        <v>49688</v>
      </c>
      <c r="B5594" s="23" t="n">
        <v>58</v>
      </c>
      <c r="C5594" s="7" t="n">
        <v>255</v>
      </c>
      <c r="D5594" s="7" t="n">
        <v>0</v>
      </c>
    </row>
    <row r="5595" spans="1:8">
      <c r="A5595" t="s">
        <v>4</v>
      </c>
      <c r="B5595" s="4" t="s">
        <v>5</v>
      </c>
      <c r="C5595" s="4" t="s">
        <v>7</v>
      </c>
      <c r="D5595" s="4" t="s">
        <v>11</v>
      </c>
      <c r="E5595" s="4" t="s">
        <v>8</v>
      </c>
    </row>
    <row r="5596" spans="1:8">
      <c r="A5596" t="n">
        <v>49692</v>
      </c>
      <c r="B5596" s="38" t="n">
        <v>51</v>
      </c>
      <c r="C5596" s="7" t="n">
        <v>4</v>
      </c>
      <c r="D5596" s="7" t="n">
        <v>0</v>
      </c>
      <c r="E5596" s="7" t="s">
        <v>494</v>
      </c>
    </row>
    <row r="5597" spans="1:8">
      <c r="A5597" t="s">
        <v>4</v>
      </c>
      <c r="B5597" s="4" t="s">
        <v>5</v>
      </c>
      <c r="C5597" s="4" t="s">
        <v>11</v>
      </c>
    </row>
    <row r="5598" spans="1:8">
      <c r="A5598" t="n">
        <v>49705</v>
      </c>
      <c r="B5598" s="29" t="n">
        <v>16</v>
      </c>
      <c r="C5598" s="7" t="n">
        <v>0</v>
      </c>
    </row>
    <row r="5599" spans="1:8">
      <c r="A5599" t="s">
        <v>4</v>
      </c>
      <c r="B5599" s="4" t="s">
        <v>5</v>
      </c>
      <c r="C5599" s="4" t="s">
        <v>11</v>
      </c>
      <c r="D5599" s="4" t="s">
        <v>7</v>
      </c>
      <c r="E5599" s="4" t="s">
        <v>15</v>
      </c>
      <c r="F5599" s="4" t="s">
        <v>55</v>
      </c>
      <c r="G5599" s="4" t="s">
        <v>7</v>
      </c>
      <c r="H5599" s="4" t="s">
        <v>7</v>
      </c>
    </row>
    <row r="5600" spans="1:8">
      <c r="A5600" t="n">
        <v>49708</v>
      </c>
      <c r="B5600" s="55" t="n">
        <v>26</v>
      </c>
      <c r="C5600" s="7" t="n">
        <v>0</v>
      </c>
      <c r="D5600" s="7" t="n">
        <v>17</v>
      </c>
      <c r="E5600" s="7" t="n">
        <v>63875</v>
      </c>
      <c r="F5600" s="7" t="s">
        <v>495</v>
      </c>
      <c r="G5600" s="7" t="n">
        <v>2</v>
      </c>
      <c r="H5600" s="7" t="n">
        <v>0</v>
      </c>
    </row>
    <row r="5601" spans="1:9">
      <c r="A5601" t="s">
        <v>4</v>
      </c>
      <c r="B5601" s="4" t="s">
        <v>5</v>
      </c>
    </row>
    <row r="5602" spans="1:9">
      <c r="A5602" t="n">
        <v>49849</v>
      </c>
      <c r="B5602" s="27" t="n">
        <v>28</v>
      </c>
    </row>
    <row r="5603" spans="1:9">
      <c r="A5603" t="s">
        <v>4</v>
      </c>
      <c r="B5603" s="4" t="s">
        <v>5</v>
      </c>
      <c r="C5603" s="4" t="s">
        <v>7</v>
      </c>
      <c r="D5603" s="4" t="s">
        <v>11</v>
      </c>
      <c r="E5603" s="4" t="s">
        <v>8</v>
      </c>
    </row>
    <row r="5604" spans="1:9">
      <c r="A5604" t="n">
        <v>49850</v>
      </c>
      <c r="B5604" s="38" t="n">
        <v>51</v>
      </c>
      <c r="C5604" s="7" t="n">
        <v>4</v>
      </c>
      <c r="D5604" s="7" t="n">
        <v>5</v>
      </c>
      <c r="E5604" s="7" t="s">
        <v>224</v>
      </c>
    </row>
    <row r="5605" spans="1:9">
      <c r="A5605" t="s">
        <v>4</v>
      </c>
      <c r="B5605" s="4" t="s">
        <v>5</v>
      </c>
      <c r="C5605" s="4" t="s">
        <v>11</v>
      </c>
    </row>
    <row r="5606" spans="1:9">
      <c r="A5606" t="n">
        <v>49864</v>
      </c>
      <c r="B5606" s="29" t="n">
        <v>16</v>
      </c>
      <c r="C5606" s="7" t="n">
        <v>0</v>
      </c>
    </row>
    <row r="5607" spans="1:9">
      <c r="A5607" t="s">
        <v>4</v>
      </c>
      <c r="B5607" s="4" t="s">
        <v>5</v>
      </c>
      <c r="C5607" s="4" t="s">
        <v>11</v>
      </c>
      <c r="D5607" s="4" t="s">
        <v>7</v>
      </c>
      <c r="E5607" s="4" t="s">
        <v>15</v>
      </c>
      <c r="F5607" s="4" t="s">
        <v>55</v>
      </c>
      <c r="G5607" s="4" t="s">
        <v>7</v>
      </c>
      <c r="H5607" s="4" t="s">
        <v>7</v>
      </c>
      <c r="I5607" s="4" t="s">
        <v>7</v>
      </c>
      <c r="J5607" s="4" t="s">
        <v>15</v>
      </c>
      <c r="K5607" s="4" t="s">
        <v>55</v>
      </c>
      <c r="L5607" s="4" t="s">
        <v>7</v>
      </c>
      <c r="M5607" s="4" t="s">
        <v>7</v>
      </c>
    </row>
    <row r="5608" spans="1:9">
      <c r="A5608" t="n">
        <v>49867</v>
      </c>
      <c r="B5608" s="55" t="n">
        <v>26</v>
      </c>
      <c r="C5608" s="7" t="n">
        <v>5</v>
      </c>
      <c r="D5608" s="7" t="n">
        <v>17</v>
      </c>
      <c r="E5608" s="7" t="n">
        <v>63876</v>
      </c>
      <c r="F5608" s="7" t="s">
        <v>496</v>
      </c>
      <c r="G5608" s="7" t="n">
        <v>2</v>
      </c>
      <c r="H5608" s="7" t="n">
        <v>3</v>
      </c>
      <c r="I5608" s="7" t="n">
        <v>17</v>
      </c>
      <c r="J5608" s="7" t="n">
        <v>63877</v>
      </c>
      <c r="K5608" s="7" t="s">
        <v>497</v>
      </c>
      <c r="L5608" s="7" t="n">
        <v>2</v>
      </c>
      <c r="M5608" s="7" t="n">
        <v>0</v>
      </c>
    </row>
    <row r="5609" spans="1:9">
      <c r="A5609" t="s">
        <v>4</v>
      </c>
      <c r="B5609" s="4" t="s">
        <v>5</v>
      </c>
    </row>
    <row r="5610" spans="1:9">
      <c r="A5610" t="n">
        <v>50017</v>
      </c>
      <c r="B5610" s="27" t="n">
        <v>28</v>
      </c>
    </row>
    <row r="5611" spans="1:9">
      <c r="A5611" t="s">
        <v>4</v>
      </c>
      <c r="B5611" s="4" t="s">
        <v>5</v>
      </c>
      <c r="C5611" s="4" t="s">
        <v>7</v>
      </c>
      <c r="D5611" s="4" t="s">
        <v>11</v>
      </c>
      <c r="E5611" s="4" t="s">
        <v>8</v>
      </c>
    </row>
    <row r="5612" spans="1:9">
      <c r="A5612" t="n">
        <v>50018</v>
      </c>
      <c r="B5612" s="38" t="n">
        <v>51</v>
      </c>
      <c r="C5612" s="7" t="n">
        <v>4</v>
      </c>
      <c r="D5612" s="7" t="n">
        <v>0</v>
      </c>
      <c r="E5612" s="7" t="s">
        <v>242</v>
      </c>
    </row>
    <row r="5613" spans="1:9">
      <c r="A5613" t="s">
        <v>4</v>
      </c>
      <c r="B5613" s="4" t="s">
        <v>5</v>
      </c>
      <c r="C5613" s="4" t="s">
        <v>11</v>
      </c>
    </row>
    <row r="5614" spans="1:9">
      <c r="A5614" t="n">
        <v>50032</v>
      </c>
      <c r="B5614" s="29" t="n">
        <v>16</v>
      </c>
      <c r="C5614" s="7" t="n">
        <v>0</v>
      </c>
    </row>
    <row r="5615" spans="1:9">
      <c r="A5615" t="s">
        <v>4</v>
      </c>
      <c r="B5615" s="4" t="s">
        <v>5</v>
      </c>
      <c r="C5615" s="4" t="s">
        <v>11</v>
      </c>
      <c r="D5615" s="4" t="s">
        <v>7</v>
      </c>
      <c r="E5615" s="4" t="s">
        <v>15</v>
      </c>
      <c r="F5615" s="4" t="s">
        <v>55</v>
      </c>
      <c r="G5615" s="4" t="s">
        <v>7</v>
      </c>
      <c r="H5615" s="4" t="s">
        <v>7</v>
      </c>
      <c r="I5615" s="4" t="s">
        <v>7</v>
      </c>
      <c r="J5615" s="4" t="s">
        <v>15</v>
      </c>
      <c r="K5615" s="4" t="s">
        <v>55</v>
      </c>
      <c r="L5615" s="4" t="s">
        <v>7</v>
      </c>
      <c r="M5615" s="4" t="s">
        <v>7</v>
      </c>
      <c r="N5615" s="4" t="s">
        <v>7</v>
      </c>
      <c r="O5615" s="4" t="s">
        <v>15</v>
      </c>
      <c r="P5615" s="4" t="s">
        <v>55</v>
      </c>
      <c r="Q5615" s="4" t="s">
        <v>7</v>
      </c>
      <c r="R5615" s="4" t="s">
        <v>7</v>
      </c>
      <c r="S5615" s="4" t="s">
        <v>7</v>
      </c>
      <c r="T5615" s="4" t="s">
        <v>15</v>
      </c>
      <c r="U5615" s="4" t="s">
        <v>55</v>
      </c>
      <c r="V5615" s="4" t="s">
        <v>7</v>
      </c>
      <c r="W5615" s="4" t="s">
        <v>7</v>
      </c>
    </row>
    <row r="5616" spans="1:9">
      <c r="A5616" t="n">
        <v>50035</v>
      </c>
      <c r="B5616" s="55" t="n">
        <v>26</v>
      </c>
      <c r="C5616" s="7" t="n">
        <v>0</v>
      </c>
      <c r="D5616" s="7" t="n">
        <v>17</v>
      </c>
      <c r="E5616" s="7" t="n">
        <v>63878</v>
      </c>
      <c r="F5616" s="7" t="s">
        <v>498</v>
      </c>
      <c r="G5616" s="7" t="n">
        <v>2</v>
      </c>
      <c r="H5616" s="7" t="n">
        <v>3</v>
      </c>
      <c r="I5616" s="7" t="n">
        <v>17</v>
      </c>
      <c r="J5616" s="7" t="n">
        <v>63879</v>
      </c>
      <c r="K5616" s="7" t="s">
        <v>499</v>
      </c>
      <c r="L5616" s="7" t="n">
        <v>2</v>
      </c>
      <c r="M5616" s="7" t="n">
        <v>3</v>
      </c>
      <c r="N5616" s="7" t="n">
        <v>17</v>
      </c>
      <c r="O5616" s="7" t="n">
        <v>63880</v>
      </c>
      <c r="P5616" s="7" t="s">
        <v>500</v>
      </c>
      <c r="Q5616" s="7" t="n">
        <v>2</v>
      </c>
      <c r="R5616" s="7" t="n">
        <v>3</v>
      </c>
      <c r="S5616" s="7" t="n">
        <v>17</v>
      </c>
      <c r="T5616" s="7" t="n">
        <v>63881</v>
      </c>
      <c r="U5616" s="7" t="s">
        <v>501</v>
      </c>
      <c r="V5616" s="7" t="n">
        <v>2</v>
      </c>
      <c r="W5616" s="7" t="n">
        <v>0</v>
      </c>
    </row>
    <row r="5617" spans="1:23">
      <c r="A5617" t="s">
        <v>4</v>
      </c>
      <c r="B5617" s="4" t="s">
        <v>5</v>
      </c>
    </row>
    <row r="5618" spans="1:23">
      <c r="A5618" t="n">
        <v>50479</v>
      </c>
      <c r="B5618" s="27" t="n">
        <v>28</v>
      </c>
    </row>
    <row r="5619" spans="1:23">
      <c r="A5619" t="s">
        <v>4</v>
      </c>
      <c r="B5619" s="4" t="s">
        <v>5</v>
      </c>
      <c r="C5619" s="4" t="s">
        <v>7</v>
      </c>
      <c r="D5619" s="4" t="s">
        <v>11</v>
      </c>
      <c r="E5619" s="4" t="s">
        <v>8</v>
      </c>
    </row>
    <row r="5620" spans="1:23">
      <c r="A5620" t="n">
        <v>50480</v>
      </c>
      <c r="B5620" s="38" t="n">
        <v>51</v>
      </c>
      <c r="C5620" s="7" t="n">
        <v>4</v>
      </c>
      <c r="D5620" s="7" t="n">
        <v>5</v>
      </c>
      <c r="E5620" s="7" t="s">
        <v>430</v>
      </c>
    </row>
    <row r="5621" spans="1:23">
      <c r="A5621" t="s">
        <v>4</v>
      </c>
      <c r="B5621" s="4" t="s">
        <v>5</v>
      </c>
      <c r="C5621" s="4" t="s">
        <v>11</v>
      </c>
    </row>
    <row r="5622" spans="1:23">
      <c r="A5622" t="n">
        <v>50493</v>
      </c>
      <c r="B5622" s="29" t="n">
        <v>16</v>
      </c>
      <c r="C5622" s="7" t="n">
        <v>0</v>
      </c>
    </row>
    <row r="5623" spans="1:23">
      <c r="A5623" t="s">
        <v>4</v>
      </c>
      <c r="B5623" s="4" t="s">
        <v>5</v>
      </c>
      <c r="C5623" s="4" t="s">
        <v>11</v>
      </c>
      <c r="D5623" s="4" t="s">
        <v>7</v>
      </c>
      <c r="E5623" s="4" t="s">
        <v>15</v>
      </c>
      <c r="F5623" s="4" t="s">
        <v>55</v>
      </c>
      <c r="G5623" s="4" t="s">
        <v>7</v>
      </c>
      <c r="H5623" s="4" t="s">
        <v>7</v>
      </c>
      <c r="I5623" s="4" t="s">
        <v>7</v>
      </c>
      <c r="J5623" s="4" t="s">
        <v>15</v>
      </c>
      <c r="K5623" s="4" t="s">
        <v>55</v>
      </c>
      <c r="L5623" s="4" t="s">
        <v>7</v>
      </c>
      <c r="M5623" s="4" t="s">
        <v>7</v>
      </c>
    </row>
    <row r="5624" spans="1:23">
      <c r="A5624" t="n">
        <v>50496</v>
      </c>
      <c r="B5624" s="55" t="n">
        <v>26</v>
      </c>
      <c r="C5624" s="7" t="n">
        <v>5</v>
      </c>
      <c r="D5624" s="7" t="n">
        <v>17</v>
      </c>
      <c r="E5624" s="7" t="n">
        <v>63882</v>
      </c>
      <c r="F5624" s="7" t="s">
        <v>502</v>
      </c>
      <c r="G5624" s="7" t="n">
        <v>2</v>
      </c>
      <c r="H5624" s="7" t="n">
        <v>3</v>
      </c>
      <c r="I5624" s="7" t="n">
        <v>17</v>
      </c>
      <c r="J5624" s="7" t="n">
        <v>63883</v>
      </c>
      <c r="K5624" s="7" t="s">
        <v>503</v>
      </c>
      <c r="L5624" s="7" t="n">
        <v>2</v>
      </c>
      <c r="M5624" s="7" t="n">
        <v>0</v>
      </c>
    </row>
    <row r="5625" spans="1:23">
      <c r="A5625" t="s">
        <v>4</v>
      </c>
      <c r="B5625" s="4" t="s">
        <v>5</v>
      </c>
    </row>
    <row r="5626" spans="1:23">
      <c r="A5626" t="n">
        <v>50718</v>
      </c>
      <c r="B5626" s="27" t="n">
        <v>28</v>
      </c>
    </row>
    <row r="5627" spans="1:23">
      <c r="A5627" t="s">
        <v>4</v>
      </c>
      <c r="B5627" s="4" t="s">
        <v>5</v>
      </c>
      <c r="C5627" s="4" t="s">
        <v>7</v>
      </c>
      <c r="D5627" s="4" t="s">
        <v>11</v>
      </c>
      <c r="E5627" s="4" t="s">
        <v>8</v>
      </c>
    </row>
    <row r="5628" spans="1:23">
      <c r="A5628" t="n">
        <v>50719</v>
      </c>
      <c r="B5628" s="38" t="n">
        <v>51</v>
      </c>
      <c r="C5628" s="7" t="n">
        <v>4</v>
      </c>
      <c r="D5628" s="7" t="n">
        <v>0</v>
      </c>
      <c r="E5628" s="7" t="s">
        <v>285</v>
      </c>
    </row>
    <row r="5629" spans="1:23">
      <c r="A5629" t="s">
        <v>4</v>
      </c>
      <c r="B5629" s="4" t="s">
        <v>5</v>
      </c>
      <c r="C5629" s="4" t="s">
        <v>11</v>
      </c>
    </row>
    <row r="5630" spans="1:23">
      <c r="A5630" t="n">
        <v>50732</v>
      </c>
      <c r="B5630" s="29" t="n">
        <v>16</v>
      </c>
      <c r="C5630" s="7" t="n">
        <v>0</v>
      </c>
    </row>
    <row r="5631" spans="1:23">
      <c r="A5631" t="s">
        <v>4</v>
      </c>
      <c r="B5631" s="4" t="s">
        <v>5</v>
      </c>
      <c r="C5631" s="4" t="s">
        <v>11</v>
      </c>
      <c r="D5631" s="4" t="s">
        <v>7</v>
      </c>
      <c r="E5631" s="4" t="s">
        <v>15</v>
      </c>
      <c r="F5631" s="4" t="s">
        <v>55</v>
      </c>
      <c r="G5631" s="4" t="s">
        <v>7</v>
      </c>
      <c r="H5631" s="4" t="s">
        <v>7</v>
      </c>
    </row>
    <row r="5632" spans="1:23">
      <c r="A5632" t="n">
        <v>50735</v>
      </c>
      <c r="B5632" s="55" t="n">
        <v>26</v>
      </c>
      <c r="C5632" s="7" t="n">
        <v>0</v>
      </c>
      <c r="D5632" s="7" t="n">
        <v>17</v>
      </c>
      <c r="E5632" s="7" t="n">
        <v>63884</v>
      </c>
      <c r="F5632" s="7" t="s">
        <v>504</v>
      </c>
      <c r="G5632" s="7" t="n">
        <v>2</v>
      </c>
      <c r="H5632" s="7" t="n">
        <v>0</v>
      </c>
    </row>
    <row r="5633" spans="1:13">
      <c r="A5633" t="s">
        <v>4</v>
      </c>
      <c r="B5633" s="4" t="s">
        <v>5</v>
      </c>
    </row>
    <row r="5634" spans="1:13">
      <c r="A5634" t="n">
        <v>50781</v>
      </c>
      <c r="B5634" s="27" t="n">
        <v>28</v>
      </c>
    </row>
    <row r="5635" spans="1:13">
      <c r="A5635" t="s">
        <v>4</v>
      </c>
      <c r="B5635" s="4" t="s">
        <v>5</v>
      </c>
      <c r="C5635" s="4" t="s">
        <v>7</v>
      </c>
      <c r="D5635" s="4" t="s">
        <v>11</v>
      </c>
      <c r="E5635" s="4" t="s">
        <v>7</v>
      </c>
    </row>
    <row r="5636" spans="1:13">
      <c r="A5636" t="n">
        <v>50782</v>
      </c>
      <c r="B5636" s="13" t="n">
        <v>49</v>
      </c>
      <c r="C5636" s="7" t="n">
        <v>1</v>
      </c>
      <c r="D5636" s="7" t="n">
        <v>3000</v>
      </c>
      <c r="E5636" s="7" t="n">
        <v>0</v>
      </c>
    </row>
    <row r="5637" spans="1:13">
      <c r="A5637" t="s">
        <v>4</v>
      </c>
      <c r="B5637" s="4" t="s">
        <v>5</v>
      </c>
      <c r="C5637" s="4" t="s">
        <v>7</v>
      </c>
      <c r="D5637" s="4" t="s">
        <v>11</v>
      </c>
      <c r="E5637" s="4" t="s">
        <v>8</v>
      </c>
      <c r="F5637" s="4" t="s">
        <v>8</v>
      </c>
      <c r="G5637" s="4" t="s">
        <v>8</v>
      </c>
      <c r="H5637" s="4" t="s">
        <v>8</v>
      </c>
    </row>
    <row r="5638" spans="1:13">
      <c r="A5638" t="n">
        <v>50787</v>
      </c>
      <c r="B5638" s="38" t="n">
        <v>51</v>
      </c>
      <c r="C5638" s="7" t="n">
        <v>3</v>
      </c>
      <c r="D5638" s="7" t="n">
        <v>5</v>
      </c>
      <c r="E5638" s="7" t="s">
        <v>319</v>
      </c>
      <c r="F5638" s="7" t="s">
        <v>79</v>
      </c>
      <c r="G5638" s="7" t="s">
        <v>78</v>
      </c>
      <c r="H5638" s="7" t="s">
        <v>79</v>
      </c>
    </row>
    <row r="5639" spans="1:13">
      <c r="A5639" t="s">
        <v>4</v>
      </c>
      <c r="B5639" s="4" t="s">
        <v>5</v>
      </c>
      <c r="C5639" s="4" t="s">
        <v>11</v>
      </c>
      <c r="D5639" s="4" t="s">
        <v>7</v>
      </c>
      <c r="E5639" s="4" t="s">
        <v>13</v>
      </c>
      <c r="F5639" s="4" t="s">
        <v>11</v>
      </c>
    </row>
    <row r="5640" spans="1:13">
      <c r="A5640" t="n">
        <v>50800</v>
      </c>
      <c r="B5640" s="56" t="n">
        <v>59</v>
      </c>
      <c r="C5640" s="7" t="n">
        <v>5</v>
      </c>
      <c r="D5640" s="7" t="n">
        <v>9</v>
      </c>
      <c r="E5640" s="7" t="n">
        <v>0.150000005960464</v>
      </c>
      <c r="F5640" s="7" t="n">
        <v>0</v>
      </c>
    </row>
    <row r="5641" spans="1:13">
      <c r="A5641" t="s">
        <v>4</v>
      </c>
      <c r="B5641" s="4" t="s">
        <v>5</v>
      </c>
      <c r="C5641" s="4" t="s">
        <v>11</v>
      </c>
    </row>
    <row r="5642" spans="1:13">
      <c r="A5642" t="n">
        <v>50810</v>
      </c>
      <c r="B5642" s="29" t="n">
        <v>16</v>
      </c>
      <c r="C5642" s="7" t="n">
        <v>1800</v>
      </c>
    </row>
    <row r="5643" spans="1:13">
      <c r="A5643" t="s">
        <v>4</v>
      </c>
      <c r="B5643" s="4" t="s">
        <v>5</v>
      </c>
      <c r="C5643" s="4" t="s">
        <v>7</v>
      </c>
      <c r="D5643" s="4" t="s">
        <v>11</v>
      </c>
      <c r="E5643" s="4" t="s">
        <v>13</v>
      </c>
    </row>
    <row r="5644" spans="1:13">
      <c r="A5644" t="n">
        <v>50813</v>
      </c>
      <c r="B5644" s="23" t="n">
        <v>58</v>
      </c>
      <c r="C5644" s="7" t="n">
        <v>101</v>
      </c>
      <c r="D5644" s="7" t="n">
        <v>800</v>
      </c>
      <c r="E5644" s="7" t="n">
        <v>1</v>
      </c>
    </row>
    <row r="5645" spans="1:13">
      <c r="A5645" t="s">
        <v>4</v>
      </c>
      <c r="B5645" s="4" t="s">
        <v>5</v>
      </c>
      <c r="C5645" s="4" t="s">
        <v>7</v>
      </c>
      <c r="D5645" s="4" t="s">
        <v>11</v>
      </c>
    </row>
    <row r="5646" spans="1:13">
      <c r="A5646" t="n">
        <v>50821</v>
      </c>
      <c r="B5646" s="23" t="n">
        <v>58</v>
      </c>
      <c r="C5646" s="7" t="n">
        <v>254</v>
      </c>
      <c r="D5646" s="7" t="n">
        <v>0</v>
      </c>
    </row>
    <row r="5647" spans="1:13">
      <c r="A5647" t="s">
        <v>4</v>
      </c>
      <c r="B5647" s="4" t="s">
        <v>5</v>
      </c>
      <c r="C5647" s="4" t="s">
        <v>7</v>
      </c>
      <c r="D5647" s="4" t="s">
        <v>7</v>
      </c>
      <c r="E5647" s="4" t="s">
        <v>13</v>
      </c>
      <c r="F5647" s="4" t="s">
        <v>13</v>
      </c>
      <c r="G5647" s="4" t="s">
        <v>13</v>
      </c>
      <c r="H5647" s="4" t="s">
        <v>11</v>
      </c>
    </row>
    <row r="5648" spans="1:13">
      <c r="A5648" t="n">
        <v>50825</v>
      </c>
      <c r="B5648" s="51" t="n">
        <v>45</v>
      </c>
      <c r="C5648" s="7" t="n">
        <v>2</v>
      </c>
      <c r="D5648" s="7" t="n">
        <v>3</v>
      </c>
      <c r="E5648" s="7" t="n">
        <v>-7.36999988555908</v>
      </c>
      <c r="F5648" s="7" t="n">
        <v>6.42000007629395</v>
      </c>
      <c r="G5648" s="7" t="n">
        <v>29.8199996948242</v>
      </c>
      <c r="H5648" s="7" t="n">
        <v>0</v>
      </c>
    </row>
    <row r="5649" spans="1:8">
      <c r="A5649" t="s">
        <v>4</v>
      </c>
      <c r="B5649" s="4" t="s">
        <v>5</v>
      </c>
      <c r="C5649" s="4" t="s">
        <v>7</v>
      </c>
      <c r="D5649" s="4" t="s">
        <v>7</v>
      </c>
      <c r="E5649" s="4" t="s">
        <v>13</v>
      </c>
      <c r="F5649" s="4" t="s">
        <v>13</v>
      </c>
      <c r="G5649" s="4" t="s">
        <v>13</v>
      </c>
      <c r="H5649" s="4" t="s">
        <v>11</v>
      </c>
      <c r="I5649" s="4" t="s">
        <v>7</v>
      </c>
    </row>
    <row r="5650" spans="1:8">
      <c r="A5650" t="n">
        <v>50842</v>
      </c>
      <c r="B5650" s="51" t="n">
        <v>45</v>
      </c>
      <c r="C5650" s="7" t="n">
        <v>4</v>
      </c>
      <c r="D5650" s="7" t="n">
        <v>3</v>
      </c>
      <c r="E5650" s="7" t="n">
        <v>10.3299999237061</v>
      </c>
      <c r="F5650" s="7" t="n">
        <v>63.9599990844727</v>
      </c>
      <c r="G5650" s="7" t="n">
        <v>356</v>
      </c>
      <c r="H5650" s="7" t="n">
        <v>0</v>
      </c>
      <c r="I5650" s="7" t="n">
        <v>0</v>
      </c>
    </row>
    <row r="5651" spans="1:8">
      <c r="A5651" t="s">
        <v>4</v>
      </c>
      <c r="B5651" s="4" t="s">
        <v>5</v>
      </c>
      <c r="C5651" s="4" t="s">
        <v>7</v>
      </c>
      <c r="D5651" s="4" t="s">
        <v>7</v>
      </c>
      <c r="E5651" s="4" t="s">
        <v>13</v>
      </c>
      <c r="F5651" s="4" t="s">
        <v>11</v>
      </c>
    </row>
    <row r="5652" spans="1:8">
      <c r="A5652" t="n">
        <v>50860</v>
      </c>
      <c r="B5652" s="51" t="n">
        <v>45</v>
      </c>
      <c r="C5652" s="7" t="n">
        <v>5</v>
      </c>
      <c r="D5652" s="7" t="n">
        <v>3</v>
      </c>
      <c r="E5652" s="7" t="n">
        <v>0.800000011920929</v>
      </c>
      <c r="F5652" s="7" t="n">
        <v>0</v>
      </c>
    </row>
    <row r="5653" spans="1:8">
      <c r="A5653" t="s">
        <v>4</v>
      </c>
      <c r="B5653" s="4" t="s">
        <v>5</v>
      </c>
      <c r="C5653" s="4" t="s">
        <v>7</v>
      </c>
      <c r="D5653" s="4" t="s">
        <v>7</v>
      </c>
      <c r="E5653" s="4" t="s">
        <v>13</v>
      </c>
      <c r="F5653" s="4" t="s">
        <v>11</v>
      </c>
    </row>
    <row r="5654" spans="1:8">
      <c r="A5654" t="n">
        <v>50869</v>
      </c>
      <c r="B5654" s="51" t="n">
        <v>45</v>
      </c>
      <c r="C5654" s="7" t="n">
        <v>11</v>
      </c>
      <c r="D5654" s="7" t="n">
        <v>3</v>
      </c>
      <c r="E5654" s="7" t="n">
        <v>40.2999992370605</v>
      </c>
      <c r="F5654" s="7" t="n">
        <v>0</v>
      </c>
    </row>
    <row r="5655" spans="1:8">
      <c r="A5655" t="s">
        <v>4</v>
      </c>
      <c r="B5655" s="4" t="s">
        <v>5</v>
      </c>
      <c r="C5655" s="4" t="s">
        <v>7</v>
      </c>
    </row>
    <row r="5656" spans="1:8">
      <c r="A5656" t="n">
        <v>50878</v>
      </c>
      <c r="B5656" s="49" t="n">
        <v>116</v>
      </c>
      <c r="C5656" s="7" t="n">
        <v>0</v>
      </c>
    </row>
    <row r="5657" spans="1:8">
      <c r="A5657" t="s">
        <v>4</v>
      </c>
      <c r="B5657" s="4" t="s">
        <v>5</v>
      </c>
      <c r="C5657" s="4" t="s">
        <v>7</v>
      </c>
      <c r="D5657" s="4" t="s">
        <v>11</v>
      </c>
    </row>
    <row r="5658" spans="1:8">
      <c r="A5658" t="n">
        <v>50880</v>
      </c>
      <c r="B5658" s="49" t="n">
        <v>116</v>
      </c>
      <c r="C5658" s="7" t="n">
        <v>2</v>
      </c>
      <c r="D5658" s="7" t="n">
        <v>1</v>
      </c>
    </row>
    <row r="5659" spans="1:8">
      <c r="A5659" t="s">
        <v>4</v>
      </c>
      <c r="B5659" s="4" t="s">
        <v>5</v>
      </c>
      <c r="C5659" s="4" t="s">
        <v>7</v>
      </c>
      <c r="D5659" s="4" t="s">
        <v>15</v>
      </c>
    </row>
    <row r="5660" spans="1:8">
      <c r="A5660" t="n">
        <v>50884</v>
      </c>
      <c r="B5660" s="49" t="n">
        <v>116</v>
      </c>
      <c r="C5660" s="7" t="n">
        <v>5</v>
      </c>
      <c r="D5660" s="7" t="n">
        <v>1077936128</v>
      </c>
    </row>
    <row r="5661" spans="1:8">
      <c r="A5661" t="s">
        <v>4</v>
      </c>
      <c r="B5661" s="4" t="s">
        <v>5</v>
      </c>
      <c r="C5661" s="4" t="s">
        <v>7</v>
      </c>
      <c r="D5661" s="4" t="s">
        <v>11</v>
      </c>
    </row>
    <row r="5662" spans="1:8">
      <c r="A5662" t="n">
        <v>50890</v>
      </c>
      <c r="B5662" s="49" t="n">
        <v>116</v>
      </c>
      <c r="C5662" s="7" t="n">
        <v>6</v>
      </c>
      <c r="D5662" s="7" t="n">
        <v>1</v>
      </c>
    </row>
    <row r="5663" spans="1:8">
      <c r="A5663" t="s">
        <v>4</v>
      </c>
      <c r="B5663" s="4" t="s">
        <v>5</v>
      </c>
      <c r="C5663" s="4" t="s">
        <v>7</v>
      </c>
      <c r="D5663" s="4" t="s">
        <v>11</v>
      </c>
      <c r="E5663" s="4" t="s">
        <v>8</v>
      </c>
      <c r="F5663" s="4" t="s">
        <v>8</v>
      </c>
      <c r="G5663" s="4" t="s">
        <v>8</v>
      </c>
      <c r="H5663" s="4" t="s">
        <v>8</v>
      </c>
    </row>
    <row r="5664" spans="1:8">
      <c r="A5664" t="n">
        <v>50894</v>
      </c>
      <c r="B5664" s="38" t="n">
        <v>51</v>
      </c>
      <c r="C5664" s="7" t="n">
        <v>3</v>
      </c>
      <c r="D5664" s="7" t="n">
        <v>5</v>
      </c>
      <c r="E5664" s="7" t="s">
        <v>86</v>
      </c>
      <c r="F5664" s="7" t="s">
        <v>79</v>
      </c>
      <c r="G5664" s="7" t="s">
        <v>78</v>
      </c>
      <c r="H5664" s="7" t="s">
        <v>79</v>
      </c>
    </row>
    <row r="5665" spans="1:9">
      <c r="A5665" t="s">
        <v>4</v>
      </c>
      <c r="B5665" s="4" t="s">
        <v>5</v>
      </c>
      <c r="C5665" s="4" t="s">
        <v>11</v>
      </c>
      <c r="D5665" s="4" t="s">
        <v>11</v>
      </c>
      <c r="E5665" s="4" t="s">
        <v>13</v>
      </c>
      <c r="F5665" s="4" t="s">
        <v>7</v>
      </c>
    </row>
    <row r="5666" spans="1:9">
      <c r="A5666" t="n">
        <v>50907</v>
      </c>
      <c r="B5666" s="73" t="n">
        <v>53</v>
      </c>
      <c r="C5666" s="7" t="n">
        <v>0</v>
      </c>
      <c r="D5666" s="7" t="n">
        <v>5</v>
      </c>
      <c r="E5666" s="7" t="n">
        <v>0</v>
      </c>
      <c r="F5666" s="7" t="n">
        <v>0</v>
      </c>
    </row>
    <row r="5667" spans="1:9">
      <c r="A5667" t="s">
        <v>4</v>
      </c>
      <c r="B5667" s="4" t="s">
        <v>5</v>
      </c>
      <c r="C5667" s="4" t="s">
        <v>7</v>
      </c>
      <c r="D5667" s="4" t="s">
        <v>11</v>
      </c>
    </row>
    <row r="5668" spans="1:9">
      <c r="A5668" t="n">
        <v>50917</v>
      </c>
      <c r="B5668" s="23" t="n">
        <v>58</v>
      </c>
      <c r="C5668" s="7" t="n">
        <v>255</v>
      </c>
      <c r="D5668" s="7" t="n">
        <v>0</v>
      </c>
    </row>
    <row r="5669" spans="1:9">
      <c r="A5669" t="s">
        <v>4</v>
      </c>
      <c r="B5669" s="4" t="s">
        <v>5</v>
      </c>
      <c r="C5669" s="4" t="s">
        <v>11</v>
      </c>
      <c r="D5669" s="4" t="s">
        <v>11</v>
      </c>
      <c r="E5669" s="4" t="s">
        <v>13</v>
      </c>
      <c r="F5669" s="4" t="s">
        <v>7</v>
      </c>
    </row>
    <row r="5670" spans="1:9">
      <c r="A5670" t="n">
        <v>50921</v>
      </c>
      <c r="B5670" s="73" t="n">
        <v>53</v>
      </c>
      <c r="C5670" s="7" t="n">
        <v>5</v>
      </c>
      <c r="D5670" s="7" t="n">
        <v>0</v>
      </c>
      <c r="E5670" s="7" t="n">
        <v>5</v>
      </c>
      <c r="F5670" s="7" t="n">
        <v>0</v>
      </c>
    </row>
    <row r="5671" spans="1:9">
      <c r="A5671" t="s">
        <v>4</v>
      </c>
      <c r="B5671" s="4" t="s">
        <v>5</v>
      </c>
      <c r="C5671" s="4" t="s">
        <v>11</v>
      </c>
    </row>
    <row r="5672" spans="1:9">
      <c r="A5672" t="n">
        <v>50931</v>
      </c>
      <c r="B5672" s="66" t="n">
        <v>54</v>
      </c>
      <c r="C5672" s="7" t="n">
        <v>5</v>
      </c>
    </row>
    <row r="5673" spans="1:9">
      <c r="A5673" t="s">
        <v>4</v>
      </c>
      <c r="B5673" s="4" t="s">
        <v>5</v>
      </c>
      <c r="C5673" s="4" t="s">
        <v>11</v>
      </c>
      <c r="D5673" s="4" t="s">
        <v>7</v>
      </c>
      <c r="E5673" s="4" t="s">
        <v>8</v>
      </c>
      <c r="F5673" s="4" t="s">
        <v>13</v>
      </c>
      <c r="G5673" s="4" t="s">
        <v>13</v>
      </c>
      <c r="H5673" s="4" t="s">
        <v>13</v>
      </c>
    </row>
    <row r="5674" spans="1:9">
      <c r="A5674" t="n">
        <v>50934</v>
      </c>
      <c r="B5674" s="42" t="n">
        <v>48</v>
      </c>
      <c r="C5674" s="7" t="n">
        <v>5</v>
      </c>
      <c r="D5674" s="7" t="n">
        <v>0</v>
      </c>
      <c r="E5674" s="7" t="s">
        <v>480</v>
      </c>
      <c r="F5674" s="7" t="n">
        <v>-1</v>
      </c>
      <c r="G5674" s="7" t="n">
        <v>1</v>
      </c>
      <c r="H5674" s="7" t="n">
        <v>0</v>
      </c>
    </row>
    <row r="5675" spans="1:9">
      <c r="A5675" t="s">
        <v>4</v>
      </c>
      <c r="B5675" s="4" t="s">
        <v>5</v>
      </c>
      <c r="C5675" s="4" t="s">
        <v>7</v>
      </c>
      <c r="D5675" s="4" t="s">
        <v>7</v>
      </c>
    </row>
    <row r="5676" spans="1:9">
      <c r="A5676" t="n">
        <v>50964</v>
      </c>
      <c r="B5676" s="13" t="n">
        <v>49</v>
      </c>
      <c r="C5676" s="7" t="n">
        <v>2</v>
      </c>
      <c r="D5676" s="7" t="n">
        <v>0</v>
      </c>
    </row>
    <row r="5677" spans="1:9">
      <c r="A5677" t="s">
        <v>4</v>
      </c>
      <c r="B5677" s="4" t="s">
        <v>5</v>
      </c>
      <c r="C5677" s="4" t="s">
        <v>7</v>
      </c>
      <c r="D5677" s="4" t="s">
        <v>11</v>
      </c>
      <c r="E5677" s="4" t="s">
        <v>15</v>
      </c>
      <c r="F5677" s="4" t="s">
        <v>11</v>
      </c>
      <c r="G5677" s="4" t="s">
        <v>15</v>
      </c>
      <c r="H5677" s="4" t="s">
        <v>7</v>
      </c>
    </row>
    <row r="5678" spans="1:9">
      <c r="A5678" t="n">
        <v>50967</v>
      </c>
      <c r="B5678" s="13" t="n">
        <v>49</v>
      </c>
      <c r="C5678" s="7" t="n">
        <v>0</v>
      </c>
      <c r="D5678" s="7" t="n">
        <v>551</v>
      </c>
      <c r="E5678" s="7" t="n">
        <v>1061997773</v>
      </c>
      <c r="F5678" s="7" t="n">
        <v>0</v>
      </c>
      <c r="G5678" s="7" t="n">
        <v>0</v>
      </c>
      <c r="H5678" s="7" t="n">
        <v>0</v>
      </c>
    </row>
    <row r="5679" spans="1:9">
      <c r="A5679" t="s">
        <v>4</v>
      </c>
      <c r="B5679" s="4" t="s">
        <v>5</v>
      </c>
      <c r="C5679" s="4" t="s">
        <v>7</v>
      </c>
      <c r="D5679" s="4" t="s">
        <v>11</v>
      </c>
    </row>
    <row r="5680" spans="1:9">
      <c r="A5680" t="n">
        <v>50982</v>
      </c>
      <c r="B5680" s="13" t="n">
        <v>49</v>
      </c>
      <c r="C5680" s="7" t="n">
        <v>6</v>
      </c>
      <c r="D5680" s="7" t="n">
        <v>551</v>
      </c>
    </row>
    <row r="5681" spans="1:8">
      <c r="A5681" t="s">
        <v>4</v>
      </c>
      <c r="B5681" s="4" t="s">
        <v>5</v>
      </c>
      <c r="C5681" s="4" t="s">
        <v>11</v>
      </c>
    </row>
    <row r="5682" spans="1:8">
      <c r="A5682" t="n">
        <v>50986</v>
      </c>
      <c r="B5682" s="29" t="n">
        <v>16</v>
      </c>
      <c r="C5682" s="7" t="n">
        <v>500</v>
      </c>
    </row>
    <row r="5683" spans="1:8">
      <c r="A5683" t="s">
        <v>4</v>
      </c>
      <c r="B5683" s="4" t="s">
        <v>5</v>
      </c>
      <c r="C5683" s="4" t="s">
        <v>7</v>
      </c>
      <c r="D5683" s="4" t="s">
        <v>11</v>
      </c>
      <c r="E5683" s="4" t="s">
        <v>8</v>
      </c>
    </row>
    <row r="5684" spans="1:8">
      <c r="A5684" t="n">
        <v>50989</v>
      </c>
      <c r="B5684" s="38" t="n">
        <v>51</v>
      </c>
      <c r="C5684" s="7" t="n">
        <v>4</v>
      </c>
      <c r="D5684" s="7" t="n">
        <v>5</v>
      </c>
      <c r="E5684" s="7" t="s">
        <v>137</v>
      </c>
    </row>
    <row r="5685" spans="1:8">
      <c r="A5685" t="s">
        <v>4</v>
      </c>
      <c r="B5685" s="4" t="s">
        <v>5</v>
      </c>
      <c r="C5685" s="4" t="s">
        <v>11</v>
      </c>
    </row>
    <row r="5686" spans="1:8">
      <c r="A5686" t="n">
        <v>51002</v>
      </c>
      <c r="B5686" s="29" t="n">
        <v>16</v>
      </c>
      <c r="C5686" s="7" t="n">
        <v>0</v>
      </c>
    </row>
    <row r="5687" spans="1:8">
      <c r="A5687" t="s">
        <v>4</v>
      </c>
      <c r="B5687" s="4" t="s">
        <v>5</v>
      </c>
      <c r="C5687" s="4" t="s">
        <v>11</v>
      </c>
      <c r="D5687" s="4" t="s">
        <v>7</v>
      </c>
      <c r="E5687" s="4" t="s">
        <v>15</v>
      </c>
      <c r="F5687" s="4" t="s">
        <v>55</v>
      </c>
      <c r="G5687" s="4" t="s">
        <v>7</v>
      </c>
      <c r="H5687" s="4" t="s">
        <v>7</v>
      </c>
      <c r="I5687" s="4" t="s">
        <v>7</v>
      </c>
      <c r="J5687" s="4" t="s">
        <v>15</v>
      </c>
      <c r="K5687" s="4" t="s">
        <v>55</v>
      </c>
      <c r="L5687" s="4" t="s">
        <v>7</v>
      </c>
      <c r="M5687" s="4" t="s">
        <v>7</v>
      </c>
      <c r="N5687" s="4" t="s">
        <v>7</v>
      </c>
      <c r="O5687" s="4" t="s">
        <v>15</v>
      </c>
      <c r="P5687" s="4" t="s">
        <v>55</v>
      </c>
      <c r="Q5687" s="4" t="s">
        <v>7</v>
      </c>
      <c r="R5687" s="4" t="s">
        <v>7</v>
      </c>
      <c r="S5687" s="4" t="s">
        <v>7</v>
      </c>
      <c r="T5687" s="4" t="s">
        <v>15</v>
      </c>
      <c r="U5687" s="4" t="s">
        <v>55</v>
      </c>
      <c r="V5687" s="4" t="s">
        <v>7</v>
      </c>
      <c r="W5687" s="4" t="s">
        <v>7</v>
      </c>
    </row>
    <row r="5688" spans="1:8">
      <c r="A5688" t="n">
        <v>51005</v>
      </c>
      <c r="B5688" s="55" t="n">
        <v>26</v>
      </c>
      <c r="C5688" s="7" t="n">
        <v>5</v>
      </c>
      <c r="D5688" s="7" t="n">
        <v>17</v>
      </c>
      <c r="E5688" s="7" t="n">
        <v>3800</v>
      </c>
      <c r="F5688" s="7" t="s">
        <v>505</v>
      </c>
      <c r="G5688" s="7" t="n">
        <v>2</v>
      </c>
      <c r="H5688" s="7" t="n">
        <v>3</v>
      </c>
      <c r="I5688" s="7" t="n">
        <v>17</v>
      </c>
      <c r="J5688" s="7" t="n">
        <v>3801</v>
      </c>
      <c r="K5688" s="7" t="s">
        <v>506</v>
      </c>
      <c r="L5688" s="7" t="n">
        <v>2</v>
      </c>
      <c r="M5688" s="7" t="n">
        <v>3</v>
      </c>
      <c r="N5688" s="7" t="n">
        <v>17</v>
      </c>
      <c r="O5688" s="7" t="n">
        <v>3802</v>
      </c>
      <c r="P5688" s="7" t="s">
        <v>507</v>
      </c>
      <c r="Q5688" s="7" t="n">
        <v>2</v>
      </c>
      <c r="R5688" s="7" t="n">
        <v>3</v>
      </c>
      <c r="S5688" s="7" t="n">
        <v>17</v>
      </c>
      <c r="T5688" s="7" t="n">
        <v>3803</v>
      </c>
      <c r="U5688" s="7" t="s">
        <v>508</v>
      </c>
      <c r="V5688" s="7" t="n">
        <v>2</v>
      </c>
      <c r="W5688" s="7" t="n">
        <v>0</v>
      </c>
    </row>
    <row r="5689" spans="1:8">
      <c r="A5689" t="s">
        <v>4</v>
      </c>
      <c r="B5689" s="4" t="s">
        <v>5</v>
      </c>
    </row>
    <row r="5690" spans="1:8">
      <c r="A5690" t="n">
        <v>51347</v>
      </c>
      <c r="B5690" s="27" t="n">
        <v>28</v>
      </c>
    </row>
    <row r="5691" spans="1:8">
      <c r="A5691" t="s">
        <v>4</v>
      </c>
      <c r="B5691" s="4" t="s">
        <v>5</v>
      </c>
      <c r="C5691" s="4" t="s">
        <v>7</v>
      </c>
      <c r="D5691" s="4" t="s">
        <v>11</v>
      </c>
      <c r="E5691" s="4" t="s">
        <v>8</v>
      </c>
    </row>
    <row r="5692" spans="1:8">
      <c r="A5692" t="n">
        <v>51348</v>
      </c>
      <c r="B5692" s="38" t="n">
        <v>51</v>
      </c>
      <c r="C5692" s="7" t="n">
        <v>4</v>
      </c>
      <c r="D5692" s="7" t="n">
        <v>0</v>
      </c>
      <c r="E5692" s="7" t="s">
        <v>304</v>
      </c>
    </row>
    <row r="5693" spans="1:8">
      <c r="A5693" t="s">
        <v>4</v>
      </c>
      <c r="B5693" s="4" t="s">
        <v>5</v>
      </c>
      <c r="C5693" s="4" t="s">
        <v>11</v>
      </c>
    </row>
    <row r="5694" spans="1:8">
      <c r="A5694" t="n">
        <v>51361</v>
      </c>
      <c r="B5694" s="29" t="n">
        <v>16</v>
      </c>
      <c r="C5694" s="7" t="n">
        <v>0</v>
      </c>
    </row>
    <row r="5695" spans="1:8">
      <c r="A5695" t="s">
        <v>4</v>
      </c>
      <c r="B5695" s="4" t="s">
        <v>5</v>
      </c>
      <c r="C5695" s="4" t="s">
        <v>11</v>
      </c>
      <c r="D5695" s="4" t="s">
        <v>7</v>
      </c>
      <c r="E5695" s="4" t="s">
        <v>15</v>
      </c>
      <c r="F5695" s="4" t="s">
        <v>55</v>
      </c>
      <c r="G5695" s="4" t="s">
        <v>7</v>
      </c>
      <c r="H5695" s="4" t="s">
        <v>7</v>
      </c>
      <c r="I5695" s="4" t="s">
        <v>7</v>
      </c>
      <c r="J5695" s="4" t="s">
        <v>15</v>
      </c>
      <c r="K5695" s="4" t="s">
        <v>55</v>
      </c>
      <c r="L5695" s="4" t="s">
        <v>7</v>
      </c>
      <c r="M5695" s="4" t="s">
        <v>7</v>
      </c>
      <c r="N5695" s="4" t="s">
        <v>7</v>
      </c>
      <c r="O5695" s="4" t="s">
        <v>15</v>
      </c>
      <c r="P5695" s="4" t="s">
        <v>55</v>
      </c>
      <c r="Q5695" s="4" t="s">
        <v>7</v>
      </c>
      <c r="R5695" s="4" t="s">
        <v>7</v>
      </c>
    </row>
    <row r="5696" spans="1:8">
      <c r="A5696" t="n">
        <v>51364</v>
      </c>
      <c r="B5696" s="55" t="n">
        <v>26</v>
      </c>
      <c r="C5696" s="7" t="n">
        <v>0</v>
      </c>
      <c r="D5696" s="7" t="n">
        <v>17</v>
      </c>
      <c r="E5696" s="7" t="n">
        <v>63885</v>
      </c>
      <c r="F5696" s="7" t="s">
        <v>509</v>
      </c>
      <c r="G5696" s="7" t="n">
        <v>2</v>
      </c>
      <c r="H5696" s="7" t="n">
        <v>3</v>
      </c>
      <c r="I5696" s="7" t="n">
        <v>17</v>
      </c>
      <c r="J5696" s="7" t="n">
        <v>63886</v>
      </c>
      <c r="K5696" s="7" t="s">
        <v>510</v>
      </c>
      <c r="L5696" s="7" t="n">
        <v>2</v>
      </c>
      <c r="M5696" s="7" t="n">
        <v>3</v>
      </c>
      <c r="N5696" s="7" t="n">
        <v>17</v>
      </c>
      <c r="O5696" s="7" t="n">
        <v>63887</v>
      </c>
      <c r="P5696" s="7" t="s">
        <v>511</v>
      </c>
      <c r="Q5696" s="7" t="n">
        <v>2</v>
      </c>
      <c r="R5696" s="7" t="n">
        <v>0</v>
      </c>
    </row>
    <row r="5697" spans="1:23">
      <c r="A5697" t="s">
        <v>4</v>
      </c>
      <c r="B5697" s="4" t="s">
        <v>5</v>
      </c>
    </row>
    <row r="5698" spans="1:23">
      <c r="A5698" t="n">
        <v>51551</v>
      </c>
      <c r="B5698" s="27" t="n">
        <v>28</v>
      </c>
    </row>
    <row r="5699" spans="1:23">
      <c r="A5699" t="s">
        <v>4</v>
      </c>
      <c r="B5699" s="4" t="s">
        <v>5</v>
      </c>
      <c r="C5699" s="4" t="s">
        <v>7</v>
      </c>
      <c r="D5699" s="4" t="s">
        <v>11</v>
      </c>
      <c r="E5699" s="4" t="s">
        <v>8</v>
      </c>
    </row>
    <row r="5700" spans="1:23">
      <c r="A5700" t="n">
        <v>51552</v>
      </c>
      <c r="B5700" s="38" t="n">
        <v>51</v>
      </c>
      <c r="C5700" s="7" t="n">
        <v>4</v>
      </c>
      <c r="D5700" s="7" t="n">
        <v>5</v>
      </c>
      <c r="E5700" s="7" t="s">
        <v>491</v>
      </c>
    </row>
    <row r="5701" spans="1:23">
      <c r="A5701" t="s">
        <v>4</v>
      </c>
      <c r="B5701" s="4" t="s">
        <v>5</v>
      </c>
      <c r="C5701" s="4" t="s">
        <v>11</v>
      </c>
    </row>
    <row r="5702" spans="1:23">
      <c r="A5702" t="n">
        <v>51566</v>
      </c>
      <c r="B5702" s="29" t="n">
        <v>16</v>
      </c>
      <c r="C5702" s="7" t="n">
        <v>0</v>
      </c>
    </row>
    <row r="5703" spans="1:23">
      <c r="A5703" t="s">
        <v>4</v>
      </c>
      <c r="B5703" s="4" t="s">
        <v>5</v>
      </c>
      <c r="C5703" s="4" t="s">
        <v>11</v>
      </c>
      <c r="D5703" s="4" t="s">
        <v>7</v>
      </c>
      <c r="E5703" s="4" t="s">
        <v>15</v>
      </c>
      <c r="F5703" s="4" t="s">
        <v>55</v>
      </c>
      <c r="G5703" s="4" t="s">
        <v>7</v>
      </c>
      <c r="H5703" s="4" t="s">
        <v>7</v>
      </c>
      <c r="I5703" s="4" t="s">
        <v>7</v>
      </c>
      <c r="J5703" s="4" t="s">
        <v>15</v>
      </c>
      <c r="K5703" s="4" t="s">
        <v>55</v>
      </c>
      <c r="L5703" s="4" t="s">
        <v>7</v>
      </c>
      <c r="M5703" s="4" t="s">
        <v>7</v>
      </c>
      <c r="N5703" s="4" t="s">
        <v>7</v>
      </c>
      <c r="O5703" s="4" t="s">
        <v>15</v>
      </c>
      <c r="P5703" s="4" t="s">
        <v>55</v>
      </c>
      <c r="Q5703" s="4" t="s">
        <v>7</v>
      </c>
      <c r="R5703" s="4" t="s">
        <v>7</v>
      </c>
      <c r="S5703" s="4" t="s">
        <v>7</v>
      </c>
      <c r="T5703" s="4" t="s">
        <v>15</v>
      </c>
      <c r="U5703" s="4" t="s">
        <v>55</v>
      </c>
      <c r="V5703" s="4" t="s">
        <v>7</v>
      </c>
      <c r="W5703" s="4" t="s">
        <v>7</v>
      </c>
    </row>
    <row r="5704" spans="1:23">
      <c r="A5704" t="n">
        <v>51569</v>
      </c>
      <c r="B5704" s="55" t="n">
        <v>26</v>
      </c>
      <c r="C5704" s="7" t="n">
        <v>5</v>
      </c>
      <c r="D5704" s="7" t="n">
        <v>17</v>
      </c>
      <c r="E5704" s="7" t="n">
        <v>3804</v>
      </c>
      <c r="F5704" s="7" t="s">
        <v>512</v>
      </c>
      <c r="G5704" s="7" t="n">
        <v>2</v>
      </c>
      <c r="H5704" s="7" t="n">
        <v>3</v>
      </c>
      <c r="I5704" s="7" t="n">
        <v>17</v>
      </c>
      <c r="J5704" s="7" t="n">
        <v>3805</v>
      </c>
      <c r="K5704" s="7" t="s">
        <v>513</v>
      </c>
      <c r="L5704" s="7" t="n">
        <v>2</v>
      </c>
      <c r="M5704" s="7" t="n">
        <v>3</v>
      </c>
      <c r="N5704" s="7" t="n">
        <v>17</v>
      </c>
      <c r="O5704" s="7" t="n">
        <v>3806</v>
      </c>
      <c r="P5704" s="7" t="s">
        <v>514</v>
      </c>
      <c r="Q5704" s="7" t="n">
        <v>2</v>
      </c>
      <c r="R5704" s="7" t="n">
        <v>3</v>
      </c>
      <c r="S5704" s="7" t="n">
        <v>17</v>
      </c>
      <c r="T5704" s="7" t="n">
        <v>3807</v>
      </c>
      <c r="U5704" s="7" t="s">
        <v>515</v>
      </c>
      <c r="V5704" s="7" t="n">
        <v>2</v>
      </c>
      <c r="W5704" s="7" t="n">
        <v>0</v>
      </c>
    </row>
    <row r="5705" spans="1:23">
      <c r="A5705" t="s">
        <v>4</v>
      </c>
      <c r="B5705" s="4" t="s">
        <v>5</v>
      </c>
    </row>
    <row r="5706" spans="1:23">
      <c r="A5706" t="n">
        <v>51991</v>
      </c>
      <c r="B5706" s="27" t="n">
        <v>28</v>
      </c>
    </row>
    <row r="5707" spans="1:23">
      <c r="A5707" t="s">
        <v>4</v>
      </c>
      <c r="B5707" s="4" t="s">
        <v>5</v>
      </c>
      <c r="C5707" s="4" t="s">
        <v>7</v>
      </c>
      <c r="D5707" s="4" t="s">
        <v>11</v>
      </c>
      <c r="E5707" s="4" t="s">
        <v>8</v>
      </c>
    </row>
    <row r="5708" spans="1:23">
      <c r="A5708" t="n">
        <v>51992</v>
      </c>
      <c r="B5708" s="38" t="n">
        <v>51</v>
      </c>
      <c r="C5708" s="7" t="n">
        <v>4</v>
      </c>
      <c r="D5708" s="7" t="n">
        <v>0</v>
      </c>
      <c r="E5708" s="7" t="s">
        <v>192</v>
      </c>
    </row>
    <row r="5709" spans="1:23">
      <c r="A5709" t="s">
        <v>4</v>
      </c>
      <c r="B5709" s="4" t="s">
        <v>5</v>
      </c>
      <c r="C5709" s="4" t="s">
        <v>11</v>
      </c>
    </row>
    <row r="5710" spans="1:23">
      <c r="A5710" t="n">
        <v>52005</v>
      </c>
      <c r="B5710" s="29" t="n">
        <v>16</v>
      </c>
      <c r="C5710" s="7" t="n">
        <v>0</v>
      </c>
    </row>
    <row r="5711" spans="1:23">
      <c r="A5711" t="s">
        <v>4</v>
      </c>
      <c r="B5711" s="4" t="s">
        <v>5</v>
      </c>
      <c r="C5711" s="4" t="s">
        <v>11</v>
      </c>
      <c r="D5711" s="4" t="s">
        <v>7</v>
      </c>
      <c r="E5711" s="4" t="s">
        <v>15</v>
      </c>
      <c r="F5711" s="4" t="s">
        <v>55</v>
      </c>
      <c r="G5711" s="4" t="s">
        <v>7</v>
      </c>
      <c r="H5711" s="4" t="s">
        <v>7</v>
      </c>
    </row>
    <row r="5712" spans="1:23">
      <c r="A5712" t="n">
        <v>52008</v>
      </c>
      <c r="B5712" s="55" t="n">
        <v>26</v>
      </c>
      <c r="C5712" s="7" t="n">
        <v>0</v>
      </c>
      <c r="D5712" s="7" t="n">
        <v>17</v>
      </c>
      <c r="E5712" s="7" t="n">
        <v>63888</v>
      </c>
      <c r="F5712" s="7" t="s">
        <v>516</v>
      </c>
      <c r="G5712" s="7" t="n">
        <v>2</v>
      </c>
      <c r="H5712" s="7" t="n">
        <v>0</v>
      </c>
    </row>
    <row r="5713" spans="1:23">
      <c r="A5713" t="s">
        <v>4</v>
      </c>
      <c r="B5713" s="4" t="s">
        <v>5</v>
      </c>
    </row>
    <row r="5714" spans="1:23">
      <c r="A5714" t="n">
        <v>52028</v>
      </c>
      <c r="B5714" s="27" t="n">
        <v>28</v>
      </c>
    </row>
    <row r="5715" spans="1:23">
      <c r="A5715" t="s">
        <v>4</v>
      </c>
      <c r="B5715" s="4" t="s">
        <v>5</v>
      </c>
      <c r="C5715" s="4" t="s">
        <v>7</v>
      </c>
      <c r="D5715" s="4" t="s">
        <v>11</v>
      </c>
      <c r="E5715" s="4" t="s">
        <v>8</v>
      </c>
    </row>
    <row r="5716" spans="1:23">
      <c r="A5716" t="n">
        <v>52029</v>
      </c>
      <c r="B5716" s="38" t="n">
        <v>51</v>
      </c>
      <c r="C5716" s="7" t="n">
        <v>4</v>
      </c>
      <c r="D5716" s="7" t="n">
        <v>5</v>
      </c>
      <c r="E5716" s="7" t="s">
        <v>242</v>
      </c>
    </row>
    <row r="5717" spans="1:23">
      <c r="A5717" t="s">
        <v>4</v>
      </c>
      <c r="B5717" s="4" t="s">
        <v>5</v>
      </c>
      <c r="C5717" s="4" t="s">
        <v>11</v>
      </c>
    </row>
    <row r="5718" spans="1:23">
      <c r="A5718" t="n">
        <v>52043</v>
      </c>
      <c r="B5718" s="29" t="n">
        <v>16</v>
      </c>
      <c r="C5718" s="7" t="n">
        <v>0</v>
      </c>
    </row>
    <row r="5719" spans="1:23">
      <c r="A5719" t="s">
        <v>4</v>
      </c>
      <c r="B5719" s="4" t="s">
        <v>5</v>
      </c>
      <c r="C5719" s="4" t="s">
        <v>11</v>
      </c>
      <c r="D5719" s="4" t="s">
        <v>7</v>
      </c>
      <c r="E5719" s="4" t="s">
        <v>15</v>
      </c>
      <c r="F5719" s="4" t="s">
        <v>55</v>
      </c>
      <c r="G5719" s="4" t="s">
        <v>7</v>
      </c>
      <c r="H5719" s="4" t="s">
        <v>7</v>
      </c>
      <c r="I5719" s="4" t="s">
        <v>7</v>
      </c>
      <c r="J5719" s="4" t="s">
        <v>15</v>
      </c>
      <c r="K5719" s="4" t="s">
        <v>55</v>
      </c>
      <c r="L5719" s="4" t="s">
        <v>7</v>
      </c>
      <c r="M5719" s="4" t="s">
        <v>7</v>
      </c>
      <c r="N5719" s="4" t="s">
        <v>7</v>
      </c>
      <c r="O5719" s="4" t="s">
        <v>15</v>
      </c>
      <c r="P5719" s="4" t="s">
        <v>55</v>
      </c>
      <c r="Q5719" s="4" t="s">
        <v>7</v>
      </c>
      <c r="R5719" s="4" t="s">
        <v>7</v>
      </c>
      <c r="S5719" s="4" t="s">
        <v>7</v>
      </c>
      <c r="T5719" s="4" t="s">
        <v>15</v>
      </c>
      <c r="U5719" s="4" t="s">
        <v>55</v>
      </c>
      <c r="V5719" s="4" t="s">
        <v>7</v>
      </c>
      <c r="W5719" s="4" t="s">
        <v>7</v>
      </c>
      <c r="X5719" s="4" t="s">
        <v>7</v>
      </c>
      <c r="Y5719" s="4" t="s">
        <v>15</v>
      </c>
      <c r="Z5719" s="4" t="s">
        <v>55</v>
      </c>
      <c r="AA5719" s="4" t="s">
        <v>7</v>
      </c>
      <c r="AB5719" s="4" t="s">
        <v>7</v>
      </c>
    </row>
    <row r="5720" spans="1:23">
      <c r="A5720" t="n">
        <v>52046</v>
      </c>
      <c r="B5720" s="55" t="n">
        <v>26</v>
      </c>
      <c r="C5720" s="7" t="n">
        <v>5</v>
      </c>
      <c r="D5720" s="7" t="n">
        <v>17</v>
      </c>
      <c r="E5720" s="7" t="n">
        <v>3808</v>
      </c>
      <c r="F5720" s="7" t="s">
        <v>517</v>
      </c>
      <c r="G5720" s="7" t="n">
        <v>2</v>
      </c>
      <c r="H5720" s="7" t="n">
        <v>3</v>
      </c>
      <c r="I5720" s="7" t="n">
        <v>17</v>
      </c>
      <c r="J5720" s="7" t="n">
        <v>3809</v>
      </c>
      <c r="K5720" s="7" t="s">
        <v>518</v>
      </c>
      <c r="L5720" s="7" t="n">
        <v>2</v>
      </c>
      <c r="M5720" s="7" t="n">
        <v>3</v>
      </c>
      <c r="N5720" s="7" t="n">
        <v>17</v>
      </c>
      <c r="O5720" s="7" t="n">
        <v>3810</v>
      </c>
      <c r="P5720" s="7" t="s">
        <v>519</v>
      </c>
      <c r="Q5720" s="7" t="n">
        <v>2</v>
      </c>
      <c r="R5720" s="7" t="n">
        <v>3</v>
      </c>
      <c r="S5720" s="7" t="n">
        <v>17</v>
      </c>
      <c r="T5720" s="7" t="n">
        <v>3811</v>
      </c>
      <c r="U5720" s="7" t="s">
        <v>520</v>
      </c>
      <c r="V5720" s="7" t="n">
        <v>2</v>
      </c>
      <c r="W5720" s="7" t="n">
        <v>3</v>
      </c>
      <c r="X5720" s="7" t="n">
        <v>17</v>
      </c>
      <c r="Y5720" s="7" t="n">
        <v>3812</v>
      </c>
      <c r="Z5720" s="7" t="s">
        <v>521</v>
      </c>
      <c r="AA5720" s="7" t="n">
        <v>2</v>
      </c>
      <c r="AB5720" s="7" t="n">
        <v>0</v>
      </c>
    </row>
    <row r="5721" spans="1:23">
      <c r="A5721" t="s">
        <v>4</v>
      </c>
      <c r="B5721" s="4" t="s">
        <v>5</v>
      </c>
    </row>
    <row r="5722" spans="1:23">
      <c r="A5722" t="n">
        <v>52555</v>
      </c>
      <c r="B5722" s="27" t="n">
        <v>28</v>
      </c>
    </row>
    <row r="5723" spans="1:23">
      <c r="A5723" t="s">
        <v>4</v>
      </c>
      <c r="B5723" s="4" t="s">
        <v>5</v>
      </c>
      <c r="C5723" s="4" t="s">
        <v>7</v>
      </c>
      <c r="D5723" s="4" t="s">
        <v>11</v>
      </c>
      <c r="E5723" s="4" t="s">
        <v>8</v>
      </c>
    </row>
    <row r="5724" spans="1:23">
      <c r="A5724" t="n">
        <v>52556</v>
      </c>
      <c r="B5724" s="38" t="n">
        <v>51</v>
      </c>
      <c r="C5724" s="7" t="n">
        <v>4</v>
      </c>
      <c r="D5724" s="7" t="n">
        <v>0</v>
      </c>
      <c r="E5724" s="7" t="s">
        <v>179</v>
      </c>
    </row>
    <row r="5725" spans="1:23">
      <c r="A5725" t="s">
        <v>4</v>
      </c>
      <c r="B5725" s="4" t="s">
        <v>5</v>
      </c>
      <c r="C5725" s="4" t="s">
        <v>11</v>
      </c>
    </row>
    <row r="5726" spans="1:23">
      <c r="A5726" t="n">
        <v>52570</v>
      </c>
      <c r="B5726" s="29" t="n">
        <v>16</v>
      </c>
      <c r="C5726" s="7" t="n">
        <v>0</v>
      </c>
    </row>
    <row r="5727" spans="1:23">
      <c r="A5727" t="s">
        <v>4</v>
      </c>
      <c r="B5727" s="4" t="s">
        <v>5</v>
      </c>
      <c r="C5727" s="4" t="s">
        <v>11</v>
      </c>
      <c r="D5727" s="4" t="s">
        <v>7</v>
      </c>
      <c r="E5727" s="4" t="s">
        <v>15</v>
      </c>
      <c r="F5727" s="4" t="s">
        <v>55</v>
      </c>
      <c r="G5727" s="4" t="s">
        <v>7</v>
      </c>
      <c r="H5727" s="4" t="s">
        <v>7</v>
      </c>
      <c r="I5727" s="4" t="s">
        <v>7</v>
      </c>
      <c r="J5727" s="4" t="s">
        <v>15</v>
      </c>
      <c r="K5727" s="4" t="s">
        <v>55</v>
      </c>
      <c r="L5727" s="4" t="s">
        <v>7</v>
      </c>
      <c r="M5727" s="4" t="s">
        <v>7</v>
      </c>
      <c r="N5727" s="4" t="s">
        <v>7</v>
      </c>
      <c r="O5727" s="4" t="s">
        <v>15</v>
      </c>
      <c r="P5727" s="4" t="s">
        <v>55</v>
      </c>
      <c r="Q5727" s="4" t="s">
        <v>7</v>
      </c>
      <c r="R5727" s="4" t="s">
        <v>7</v>
      </c>
      <c r="S5727" s="4" t="s">
        <v>7</v>
      </c>
      <c r="T5727" s="4" t="s">
        <v>15</v>
      </c>
      <c r="U5727" s="4" t="s">
        <v>55</v>
      </c>
      <c r="V5727" s="4" t="s">
        <v>7</v>
      </c>
      <c r="W5727" s="4" t="s">
        <v>7</v>
      </c>
    </row>
    <row r="5728" spans="1:23">
      <c r="A5728" t="n">
        <v>52573</v>
      </c>
      <c r="B5728" s="55" t="n">
        <v>26</v>
      </c>
      <c r="C5728" s="7" t="n">
        <v>0</v>
      </c>
      <c r="D5728" s="7" t="n">
        <v>17</v>
      </c>
      <c r="E5728" s="7" t="n">
        <v>63889</v>
      </c>
      <c r="F5728" s="7" t="s">
        <v>522</v>
      </c>
      <c r="G5728" s="7" t="n">
        <v>2</v>
      </c>
      <c r="H5728" s="7" t="n">
        <v>3</v>
      </c>
      <c r="I5728" s="7" t="n">
        <v>17</v>
      </c>
      <c r="J5728" s="7" t="n">
        <v>63890</v>
      </c>
      <c r="K5728" s="7" t="s">
        <v>523</v>
      </c>
      <c r="L5728" s="7" t="n">
        <v>2</v>
      </c>
      <c r="M5728" s="7" t="n">
        <v>3</v>
      </c>
      <c r="N5728" s="7" t="n">
        <v>17</v>
      </c>
      <c r="O5728" s="7" t="n">
        <v>63891</v>
      </c>
      <c r="P5728" s="7" t="s">
        <v>524</v>
      </c>
      <c r="Q5728" s="7" t="n">
        <v>2</v>
      </c>
      <c r="R5728" s="7" t="n">
        <v>3</v>
      </c>
      <c r="S5728" s="7" t="n">
        <v>17</v>
      </c>
      <c r="T5728" s="7" t="n">
        <v>63892</v>
      </c>
      <c r="U5728" s="7" t="s">
        <v>525</v>
      </c>
      <c r="V5728" s="7" t="n">
        <v>2</v>
      </c>
      <c r="W5728" s="7" t="n">
        <v>0</v>
      </c>
    </row>
    <row r="5729" spans="1:28">
      <c r="A5729" t="s">
        <v>4</v>
      </c>
      <c r="B5729" s="4" t="s">
        <v>5</v>
      </c>
    </row>
    <row r="5730" spans="1:28">
      <c r="A5730" t="n">
        <v>52947</v>
      </c>
      <c r="B5730" s="27" t="n">
        <v>28</v>
      </c>
    </row>
    <row r="5731" spans="1:28">
      <c r="A5731" t="s">
        <v>4</v>
      </c>
      <c r="B5731" s="4" t="s">
        <v>5</v>
      </c>
      <c r="C5731" s="4" t="s">
        <v>7</v>
      </c>
      <c r="D5731" s="4" t="s">
        <v>11</v>
      </c>
      <c r="E5731" s="4" t="s">
        <v>8</v>
      </c>
    </row>
    <row r="5732" spans="1:28">
      <c r="A5732" t="n">
        <v>52948</v>
      </c>
      <c r="B5732" s="38" t="n">
        <v>51</v>
      </c>
      <c r="C5732" s="7" t="n">
        <v>4</v>
      </c>
      <c r="D5732" s="7" t="n">
        <v>5</v>
      </c>
      <c r="E5732" s="7" t="s">
        <v>192</v>
      </c>
    </row>
    <row r="5733" spans="1:28">
      <c r="A5733" t="s">
        <v>4</v>
      </c>
      <c r="B5733" s="4" t="s">
        <v>5</v>
      </c>
      <c r="C5733" s="4" t="s">
        <v>11</v>
      </c>
    </row>
    <row r="5734" spans="1:28">
      <c r="A5734" t="n">
        <v>52961</v>
      </c>
      <c r="B5734" s="29" t="n">
        <v>16</v>
      </c>
      <c r="C5734" s="7" t="n">
        <v>0</v>
      </c>
    </row>
    <row r="5735" spans="1:28">
      <c r="A5735" t="s">
        <v>4</v>
      </c>
      <c r="B5735" s="4" t="s">
        <v>5</v>
      </c>
      <c r="C5735" s="4" t="s">
        <v>11</v>
      </c>
      <c r="D5735" s="4" t="s">
        <v>7</v>
      </c>
      <c r="E5735" s="4" t="s">
        <v>15</v>
      </c>
      <c r="F5735" s="4" t="s">
        <v>55</v>
      </c>
      <c r="G5735" s="4" t="s">
        <v>7</v>
      </c>
      <c r="H5735" s="4" t="s">
        <v>7</v>
      </c>
      <c r="I5735" s="4" t="s">
        <v>7</v>
      </c>
      <c r="J5735" s="4" t="s">
        <v>15</v>
      </c>
      <c r="K5735" s="4" t="s">
        <v>55</v>
      </c>
      <c r="L5735" s="4" t="s">
        <v>7</v>
      </c>
      <c r="M5735" s="4" t="s">
        <v>7</v>
      </c>
      <c r="N5735" s="4" t="s">
        <v>7</v>
      </c>
      <c r="O5735" s="4" t="s">
        <v>15</v>
      </c>
      <c r="P5735" s="4" t="s">
        <v>55</v>
      </c>
      <c r="Q5735" s="4" t="s">
        <v>7</v>
      </c>
      <c r="R5735" s="4" t="s">
        <v>7</v>
      </c>
    </row>
    <row r="5736" spans="1:28">
      <c r="A5736" t="n">
        <v>52964</v>
      </c>
      <c r="B5736" s="55" t="n">
        <v>26</v>
      </c>
      <c r="C5736" s="7" t="n">
        <v>5</v>
      </c>
      <c r="D5736" s="7" t="n">
        <v>17</v>
      </c>
      <c r="E5736" s="7" t="n">
        <v>3813</v>
      </c>
      <c r="F5736" s="7" t="s">
        <v>526</v>
      </c>
      <c r="G5736" s="7" t="n">
        <v>2</v>
      </c>
      <c r="H5736" s="7" t="n">
        <v>3</v>
      </c>
      <c r="I5736" s="7" t="n">
        <v>17</v>
      </c>
      <c r="J5736" s="7" t="n">
        <v>3814</v>
      </c>
      <c r="K5736" s="7" t="s">
        <v>527</v>
      </c>
      <c r="L5736" s="7" t="n">
        <v>2</v>
      </c>
      <c r="M5736" s="7" t="n">
        <v>3</v>
      </c>
      <c r="N5736" s="7" t="n">
        <v>17</v>
      </c>
      <c r="O5736" s="7" t="n">
        <v>3815</v>
      </c>
      <c r="P5736" s="7" t="s">
        <v>528</v>
      </c>
      <c r="Q5736" s="7" t="n">
        <v>2</v>
      </c>
      <c r="R5736" s="7" t="n">
        <v>0</v>
      </c>
    </row>
    <row r="5737" spans="1:28">
      <c r="A5737" t="s">
        <v>4</v>
      </c>
      <c r="B5737" s="4" t="s">
        <v>5</v>
      </c>
    </row>
    <row r="5738" spans="1:28">
      <c r="A5738" t="n">
        <v>53169</v>
      </c>
      <c r="B5738" s="27" t="n">
        <v>28</v>
      </c>
    </row>
    <row r="5739" spans="1:28">
      <c r="A5739" t="s">
        <v>4</v>
      </c>
      <c r="B5739" s="4" t="s">
        <v>5</v>
      </c>
      <c r="C5739" s="4" t="s">
        <v>7</v>
      </c>
      <c r="D5739" s="4" t="s">
        <v>11</v>
      </c>
      <c r="E5739" s="4" t="s">
        <v>8</v>
      </c>
      <c r="F5739" s="4" t="s">
        <v>8</v>
      </c>
      <c r="G5739" s="4" t="s">
        <v>8</v>
      </c>
      <c r="H5739" s="4" t="s">
        <v>8</v>
      </c>
    </row>
    <row r="5740" spans="1:28">
      <c r="A5740" t="n">
        <v>53170</v>
      </c>
      <c r="B5740" s="38" t="n">
        <v>51</v>
      </c>
      <c r="C5740" s="7" t="n">
        <v>3</v>
      </c>
      <c r="D5740" s="7" t="n">
        <v>5</v>
      </c>
      <c r="E5740" s="7" t="s">
        <v>372</v>
      </c>
      <c r="F5740" s="7" t="s">
        <v>79</v>
      </c>
      <c r="G5740" s="7" t="s">
        <v>78</v>
      </c>
      <c r="H5740" s="7" t="s">
        <v>79</v>
      </c>
    </row>
    <row r="5741" spans="1:28">
      <c r="A5741" t="s">
        <v>4</v>
      </c>
      <c r="B5741" s="4" t="s">
        <v>5</v>
      </c>
      <c r="C5741" s="4" t="s">
        <v>11</v>
      </c>
      <c r="D5741" s="4" t="s">
        <v>7</v>
      </c>
      <c r="E5741" s="4" t="s">
        <v>7</v>
      </c>
      <c r="F5741" s="4" t="s">
        <v>8</v>
      </c>
    </row>
    <row r="5742" spans="1:28">
      <c r="A5742" t="n">
        <v>53183</v>
      </c>
      <c r="B5742" s="50" t="n">
        <v>20</v>
      </c>
      <c r="C5742" s="7" t="n">
        <v>5</v>
      </c>
      <c r="D5742" s="7" t="n">
        <v>2</v>
      </c>
      <c r="E5742" s="7" t="n">
        <v>10</v>
      </c>
      <c r="F5742" s="7" t="s">
        <v>260</v>
      </c>
    </row>
    <row r="5743" spans="1:28">
      <c r="A5743" t="s">
        <v>4</v>
      </c>
      <c r="B5743" s="4" t="s">
        <v>5</v>
      </c>
      <c r="C5743" s="4" t="s">
        <v>11</v>
      </c>
    </row>
    <row r="5744" spans="1:28">
      <c r="A5744" t="n">
        <v>53203</v>
      </c>
      <c r="B5744" s="29" t="n">
        <v>16</v>
      </c>
      <c r="C5744" s="7" t="n">
        <v>800</v>
      </c>
    </row>
    <row r="5745" spans="1:18">
      <c r="A5745" t="s">
        <v>4</v>
      </c>
      <c r="B5745" s="4" t="s">
        <v>5</v>
      </c>
      <c r="C5745" s="4" t="s">
        <v>7</v>
      </c>
      <c r="D5745" s="4" t="s">
        <v>11</v>
      </c>
      <c r="E5745" s="4" t="s">
        <v>8</v>
      </c>
    </row>
    <row r="5746" spans="1:18">
      <c r="A5746" t="n">
        <v>53206</v>
      </c>
      <c r="B5746" s="38" t="n">
        <v>51</v>
      </c>
      <c r="C5746" s="7" t="n">
        <v>4</v>
      </c>
      <c r="D5746" s="7" t="n">
        <v>5</v>
      </c>
      <c r="E5746" s="7" t="s">
        <v>529</v>
      </c>
    </row>
    <row r="5747" spans="1:18">
      <c r="A5747" t="s">
        <v>4</v>
      </c>
      <c r="B5747" s="4" t="s">
        <v>5</v>
      </c>
      <c r="C5747" s="4" t="s">
        <v>11</v>
      </c>
    </row>
    <row r="5748" spans="1:18">
      <c r="A5748" t="n">
        <v>53249</v>
      </c>
      <c r="B5748" s="29" t="n">
        <v>16</v>
      </c>
      <c r="C5748" s="7" t="n">
        <v>0</v>
      </c>
    </row>
    <row r="5749" spans="1:18">
      <c r="A5749" t="s">
        <v>4</v>
      </c>
      <c r="B5749" s="4" t="s">
        <v>5</v>
      </c>
      <c r="C5749" s="4" t="s">
        <v>11</v>
      </c>
      <c r="D5749" s="4" t="s">
        <v>7</v>
      </c>
      <c r="E5749" s="4" t="s">
        <v>15</v>
      </c>
      <c r="F5749" s="4" t="s">
        <v>55</v>
      </c>
      <c r="G5749" s="4" t="s">
        <v>7</v>
      </c>
      <c r="H5749" s="4" t="s">
        <v>7</v>
      </c>
    </row>
    <row r="5750" spans="1:18">
      <c r="A5750" t="n">
        <v>53252</v>
      </c>
      <c r="B5750" s="55" t="n">
        <v>26</v>
      </c>
      <c r="C5750" s="7" t="n">
        <v>5</v>
      </c>
      <c r="D5750" s="7" t="n">
        <v>17</v>
      </c>
      <c r="E5750" s="7" t="n">
        <v>3816</v>
      </c>
      <c r="F5750" s="7" t="s">
        <v>530</v>
      </c>
      <c r="G5750" s="7" t="n">
        <v>2</v>
      </c>
      <c r="H5750" s="7" t="n">
        <v>0</v>
      </c>
    </row>
    <row r="5751" spans="1:18">
      <c r="A5751" t="s">
        <v>4</v>
      </c>
      <c r="B5751" s="4" t="s">
        <v>5</v>
      </c>
    </row>
    <row r="5752" spans="1:18">
      <c r="A5752" t="n">
        <v>53406</v>
      </c>
      <c r="B5752" s="27" t="n">
        <v>28</v>
      </c>
    </row>
    <row r="5753" spans="1:18">
      <c r="A5753" t="s">
        <v>4</v>
      </c>
      <c r="B5753" s="4" t="s">
        <v>5</v>
      </c>
      <c r="C5753" s="4" t="s">
        <v>7</v>
      </c>
      <c r="D5753" s="4" t="s">
        <v>11</v>
      </c>
      <c r="E5753" s="4" t="s">
        <v>8</v>
      </c>
    </row>
    <row r="5754" spans="1:18">
      <c r="A5754" t="n">
        <v>53407</v>
      </c>
      <c r="B5754" s="38" t="n">
        <v>51</v>
      </c>
      <c r="C5754" s="7" t="n">
        <v>4</v>
      </c>
      <c r="D5754" s="7" t="n">
        <v>0</v>
      </c>
      <c r="E5754" s="7" t="s">
        <v>206</v>
      </c>
    </row>
    <row r="5755" spans="1:18">
      <c r="A5755" t="s">
        <v>4</v>
      </c>
      <c r="B5755" s="4" t="s">
        <v>5</v>
      </c>
      <c r="C5755" s="4" t="s">
        <v>11</v>
      </c>
    </row>
    <row r="5756" spans="1:18">
      <c r="A5756" t="n">
        <v>53422</v>
      </c>
      <c r="B5756" s="29" t="n">
        <v>16</v>
      </c>
      <c r="C5756" s="7" t="n">
        <v>0</v>
      </c>
    </row>
    <row r="5757" spans="1:18">
      <c r="A5757" t="s">
        <v>4</v>
      </c>
      <c r="B5757" s="4" t="s">
        <v>5</v>
      </c>
      <c r="C5757" s="4" t="s">
        <v>11</v>
      </c>
      <c r="D5757" s="4" t="s">
        <v>7</v>
      </c>
      <c r="E5757" s="4" t="s">
        <v>15</v>
      </c>
      <c r="F5757" s="4" t="s">
        <v>55</v>
      </c>
      <c r="G5757" s="4" t="s">
        <v>7</v>
      </c>
      <c r="H5757" s="4" t="s">
        <v>7</v>
      </c>
    </row>
    <row r="5758" spans="1:18">
      <c r="A5758" t="n">
        <v>53425</v>
      </c>
      <c r="B5758" s="55" t="n">
        <v>26</v>
      </c>
      <c r="C5758" s="7" t="n">
        <v>0</v>
      </c>
      <c r="D5758" s="7" t="n">
        <v>17</v>
      </c>
      <c r="E5758" s="7" t="n">
        <v>64268</v>
      </c>
      <c r="F5758" s="7" t="s">
        <v>531</v>
      </c>
      <c r="G5758" s="7" t="n">
        <v>2</v>
      </c>
      <c r="H5758" s="7" t="n">
        <v>0</v>
      </c>
    </row>
    <row r="5759" spans="1:18">
      <c r="A5759" t="s">
        <v>4</v>
      </c>
      <c r="B5759" s="4" t="s">
        <v>5</v>
      </c>
    </row>
    <row r="5760" spans="1:18">
      <c r="A5760" t="n">
        <v>53446</v>
      </c>
      <c r="B5760" s="27" t="n">
        <v>28</v>
      </c>
    </row>
    <row r="5761" spans="1:8">
      <c r="A5761" t="s">
        <v>4</v>
      </c>
      <c r="B5761" s="4" t="s">
        <v>5</v>
      </c>
      <c r="C5761" s="4" t="s">
        <v>11</v>
      </c>
      <c r="D5761" s="4" t="s">
        <v>7</v>
      </c>
    </row>
    <row r="5762" spans="1:8">
      <c r="A5762" t="n">
        <v>53447</v>
      </c>
      <c r="B5762" s="68" t="n">
        <v>89</v>
      </c>
      <c r="C5762" s="7" t="n">
        <v>65533</v>
      </c>
      <c r="D5762" s="7" t="n">
        <v>1</v>
      </c>
    </row>
    <row r="5763" spans="1:8">
      <c r="A5763" t="s">
        <v>4</v>
      </c>
      <c r="B5763" s="4" t="s">
        <v>5</v>
      </c>
      <c r="C5763" s="4" t="s">
        <v>7</v>
      </c>
      <c r="D5763" s="4" t="s">
        <v>11</v>
      </c>
      <c r="E5763" s="4" t="s">
        <v>13</v>
      </c>
    </row>
    <row r="5764" spans="1:8">
      <c r="A5764" t="n">
        <v>53451</v>
      </c>
      <c r="B5764" s="23" t="n">
        <v>58</v>
      </c>
      <c r="C5764" s="7" t="n">
        <v>101</v>
      </c>
      <c r="D5764" s="7" t="n">
        <v>500</v>
      </c>
      <c r="E5764" s="7" t="n">
        <v>1</v>
      </c>
    </row>
    <row r="5765" spans="1:8">
      <c r="A5765" t="s">
        <v>4</v>
      </c>
      <c r="B5765" s="4" t="s">
        <v>5</v>
      </c>
      <c r="C5765" s="4" t="s">
        <v>7</v>
      </c>
      <c r="D5765" s="4" t="s">
        <v>11</v>
      </c>
    </row>
    <row r="5766" spans="1:8">
      <c r="A5766" t="n">
        <v>53459</v>
      </c>
      <c r="B5766" s="23" t="n">
        <v>58</v>
      </c>
      <c r="C5766" s="7" t="n">
        <v>254</v>
      </c>
      <c r="D5766" s="7" t="n">
        <v>0</v>
      </c>
    </row>
    <row r="5767" spans="1:8">
      <c r="A5767" t="s">
        <v>4</v>
      </c>
      <c r="B5767" s="4" t="s">
        <v>5</v>
      </c>
      <c r="C5767" s="4" t="s">
        <v>7</v>
      </c>
      <c r="D5767" s="4" t="s">
        <v>7</v>
      </c>
      <c r="E5767" s="4" t="s">
        <v>13</v>
      </c>
      <c r="F5767" s="4" t="s">
        <v>13</v>
      </c>
      <c r="G5767" s="4" t="s">
        <v>13</v>
      </c>
      <c r="H5767" s="4" t="s">
        <v>11</v>
      </c>
    </row>
    <row r="5768" spans="1:8">
      <c r="A5768" t="n">
        <v>53463</v>
      </c>
      <c r="B5768" s="51" t="n">
        <v>45</v>
      </c>
      <c r="C5768" s="7" t="n">
        <v>2</v>
      </c>
      <c r="D5768" s="7" t="n">
        <v>3</v>
      </c>
      <c r="E5768" s="7" t="n">
        <v>-6.86999988555908</v>
      </c>
      <c r="F5768" s="7" t="n">
        <v>6.46000003814697</v>
      </c>
      <c r="G5768" s="7" t="n">
        <v>29.9200000762939</v>
      </c>
      <c r="H5768" s="7" t="n">
        <v>0</v>
      </c>
    </row>
    <row r="5769" spans="1:8">
      <c r="A5769" t="s">
        <v>4</v>
      </c>
      <c r="B5769" s="4" t="s">
        <v>5</v>
      </c>
      <c r="C5769" s="4" t="s">
        <v>7</v>
      </c>
      <c r="D5769" s="4" t="s">
        <v>7</v>
      </c>
      <c r="E5769" s="4" t="s">
        <v>13</v>
      </c>
      <c r="F5769" s="4" t="s">
        <v>13</v>
      </c>
      <c r="G5769" s="4" t="s">
        <v>13</v>
      </c>
      <c r="H5769" s="4" t="s">
        <v>11</v>
      </c>
      <c r="I5769" s="4" t="s">
        <v>7</v>
      </c>
    </row>
    <row r="5770" spans="1:8">
      <c r="A5770" t="n">
        <v>53480</v>
      </c>
      <c r="B5770" s="51" t="n">
        <v>45</v>
      </c>
      <c r="C5770" s="7" t="n">
        <v>4</v>
      </c>
      <c r="D5770" s="7" t="n">
        <v>3</v>
      </c>
      <c r="E5770" s="7" t="n">
        <v>9.21000003814697</v>
      </c>
      <c r="F5770" s="7" t="n">
        <v>50.6699981689453</v>
      </c>
      <c r="G5770" s="7" t="n">
        <v>8</v>
      </c>
      <c r="H5770" s="7" t="n">
        <v>0</v>
      </c>
      <c r="I5770" s="7" t="n">
        <v>0</v>
      </c>
    </row>
    <row r="5771" spans="1:8">
      <c r="A5771" t="s">
        <v>4</v>
      </c>
      <c r="B5771" s="4" t="s">
        <v>5</v>
      </c>
      <c r="C5771" s="4" t="s">
        <v>7</v>
      </c>
      <c r="D5771" s="4" t="s">
        <v>7</v>
      </c>
      <c r="E5771" s="4" t="s">
        <v>13</v>
      </c>
      <c r="F5771" s="4" t="s">
        <v>11</v>
      </c>
    </row>
    <row r="5772" spans="1:8">
      <c r="A5772" t="n">
        <v>53498</v>
      </c>
      <c r="B5772" s="51" t="n">
        <v>45</v>
      </c>
      <c r="C5772" s="7" t="n">
        <v>5</v>
      </c>
      <c r="D5772" s="7" t="n">
        <v>3</v>
      </c>
      <c r="E5772" s="7" t="n">
        <v>1.10000002384186</v>
      </c>
      <c r="F5772" s="7" t="n">
        <v>0</v>
      </c>
    </row>
    <row r="5773" spans="1:8">
      <c r="A5773" t="s">
        <v>4</v>
      </c>
      <c r="B5773" s="4" t="s">
        <v>5</v>
      </c>
      <c r="C5773" s="4" t="s">
        <v>7</v>
      </c>
      <c r="D5773" s="4" t="s">
        <v>7</v>
      </c>
      <c r="E5773" s="4" t="s">
        <v>13</v>
      </c>
      <c r="F5773" s="4" t="s">
        <v>11</v>
      </c>
    </row>
    <row r="5774" spans="1:8">
      <c r="A5774" t="n">
        <v>53507</v>
      </c>
      <c r="B5774" s="51" t="n">
        <v>45</v>
      </c>
      <c r="C5774" s="7" t="n">
        <v>11</v>
      </c>
      <c r="D5774" s="7" t="n">
        <v>3</v>
      </c>
      <c r="E5774" s="7" t="n">
        <v>40.2999992370605</v>
      </c>
      <c r="F5774" s="7" t="n">
        <v>0</v>
      </c>
    </row>
    <row r="5775" spans="1:8">
      <c r="A5775" t="s">
        <v>4</v>
      </c>
      <c r="B5775" s="4" t="s">
        <v>5</v>
      </c>
      <c r="C5775" s="4" t="s">
        <v>7</v>
      </c>
      <c r="D5775" s="4" t="s">
        <v>11</v>
      </c>
    </row>
    <row r="5776" spans="1:8">
      <c r="A5776" t="n">
        <v>53516</v>
      </c>
      <c r="B5776" s="23" t="n">
        <v>58</v>
      </c>
      <c r="C5776" s="7" t="n">
        <v>255</v>
      </c>
      <c r="D5776" s="7" t="n">
        <v>0</v>
      </c>
    </row>
    <row r="5777" spans="1:9">
      <c r="A5777" t="s">
        <v>4</v>
      </c>
      <c r="B5777" s="4" t="s">
        <v>5</v>
      </c>
      <c r="C5777" s="4" t="s">
        <v>7</v>
      </c>
      <c r="D5777" s="4" t="s">
        <v>11</v>
      </c>
      <c r="E5777" s="4" t="s">
        <v>8</v>
      </c>
    </row>
    <row r="5778" spans="1:9">
      <c r="A5778" t="n">
        <v>53520</v>
      </c>
      <c r="B5778" s="38" t="n">
        <v>51</v>
      </c>
      <c r="C5778" s="7" t="n">
        <v>4</v>
      </c>
      <c r="D5778" s="7" t="n">
        <v>5</v>
      </c>
      <c r="E5778" s="7" t="s">
        <v>532</v>
      </c>
    </row>
    <row r="5779" spans="1:9">
      <c r="A5779" t="s">
        <v>4</v>
      </c>
      <c r="B5779" s="4" t="s">
        <v>5</v>
      </c>
      <c r="C5779" s="4" t="s">
        <v>11</v>
      </c>
    </row>
    <row r="5780" spans="1:9">
      <c r="A5780" t="n">
        <v>53539</v>
      </c>
      <c r="B5780" s="29" t="n">
        <v>16</v>
      </c>
      <c r="C5780" s="7" t="n">
        <v>0</v>
      </c>
    </row>
    <row r="5781" spans="1:9">
      <c r="A5781" t="s">
        <v>4</v>
      </c>
      <c r="B5781" s="4" t="s">
        <v>5</v>
      </c>
      <c r="C5781" s="4" t="s">
        <v>11</v>
      </c>
      <c r="D5781" s="4" t="s">
        <v>7</v>
      </c>
      <c r="E5781" s="4" t="s">
        <v>15</v>
      </c>
      <c r="F5781" s="4" t="s">
        <v>55</v>
      </c>
      <c r="G5781" s="4" t="s">
        <v>7</v>
      </c>
      <c r="H5781" s="4" t="s">
        <v>7</v>
      </c>
    </row>
    <row r="5782" spans="1:9">
      <c r="A5782" t="n">
        <v>53542</v>
      </c>
      <c r="B5782" s="55" t="n">
        <v>26</v>
      </c>
      <c r="C5782" s="7" t="n">
        <v>5</v>
      </c>
      <c r="D5782" s="7" t="n">
        <v>17</v>
      </c>
      <c r="E5782" s="7" t="n">
        <v>3817</v>
      </c>
      <c r="F5782" s="7" t="s">
        <v>533</v>
      </c>
      <c r="G5782" s="7" t="n">
        <v>2</v>
      </c>
      <c r="H5782" s="7" t="n">
        <v>0</v>
      </c>
    </row>
    <row r="5783" spans="1:9">
      <c r="A5783" t="s">
        <v>4</v>
      </c>
      <c r="B5783" s="4" t="s">
        <v>5</v>
      </c>
    </row>
    <row r="5784" spans="1:9">
      <c r="A5784" t="n">
        <v>53560</v>
      </c>
      <c r="B5784" s="27" t="n">
        <v>28</v>
      </c>
    </row>
    <row r="5785" spans="1:9">
      <c r="A5785" t="s">
        <v>4</v>
      </c>
      <c r="B5785" s="4" t="s">
        <v>5</v>
      </c>
      <c r="C5785" s="4" t="s">
        <v>7</v>
      </c>
      <c r="D5785" s="4" t="s">
        <v>11</v>
      </c>
      <c r="E5785" s="4" t="s">
        <v>8</v>
      </c>
    </row>
    <row r="5786" spans="1:9">
      <c r="A5786" t="n">
        <v>53561</v>
      </c>
      <c r="B5786" s="38" t="n">
        <v>51</v>
      </c>
      <c r="C5786" s="7" t="n">
        <v>4</v>
      </c>
      <c r="D5786" s="7" t="n">
        <v>0</v>
      </c>
      <c r="E5786" s="7" t="s">
        <v>242</v>
      </c>
    </row>
    <row r="5787" spans="1:9">
      <c r="A5787" t="s">
        <v>4</v>
      </c>
      <c r="B5787" s="4" t="s">
        <v>5</v>
      </c>
      <c r="C5787" s="4" t="s">
        <v>11</v>
      </c>
    </row>
    <row r="5788" spans="1:9">
      <c r="A5788" t="n">
        <v>53575</v>
      </c>
      <c r="B5788" s="29" t="n">
        <v>16</v>
      </c>
      <c r="C5788" s="7" t="n">
        <v>500</v>
      </c>
    </row>
    <row r="5789" spans="1:9">
      <c r="A5789" t="s">
        <v>4</v>
      </c>
      <c r="B5789" s="4" t="s">
        <v>5</v>
      </c>
      <c r="C5789" s="4" t="s">
        <v>11</v>
      </c>
      <c r="D5789" s="4" t="s">
        <v>7</v>
      </c>
      <c r="E5789" s="4" t="s">
        <v>15</v>
      </c>
      <c r="F5789" s="4" t="s">
        <v>55</v>
      </c>
      <c r="G5789" s="4" t="s">
        <v>7</v>
      </c>
      <c r="H5789" s="4" t="s">
        <v>7</v>
      </c>
      <c r="I5789" s="4" t="s">
        <v>7</v>
      </c>
      <c r="J5789" s="4" t="s">
        <v>15</v>
      </c>
      <c r="K5789" s="4" t="s">
        <v>55</v>
      </c>
      <c r="L5789" s="4" t="s">
        <v>7</v>
      </c>
      <c r="M5789" s="4" t="s">
        <v>7</v>
      </c>
      <c r="N5789" s="4" t="s">
        <v>7</v>
      </c>
      <c r="O5789" s="4" t="s">
        <v>15</v>
      </c>
      <c r="P5789" s="4" t="s">
        <v>55</v>
      </c>
      <c r="Q5789" s="4" t="s">
        <v>7</v>
      </c>
      <c r="R5789" s="4" t="s">
        <v>7</v>
      </c>
      <c r="S5789" s="4" t="s">
        <v>7</v>
      </c>
      <c r="T5789" s="4" t="s">
        <v>15</v>
      </c>
      <c r="U5789" s="4" t="s">
        <v>55</v>
      </c>
      <c r="V5789" s="4" t="s">
        <v>7</v>
      </c>
      <c r="W5789" s="4" t="s">
        <v>7</v>
      </c>
    </row>
    <row r="5790" spans="1:9">
      <c r="A5790" t="n">
        <v>53578</v>
      </c>
      <c r="B5790" s="55" t="n">
        <v>26</v>
      </c>
      <c r="C5790" s="7" t="n">
        <v>0</v>
      </c>
      <c r="D5790" s="7" t="n">
        <v>17</v>
      </c>
      <c r="E5790" s="7" t="n">
        <v>63893</v>
      </c>
      <c r="F5790" s="7" t="s">
        <v>534</v>
      </c>
      <c r="G5790" s="7" t="n">
        <v>2</v>
      </c>
      <c r="H5790" s="7" t="n">
        <v>3</v>
      </c>
      <c r="I5790" s="7" t="n">
        <v>17</v>
      </c>
      <c r="J5790" s="7" t="n">
        <v>63894</v>
      </c>
      <c r="K5790" s="7" t="s">
        <v>535</v>
      </c>
      <c r="L5790" s="7" t="n">
        <v>2</v>
      </c>
      <c r="M5790" s="7" t="n">
        <v>3</v>
      </c>
      <c r="N5790" s="7" t="n">
        <v>17</v>
      </c>
      <c r="O5790" s="7" t="n">
        <v>63895</v>
      </c>
      <c r="P5790" s="7" t="s">
        <v>536</v>
      </c>
      <c r="Q5790" s="7" t="n">
        <v>2</v>
      </c>
      <c r="R5790" s="7" t="n">
        <v>3</v>
      </c>
      <c r="S5790" s="7" t="n">
        <v>17</v>
      </c>
      <c r="T5790" s="7" t="n">
        <v>63896</v>
      </c>
      <c r="U5790" s="7" t="s">
        <v>537</v>
      </c>
      <c r="V5790" s="7" t="n">
        <v>2</v>
      </c>
      <c r="W5790" s="7" t="n">
        <v>0</v>
      </c>
    </row>
    <row r="5791" spans="1:9">
      <c r="A5791" t="s">
        <v>4</v>
      </c>
      <c r="B5791" s="4" t="s">
        <v>5</v>
      </c>
    </row>
    <row r="5792" spans="1:9">
      <c r="A5792" t="n">
        <v>53956</v>
      </c>
      <c r="B5792" s="27" t="n">
        <v>28</v>
      </c>
    </row>
    <row r="5793" spans="1:23">
      <c r="A5793" t="s">
        <v>4</v>
      </c>
      <c r="B5793" s="4" t="s">
        <v>5</v>
      </c>
      <c r="C5793" s="4" t="s">
        <v>7</v>
      </c>
      <c r="D5793" s="4" t="s">
        <v>11</v>
      </c>
      <c r="E5793" s="4" t="s">
        <v>8</v>
      </c>
    </row>
    <row r="5794" spans="1:23">
      <c r="A5794" t="n">
        <v>53957</v>
      </c>
      <c r="B5794" s="38" t="n">
        <v>51</v>
      </c>
      <c r="C5794" s="7" t="n">
        <v>4</v>
      </c>
      <c r="D5794" s="7" t="n">
        <v>5</v>
      </c>
      <c r="E5794" s="7" t="s">
        <v>245</v>
      </c>
    </row>
    <row r="5795" spans="1:23">
      <c r="A5795" t="s">
        <v>4</v>
      </c>
      <c r="B5795" s="4" t="s">
        <v>5</v>
      </c>
      <c r="C5795" s="4" t="s">
        <v>11</v>
      </c>
    </row>
    <row r="5796" spans="1:23">
      <c r="A5796" t="n">
        <v>53971</v>
      </c>
      <c r="B5796" s="29" t="n">
        <v>16</v>
      </c>
      <c r="C5796" s="7" t="n">
        <v>0</v>
      </c>
    </row>
    <row r="5797" spans="1:23">
      <c r="A5797" t="s">
        <v>4</v>
      </c>
      <c r="B5797" s="4" t="s">
        <v>5</v>
      </c>
      <c r="C5797" s="4" t="s">
        <v>11</v>
      </c>
      <c r="D5797" s="4" t="s">
        <v>7</v>
      </c>
      <c r="E5797" s="4" t="s">
        <v>15</v>
      </c>
      <c r="F5797" s="4" t="s">
        <v>55</v>
      </c>
      <c r="G5797" s="4" t="s">
        <v>7</v>
      </c>
      <c r="H5797" s="4" t="s">
        <v>7</v>
      </c>
    </row>
    <row r="5798" spans="1:23">
      <c r="A5798" t="n">
        <v>53974</v>
      </c>
      <c r="B5798" s="55" t="n">
        <v>26</v>
      </c>
      <c r="C5798" s="7" t="n">
        <v>5</v>
      </c>
      <c r="D5798" s="7" t="n">
        <v>17</v>
      </c>
      <c r="E5798" s="7" t="n">
        <v>3818</v>
      </c>
      <c r="F5798" s="7" t="s">
        <v>538</v>
      </c>
      <c r="G5798" s="7" t="n">
        <v>2</v>
      </c>
      <c r="H5798" s="7" t="n">
        <v>0</v>
      </c>
    </row>
    <row r="5799" spans="1:23">
      <c r="A5799" t="s">
        <v>4</v>
      </c>
      <c r="B5799" s="4" t="s">
        <v>5</v>
      </c>
    </row>
    <row r="5800" spans="1:23">
      <c r="A5800" t="n">
        <v>54005</v>
      </c>
      <c r="B5800" s="27" t="n">
        <v>28</v>
      </c>
    </row>
    <row r="5801" spans="1:23">
      <c r="A5801" t="s">
        <v>4</v>
      </c>
      <c r="B5801" s="4" t="s">
        <v>5</v>
      </c>
      <c r="C5801" s="4" t="s">
        <v>11</v>
      </c>
      <c r="D5801" s="4" t="s">
        <v>7</v>
      </c>
    </row>
    <row r="5802" spans="1:23">
      <c r="A5802" t="n">
        <v>54006</v>
      </c>
      <c r="B5802" s="68" t="n">
        <v>89</v>
      </c>
      <c r="C5802" s="7" t="n">
        <v>65533</v>
      </c>
      <c r="D5802" s="7" t="n">
        <v>1</v>
      </c>
    </row>
    <row r="5803" spans="1:23">
      <c r="A5803" t="s">
        <v>4</v>
      </c>
      <c r="B5803" s="4" t="s">
        <v>5</v>
      </c>
      <c r="C5803" s="4" t="s">
        <v>7</v>
      </c>
      <c r="D5803" s="4" t="s">
        <v>11</v>
      </c>
      <c r="E5803" s="4" t="s">
        <v>13</v>
      </c>
    </row>
    <row r="5804" spans="1:23">
      <c r="A5804" t="n">
        <v>54010</v>
      </c>
      <c r="B5804" s="23" t="n">
        <v>58</v>
      </c>
      <c r="C5804" s="7" t="n">
        <v>101</v>
      </c>
      <c r="D5804" s="7" t="n">
        <v>500</v>
      </c>
      <c r="E5804" s="7" t="n">
        <v>1</v>
      </c>
    </row>
    <row r="5805" spans="1:23">
      <c r="A5805" t="s">
        <v>4</v>
      </c>
      <c r="B5805" s="4" t="s">
        <v>5</v>
      </c>
      <c r="C5805" s="4" t="s">
        <v>7</v>
      </c>
      <c r="D5805" s="4" t="s">
        <v>11</v>
      </c>
    </row>
    <row r="5806" spans="1:23">
      <c r="A5806" t="n">
        <v>54018</v>
      </c>
      <c r="B5806" s="23" t="n">
        <v>58</v>
      </c>
      <c r="C5806" s="7" t="n">
        <v>254</v>
      </c>
      <c r="D5806" s="7" t="n">
        <v>0</v>
      </c>
    </row>
    <row r="5807" spans="1:23">
      <c r="A5807" t="s">
        <v>4</v>
      </c>
      <c r="B5807" s="4" t="s">
        <v>5</v>
      </c>
      <c r="C5807" s="4" t="s">
        <v>7</v>
      </c>
      <c r="D5807" s="4" t="s">
        <v>7</v>
      </c>
      <c r="E5807" s="4" t="s">
        <v>13</v>
      </c>
      <c r="F5807" s="4" t="s">
        <v>13</v>
      </c>
      <c r="G5807" s="4" t="s">
        <v>13</v>
      </c>
      <c r="H5807" s="4" t="s">
        <v>11</v>
      </c>
    </row>
    <row r="5808" spans="1:23">
      <c r="A5808" t="n">
        <v>54022</v>
      </c>
      <c r="B5808" s="51" t="n">
        <v>45</v>
      </c>
      <c r="C5808" s="7" t="n">
        <v>2</v>
      </c>
      <c r="D5808" s="7" t="n">
        <v>3</v>
      </c>
      <c r="E5808" s="7" t="n">
        <v>-6.6100001335144</v>
      </c>
      <c r="F5808" s="7" t="n">
        <v>6.44000005722046</v>
      </c>
      <c r="G5808" s="7" t="n">
        <v>29.9300003051758</v>
      </c>
      <c r="H5808" s="7" t="n">
        <v>0</v>
      </c>
    </row>
    <row r="5809" spans="1:8">
      <c r="A5809" t="s">
        <v>4</v>
      </c>
      <c r="B5809" s="4" t="s">
        <v>5</v>
      </c>
      <c r="C5809" s="4" t="s">
        <v>7</v>
      </c>
      <c r="D5809" s="4" t="s">
        <v>7</v>
      </c>
      <c r="E5809" s="4" t="s">
        <v>13</v>
      </c>
      <c r="F5809" s="4" t="s">
        <v>13</v>
      </c>
      <c r="G5809" s="4" t="s">
        <v>13</v>
      </c>
      <c r="H5809" s="4" t="s">
        <v>11</v>
      </c>
      <c r="I5809" s="4" t="s">
        <v>7</v>
      </c>
    </row>
    <row r="5810" spans="1:8">
      <c r="A5810" t="n">
        <v>54039</v>
      </c>
      <c r="B5810" s="51" t="n">
        <v>45</v>
      </c>
      <c r="C5810" s="7" t="n">
        <v>4</v>
      </c>
      <c r="D5810" s="7" t="n">
        <v>3</v>
      </c>
      <c r="E5810" s="7" t="n">
        <v>357</v>
      </c>
      <c r="F5810" s="7" t="n">
        <v>284.700012207031</v>
      </c>
      <c r="G5810" s="7" t="n">
        <v>4</v>
      </c>
      <c r="H5810" s="7" t="n">
        <v>0</v>
      </c>
      <c r="I5810" s="7" t="n">
        <v>0</v>
      </c>
    </row>
    <row r="5811" spans="1:8">
      <c r="A5811" t="s">
        <v>4</v>
      </c>
      <c r="B5811" s="4" t="s">
        <v>5</v>
      </c>
      <c r="C5811" s="4" t="s">
        <v>7</v>
      </c>
      <c r="D5811" s="4" t="s">
        <v>7</v>
      </c>
      <c r="E5811" s="4" t="s">
        <v>13</v>
      </c>
      <c r="F5811" s="4" t="s">
        <v>11</v>
      </c>
    </row>
    <row r="5812" spans="1:8">
      <c r="A5812" t="n">
        <v>54057</v>
      </c>
      <c r="B5812" s="51" t="n">
        <v>45</v>
      </c>
      <c r="C5812" s="7" t="n">
        <v>5</v>
      </c>
      <c r="D5812" s="7" t="n">
        <v>3</v>
      </c>
      <c r="E5812" s="7" t="n">
        <v>1</v>
      </c>
      <c r="F5812" s="7" t="n">
        <v>0</v>
      </c>
    </row>
    <row r="5813" spans="1:8">
      <c r="A5813" t="s">
        <v>4</v>
      </c>
      <c r="B5813" s="4" t="s">
        <v>5</v>
      </c>
      <c r="C5813" s="4" t="s">
        <v>7</v>
      </c>
      <c r="D5813" s="4" t="s">
        <v>7</v>
      </c>
      <c r="E5813" s="4" t="s">
        <v>13</v>
      </c>
      <c r="F5813" s="4" t="s">
        <v>11</v>
      </c>
    </row>
    <row r="5814" spans="1:8">
      <c r="A5814" t="n">
        <v>54066</v>
      </c>
      <c r="B5814" s="51" t="n">
        <v>45</v>
      </c>
      <c r="C5814" s="7" t="n">
        <v>11</v>
      </c>
      <c r="D5814" s="7" t="n">
        <v>3</v>
      </c>
      <c r="E5814" s="7" t="n">
        <v>40.2999992370605</v>
      </c>
      <c r="F5814" s="7" t="n">
        <v>0</v>
      </c>
    </row>
    <row r="5815" spans="1:8">
      <c r="A5815" t="s">
        <v>4</v>
      </c>
      <c r="B5815" s="4" t="s">
        <v>5</v>
      </c>
      <c r="C5815" s="4" t="s">
        <v>7</v>
      </c>
      <c r="D5815" s="4" t="s">
        <v>11</v>
      </c>
      <c r="E5815" s="4" t="s">
        <v>8</v>
      </c>
      <c r="F5815" s="4" t="s">
        <v>8</v>
      </c>
      <c r="G5815" s="4" t="s">
        <v>8</v>
      </c>
      <c r="H5815" s="4" t="s">
        <v>8</v>
      </c>
    </row>
    <row r="5816" spans="1:8">
      <c r="A5816" t="n">
        <v>54075</v>
      </c>
      <c r="B5816" s="38" t="n">
        <v>51</v>
      </c>
      <c r="C5816" s="7" t="n">
        <v>3</v>
      </c>
      <c r="D5816" s="7" t="n">
        <v>0</v>
      </c>
      <c r="E5816" s="7" t="s">
        <v>86</v>
      </c>
      <c r="F5816" s="7" t="s">
        <v>79</v>
      </c>
      <c r="G5816" s="7" t="s">
        <v>78</v>
      </c>
      <c r="H5816" s="7" t="s">
        <v>79</v>
      </c>
    </row>
    <row r="5817" spans="1:8">
      <c r="A5817" t="s">
        <v>4</v>
      </c>
      <c r="B5817" s="4" t="s">
        <v>5</v>
      </c>
      <c r="C5817" s="4" t="s">
        <v>7</v>
      </c>
      <c r="D5817" s="4" t="s">
        <v>11</v>
      </c>
    </row>
    <row r="5818" spans="1:8">
      <c r="A5818" t="n">
        <v>54088</v>
      </c>
      <c r="B5818" s="23" t="n">
        <v>58</v>
      </c>
      <c r="C5818" s="7" t="n">
        <v>255</v>
      </c>
      <c r="D5818" s="7" t="n">
        <v>0</v>
      </c>
    </row>
    <row r="5819" spans="1:8">
      <c r="A5819" t="s">
        <v>4</v>
      </c>
      <c r="B5819" s="4" t="s">
        <v>5</v>
      </c>
      <c r="C5819" s="4" t="s">
        <v>7</v>
      </c>
      <c r="D5819" s="4" t="s">
        <v>11</v>
      </c>
      <c r="E5819" s="4" t="s">
        <v>8</v>
      </c>
    </row>
    <row r="5820" spans="1:8">
      <c r="A5820" t="n">
        <v>54092</v>
      </c>
      <c r="B5820" s="38" t="n">
        <v>51</v>
      </c>
      <c r="C5820" s="7" t="n">
        <v>4</v>
      </c>
      <c r="D5820" s="7" t="n">
        <v>0</v>
      </c>
      <c r="E5820" s="7" t="s">
        <v>137</v>
      </c>
    </row>
    <row r="5821" spans="1:8">
      <c r="A5821" t="s">
        <v>4</v>
      </c>
      <c r="B5821" s="4" t="s">
        <v>5</v>
      </c>
      <c r="C5821" s="4" t="s">
        <v>11</v>
      </c>
    </row>
    <row r="5822" spans="1:8">
      <c r="A5822" t="n">
        <v>54105</v>
      </c>
      <c r="B5822" s="29" t="n">
        <v>16</v>
      </c>
      <c r="C5822" s="7" t="n">
        <v>500</v>
      </c>
    </row>
    <row r="5823" spans="1:8">
      <c r="A5823" t="s">
        <v>4</v>
      </c>
      <c r="B5823" s="4" t="s">
        <v>5</v>
      </c>
      <c r="C5823" s="4" t="s">
        <v>11</v>
      </c>
      <c r="D5823" s="4" t="s">
        <v>7</v>
      </c>
      <c r="E5823" s="4" t="s">
        <v>15</v>
      </c>
      <c r="F5823" s="4" t="s">
        <v>55</v>
      </c>
      <c r="G5823" s="4" t="s">
        <v>7</v>
      </c>
      <c r="H5823" s="4" t="s">
        <v>7</v>
      </c>
      <c r="I5823" s="4" t="s">
        <v>7</v>
      </c>
      <c r="J5823" s="4" t="s">
        <v>15</v>
      </c>
      <c r="K5823" s="4" t="s">
        <v>55</v>
      </c>
      <c r="L5823" s="4" t="s">
        <v>7</v>
      </c>
      <c r="M5823" s="4" t="s">
        <v>7</v>
      </c>
      <c r="N5823" s="4" t="s">
        <v>7</v>
      </c>
      <c r="O5823" s="4" t="s">
        <v>15</v>
      </c>
      <c r="P5823" s="4" t="s">
        <v>55</v>
      </c>
      <c r="Q5823" s="4" t="s">
        <v>7</v>
      </c>
      <c r="R5823" s="4" t="s">
        <v>7</v>
      </c>
      <c r="S5823" s="4" t="s">
        <v>7</v>
      </c>
      <c r="T5823" s="4" t="s">
        <v>15</v>
      </c>
      <c r="U5823" s="4" t="s">
        <v>55</v>
      </c>
      <c r="V5823" s="4" t="s">
        <v>7</v>
      </c>
      <c r="W5823" s="4" t="s">
        <v>7</v>
      </c>
    </row>
    <row r="5824" spans="1:8">
      <c r="A5824" t="n">
        <v>54108</v>
      </c>
      <c r="B5824" s="55" t="n">
        <v>26</v>
      </c>
      <c r="C5824" s="7" t="n">
        <v>0</v>
      </c>
      <c r="D5824" s="7" t="n">
        <v>17</v>
      </c>
      <c r="E5824" s="7" t="n">
        <v>63897</v>
      </c>
      <c r="F5824" s="7" t="s">
        <v>539</v>
      </c>
      <c r="G5824" s="7" t="n">
        <v>2</v>
      </c>
      <c r="H5824" s="7" t="n">
        <v>3</v>
      </c>
      <c r="I5824" s="7" t="n">
        <v>17</v>
      </c>
      <c r="J5824" s="7" t="n">
        <v>63898</v>
      </c>
      <c r="K5824" s="7" t="s">
        <v>540</v>
      </c>
      <c r="L5824" s="7" t="n">
        <v>2</v>
      </c>
      <c r="M5824" s="7" t="n">
        <v>3</v>
      </c>
      <c r="N5824" s="7" t="n">
        <v>17</v>
      </c>
      <c r="O5824" s="7" t="n">
        <v>63899</v>
      </c>
      <c r="P5824" s="7" t="s">
        <v>541</v>
      </c>
      <c r="Q5824" s="7" t="n">
        <v>2</v>
      </c>
      <c r="R5824" s="7" t="n">
        <v>3</v>
      </c>
      <c r="S5824" s="7" t="n">
        <v>17</v>
      </c>
      <c r="T5824" s="7" t="n">
        <v>63900</v>
      </c>
      <c r="U5824" s="7" t="s">
        <v>542</v>
      </c>
      <c r="V5824" s="7" t="n">
        <v>2</v>
      </c>
      <c r="W5824" s="7" t="n">
        <v>0</v>
      </c>
    </row>
    <row r="5825" spans="1:23">
      <c r="A5825" t="s">
        <v>4</v>
      </c>
      <c r="B5825" s="4" t="s">
        <v>5</v>
      </c>
    </row>
    <row r="5826" spans="1:23">
      <c r="A5826" t="n">
        <v>54391</v>
      </c>
      <c r="B5826" s="27" t="n">
        <v>28</v>
      </c>
    </row>
    <row r="5827" spans="1:23">
      <c r="A5827" t="s">
        <v>4</v>
      </c>
      <c r="B5827" s="4" t="s">
        <v>5</v>
      </c>
      <c r="C5827" s="4" t="s">
        <v>11</v>
      </c>
      <c r="D5827" s="4" t="s">
        <v>7</v>
      </c>
    </row>
    <row r="5828" spans="1:23">
      <c r="A5828" t="n">
        <v>54392</v>
      </c>
      <c r="B5828" s="68" t="n">
        <v>89</v>
      </c>
      <c r="C5828" s="7" t="n">
        <v>65533</v>
      </c>
      <c r="D5828" s="7" t="n">
        <v>1</v>
      </c>
    </row>
    <row r="5829" spans="1:23">
      <c r="A5829" t="s">
        <v>4</v>
      </c>
      <c r="B5829" s="4" t="s">
        <v>5</v>
      </c>
      <c r="C5829" s="4" t="s">
        <v>7</v>
      </c>
      <c r="D5829" s="4" t="s">
        <v>11</v>
      </c>
      <c r="E5829" s="4" t="s">
        <v>13</v>
      </c>
    </row>
    <row r="5830" spans="1:23">
      <c r="A5830" t="n">
        <v>54396</v>
      </c>
      <c r="B5830" s="23" t="n">
        <v>58</v>
      </c>
      <c r="C5830" s="7" t="n">
        <v>101</v>
      </c>
      <c r="D5830" s="7" t="n">
        <v>500</v>
      </c>
      <c r="E5830" s="7" t="n">
        <v>1</v>
      </c>
    </row>
    <row r="5831" spans="1:23">
      <c r="A5831" t="s">
        <v>4</v>
      </c>
      <c r="B5831" s="4" t="s">
        <v>5</v>
      </c>
      <c r="C5831" s="4" t="s">
        <v>7</v>
      </c>
      <c r="D5831" s="4" t="s">
        <v>11</v>
      </c>
    </row>
    <row r="5832" spans="1:23">
      <c r="A5832" t="n">
        <v>54404</v>
      </c>
      <c r="B5832" s="23" t="n">
        <v>58</v>
      </c>
      <c r="C5832" s="7" t="n">
        <v>254</v>
      </c>
      <c r="D5832" s="7" t="n">
        <v>0</v>
      </c>
    </row>
    <row r="5833" spans="1:23">
      <c r="A5833" t="s">
        <v>4</v>
      </c>
      <c r="B5833" s="4" t="s">
        <v>5</v>
      </c>
      <c r="C5833" s="4" t="s">
        <v>7</v>
      </c>
      <c r="D5833" s="4" t="s">
        <v>7</v>
      </c>
      <c r="E5833" s="4" t="s">
        <v>13</v>
      </c>
      <c r="F5833" s="4" t="s">
        <v>13</v>
      </c>
      <c r="G5833" s="4" t="s">
        <v>13</v>
      </c>
      <c r="H5833" s="4" t="s">
        <v>11</v>
      </c>
    </row>
    <row r="5834" spans="1:23">
      <c r="A5834" t="n">
        <v>54408</v>
      </c>
      <c r="B5834" s="51" t="n">
        <v>45</v>
      </c>
      <c r="C5834" s="7" t="n">
        <v>2</v>
      </c>
      <c r="D5834" s="7" t="n">
        <v>3</v>
      </c>
      <c r="E5834" s="7" t="n">
        <v>-7.3600001335144</v>
      </c>
      <c r="F5834" s="7" t="n">
        <v>6.42999982833862</v>
      </c>
      <c r="G5834" s="7" t="n">
        <v>29.8199996948242</v>
      </c>
      <c r="H5834" s="7" t="n">
        <v>0</v>
      </c>
    </row>
    <row r="5835" spans="1:23">
      <c r="A5835" t="s">
        <v>4</v>
      </c>
      <c r="B5835" s="4" t="s">
        <v>5</v>
      </c>
      <c r="C5835" s="4" t="s">
        <v>7</v>
      </c>
      <c r="D5835" s="4" t="s">
        <v>7</v>
      </c>
      <c r="E5835" s="4" t="s">
        <v>13</v>
      </c>
      <c r="F5835" s="4" t="s">
        <v>13</v>
      </c>
      <c r="G5835" s="4" t="s">
        <v>13</v>
      </c>
      <c r="H5835" s="4" t="s">
        <v>11</v>
      </c>
      <c r="I5835" s="4" t="s">
        <v>7</v>
      </c>
    </row>
    <row r="5836" spans="1:23">
      <c r="A5836" t="n">
        <v>54425</v>
      </c>
      <c r="B5836" s="51" t="n">
        <v>45</v>
      </c>
      <c r="C5836" s="7" t="n">
        <v>4</v>
      </c>
      <c r="D5836" s="7" t="n">
        <v>3</v>
      </c>
      <c r="E5836" s="7" t="n">
        <v>8.11999988555908</v>
      </c>
      <c r="F5836" s="7" t="n">
        <v>60.310001373291</v>
      </c>
      <c r="G5836" s="7" t="n">
        <v>354</v>
      </c>
      <c r="H5836" s="7" t="n">
        <v>0</v>
      </c>
      <c r="I5836" s="7" t="n">
        <v>0</v>
      </c>
    </row>
    <row r="5837" spans="1:23">
      <c r="A5837" t="s">
        <v>4</v>
      </c>
      <c r="B5837" s="4" t="s">
        <v>5</v>
      </c>
      <c r="C5837" s="4" t="s">
        <v>7</v>
      </c>
      <c r="D5837" s="4" t="s">
        <v>7</v>
      </c>
      <c r="E5837" s="4" t="s">
        <v>13</v>
      </c>
      <c r="F5837" s="4" t="s">
        <v>11</v>
      </c>
    </row>
    <row r="5838" spans="1:23">
      <c r="A5838" t="n">
        <v>54443</v>
      </c>
      <c r="B5838" s="51" t="n">
        <v>45</v>
      </c>
      <c r="C5838" s="7" t="n">
        <v>5</v>
      </c>
      <c r="D5838" s="7" t="n">
        <v>3</v>
      </c>
      <c r="E5838" s="7" t="n">
        <v>0.800000011920929</v>
      </c>
      <c r="F5838" s="7" t="n">
        <v>0</v>
      </c>
    </row>
    <row r="5839" spans="1:23">
      <c r="A5839" t="s">
        <v>4</v>
      </c>
      <c r="B5839" s="4" t="s">
        <v>5</v>
      </c>
      <c r="C5839" s="4" t="s">
        <v>7</v>
      </c>
      <c r="D5839" s="4" t="s">
        <v>7</v>
      </c>
      <c r="E5839" s="4" t="s">
        <v>13</v>
      </c>
      <c r="F5839" s="4" t="s">
        <v>11</v>
      </c>
    </row>
    <row r="5840" spans="1:23">
      <c r="A5840" t="n">
        <v>54452</v>
      </c>
      <c r="B5840" s="51" t="n">
        <v>45</v>
      </c>
      <c r="C5840" s="7" t="n">
        <v>11</v>
      </c>
      <c r="D5840" s="7" t="n">
        <v>3</v>
      </c>
      <c r="E5840" s="7" t="n">
        <v>40.2999992370605</v>
      </c>
      <c r="F5840" s="7" t="n">
        <v>0</v>
      </c>
    </row>
    <row r="5841" spans="1:9">
      <c r="A5841" t="s">
        <v>4</v>
      </c>
      <c r="B5841" s="4" t="s">
        <v>5</v>
      </c>
      <c r="C5841" s="4" t="s">
        <v>7</v>
      </c>
      <c r="D5841" s="4" t="s">
        <v>11</v>
      </c>
    </row>
    <row r="5842" spans="1:9">
      <c r="A5842" t="n">
        <v>54461</v>
      </c>
      <c r="B5842" s="23" t="n">
        <v>58</v>
      </c>
      <c r="C5842" s="7" t="n">
        <v>255</v>
      </c>
      <c r="D5842" s="7" t="n">
        <v>0</v>
      </c>
    </row>
    <row r="5843" spans="1:9">
      <c r="A5843" t="s">
        <v>4</v>
      </c>
      <c r="B5843" s="4" t="s">
        <v>5</v>
      </c>
      <c r="C5843" s="4" t="s">
        <v>7</v>
      </c>
      <c r="D5843" s="4" t="s">
        <v>11</v>
      </c>
      <c r="E5843" s="4" t="s">
        <v>8</v>
      </c>
    </row>
    <row r="5844" spans="1:9">
      <c r="A5844" t="n">
        <v>54465</v>
      </c>
      <c r="B5844" s="38" t="n">
        <v>51</v>
      </c>
      <c r="C5844" s="7" t="n">
        <v>4</v>
      </c>
      <c r="D5844" s="7" t="n">
        <v>5</v>
      </c>
      <c r="E5844" s="7" t="s">
        <v>543</v>
      </c>
    </row>
    <row r="5845" spans="1:9">
      <c r="A5845" t="s">
        <v>4</v>
      </c>
      <c r="B5845" s="4" t="s">
        <v>5</v>
      </c>
      <c r="C5845" s="4" t="s">
        <v>11</v>
      </c>
    </row>
    <row r="5846" spans="1:9">
      <c r="A5846" t="n">
        <v>54484</v>
      </c>
      <c r="B5846" s="29" t="n">
        <v>16</v>
      </c>
      <c r="C5846" s="7" t="n">
        <v>0</v>
      </c>
    </row>
    <row r="5847" spans="1:9">
      <c r="A5847" t="s">
        <v>4</v>
      </c>
      <c r="B5847" s="4" t="s">
        <v>5</v>
      </c>
      <c r="C5847" s="4" t="s">
        <v>11</v>
      </c>
      <c r="D5847" s="4" t="s">
        <v>7</v>
      </c>
      <c r="E5847" s="4" t="s">
        <v>15</v>
      </c>
      <c r="F5847" s="4" t="s">
        <v>55</v>
      </c>
      <c r="G5847" s="4" t="s">
        <v>7</v>
      </c>
      <c r="H5847" s="4" t="s">
        <v>7</v>
      </c>
      <c r="I5847" s="4" t="s">
        <v>7</v>
      </c>
    </row>
    <row r="5848" spans="1:9">
      <c r="A5848" t="n">
        <v>54487</v>
      </c>
      <c r="B5848" s="55" t="n">
        <v>26</v>
      </c>
      <c r="C5848" s="7" t="n">
        <v>5</v>
      </c>
      <c r="D5848" s="7" t="n">
        <v>17</v>
      </c>
      <c r="E5848" s="7" t="n">
        <v>3819</v>
      </c>
      <c r="F5848" s="7" t="s">
        <v>544</v>
      </c>
      <c r="G5848" s="7" t="n">
        <v>8</v>
      </c>
      <c r="H5848" s="7" t="n">
        <v>2</v>
      </c>
      <c r="I5848" s="7" t="n">
        <v>0</v>
      </c>
    </row>
    <row r="5849" spans="1:9">
      <c r="A5849" t="s">
        <v>4</v>
      </c>
      <c r="B5849" s="4" t="s">
        <v>5</v>
      </c>
      <c r="C5849" s="4" t="s">
        <v>11</v>
      </c>
    </row>
    <row r="5850" spans="1:9">
      <c r="A5850" t="n">
        <v>54516</v>
      </c>
      <c r="B5850" s="29" t="n">
        <v>16</v>
      </c>
      <c r="C5850" s="7" t="n">
        <v>1</v>
      </c>
    </row>
    <row r="5851" spans="1:9">
      <c r="A5851" t="s">
        <v>4</v>
      </c>
      <c r="B5851" s="4" t="s">
        <v>5</v>
      </c>
      <c r="C5851" s="4" t="s">
        <v>7</v>
      </c>
      <c r="D5851" s="4" t="s">
        <v>11</v>
      </c>
    </row>
    <row r="5852" spans="1:9">
      <c r="A5852" t="n">
        <v>54519</v>
      </c>
      <c r="B5852" s="57" t="n">
        <v>50</v>
      </c>
      <c r="C5852" s="7" t="n">
        <v>52</v>
      </c>
      <c r="D5852" s="7" t="n">
        <v>3819</v>
      </c>
    </row>
    <row r="5853" spans="1:9">
      <c r="A5853" t="s">
        <v>4</v>
      </c>
      <c r="B5853" s="4" t="s">
        <v>5</v>
      </c>
      <c r="C5853" s="4" t="s">
        <v>11</v>
      </c>
    </row>
    <row r="5854" spans="1:9">
      <c r="A5854" t="n">
        <v>54523</v>
      </c>
      <c r="B5854" s="29" t="n">
        <v>16</v>
      </c>
      <c r="C5854" s="7" t="n">
        <v>1000</v>
      </c>
    </row>
    <row r="5855" spans="1:9">
      <c r="A5855" t="s">
        <v>4</v>
      </c>
      <c r="B5855" s="4" t="s">
        <v>5</v>
      </c>
      <c r="C5855" s="4" t="s">
        <v>11</v>
      </c>
      <c r="D5855" s="4" t="s">
        <v>7</v>
      </c>
    </row>
    <row r="5856" spans="1:9">
      <c r="A5856" t="n">
        <v>54526</v>
      </c>
      <c r="B5856" s="68" t="n">
        <v>89</v>
      </c>
      <c r="C5856" s="7" t="n">
        <v>65533</v>
      </c>
      <c r="D5856" s="7" t="n">
        <v>0</v>
      </c>
    </row>
    <row r="5857" spans="1:9">
      <c r="A5857" t="s">
        <v>4</v>
      </c>
      <c r="B5857" s="4" t="s">
        <v>5</v>
      </c>
      <c r="C5857" s="4" t="s">
        <v>11</v>
      </c>
      <c r="D5857" s="4" t="s">
        <v>7</v>
      </c>
    </row>
    <row r="5858" spans="1:9">
      <c r="A5858" t="n">
        <v>54530</v>
      </c>
      <c r="B5858" s="68" t="n">
        <v>89</v>
      </c>
      <c r="C5858" s="7" t="n">
        <v>65533</v>
      </c>
      <c r="D5858" s="7" t="n">
        <v>1</v>
      </c>
    </row>
    <row r="5859" spans="1:9">
      <c r="A5859" t="s">
        <v>4</v>
      </c>
      <c r="B5859" s="4" t="s">
        <v>5</v>
      </c>
      <c r="C5859" s="4" t="s">
        <v>7</v>
      </c>
      <c r="D5859" s="4" t="s">
        <v>11</v>
      </c>
      <c r="E5859" s="4" t="s">
        <v>13</v>
      </c>
    </row>
    <row r="5860" spans="1:9">
      <c r="A5860" t="n">
        <v>54534</v>
      </c>
      <c r="B5860" s="23" t="n">
        <v>58</v>
      </c>
      <c r="C5860" s="7" t="n">
        <v>101</v>
      </c>
      <c r="D5860" s="7" t="n">
        <v>500</v>
      </c>
      <c r="E5860" s="7" t="n">
        <v>1</v>
      </c>
    </row>
    <row r="5861" spans="1:9">
      <c r="A5861" t="s">
        <v>4</v>
      </c>
      <c r="B5861" s="4" t="s">
        <v>5</v>
      </c>
      <c r="C5861" s="4" t="s">
        <v>7</v>
      </c>
      <c r="D5861" s="4" t="s">
        <v>11</v>
      </c>
    </row>
    <row r="5862" spans="1:9">
      <c r="A5862" t="n">
        <v>54542</v>
      </c>
      <c r="B5862" s="23" t="n">
        <v>58</v>
      </c>
      <c r="C5862" s="7" t="n">
        <v>254</v>
      </c>
      <c r="D5862" s="7" t="n">
        <v>0</v>
      </c>
    </row>
    <row r="5863" spans="1:9">
      <c r="A5863" t="s">
        <v>4</v>
      </c>
      <c r="B5863" s="4" t="s">
        <v>5</v>
      </c>
      <c r="C5863" s="4" t="s">
        <v>11</v>
      </c>
      <c r="D5863" s="4" t="s">
        <v>13</v>
      </c>
      <c r="E5863" s="4" t="s">
        <v>13</v>
      </c>
      <c r="F5863" s="4" t="s">
        <v>13</v>
      </c>
      <c r="G5863" s="4" t="s">
        <v>13</v>
      </c>
    </row>
    <row r="5864" spans="1:9">
      <c r="A5864" t="n">
        <v>54546</v>
      </c>
      <c r="B5864" s="36" t="n">
        <v>46</v>
      </c>
      <c r="C5864" s="7" t="n">
        <v>5</v>
      </c>
      <c r="D5864" s="7" t="n">
        <v>-6.92000007629395</v>
      </c>
      <c r="E5864" s="7" t="n">
        <v>5</v>
      </c>
      <c r="F5864" s="7" t="n">
        <v>29.8099994659424</v>
      </c>
      <c r="G5864" s="7" t="n">
        <v>83.9000015258789</v>
      </c>
    </row>
    <row r="5865" spans="1:9">
      <c r="A5865" t="s">
        <v>4</v>
      </c>
      <c r="B5865" s="4" t="s">
        <v>5</v>
      </c>
      <c r="C5865" s="4" t="s">
        <v>11</v>
      </c>
      <c r="D5865" s="4" t="s">
        <v>13</v>
      </c>
      <c r="E5865" s="4" t="s">
        <v>13</v>
      </c>
      <c r="F5865" s="4" t="s">
        <v>13</v>
      </c>
      <c r="G5865" s="4" t="s">
        <v>11</v>
      </c>
      <c r="H5865" s="4" t="s">
        <v>11</v>
      </c>
    </row>
    <row r="5866" spans="1:9">
      <c r="A5866" t="n">
        <v>54565</v>
      </c>
      <c r="B5866" s="37" t="n">
        <v>60</v>
      </c>
      <c r="C5866" s="7" t="n">
        <v>0</v>
      </c>
      <c r="D5866" s="7" t="n">
        <v>0</v>
      </c>
      <c r="E5866" s="7" t="n">
        <v>0</v>
      </c>
      <c r="F5866" s="7" t="n">
        <v>0</v>
      </c>
      <c r="G5866" s="7" t="n">
        <v>0</v>
      </c>
      <c r="H5866" s="7" t="n">
        <v>1</v>
      </c>
    </row>
    <row r="5867" spans="1:9">
      <c r="A5867" t="s">
        <v>4</v>
      </c>
      <c r="B5867" s="4" t="s">
        <v>5</v>
      </c>
      <c r="C5867" s="4" t="s">
        <v>11</v>
      </c>
      <c r="D5867" s="4" t="s">
        <v>13</v>
      </c>
      <c r="E5867" s="4" t="s">
        <v>13</v>
      </c>
      <c r="F5867" s="4" t="s">
        <v>13</v>
      </c>
      <c r="G5867" s="4" t="s">
        <v>11</v>
      </c>
      <c r="H5867" s="4" t="s">
        <v>11</v>
      </c>
    </row>
    <row r="5868" spans="1:9">
      <c r="A5868" t="n">
        <v>54584</v>
      </c>
      <c r="B5868" s="37" t="n">
        <v>60</v>
      </c>
      <c r="C5868" s="7" t="n">
        <v>0</v>
      </c>
      <c r="D5868" s="7" t="n">
        <v>0</v>
      </c>
      <c r="E5868" s="7" t="n">
        <v>0</v>
      </c>
      <c r="F5868" s="7" t="n">
        <v>0</v>
      </c>
      <c r="G5868" s="7" t="n">
        <v>0</v>
      </c>
      <c r="H5868" s="7" t="n">
        <v>0</v>
      </c>
    </row>
    <row r="5869" spans="1:9">
      <c r="A5869" t="s">
        <v>4</v>
      </c>
      <c r="B5869" s="4" t="s">
        <v>5</v>
      </c>
      <c r="C5869" s="4" t="s">
        <v>11</v>
      </c>
      <c r="D5869" s="4" t="s">
        <v>11</v>
      </c>
      <c r="E5869" s="4" t="s">
        <v>11</v>
      </c>
    </row>
    <row r="5870" spans="1:9">
      <c r="A5870" t="n">
        <v>54603</v>
      </c>
      <c r="B5870" s="72" t="n">
        <v>61</v>
      </c>
      <c r="C5870" s="7" t="n">
        <v>0</v>
      </c>
      <c r="D5870" s="7" t="n">
        <v>65533</v>
      </c>
      <c r="E5870" s="7" t="n">
        <v>0</v>
      </c>
    </row>
    <row r="5871" spans="1:9">
      <c r="A5871" t="s">
        <v>4</v>
      </c>
      <c r="B5871" s="4" t="s">
        <v>5</v>
      </c>
      <c r="C5871" s="4" t="s">
        <v>11</v>
      </c>
      <c r="D5871" s="4" t="s">
        <v>13</v>
      </c>
      <c r="E5871" s="4" t="s">
        <v>13</v>
      </c>
      <c r="F5871" s="4" t="s">
        <v>13</v>
      </c>
      <c r="G5871" s="4" t="s">
        <v>11</v>
      </c>
      <c r="H5871" s="4" t="s">
        <v>11</v>
      </c>
    </row>
    <row r="5872" spans="1:9">
      <c r="A5872" t="n">
        <v>54610</v>
      </c>
      <c r="B5872" s="37" t="n">
        <v>60</v>
      </c>
      <c r="C5872" s="7" t="n">
        <v>5</v>
      </c>
      <c r="D5872" s="7" t="n">
        <v>0</v>
      </c>
      <c r="E5872" s="7" t="n">
        <v>0</v>
      </c>
      <c r="F5872" s="7" t="n">
        <v>0</v>
      </c>
      <c r="G5872" s="7" t="n">
        <v>0</v>
      </c>
      <c r="H5872" s="7" t="n">
        <v>1</v>
      </c>
    </row>
    <row r="5873" spans="1:8">
      <c r="A5873" t="s">
        <v>4</v>
      </c>
      <c r="B5873" s="4" t="s">
        <v>5</v>
      </c>
      <c r="C5873" s="4" t="s">
        <v>11</v>
      </c>
      <c r="D5873" s="4" t="s">
        <v>13</v>
      </c>
      <c r="E5873" s="4" t="s">
        <v>13</v>
      </c>
      <c r="F5873" s="4" t="s">
        <v>13</v>
      </c>
      <c r="G5873" s="4" t="s">
        <v>11</v>
      </c>
      <c r="H5873" s="4" t="s">
        <v>11</v>
      </c>
    </row>
    <row r="5874" spans="1:8">
      <c r="A5874" t="n">
        <v>54629</v>
      </c>
      <c r="B5874" s="37" t="n">
        <v>60</v>
      </c>
      <c r="C5874" s="7" t="n">
        <v>5</v>
      </c>
      <c r="D5874" s="7" t="n">
        <v>0</v>
      </c>
      <c r="E5874" s="7" t="n">
        <v>0</v>
      </c>
      <c r="F5874" s="7" t="n">
        <v>0</v>
      </c>
      <c r="G5874" s="7" t="n">
        <v>0</v>
      </c>
      <c r="H5874" s="7" t="n">
        <v>0</v>
      </c>
    </row>
    <row r="5875" spans="1:8">
      <c r="A5875" t="s">
        <v>4</v>
      </c>
      <c r="B5875" s="4" t="s">
        <v>5</v>
      </c>
      <c r="C5875" s="4" t="s">
        <v>11</v>
      </c>
      <c r="D5875" s="4" t="s">
        <v>11</v>
      </c>
      <c r="E5875" s="4" t="s">
        <v>11</v>
      </c>
    </row>
    <row r="5876" spans="1:8">
      <c r="A5876" t="n">
        <v>54648</v>
      </c>
      <c r="B5876" s="72" t="n">
        <v>61</v>
      </c>
      <c r="C5876" s="7" t="n">
        <v>5</v>
      </c>
      <c r="D5876" s="7" t="n">
        <v>65533</v>
      </c>
      <c r="E5876" s="7" t="n">
        <v>0</v>
      </c>
    </row>
    <row r="5877" spans="1:8">
      <c r="A5877" t="s">
        <v>4</v>
      </c>
      <c r="B5877" s="4" t="s">
        <v>5</v>
      </c>
      <c r="C5877" s="4" t="s">
        <v>7</v>
      </c>
      <c r="D5877" s="4" t="s">
        <v>7</v>
      </c>
      <c r="E5877" s="4" t="s">
        <v>13</v>
      </c>
      <c r="F5877" s="4" t="s">
        <v>13</v>
      </c>
      <c r="G5877" s="4" t="s">
        <v>13</v>
      </c>
      <c r="H5877" s="4" t="s">
        <v>11</v>
      </c>
    </row>
    <row r="5878" spans="1:8">
      <c r="A5878" t="n">
        <v>54655</v>
      </c>
      <c r="B5878" s="51" t="n">
        <v>45</v>
      </c>
      <c r="C5878" s="7" t="n">
        <v>2</v>
      </c>
      <c r="D5878" s="7" t="n">
        <v>3</v>
      </c>
      <c r="E5878" s="7" t="n">
        <v>-6.63000011444092</v>
      </c>
      <c r="F5878" s="7" t="n">
        <v>6.07000017166138</v>
      </c>
      <c r="G5878" s="7" t="n">
        <v>29.8700008392334</v>
      </c>
      <c r="H5878" s="7" t="n">
        <v>0</v>
      </c>
    </row>
    <row r="5879" spans="1:8">
      <c r="A5879" t="s">
        <v>4</v>
      </c>
      <c r="B5879" s="4" t="s">
        <v>5</v>
      </c>
      <c r="C5879" s="4" t="s">
        <v>7</v>
      </c>
      <c r="D5879" s="4" t="s">
        <v>7</v>
      </c>
      <c r="E5879" s="4" t="s">
        <v>13</v>
      </c>
      <c r="F5879" s="4" t="s">
        <v>13</v>
      </c>
      <c r="G5879" s="4" t="s">
        <v>13</v>
      </c>
      <c r="H5879" s="4" t="s">
        <v>11</v>
      </c>
      <c r="I5879" s="4" t="s">
        <v>7</v>
      </c>
    </row>
    <row r="5880" spans="1:8">
      <c r="A5880" t="n">
        <v>54672</v>
      </c>
      <c r="B5880" s="51" t="n">
        <v>45</v>
      </c>
      <c r="C5880" s="7" t="n">
        <v>4</v>
      </c>
      <c r="D5880" s="7" t="n">
        <v>3</v>
      </c>
      <c r="E5880" s="7" t="n">
        <v>347.040008544922</v>
      </c>
      <c r="F5880" s="7" t="n">
        <v>314.799987792969</v>
      </c>
      <c r="G5880" s="7" t="n">
        <v>354</v>
      </c>
      <c r="H5880" s="7" t="n">
        <v>0</v>
      </c>
      <c r="I5880" s="7" t="n">
        <v>0</v>
      </c>
    </row>
    <row r="5881" spans="1:8">
      <c r="A5881" t="s">
        <v>4</v>
      </c>
      <c r="B5881" s="4" t="s">
        <v>5</v>
      </c>
      <c r="C5881" s="4" t="s">
        <v>7</v>
      </c>
      <c r="D5881" s="4" t="s">
        <v>7</v>
      </c>
      <c r="E5881" s="4" t="s">
        <v>13</v>
      </c>
      <c r="F5881" s="4" t="s">
        <v>11</v>
      </c>
    </row>
    <row r="5882" spans="1:8">
      <c r="A5882" t="n">
        <v>54690</v>
      </c>
      <c r="B5882" s="51" t="n">
        <v>45</v>
      </c>
      <c r="C5882" s="7" t="n">
        <v>5</v>
      </c>
      <c r="D5882" s="7" t="n">
        <v>3</v>
      </c>
      <c r="E5882" s="7" t="n">
        <v>1.20000004768372</v>
      </c>
      <c r="F5882" s="7" t="n">
        <v>0</v>
      </c>
    </row>
    <row r="5883" spans="1:8">
      <c r="A5883" t="s">
        <v>4</v>
      </c>
      <c r="B5883" s="4" t="s">
        <v>5</v>
      </c>
      <c r="C5883" s="4" t="s">
        <v>7</v>
      </c>
      <c r="D5883" s="4" t="s">
        <v>7</v>
      </c>
      <c r="E5883" s="4" t="s">
        <v>13</v>
      </c>
      <c r="F5883" s="4" t="s">
        <v>11</v>
      </c>
    </row>
    <row r="5884" spans="1:8">
      <c r="A5884" t="n">
        <v>54699</v>
      </c>
      <c r="B5884" s="51" t="n">
        <v>45</v>
      </c>
      <c r="C5884" s="7" t="n">
        <v>11</v>
      </c>
      <c r="D5884" s="7" t="n">
        <v>3</v>
      </c>
      <c r="E5884" s="7" t="n">
        <v>40.2999992370605</v>
      </c>
      <c r="F5884" s="7" t="n">
        <v>0</v>
      </c>
    </row>
    <row r="5885" spans="1:8">
      <c r="A5885" t="s">
        <v>4</v>
      </c>
      <c r="B5885" s="4" t="s">
        <v>5</v>
      </c>
      <c r="C5885" s="4" t="s">
        <v>7</v>
      </c>
      <c r="D5885" s="4" t="s">
        <v>7</v>
      </c>
      <c r="E5885" s="4" t="s">
        <v>13</v>
      </c>
      <c r="F5885" s="4" t="s">
        <v>13</v>
      </c>
      <c r="G5885" s="4" t="s">
        <v>13</v>
      </c>
      <c r="H5885" s="4" t="s">
        <v>11</v>
      </c>
    </row>
    <row r="5886" spans="1:8">
      <c r="A5886" t="n">
        <v>54708</v>
      </c>
      <c r="B5886" s="51" t="n">
        <v>45</v>
      </c>
      <c r="C5886" s="7" t="n">
        <v>2</v>
      </c>
      <c r="D5886" s="7" t="n">
        <v>3</v>
      </c>
      <c r="E5886" s="7" t="n">
        <v>-6.6399998664856</v>
      </c>
      <c r="F5886" s="7" t="n">
        <v>6.42999982833862</v>
      </c>
      <c r="G5886" s="7" t="n">
        <v>29.9300003051758</v>
      </c>
      <c r="H5886" s="7" t="n">
        <v>4000</v>
      </c>
    </row>
    <row r="5887" spans="1:8">
      <c r="A5887" t="s">
        <v>4</v>
      </c>
      <c r="B5887" s="4" t="s">
        <v>5</v>
      </c>
      <c r="C5887" s="4" t="s">
        <v>7</v>
      </c>
      <c r="D5887" s="4" t="s">
        <v>7</v>
      </c>
      <c r="E5887" s="4" t="s">
        <v>13</v>
      </c>
      <c r="F5887" s="4" t="s">
        <v>13</v>
      </c>
      <c r="G5887" s="4" t="s">
        <v>13</v>
      </c>
      <c r="H5887" s="4" t="s">
        <v>11</v>
      </c>
      <c r="I5887" s="4" t="s">
        <v>7</v>
      </c>
    </row>
    <row r="5888" spans="1:8">
      <c r="A5888" t="n">
        <v>54725</v>
      </c>
      <c r="B5888" s="51" t="n">
        <v>45</v>
      </c>
      <c r="C5888" s="7" t="n">
        <v>4</v>
      </c>
      <c r="D5888" s="7" t="n">
        <v>3</v>
      </c>
      <c r="E5888" s="7" t="n">
        <v>12.2299995422363</v>
      </c>
      <c r="F5888" s="7" t="n">
        <v>30.9699993133545</v>
      </c>
      <c r="G5888" s="7" t="n">
        <v>8</v>
      </c>
      <c r="H5888" s="7" t="n">
        <v>4000</v>
      </c>
      <c r="I5888" s="7" t="n">
        <v>1</v>
      </c>
    </row>
    <row r="5889" spans="1:9">
      <c r="A5889" t="s">
        <v>4</v>
      </c>
      <c r="B5889" s="4" t="s">
        <v>5</v>
      </c>
      <c r="C5889" s="4" t="s">
        <v>7</v>
      </c>
      <c r="D5889" s="4" t="s">
        <v>7</v>
      </c>
      <c r="E5889" s="4" t="s">
        <v>13</v>
      </c>
      <c r="F5889" s="4" t="s">
        <v>11</v>
      </c>
    </row>
    <row r="5890" spans="1:9">
      <c r="A5890" t="n">
        <v>54743</v>
      </c>
      <c r="B5890" s="51" t="n">
        <v>45</v>
      </c>
      <c r="C5890" s="7" t="n">
        <v>5</v>
      </c>
      <c r="D5890" s="7" t="n">
        <v>3</v>
      </c>
      <c r="E5890" s="7" t="n">
        <v>0.800000011920929</v>
      </c>
      <c r="F5890" s="7" t="n">
        <v>4000</v>
      </c>
    </row>
    <row r="5891" spans="1:9">
      <c r="A5891" t="s">
        <v>4</v>
      </c>
      <c r="B5891" s="4" t="s">
        <v>5</v>
      </c>
      <c r="C5891" s="4" t="s">
        <v>7</v>
      </c>
      <c r="D5891" s="4" t="s">
        <v>7</v>
      </c>
      <c r="E5891" s="4" t="s">
        <v>13</v>
      </c>
      <c r="F5891" s="4" t="s">
        <v>11</v>
      </c>
    </row>
    <row r="5892" spans="1:9">
      <c r="A5892" t="n">
        <v>54752</v>
      </c>
      <c r="B5892" s="51" t="n">
        <v>45</v>
      </c>
      <c r="C5892" s="7" t="n">
        <v>11</v>
      </c>
      <c r="D5892" s="7" t="n">
        <v>3</v>
      </c>
      <c r="E5892" s="7" t="n">
        <v>40.2999992370605</v>
      </c>
      <c r="F5892" s="7" t="n">
        <v>4000</v>
      </c>
    </row>
    <row r="5893" spans="1:9">
      <c r="A5893" t="s">
        <v>4</v>
      </c>
      <c r="B5893" s="4" t="s">
        <v>5</v>
      </c>
      <c r="C5893" s="4" t="s">
        <v>11</v>
      </c>
      <c r="D5893" s="4" t="s">
        <v>7</v>
      </c>
    </row>
    <row r="5894" spans="1:9">
      <c r="A5894" t="n">
        <v>54761</v>
      </c>
      <c r="B5894" s="54" t="n">
        <v>56</v>
      </c>
      <c r="C5894" s="7" t="n">
        <v>5</v>
      </c>
      <c r="D5894" s="7" t="n">
        <v>0</v>
      </c>
    </row>
    <row r="5895" spans="1:9">
      <c r="A5895" t="s">
        <v>4</v>
      </c>
      <c r="B5895" s="4" t="s">
        <v>5</v>
      </c>
      <c r="C5895" s="4" t="s">
        <v>11</v>
      </c>
      <c r="D5895" s="4" t="s">
        <v>7</v>
      </c>
      <c r="E5895" s="4" t="s">
        <v>8</v>
      </c>
      <c r="F5895" s="4" t="s">
        <v>13</v>
      </c>
      <c r="G5895" s="4" t="s">
        <v>13</v>
      </c>
      <c r="H5895" s="4" t="s">
        <v>13</v>
      </c>
    </row>
    <row r="5896" spans="1:9">
      <c r="A5896" t="n">
        <v>54765</v>
      </c>
      <c r="B5896" s="42" t="n">
        <v>48</v>
      </c>
      <c r="C5896" s="7" t="n">
        <v>0</v>
      </c>
      <c r="D5896" s="7" t="n">
        <v>0</v>
      </c>
      <c r="E5896" s="7" t="s">
        <v>210</v>
      </c>
      <c r="F5896" s="7" t="n">
        <v>0</v>
      </c>
      <c r="G5896" s="7" t="n">
        <v>1</v>
      </c>
      <c r="H5896" s="7" t="n">
        <v>0</v>
      </c>
    </row>
    <row r="5897" spans="1:9">
      <c r="A5897" t="s">
        <v>4</v>
      </c>
      <c r="B5897" s="4" t="s">
        <v>5</v>
      </c>
      <c r="C5897" s="4" t="s">
        <v>11</v>
      </c>
      <c r="D5897" s="4" t="s">
        <v>7</v>
      </c>
      <c r="E5897" s="4" t="s">
        <v>8</v>
      </c>
      <c r="F5897" s="4" t="s">
        <v>13</v>
      </c>
      <c r="G5897" s="4" t="s">
        <v>13</v>
      </c>
      <c r="H5897" s="4" t="s">
        <v>13</v>
      </c>
    </row>
    <row r="5898" spans="1:9">
      <c r="A5898" t="n">
        <v>54790</v>
      </c>
      <c r="B5898" s="42" t="n">
        <v>48</v>
      </c>
      <c r="C5898" s="7" t="n">
        <v>5</v>
      </c>
      <c r="D5898" s="7" t="n">
        <v>0</v>
      </c>
      <c r="E5898" s="7" t="s">
        <v>210</v>
      </c>
      <c r="F5898" s="7" t="n">
        <v>0</v>
      </c>
      <c r="G5898" s="7" t="n">
        <v>1</v>
      </c>
      <c r="H5898" s="7" t="n">
        <v>0</v>
      </c>
    </row>
    <row r="5899" spans="1:9">
      <c r="A5899" t="s">
        <v>4</v>
      </c>
      <c r="B5899" s="4" t="s">
        <v>5</v>
      </c>
      <c r="C5899" s="4" t="s">
        <v>7</v>
      </c>
      <c r="D5899" s="4" t="s">
        <v>11</v>
      </c>
    </row>
    <row r="5900" spans="1:9">
      <c r="A5900" t="n">
        <v>54815</v>
      </c>
      <c r="B5900" s="23" t="n">
        <v>58</v>
      </c>
      <c r="C5900" s="7" t="n">
        <v>255</v>
      </c>
      <c r="D5900" s="7" t="n">
        <v>0</v>
      </c>
    </row>
    <row r="5901" spans="1:9">
      <c r="A5901" t="s">
        <v>4</v>
      </c>
      <c r="B5901" s="4" t="s">
        <v>5</v>
      </c>
      <c r="C5901" s="4" t="s">
        <v>11</v>
      </c>
      <c r="D5901" s="4" t="s">
        <v>7</v>
      </c>
      <c r="E5901" s="4" t="s">
        <v>8</v>
      </c>
      <c r="F5901" s="4" t="s">
        <v>13</v>
      </c>
      <c r="G5901" s="4" t="s">
        <v>13</v>
      </c>
      <c r="H5901" s="4" t="s">
        <v>13</v>
      </c>
    </row>
    <row r="5902" spans="1:9">
      <c r="A5902" t="n">
        <v>54819</v>
      </c>
      <c r="B5902" s="42" t="n">
        <v>48</v>
      </c>
      <c r="C5902" s="7" t="n">
        <v>0</v>
      </c>
      <c r="D5902" s="7" t="n">
        <v>0</v>
      </c>
      <c r="E5902" s="7" t="s">
        <v>479</v>
      </c>
      <c r="F5902" s="7" t="n">
        <v>-1</v>
      </c>
      <c r="G5902" s="7" t="n">
        <v>1</v>
      </c>
      <c r="H5902" s="7" t="n">
        <v>0</v>
      </c>
    </row>
    <row r="5903" spans="1:9">
      <c r="A5903" t="s">
        <v>4</v>
      </c>
      <c r="B5903" s="4" t="s">
        <v>5</v>
      </c>
      <c r="C5903" s="4" t="s">
        <v>11</v>
      </c>
      <c r="D5903" s="4" t="s">
        <v>7</v>
      </c>
      <c r="E5903" s="4" t="s">
        <v>8</v>
      </c>
      <c r="F5903" s="4" t="s">
        <v>13</v>
      </c>
      <c r="G5903" s="4" t="s">
        <v>13</v>
      </c>
      <c r="H5903" s="4" t="s">
        <v>13</v>
      </c>
    </row>
    <row r="5904" spans="1:9">
      <c r="A5904" t="n">
        <v>54845</v>
      </c>
      <c r="B5904" s="42" t="n">
        <v>48</v>
      </c>
      <c r="C5904" s="7" t="n">
        <v>5</v>
      </c>
      <c r="D5904" s="7" t="n">
        <v>0</v>
      </c>
      <c r="E5904" s="7" t="s">
        <v>479</v>
      </c>
      <c r="F5904" s="7" t="n">
        <v>-1</v>
      </c>
      <c r="G5904" s="7" t="n">
        <v>1</v>
      </c>
      <c r="H5904" s="7" t="n">
        <v>0</v>
      </c>
    </row>
    <row r="5905" spans="1:8">
      <c r="A5905" t="s">
        <v>4</v>
      </c>
      <c r="B5905" s="4" t="s">
        <v>5</v>
      </c>
      <c r="C5905" s="4" t="s">
        <v>7</v>
      </c>
      <c r="D5905" s="4" t="s">
        <v>11</v>
      </c>
      <c r="E5905" s="4" t="s">
        <v>13</v>
      </c>
      <c r="F5905" s="4" t="s">
        <v>11</v>
      </c>
      <c r="G5905" s="4" t="s">
        <v>15</v>
      </c>
      <c r="H5905" s="4" t="s">
        <v>15</v>
      </c>
      <c r="I5905" s="4" t="s">
        <v>11</v>
      </c>
      <c r="J5905" s="4" t="s">
        <v>11</v>
      </c>
      <c r="K5905" s="4" t="s">
        <v>15</v>
      </c>
      <c r="L5905" s="4" t="s">
        <v>15</v>
      </c>
      <c r="M5905" s="4" t="s">
        <v>15</v>
      </c>
      <c r="N5905" s="4" t="s">
        <v>15</v>
      </c>
      <c r="O5905" s="4" t="s">
        <v>8</v>
      </c>
    </row>
    <row r="5906" spans="1:8">
      <c r="A5906" t="n">
        <v>54871</v>
      </c>
      <c r="B5906" s="57" t="n">
        <v>50</v>
      </c>
      <c r="C5906" s="7" t="n">
        <v>0</v>
      </c>
      <c r="D5906" s="7" t="n">
        <v>2004</v>
      </c>
      <c r="E5906" s="7" t="n">
        <v>0.400000005960464</v>
      </c>
      <c r="F5906" s="7" t="n">
        <v>200</v>
      </c>
      <c r="G5906" s="7" t="n">
        <v>0</v>
      </c>
      <c r="H5906" s="7" t="n">
        <v>1073741824</v>
      </c>
      <c r="I5906" s="7" t="n">
        <v>0</v>
      </c>
      <c r="J5906" s="7" t="n">
        <v>65533</v>
      </c>
      <c r="K5906" s="7" t="n">
        <v>0</v>
      </c>
      <c r="L5906" s="7" t="n">
        <v>0</v>
      </c>
      <c r="M5906" s="7" t="n">
        <v>0</v>
      </c>
      <c r="N5906" s="7" t="n">
        <v>0</v>
      </c>
      <c r="O5906" s="7" t="s">
        <v>16</v>
      </c>
    </row>
    <row r="5907" spans="1:8">
      <c r="A5907" t="s">
        <v>4</v>
      </c>
      <c r="B5907" s="4" t="s">
        <v>5</v>
      </c>
      <c r="C5907" s="4" t="s">
        <v>11</v>
      </c>
    </row>
    <row r="5908" spans="1:8">
      <c r="A5908" t="n">
        <v>54910</v>
      </c>
      <c r="B5908" s="29" t="n">
        <v>16</v>
      </c>
      <c r="C5908" s="7" t="n">
        <v>500</v>
      </c>
    </row>
    <row r="5909" spans="1:8">
      <c r="A5909" t="s">
        <v>4</v>
      </c>
      <c r="B5909" s="4" t="s">
        <v>5</v>
      </c>
      <c r="C5909" s="4" t="s">
        <v>7</v>
      </c>
      <c r="D5909" s="4" t="s">
        <v>11</v>
      </c>
      <c r="E5909" s="4" t="s">
        <v>8</v>
      </c>
      <c r="F5909" s="4" t="s">
        <v>8</v>
      </c>
      <c r="G5909" s="4" t="s">
        <v>8</v>
      </c>
      <c r="H5909" s="4" t="s">
        <v>8</v>
      </c>
    </row>
    <row r="5910" spans="1:8">
      <c r="A5910" t="n">
        <v>54913</v>
      </c>
      <c r="B5910" s="38" t="n">
        <v>51</v>
      </c>
      <c r="C5910" s="7" t="n">
        <v>3</v>
      </c>
      <c r="D5910" s="7" t="n">
        <v>0</v>
      </c>
      <c r="E5910" s="7" t="s">
        <v>319</v>
      </c>
      <c r="F5910" s="7" t="s">
        <v>99</v>
      </c>
      <c r="G5910" s="7" t="s">
        <v>78</v>
      </c>
      <c r="H5910" s="7" t="s">
        <v>79</v>
      </c>
    </row>
    <row r="5911" spans="1:8">
      <c r="A5911" t="s">
        <v>4</v>
      </c>
      <c r="B5911" s="4" t="s">
        <v>5</v>
      </c>
      <c r="C5911" s="4" t="s">
        <v>7</v>
      </c>
      <c r="D5911" s="4" t="s">
        <v>11</v>
      </c>
      <c r="E5911" s="4" t="s">
        <v>8</v>
      </c>
      <c r="F5911" s="4" t="s">
        <v>8</v>
      </c>
      <c r="G5911" s="4" t="s">
        <v>8</v>
      </c>
      <c r="H5911" s="4" t="s">
        <v>8</v>
      </c>
    </row>
    <row r="5912" spans="1:8">
      <c r="A5912" t="n">
        <v>54926</v>
      </c>
      <c r="B5912" s="38" t="n">
        <v>51</v>
      </c>
      <c r="C5912" s="7" t="n">
        <v>3</v>
      </c>
      <c r="D5912" s="7" t="n">
        <v>5</v>
      </c>
      <c r="E5912" s="7" t="s">
        <v>319</v>
      </c>
      <c r="F5912" s="7" t="s">
        <v>79</v>
      </c>
      <c r="G5912" s="7" t="s">
        <v>16</v>
      </c>
      <c r="H5912" s="7" t="s">
        <v>86</v>
      </c>
    </row>
    <row r="5913" spans="1:8">
      <c r="A5913" t="s">
        <v>4</v>
      </c>
      <c r="B5913" s="4" t="s">
        <v>5</v>
      </c>
      <c r="C5913" s="4" t="s">
        <v>11</v>
      </c>
      <c r="D5913" s="4" t="s">
        <v>15</v>
      </c>
      <c r="E5913" s="4" t="s">
        <v>7</v>
      </c>
    </row>
    <row r="5914" spans="1:8">
      <c r="A5914" t="n">
        <v>54937</v>
      </c>
      <c r="B5914" s="78" t="n">
        <v>35</v>
      </c>
      <c r="C5914" s="7" t="n">
        <v>0</v>
      </c>
      <c r="D5914" s="7" t="n">
        <v>0</v>
      </c>
      <c r="E5914" s="7" t="n">
        <v>0</v>
      </c>
    </row>
    <row r="5915" spans="1:8">
      <c r="A5915" t="s">
        <v>4</v>
      </c>
      <c r="B5915" s="4" t="s">
        <v>5</v>
      </c>
      <c r="C5915" s="4" t="s">
        <v>11</v>
      </c>
      <c r="D5915" s="4" t="s">
        <v>15</v>
      </c>
      <c r="E5915" s="4" t="s">
        <v>7</v>
      </c>
    </row>
    <row r="5916" spans="1:8">
      <c r="A5916" t="n">
        <v>54945</v>
      </c>
      <c r="B5916" s="78" t="n">
        <v>35</v>
      </c>
      <c r="C5916" s="7" t="n">
        <v>5</v>
      </c>
      <c r="D5916" s="7" t="n">
        <v>0</v>
      </c>
      <c r="E5916" s="7" t="n">
        <v>0</v>
      </c>
    </row>
    <row r="5917" spans="1:8">
      <c r="A5917" t="s">
        <v>4</v>
      </c>
      <c r="B5917" s="4" t="s">
        <v>5</v>
      </c>
      <c r="C5917" s="4" t="s">
        <v>7</v>
      </c>
      <c r="D5917" s="4" t="s">
        <v>11</v>
      </c>
    </row>
    <row r="5918" spans="1:8">
      <c r="A5918" t="n">
        <v>54953</v>
      </c>
      <c r="B5918" s="51" t="n">
        <v>45</v>
      </c>
      <c r="C5918" s="7" t="n">
        <v>7</v>
      </c>
      <c r="D5918" s="7" t="n">
        <v>255</v>
      </c>
    </row>
    <row r="5919" spans="1:8">
      <c r="A5919" t="s">
        <v>4</v>
      </c>
      <c r="B5919" s="4" t="s">
        <v>5</v>
      </c>
      <c r="C5919" s="4" t="s">
        <v>7</v>
      </c>
      <c r="D5919" s="4" t="s">
        <v>7</v>
      </c>
      <c r="E5919" s="4" t="s">
        <v>13</v>
      </c>
      <c r="F5919" s="4" t="s">
        <v>13</v>
      </c>
      <c r="G5919" s="4" t="s">
        <v>13</v>
      </c>
      <c r="H5919" s="4" t="s">
        <v>11</v>
      </c>
      <c r="I5919" s="4" t="s">
        <v>7</v>
      </c>
    </row>
    <row r="5920" spans="1:8">
      <c r="A5920" t="n">
        <v>54957</v>
      </c>
      <c r="B5920" s="51" t="n">
        <v>45</v>
      </c>
      <c r="C5920" s="7" t="n">
        <v>4</v>
      </c>
      <c r="D5920" s="7" t="n">
        <v>3</v>
      </c>
      <c r="E5920" s="7" t="n">
        <v>13.4200000762939</v>
      </c>
      <c r="F5920" s="7" t="n">
        <v>41.7400016784668</v>
      </c>
      <c r="G5920" s="7" t="n">
        <v>368</v>
      </c>
      <c r="H5920" s="7" t="n">
        <v>20000</v>
      </c>
      <c r="I5920" s="7" t="n">
        <v>1</v>
      </c>
    </row>
    <row r="5921" spans="1:15">
      <c r="A5921" t="s">
        <v>4</v>
      </c>
      <c r="B5921" s="4" t="s">
        <v>5</v>
      </c>
      <c r="C5921" s="4" t="s">
        <v>7</v>
      </c>
      <c r="D5921" s="4" t="s">
        <v>11</v>
      </c>
      <c r="E5921" s="4" t="s">
        <v>8</v>
      </c>
    </row>
    <row r="5922" spans="1:15">
      <c r="A5922" t="n">
        <v>54975</v>
      </c>
      <c r="B5922" s="38" t="n">
        <v>51</v>
      </c>
      <c r="C5922" s="7" t="n">
        <v>4</v>
      </c>
      <c r="D5922" s="7" t="n">
        <v>5</v>
      </c>
      <c r="E5922" s="7" t="s">
        <v>466</v>
      </c>
    </row>
    <row r="5923" spans="1:15">
      <c r="A5923" t="s">
        <v>4</v>
      </c>
      <c r="B5923" s="4" t="s">
        <v>5</v>
      </c>
      <c r="C5923" s="4" t="s">
        <v>11</v>
      </c>
    </row>
    <row r="5924" spans="1:15">
      <c r="A5924" t="n">
        <v>54989</v>
      </c>
      <c r="B5924" s="29" t="n">
        <v>16</v>
      </c>
      <c r="C5924" s="7" t="n">
        <v>0</v>
      </c>
    </row>
    <row r="5925" spans="1:15">
      <c r="A5925" t="s">
        <v>4</v>
      </c>
      <c r="B5925" s="4" t="s">
        <v>5</v>
      </c>
      <c r="C5925" s="4" t="s">
        <v>11</v>
      </c>
      <c r="D5925" s="4" t="s">
        <v>7</v>
      </c>
      <c r="E5925" s="4" t="s">
        <v>15</v>
      </c>
      <c r="F5925" s="4" t="s">
        <v>55</v>
      </c>
      <c r="G5925" s="4" t="s">
        <v>7</v>
      </c>
      <c r="H5925" s="4" t="s">
        <v>7</v>
      </c>
      <c r="I5925" s="4" t="s">
        <v>7</v>
      </c>
      <c r="J5925" s="4" t="s">
        <v>15</v>
      </c>
      <c r="K5925" s="4" t="s">
        <v>55</v>
      </c>
      <c r="L5925" s="4" t="s">
        <v>7</v>
      </c>
      <c r="M5925" s="4" t="s">
        <v>7</v>
      </c>
    </row>
    <row r="5926" spans="1:15">
      <c r="A5926" t="n">
        <v>54992</v>
      </c>
      <c r="B5926" s="55" t="n">
        <v>26</v>
      </c>
      <c r="C5926" s="7" t="n">
        <v>5</v>
      </c>
      <c r="D5926" s="7" t="n">
        <v>17</v>
      </c>
      <c r="E5926" s="7" t="n">
        <v>3820</v>
      </c>
      <c r="F5926" s="7" t="s">
        <v>545</v>
      </c>
      <c r="G5926" s="7" t="n">
        <v>2</v>
      </c>
      <c r="H5926" s="7" t="n">
        <v>3</v>
      </c>
      <c r="I5926" s="7" t="n">
        <v>17</v>
      </c>
      <c r="J5926" s="7" t="n">
        <v>3821</v>
      </c>
      <c r="K5926" s="7" t="s">
        <v>546</v>
      </c>
      <c r="L5926" s="7" t="n">
        <v>2</v>
      </c>
      <c r="M5926" s="7" t="n">
        <v>0</v>
      </c>
    </row>
    <row r="5927" spans="1:15">
      <c r="A5927" t="s">
        <v>4</v>
      </c>
      <c r="B5927" s="4" t="s">
        <v>5</v>
      </c>
    </row>
    <row r="5928" spans="1:15">
      <c r="A5928" t="n">
        <v>55148</v>
      </c>
      <c r="B5928" s="27" t="n">
        <v>28</v>
      </c>
    </row>
    <row r="5929" spans="1:15">
      <c r="A5929" t="s">
        <v>4</v>
      </c>
      <c r="B5929" s="4" t="s">
        <v>5</v>
      </c>
      <c r="C5929" s="4" t="s">
        <v>7</v>
      </c>
      <c r="D5929" s="4" t="s">
        <v>11</v>
      </c>
      <c r="E5929" s="4" t="s">
        <v>8</v>
      </c>
    </row>
    <row r="5930" spans="1:15">
      <c r="A5930" t="n">
        <v>55149</v>
      </c>
      <c r="B5930" s="38" t="n">
        <v>51</v>
      </c>
      <c r="C5930" s="7" t="n">
        <v>4</v>
      </c>
      <c r="D5930" s="7" t="n">
        <v>0</v>
      </c>
      <c r="E5930" s="7" t="s">
        <v>547</v>
      </c>
    </row>
    <row r="5931" spans="1:15">
      <c r="A5931" t="s">
        <v>4</v>
      </c>
      <c r="B5931" s="4" t="s">
        <v>5</v>
      </c>
      <c r="C5931" s="4" t="s">
        <v>11</v>
      </c>
    </row>
    <row r="5932" spans="1:15">
      <c r="A5932" t="n">
        <v>55163</v>
      </c>
      <c r="B5932" s="29" t="n">
        <v>16</v>
      </c>
      <c r="C5932" s="7" t="n">
        <v>0</v>
      </c>
    </row>
    <row r="5933" spans="1:15">
      <c r="A5933" t="s">
        <v>4</v>
      </c>
      <c r="B5933" s="4" t="s">
        <v>5</v>
      </c>
      <c r="C5933" s="4" t="s">
        <v>11</v>
      </c>
      <c r="D5933" s="4" t="s">
        <v>7</v>
      </c>
      <c r="E5933" s="4" t="s">
        <v>15</v>
      </c>
      <c r="F5933" s="4" t="s">
        <v>55</v>
      </c>
      <c r="G5933" s="4" t="s">
        <v>7</v>
      </c>
      <c r="H5933" s="4" t="s">
        <v>7</v>
      </c>
      <c r="I5933" s="4" t="s">
        <v>7</v>
      </c>
      <c r="J5933" s="4" t="s">
        <v>15</v>
      </c>
      <c r="K5933" s="4" t="s">
        <v>55</v>
      </c>
      <c r="L5933" s="4" t="s">
        <v>7</v>
      </c>
      <c r="M5933" s="4" t="s">
        <v>7</v>
      </c>
    </row>
    <row r="5934" spans="1:15">
      <c r="A5934" t="n">
        <v>55166</v>
      </c>
      <c r="B5934" s="55" t="n">
        <v>26</v>
      </c>
      <c r="C5934" s="7" t="n">
        <v>0</v>
      </c>
      <c r="D5934" s="7" t="n">
        <v>17</v>
      </c>
      <c r="E5934" s="7" t="n">
        <v>63901</v>
      </c>
      <c r="F5934" s="7" t="s">
        <v>548</v>
      </c>
      <c r="G5934" s="7" t="n">
        <v>2</v>
      </c>
      <c r="H5934" s="7" t="n">
        <v>3</v>
      </c>
      <c r="I5934" s="7" t="n">
        <v>17</v>
      </c>
      <c r="J5934" s="7" t="n">
        <v>63902</v>
      </c>
      <c r="K5934" s="7" t="s">
        <v>549</v>
      </c>
      <c r="L5934" s="7" t="n">
        <v>2</v>
      </c>
      <c r="M5934" s="7" t="n">
        <v>0</v>
      </c>
    </row>
    <row r="5935" spans="1:15">
      <c r="A5935" t="s">
        <v>4</v>
      </c>
      <c r="B5935" s="4" t="s">
        <v>5</v>
      </c>
    </row>
    <row r="5936" spans="1:15">
      <c r="A5936" t="n">
        <v>55324</v>
      </c>
      <c r="B5936" s="27" t="n">
        <v>28</v>
      </c>
    </row>
    <row r="5937" spans="1:13">
      <c r="A5937" t="s">
        <v>4</v>
      </c>
      <c r="B5937" s="4" t="s">
        <v>5</v>
      </c>
      <c r="C5937" s="4" t="s">
        <v>11</v>
      </c>
    </row>
    <row r="5938" spans="1:13">
      <c r="A5938" t="n">
        <v>55325</v>
      </c>
      <c r="B5938" s="29" t="n">
        <v>16</v>
      </c>
      <c r="C5938" s="7" t="n">
        <v>300</v>
      </c>
    </row>
    <row r="5939" spans="1:13">
      <c r="A5939" t="s">
        <v>4</v>
      </c>
      <c r="B5939" s="4" t="s">
        <v>5</v>
      </c>
      <c r="C5939" s="4" t="s">
        <v>7</v>
      </c>
      <c r="D5939" s="4" t="s">
        <v>11</v>
      </c>
      <c r="E5939" s="4" t="s">
        <v>8</v>
      </c>
    </row>
    <row r="5940" spans="1:13">
      <c r="A5940" t="n">
        <v>55328</v>
      </c>
      <c r="B5940" s="38" t="n">
        <v>51</v>
      </c>
      <c r="C5940" s="7" t="n">
        <v>4</v>
      </c>
      <c r="D5940" s="7" t="n">
        <v>5</v>
      </c>
      <c r="E5940" s="7" t="s">
        <v>238</v>
      </c>
    </row>
    <row r="5941" spans="1:13">
      <c r="A5941" t="s">
        <v>4</v>
      </c>
      <c r="B5941" s="4" t="s">
        <v>5</v>
      </c>
      <c r="C5941" s="4" t="s">
        <v>11</v>
      </c>
    </row>
    <row r="5942" spans="1:13">
      <c r="A5942" t="n">
        <v>55342</v>
      </c>
      <c r="B5942" s="29" t="n">
        <v>16</v>
      </c>
      <c r="C5942" s="7" t="n">
        <v>500</v>
      </c>
    </row>
    <row r="5943" spans="1:13">
      <c r="A5943" t="s">
        <v>4</v>
      </c>
      <c r="B5943" s="4" t="s">
        <v>5</v>
      </c>
      <c r="C5943" s="4" t="s">
        <v>11</v>
      </c>
      <c r="D5943" s="4" t="s">
        <v>7</v>
      </c>
      <c r="E5943" s="4" t="s">
        <v>15</v>
      </c>
      <c r="F5943" s="4" t="s">
        <v>55</v>
      </c>
      <c r="G5943" s="4" t="s">
        <v>7</v>
      </c>
      <c r="H5943" s="4" t="s">
        <v>7</v>
      </c>
    </row>
    <row r="5944" spans="1:13">
      <c r="A5944" t="n">
        <v>55345</v>
      </c>
      <c r="B5944" s="55" t="n">
        <v>26</v>
      </c>
      <c r="C5944" s="7" t="n">
        <v>5</v>
      </c>
      <c r="D5944" s="7" t="n">
        <v>17</v>
      </c>
      <c r="E5944" s="7" t="n">
        <v>3822</v>
      </c>
      <c r="F5944" s="7" t="s">
        <v>550</v>
      </c>
      <c r="G5944" s="7" t="n">
        <v>2</v>
      </c>
      <c r="H5944" s="7" t="n">
        <v>0</v>
      </c>
    </row>
    <row r="5945" spans="1:13">
      <c r="A5945" t="s">
        <v>4</v>
      </c>
      <c r="B5945" s="4" t="s">
        <v>5</v>
      </c>
    </row>
    <row r="5946" spans="1:13">
      <c r="A5946" t="n">
        <v>55369</v>
      </c>
      <c r="B5946" s="27" t="n">
        <v>28</v>
      </c>
    </row>
    <row r="5947" spans="1:13">
      <c r="A5947" t="s">
        <v>4</v>
      </c>
      <c r="B5947" s="4" t="s">
        <v>5</v>
      </c>
      <c r="C5947" s="4" t="s">
        <v>11</v>
      </c>
    </row>
    <row r="5948" spans="1:13">
      <c r="A5948" t="n">
        <v>55370</v>
      </c>
      <c r="B5948" s="29" t="n">
        <v>16</v>
      </c>
      <c r="C5948" s="7" t="n">
        <v>1000</v>
      </c>
    </row>
    <row r="5949" spans="1:13">
      <c r="A5949" t="s">
        <v>4</v>
      </c>
      <c r="B5949" s="4" t="s">
        <v>5</v>
      </c>
      <c r="C5949" s="4" t="s">
        <v>7</v>
      </c>
      <c r="D5949" s="4" t="s">
        <v>13</v>
      </c>
      <c r="E5949" s="4" t="s">
        <v>11</v>
      </c>
      <c r="F5949" s="4" t="s">
        <v>7</v>
      </c>
    </row>
    <row r="5950" spans="1:13">
      <c r="A5950" t="n">
        <v>55373</v>
      </c>
      <c r="B5950" s="13" t="n">
        <v>49</v>
      </c>
      <c r="C5950" s="7" t="n">
        <v>3</v>
      </c>
      <c r="D5950" s="7" t="n">
        <v>1</v>
      </c>
      <c r="E5950" s="7" t="n">
        <v>1000</v>
      </c>
      <c r="F5950" s="7" t="n">
        <v>0</v>
      </c>
    </row>
    <row r="5951" spans="1:13">
      <c r="A5951" t="s">
        <v>4</v>
      </c>
      <c r="B5951" s="4" t="s">
        <v>5</v>
      </c>
      <c r="C5951" s="4" t="s">
        <v>7</v>
      </c>
      <c r="D5951" s="4" t="s">
        <v>11</v>
      </c>
      <c r="E5951" s="4" t="s">
        <v>13</v>
      </c>
    </row>
    <row r="5952" spans="1:13">
      <c r="A5952" t="n">
        <v>55382</v>
      </c>
      <c r="B5952" s="23" t="n">
        <v>58</v>
      </c>
      <c r="C5952" s="7" t="n">
        <v>101</v>
      </c>
      <c r="D5952" s="7" t="n">
        <v>1000</v>
      </c>
      <c r="E5952" s="7" t="n">
        <v>1</v>
      </c>
    </row>
    <row r="5953" spans="1:8">
      <c r="A5953" t="s">
        <v>4</v>
      </c>
      <c r="B5953" s="4" t="s">
        <v>5</v>
      </c>
      <c r="C5953" s="4" t="s">
        <v>7</v>
      </c>
      <c r="D5953" s="4" t="s">
        <v>11</v>
      </c>
    </row>
    <row r="5954" spans="1:8">
      <c r="A5954" t="n">
        <v>55390</v>
      </c>
      <c r="B5954" s="23" t="n">
        <v>58</v>
      </c>
      <c r="C5954" s="7" t="n">
        <v>254</v>
      </c>
      <c r="D5954" s="7" t="n">
        <v>0</v>
      </c>
    </row>
    <row r="5955" spans="1:8">
      <c r="A5955" t="s">
        <v>4</v>
      </c>
      <c r="B5955" s="4" t="s">
        <v>5</v>
      </c>
      <c r="C5955" s="4" t="s">
        <v>7</v>
      </c>
      <c r="D5955" s="4" t="s">
        <v>11</v>
      </c>
      <c r="E5955" s="4" t="s">
        <v>8</v>
      </c>
      <c r="F5955" s="4" t="s">
        <v>8</v>
      </c>
      <c r="G5955" s="4" t="s">
        <v>8</v>
      </c>
      <c r="H5955" s="4" t="s">
        <v>8</v>
      </c>
    </row>
    <row r="5956" spans="1:8">
      <c r="A5956" t="n">
        <v>55394</v>
      </c>
      <c r="B5956" s="38" t="n">
        <v>51</v>
      </c>
      <c r="C5956" s="7" t="n">
        <v>3</v>
      </c>
      <c r="D5956" s="7" t="n">
        <v>5</v>
      </c>
      <c r="E5956" s="7" t="s">
        <v>319</v>
      </c>
      <c r="F5956" s="7" t="s">
        <v>79</v>
      </c>
      <c r="G5956" s="7" t="s">
        <v>16</v>
      </c>
      <c r="H5956" s="7" t="s">
        <v>86</v>
      </c>
    </row>
    <row r="5957" spans="1:8">
      <c r="A5957" t="s">
        <v>4</v>
      </c>
      <c r="B5957" s="4" t="s">
        <v>5</v>
      </c>
      <c r="C5957" s="4" t="s">
        <v>7</v>
      </c>
    </row>
    <row r="5958" spans="1:8">
      <c r="A5958" t="n">
        <v>55405</v>
      </c>
      <c r="B5958" s="49" t="n">
        <v>116</v>
      </c>
      <c r="C5958" s="7" t="n">
        <v>0</v>
      </c>
    </row>
    <row r="5959" spans="1:8">
      <c r="A5959" t="s">
        <v>4</v>
      </c>
      <c r="B5959" s="4" t="s">
        <v>5</v>
      </c>
      <c r="C5959" s="4" t="s">
        <v>7</v>
      </c>
      <c r="D5959" s="4" t="s">
        <v>11</v>
      </c>
    </row>
    <row r="5960" spans="1:8">
      <c r="A5960" t="n">
        <v>55407</v>
      </c>
      <c r="B5960" s="49" t="n">
        <v>116</v>
      </c>
      <c r="C5960" s="7" t="n">
        <v>2</v>
      </c>
      <c r="D5960" s="7" t="n">
        <v>1</v>
      </c>
    </row>
    <row r="5961" spans="1:8">
      <c r="A5961" t="s">
        <v>4</v>
      </c>
      <c r="B5961" s="4" t="s">
        <v>5</v>
      </c>
      <c r="C5961" s="4" t="s">
        <v>7</v>
      </c>
      <c r="D5961" s="4" t="s">
        <v>15</v>
      </c>
    </row>
    <row r="5962" spans="1:8">
      <c r="A5962" t="n">
        <v>55411</v>
      </c>
      <c r="B5962" s="49" t="n">
        <v>116</v>
      </c>
      <c r="C5962" s="7" t="n">
        <v>5</v>
      </c>
      <c r="D5962" s="7" t="n">
        <v>1092616192</v>
      </c>
    </row>
    <row r="5963" spans="1:8">
      <c r="A5963" t="s">
        <v>4</v>
      </c>
      <c r="B5963" s="4" t="s">
        <v>5</v>
      </c>
      <c r="C5963" s="4" t="s">
        <v>7</v>
      </c>
      <c r="D5963" s="4" t="s">
        <v>11</v>
      </c>
    </row>
    <row r="5964" spans="1:8">
      <c r="A5964" t="n">
        <v>55417</v>
      </c>
      <c r="B5964" s="49" t="n">
        <v>116</v>
      </c>
      <c r="C5964" s="7" t="n">
        <v>6</v>
      </c>
      <c r="D5964" s="7" t="n">
        <v>1</v>
      </c>
    </row>
    <row r="5965" spans="1:8">
      <c r="A5965" t="s">
        <v>4</v>
      </c>
      <c r="B5965" s="4" t="s">
        <v>5</v>
      </c>
      <c r="C5965" s="4" t="s">
        <v>7</v>
      </c>
      <c r="D5965" s="4" t="s">
        <v>7</v>
      </c>
      <c r="E5965" s="4" t="s">
        <v>13</v>
      </c>
      <c r="F5965" s="4" t="s">
        <v>13</v>
      </c>
      <c r="G5965" s="4" t="s">
        <v>13</v>
      </c>
      <c r="H5965" s="4" t="s">
        <v>11</v>
      </c>
    </row>
    <row r="5966" spans="1:8">
      <c r="A5966" t="n">
        <v>55421</v>
      </c>
      <c r="B5966" s="51" t="n">
        <v>45</v>
      </c>
      <c r="C5966" s="7" t="n">
        <v>2</v>
      </c>
      <c r="D5966" s="7" t="n">
        <v>3</v>
      </c>
      <c r="E5966" s="7" t="n">
        <v>-6.67000007629395</v>
      </c>
      <c r="F5966" s="7" t="n">
        <v>6.42000007629395</v>
      </c>
      <c r="G5966" s="7" t="n">
        <v>29.8899993896484</v>
      </c>
      <c r="H5966" s="7" t="n">
        <v>0</v>
      </c>
    </row>
    <row r="5967" spans="1:8">
      <c r="A5967" t="s">
        <v>4</v>
      </c>
      <c r="B5967" s="4" t="s">
        <v>5</v>
      </c>
      <c r="C5967" s="4" t="s">
        <v>7</v>
      </c>
      <c r="D5967" s="4" t="s">
        <v>7</v>
      </c>
      <c r="E5967" s="4" t="s">
        <v>13</v>
      </c>
      <c r="F5967" s="4" t="s">
        <v>13</v>
      </c>
      <c r="G5967" s="4" t="s">
        <v>13</v>
      </c>
      <c r="H5967" s="4" t="s">
        <v>11</v>
      </c>
      <c r="I5967" s="4" t="s">
        <v>7</v>
      </c>
    </row>
    <row r="5968" spans="1:8">
      <c r="A5968" t="n">
        <v>55438</v>
      </c>
      <c r="B5968" s="51" t="n">
        <v>45</v>
      </c>
      <c r="C5968" s="7" t="n">
        <v>4</v>
      </c>
      <c r="D5968" s="7" t="n">
        <v>3</v>
      </c>
      <c r="E5968" s="7" t="n">
        <v>15.4700002670288</v>
      </c>
      <c r="F5968" s="7" t="n">
        <v>56.1100006103516</v>
      </c>
      <c r="G5968" s="7" t="n">
        <v>354</v>
      </c>
      <c r="H5968" s="7" t="n">
        <v>0</v>
      </c>
      <c r="I5968" s="7" t="n">
        <v>0</v>
      </c>
    </row>
    <row r="5969" spans="1:9">
      <c r="A5969" t="s">
        <v>4</v>
      </c>
      <c r="B5969" s="4" t="s">
        <v>5</v>
      </c>
      <c r="C5969" s="4" t="s">
        <v>7</v>
      </c>
      <c r="D5969" s="4" t="s">
        <v>7</v>
      </c>
      <c r="E5969" s="4" t="s">
        <v>13</v>
      </c>
      <c r="F5969" s="4" t="s">
        <v>11</v>
      </c>
    </row>
    <row r="5970" spans="1:9">
      <c r="A5970" t="n">
        <v>55456</v>
      </c>
      <c r="B5970" s="51" t="n">
        <v>45</v>
      </c>
      <c r="C5970" s="7" t="n">
        <v>5</v>
      </c>
      <c r="D5970" s="7" t="n">
        <v>3</v>
      </c>
      <c r="E5970" s="7" t="n">
        <v>1.5</v>
      </c>
      <c r="F5970" s="7" t="n">
        <v>0</v>
      </c>
    </row>
    <row r="5971" spans="1:9">
      <c r="A5971" t="s">
        <v>4</v>
      </c>
      <c r="B5971" s="4" t="s">
        <v>5</v>
      </c>
      <c r="C5971" s="4" t="s">
        <v>7</v>
      </c>
      <c r="D5971" s="4" t="s">
        <v>7</v>
      </c>
      <c r="E5971" s="4" t="s">
        <v>13</v>
      </c>
      <c r="F5971" s="4" t="s">
        <v>11</v>
      </c>
    </row>
    <row r="5972" spans="1:9">
      <c r="A5972" t="n">
        <v>55465</v>
      </c>
      <c r="B5972" s="51" t="n">
        <v>45</v>
      </c>
      <c r="C5972" s="7" t="n">
        <v>11</v>
      </c>
      <c r="D5972" s="7" t="n">
        <v>3</v>
      </c>
      <c r="E5972" s="7" t="n">
        <v>40.2999992370605</v>
      </c>
      <c r="F5972" s="7" t="n">
        <v>0</v>
      </c>
    </row>
    <row r="5973" spans="1:9">
      <c r="A5973" t="s">
        <v>4</v>
      </c>
      <c r="B5973" s="4" t="s">
        <v>5</v>
      </c>
      <c r="C5973" s="4" t="s">
        <v>7</v>
      </c>
      <c r="D5973" s="4" t="s">
        <v>7</v>
      </c>
      <c r="E5973" s="4" t="s">
        <v>13</v>
      </c>
      <c r="F5973" s="4" t="s">
        <v>13</v>
      </c>
      <c r="G5973" s="4" t="s">
        <v>13</v>
      </c>
      <c r="H5973" s="4" t="s">
        <v>11</v>
      </c>
    </row>
    <row r="5974" spans="1:9">
      <c r="A5974" t="n">
        <v>55474</v>
      </c>
      <c r="B5974" s="51" t="n">
        <v>45</v>
      </c>
      <c r="C5974" s="7" t="n">
        <v>2</v>
      </c>
      <c r="D5974" s="7" t="n">
        <v>3</v>
      </c>
      <c r="E5974" s="7" t="n">
        <v>-6.34000015258789</v>
      </c>
      <c r="F5974" s="7" t="n">
        <v>6.59000015258789</v>
      </c>
      <c r="G5974" s="7" t="n">
        <v>28.8899993896484</v>
      </c>
      <c r="H5974" s="7" t="n">
        <v>6000</v>
      </c>
    </row>
    <row r="5975" spans="1:9">
      <c r="A5975" t="s">
        <v>4</v>
      </c>
      <c r="B5975" s="4" t="s">
        <v>5</v>
      </c>
      <c r="C5975" s="4" t="s">
        <v>7</v>
      </c>
      <c r="D5975" s="4" t="s">
        <v>7</v>
      </c>
      <c r="E5975" s="4" t="s">
        <v>13</v>
      </c>
      <c r="F5975" s="4" t="s">
        <v>13</v>
      </c>
      <c r="G5975" s="4" t="s">
        <v>13</v>
      </c>
      <c r="H5975" s="4" t="s">
        <v>11</v>
      </c>
      <c r="I5975" s="4" t="s">
        <v>7</v>
      </c>
    </row>
    <row r="5976" spans="1:9">
      <c r="A5976" t="n">
        <v>55491</v>
      </c>
      <c r="B5976" s="51" t="n">
        <v>45</v>
      </c>
      <c r="C5976" s="7" t="n">
        <v>4</v>
      </c>
      <c r="D5976" s="7" t="n">
        <v>3</v>
      </c>
      <c r="E5976" s="7" t="n">
        <v>10.7700004577637</v>
      </c>
      <c r="F5976" s="7" t="n">
        <v>43.6100006103516</v>
      </c>
      <c r="G5976" s="7" t="n">
        <v>360</v>
      </c>
      <c r="H5976" s="7" t="n">
        <v>6000</v>
      </c>
      <c r="I5976" s="7" t="n">
        <v>1</v>
      </c>
    </row>
    <row r="5977" spans="1:9">
      <c r="A5977" t="s">
        <v>4</v>
      </c>
      <c r="B5977" s="4" t="s">
        <v>5</v>
      </c>
      <c r="C5977" s="4" t="s">
        <v>7</v>
      </c>
      <c r="D5977" s="4" t="s">
        <v>11</v>
      </c>
    </row>
    <row r="5978" spans="1:9">
      <c r="A5978" t="n">
        <v>55509</v>
      </c>
      <c r="B5978" s="23" t="n">
        <v>58</v>
      </c>
      <c r="C5978" s="7" t="n">
        <v>255</v>
      </c>
      <c r="D5978" s="7" t="n">
        <v>0</v>
      </c>
    </row>
    <row r="5979" spans="1:9">
      <c r="A5979" t="s">
        <v>4</v>
      </c>
      <c r="B5979" s="4" t="s">
        <v>5</v>
      </c>
      <c r="C5979" s="4" t="s">
        <v>7</v>
      </c>
      <c r="D5979" s="4" t="s">
        <v>11</v>
      </c>
    </row>
    <row r="5980" spans="1:9">
      <c r="A5980" t="n">
        <v>55513</v>
      </c>
      <c r="B5980" s="51" t="n">
        <v>45</v>
      </c>
      <c r="C5980" s="7" t="n">
        <v>7</v>
      </c>
      <c r="D5980" s="7" t="n">
        <v>255</v>
      </c>
    </row>
    <row r="5981" spans="1:9">
      <c r="A5981" t="s">
        <v>4</v>
      </c>
      <c r="B5981" s="4" t="s">
        <v>5</v>
      </c>
      <c r="C5981" s="4" t="s">
        <v>7</v>
      </c>
      <c r="D5981" s="4" t="s">
        <v>11</v>
      </c>
      <c r="E5981" s="4" t="s">
        <v>13</v>
      </c>
    </row>
    <row r="5982" spans="1:9">
      <c r="A5982" t="n">
        <v>55517</v>
      </c>
      <c r="B5982" s="23" t="n">
        <v>58</v>
      </c>
      <c r="C5982" s="7" t="n">
        <v>0</v>
      </c>
      <c r="D5982" s="7" t="n">
        <v>2000</v>
      </c>
      <c r="E5982" s="7" t="n">
        <v>1</v>
      </c>
    </row>
    <row r="5983" spans="1:9">
      <c r="A5983" t="s">
        <v>4</v>
      </c>
      <c r="B5983" s="4" t="s">
        <v>5</v>
      </c>
      <c r="C5983" s="4" t="s">
        <v>7</v>
      </c>
      <c r="D5983" s="4" t="s">
        <v>11</v>
      </c>
    </row>
    <row r="5984" spans="1:9">
      <c r="A5984" t="n">
        <v>55525</v>
      </c>
      <c r="B5984" s="23" t="n">
        <v>58</v>
      </c>
      <c r="C5984" s="7" t="n">
        <v>255</v>
      </c>
      <c r="D5984" s="7" t="n">
        <v>0</v>
      </c>
    </row>
    <row r="5985" spans="1:9">
      <c r="A5985" t="s">
        <v>4</v>
      </c>
      <c r="B5985" s="4" t="s">
        <v>5</v>
      </c>
      <c r="C5985" s="4" t="s">
        <v>7</v>
      </c>
      <c r="D5985" s="4" t="s">
        <v>11</v>
      </c>
      <c r="E5985" s="4" t="s">
        <v>11</v>
      </c>
      <c r="F5985" s="4" t="s">
        <v>15</v>
      </c>
    </row>
    <row r="5986" spans="1:9">
      <c r="A5986" t="n">
        <v>55529</v>
      </c>
      <c r="B5986" s="76" t="n">
        <v>84</v>
      </c>
      <c r="C5986" s="7" t="n">
        <v>1</v>
      </c>
      <c r="D5986" s="7" t="n">
        <v>0</v>
      </c>
      <c r="E5986" s="7" t="n">
        <v>0</v>
      </c>
      <c r="F5986" s="7" t="n">
        <v>0</v>
      </c>
    </row>
    <row r="5987" spans="1:9">
      <c r="A5987" t="s">
        <v>4</v>
      </c>
      <c r="B5987" s="4" t="s">
        <v>5</v>
      </c>
      <c r="C5987" s="4" t="s">
        <v>7</v>
      </c>
    </row>
    <row r="5988" spans="1:9">
      <c r="A5988" t="n">
        <v>55539</v>
      </c>
      <c r="B5988" s="28" t="n">
        <v>78</v>
      </c>
      <c r="C5988" s="7" t="n">
        <v>255</v>
      </c>
    </row>
    <row r="5989" spans="1:9">
      <c r="A5989" t="s">
        <v>4</v>
      </c>
      <c r="B5989" s="4" t="s">
        <v>5</v>
      </c>
      <c r="C5989" s="4" t="s">
        <v>7</v>
      </c>
      <c r="D5989" s="4" t="s">
        <v>11</v>
      </c>
      <c r="E5989" s="4" t="s">
        <v>7</v>
      </c>
    </row>
    <row r="5990" spans="1:9">
      <c r="A5990" t="n">
        <v>55541</v>
      </c>
      <c r="B5990" s="40" t="n">
        <v>36</v>
      </c>
      <c r="C5990" s="7" t="n">
        <v>9</v>
      </c>
      <c r="D5990" s="7" t="n">
        <v>0</v>
      </c>
      <c r="E5990" s="7" t="n">
        <v>0</v>
      </c>
    </row>
    <row r="5991" spans="1:9">
      <c r="A5991" t="s">
        <v>4</v>
      </c>
      <c r="B5991" s="4" t="s">
        <v>5</v>
      </c>
      <c r="C5991" s="4" t="s">
        <v>7</v>
      </c>
      <c r="D5991" s="4" t="s">
        <v>11</v>
      </c>
      <c r="E5991" s="4" t="s">
        <v>7</v>
      </c>
    </row>
    <row r="5992" spans="1:9">
      <c r="A5992" t="n">
        <v>55546</v>
      </c>
      <c r="B5992" s="40" t="n">
        <v>36</v>
      </c>
      <c r="C5992" s="7" t="n">
        <v>9</v>
      </c>
      <c r="D5992" s="7" t="n">
        <v>5</v>
      </c>
      <c r="E5992" s="7" t="n">
        <v>0</v>
      </c>
    </row>
    <row r="5993" spans="1:9">
      <c r="A5993" t="s">
        <v>4</v>
      </c>
      <c r="B5993" s="4" t="s">
        <v>5</v>
      </c>
      <c r="C5993" s="4" t="s">
        <v>11</v>
      </c>
    </row>
    <row r="5994" spans="1:9">
      <c r="A5994" t="n">
        <v>55551</v>
      </c>
      <c r="B5994" s="43" t="n">
        <v>12</v>
      </c>
      <c r="C5994" s="7" t="n">
        <v>10829</v>
      </c>
    </row>
    <row r="5995" spans="1:9">
      <c r="A5995" t="s">
        <v>4</v>
      </c>
      <c r="B5995" s="4" t="s">
        <v>5</v>
      </c>
      <c r="C5995" s="4" t="s">
        <v>11</v>
      </c>
    </row>
    <row r="5996" spans="1:9">
      <c r="A5996" t="n">
        <v>55554</v>
      </c>
      <c r="B5996" s="43" t="n">
        <v>12</v>
      </c>
      <c r="C5996" s="7" t="n">
        <v>6580</v>
      </c>
    </row>
    <row r="5997" spans="1:9">
      <c r="A5997" t="s">
        <v>4</v>
      </c>
      <c r="B5997" s="4" t="s">
        <v>5</v>
      </c>
      <c r="C5997" s="4" t="s">
        <v>7</v>
      </c>
      <c r="D5997" s="4" t="s">
        <v>15</v>
      </c>
    </row>
    <row r="5998" spans="1:9">
      <c r="A5998" t="n">
        <v>55557</v>
      </c>
      <c r="B5998" s="79" t="n">
        <v>137</v>
      </c>
      <c r="C5998" s="7" t="n">
        <v>6</v>
      </c>
      <c r="D5998" s="7" t="n">
        <v>1024</v>
      </c>
    </row>
    <row r="5999" spans="1:9">
      <c r="A5999" t="s">
        <v>4</v>
      </c>
      <c r="B5999" s="4" t="s">
        <v>5</v>
      </c>
      <c r="C5999" s="4" t="s">
        <v>11</v>
      </c>
      <c r="D5999" s="4" t="s">
        <v>7</v>
      </c>
      <c r="E5999" s="4" t="s">
        <v>11</v>
      </c>
    </row>
    <row r="6000" spans="1:9">
      <c r="A6000" t="n">
        <v>55563</v>
      </c>
      <c r="B6000" s="58" t="n">
        <v>104</v>
      </c>
      <c r="C6000" s="7" t="n">
        <v>127</v>
      </c>
      <c r="D6000" s="7" t="n">
        <v>1</v>
      </c>
      <c r="E6000" s="7" t="n">
        <v>7</v>
      </c>
    </row>
    <row r="6001" spans="1:6">
      <c r="A6001" t="s">
        <v>4</v>
      </c>
      <c r="B6001" s="4" t="s">
        <v>5</v>
      </c>
    </row>
    <row r="6002" spans="1:6">
      <c r="A6002" t="n">
        <v>55569</v>
      </c>
      <c r="B6002" s="5" t="n">
        <v>1</v>
      </c>
    </row>
    <row r="6003" spans="1:6">
      <c r="A6003" t="s">
        <v>4</v>
      </c>
      <c r="B6003" s="4" t="s">
        <v>5</v>
      </c>
      <c r="C6003" s="4" t="s">
        <v>7</v>
      </c>
      <c r="D6003" s="4" t="s">
        <v>11</v>
      </c>
      <c r="E6003" s="4" t="s">
        <v>11</v>
      </c>
      <c r="F6003" s="4" t="s">
        <v>15</v>
      </c>
      <c r="G6003" s="4" t="s">
        <v>15</v>
      </c>
      <c r="H6003" s="4" t="s">
        <v>15</v>
      </c>
    </row>
    <row r="6004" spans="1:6">
      <c r="A6004" t="n">
        <v>55570</v>
      </c>
      <c r="B6004" s="77" t="n">
        <v>97</v>
      </c>
      <c r="C6004" s="7" t="n">
        <v>7</v>
      </c>
      <c r="D6004" s="7" t="n">
        <v>0</v>
      </c>
      <c r="E6004" s="7" t="n">
        <v>0</v>
      </c>
      <c r="F6004" s="7" t="n">
        <v>0</v>
      </c>
      <c r="G6004" s="7" t="n">
        <v>0</v>
      </c>
      <c r="H6004" s="7" t="n">
        <v>0</v>
      </c>
    </row>
    <row r="6005" spans="1:6">
      <c r="A6005" t="s">
        <v>4</v>
      </c>
      <c r="B6005" s="4" t="s">
        <v>5</v>
      </c>
      <c r="C6005" s="4" t="s">
        <v>11</v>
      </c>
      <c r="D6005" s="4" t="s">
        <v>13</v>
      </c>
      <c r="E6005" s="4" t="s">
        <v>13</v>
      </c>
      <c r="F6005" s="4" t="s">
        <v>13</v>
      </c>
      <c r="G6005" s="4" t="s">
        <v>13</v>
      </c>
    </row>
    <row r="6006" spans="1:6">
      <c r="A6006" t="n">
        <v>55588</v>
      </c>
      <c r="B6006" s="36" t="n">
        <v>46</v>
      </c>
      <c r="C6006" s="7" t="n">
        <v>61456</v>
      </c>
      <c r="D6006" s="7" t="n">
        <v>0</v>
      </c>
      <c r="E6006" s="7" t="n">
        <v>0</v>
      </c>
      <c r="F6006" s="7" t="n">
        <v>0</v>
      </c>
      <c r="G6006" s="7" t="n">
        <v>0</v>
      </c>
    </row>
    <row r="6007" spans="1:6">
      <c r="A6007" t="s">
        <v>4</v>
      </c>
      <c r="B6007" s="4" t="s">
        <v>5</v>
      </c>
      <c r="C6007" s="4" t="s">
        <v>7</v>
      </c>
      <c r="D6007" s="4" t="s">
        <v>11</v>
      </c>
    </row>
    <row r="6008" spans="1:6">
      <c r="A6008" t="n">
        <v>55607</v>
      </c>
      <c r="B6008" s="8" t="n">
        <v>162</v>
      </c>
      <c r="C6008" s="7" t="n">
        <v>1</v>
      </c>
      <c r="D6008" s="7" t="n">
        <v>0</v>
      </c>
    </row>
    <row r="6009" spans="1:6">
      <c r="A6009" t="s">
        <v>4</v>
      </c>
      <c r="B6009" s="4" t="s">
        <v>5</v>
      </c>
    </row>
    <row r="6010" spans="1:6">
      <c r="A6010" t="n">
        <v>55611</v>
      </c>
      <c r="B6010" s="5" t="n">
        <v>1</v>
      </c>
    </row>
    <row r="6011" spans="1:6" s="3" customFormat="1" customHeight="0">
      <c r="A6011" s="3" t="s">
        <v>2</v>
      </c>
      <c r="B6011" s="3" t="s">
        <v>551</v>
      </c>
    </row>
    <row r="6012" spans="1:6">
      <c r="A6012" t="s">
        <v>4</v>
      </c>
      <c r="B6012" s="4" t="s">
        <v>5</v>
      </c>
      <c r="C6012" s="4" t="s">
        <v>7</v>
      </c>
      <c r="D6012" s="4" t="s">
        <v>7</v>
      </c>
      <c r="E6012" s="4" t="s">
        <v>7</v>
      </c>
      <c r="F6012" s="4" t="s">
        <v>7</v>
      </c>
    </row>
    <row r="6013" spans="1:6">
      <c r="A6013" t="n">
        <v>55612</v>
      </c>
      <c r="B6013" s="9" t="n">
        <v>14</v>
      </c>
      <c r="C6013" s="7" t="n">
        <v>2</v>
      </c>
      <c r="D6013" s="7" t="n">
        <v>0</v>
      </c>
      <c r="E6013" s="7" t="n">
        <v>0</v>
      </c>
      <c r="F6013" s="7" t="n">
        <v>0</v>
      </c>
    </row>
    <row r="6014" spans="1:6">
      <c r="A6014" t="s">
        <v>4</v>
      </c>
      <c r="B6014" s="4" t="s">
        <v>5</v>
      </c>
      <c r="C6014" s="4" t="s">
        <v>7</v>
      </c>
      <c r="D6014" s="20" t="s">
        <v>35</v>
      </c>
      <c r="E6014" s="4" t="s">
        <v>5</v>
      </c>
      <c r="F6014" s="4" t="s">
        <v>7</v>
      </c>
      <c r="G6014" s="4" t="s">
        <v>11</v>
      </c>
      <c r="H6014" s="20" t="s">
        <v>36</v>
      </c>
      <c r="I6014" s="4" t="s">
        <v>7</v>
      </c>
      <c r="J6014" s="4" t="s">
        <v>15</v>
      </c>
      <c r="K6014" s="4" t="s">
        <v>7</v>
      </c>
      <c r="L6014" s="4" t="s">
        <v>7</v>
      </c>
      <c r="M6014" s="20" t="s">
        <v>35</v>
      </c>
      <c r="N6014" s="4" t="s">
        <v>5</v>
      </c>
      <c r="O6014" s="4" t="s">
        <v>7</v>
      </c>
      <c r="P6014" s="4" t="s">
        <v>11</v>
      </c>
      <c r="Q6014" s="20" t="s">
        <v>36</v>
      </c>
      <c r="R6014" s="4" t="s">
        <v>7</v>
      </c>
      <c r="S6014" s="4" t="s">
        <v>15</v>
      </c>
      <c r="T6014" s="4" t="s">
        <v>7</v>
      </c>
      <c r="U6014" s="4" t="s">
        <v>7</v>
      </c>
      <c r="V6014" s="4" t="s">
        <v>7</v>
      </c>
      <c r="W6014" s="4" t="s">
        <v>12</v>
      </c>
    </row>
    <row r="6015" spans="1:6">
      <c r="A6015" t="n">
        <v>55617</v>
      </c>
      <c r="B6015" s="10" t="n">
        <v>5</v>
      </c>
      <c r="C6015" s="7" t="n">
        <v>28</v>
      </c>
      <c r="D6015" s="20" t="s">
        <v>3</v>
      </c>
      <c r="E6015" s="8" t="n">
        <v>162</v>
      </c>
      <c r="F6015" s="7" t="n">
        <v>3</v>
      </c>
      <c r="G6015" s="7" t="n">
        <v>32893</v>
      </c>
      <c r="H6015" s="20" t="s">
        <v>3</v>
      </c>
      <c r="I6015" s="7" t="n">
        <v>0</v>
      </c>
      <c r="J6015" s="7" t="n">
        <v>1</v>
      </c>
      <c r="K6015" s="7" t="n">
        <v>2</v>
      </c>
      <c r="L6015" s="7" t="n">
        <v>28</v>
      </c>
      <c r="M6015" s="20" t="s">
        <v>3</v>
      </c>
      <c r="N6015" s="8" t="n">
        <v>162</v>
      </c>
      <c r="O6015" s="7" t="n">
        <v>3</v>
      </c>
      <c r="P6015" s="7" t="n">
        <v>32893</v>
      </c>
      <c r="Q6015" s="20" t="s">
        <v>3</v>
      </c>
      <c r="R6015" s="7" t="n">
        <v>0</v>
      </c>
      <c r="S6015" s="7" t="n">
        <v>2</v>
      </c>
      <c r="T6015" s="7" t="n">
        <v>2</v>
      </c>
      <c r="U6015" s="7" t="n">
        <v>11</v>
      </c>
      <c r="V6015" s="7" t="n">
        <v>1</v>
      </c>
      <c r="W6015" s="11" t="n">
        <f t="normal" ca="1">A6019</f>
        <v>0</v>
      </c>
    </row>
    <row r="6016" spans="1:6">
      <c r="A6016" t="s">
        <v>4</v>
      </c>
      <c r="B6016" s="4" t="s">
        <v>5</v>
      </c>
      <c r="C6016" s="4" t="s">
        <v>7</v>
      </c>
      <c r="D6016" s="4" t="s">
        <v>11</v>
      </c>
      <c r="E6016" s="4" t="s">
        <v>13</v>
      </c>
    </row>
    <row r="6017" spans="1:23">
      <c r="A6017" t="n">
        <v>55646</v>
      </c>
      <c r="B6017" s="23" t="n">
        <v>58</v>
      </c>
      <c r="C6017" s="7" t="n">
        <v>0</v>
      </c>
      <c r="D6017" s="7" t="n">
        <v>0</v>
      </c>
      <c r="E6017" s="7" t="n">
        <v>1</v>
      </c>
    </row>
    <row r="6018" spans="1:23">
      <c r="A6018" t="s">
        <v>4</v>
      </c>
      <c r="B6018" s="4" t="s">
        <v>5</v>
      </c>
      <c r="C6018" s="4" t="s">
        <v>7</v>
      </c>
      <c r="D6018" s="20" t="s">
        <v>35</v>
      </c>
      <c r="E6018" s="4" t="s">
        <v>5</v>
      </c>
      <c r="F6018" s="4" t="s">
        <v>7</v>
      </c>
      <c r="G6018" s="4" t="s">
        <v>11</v>
      </c>
      <c r="H6018" s="20" t="s">
        <v>36</v>
      </c>
      <c r="I6018" s="4" t="s">
        <v>7</v>
      </c>
      <c r="J6018" s="4" t="s">
        <v>15</v>
      </c>
      <c r="K6018" s="4" t="s">
        <v>7</v>
      </c>
      <c r="L6018" s="4" t="s">
        <v>7</v>
      </c>
      <c r="M6018" s="20" t="s">
        <v>35</v>
      </c>
      <c r="N6018" s="4" t="s">
        <v>5</v>
      </c>
      <c r="O6018" s="4" t="s">
        <v>7</v>
      </c>
      <c r="P6018" s="4" t="s">
        <v>11</v>
      </c>
      <c r="Q6018" s="20" t="s">
        <v>36</v>
      </c>
      <c r="R6018" s="4" t="s">
        <v>7</v>
      </c>
      <c r="S6018" s="4" t="s">
        <v>15</v>
      </c>
      <c r="T6018" s="4" t="s">
        <v>7</v>
      </c>
      <c r="U6018" s="4" t="s">
        <v>7</v>
      </c>
      <c r="V6018" s="4" t="s">
        <v>7</v>
      </c>
      <c r="W6018" s="4" t="s">
        <v>12</v>
      </c>
    </row>
    <row r="6019" spans="1:23">
      <c r="A6019" t="n">
        <v>55654</v>
      </c>
      <c r="B6019" s="10" t="n">
        <v>5</v>
      </c>
      <c r="C6019" s="7" t="n">
        <v>28</v>
      </c>
      <c r="D6019" s="20" t="s">
        <v>3</v>
      </c>
      <c r="E6019" s="8" t="n">
        <v>162</v>
      </c>
      <c r="F6019" s="7" t="n">
        <v>3</v>
      </c>
      <c r="G6019" s="7" t="n">
        <v>32893</v>
      </c>
      <c r="H6019" s="20" t="s">
        <v>3</v>
      </c>
      <c r="I6019" s="7" t="n">
        <v>0</v>
      </c>
      <c r="J6019" s="7" t="n">
        <v>1</v>
      </c>
      <c r="K6019" s="7" t="n">
        <v>3</v>
      </c>
      <c r="L6019" s="7" t="n">
        <v>28</v>
      </c>
      <c r="M6019" s="20" t="s">
        <v>3</v>
      </c>
      <c r="N6019" s="8" t="n">
        <v>162</v>
      </c>
      <c r="O6019" s="7" t="n">
        <v>3</v>
      </c>
      <c r="P6019" s="7" t="n">
        <v>32893</v>
      </c>
      <c r="Q6019" s="20" t="s">
        <v>3</v>
      </c>
      <c r="R6019" s="7" t="n">
        <v>0</v>
      </c>
      <c r="S6019" s="7" t="n">
        <v>2</v>
      </c>
      <c r="T6019" s="7" t="n">
        <v>3</v>
      </c>
      <c r="U6019" s="7" t="n">
        <v>9</v>
      </c>
      <c r="V6019" s="7" t="n">
        <v>1</v>
      </c>
      <c r="W6019" s="11" t="n">
        <f t="normal" ca="1">A6029</f>
        <v>0</v>
      </c>
    </row>
    <row r="6020" spans="1:23">
      <c r="A6020" t="s">
        <v>4</v>
      </c>
      <c r="B6020" s="4" t="s">
        <v>5</v>
      </c>
      <c r="C6020" s="4" t="s">
        <v>7</v>
      </c>
      <c r="D6020" s="20" t="s">
        <v>35</v>
      </c>
      <c r="E6020" s="4" t="s">
        <v>5</v>
      </c>
      <c r="F6020" s="4" t="s">
        <v>11</v>
      </c>
      <c r="G6020" s="4" t="s">
        <v>7</v>
      </c>
      <c r="H6020" s="4" t="s">
        <v>7</v>
      </c>
      <c r="I6020" s="4" t="s">
        <v>8</v>
      </c>
      <c r="J6020" s="20" t="s">
        <v>36</v>
      </c>
      <c r="K6020" s="4" t="s">
        <v>7</v>
      </c>
      <c r="L6020" s="4" t="s">
        <v>7</v>
      </c>
      <c r="M6020" s="20" t="s">
        <v>35</v>
      </c>
      <c r="N6020" s="4" t="s">
        <v>5</v>
      </c>
      <c r="O6020" s="4" t="s">
        <v>7</v>
      </c>
      <c r="P6020" s="20" t="s">
        <v>36</v>
      </c>
      <c r="Q6020" s="4" t="s">
        <v>7</v>
      </c>
      <c r="R6020" s="4" t="s">
        <v>15</v>
      </c>
      <c r="S6020" s="4" t="s">
        <v>7</v>
      </c>
      <c r="T6020" s="4" t="s">
        <v>7</v>
      </c>
      <c r="U6020" s="4" t="s">
        <v>7</v>
      </c>
      <c r="V6020" s="20" t="s">
        <v>35</v>
      </c>
      <c r="W6020" s="4" t="s">
        <v>5</v>
      </c>
      <c r="X6020" s="4" t="s">
        <v>7</v>
      </c>
      <c r="Y6020" s="20" t="s">
        <v>36</v>
      </c>
      <c r="Z6020" s="4" t="s">
        <v>7</v>
      </c>
      <c r="AA6020" s="4" t="s">
        <v>15</v>
      </c>
      <c r="AB6020" s="4" t="s">
        <v>7</v>
      </c>
      <c r="AC6020" s="4" t="s">
        <v>7</v>
      </c>
      <c r="AD6020" s="4" t="s">
        <v>7</v>
      </c>
      <c r="AE6020" s="4" t="s">
        <v>12</v>
      </c>
    </row>
    <row r="6021" spans="1:23">
      <c r="A6021" t="n">
        <v>55683</v>
      </c>
      <c r="B6021" s="10" t="n">
        <v>5</v>
      </c>
      <c r="C6021" s="7" t="n">
        <v>28</v>
      </c>
      <c r="D6021" s="20" t="s">
        <v>3</v>
      </c>
      <c r="E6021" s="41" t="n">
        <v>47</v>
      </c>
      <c r="F6021" s="7" t="n">
        <v>61456</v>
      </c>
      <c r="G6021" s="7" t="n">
        <v>2</v>
      </c>
      <c r="H6021" s="7" t="n">
        <v>0</v>
      </c>
      <c r="I6021" s="7" t="s">
        <v>105</v>
      </c>
      <c r="J6021" s="20" t="s">
        <v>3</v>
      </c>
      <c r="K6021" s="7" t="n">
        <v>8</v>
      </c>
      <c r="L6021" s="7" t="n">
        <v>28</v>
      </c>
      <c r="M6021" s="20" t="s">
        <v>3</v>
      </c>
      <c r="N6021" s="45" t="n">
        <v>74</v>
      </c>
      <c r="O6021" s="7" t="n">
        <v>65</v>
      </c>
      <c r="P6021" s="20" t="s">
        <v>3</v>
      </c>
      <c r="Q6021" s="7" t="n">
        <v>0</v>
      </c>
      <c r="R6021" s="7" t="n">
        <v>1</v>
      </c>
      <c r="S6021" s="7" t="n">
        <v>3</v>
      </c>
      <c r="T6021" s="7" t="n">
        <v>9</v>
      </c>
      <c r="U6021" s="7" t="n">
        <v>28</v>
      </c>
      <c r="V6021" s="20" t="s">
        <v>3</v>
      </c>
      <c r="W6021" s="45" t="n">
        <v>74</v>
      </c>
      <c r="X6021" s="7" t="n">
        <v>65</v>
      </c>
      <c r="Y6021" s="20" t="s">
        <v>3</v>
      </c>
      <c r="Z6021" s="7" t="n">
        <v>0</v>
      </c>
      <c r="AA6021" s="7" t="n">
        <v>2</v>
      </c>
      <c r="AB6021" s="7" t="n">
        <v>3</v>
      </c>
      <c r="AC6021" s="7" t="n">
        <v>9</v>
      </c>
      <c r="AD6021" s="7" t="n">
        <v>1</v>
      </c>
      <c r="AE6021" s="11" t="n">
        <f t="normal" ca="1">A6025</f>
        <v>0</v>
      </c>
    </row>
    <row r="6022" spans="1:23">
      <c r="A6022" t="s">
        <v>4</v>
      </c>
      <c r="B6022" s="4" t="s">
        <v>5</v>
      </c>
      <c r="C6022" s="4" t="s">
        <v>11</v>
      </c>
      <c r="D6022" s="4" t="s">
        <v>7</v>
      </c>
      <c r="E6022" s="4" t="s">
        <v>7</v>
      </c>
      <c r="F6022" s="4" t="s">
        <v>8</v>
      </c>
    </row>
    <row r="6023" spans="1:23">
      <c r="A6023" t="n">
        <v>55731</v>
      </c>
      <c r="B6023" s="41" t="n">
        <v>47</v>
      </c>
      <c r="C6023" s="7" t="n">
        <v>61456</v>
      </c>
      <c r="D6023" s="7" t="n">
        <v>0</v>
      </c>
      <c r="E6023" s="7" t="n">
        <v>0</v>
      </c>
      <c r="F6023" s="7" t="s">
        <v>106</v>
      </c>
    </row>
    <row r="6024" spans="1:23">
      <c r="A6024" t="s">
        <v>4</v>
      </c>
      <c r="B6024" s="4" t="s">
        <v>5</v>
      </c>
      <c r="C6024" s="4" t="s">
        <v>7</v>
      </c>
      <c r="D6024" s="4" t="s">
        <v>11</v>
      </c>
      <c r="E6024" s="4" t="s">
        <v>13</v>
      </c>
    </row>
    <row r="6025" spans="1:23">
      <c r="A6025" t="n">
        <v>55744</v>
      </c>
      <c r="B6025" s="23" t="n">
        <v>58</v>
      </c>
      <c r="C6025" s="7" t="n">
        <v>0</v>
      </c>
      <c r="D6025" s="7" t="n">
        <v>300</v>
      </c>
      <c r="E6025" s="7" t="n">
        <v>1</v>
      </c>
    </row>
    <row r="6026" spans="1:23">
      <c r="A6026" t="s">
        <v>4</v>
      </c>
      <c r="B6026" s="4" t="s">
        <v>5</v>
      </c>
      <c r="C6026" s="4" t="s">
        <v>7</v>
      </c>
      <c r="D6026" s="4" t="s">
        <v>11</v>
      </c>
    </row>
    <row r="6027" spans="1:23">
      <c r="A6027" t="n">
        <v>55752</v>
      </c>
      <c r="B6027" s="23" t="n">
        <v>58</v>
      </c>
      <c r="C6027" s="7" t="n">
        <v>255</v>
      </c>
      <c r="D6027" s="7" t="n">
        <v>0</v>
      </c>
    </row>
    <row r="6028" spans="1:23">
      <c r="A6028" t="s">
        <v>4</v>
      </c>
      <c r="B6028" s="4" t="s">
        <v>5</v>
      </c>
      <c r="C6028" s="4" t="s">
        <v>7</v>
      </c>
      <c r="D6028" s="4" t="s">
        <v>7</v>
      </c>
      <c r="E6028" s="4" t="s">
        <v>7</v>
      </c>
      <c r="F6028" s="4" t="s">
        <v>7</v>
      </c>
    </row>
    <row r="6029" spans="1:23">
      <c r="A6029" t="n">
        <v>55756</v>
      </c>
      <c r="B6029" s="9" t="n">
        <v>14</v>
      </c>
      <c r="C6029" s="7" t="n">
        <v>0</v>
      </c>
      <c r="D6029" s="7" t="n">
        <v>0</v>
      </c>
      <c r="E6029" s="7" t="n">
        <v>0</v>
      </c>
      <c r="F6029" s="7" t="n">
        <v>64</v>
      </c>
    </row>
    <row r="6030" spans="1:23">
      <c r="A6030" t="s">
        <v>4</v>
      </c>
      <c r="B6030" s="4" t="s">
        <v>5</v>
      </c>
      <c r="C6030" s="4" t="s">
        <v>7</v>
      </c>
      <c r="D6030" s="4" t="s">
        <v>11</v>
      </c>
    </row>
    <row r="6031" spans="1:23">
      <c r="A6031" t="n">
        <v>55761</v>
      </c>
      <c r="B6031" s="22" t="n">
        <v>22</v>
      </c>
      <c r="C6031" s="7" t="n">
        <v>0</v>
      </c>
      <c r="D6031" s="7" t="n">
        <v>32893</v>
      </c>
    </row>
    <row r="6032" spans="1:23">
      <c r="A6032" t="s">
        <v>4</v>
      </c>
      <c r="B6032" s="4" t="s">
        <v>5</v>
      </c>
      <c r="C6032" s="4" t="s">
        <v>7</v>
      </c>
      <c r="D6032" s="4" t="s">
        <v>11</v>
      </c>
    </row>
    <row r="6033" spans="1:31">
      <c r="A6033" t="n">
        <v>55765</v>
      </c>
      <c r="B6033" s="23" t="n">
        <v>58</v>
      </c>
      <c r="C6033" s="7" t="n">
        <v>5</v>
      </c>
      <c r="D6033" s="7" t="n">
        <v>300</v>
      </c>
    </row>
    <row r="6034" spans="1:31">
      <c r="A6034" t="s">
        <v>4</v>
      </c>
      <c r="B6034" s="4" t="s">
        <v>5</v>
      </c>
      <c r="C6034" s="4" t="s">
        <v>13</v>
      </c>
      <c r="D6034" s="4" t="s">
        <v>11</v>
      </c>
    </row>
    <row r="6035" spans="1:31">
      <c r="A6035" t="n">
        <v>55769</v>
      </c>
      <c r="B6035" s="46" t="n">
        <v>103</v>
      </c>
      <c r="C6035" s="7" t="n">
        <v>0</v>
      </c>
      <c r="D6035" s="7" t="n">
        <v>300</v>
      </c>
    </row>
    <row r="6036" spans="1:31">
      <c r="A6036" t="s">
        <v>4</v>
      </c>
      <c r="B6036" s="4" t="s">
        <v>5</v>
      </c>
      <c r="C6036" s="4" t="s">
        <v>7</v>
      </c>
    </row>
    <row r="6037" spans="1:31">
      <c r="A6037" t="n">
        <v>55776</v>
      </c>
      <c r="B6037" s="47" t="n">
        <v>64</v>
      </c>
      <c r="C6037" s="7" t="n">
        <v>7</v>
      </c>
    </row>
    <row r="6038" spans="1:31">
      <c r="A6038" t="s">
        <v>4</v>
      </c>
      <c r="B6038" s="4" t="s">
        <v>5</v>
      </c>
      <c r="C6038" s="4" t="s">
        <v>7</v>
      </c>
      <c r="D6038" s="4" t="s">
        <v>11</v>
      </c>
    </row>
    <row r="6039" spans="1:31">
      <c r="A6039" t="n">
        <v>55778</v>
      </c>
      <c r="B6039" s="48" t="n">
        <v>72</v>
      </c>
      <c r="C6039" s="7" t="n">
        <v>5</v>
      </c>
      <c r="D6039" s="7" t="n">
        <v>0</v>
      </c>
    </row>
    <row r="6040" spans="1:31">
      <c r="A6040" t="s">
        <v>4</v>
      </c>
      <c r="B6040" s="4" t="s">
        <v>5</v>
      </c>
      <c r="C6040" s="4" t="s">
        <v>7</v>
      </c>
      <c r="D6040" s="20" t="s">
        <v>35</v>
      </c>
      <c r="E6040" s="4" t="s">
        <v>5</v>
      </c>
      <c r="F6040" s="4" t="s">
        <v>7</v>
      </c>
      <c r="G6040" s="4" t="s">
        <v>11</v>
      </c>
      <c r="H6040" s="20" t="s">
        <v>36</v>
      </c>
      <c r="I6040" s="4" t="s">
        <v>7</v>
      </c>
      <c r="J6040" s="4" t="s">
        <v>15</v>
      </c>
      <c r="K6040" s="4" t="s">
        <v>7</v>
      </c>
      <c r="L6040" s="4" t="s">
        <v>7</v>
      </c>
      <c r="M6040" s="4" t="s">
        <v>12</v>
      </c>
    </row>
    <row r="6041" spans="1:31">
      <c r="A6041" t="n">
        <v>55782</v>
      </c>
      <c r="B6041" s="10" t="n">
        <v>5</v>
      </c>
      <c r="C6041" s="7" t="n">
        <v>28</v>
      </c>
      <c r="D6041" s="20" t="s">
        <v>3</v>
      </c>
      <c r="E6041" s="8" t="n">
        <v>162</v>
      </c>
      <c r="F6041" s="7" t="n">
        <v>4</v>
      </c>
      <c r="G6041" s="7" t="n">
        <v>32893</v>
      </c>
      <c r="H6041" s="20" t="s">
        <v>3</v>
      </c>
      <c r="I6041" s="7" t="n">
        <v>0</v>
      </c>
      <c r="J6041" s="7" t="n">
        <v>1</v>
      </c>
      <c r="K6041" s="7" t="n">
        <v>2</v>
      </c>
      <c r="L6041" s="7" t="n">
        <v>1</v>
      </c>
      <c r="M6041" s="11" t="n">
        <f t="normal" ca="1">A6047</f>
        <v>0</v>
      </c>
    </row>
    <row r="6042" spans="1:31">
      <c r="A6042" t="s">
        <v>4</v>
      </c>
      <c r="B6042" s="4" t="s">
        <v>5</v>
      </c>
      <c r="C6042" s="4" t="s">
        <v>7</v>
      </c>
      <c r="D6042" s="4" t="s">
        <v>8</v>
      </c>
    </row>
    <row r="6043" spans="1:31">
      <c r="A6043" t="n">
        <v>55799</v>
      </c>
      <c r="B6043" s="6" t="n">
        <v>2</v>
      </c>
      <c r="C6043" s="7" t="n">
        <v>10</v>
      </c>
      <c r="D6043" s="7" t="s">
        <v>107</v>
      </c>
    </row>
    <row r="6044" spans="1:31">
      <c r="A6044" t="s">
        <v>4</v>
      </c>
      <c r="B6044" s="4" t="s">
        <v>5</v>
      </c>
      <c r="C6044" s="4" t="s">
        <v>11</v>
      </c>
    </row>
    <row r="6045" spans="1:31">
      <c r="A6045" t="n">
        <v>55816</v>
      </c>
      <c r="B6045" s="29" t="n">
        <v>16</v>
      </c>
      <c r="C6045" s="7" t="n">
        <v>0</v>
      </c>
    </row>
    <row r="6046" spans="1:31">
      <c r="A6046" t="s">
        <v>4</v>
      </c>
      <c r="B6046" s="4" t="s">
        <v>5</v>
      </c>
      <c r="C6046" s="4" t="s">
        <v>7</v>
      </c>
      <c r="D6046" s="4" t="s">
        <v>11</v>
      </c>
      <c r="E6046" s="4" t="s">
        <v>11</v>
      </c>
      <c r="F6046" s="4" t="s">
        <v>11</v>
      </c>
      <c r="G6046" s="4" t="s">
        <v>11</v>
      </c>
      <c r="H6046" s="4" t="s">
        <v>11</v>
      </c>
      <c r="I6046" s="4" t="s">
        <v>11</v>
      </c>
      <c r="J6046" s="4" t="s">
        <v>11</v>
      </c>
      <c r="K6046" s="4" t="s">
        <v>11</v>
      </c>
      <c r="L6046" s="4" t="s">
        <v>11</v>
      </c>
      <c r="M6046" s="4" t="s">
        <v>11</v>
      </c>
      <c r="N6046" s="4" t="s">
        <v>15</v>
      </c>
      <c r="O6046" s="4" t="s">
        <v>15</v>
      </c>
      <c r="P6046" s="4" t="s">
        <v>15</v>
      </c>
      <c r="Q6046" s="4" t="s">
        <v>15</v>
      </c>
      <c r="R6046" s="4" t="s">
        <v>7</v>
      </c>
      <c r="S6046" s="4" t="s">
        <v>8</v>
      </c>
    </row>
    <row r="6047" spans="1:31">
      <c r="A6047" t="n">
        <v>55819</v>
      </c>
      <c r="B6047" s="24" t="n">
        <v>75</v>
      </c>
      <c r="C6047" s="7" t="n">
        <v>0</v>
      </c>
      <c r="D6047" s="7" t="n">
        <v>484</v>
      </c>
      <c r="E6047" s="7" t="n">
        <v>328</v>
      </c>
      <c r="F6047" s="7" t="n">
        <v>996</v>
      </c>
      <c r="G6047" s="7" t="n">
        <v>392</v>
      </c>
      <c r="H6047" s="7" t="n">
        <v>0</v>
      </c>
      <c r="I6047" s="7" t="n">
        <v>0</v>
      </c>
      <c r="J6047" s="7" t="n">
        <v>0</v>
      </c>
      <c r="K6047" s="7" t="n">
        <v>448</v>
      </c>
      <c r="L6047" s="7" t="n">
        <v>512</v>
      </c>
      <c r="M6047" s="7" t="n">
        <v>512</v>
      </c>
      <c r="N6047" s="7" t="n">
        <v>1065353216</v>
      </c>
      <c r="O6047" s="7" t="n">
        <v>1065353216</v>
      </c>
      <c r="P6047" s="7" t="n">
        <v>1065353216</v>
      </c>
      <c r="Q6047" s="7" t="n">
        <v>0</v>
      </c>
      <c r="R6047" s="7" t="n">
        <v>0</v>
      </c>
      <c r="S6047" s="7" t="s">
        <v>271</v>
      </c>
    </row>
    <row r="6048" spans="1:31">
      <c r="A6048" t="s">
        <v>4</v>
      </c>
      <c r="B6048" s="4" t="s">
        <v>5</v>
      </c>
      <c r="C6048" s="4" t="s">
        <v>11</v>
      </c>
      <c r="D6048" s="4" t="s">
        <v>8</v>
      </c>
      <c r="E6048" s="4" t="s">
        <v>8</v>
      </c>
      <c r="F6048" s="4" t="s">
        <v>8</v>
      </c>
      <c r="G6048" s="4" t="s">
        <v>7</v>
      </c>
      <c r="H6048" s="4" t="s">
        <v>15</v>
      </c>
      <c r="I6048" s="4" t="s">
        <v>13</v>
      </c>
      <c r="J6048" s="4" t="s">
        <v>13</v>
      </c>
      <c r="K6048" s="4" t="s">
        <v>13</v>
      </c>
      <c r="L6048" s="4" t="s">
        <v>13</v>
      </c>
      <c r="M6048" s="4" t="s">
        <v>13</v>
      </c>
      <c r="N6048" s="4" t="s">
        <v>13</v>
      </c>
      <c r="O6048" s="4" t="s">
        <v>13</v>
      </c>
      <c r="P6048" s="4" t="s">
        <v>8</v>
      </c>
      <c r="Q6048" s="4" t="s">
        <v>8</v>
      </c>
      <c r="R6048" s="4" t="s">
        <v>15</v>
      </c>
      <c r="S6048" s="4" t="s">
        <v>7</v>
      </c>
      <c r="T6048" s="4" t="s">
        <v>15</v>
      </c>
      <c r="U6048" s="4" t="s">
        <v>15</v>
      </c>
      <c r="V6048" s="4" t="s">
        <v>11</v>
      </c>
    </row>
    <row r="6049" spans="1:22">
      <c r="A6049" t="n">
        <v>55868</v>
      </c>
      <c r="B6049" s="62" t="n">
        <v>19</v>
      </c>
      <c r="C6049" s="7" t="n">
        <v>7</v>
      </c>
      <c r="D6049" s="7" t="s">
        <v>552</v>
      </c>
      <c r="E6049" s="7" t="s">
        <v>553</v>
      </c>
      <c r="F6049" s="7" t="s">
        <v>16</v>
      </c>
      <c r="G6049" s="7" t="n">
        <v>0</v>
      </c>
      <c r="H6049" s="7" t="n">
        <v>1</v>
      </c>
      <c r="I6049" s="7" t="n">
        <v>0</v>
      </c>
      <c r="J6049" s="7" t="n">
        <v>0</v>
      </c>
      <c r="K6049" s="7" t="n">
        <v>0</v>
      </c>
      <c r="L6049" s="7" t="n">
        <v>0</v>
      </c>
      <c r="M6049" s="7" t="n">
        <v>1</v>
      </c>
      <c r="N6049" s="7" t="n">
        <v>1.60000002384186</v>
      </c>
      <c r="O6049" s="7" t="n">
        <v>0.0900000035762787</v>
      </c>
      <c r="P6049" s="7" t="s">
        <v>16</v>
      </c>
      <c r="Q6049" s="7" t="s">
        <v>16</v>
      </c>
      <c r="R6049" s="7" t="n">
        <v>-1</v>
      </c>
      <c r="S6049" s="7" t="n">
        <v>0</v>
      </c>
      <c r="T6049" s="7" t="n">
        <v>0</v>
      </c>
      <c r="U6049" s="7" t="n">
        <v>0</v>
      </c>
      <c r="V6049" s="7" t="n">
        <v>0</v>
      </c>
    </row>
    <row r="6050" spans="1:22">
      <c r="A6050" t="s">
        <v>4</v>
      </c>
      <c r="B6050" s="4" t="s">
        <v>5</v>
      </c>
      <c r="C6050" s="4" t="s">
        <v>11</v>
      </c>
      <c r="D6050" s="4" t="s">
        <v>7</v>
      </c>
      <c r="E6050" s="4" t="s">
        <v>7</v>
      </c>
      <c r="F6050" s="4" t="s">
        <v>8</v>
      </c>
    </row>
    <row r="6051" spans="1:22">
      <c r="A6051" t="n">
        <v>55939</v>
      </c>
      <c r="B6051" s="50" t="n">
        <v>20</v>
      </c>
      <c r="C6051" s="7" t="n">
        <v>0</v>
      </c>
      <c r="D6051" s="7" t="n">
        <v>3</v>
      </c>
      <c r="E6051" s="7" t="n">
        <v>10</v>
      </c>
      <c r="F6051" s="7" t="s">
        <v>108</v>
      </c>
    </row>
    <row r="6052" spans="1:22">
      <c r="A6052" t="s">
        <v>4</v>
      </c>
      <c r="B6052" s="4" t="s">
        <v>5</v>
      </c>
      <c r="C6052" s="4" t="s">
        <v>11</v>
      </c>
    </row>
    <row r="6053" spans="1:22">
      <c r="A6053" t="n">
        <v>55957</v>
      </c>
      <c r="B6053" s="29" t="n">
        <v>16</v>
      </c>
      <c r="C6053" s="7" t="n">
        <v>0</v>
      </c>
    </row>
    <row r="6054" spans="1:22">
      <c r="A6054" t="s">
        <v>4</v>
      </c>
      <c r="B6054" s="4" t="s">
        <v>5</v>
      </c>
      <c r="C6054" s="4" t="s">
        <v>11</v>
      </c>
      <c r="D6054" s="4" t="s">
        <v>7</v>
      </c>
      <c r="E6054" s="4" t="s">
        <v>7</v>
      </c>
      <c r="F6054" s="4" t="s">
        <v>8</v>
      </c>
    </row>
    <row r="6055" spans="1:22">
      <c r="A6055" t="n">
        <v>55960</v>
      </c>
      <c r="B6055" s="50" t="n">
        <v>20</v>
      </c>
      <c r="C6055" s="7" t="n">
        <v>7</v>
      </c>
      <c r="D6055" s="7" t="n">
        <v>3</v>
      </c>
      <c r="E6055" s="7" t="n">
        <v>10</v>
      </c>
      <c r="F6055" s="7" t="s">
        <v>108</v>
      </c>
    </row>
    <row r="6056" spans="1:22">
      <c r="A6056" t="s">
        <v>4</v>
      </c>
      <c r="B6056" s="4" t="s">
        <v>5</v>
      </c>
      <c r="C6056" s="4" t="s">
        <v>11</v>
      </c>
    </row>
    <row r="6057" spans="1:22">
      <c r="A6057" t="n">
        <v>55978</v>
      </c>
      <c r="B6057" s="29" t="n">
        <v>16</v>
      </c>
      <c r="C6057" s="7" t="n">
        <v>0</v>
      </c>
    </row>
    <row r="6058" spans="1:22">
      <c r="A6058" t="s">
        <v>4</v>
      </c>
      <c r="B6058" s="4" t="s">
        <v>5</v>
      </c>
      <c r="C6058" s="4" t="s">
        <v>11</v>
      </c>
      <c r="D6058" s="4" t="s">
        <v>15</v>
      </c>
    </row>
    <row r="6059" spans="1:22">
      <c r="A6059" t="n">
        <v>55981</v>
      </c>
      <c r="B6059" s="39" t="n">
        <v>43</v>
      </c>
      <c r="C6059" s="7" t="n">
        <v>7</v>
      </c>
      <c r="D6059" s="7" t="n">
        <v>1</v>
      </c>
    </row>
    <row r="6060" spans="1:22">
      <c r="A6060" t="s">
        <v>4</v>
      </c>
      <c r="B6060" s="4" t="s">
        <v>5</v>
      </c>
      <c r="C6060" s="4" t="s">
        <v>7</v>
      </c>
    </row>
    <row r="6061" spans="1:22">
      <c r="A6061" t="n">
        <v>55988</v>
      </c>
      <c r="B6061" s="49" t="n">
        <v>116</v>
      </c>
      <c r="C6061" s="7" t="n">
        <v>0</v>
      </c>
    </row>
    <row r="6062" spans="1:22">
      <c r="A6062" t="s">
        <v>4</v>
      </c>
      <c r="B6062" s="4" t="s">
        <v>5</v>
      </c>
      <c r="C6062" s="4" t="s">
        <v>7</v>
      </c>
      <c r="D6062" s="4" t="s">
        <v>11</v>
      </c>
    </row>
    <row r="6063" spans="1:22">
      <c r="A6063" t="n">
        <v>55990</v>
      </c>
      <c r="B6063" s="49" t="n">
        <v>116</v>
      </c>
      <c r="C6063" s="7" t="n">
        <v>2</v>
      </c>
      <c r="D6063" s="7" t="n">
        <v>1</v>
      </c>
    </row>
    <row r="6064" spans="1:22">
      <c r="A6064" t="s">
        <v>4</v>
      </c>
      <c r="B6064" s="4" t="s">
        <v>5</v>
      </c>
      <c r="C6064" s="4" t="s">
        <v>7</v>
      </c>
      <c r="D6064" s="4" t="s">
        <v>15</v>
      </c>
    </row>
    <row r="6065" spans="1:22">
      <c r="A6065" t="n">
        <v>55994</v>
      </c>
      <c r="B6065" s="49" t="n">
        <v>116</v>
      </c>
      <c r="C6065" s="7" t="n">
        <v>5</v>
      </c>
      <c r="D6065" s="7" t="n">
        <v>1106247680</v>
      </c>
    </row>
    <row r="6066" spans="1:22">
      <c r="A6066" t="s">
        <v>4</v>
      </c>
      <c r="B6066" s="4" t="s">
        <v>5</v>
      </c>
      <c r="C6066" s="4" t="s">
        <v>7</v>
      </c>
      <c r="D6066" s="4" t="s">
        <v>11</v>
      </c>
    </row>
    <row r="6067" spans="1:22">
      <c r="A6067" t="n">
        <v>56000</v>
      </c>
      <c r="B6067" s="49" t="n">
        <v>116</v>
      </c>
      <c r="C6067" s="7" t="n">
        <v>6</v>
      </c>
      <c r="D6067" s="7" t="n">
        <v>1</v>
      </c>
    </row>
    <row r="6068" spans="1:22">
      <c r="A6068" t="s">
        <v>4</v>
      </c>
      <c r="B6068" s="4" t="s">
        <v>5</v>
      </c>
      <c r="C6068" s="4" t="s">
        <v>7</v>
      </c>
      <c r="D6068" s="4" t="s">
        <v>11</v>
      </c>
      <c r="E6068" s="4" t="s">
        <v>11</v>
      </c>
      <c r="F6068" s="4" t="s">
        <v>15</v>
      </c>
    </row>
    <row r="6069" spans="1:22">
      <c r="A6069" t="n">
        <v>56004</v>
      </c>
      <c r="B6069" s="76" t="n">
        <v>84</v>
      </c>
      <c r="C6069" s="7" t="n">
        <v>0</v>
      </c>
      <c r="D6069" s="7" t="n">
        <v>0</v>
      </c>
      <c r="E6069" s="7" t="n">
        <v>0</v>
      </c>
      <c r="F6069" s="7" t="n">
        <v>1045220557</v>
      </c>
    </row>
    <row r="6070" spans="1:22">
      <c r="A6070" t="s">
        <v>4</v>
      </c>
      <c r="B6070" s="4" t="s">
        <v>5</v>
      </c>
      <c r="C6070" s="4" t="s">
        <v>11</v>
      </c>
      <c r="D6070" s="4" t="s">
        <v>13</v>
      </c>
      <c r="E6070" s="4" t="s">
        <v>13</v>
      </c>
      <c r="F6070" s="4" t="s">
        <v>13</v>
      </c>
      <c r="G6070" s="4" t="s">
        <v>13</v>
      </c>
    </row>
    <row r="6071" spans="1:22">
      <c r="A6071" t="n">
        <v>56014</v>
      </c>
      <c r="B6071" s="36" t="n">
        <v>46</v>
      </c>
      <c r="C6071" s="7" t="n">
        <v>7</v>
      </c>
      <c r="D6071" s="7" t="n">
        <v>7.6100001335144</v>
      </c>
      <c r="E6071" s="7" t="n">
        <v>0</v>
      </c>
      <c r="F6071" s="7" t="n">
        <v>46.0200004577637</v>
      </c>
      <c r="G6071" s="7" t="n">
        <v>272.200012207031</v>
      </c>
    </row>
    <row r="6072" spans="1:22">
      <c r="A6072" t="s">
        <v>4</v>
      </c>
      <c r="B6072" s="4" t="s">
        <v>5</v>
      </c>
      <c r="C6072" s="4" t="s">
        <v>11</v>
      </c>
      <c r="D6072" s="4" t="s">
        <v>13</v>
      </c>
      <c r="E6072" s="4" t="s">
        <v>13</v>
      </c>
      <c r="F6072" s="4" t="s">
        <v>13</v>
      </c>
      <c r="G6072" s="4" t="s">
        <v>13</v>
      </c>
    </row>
    <row r="6073" spans="1:22">
      <c r="A6073" t="n">
        <v>56033</v>
      </c>
      <c r="B6073" s="36" t="n">
        <v>46</v>
      </c>
      <c r="C6073" s="7" t="n">
        <v>0</v>
      </c>
      <c r="D6073" s="7" t="n">
        <v>4.78000020980835</v>
      </c>
      <c r="E6073" s="7" t="n">
        <v>0</v>
      </c>
      <c r="F6073" s="7" t="n">
        <v>45.3300018310547</v>
      </c>
      <c r="G6073" s="7" t="n">
        <v>-102.300003051758</v>
      </c>
    </row>
    <row r="6074" spans="1:22">
      <c r="A6074" t="s">
        <v>4</v>
      </c>
      <c r="B6074" s="4" t="s">
        <v>5</v>
      </c>
      <c r="C6074" s="4" t="s">
        <v>11</v>
      </c>
      <c r="D6074" s="4" t="s">
        <v>7</v>
      </c>
      <c r="E6074" s="4" t="s">
        <v>8</v>
      </c>
      <c r="F6074" s="4" t="s">
        <v>13</v>
      </c>
      <c r="G6074" s="4" t="s">
        <v>13</v>
      </c>
      <c r="H6074" s="4" t="s">
        <v>13</v>
      </c>
    </row>
    <row r="6075" spans="1:22">
      <c r="A6075" t="n">
        <v>56052</v>
      </c>
      <c r="B6075" s="42" t="n">
        <v>48</v>
      </c>
      <c r="C6075" s="7" t="n">
        <v>0</v>
      </c>
      <c r="D6075" s="7" t="n">
        <v>0</v>
      </c>
      <c r="E6075" s="7" t="s">
        <v>275</v>
      </c>
      <c r="F6075" s="7" t="n">
        <v>0</v>
      </c>
      <c r="G6075" s="7" t="n">
        <v>1</v>
      </c>
      <c r="H6075" s="7" t="n">
        <v>0</v>
      </c>
    </row>
    <row r="6076" spans="1:22">
      <c r="A6076" t="s">
        <v>4</v>
      </c>
      <c r="B6076" s="4" t="s">
        <v>5</v>
      </c>
      <c r="C6076" s="4" t="s">
        <v>7</v>
      </c>
      <c r="D6076" s="4" t="s">
        <v>11</v>
      </c>
      <c r="E6076" s="4" t="s">
        <v>8</v>
      </c>
      <c r="F6076" s="4" t="s">
        <v>8</v>
      </c>
      <c r="G6076" s="4" t="s">
        <v>8</v>
      </c>
      <c r="H6076" s="4" t="s">
        <v>8</v>
      </c>
    </row>
    <row r="6077" spans="1:22">
      <c r="A6077" t="n">
        <v>56077</v>
      </c>
      <c r="B6077" s="38" t="n">
        <v>51</v>
      </c>
      <c r="C6077" s="7" t="n">
        <v>3</v>
      </c>
      <c r="D6077" s="7" t="n">
        <v>0</v>
      </c>
      <c r="E6077" s="7" t="s">
        <v>101</v>
      </c>
      <c r="F6077" s="7" t="s">
        <v>99</v>
      </c>
      <c r="G6077" s="7" t="s">
        <v>78</v>
      </c>
      <c r="H6077" s="7" t="s">
        <v>79</v>
      </c>
    </row>
    <row r="6078" spans="1:22">
      <c r="A6078" t="s">
        <v>4</v>
      </c>
      <c r="B6078" s="4" t="s">
        <v>5</v>
      </c>
      <c r="C6078" s="4" t="s">
        <v>7</v>
      </c>
      <c r="D6078" s="4" t="s">
        <v>11</v>
      </c>
      <c r="E6078" s="4" t="s">
        <v>8</v>
      </c>
      <c r="F6078" s="4" t="s">
        <v>8</v>
      </c>
      <c r="G6078" s="4" t="s">
        <v>8</v>
      </c>
      <c r="H6078" s="4" t="s">
        <v>8</v>
      </c>
    </row>
    <row r="6079" spans="1:22">
      <c r="A6079" t="n">
        <v>56098</v>
      </c>
      <c r="B6079" s="38" t="n">
        <v>51</v>
      </c>
      <c r="C6079" s="7" t="n">
        <v>3</v>
      </c>
      <c r="D6079" s="7" t="n">
        <v>7</v>
      </c>
      <c r="E6079" s="7" t="s">
        <v>101</v>
      </c>
      <c r="F6079" s="7" t="s">
        <v>99</v>
      </c>
      <c r="G6079" s="7" t="s">
        <v>78</v>
      </c>
      <c r="H6079" s="7" t="s">
        <v>79</v>
      </c>
    </row>
    <row r="6080" spans="1:22">
      <c r="A6080" t="s">
        <v>4</v>
      </c>
      <c r="B6080" s="4" t="s">
        <v>5</v>
      </c>
      <c r="C6080" s="4" t="s">
        <v>7</v>
      </c>
      <c r="D6080" s="4" t="s">
        <v>11</v>
      </c>
      <c r="E6080" s="4" t="s">
        <v>7</v>
      </c>
      <c r="F6080" s="4" t="s">
        <v>8</v>
      </c>
      <c r="G6080" s="4" t="s">
        <v>8</v>
      </c>
      <c r="H6080" s="4" t="s">
        <v>8</v>
      </c>
      <c r="I6080" s="4" t="s">
        <v>8</v>
      </c>
      <c r="J6080" s="4" t="s">
        <v>8</v>
      </c>
      <c r="K6080" s="4" t="s">
        <v>8</v>
      </c>
      <c r="L6080" s="4" t="s">
        <v>8</v>
      </c>
      <c r="M6080" s="4" t="s">
        <v>8</v>
      </c>
      <c r="N6080" s="4" t="s">
        <v>8</v>
      </c>
      <c r="O6080" s="4" t="s">
        <v>8</v>
      </c>
      <c r="P6080" s="4" t="s">
        <v>8</v>
      </c>
      <c r="Q6080" s="4" t="s">
        <v>8</v>
      </c>
      <c r="R6080" s="4" t="s">
        <v>8</v>
      </c>
      <c r="S6080" s="4" t="s">
        <v>8</v>
      </c>
      <c r="T6080" s="4" t="s">
        <v>8</v>
      </c>
      <c r="U6080" s="4" t="s">
        <v>8</v>
      </c>
    </row>
    <row r="6081" spans="1:21">
      <c r="A6081" t="n">
        <v>56119</v>
      </c>
      <c r="B6081" s="40" t="n">
        <v>36</v>
      </c>
      <c r="C6081" s="7" t="n">
        <v>8</v>
      </c>
      <c r="D6081" s="7" t="n">
        <v>0</v>
      </c>
      <c r="E6081" s="7" t="n">
        <v>0</v>
      </c>
      <c r="F6081" s="7" t="s">
        <v>554</v>
      </c>
      <c r="G6081" s="7" t="s">
        <v>555</v>
      </c>
      <c r="H6081" s="7" t="s">
        <v>16</v>
      </c>
      <c r="I6081" s="7" t="s">
        <v>16</v>
      </c>
      <c r="J6081" s="7" t="s">
        <v>16</v>
      </c>
      <c r="K6081" s="7" t="s">
        <v>16</v>
      </c>
      <c r="L6081" s="7" t="s">
        <v>16</v>
      </c>
      <c r="M6081" s="7" t="s">
        <v>16</v>
      </c>
      <c r="N6081" s="7" t="s">
        <v>16</v>
      </c>
      <c r="O6081" s="7" t="s">
        <v>16</v>
      </c>
      <c r="P6081" s="7" t="s">
        <v>16</v>
      </c>
      <c r="Q6081" s="7" t="s">
        <v>16</v>
      </c>
      <c r="R6081" s="7" t="s">
        <v>16</v>
      </c>
      <c r="S6081" s="7" t="s">
        <v>16</v>
      </c>
      <c r="T6081" s="7" t="s">
        <v>16</v>
      </c>
      <c r="U6081" s="7" t="s">
        <v>16</v>
      </c>
    </row>
    <row r="6082" spans="1:21">
      <c r="A6082" t="s">
        <v>4</v>
      </c>
      <c r="B6082" s="4" t="s">
        <v>5</v>
      </c>
      <c r="C6082" s="4" t="s">
        <v>7</v>
      </c>
      <c r="D6082" s="4" t="s">
        <v>11</v>
      </c>
      <c r="E6082" s="4" t="s">
        <v>7</v>
      </c>
      <c r="F6082" s="4" t="s">
        <v>8</v>
      </c>
      <c r="G6082" s="4" t="s">
        <v>8</v>
      </c>
      <c r="H6082" s="4" t="s">
        <v>8</v>
      </c>
      <c r="I6082" s="4" t="s">
        <v>8</v>
      </c>
      <c r="J6082" s="4" t="s">
        <v>8</v>
      </c>
      <c r="K6082" s="4" t="s">
        <v>8</v>
      </c>
      <c r="L6082" s="4" t="s">
        <v>8</v>
      </c>
      <c r="M6082" s="4" t="s">
        <v>8</v>
      </c>
      <c r="N6082" s="4" t="s">
        <v>8</v>
      </c>
      <c r="O6082" s="4" t="s">
        <v>8</v>
      </c>
      <c r="P6082" s="4" t="s">
        <v>8</v>
      </c>
      <c r="Q6082" s="4" t="s">
        <v>8</v>
      </c>
      <c r="R6082" s="4" t="s">
        <v>8</v>
      </c>
      <c r="S6082" s="4" t="s">
        <v>8</v>
      </c>
      <c r="T6082" s="4" t="s">
        <v>8</v>
      </c>
      <c r="U6082" s="4" t="s">
        <v>8</v>
      </c>
    </row>
    <row r="6083" spans="1:21">
      <c r="A6083" t="n">
        <v>56158</v>
      </c>
      <c r="B6083" s="40" t="n">
        <v>36</v>
      </c>
      <c r="C6083" s="7" t="n">
        <v>8</v>
      </c>
      <c r="D6083" s="7" t="n">
        <v>7</v>
      </c>
      <c r="E6083" s="7" t="n">
        <v>0</v>
      </c>
      <c r="F6083" s="7" t="s">
        <v>554</v>
      </c>
      <c r="G6083" s="7" t="s">
        <v>555</v>
      </c>
      <c r="H6083" s="7" t="s">
        <v>91</v>
      </c>
      <c r="I6083" s="7" t="s">
        <v>16</v>
      </c>
      <c r="J6083" s="7" t="s">
        <v>16</v>
      </c>
      <c r="K6083" s="7" t="s">
        <v>16</v>
      </c>
      <c r="L6083" s="7" t="s">
        <v>16</v>
      </c>
      <c r="M6083" s="7" t="s">
        <v>16</v>
      </c>
      <c r="N6083" s="7" t="s">
        <v>16</v>
      </c>
      <c r="O6083" s="7" t="s">
        <v>16</v>
      </c>
      <c r="P6083" s="7" t="s">
        <v>16</v>
      </c>
      <c r="Q6083" s="7" t="s">
        <v>16</v>
      </c>
      <c r="R6083" s="7" t="s">
        <v>16</v>
      </c>
      <c r="S6083" s="7" t="s">
        <v>16</v>
      </c>
      <c r="T6083" s="7" t="s">
        <v>16</v>
      </c>
      <c r="U6083" s="7" t="s">
        <v>16</v>
      </c>
    </row>
    <row r="6084" spans="1:21">
      <c r="A6084" t="s">
        <v>4</v>
      </c>
      <c r="B6084" s="4" t="s">
        <v>5</v>
      </c>
      <c r="C6084" s="4" t="s">
        <v>7</v>
      </c>
      <c r="D6084" s="4" t="s">
        <v>7</v>
      </c>
      <c r="E6084" s="4" t="s">
        <v>13</v>
      </c>
      <c r="F6084" s="4" t="s">
        <v>13</v>
      </c>
      <c r="G6084" s="4" t="s">
        <v>13</v>
      </c>
      <c r="H6084" s="4" t="s">
        <v>11</v>
      </c>
    </row>
    <row r="6085" spans="1:21">
      <c r="A6085" t="n">
        <v>56211</v>
      </c>
      <c r="B6085" s="51" t="n">
        <v>45</v>
      </c>
      <c r="C6085" s="7" t="n">
        <v>2</v>
      </c>
      <c r="D6085" s="7" t="n">
        <v>3</v>
      </c>
      <c r="E6085" s="7" t="n">
        <v>-3</v>
      </c>
      <c r="F6085" s="7" t="n">
        <v>2.89000010490417</v>
      </c>
      <c r="G6085" s="7" t="n">
        <v>41.3699989318848</v>
      </c>
      <c r="H6085" s="7" t="n">
        <v>0</v>
      </c>
    </row>
    <row r="6086" spans="1:21">
      <c r="A6086" t="s">
        <v>4</v>
      </c>
      <c r="B6086" s="4" t="s">
        <v>5</v>
      </c>
      <c r="C6086" s="4" t="s">
        <v>7</v>
      </c>
      <c r="D6086" s="4" t="s">
        <v>7</v>
      </c>
      <c r="E6086" s="4" t="s">
        <v>13</v>
      </c>
      <c r="F6086" s="4" t="s">
        <v>13</v>
      </c>
      <c r="G6086" s="4" t="s">
        <v>13</v>
      </c>
      <c r="H6086" s="4" t="s">
        <v>11</v>
      </c>
      <c r="I6086" s="4" t="s">
        <v>7</v>
      </c>
    </row>
    <row r="6087" spans="1:21">
      <c r="A6087" t="n">
        <v>56228</v>
      </c>
      <c r="B6087" s="51" t="n">
        <v>45</v>
      </c>
      <c r="C6087" s="7" t="n">
        <v>4</v>
      </c>
      <c r="D6087" s="7" t="n">
        <v>3</v>
      </c>
      <c r="E6087" s="7" t="n">
        <v>0.649999976158142</v>
      </c>
      <c r="F6087" s="7" t="n">
        <v>105.529998779297</v>
      </c>
      <c r="G6087" s="7" t="n">
        <v>0</v>
      </c>
      <c r="H6087" s="7" t="n">
        <v>0</v>
      </c>
      <c r="I6087" s="7" t="n">
        <v>0</v>
      </c>
    </row>
    <row r="6088" spans="1:21">
      <c r="A6088" t="s">
        <v>4</v>
      </c>
      <c r="B6088" s="4" t="s">
        <v>5</v>
      </c>
      <c r="C6088" s="4" t="s">
        <v>7</v>
      </c>
      <c r="D6088" s="4" t="s">
        <v>7</v>
      </c>
      <c r="E6088" s="4" t="s">
        <v>13</v>
      </c>
      <c r="F6088" s="4" t="s">
        <v>11</v>
      </c>
    </row>
    <row r="6089" spans="1:21">
      <c r="A6089" t="n">
        <v>56246</v>
      </c>
      <c r="B6089" s="51" t="n">
        <v>45</v>
      </c>
      <c r="C6089" s="7" t="n">
        <v>5</v>
      </c>
      <c r="D6089" s="7" t="n">
        <v>3</v>
      </c>
      <c r="E6089" s="7" t="n">
        <v>2.40000009536743</v>
      </c>
      <c r="F6089" s="7" t="n">
        <v>0</v>
      </c>
    </row>
    <row r="6090" spans="1:21">
      <c r="A6090" t="s">
        <v>4</v>
      </c>
      <c r="B6090" s="4" t="s">
        <v>5</v>
      </c>
      <c r="C6090" s="4" t="s">
        <v>7</v>
      </c>
      <c r="D6090" s="4" t="s">
        <v>7</v>
      </c>
      <c r="E6090" s="4" t="s">
        <v>13</v>
      </c>
      <c r="F6090" s="4" t="s">
        <v>11</v>
      </c>
    </row>
    <row r="6091" spans="1:21">
      <c r="A6091" t="n">
        <v>56255</v>
      </c>
      <c r="B6091" s="51" t="n">
        <v>45</v>
      </c>
      <c r="C6091" s="7" t="n">
        <v>11</v>
      </c>
      <c r="D6091" s="7" t="n">
        <v>3</v>
      </c>
      <c r="E6091" s="7" t="n">
        <v>33.4000015258789</v>
      </c>
      <c r="F6091" s="7" t="n">
        <v>0</v>
      </c>
    </row>
    <row r="6092" spans="1:21">
      <c r="A6092" t="s">
        <v>4</v>
      </c>
      <c r="B6092" s="4" t="s">
        <v>5</v>
      </c>
      <c r="C6092" s="4" t="s">
        <v>11</v>
      </c>
      <c r="D6092" s="4" t="s">
        <v>13</v>
      </c>
      <c r="E6092" s="4" t="s">
        <v>13</v>
      </c>
      <c r="F6092" s="4" t="s">
        <v>13</v>
      </c>
      <c r="G6092" s="4" t="s">
        <v>11</v>
      </c>
      <c r="H6092" s="4" t="s">
        <v>11</v>
      </c>
    </row>
    <row r="6093" spans="1:21">
      <c r="A6093" t="n">
        <v>56264</v>
      </c>
      <c r="B6093" s="37" t="n">
        <v>60</v>
      </c>
      <c r="C6093" s="7" t="n">
        <v>0</v>
      </c>
      <c r="D6093" s="7" t="n">
        <v>0</v>
      </c>
      <c r="E6093" s="7" t="n">
        <v>20</v>
      </c>
      <c r="F6093" s="7" t="n">
        <v>0</v>
      </c>
      <c r="G6093" s="7" t="n">
        <v>0</v>
      </c>
      <c r="H6093" s="7" t="n">
        <v>0</v>
      </c>
    </row>
    <row r="6094" spans="1:21">
      <c r="A6094" t="s">
        <v>4</v>
      </c>
      <c r="B6094" s="4" t="s">
        <v>5</v>
      </c>
      <c r="C6094" s="4" t="s">
        <v>7</v>
      </c>
      <c r="D6094" s="4" t="s">
        <v>7</v>
      </c>
      <c r="E6094" s="4" t="s">
        <v>7</v>
      </c>
      <c r="F6094" s="4" t="s">
        <v>13</v>
      </c>
      <c r="G6094" s="4" t="s">
        <v>13</v>
      </c>
      <c r="H6094" s="4" t="s">
        <v>13</v>
      </c>
      <c r="I6094" s="4" t="s">
        <v>13</v>
      </c>
      <c r="J6094" s="4" t="s">
        <v>13</v>
      </c>
    </row>
    <row r="6095" spans="1:21">
      <c r="A6095" t="n">
        <v>56283</v>
      </c>
      <c r="B6095" s="25" t="n">
        <v>76</v>
      </c>
      <c r="C6095" s="7" t="n">
        <v>0</v>
      </c>
      <c r="D6095" s="7" t="n">
        <v>3</v>
      </c>
      <c r="E6095" s="7" t="n">
        <v>2</v>
      </c>
      <c r="F6095" s="7" t="n">
        <v>1</v>
      </c>
      <c r="G6095" s="7" t="n">
        <v>1</v>
      </c>
      <c r="H6095" s="7" t="n">
        <v>1</v>
      </c>
      <c r="I6095" s="7" t="n">
        <v>1</v>
      </c>
      <c r="J6095" s="7" t="n">
        <v>2000</v>
      </c>
    </row>
    <row r="6096" spans="1:21">
      <c r="A6096" t="s">
        <v>4</v>
      </c>
      <c r="B6096" s="4" t="s">
        <v>5</v>
      </c>
      <c r="C6096" s="4" t="s">
        <v>7</v>
      </c>
      <c r="D6096" s="4" t="s">
        <v>7</v>
      </c>
      <c r="E6096" s="4" t="s">
        <v>7</v>
      </c>
      <c r="F6096" s="4" t="s">
        <v>13</v>
      </c>
      <c r="G6096" s="4" t="s">
        <v>13</v>
      </c>
      <c r="H6096" s="4" t="s">
        <v>13</v>
      </c>
      <c r="I6096" s="4" t="s">
        <v>13</v>
      </c>
      <c r="J6096" s="4" t="s">
        <v>13</v>
      </c>
    </row>
    <row r="6097" spans="1:21">
      <c r="A6097" t="n">
        <v>56307</v>
      </c>
      <c r="B6097" s="25" t="n">
        <v>76</v>
      </c>
      <c r="C6097" s="7" t="n">
        <v>0</v>
      </c>
      <c r="D6097" s="7" t="n">
        <v>0</v>
      </c>
      <c r="E6097" s="7" t="n">
        <v>2</v>
      </c>
      <c r="F6097" s="7" t="n">
        <v>64</v>
      </c>
      <c r="G6097" s="7" t="n">
        <v>0</v>
      </c>
      <c r="H6097" s="7" t="n">
        <v>2000</v>
      </c>
      <c r="I6097" s="7" t="n">
        <v>0</v>
      </c>
      <c r="J6097" s="7" t="n">
        <v>0</v>
      </c>
    </row>
    <row r="6098" spans="1:21">
      <c r="A6098" t="s">
        <v>4</v>
      </c>
      <c r="B6098" s="4" t="s">
        <v>5</v>
      </c>
      <c r="C6098" s="4" t="s">
        <v>7</v>
      </c>
      <c r="D6098" s="4" t="s">
        <v>7</v>
      </c>
    </row>
    <row r="6099" spans="1:21">
      <c r="A6099" t="n">
        <v>56331</v>
      </c>
      <c r="B6099" s="26" t="n">
        <v>77</v>
      </c>
      <c r="C6099" s="7" t="n">
        <v>0</v>
      </c>
      <c r="D6099" s="7" t="n">
        <v>3</v>
      </c>
    </row>
    <row r="6100" spans="1:21">
      <c r="A6100" t="s">
        <v>4</v>
      </c>
      <c r="B6100" s="4" t="s">
        <v>5</v>
      </c>
      <c r="C6100" s="4" t="s">
        <v>7</v>
      </c>
      <c r="D6100" s="4" t="s">
        <v>7</v>
      </c>
    </row>
    <row r="6101" spans="1:21">
      <c r="A6101" t="n">
        <v>56334</v>
      </c>
      <c r="B6101" s="26" t="n">
        <v>77</v>
      </c>
      <c r="C6101" s="7" t="n">
        <v>0</v>
      </c>
      <c r="D6101" s="7" t="n">
        <v>0</v>
      </c>
    </row>
    <row r="6102" spans="1:21">
      <c r="A6102" t="s">
        <v>4</v>
      </c>
      <c r="B6102" s="4" t="s">
        <v>5</v>
      </c>
      <c r="C6102" s="4" t="s">
        <v>11</v>
      </c>
    </row>
    <row r="6103" spans="1:21">
      <c r="A6103" t="n">
        <v>56337</v>
      </c>
      <c r="B6103" s="29" t="n">
        <v>16</v>
      </c>
      <c r="C6103" s="7" t="n">
        <v>2000</v>
      </c>
    </row>
    <row r="6104" spans="1:21">
      <c r="A6104" t="s">
        <v>4</v>
      </c>
      <c r="B6104" s="4" t="s">
        <v>5</v>
      </c>
      <c r="C6104" s="4" t="s">
        <v>7</v>
      </c>
      <c r="D6104" s="4" t="s">
        <v>11</v>
      </c>
      <c r="E6104" s="4" t="s">
        <v>15</v>
      </c>
      <c r="F6104" s="4" t="s">
        <v>11</v>
      </c>
      <c r="G6104" s="4" t="s">
        <v>15</v>
      </c>
      <c r="H6104" s="4" t="s">
        <v>7</v>
      </c>
    </row>
    <row r="6105" spans="1:21">
      <c r="A6105" t="n">
        <v>56340</v>
      </c>
      <c r="B6105" s="13" t="n">
        <v>49</v>
      </c>
      <c r="C6105" s="7" t="n">
        <v>0</v>
      </c>
      <c r="D6105" s="7" t="n">
        <v>514</v>
      </c>
      <c r="E6105" s="7" t="n">
        <v>1065353216</v>
      </c>
      <c r="F6105" s="7" t="n">
        <v>0</v>
      </c>
      <c r="G6105" s="7" t="n">
        <v>0</v>
      </c>
      <c r="H6105" s="7" t="n">
        <v>0</v>
      </c>
    </row>
    <row r="6106" spans="1:21">
      <c r="A6106" t="s">
        <v>4</v>
      </c>
      <c r="B6106" s="4" t="s">
        <v>5</v>
      </c>
      <c r="C6106" s="4" t="s">
        <v>7</v>
      </c>
      <c r="D6106" s="4" t="s">
        <v>7</v>
      </c>
      <c r="E6106" s="4" t="s">
        <v>7</v>
      </c>
      <c r="F6106" s="4" t="s">
        <v>13</v>
      </c>
      <c r="G6106" s="4" t="s">
        <v>13</v>
      </c>
      <c r="H6106" s="4" t="s">
        <v>13</v>
      </c>
      <c r="I6106" s="4" t="s">
        <v>13</v>
      </c>
      <c r="J6106" s="4" t="s">
        <v>13</v>
      </c>
    </row>
    <row r="6107" spans="1:21">
      <c r="A6107" t="n">
        <v>56355</v>
      </c>
      <c r="B6107" s="25" t="n">
        <v>76</v>
      </c>
      <c r="C6107" s="7" t="n">
        <v>0</v>
      </c>
      <c r="D6107" s="7" t="n">
        <v>3</v>
      </c>
      <c r="E6107" s="7" t="n">
        <v>1</v>
      </c>
      <c r="F6107" s="7" t="n">
        <v>1</v>
      </c>
      <c r="G6107" s="7" t="n">
        <v>1</v>
      </c>
      <c r="H6107" s="7" t="n">
        <v>1</v>
      </c>
      <c r="I6107" s="7" t="n">
        <v>0</v>
      </c>
      <c r="J6107" s="7" t="n">
        <v>2000</v>
      </c>
    </row>
    <row r="6108" spans="1:21">
      <c r="A6108" t="s">
        <v>4</v>
      </c>
      <c r="B6108" s="4" t="s">
        <v>5</v>
      </c>
      <c r="C6108" s="4" t="s">
        <v>7</v>
      </c>
      <c r="D6108" s="4" t="s">
        <v>7</v>
      </c>
      <c r="E6108" s="4" t="s">
        <v>7</v>
      </c>
      <c r="F6108" s="4" t="s">
        <v>13</v>
      </c>
      <c r="G6108" s="4" t="s">
        <v>13</v>
      </c>
      <c r="H6108" s="4" t="s">
        <v>13</v>
      </c>
      <c r="I6108" s="4" t="s">
        <v>13</v>
      </c>
      <c r="J6108" s="4" t="s">
        <v>13</v>
      </c>
    </row>
    <row r="6109" spans="1:21">
      <c r="A6109" t="n">
        <v>56379</v>
      </c>
      <c r="B6109" s="25" t="n">
        <v>76</v>
      </c>
      <c r="C6109" s="7" t="n">
        <v>0</v>
      </c>
      <c r="D6109" s="7" t="n">
        <v>0</v>
      </c>
      <c r="E6109" s="7" t="n">
        <v>1</v>
      </c>
      <c r="F6109" s="7" t="n">
        <v>128</v>
      </c>
      <c r="G6109" s="7" t="n">
        <v>0</v>
      </c>
      <c r="H6109" s="7" t="n">
        <v>2000</v>
      </c>
      <c r="I6109" s="7" t="n">
        <v>0</v>
      </c>
      <c r="J6109" s="7" t="n">
        <v>0</v>
      </c>
    </row>
    <row r="6110" spans="1:21">
      <c r="A6110" t="s">
        <v>4</v>
      </c>
      <c r="B6110" s="4" t="s">
        <v>5</v>
      </c>
      <c r="C6110" s="4" t="s">
        <v>7</v>
      </c>
      <c r="D6110" s="4" t="s">
        <v>7</v>
      </c>
    </row>
    <row r="6111" spans="1:21">
      <c r="A6111" t="n">
        <v>56403</v>
      </c>
      <c r="B6111" s="26" t="n">
        <v>77</v>
      </c>
      <c r="C6111" s="7" t="n">
        <v>0</v>
      </c>
      <c r="D6111" s="7" t="n">
        <v>3</v>
      </c>
    </row>
    <row r="6112" spans="1:21">
      <c r="A6112" t="s">
        <v>4</v>
      </c>
      <c r="B6112" s="4" t="s">
        <v>5</v>
      </c>
      <c r="C6112" s="4" t="s">
        <v>7</v>
      </c>
      <c r="D6112" s="4" t="s">
        <v>7</v>
      </c>
    </row>
    <row r="6113" spans="1:10">
      <c r="A6113" t="n">
        <v>56406</v>
      </c>
      <c r="B6113" s="26" t="n">
        <v>77</v>
      </c>
      <c r="C6113" s="7" t="n">
        <v>0</v>
      </c>
      <c r="D6113" s="7" t="n">
        <v>0</v>
      </c>
    </row>
    <row r="6114" spans="1:10">
      <c r="A6114" t="s">
        <v>4</v>
      </c>
      <c r="B6114" s="4" t="s">
        <v>5</v>
      </c>
      <c r="C6114" s="4" t="s">
        <v>7</v>
      </c>
      <c r="D6114" s="4" t="s">
        <v>7</v>
      </c>
      <c r="E6114" s="4" t="s">
        <v>13</v>
      </c>
      <c r="F6114" s="4" t="s">
        <v>13</v>
      </c>
      <c r="G6114" s="4" t="s">
        <v>13</v>
      </c>
      <c r="H6114" s="4" t="s">
        <v>11</v>
      </c>
    </row>
    <row r="6115" spans="1:10">
      <c r="A6115" t="n">
        <v>56409</v>
      </c>
      <c r="B6115" s="51" t="n">
        <v>45</v>
      </c>
      <c r="C6115" s="7" t="n">
        <v>2</v>
      </c>
      <c r="D6115" s="7" t="n">
        <v>3</v>
      </c>
      <c r="E6115" s="7" t="n">
        <v>5.23999977111816</v>
      </c>
      <c r="F6115" s="7" t="n">
        <v>2.15000009536743</v>
      </c>
      <c r="G6115" s="7" t="n">
        <v>43.8600006103516</v>
      </c>
      <c r="H6115" s="7" t="n">
        <v>8000</v>
      </c>
    </row>
    <row r="6116" spans="1:10">
      <c r="A6116" t="s">
        <v>4</v>
      </c>
      <c r="B6116" s="4" t="s">
        <v>5</v>
      </c>
      <c r="C6116" s="4" t="s">
        <v>7</v>
      </c>
      <c r="D6116" s="4" t="s">
        <v>7</v>
      </c>
      <c r="E6116" s="4" t="s">
        <v>13</v>
      </c>
      <c r="F6116" s="4" t="s">
        <v>13</v>
      </c>
      <c r="G6116" s="4" t="s">
        <v>13</v>
      </c>
      <c r="H6116" s="4" t="s">
        <v>11</v>
      </c>
      <c r="I6116" s="4" t="s">
        <v>7</v>
      </c>
    </row>
    <row r="6117" spans="1:10">
      <c r="A6117" t="n">
        <v>56426</v>
      </c>
      <c r="B6117" s="51" t="n">
        <v>45</v>
      </c>
      <c r="C6117" s="7" t="n">
        <v>4</v>
      </c>
      <c r="D6117" s="7" t="n">
        <v>3</v>
      </c>
      <c r="E6117" s="7" t="n">
        <v>12.4799995422363</v>
      </c>
      <c r="F6117" s="7" t="n">
        <v>144.25</v>
      </c>
      <c r="G6117" s="7" t="n">
        <v>0</v>
      </c>
      <c r="H6117" s="7" t="n">
        <v>8000</v>
      </c>
      <c r="I6117" s="7" t="n">
        <v>0</v>
      </c>
    </row>
    <row r="6118" spans="1:10">
      <c r="A6118" t="s">
        <v>4</v>
      </c>
      <c r="B6118" s="4" t="s">
        <v>5</v>
      </c>
      <c r="C6118" s="4" t="s">
        <v>7</v>
      </c>
      <c r="D6118" s="4" t="s">
        <v>7</v>
      </c>
      <c r="E6118" s="4" t="s">
        <v>13</v>
      </c>
      <c r="F6118" s="4" t="s">
        <v>11</v>
      </c>
    </row>
    <row r="6119" spans="1:10">
      <c r="A6119" t="n">
        <v>56444</v>
      </c>
      <c r="B6119" s="51" t="n">
        <v>45</v>
      </c>
      <c r="C6119" s="7" t="n">
        <v>5</v>
      </c>
      <c r="D6119" s="7" t="n">
        <v>3</v>
      </c>
      <c r="E6119" s="7" t="n">
        <v>2.40000009536743</v>
      </c>
      <c r="F6119" s="7" t="n">
        <v>8000</v>
      </c>
    </row>
    <row r="6120" spans="1:10">
      <c r="A6120" t="s">
        <v>4</v>
      </c>
      <c r="B6120" s="4" t="s">
        <v>5</v>
      </c>
      <c r="C6120" s="4" t="s">
        <v>7</v>
      </c>
      <c r="D6120" s="4" t="s">
        <v>7</v>
      </c>
      <c r="E6120" s="4" t="s">
        <v>13</v>
      </c>
      <c r="F6120" s="4" t="s">
        <v>11</v>
      </c>
    </row>
    <row r="6121" spans="1:10">
      <c r="A6121" t="n">
        <v>56453</v>
      </c>
      <c r="B6121" s="51" t="n">
        <v>45</v>
      </c>
      <c r="C6121" s="7" t="n">
        <v>11</v>
      </c>
      <c r="D6121" s="7" t="n">
        <v>3</v>
      </c>
      <c r="E6121" s="7" t="n">
        <v>33.4000015258789</v>
      </c>
      <c r="F6121" s="7" t="n">
        <v>8000</v>
      </c>
    </row>
    <row r="6122" spans="1:10">
      <c r="A6122" t="s">
        <v>4</v>
      </c>
      <c r="B6122" s="4" t="s">
        <v>5</v>
      </c>
      <c r="C6122" s="4" t="s">
        <v>7</v>
      </c>
      <c r="D6122" s="4" t="s">
        <v>11</v>
      </c>
      <c r="E6122" s="4" t="s">
        <v>13</v>
      </c>
    </row>
    <row r="6123" spans="1:10">
      <c r="A6123" t="n">
        <v>56462</v>
      </c>
      <c r="B6123" s="23" t="n">
        <v>58</v>
      </c>
      <c r="C6123" s="7" t="n">
        <v>100</v>
      </c>
      <c r="D6123" s="7" t="n">
        <v>1000</v>
      </c>
      <c r="E6123" s="7" t="n">
        <v>1</v>
      </c>
    </row>
    <row r="6124" spans="1:10">
      <c r="A6124" t="s">
        <v>4</v>
      </c>
      <c r="B6124" s="4" t="s">
        <v>5</v>
      </c>
      <c r="C6124" s="4" t="s">
        <v>7</v>
      </c>
      <c r="D6124" s="4" t="s">
        <v>11</v>
      </c>
    </row>
    <row r="6125" spans="1:10">
      <c r="A6125" t="n">
        <v>56470</v>
      </c>
      <c r="B6125" s="23" t="n">
        <v>58</v>
      </c>
      <c r="C6125" s="7" t="n">
        <v>255</v>
      </c>
      <c r="D6125" s="7" t="n">
        <v>0</v>
      </c>
    </row>
    <row r="6126" spans="1:10">
      <c r="A6126" t="s">
        <v>4</v>
      </c>
      <c r="B6126" s="4" t="s">
        <v>5</v>
      </c>
      <c r="C6126" s="4" t="s">
        <v>7</v>
      </c>
      <c r="D6126" s="4" t="s">
        <v>11</v>
      </c>
    </row>
    <row r="6127" spans="1:10">
      <c r="A6127" t="n">
        <v>56474</v>
      </c>
      <c r="B6127" s="51" t="n">
        <v>45</v>
      </c>
      <c r="C6127" s="7" t="n">
        <v>7</v>
      </c>
      <c r="D6127" s="7" t="n">
        <v>255</v>
      </c>
    </row>
    <row r="6128" spans="1:10">
      <c r="A6128" t="s">
        <v>4</v>
      </c>
      <c r="B6128" s="4" t="s">
        <v>5</v>
      </c>
      <c r="C6128" s="4" t="s">
        <v>7</v>
      </c>
      <c r="D6128" s="4" t="s">
        <v>11</v>
      </c>
      <c r="E6128" s="4" t="s">
        <v>13</v>
      </c>
    </row>
    <row r="6129" spans="1:9">
      <c r="A6129" t="n">
        <v>56478</v>
      </c>
      <c r="B6129" s="23" t="n">
        <v>58</v>
      </c>
      <c r="C6129" s="7" t="n">
        <v>101</v>
      </c>
      <c r="D6129" s="7" t="n">
        <v>800</v>
      </c>
      <c r="E6129" s="7" t="n">
        <v>1</v>
      </c>
    </row>
    <row r="6130" spans="1:9">
      <c r="A6130" t="s">
        <v>4</v>
      </c>
      <c r="B6130" s="4" t="s">
        <v>5</v>
      </c>
      <c r="C6130" s="4" t="s">
        <v>7</v>
      </c>
      <c r="D6130" s="4" t="s">
        <v>11</v>
      </c>
    </row>
    <row r="6131" spans="1:9">
      <c r="A6131" t="n">
        <v>56486</v>
      </c>
      <c r="B6131" s="23" t="n">
        <v>58</v>
      </c>
      <c r="C6131" s="7" t="n">
        <v>254</v>
      </c>
      <c r="D6131" s="7" t="n">
        <v>0</v>
      </c>
    </row>
    <row r="6132" spans="1:9">
      <c r="A6132" t="s">
        <v>4</v>
      </c>
      <c r="B6132" s="4" t="s">
        <v>5</v>
      </c>
      <c r="C6132" s="4" t="s">
        <v>7</v>
      </c>
      <c r="D6132" s="4" t="s">
        <v>7</v>
      </c>
      <c r="E6132" s="4" t="s">
        <v>13</v>
      </c>
      <c r="F6132" s="4" t="s">
        <v>13</v>
      </c>
      <c r="G6132" s="4" t="s">
        <v>13</v>
      </c>
      <c r="H6132" s="4" t="s">
        <v>11</v>
      </c>
    </row>
    <row r="6133" spans="1:9">
      <c r="A6133" t="n">
        <v>56490</v>
      </c>
      <c r="B6133" s="51" t="n">
        <v>45</v>
      </c>
      <c r="C6133" s="7" t="n">
        <v>2</v>
      </c>
      <c r="D6133" s="7" t="n">
        <v>3</v>
      </c>
      <c r="E6133" s="7" t="n">
        <v>4.26999998092651</v>
      </c>
      <c r="F6133" s="7" t="n">
        <v>2.44000005722046</v>
      </c>
      <c r="G6133" s="7" t="n">
        <v>44.1500015258789</v>
      </c>
      <c r="H6133" s="7" t="n">
        <v>0</v>
      </c>
    </row>
    <row r="6134" spans="1:9">
      <c r="A6134" t="s">
        <v>4</v>
      </c>
      <c r="B6134" s="4" t="s">
        <v>5</v>
      </c>
      <c r="C6134" s="4" t="s">
        <v>7</v>
      </c>
      <c r="D6134" s="4" t="s">
        <v>7</v>
      </c>
      <c r="E6134" s="4" t="s">
        <v>13</v>
      </c>
      <c r="F6134" s="4" t="s">
        <v>13</v>
      </c>
      <c r="G6134" s="4" t="s">
        <v>13</v>
      </c>
      <c r="H6134" s="4" t="s">
        <v>11</v>
      </c>
      <c r="I6134" s="4" t="s">
        <v>7</v>
      </c>
    </row>
    <row r="6135" spans="1:9">
      <c r="A6135" t="n">
        <v>56507</v>
      </c>
      <c r="B6135" s="51" t="n">
        <v>45</v>
      </c>
      <c r="C6135" s="7" t="n">
        <v>4</v>
      </c>
      <c r="D6135" s="7" t="n">
        <v>3</v>
      </c>
      <c r="E6135" s="7" t="n">
        <v>357.880004882813</v>
      </c>
      <c r="F6135" s="7" t="n">
        <v>321.779998779297</v>
      </c>
      <c r="G6135" s="7" t="n">
        <v>0</v>
      </c>
      <c r="H6135" s="7" t="n">
        <v>0</v>
      </c>
      <c r="I6135" s="7" t="n">
        <v>0</v>
      </c>
    </row>
    <row r="6136" spans="1:9">
      <c r="A6136" t="s">
        <v>4</v>
      </c>
      <c r="B6136" s="4" t="s">
        <v>5</v>
      </c>
      <c r="C6136" s="4" t="s">
        <v>7</v>
      </c>
      <c r="D6136" s="4" t="s">
        <v>7</v>
      </c>
      <c r="E6136" s="4" t="s">
        <v>13</v>
      </c>
      <c r="F6136" s="4" t="s">
        <v>11</v>
      </c>
    </row>
    <row r="6137" spans="1:9">
      <c r="A6137" t="n">
        <v>56525</v>
      </c>
      <c r="B6137" s="51" t="n">
        <v>45</v>
      </c>
      <c r="C6137" s="7" t="n">
        <v>5</v>
      </c>
      <c r="D6137" s="7" t="n">
        <v>3</v>
      </c>
      <c r="E6137" s="7" t="n">
        <v>2.40000009536743</v>
      </c>
      <c r="F6137" s="7" t="n">
        <v>0</v>
      </c>
    </row>
    <row r="6138" spans="1:9">
      <c r="A6138" t="s">
        <v>4</v>
      </c>
      <c r="B6138" s="4" t="s">
        <v>5</v>
      </c>
      <c r="C6138" s="4" t="s">
        <v>7</v>
      </c>
      <c r="D6138" s="4" t="s">
        <v>7</v>
      </c>
      <c r="E6138" s="4" t="s">
        <v>13</v>
      </c>
      <c r="F6138" s="4" t="s">
        <v>11</v>
      </c>
    </row>
    <row r="6139" spans="1:9">
      <c r="A6139" t="n">
        <v>56534</v>
      </c>
      <c r="B6139" s="51" t="n">
        <v>45</v>
      </c>
      <c r="C6139" s="7" t="n">
        <v>11</v>
      </c>
      <c r="D6139" s="7" t="n">
        <v>3</v>
      </c>
      <c r="E6139" s="7" t="n">
        <v>33.4000015258789</v>
      </c>
      <c r="F6139" s="7" t="n">
        <v>0</v>
      </c>
    </row>
    <row r="6140" spans="1:9">
      <c r="A6140" t="s">
        <v>4</v>
      </c>
      <c r="B6140" s="4" t="s">
        <v>5</v>
      </c>
      <c r="C6140" s="4" t="s">
        <v>7</v>
      </c>
      <c r="D6140" s="4" t="s">
        <v>7</v>
      </c>
      <c r="E6140" s="4" t="s">
        <v>13</v>
      </c>
      <c r="F6140" s="4" t="s">
        <v>13</v>
      </c>
      <c r="G6140" s="4" t="s">
        <v>13</v>
      </c>
      <c r="H6140" s="4" t="s">
        <v>11</v>
      </c>
    </row>
    <row r="6141" spans="1:9">
      <c r="A6141" t="n">
        <v>56543</v>
      </c>
      <c r="B6141" s="51" t="n">
        <v>45</v>
      </c>
      <c r="C6141" s="7" t="n">
        <v>2</v>
      </c>
      <c r="D6141" s="7" t="n">
        <v>3</v>
      </c>
      <c r="E6141" s="7" t="n">
        <v>4.76999998092651</v>
      </c>
      <c r="F6141" s="7" t="n">
        <v>1.45000004768372</v>
      </c>
      <c r="G6141" s="7" t="n">
        <v>45.2599983215332</v>
      </c>
      <c r="H6141" s="7" t="n">
        <v>8000</v>
      </c>
    </row>
    <row r="6142" spans="1:9">
      <c r="A6142" t="s">
        <v>4</v>
      </c>
      <c r="B6142" s="4" t="s">
        <v>5</v>
      </c>
      <c r="C6142" s="4" t="s">
        <v>7</v>
      </c>
      <c r="D6142" s="4" t="s">
        <v>7</v>
      </c>
      <c r="E6142" s="4" t="s">
        <v>13</v>
      </c>
      <c r="F6142" s="4" t="s">
        <v>13</v>
      </c>
      <c r="G6142" s="4" t="s">
        <v>13</v>
      </c>
      <c r="H6142" s="4" t="s">
        <v>11</v>
      </c>
      <c r="I6142" s="4" t="s">
        <v>7</v>
      </c>
    </row>
    <row r="6143" spans="1:9">
      <c r="A6143" t="n">
        <v>56560</v>
      </c>
      <c r="B6143" s="51" t="n">
        <v>45</v>
      </c>
      <c r="C6143" s="7" t="n">
        <v>4</v>
      </c>
      <c r="D6143" s="7" t="n">
        <v>3</v>
      </c>
      <c r="E6143" s="7" t="n">
        <v>358.660003662109</v>
      </c>
      <c r="F6143" s="7" t="n">
        <v>283.079986572266</v>
      </c>
      <c r="G6143" s="7" t="n">
        <v>0</v>
      </c>
      <c r="H6143" s="7" t="n">
        <v>8000</v>
      </c>
      <c r="I6143" s="7" t="n">
        <v>0</v>
      </c>
    </row>
    <row r="6144" spans="1:9">
      <c r="A6144" t="s">
        <v>4</v>
      </c>
      <c r="B6144" s="4" t="s">
        <v>5</v>
      </c>
      <c r="C6144" s="4" t="s">
        <v>7</v>
      </c>
      <c r="D6144" s="4" t="s">
        <v>7</v>
      </c>
      <c r="E6144" s="4" t="s">
        <v>13</v>
      </c>
      <c r="F6144" s="4" t="s">
        <v>11</v>
      </c>
    </row>
    <row r="6145" spans="1:9">
      <c r="A6145" t="n">
        <v>56578</v>
      </c>
      <c r="B6145" s="51" t="n">
        <v>45</v>
      </c>
      <c r="C6145" s="7" t="n">
        <v>5</v>
      </c>
      <c r="D6145" s="7" t="n">
        <v>3</v>
      </c>
      <c r="E6145" s="7" t="n">
        <v>2</v>
      </c>
      <c r="F6145" s="7" t="n">
        <v>8000</v>
      </c>
    </row>
    <row r="6146" spans="1:9">
      <c r="A6146" t="s">
        <v>4</v>
      </c>
      <c r="B6146" s="4" t="s">
        <v>5</v>
      </c>
      <c r="C6146" s="4" t="s">
        <v>7</v>
      </c>
      <c r="D6146" s="4" t="s">
        <v>11</v>
      </c>
    </row>
    <row r="6147" spans="1:9">
      <c r="A6147" t="n">
        <v>56587</v>
      </c>
      <c r="B6147" s="23" t="n">
        <v>58</v>
      </c>
      <c r="C6147" s="7" t="n">
        <v>255</v>
      </c>
      <c r="D6147" s="7" t="n">
        <v>0</v>
      </c>
    </row>
    <row r="6148" spans="1:9">
      <c r="A6148" t="s">
        <v>4</v>
      </c>
      <c r="B6148" s="4" t="s">
        <v>5</v>
      </c>
      <c r="C6148" s="4" t="s">
        <v>7</v>
      </c>
      <c r="D6148" s="4" t="s">
        <v>11</v>
      </c>
    </row>
    <row r="6149" spans="1:9">
      <c r="A6149" t="n">
        <v>56591</v>
      </c>
      <c r="B6149" s="51" t="n">
        <v>45</v>
      </c>
      <c r="C6149" s="7" t="n">
        <v>7</v>
      </c>
      <c r="D6149" s="7" t="n">
        <v>255</v>
      </c>
    </row>
    <row r="6150" spans="1:9">
      <c r="A6150" t="s">
        <v>4</v>
      </c>
      <c r="B6150" s="4" t="s">
        <v>5</v>
      </c>
      <c r="C6150" s="4" t="s">
        <v>7</v>
      </c>
      <c r="D6150" s="4" t="s">
        <v>11</v>
      </c>
      <c r="E6150" s="4" t="s">
        <v>13</v>
      </c>
    </row>
    <row r="6151" spans="1:9">
      <c r="A6151" t="n">
        <v>56595</v>
      </c>
      <c r="B6151" s="23" t="n">
        <v>58</v>
      </c>
      <c r="C6151" s="7" t="n">
        <v>101</v>
      </c>
      <c r="D6151" s="7" t="n">
        <v>800</v>
      </c>
      <c r="E6151" s="7" t="n">
        <v>1</v>
      </c>
    </row>
    <row r="6152" spans="1:9">
      <c r="A6152" t="s">
        <v>4</v>
      </c>
      <c r="B6152" s="4" t="s">
        <v>5</v>
      </c>
      <c r="C6152" s="4" t="s">
        <v>7</v>
      </c>
      <c r="D6152" s="4" t="s">
        <v>11</v>
      </c>
    </row>
    <row r="6153" spans="1:9">
      <c r="A6153" t="n">
        <v>56603</v>
      </c>
      <c r="B6153" s="23" t="n">
        <v>58</v>
      </c>
      <c r="C6153" s="7" t="n">
        <v>254</v>
      </c>
      <c r="D6153" s="7" t="n">
        <v>0</v>
      </c>
    </row>
    <row r="6154" spans="1:9">
      <c r="A6154" t="s">
        <v>4</v>
      </c>
      <c r="B6154" s="4" t="s">
        <v>5</v>
      </c>
      <c r="C6154" s="4" t="s">
        <v>7</v>
      </c>
      <c r="D6154" s="4" t="s">
        <v>7</v>
      </c>
      <c r="E6154" s="4" t="s">
        <v>13</v>
      </c>
      <c r="F6154" s="4" t="s">
        <v>13</v>
      </c>
      <c r="G6154" s="4" t="s">
        <v>13</v>
      </c>
      <c r="H6154" s="4" t="s">
        <v>11</v>
      </c>
    </row>
    <row r="6155" spans="1:9">
      <c r="A6155" t="n">
        <v>56607</v>
      </c>
      <c r="B6155" s="51" t="n">
        <v>45</v>
      </c>
      <c r="C6155" s="7" t="n">
        <v>2</v>
      </c>
      <c r="D6155" s="7" t="n">
        <v>3</v>
      </c>
      <c r="E6155" s="7" t="n">
        <v>4.73999977111816</v>
      </c>
      <c r="F6155" s="7" t="n">
        <v>1.37000000476837</v>
      </c>
      <c r="G6155" s="7" t="n">
        <v>45.310001373291</v>
      </c>
      <c r="H6155" s="7" t="n">
        <v>0</v>
      </c>
    </row>
    <row r="6156" spans="1:9">
      <c r="A6156" t="s">
        <v>4</v>
      </c>
      <c r="B6156" s="4" t="s">
        <v>5</v>
      </c>
      <c r="C6156" s="4" t="s">
        <v>7</v>
      </c>
      <c r="D6156" s="4" t="s">
        <v>7</v>
      </c>
      <c r="E6156" s="4" t="s">
        <v>13</v>
      </c>
      <c r="F6156" s="4" t="s">
        <v>13</v>
      </c>
      <c r="G6156" s="4" t="s">
        <v>13</v>
      </c>
      <c r="H6156" s="4" t="s">
        <v>11</v>
      </c>
      <c r="I6156" s="4" t="s">
        <v>7</v>
      </c>
    </row>
    <row r="6157" spans="1:9">
      <c r="A6157" t="n">
        <v>56624</v>
      </c>
      <c r="B6157" s="51" t="n">
        <v>45</v>
      </c>
      <c r="C6157" s="7" t="n">
        <v>4</v>
      </c>
      <c r="D6157" s="7" t="n">
        <v>3</v>
      </c>
      <c r="E6157" s="7" t="n">
        <v>4.3899998664856</v>
      </c>
      <c r="F6157" s="7" t="n">
        <v>107.779998779297</v>
      </c>
      <c r="G6157" s="7" t="n">
        <v>0</v>
      </c>
      <c r="H6157" s="7" t="n">
        <v>0</v>
      </c>
      <c r="I6157" s="7" t="n">
        <v>0</v>
      </c>
    </row>
    <row r="6158" spans="1:9">
      <c r="A6158" t="s">
        <v>4</v>
      </c>
      <c r="B6158" s="4" t="s">
        <v>5</v>
      </c>
      <c r="C6158" s="4" t="s">
        <v>7</v>
      </c>
      <c r="D6158" s="4" t="s">
        <v>7</v>
      </c>
      <c r="E6158" s="4" t="s">
        <v>13</v>
      </c>
      <c r="F6158" s="4" t="s">
        <v>11</v>
      </c>
    </row>
    <row r="6159" spans="1:9">
      <c r="A6159" t="n">
        <v>56642</v>
      </c>
      <c r="B6159" s="51" t="n">
        <v>45</v>
      </c>
      <c r="C6159" s="7" t="n">
        <v>5</v>
      </c>
      <c r="D6159" s="7" t="n">
        <v>3</v>
      </c>
      <c r="E6159" s="7" t="n">
        <v>2</v>
      </c>
      <c r="F6159" s="7" t="n">
        <v>0</v>
      </c>
    </row>
    <row r="6160" spans="1:9">
      <c r="A6160" t="s">
        <v>4</v>
      </c>
      <c r="B6160" s="4" t="s">
        <v>5</v>
      </c>
      <c r="C6160" s="4" t="s">
        <v>7</v>
      </c>
      <c r="D6160" s="4" t="s">
        <v>7</v>
      </c>
      <c r="E6160" s="4" t="s">
        <v>13</v>
      </c>
      <c r="F6160" s="4" t="s">
        <v>11</v>
      </c>
    </row>
    <row r="6161" spans="1:9">
      <c r="A6161" t="n">
        <v>56651</v>
      </c>
      <c r="B6161" s="51" t="n">
        <v>45</v>
      </c>
      <c r="C6161" s="7" t="n">
        <v>11</v>
      </c>
      <c r="D6161" s="7" t="n">
        <v>3</v>
      </c>
      <c r="E6161" s="7" t="n">
        <v>33.4000015258789</v>
      </c>
      <c r="F6161" s="7" t="n">
        <v>0</v>
      </c>
    </row>
    <row r="6162" spans="1:9">
      <c r="A6162" t="s">
        <v>4</v>
      </c>
      <c r="B6162" s="4" t="s">
        <v>5</v>
      </c>
      <c r="C6162" s="4" t="s">
        <v>11</v>
      </c>
      <c r="D6162" s="4" t="s">
        <v>15</v>
      </c>
    </row>
    <row r="6163" spans="1:9">
      <c r="A6163" t="n">
        <v>56660</v>
      </c>
      <c r="B6163" s="63" t="n">
        <v>44</v>
      </c>
      <c r="C6163" s="7" t="n">
        <v>7</v>
      </c>
      <c r="D6163" s="7" t="n">
        <v>1</v>
      </c>
    </row>
    <row r="6164" spans="1:9">
      <c r="A6164" t="s">
        <v>4</v>
      </c>
      <c r="B6164" s="4" t="s">
        <v>5</v>
      </c>
      <c r="C6164" s="4" t="s">
        <v>7</v>
      </c>
      <c r="D6164" s="4" t="s">
        <v>11</v>
      </c>
    </row>
    <row r="6165" spans="1:9">
      <c r="A6165" t="n">
        <v>56667</v>
      </c>
      <c r="B6165" s="23" t="n">
        <v>58</v>
      </c>
      <c r="C6165" s="7" t="n">
        <v>255</v>
      </c>
      <c r="D6165" s="7" t="n">
        <v>0</v>
      </c>
    </row>
    <row r="6166" spans="1:9">
      <c r="A6166" t="s">
        <v>4</v>
      </c>
      <c r="B6166" s="4" t="s">
        <v>5</v>
      </c>
      <c r="C6166" s="4" t="s">
        <v>8</v>
      </c>
      <c r="D6166" s="4" t="s">
        <v>8</v>
      </c>
    </row>
    <row r="6167" spans="1:9">
      <c r="A6167" t="n">
        <v>56671</v>
      </c>
      <c r="B6167" s="52" t="n">
        <v>70</v>
      </c>
      <c r="C6167" s="7" t="s">
        <v>279</v>
      </c>
      <c r="D6167" s="7" t="s">
        <v>280</v>
      </c>
    </row>
    <row r="6168" spans="1:9">
      <c r="A6168" t="s">
        <v>4</v>
      </c>
      <c r="B6168" s="4" t="s">
        <v>5</v>
      </c>
      <c r="C6168" s="4" t="s">
        <v>11</v>
      </c>
    </row>
    <row r="6169" spans="1:9">
      <c r="A6169" t="n">
        <v>56688</v>
      </c>
      <c r="B6169" s="29" t="n">
        <v>16</v>
      </c>
      <c r="C6169" s="7" t="n">
        <v>1000</v>
      </c>
    </row>
    <row r="6170" spans="1:9">
      <c r="A6170" t="s">
        <v>4</v>
      </c>
      <c r="B6170" s="4" t="s">
        <v>5</v>
      </c>
      <c r="C6170" s="4" t="s">
        <v>7</v>
      </c>
      <c r="D6170" s="4" t="s">
        <v>11</v>
      </c>
      <c r="E6170" s="4" t="s">
        <v>11</v>
      </c>
      <c r="F6170" s="4" t="s">
        <v>7</v>
      </c>
    </row>
    <row r="6171" spans="1:9">
      <c r="A6171" t="n">
        <v>56691</v>
      </c>
      <c r="B6171" s="31" t="n">
        <v>25</v>
      </c>
      <c r="C6171" s="7" t="n">
        <v>1</v>
      </c>
      <c r="D6171" s="7" t="n">
        <v>100</v>
      </c>
      <c r="E6171" s="7" t="n">
        <v>500</v>
      </c>
      <c r="F6171" s="7" t="n">
        <v>5</v>
      </c>
    </row>
    <row r="6172" spans="1:9">
      <c r="A6172" t="s">
        <v>4</v>
      </c>
      <c r="B6172" s="4" t="s">
        <v>5</v>
      </c>
      <c r="C6172" s="4" t="s">
        <v>8</v>
      </c>
      <c r="D6172" s="4" t="s">
        <v>11</v>
      </c>
    </row>
    <row r="6173" spans="1:9">
      <c r="A6173" t="n">
        <v>56698</v>
      </c>
      <c r="B6173" s="67" t="n">
        <v>29</v>
      </c>
      <c r="C6173" s="7" t="s">
        <v>281</v>
      </c>
      <c r="D6173" s="7" t="n">
        <v>65533</v>
      </c>
    </row>
    <row r="6174" spans="1:9">
      <c r="A6174" t="s">
        <v>4</v>
      </c>
      <c r="B6174" s="4" t="s">
        <v>5</v>
      </c>
      <c r="C6174" s="4" t="s">
        <v>7</v>
      </c>
      <c r="D6174" s="4" t="s">
        <v>11</v>
      </c>
      <c r="E6174" s="4" t="s">
        <v>8</v>
      </c>
    </row>
    <row r="6175" spans="1:9">
      <c r="A6175" t="n">
        <v>56707</v>
      </c>
      <c r="B6175" s="38" t="n">
        <v>51</v>
      </c>
      <c r="C6175" s="7" t="n">
        <v>4</v>
      </c>
      <c r="D6175" s="7" t="n">
        <v>7</v>
      </c>
      <c r="E6175" s="7" t="s">
        <v>16</v>
      </c>
    </row>
    <row r="6176" spans="1:9">
      <c r="A6176" t="s">
        <v>4</v>
      </c>
      <c r="B6176" s="4" t="s">
        <v>5</v>
      </c>
      <c r="C6176" s="4" t="s">
        <v>11</v>
      </c>
    </row>
    <row r="6177" spans="1:6">
      <c r="A6177" t="n">
        <v>56712</v>
      </c>
      <c r="B6177" s="29" t="n">
        <v>16</v>
      </c>
      <c r="C6177" s="7" t="n">
        <v>0</v>
      </c>
    </row>
    <row r="6178" spans="1:6">
      <c r="A6178" t="s">
        <v>4</v>
      </c>
      <c r="B6178" s="4" t="s">
        <v>5</v>
      </c>
      <c r="C6178" s="4" t="s">
        <v>11</v>
      </c>
      <c r="D6178" s="4" t="s">
        <v>7</v>
      </c>
      <c r="E6178" s="4" t="s">
        <v>15</v>
      </c>
      <c r="F6178" s="4" t="s">
        <v>55</v>
      </c>
      <c r="G6178" s="4" t="s">
        <v>7</v>
      </c>
      <c r="H6178" s="4" t="s">
        <v>7</v>
      </c>
    </row>
    <row r="6179" spans="1:6">
      <c r="A6179" t="n">
        <v>56715</v>
      </c>
      <c r="B6179" s="55" t="n">
        <v>26</v>
      </c>
      <c r="C6179" s="7" t="n">
        <v>7</v>
      </c>
      <c r="D6179" s="7" t="n">
        <v>17</v>
      </c>
      <c r="E6179" s="7" t="n">
        <v>63903</v>
      </c>
      <c r="F6179" s="7" t="s">
        <v>556</v>
      </c>
      <c r="G6179" s="7" t="n">
        <v>2</v>
      </c>
      <c r="H6179" s="7" t="n">
        <v>0</v>
      </c>
    </row>
    <row r="6180" spans="1:6">
      <c r="A6180" t="s">
        <v>4</v>
      </c>
      <c r="B6180" s="4" t="s">
        <v>5</v>
      </c>
    </row>
    <row r="6181" spans="1:6">
      <c r="A6181" t="n">
        <v>56754</v>
      </c>
      <c r="B6181" s="27" t="n">
        <v>28</v>
      </c>
    </row>
    <row r="6182" spans="1:6">
      <c r="A6182" t="s">
        <v>4</v>
      </c>
      <c r="B6182" s="4" t="s">
        <v>5</v>
      </c>
      <c r="C6182" s="4" t="s">
        <v>11</v>
      </c>
      <c r="D6182" s="4" t="s">
        <v>7</v>
      </c>
    </row>
    <row r="6183" spans="1:6">
      <c r="A6183" t="n">
        <v>56755</v>
      </c>
      <c r="B6183" s="68" t="n">
        <v>89</v>
      </c>
      <c r="C6183" s="7" t="n">
        <v>65533</v>
      </c>
      <c r="D6183" s="7" t="n">
        <v>1</v>
      </c>
    </row>
    <row r="6184" spans="1:6">
      <c r="A6184" t="s">
        <v>4</v>
      </c>
      <c r="B6184" s="4" t="s">
        <v>5</v>
      </c>
      <c r="C6184" s="4" t="s">
        <v>7</v>
      </c>
      <c r="D6184" s="4" t="s">
        <v>11</v>
      </c>
      <c r="E6184" s="4" t="s">
        <v>11</v>
      </c>
      <c r="F6184" s="4" t="s">
        <v>7</v>
      </c>
    </row>
    <row r="6185" spans="1:6">
      <c r="A6185" t="n">
        <v>56759</v>
      </c>
      <c r="B6185" s="31" t="n">
        <v>25</v>
      </c>
      <c r="C6185" s="7" t="n">
        <v>1</v>
      </c>
      <c r="D6185" s="7" t="n">
        <v>65535</v>
      </c>
      <c r="E6185" s="7" t="n">
        <v>65535</v>
      </c>
      <c r="F6185" s="7" t="n">
        <v>0</v>
      </c>
    </row>
    <row r="6186" spans="1:6">
      <c r="A6186" t="s">
        <v>4</v>
      </c>
      <c r="B6186" s="4" t="s">
        <v>5</v>
      </c>
      <c r="C6186" s="4" t="s">
        <v>8</v>
      </c>
      <c r="D6186" s="4" t="s">
        <v>11</v>
      </c>
    </row>
    <row r="6187" spans="1:6">
      <c r="A6187" t="n">
        <v>56766</v>
      </c>
      <c r="B6187" s="67" t="n">
        <v>29</v>
      </c>
      <c r="C6187" s="7" t="s">
        <v>16</v>
      </c>
      <c r="D6187" s="7" t="n">
        <v>65533</v>
      </c>
    </row>
    <row r="6188" spans="1:6">
      <c r="A6188" t="s">
        <v>4</v>
      </c>
      <c r="B6188" s="4" t="s">
        <v>5</v>
      </c>
      <c r="C6188" s="4" t="s">
        <v>11</v>
      </c>
      <c r="D6188" s="4" t="s">
        <v>7</v>
      </c>
      <c r="E6188" s="4" t="s">
        <v>13</v>
      </c>
      <c r="F6188" s="4" t="s">
        <v>11</v>
      </c>
    </row>
    <row r="6189" spans="1:6">
      <c r="A6189" t="n">
        <v>56770</v>
      </c>
      <c r="B6189" s="56" t="n">
        <v>59</v>
      </c>
      <c r="C6189" s="7" t="n">
        <v>0</v>
      </c>
      <c r="D6189" s="7" t="n">
        <v>13</v>
      </c>
      <c r="E6189" s="7" t="n">
        <v>0.150000005960464</v>
      </c>
      <c r="F6189" s="7" t="n">
        <v>0</v>
      </c>
    </row>
    <row r="6190" spans="1:6">
      <c r="A6190" t="s">
        <v>4</v>
      </c>
      <c r="B6190" s="4" t="s">
        <v>5</v>
      </c>
      <c r="C6190" s="4" t="s">
        <v>11</v>
      </c>
    </row>
    <row r="6191" spans="1:6">
      <c r="A6191" t="n">
        <v>56780</v>
      </c>
      <c r="B6191" s="29" t="n">
        <v>16</v>
      </c>
      <c r="C6191" s="7" t="n">
        <v>1000</v>
      </c>
    </row>
    <row r="6192" spans="1:6">
      <c r="A6192" t="s">
        <v>4</v>
      </c>
      <c r="B6192" s="4" t="s">
        <v>5</v>
      </c>
      <c r="C6192" s="4" t="s">
        <v>11</v>
      </c>
      <c r="D6192" s="4" t="s">
        <v>13</v>
      </c>
      <c r="E6192" s="4" t="s">
        <v>13</v>
      </c>
      <c r="F6192" s="4" t="s">
        <v>13</v>
      </c>
      <c r="G6192" s="4" t="s">
        <v>11</v>
      </c>
      <c r="H6192" s="4" t="s">
        <v>11</v>
      </c>
    </row>
    <row r="6193" spans="1:8">
      <c r="A6193" t="n">
        <v>56783</v>
      </c>
      <c r="B6193" s="37" t="n">
        <v>60</v>
      </c>
      <c r="C6193" s="7" t="n">
        <v>0</v>
      </c>
      <c r="D6193" s="7" t="n">
        <v>0</v>
      </c>
      <c r="E6193" s="7" t="n">
        <v>0</v>
      </c>
      <c r="F6193" s="7" t="n">
        <v>0</v>
      </c>
      <c r="G6193" s="7" t="n">
        <v>1000</v>
      </c>
      <c r="H6193" s="7" t="n">
        <v>0</v>
      </c>
    </row>
    <row r="6194" spans="1:8">
      <c r="A6194" t="s">
        <v>4</v>
      </c>
      <c r="B6194" s="4" t="s">
        <v>5</v>
      </c>
      <c r="C6194" s="4" t="s">
        <v>11</v>
      </c>
      <c r="D6194" s="4" t="s">
        <v>11</v>
      </c>
      <c r="E6194" s="4" t="s">
        <v>11</v>
      </c>
    </row>
    <row r="6195" spans="1:8">
      <c r="A6195" t="n">
        <v>56802</v>
      </c>
      <c r="B6195" s="72" t="n">
        <v>61</v>
      </c>
      <c r="C6195" s="7" t="n">
        <v>0</v>
      </c>
      <c r="D6195" s="7" t="n">
        <v>7</v>
      </c>
      <c r="E6195" s="7" t="n">
        <v>1000</v>
      </c>
    </row>
    <row r="6196" spans="1:8">
      <c r="A6196" t="s">
        <v>4</v>
      </c>
      <c r="B6196" s="4" t="s">
        <v>5</v>
      </c>
      <c r="C6196" s="4" t="s">
        <v>11</v>
      </c>
      <c r="D6196" s="4" t="s">
        <v>11</v>
      </c>
      <c r="E6196" s="4" t="s">
        <v>11</v>
      </c>
    </row>
    <row r="6197" spans="1:8">
      <c r="A6197" t="n">
        <v>56809</v>
      </c>
      <c r="B6197" s="72" t="n">
        <v>61</v>
      </c>
      <c r="C6197" s="7" t="n">
        <v>7</v>
      </c>
      <c r="D6197" s="7" t="n">
        <v>0</v>
      </c>
      <c r="E6197" s="7" t="n">
        <v>1000</v>
      </c>
    </row>
    <row r="6198" spans="1:8">
      <c r="A6198" t="s">
        <v>4</v>
      </c>
      <c r="B6198" s="4" t="s">
        <v>5</v>
      </c>
      <c r="C6198" s="4" t="s">
        <v>11</v>
      </c>
      <c r="D6198" s="4" t="s">
        <v>13</v>
      </c>
      <c r="E6198" s="4" t="s">
        <v>13</v>
      </c>
      <c r="F6198" s="4" t="s">
        <v>7</v>
      </c>
    </row>
    <row r="6199" spans="1:8">
      <c r="A6199" t="n">
        <v>56816</v>
      </c>
      <c r="B6199" s="65" t="n">
        <v>52</v>
      </c>
      <c r="C6199" s="7" t="n">
        <v>0</v>
      </c>
      <c r="D6199" s="7" t="n">
        <v>332.399993896484</v>
      </c>
      <c r="E6199" s="7" t="n">
        <v>5</v>
      </c>
      <c r="F6199" s="7" t="n">
        <v>0</v>
      </c>
    </row>
    <row r="6200" spans="1:8">
      <c r="A6200" t="s">
        <v>4</v>
      </c>
      <c r="B6200" s="4" t="s">
        <v>5</v>
      </c>
      <c r="C6200" s="4" t="s">
        <v>11</v>
      </c>
    </row>
    <row r="6201" spans="1:8">
      <c r="A6201" t="n">
        <v>56828</v>
      </c>
      <c r="B6201" s="66" t="n">
        <v>54</v>
      </c>
      <c r="C6201" s="7" t="n">
        <v>0</v>
      </c>
    </row>
    <row r="6202" spans="1:8">
      <c r="A6202" t="s">
        <v>4</v>
      </c>
      <c r="B6202" s="4" t="s">
        <v>5</v>
      </c>
      <c r="C6202" s="4" t="s">
        <v>7</v>
      </c>
      <c r="D6202" s="4" t="s">
        <v>11</v>
      </c>
      <c r="E6202" s="4" t="s">
        <v>13</v>
      </c>
    </row>
    <row r="6203" spans="1:8">
      <c r="A6203" t="n">
        <v>56831</v>
      </c>
      <c r="B6203" s="23" t="n">
        <v>58</v>
      </c>
      <c r="C6203" s="7" t="n">
        <v>101</v>
      </c>
      <c r="D6203" s="7" t="n">
        <v>500</v>
      </c>
      <c r="E6203" s="7" t="n">
        <v>1</v>
      </c>
    </row>
    <row r="6204" spans="1:8">
      <c r="A6204" t="s">
        <v>4</v>
      </c>
      <c r="B6204" s="4" t="s">
        <v>5</v>
      </c>
      <c r="C6204" s="4" t="s">
        <v>7</v>
      </c>
      <c r="D6204" s="4" t="s">
        <v>11</v>
      </c>
    </row>
    <row r="6205" spans="1:8">
      <c r="A6205" t="n">
        <v>56839</v>
      </c>
      <c r="B6205" s="23" t="n">
        <v>58</v>
      </c>
      <c r="C6205" s="7" t="n">
        <v>254</v>
      </c>
      <c r="D6205" s="7" t="n">
        <v>0</v>
      </c>
    </row>
    <row r="6206" spans="1:8">
      <c r="A6206" t="s">
        <v>4</v>
      </c>
      <c r="B6206" s="4" t="s">
        <v>5</v>
      </c>
      <c r="C6206" s="4" t="s">
        <v>7</v>
      </c>
      <c r="D6206" s="4" t="s">
        <v>7</v>
      </c>
      <c r="E6206" s="4" t="s">
        <v>13</v>
      </c>
      <c r="F6206" s="4" t="s">
        <v>13</v>
      </c>
      <c r="G6206" s="4" t="s">
        <v>13</v>
      </c>
      <c r="H6206" s="4" t="s">
        <v>11</v>
      </c>
    </row>
    <row r="6207" spans="1:8">
      <c r="A6207" t="n">
        <v>56843</v>
      </c>
      <c r="B6207" s="51" t="n">
        <v>45</v>
      </c>
      <c r="C6207" s="7" t="n">
        <v>2</v>
      </c>
      <c r="D6207" s="7" t="n">
        <v>3</v>
      </c>
      <c r="E6207" s="7" t="n">
        <v>4.92999982833862</v>
      </c>
      <c r="F6207" s="7" t="n">
        <v>1.46000003814697</v>
      </c>
      <c r="G6207" s="7" t="n">
        <v>45.6699981689453</v>
      </c>
      <c r="H6207" s="7" t="n">
        <v>0</v>
      </c>
    </row>
    <row r="6208" spans="1:8">
      <c r="A6208" t="s">
        <v>4</v>
      </c>
      <c r="B6208" s="4" t="s">
        <v>5</v>
      </c>
      <c r="C6208" s="4" t="s">
        <v>7</v>
      </c>
      <c r="D6208" s="4" t="s">
        <v>7</v>
      </c>
      <c r="E6208" s="4" t="s">
        <v>13</v>
      </c>
      <c r="F6208" s="4" t="s">
        <v>13</v>
      </c>
      <c r="G6208" s="4" t="s">
        <v>13</v>
      </c>
      <c r="H6208" s="4" t="s">
        <v>11</v>
      </c>
      <c r="I6208" s="4" t="s">
        <v>7</v>
      </c>
    </row>
    <row r="6209" spans="1:9">
      <c r="A6209" t="n">
        <v>56860</v>
      </c>
      <c r="B6209" s="51" t="n">
        <v>45</v>
      </c>
      <c r="C6209" s="7" t="n">
        <v>4</v>
      </c>
      <c r="D6209" s="7" t="n">
        <v>3</v>
      </c>
      <c r="E6209" s="7" t="n">
        <v>5.69000005722046</v>
      </c>
      <c r="F6209" s="7" t="n">
        <v>260.239990234375</v>
      </c>
      <c r="G6209" s="7" t="n">
        <v>0</v>
      </c>
      <c r="H6209" s="7" t="n">
        <v>0</v>
      </c>
      <c r="I6209" s="7" t="n">
        <v>0</v>
      </c>
    </row>
    <row r="6210" spans="1:9">
      <c r="A6210" t="s">
        <v>4</v>
      </c>
      <c r="B6210" s="4" t="s">
        <v>5</v>
      </c>
      <c r="C6210" s="4" t="s">
        <v>7</v>
      </c>
      <c r="D6210" s="4" t="s">
        <v>7</v>
      </c>
      <c r="E6210" s="4" t="s">
        <v>13</v>
      </c>
      <c r="F6210" s="4" t="s">
        <v>11</v>
      </c>
    </row>
    <row r="6211" spans="1:9">
      <c r="A6211" t="n">
        <v>56878</v>
      </c>
      <c r="B6211" s="51" t="n">
        <v>45</v>
      </c>
      <c r="C6211" s="7" t="n">
        <v>5</v>
      </c>
      <c r="D6211" s="7" t="n">
        <v>3</v>
      </c>
      <c r="E6211" s="7" t="n">
        <v>1.70000004768372</v>
      </c>
      <c r="F6211" s="7" t="n">
        <v>0</v>
      </c>
    </row>
    <row r="6212" spans="1:9">
      <c r="A6212" t="s">
        <v>4</v>
      </c>
      <c r="B6212" s="4" t="s">
        <v>5</v>
      </c>
      <c r="C6212" s="4" t="s">
        <v>7</v>
      </c>
      <c r="D6212" s="4" t="s">
        <v>7</v>
      </c>
      <c r="E6212" s="4" t="s">
        <v>13</v>
      </c>
      <c r="F6212" s="4" t="s">
        <v>11</v>
      </c>
    </row>
    <row r="6213" spans="1:9">
      <c r="A6213" t="n">
        <v>56887</v>
      </c>
      <c r="B6213" s="51" t="n">
        <v>45</v>
      </c>
      <c r="C6213" s="7" t="n">
        <v>11</v>
      </c>
      <c r="D6213" s="7" t="n">
        <v>3</v>
      </c>
      <c r="E6213" s="7" t="n">
        <v>34</v>
      </c>
      <c r="F6213" s="7" t="n">
        <v>0</v>
      </c>
    </row>
    <row r="6214" spans="1:9">
      <c r="A6214" t="s">
        <v>4</v>
      </c>
      <c r="B6214" s="4" t="s">
        <v>5</v>
      </c>
      <c r="C6214" s="4" t="s">
        <v>7</v>
      </c>
      <c r="D6214" s="4" t="s">
        <v>7</v>
      </c>
      <c r="E6214" s="4" t="s">
        <v>13</v>
      </c>
      <c r="F6214" s="4" t="s">
        <v>13</v>
      </c>
      <c r="G6214" s="4" t="s">
        <v>13</v>
      </c>
      <c r="H6214" s="4" t="s">
        <v>11</v>
      </c>
    </row>
    <row r="6215" spans="1:9">
      <c r="A6215" t="n">
        <v>56896</v>
      </c>
      <c r="B6215" s="51" t="n">
        <v>45</v>
      </c>
      <c r="C6215" s="7" t="n">
        <v>2</v>
      </c>
      <c r="D6215" s="7" t="n">
        <v>3</v>
      </c>
      <c r="E6215" s="7" t="n">
        <v>4.84999990463257</v>
      </c>
      <c r="F6215" s="7" t="n">
        <v>1.4099999666214</v>
      </c>
      <c r="G6215" s="7" t="n">
        <v>45.7999992370605</v>
      </c>
      <c r="H6215" s="7" t="n">
        <v>5500</v>
      </c>
    </row>
    <row r="6216" spans="1:9">
      <c r="A6216" t="s">
        <v>4</v>
      </c>
      <c r="B6216" s="4" t="s">
        <v>5</v>
      </c>
      <c r="C6216" s="4" t="s">
        <v>7</v>
      </c>
      <c r="D6216" s="4" t="s">
        <v>7</v>
      </c>
      <c r="E6216" s="4" t="s">
        <v>13</v>
      </c>
      <c r="F6216" s="4" t="s">
        <v>13</v>
      </c>
      <c r="G6216" s="4" t="s">
        <v>13</v>
      </c>
      <c r="H6216" s="4" t="s">
        <v>11</v>
      </c>
      <c r="I6216" s="4" t="s">
        <v>7</v>
      </c>
    </row>
    <row r="6217" spans="1:9">
      <c r="A6217" t="n">
        <v>56913</v>
      </c>
      <c r="B6217" s="51" t="n">
        <v>45</v>
      </c>
      <c r="C6217" s="7" t="n">
        <v>4</v>
      </c>
      <c r="D6217" s="7" t="n">
        <v>3</v>
      </c>
      <c r="E6217" s="7" t="n">
        <v>5.46999979019165</v>
      </c>
      <c r="F6217" s="7" t="n">
        <v>232.490005493164</v>
      </c>
      <c r="G6217" s="7" t="n">
        <v>0</v>
      </c>
      <c r="H6217" s="7" t="n">
        <v>5500</v>
      </c>
      <c r="I6217" s="7" t="n">
        <v>0</v>
      </c>
    </row>
    <row r="6218" spans="1:9">
      <c r="A6218" t="s">
        <v>4</v>
      </c>
      <c r="B6218" s="4" t="s">
        <v>5</v>
      </c>
      <c r="C6218" s="4" t="s">
        <v>11</v>
      </c>
      <c r="D6218" s="4" t="s">
        <v>7</v>
      </c>
      <c r="E6218" s="4" t="s">
        <v>7</v>
      </c>
      <c r="F6218" s="4" t="s">
        <v>8</v>
      </c>
    </row>
    <row r="6219" spans="1:9">
      <c r="A6219" t="n">
        <v>56931</v>
      </c>
      <c r="B6219" s="50" t="n">
        <v>20</v>
      </c>
      <c r="C6219" s="7" t="n">
        <v>7</v>
      </c>
      <c r="D6219" s="7" t="n">
        <v>2</v>
      </c>
      <c r="E6219" s="7" t="n">
        <v>11</v>
      </c>
      <c r="F6219" s="7" t="s">
        <v>283</v>
      </c>
    </row>
    <row r="6220" spans="1:9">
      <c r="A6220" t="s">
        <v>4</v>
      </c>
      <c r="B6220" s="4" t="s">
        <v>5</v>
      </c>
      <c r="C6220" s="4" t="s">
        <v>7</v>
      </c>
    </row>
    <row r="6221" spans="1:9">
      <c r="A6221" t="n">
        <v>56958</v>
      </c>
      <c r="B6221" s="49" t="n">
        <v>116</v>
      </c>
      <c r="C6221" s="7" t="n">
        <v>0</v>
      </c>
    </row>
    <row r="6222" spans="1:9">
      <c r="A6222" t="s">
        <v>4</v>
      </c>
      <c r="B6222" s="4" t="s">
        <v>5</v>
      </c>
      <c r="C6222" s="4" t="s">
        <v>7</v>
      </c>
      <c r="D6222" s="4" t="s">
        <v>11</v>
      </c>
    </row>
    <row r="6223" spans="1:9">
      <c r="A6223" t="n">
        <v>56960</v>
      </c>
      <c r="B6223" s="49" t="n">
        <v>116</v>
      </c>
      <c r="C6223" s="7" t="n">
        <v>2</v>
      </c>
      <c r="D6223" s="7" t="n">
        <v>1</v>
      </c>
    </row>
    <row r="6224" spans="1:9">
      <c r="A6224" t="s">
        <v>4</v>
      </c>
      <c r="B6224" s="4" t="s">
        <v>5</v>
      </c>
      <c r="C6224" s="4" t="s">
        <v>7</v>
      </c>
      <c r="D6224" s="4" t="s">
        <v>15</v>
      </c>
    </row>
    <row r="6225" spans="1:9">
      <c r="A6225" t="n">
        <v>56964</v>
      </c>
      <c r="B6225" s="49" t="n">
        <v>116</v>
      </c>
      <c r="C6225" s="7" t="n">
        <v>5</v>
      </c>
      <c r="D6225" s="7" t="n">
        <v>1084227584</v>
      </c>
    </row>
    <row r="6226" spans="1:9">
      <c r="A6226" t="s">
        <v>4</v>
      </c>
      <c r="B6226" s="4" t="s">
        <v>5</v>
      </c>
      <c r="C6226" s="4" t="s">
        <v>7</v>
      </c>
      <c r="D6226" s="4" t="s">
        <v>11</v>
      </c>
    </row>
    <row r="6227" spans="1:9">
      <c r="A6227" t="n">
        <v>56970</v>
      </c>
      <c r="B6227" s="49" t="n">
        <v>116</v>
      </c>
      <c r="C6227" s="7" t="n">
        <v>6</v>
      </c>
      <c r="D6227" s="7" t="n">
        <v>1</v>
      </c>
    </row>
    <row r="6228" spans="1:9">
      <c r="A6228" t="s">
        <v>4</v>
      </c>
      <c r="B6228" s="4" t="s">
        <v>5</v>
      </c>
      <c r="C6228" s="4" t="s">
        <v>7</v>
      </c>
      <c r="D6228" s="4" t="s">
        <v>11</v>
      </c>
    </row>
    <row r="6229" spans="1:9">
      <c r="A6229" t="n">
        <v>56974</v>
      </c>
      <c r="B6229" s="23" t="n">
        <v>58</v>
      </c>
      <c r="C6229" s="7" t="n">
        <v>255</v>
      </c>
      <c r="D6229" s="7" t="n">
        <v>0</v>
      </c>
    </row>
    <row r="6230" spans="1:9">
      <c r="A6230" t="s">
        <v>4</v>
      </c>
      <c r="B6230" s="4" t="s">
        <v>5</v>
      </c>
      <c r="C6230" s="4" t="s">
        <v>11</v>
      </c>
    </row>
    <row r="6231" spans="1:9">
      <c r="A6231" t="n">
        <v>56978</v>
      </c>
      <c r="B6231" s="29" t="n">
        <v>16</v>
      </c>
      <c r="C6231" s="7" t="n">
        <v>800</v>
      </c>
    </row>
    <row r="6232" spans="1:9">
      <c r="A6232" t="s">
        <v>4</v>
      </c>
      <c r="B6232" s="4" t="s">
        <v>5</v>
      </c>
      <c r="C6232" s="4" t="s">
        <v>8</v>
      </c>
      <c r="D6232" s="4" t="s">
        <v>8</v>
      </c>
    </row>
    <row r="6233" spans="1:9">
      <c r="A6233" t="n">
        <v>56981</v>
      </c>
      <c r="B6233" s="52" t="n">
        <v>70</v>
      </c>
      <c r="C6233" s="7" t="s">
        <v>279</v>
      </c>
      <c r="D6233" s="7" t="s">
        <v>284</v>
      </c>
    </row>
    <row r="6234" spans="1:9">
      <c r="A6234" t="s">
        <v>4</v>
      </c>
      <c r="B6234" s="4" t="s">
        <v>5</v>
      </c>
      <c r="C6234" s="4" t="s">
        <v>7</v>
      </c>
      <c r="D6234" s="4" t="s">
        <v>11</v>
      </c>
    </row>
    <row r="6235" spans="1:9">
      <c r="A6235" t="n">
        <v>56999</v>
      </c>
      <c r="B6235" s="51" t="n">
        <v>45</v>
      </c>
      <c r="C6235" s="7" t="n">
        <v>7</v>
      </c>
      <c r="D6235" s="7" t="n">
        <v>255</v>
      </c>
    </row>
    <row r="6236" spans="1:9">
      <c r="A6236" t="s">
        <v>4</v>
      </c>
      <c r="B6236" s="4" t="s">
        <v>5</v>
      </c>
      <c r="C6236" s="4" t="s">
        <v>7</v>
      </c>
      <c r="D6236" s="4" t="s">
        <v>11</v>
      </c>
      <c r="E6236" s="4" t="s">
        <v>8</v>
      </c>
    </row>
    <row r="6237" spans="1:9">
      <c r="A6237" t="n">
        <v>57003</v>
      </c>
      <c r="B6237" s="38" t="n">
        <v>51</v>
      </c>
      <c r="C6237" s="7" t="n">
        <v>4</v>
      </c>
      <c r="D6237" s="7" t="n">
        <v>0</v>
      </c>
      <c r="E6237" s="7" t="s">
        <v>173</v>
      </c>
    </row>
    <row r="6238" spans="1:9">
      <c r="A6238" t="s">
        <v>4</v>
      </c>
      <c r="B6238" s="4" t="s">
        <v>5</v>
      </c>
      <c r="C6238" s="4" t="s">
        <v>11</v>
      </c>
    </row>
    <row r="6239" spans="1:9">
      <c r="A6239" t="n">
        <v>57016</v>
      </c>
      <c r="B6239" s="29" t="n">
        <v>16</v>
      </c>
      <c r="C6239" s="7" t="n">
        <v>0</v>
      </c>
    </row>
    <row r="6240" spans="1:9">
      <c r="A6240" t="s">
        <v>4</v>
      </c>
      <c r="B6240" s="4" t="s">
        <v>5</v>
      </c>
      <c r="C6240" s="4" t="s">
        <v>11</v>
      </c>
      <c r="D6240" s="4" t="s">
        <v>7</v>
      </c>
      <c r="E6240" s="4" t="s">
        <v>15</v>
      </c>
      <c r="F6240" s="4" t="s">
        <v>55</v>
      </c>
      <c r="G6240" s="4" t="s">
        <v>7</v>
      </c>
      <c r="H6240" s="4" t="s">
        <v>7</v>
      </c>
      <c r="I6240" s="4" t="s">
        <v>7</v>
      </c>
      <c r="J6240" s="4" t="s">
        <v>15</v>
      </c>
      <c r="K6240" s="4" t="s">
        <v>55</v>
      </c>
      <c r="L6240" s="4" t="s">
        <v>7</v>
      </c>
      <c r="M6240" s="4" t="s">
        <v>7</v>
      </c>
    </row>
    <row r="6241" spans="1:13">
      <c r="A6241" t="n">
        <v>57019</v>
      </c>
      <c r="B6241" s="55" t="n">
        <v>26</v>
      </c>
      <c r="C6241" s="7" t="n">
        <v>0</v>
      </c>
      <c r="D6241" s="7" t="n">
        <v>17</v>
      </c>
      <c r="E6241" s="7" t="n">
        <v>63904</v>
      </c>
      <c r="F6241" s="7" t="s">
        <v>557</v>
      </c>
      <c r="G6241" s="7" t="n">
        <v>2</v>
      </c>
      <c r="H6241" s="7" t="n">
        <v>3</v>
      </c>
      <c r="I6241" s="7" t="n">
        <v>17</v>
      </c>
      <c r="J6241" s="7" t="n">
        <v>63905</v>
      </c>
      <c r="K6241" s="7" t="s">
        <v>558</v>
      </c>
      <c r="L6241" s="7" t="n">
        <v>2</v>
      </c>
      <c r="M6241" s="7" t="n">
        <v>0</v>
      </c>
    </row>
    <row r="6242" spans="1:13">
      <c r="A6242" t="s">
        <v>4</v>
      </c>
      <c r="B6242" s="4" t="s">
        <v>5</v>
      </c>
    </row>
    <row r="6243" spans="1:13">
      <c r="A6243" t="n">
        <v>57196</v>
      </c>
      <c r="B6243" s="27" t="n">
        <v>28</v>
      </c>
    </row>
    <row r="6244" spans="1:13">
      <c r="A6244" t="s">
        <v>4</v>
      </c>
      <c r="B6244" s="4" t="s">
        <v>5</v>
      </c>
      <c r="C6244" s="4" t="s">
        <v>7</v>
      </c>
      <c r="D6244" s="4" t="s">
        <v>11</v>
      </c>
      <c r="E6244" s="4" t="s">
        <v>13</v>
      </c>
    </row>
    <row r="6245" spans="1:13">
      <c r="A6245" t="n">
        <v>57197</v>
      </c>
      <c r="B6245" s="23" t="n">
        <v>58</v>
      </c>
      <c r="C6245" s="7" t="n">
        <v>101</v>
      </c>
      <c r="D6245" s="7" t="n">
        <v>500</v>
      </c>
      <c r="E6245" s="7" t="n">
        <v>1</v>
      </c>
    </row>
    <row r="6246" spans="1:13">
      <c r="A6246" t="s">
        <v>4</v>
      </c>
      <c r="B6246" s="4" t="s">
        <v>5</v>
      </c>
      <c r="C6246" s="4" t="s">
        <v>7</v>
      </c>
      <c r="D6246" s="4" t="s">
        <v>11</v>
      </c>
    </row>
    <row r="6247" spans="1:13">
      <c r="A6247" t="n">
        <v>57205</v>
      </c>
      <c r="B6247" s="23" t="n">
        <v>58</v>
      </c>
      <c r="C6247" s="7" t="n">
        <v>254</v>
      </c>
      <c r="D6247" s="7" t="n">
        <v>0</v>
      </c>
    </row>
    <row r="6248" spans="1:13">
      <c r="A6248" t="s">
        <v>4</v>
      </c>
      <c r="B6248" s="4" t="s">
        <v>5</v>
      </c>
      <c r="C6248" s="4" t="s">
        <v>7</v>
      </c>
      <c r="D6248" s="4" t="s">
        <v>7</v>
      </c>
      <c r="E6248" s="4" t="s">
        <v>13</v>
      </c>
      <c r="F6248" s="4" t="s">
        <v>13</v>
      </c>
      <c r="G6248" s="4" t="s">
        <v>13</v>
      </c>
      <c r="H6248" s="4" t="s">
        <v>11</v>
      </c>
    </row>
    <row r="6249" spans="1:13">
      <c r="A6249" t="n">
        <v>57209</v>
      </c>
      <c r="B6249" s="51" t="n">
        <v>45</v>
      </c>
      <c r="C6249" s="7" t="n">
        <v>2</v>
      </c>
      <c r="D6249" s="7" t="n">
        <v>3</v>
      </c>
      <c r="E6249" s="7" t="n">
        <v>4.96999979019165</v>
      </c>
      <c r="F6249" s="7" t="n">
        <v>1.3400000333786</v>
      </c>
      <c r="G6249" s="7" t="n">
        <v>46.3800010681152</v>
      </c>
      <c r="H6249" s="7" t="n">
        <v>0</v>
      </c>
    </row>
    <row r="6250" spans="1:13">
      <c r="A6250" t="s">
        <v>4</v>
      </c>
      <c r="B6250" s="4" t="s">
        <v>5</v>
      </c>
      <c r="C6250" s="4" t="s">
        <v>7</v>
      </c>
      <c r="D6250" s="4" t="s">
        <v>7</v>
      </c>
      <c r="E6250" s="4" t="s">
        <v>13</v>
      </c>
      <c r="F6250" s="4" t="s">
        <v>13</v>
      </c>
      <c r="G6250" s="4" t="s">
        <v>13</v>
      </c>
      <c r="H6250" s="4" t="s">
        <v>11</v>
      </c>
      <c r="I6250" s="4" t="s">
        <v>7</v>
      </c>
    </row>
    <row r="6251" spans="1:13">
      <c r="A6251" t="n">
        <v>57226</v>
      </c>
      <c r="B6251" s="51" t="n">
        <v>45</v>
      </c>
      <c r="C6251" s="7" t="n">
        <v>4</v>
      </c>
      <c r="D6251" s="7" t="n">
        <v>3</v>
      </c>
      <c r="E6251" s="7" t="n">
        <v>8.30000019073486</v>
      </c>
      <c r="F6251" s="7" t="n">
        <v>213.210006713867</v>
      </c>
      <c r="G6251" s="7" t="n">
        <v>0</v>
      </c>
      <c r="H6251" s="7" t="n">
        <v>0</v>
      </c>
      <c r="I6251" s="7" t="n">
        <v>0</v>
      </c>
    </row>
    <row r="6252" spans="1:13">
      <c r="A6252" t="s">
        <v>4</v>
      </c>
      <c r="B6252" s="4" t="s">
        <v>5</v>
      </c>
      <c r="C6252" s="4" t="s">
        <v>7</v>
      </c>
      <c r="D6252" s="4" t="s">
        <v>7</v>
      </c>
      <c r="E6252" s="4" t="s">
        <v>13</v>
      </c>
      <c r="F6252" s="4" t="s">
        <v>11</v>
      </c>
    </row>
    <row r="6253" spans="1:13">
      <c r="A6253" t="n">
        <v>57244</v>
      </c>
      <c r="B6253" s="51" t="n">
        <v>45</v>
      </c>
      <c r="C6253" s="7" t="n">
        <v>5</v>
      </c>
      <c r="D6253" s="7" t="n">
        <v>3</v>
      </c>
      <c r="E6253" s="7" t="n">
        <v>1</v>
      </c>
      <c r="F6253" s="7" t="n">
        <v>0</v>
      </c>
    </row>
    <row r="6254" spans="1:13">
      <c r="A6254" t="s">
        <v>4</v>
      </c>
      <c r="B6254" s="4" t="s">
        <v>5</v>
      </c>
      <c r="C6254" s="4" t="s">
        <v>7</v>
      </c>
      <c r="D6254" s="4" t="s">
        <v>7</v>
      </c>
      <c r="E6254" s="4" t="s">
        <v>13</v>
      </c>
      <c r="F6254" s="4" t="s">
        <v>11</v>
      </c>
    </row>
    <row r="6255" spans="1:13">
      <c r="A6255" t="n">
        <v>57253</v>
      </c>
      <c r="B6255" s="51" t="n">
        <v>45</v>
      </c>
      <c r="C6255" s="7" t="n">
        <v>11</v>
      </c>
      <c r="D6255" s="7" t="n">
        <v>3</v>
      </c>
      <c r="E6255" s="7" t="n">
        <v>34</v>
      </c>
      <c r="F6255" s="7" t="n">
        <v>0</v>
      </c>
    </row>
    <row r="6256" spans="1:13">
      <c r="A6256" t="s">
        <v>4</v>
      </c>
      <c r="B6256" s="4" t="s">
        <v>5</v>
      </c>
      <c r="C6256" s="4" t="s">
        <v>7</v>
      </c>
      <c r="D6256" s="4" t="s">
        <v>11</v>
      </c>
    </row>
    <row r="6257" spans="1:13">
      <c r="A6257" t="n">
        <v>57262</v>
      </c>
      <c r="B6257" s="23" t="n">
        <v>58</v>
      </c>
      <c r="C6257" s="7" t="n">
        <v>255</v>
      </c>
      <c r="D6257" s="7" t="n">
        <v>0</v>
      </c>
    </row>
    <row r="6258" spans="1:13">
      <c r="A6258" t="s">
        <v>4</v>
      </c>
      <c r="B6258" s="4" t="s">
        <v>5</v>
      </c>
      <c r="C6258" s="4" t="s">
        <v>7</v>
      </c>
      <c r="D6258" s="4" t="s">
        <v>11</v>
      </c>
      <c r="E6258" s="4" t="s">
        <v>8</v>
      </c>
    </row>
    <row r="6259" spans="1:13">
      <c r="A6259" t="n">
        <v>57266</v>
      </c>
      <c r="B6259" s="38" t="n">
        <v>51</v>
      </c>
      <c r="C6259" s="7" t="n">
        <v>4</v>
      </c>
      <c r="D6259" s="7" t="n">
        <v>7</v>
      </c>
      <c r="E6259" s="7" t="s">
        <v>167</v>
      </c>
    </row>
    <row r="6260" spans="1:13">
      <c r="A6260" t="s">
        <v>4</v>
      </c>
      <c r="B6260" s="4" t="s">
        <v>5</v>
      </c>
      <c r="C6260" s="4" t="s">
        <v>11</v>
      </c>
    </row>
    <row r="6261" spans="1:13">
      <c r="A6261" t="n">
        <v>57280</v>
      </c>
      <c r="B6261" s="29" t="n">
        <v>16</v>
      </c>
      <c r="C6261" s="7" t="n">
        <v>0</v>
      </c>
    </row>
    <row r="6262" spans="1:13">
      <c r="A6262" t="s">
        <v>4</v>
      </c>
      <c r="B6262" s="4" t="s">
        <v>5</v>
      </c>
      <c r="C6262" s="4" t="s">
        <v>11</v>
      </c>
      <c r="D6262" s="4" t="s">
        <v>7</v>
      </c>
      <c r="E6262" s="4" t="s">
        <v>15</v>
      </c>
      <c r="F6262" s="4" t="s">
        <v>55</v>
      </c>
      <c r="G6262" s="4" t="s">
        <v>7</v>
      </c>
      <c r="H6262" s="4" t="s">
        <v>7</v>
      </c>
      <c r="I6262" s="4" t="s">
        <v>7</v>
      </c>
      <c r="J6262" s="4" t="s">
        <v>15</v>
      </c>
      <c r="K6262" s="4" t="s">
        <v>55</v>
      </c>
      <c r="L6262" s="4" t="s">
        <v>7</v>
      </c>
      <c r="M6262" s="4" t="s">
        <v>7</v>
      </c>
    </row>
    <row r="6263" spans="1:13">
      <c r="A6263" t="n">
        <v>57283</v>
      </c>
      <c r="B6263" s="55" t="n">
        <v>26</v>
      </c>
      <c r="C6263" s="7" t="n">
        <v>7</v>
      </c>
      <c r="D6263" s="7" t="n">
        <v>17</v>
      </c>
      <c r="E6263" s="7" t="n">
        <v>63906</v>
      </c>
      <c r="F6263" s="7" t="s">
        <v>559</v>
      </c>
      <c r="G6263" s="7" t="n">
        <v>2</v>
      </c>
      <c r="H6263" s="7" t="n">
        <v>3</v>
      </c>
      <c r="I6263" s="7" t="n">
        <v>17</v>
      </c>
      <c r="J6263" s="7" t="n">
        <v>63907</v>
      </c>
      <c r="K6263" s="7" t="s">
        <v>560</v>
      </c>
      <c r="L6263" s="7" t="n">
        <v>2</v>
      </c>
      <c r="M6263" s="7" t="n">
        <v>0</v>
      </c>
    </row>
    <row r="6264" spans="1:13">
      <c r="A6264" t="s">
        <v>4</v>
      </c>
      <c r="B6264" s="4" t="s">
        <v>5</v>
      </c>
    </row>
    <row r="6265" spans="1:13">
      <c r="A6265" t="n">
        <v>57367</v>
      </c>
      <c r="B6265" s="27" t="n">
        <v>28</v>
      </c>
    </row>
    <row r="6266" spans="1:13">
      <c r="A6266" t="s">
        <v>4</v>
      </c>
      <c r="B6266" s="4" t="s">
        <v>5</v>
      </c>
      <c r="C6266" s="4" t="s">
        <v>7</v>
      </c>
      <c r="D6266" s="4" t="s">
        <v>11</v>
      </c>
      <c r="E6266" s="4" t="s">
        <v>8</v>
      </c>
    </row>
    <row r="6267" spans="1:13">
      <c r="A6267" t="n">
        <v>57368</v>
      </c>
      <c r="B6267" s="38" t="n">
        <v>51</v>
      </c>
      <c r="C6267" s="7" t="n">
        <v>4</v>
      </c>
      <c r="D6267" s="7" t="n">
        <v>0</v>
      </c>
      <c r="E6267" s="7" t="s">
        <v>450</v>
      </c>
    </row>
    <row r="6268" spans="1:13">
      <c r="A6268" t="s">
        <v>4</v>
      </c>
      <c r="B6268" s="4" t="s">
        <v>5</v>
      </c>
      <c r="C6268" s="4" t="s">
        <v>11</v>
      </c>
    </row>
    <row r="6269" spans="1:13">
      <c r="A6269" t="n">
        <v>57382</v>
      </c>
      <c r="B6269" s="29" t="n">
        <v>16</v>
      </c>
      <c r="C6269" s="7" t="n">
        <v>0</v>
      </c>
    </row>
    <row r="6270" spans="1:13">
      <c r="A6270" t="s">
        <v>4</v>
      </c>
      <c r="B6270" s="4" t="s">
        <v>5</v>
      </c>
      <c r="C6270" s="4" t="s">
        <v>11</v>
      </c>
      <c r="D6270" s="4" t="s">
        <v>7</v>
      </c>
      <c r="E6270" s="4" t="s">
        <v>15</v>
      </c>
      <c r="F6270" s="4" t="s">
        <v>55</v>
      </c>
      <c r="G6270" s="4" t="s">
        <v>7</v>
      </c>
      <c r="H6270" s="4" t="s">
        <v>7</v>
      </c>
    </row>
    <row r="6271" spans="1:13">
      <c r="A6271" t="n">
        <v>57385</v>
      </c>
      <c r="B6271" s="55" t="n">
        <v>26</v>
      </c>
      <c r="C6271" s="7" t="n">
        <v>0</v>
      </c>
      <c r="D6271" s="7" t="n">
        <v>17</v>
      </c>
      <c r="E6271" s="7" t="n">
        <v>63908</v>
      </c>
      <c r="F6271" s="7" t="s">
        <v>561</v>
      </c>
      <c r="G6271" s="7" t="n">
        <v>2</v>
      </c>
      <c r="H6271" s="7" t="n">
        <v>0</v>
      </c>
    </row>
    <row r="6272" spans="1:13">
      <c r="A6272" t="s">
        <v>4</v>
      </c>
      <c r="B6272" s="4" t="s">
        <v>5</v>
      </c>
    </row>
    <row r="6273" spans="1:13">
      <c r="A6273" t="n">
        <v>57452</v>
      </c>
      <c r="B6273" s="27" t="n">
        <v>28</v>
      </c>
    </row>
    <row r="6274" spans="1:13">
      <c r="A6274" t="s">
        <v>4</v>
      </c>
      <c r="B6274" s="4" t="s">
        <v>5</v>
      </c>
      <c r="C6274" s="4" t="s">
        <v>7</v>
      </c>
      <c r="D6274" s="4" t="s">
        <v>11</v>
      </c>
      <c r="E6274" s="4" t="s">
        <v>8</v>
      </c>
      <c r="F6274" s="4" t="s">
        <v>8</v>
      </c>
      <c r="G6274" s="4" t="s">
        <v>8</v>
      </c>
      <c r="H6274" s="4" t="s">
        <v>8</v>
      </c>
    </row>
    <row r="6275" spans="1:13">
      <c r="A6275" t="n">
        <v>57453</v>
      </c>
      <c r="B6275" s="38" t="n">
        <v>51</v>
      </c>
      <c r="C6275" s="7" t="n">
        <v>3</v>
      </c>
      <c r="D6275" s="7" t="n">
        <v>7</v>
      </c>
      <c r="E6275" s="7" t="s">
        <v>295</v>
      </c>
      <c r="F6275" s="7" t="s">
        <v>99</v>
      </c>
      <c r="G6275" s="7" t="s">
        <v>78</v>
      </c>
      <c r="H6275" s="7" t="s">
        <v>79</v>
      </c>
    </row>
    <row r="6276" spans="1:13">
      <c r="A6276" t="s">
        <v>4</v>
      </c>
      <c r="B6276" s="4" t="s">
        <v>5</v>
      </c>
      <c r="C6276" s="4" t="s">
        <v>11</v>
      </c>
      <c r="D6276" s="4" t="s">
        <v>13</v>
      </c>
      <c r="E6276" s="4" t="s">
        <v>13</v>
      </c>
      <c r="F6276" s="4" t="s">
        <v>13</v>
      </c>
      <c r="G6276" s="4" t="s">
        <v>11</v>
      </c>
      <c r="H6276" s="4" t="s">
        <v>11</v>
      </c>
    </row>
    <row r="6277" spans="1:13">
      <c r="A6277" t="n">
        <v>57466</v>
      </c>
      <c r="B6277" s="37" t="n">
        <v>60</v>
      </c>
      <c r="C6277" s="7" t="n">
        <v>7</v>
      </c>
      <c r="D6277" s="7" t="n">
        <v>-45</v>
      </c>
      <c r="E6277" s="7" t="n">
        <v>0</v>
      </c>
      <c r="F6277" s="7" t="n">
        <v>0</v>
      </c>
      <c r="G6277" s="7" t="n">
        <v>1000</v>
      </c>
      <c r="H6277" s="7" t="n">
        <v>0</v>
      </c>
    </row>
    <row r="6278" spans="1:13">
      <c r="A6278" t="s">
        <v>4</v>
      </c>
      <c r="B6278" s="4" t="s">
        <v>5</v>
      </c>
      <c r="C6278" s="4" t="s">
        <v>11</v>
      </c>
    </row>
    <row r="6279" spans="1:13">
      <c r="A6279" t="n">
        <v>57485</v>
      </c>
      <c r="B6279" s="29" t="n">
        <v>16</v>
      </c>
      <c r="C6279" s="7" t="n">
        <v>1000</v>
      </c>
    </row>
    <row r="6280" spans="1:13">
      <c r="A6280" t="s">
        <v>4</v>
      </c>
      <c r="B6280" s="4" t="s">
        <v>5</v>
      </c>
      <c r="C6280" s="4" t="s">
        <v>7</v>
      </c>
      <c r="D6280" s="4" t="s">
        <v>11</v>
      </c>
      <c r="E6280" s="4" t="s">
        <v>8</v>
      </c>
      <c r="F6280" s="4" t="s">
        <v>8</v>
      </c>
      <c r="G6280" s="4" t="s">
        <v>8</v>
      </c>
      <c r="H6280" s="4" t="s">
        <v>8</v>
      </c>
    </row>
    <row r="6281" spans="1:13">
      <c r="A6281" t="n">
        <v>57488</v>
      </c>
      <c r="B6281" s="38" t="n">
        <v>51</v>
      </c>
      <c r="C6281" s="7" t="n">
        <v>3</v>
      </c>
      <c r="D6281" s="7" t="n">
        <v>7</v>
      </c>
      <c r="E6281" s="7" t="s">
        <v>296</v>
      </c>
      <c r="F6281" s="7" t="s">
        <v>99</v>
      </c>
      <c r="G6281" s="7" t="s">
        <v>78</v>
      </c>
      <c r="H6281" s="7" t="s">
        <v>79</v>
      </c>
    </row>
    <row r="6282" spans="1:13">
      <c r="A6282" t="s">
        <v>4</v>
      </c>
      <c r="B6282" s="4" t="s">
        <v>5</v>
      </c>
      <c r="C6282" s="4" t="s">
        <v>11</v>
      </c>
      <c r="D6282" s="4" t="s">
        <v>13</v>
      </c>
      <c r="E6282" s="4" t="s">
        <v>13</v>
      </c>
      <c r="F6282" s="4" t="s">
        <v>13</v>
      </c>
      <c r="G6282" s="4" t="s">
        <v>11</v>
      </c>
      <c r="H6282" s="4" t="s">
        <v>11</v>
      </c>
    </row>
    <row r="6283" spans="1:13">
      <c r="A6283" t="n">
        <v>57502</v>
      </c>
      <c r="B6283" s="37" t="n">
        <v>60</v>
      </c>
      <c r="C6283" s="7" t="n">
        <v>7</v>
      </c>
      <c r="D6283" s="7" t="n">
        <v>45</v>
      </c>
      <c r="E6283" s="7" t="n">
        <v>0</v>
      </c>
      <c r="F6283" s="7" t="n">
        <v>0</v>
      </c>
      <c r="G6283" s="7" t="n">
        <v>1000</v>
      </c>
      <c r="H6283" s="7" t="n">
        <v>0</v>
      </c>
    </row>
    <row r="6284" spans="1:13">
      <c r="A6284" t="s">
        <v>4</v>
      </c>
      <c r="B6284" s="4" t="s">
        <v>5</v>
      </c>
      <c r="C6284" s="4" t="s">
        <v>11</v>
      </c>
    </row>
    <row r="6285" spans="1:13">
      <c r="A6285" t="n">
        <v>57521</v>
      </c>
      <c r="B6285" s="29" t="n">
        <v>16</v>
      </c>
      <c r="C6285" s="7" t="n">
        <v>1200</v>
      </c>
    </row>
    <row r="6286" spans="1:13">
      <c r="A6286" t="s">
        <v>4</v>
      </c>
      <c r="B6286" s="4" t="s">
        <v>5</v>
      </c>
      <c r="C6286" s="4" t="s">
        <v>7</v>
      </c>
      <c r="D6286" s="4" t="s">
        <v>11</v>
      </c>
      <c r="E6286" s="4" t="s">
        <v>8</v>
      </c>
      <c r="F6286" s="4" t="s">
        <v>8</v>
      </c>
      <c r="G6286" s="4" t="s">
        <v>8</v>
      </c>
      <c r="H6286" s="4" t="s">
        <v>8</v>
      </c>
    </row>
    <row r="6287" spans="1:13">
      <c r="A6287" t="n">
        <v>57524</v>
      </c>
      <c r="B6287" s="38" t="n">
        <v>51</v>
      </c>
      <c r="C6287" s="7" t="n">
        <v>3</v>
      </c>
      <c r="D6287" s="7" t="n">
        <v>7</v>
      </c>
      <c r="E6287" s="7" t="s">
        <v>86</v>
      </c>
      <c r="F6287" s="7" t="s">
        <v>99</v>
      </c>
      <c r="G6287" s="7" t="s">
        <v>78</v>
      </c>
      <c r="H6287" s="7" t="s">
        <v>79</v>
      </c>
    </row>
    <row r="6288" spans="1:13">
      <c r="A6288" t="s">
        <v>4</v>
      </c>
      <c r="B6288" s="4" t="s">
        <v>5</v>
      </c>
      <c r="C6288" s="4" t="s">
        <v>11</v>
      </c>
      <c r="D6288" s="4" t="s">
        <v>13</v>
      </c>
      <c r="E6288" s="4" t="s">
        <v>13</v>
      </c>
      <c r="F6288" s="4" t="s">
        <v>13</v>
      </c>
      <c r="G6288" s="4" t="s">
        <v>11</v>
      </c>
      <c r="H6288" s="4" t="s">
        <v>11</v>
      </c>
    </row>
    <row r="6289" spans="1:8">
      <c r="A6289" t="n">
        <v>57537</v>
      </c>
      <c r="B6289" s="37" t="n">
        <v>60</v>
      </c>
      <c r="C6289" s="7" t="n">
        <v>7</v>
      </c>
      <c r="D6289" s="7" t="n">
        <v>0</v>
      </c>
      <c r="E6289" s="7" t="n">
        <v>0</v>
      </c>
      <c r="F6289" s="7" t="n">
        <v>0</v>
      </c>
      <c r="G6289" s="7" t="n">
        <v>1000</v>
      </c>
      <c r="H6289" s="7" t="n">
        <v>0</v>
      </c>
    </row>
    <row r="6290" spans="1:8">
      <c r="A6290" t="s">
        <v>4</v>
      </c>
      <c r="B6290" s="4" t="s">
        <v>5</v>
      </c>
      <c r="C6290" s="4" t="s">
        <v>11</v>
      </c>
    </row>
    <row r="6291" spans="1:8">
      <c r="A6291" t="n">
        <v>57556</v>
      </c>
      <c r="B6291" s="29" t="n">
        <v>16</v>
      </c>
      <c r="C6291" s="7" t="n">
        <v>1000</v>
      </c>
    </row>
    <row r="6292" spans="1:8">
      <c r="A6292" t="s">
        <v>4</v>
      </c>
      <c r="B6292" s="4" t="s">
        <v>5</v>
      </c>
      <c r="C6292" s="4" t="s">
        <v>7</v>
      </c>
      <c r="D6292" s="4" t="s">
        <v>11</v>
      </c>
      <c r="E6292" s="4" t="s">
        <v>8</v>
      </c>
    </row>
    <row r="6293" spans="1:8">
      <c r="A6293" t="n">
        <v>57559</v>
      </c>
      <c r="B6293" s="38" t="n">
        <v>51</v>
      </c>
      <c r="C6293" s="7" t="n">
        <v>4</v>
      </c>
      <c r="D6293" s="7" t="n">
        <v>7</v>
      </c>
      <c r="E6293" s="7" t="s">
        <v>179</v>
      </c>
    </row>
    <row r="6294" spans="1:8">
      <c r="A6294" t="s">
        <v>4</v>
      </c>
      <c r="B6294" s="4" t="s">
        <v>5</v>
      </c>
      <c r="C6294" s="4" t="s">
        <v>11</v>
      </c>
    </row>
    <row r="6295" spans="1:8">
      <c r="A6295" t="n">
        <v>57573</v>
      </c>
      <c r="B6295" s="29" t="n">
        <v>16</v>
      </c>
      <c r="C6295" s="7" t="n">
        <v>0</v>
      </c>
    </row>
    <row r="6296" spans="1:8">
      <c r="A6296" t="s">
        <v>4</v>
      </c>
      <c r="B6296" s="4" t="s">
        <v>5</v>
      </c>
      <c r="C6296" s="4" t="s">
        <v>11</v>
      </c>
      <c r="D6296" s="4" t="s">
        <v>7</v>
      </c>
      <c r="E6296" s="4" t="s">
        <v>15</v>
      </c>
      <c r="F6296" s="4" t="s">
        <v>55</v>
      </c>
      <c r="G6296" s="4" t="s">
        <v>7</v>
      </c>
      <c r="H6296" s="4" t="s">
        <v>7</v>
      </c>
    </row>
    <row r="6297" spans="1:8">
      <c r="A6297" t="n">
        <v>57576</v>
      </c>
      <c r="B6297" s="55" t="n">
        <v>26</v>
      </c>
      <c r="C6297" s="7" t="n">
        <v>7</v>
      </c>
      <c r="D6297" s="7" t="n">
        <v>17</v>
      </c>
      <c r="E6297" s="7" t="n">
        <v>63909</v>
      </c>
      <c r="F6297" s="7" t="s">
        <v>562</v>
      </c>
      <c r="G6297" s="7" t="n">
        <v>2</v>
      </c>
      <c r="H6297" s="7" t="n">
        <v>0</v>
      </c>
    </row>
    <row r="6298" spans="1:8">
      <c r="A6298" t="s">
        <v>4</v>
      </c>
      <c r="B6298" s="4" t="s">
        <v>5</v>
      </c>
    </row>
    <row r="6299" spans="1:8">
      <c r="A6299" t="n">
        <v>57644</v>
      </c>
      <c r="B6299" s="27" t="n">
        <v>28</v>
      </c>
    </row>
    <row r="6300" spans="1:8">
      <c r="A6300" t="s">
        <v>4</v>
      </c>
      <c r="B6300" s="4" t="s">
        <v>5</v>
      </c>
      <c r="C6300" s="4" t="s">
        <v>7</v>
      </c>
      <c r="D6300" s="4" t="s">
        <v>11</v>
      </c>
      <c r="E6300" s="4" t="s">
        <v>8</v>
      </c>
    </row>
    <row r="6301" spans="1:8">
      <c r="A6301" t="n">
        <v>57645</v>
      </c>
      <c r="B6301" s="38" t="n">
        <v>51</v>
      </c>
      <c r="C6301" s="7" t="n">
        <v>4</v>
      </c>
      <c r="D6301" s="7" t="n">
        <v>0</v>
      </c>
      <c r="E6301" s="7" t="s">
        <v>179</v>
      </c>
    </row>
    <row r="6302" spans="1:8">
      <c r="A6302" t="s">
        <v>4</v>
      </c>
      <c r="B6302" s="4" t="s">
        <v>5</v>
      </c>
      <c r="C6302" s="4" t="s">
        <v>11</v>
      </c>
    </row>
    <row r="6303" spans="1:8">
      <c r="A6303" t="n">
        <v>57659</v>
      </c>
      <c r="B6303" s="29" t="n">
        <v>16</v>
      </c>
      <c r="C6303" s="7" t="n">
        <v>0</v>
      </c>
    </row>
    <row r="6304" spans="1:8">
      <c r="A6304" t="s">
        <v>4</v>
      </c>
      <c r="B6304" s="4" t="s">
        <v>5</v>
      </c>
      <c r="C6304" s="4" t="s">
        <v>11</v>
      </c>
      <c r="D6304" s="4" t="s">
        <v>7</v>
      </c>
      <c r="E6304" s="4" t="s">
        <v>15</v>
      </c>
      <c r="F6304" s="4" t="s">
        <v>55</v>
      </c>
      <c r="G6304" s="4" t="s">
        <v>7</v>
      </c>
      <c r="H6304" s="4" t="s">
        <v>7</v>
      </c>
      <c r="I6304" s="4" t="s">
        <v>7</v>
      </c>
      <c r="J6304" s="4" t="s">
        <v>15</v>
      </c>
      <c r="K6304" s="4" t="s">
        <v>55</v>
      </c>
      <c r="L6304" s="4" t="s">
        <v>7</v>
      </c>
      <c r="M6304" s="4" t="s">
        <v>7</v>
      </c>
      <c r="N6304" s="4" t="s">
        <v>7</v>
      </c>
      <c r="O6304" s="4" t="s">
        <v>15</v>
      </c>
      <c r="P6304" s="4" t="s">
        <v>55</v>
      </c>
      <c r="Q6304" s="4" t="s">
        <v>7</v>
      </c>
      <c r="R6304" s="4" t="s">
        <v>7</v>
      </c>
    </row>
    <row r="6305" spans="1:18">
      <c r="A6305" t="n">
        <v>57662</v>
      </c>
      <c r="B6305" s="55" t="n">
        <v>26</v>
      </c>
      <c r="C6305" s="7" t="n">
        <v>0</v>
      </c>
      <c r="D6305" s="7" t="n">
        <v>17</v>
      </c>
      <c r="E6305" s="7" t="n">
        <v>63910</v>
      </c>
      <c r="F6305" s="7" t="s">
        <v>563</v>
      </c>
      <c r="G6305" s="7" t="n">
        <v>2</v>
      </c>
      <c r="H6305" s="7" t="n">
        <v>3</v>
      </c>
      <c r="I6305" s="7" t="n">
        <v>17</v>
      </c>
      <c r="J6305" s="7" t="n">
        <v>63911</v>
      </c>
      <c r="K6305" s="7" t="s">
        <v>564</v>
      </c>
      <c r="L6305" s="7" t="n">
        <v>2</v>
      </c>
      <c r="M6305" s="7" t="n">
        <v>3</v>
      </c>
      <c r="N6305" s="7" t="n">
        <v>17</v>
      </c>
      <c r="O6305" s="7" t="n">
        <v>63912</v>
      </c>
      <c r="P6305" s="7" t="s">
        <v>565</v>
      </c>
      <c r="Q6305" s="7" t="n">
        <v>2</v>
      </c>
      <c r="R6305" s="7" t="n">
        <v>0</v>
      </c>
    </row>
    <row r="6306" spans="1:18">
      <c r="A6306" t="s">
        <v>4</v>
      </c>
      <c r="B6306" s="4" t="s">
        <v>5</v>
      </c>
    </row>
    <row r="6307" spans="1:18">
      <c r="A6307" t="n">
        <v>57866</v>
      </c>
      <c r="B6307" s="27" t="n">
        <v>28</v>
      </c>
    </row>
    <row r="6308" spans="1:18">
      <c r="A6308" t="s">
        <v>4</v>
      </c>
      <c r="B6308" s="4" t="s">
        <v>5</v>
      </c>
      <c r="C6308" s="4" t="s">
        <v>7</v>
      </c>
      <c r="D6308" s="4" t="s">
        <v>11</v>
      </c>
      <c r="E6308" s="4" t="s">
        <v>8</v>
      </c>
    </row>
    <row r="6309" spans="1:18">
      <c r="A6309" t="n">
        <v>57867</v>
      </c>
      <c r="B6309" s="38" t="n">
        <v>51</v>
      </c>
      <c r="C6309" s="7" t="n">
        <v>4</v>
      </c>
      <c r="D6309" s="7" t="n">
        <v>7</v>
      </c>
      <c r="E6309" s="7" t="s">
        <v>304</v>
      </c>
    </row>
    <row r="6310" spans="1:18">
      <c r="A6310" t="s">
        <v>4</v>
      </c>
      <c r="B6310" s="4" t="s">
        <v>5</v>
      </c>
      <c r="C6310" s="4" t="s">
        <v>11</v>
      </c>
    </row>
    <row r="6311" spans="1:18">
      <c r="A6311" t="n">
        <v>57880</v>
      </c>
      <c r="B6311" s="29" t="n">
        <v>16</v>
      </c>
      <c r="C6311" s="7" t="n">
        <v>0</v>
      </c>
    </row>
    <row r="6312" spans="1:18">
      <c r="A6312" t="s">
        <v>4</v>
      </c>
      <c r="B6312" s="4" t="s">
        <v>5</v>
      </c>
      <c r="C6312" s="4" t="s">
        <v>11</v>
      </c>
      <c r="D6312" s="4" t="s">
        <v>7</v>
      </c>
      <c r="E6312" s="4" t="s">
        <v>15</v>
      </c>
      <c r="F6312" s="4" t="s">
        <v>55</v>
      </c>
      <c r="G6312" s="4" t="s">
        <v>7</v>
      </c>
      <c r="H6312" s="4" t="s">
        <v>7</v>
      </c>
    </row>
    <row r="6313" spans="1:18">
      <c r="A6313" t="n">
        <v>57883</v>
      </c>
      <c r="B6313" s="55" t="n">
        <v>26</v>
      </c>
      <c r="C6313" s="7" t="n">
        <v>7</v>
      </c>
      <c r="D6313" s="7" t="n">
        <v>17</v>
      </c>
      <c r="E6313" s="7" t="n">
        <v>63913</v>
      </c>
      <c r="F6313" s="7" t="s">
        <v>566</v>
      </c>
      <c r="G6313" s="7" t="n">
        <v>2</v>
      </c>
      <c r="H6313" s="7" t="n">
        <v>0</v>
      </c>
    </row>
    <row r="6314" spans="1:18">
      <c r="A6314" t="s">
        <v>4</v>
      </c>
      <c r="B6314" s="4" t="s">
        <v>5</v>
      </c>
    </row>
    <row r="6315" spans="1:18">
      <c r="A6315" t="n">
        <v>57911</v>
      </c>
      <c r="B6315" s="27" t="n">
        <v>28</v>
      </c>
    </row>
    <row r="6316" spans="1:18">
      <c r="A6316" t="s">
        <v>4</v>
      </c>
      <c r="B6316" s="4" t="s">
        <v>5</v>
      </c>
      <c r="C6316" s="4" t="s">
        <v>7</v>
      </c>
      <c r="D6316" s="4" t="s">
        <v>11</v>
      </c>
      <c r="E6316" s="4" t="s">
        <v>13</v>
      </c>
    </row>
    <row r="6317" spans="1:18">
      <c r="A6317" t="n">
        <v>57912</v>
      </c>
      <c r="B6317" s="23" t="n">
        <v>58</v>
      </c>
      <c r="C6317" s="7" t="n">
        <v>101</v>
      </c>
      <c r="D6317" s="7" t="n">
        <v>500</v>
      </c>
      <c r="E6317" s="7" t="n">
        <v>1</v>
      </c>
    </row>
    <row r="6318" spans="1:18">
      <c r="A6318" t="s">
        <v>4</v>
      </c>
      <c r="B6318" s="4" t="s">
        <v>5</v>
      </c>
      <c r="C6318" s="4" t="s">
        <v>7</v>
      </c>
      <c r="D6318" s="4" t="s">
        <v>11</v>
      </c>
    </row>
    <row r="6319" spans="1:18">
      <c r="A6319" t="n">
        <v>57920</v>
      </c>
      <c r="B6319" s="23" t="n">
        <v>58</v>
      </c>
      <c r="C6319" s="7" t="n">
        <v>254</v>
      </c>
      <c r="D6319" s="7" t="n">
        <v>0</v>
      </c>
    </row>
    <row r="6320" spans="1:18">
      <c r="A6320" t="s">
        <v>4</v>
      </c>
      <c r="B6320" s="4" t="s">
        <v>5</v>
      </c>
      <c r="C6320" s="4" t="s">
        <v>7</v>
      </c>
      <c r="D6320" s="4" t="s">
        <v>11</v>
      </c>
      <c r="E6320" s="4" t="s">
        <v>8</v>
      </c>
      <c r="F6320" s="4" t="s">
        <v>8</v>
      </c>
      <c r="G6320" s="4" t="s">
        <v>8</v>
      </c>
      <c r="H6320" s="4" t="s">
        <v>8</v>
      </c>
    </row>
    <row r="6321" spans="1:18">
      <c r="A6321" t="n">
        <v>57924</v>
      </c>
      <c r="B6321" s="38" t="n">
        <v>51</v>
      </c>
      <c r="C6321" s="7" t="n">
        <v>3</v>
      </c>
      <c r="D6321" s="7" t="n">
        <v>0</v>
      </c>
      <c r="E6321" s="7" t="s">
        <v>65</v>
      </c>
      <c r="F6321" s="7" t="s">
        <v>99</v>
      </c>
      <c r="G6321" s="7" t="s">
        <v>78</v>
      </c>
      <c r="H6321" s="7" t="s">
        <v>79</v>
      </c>
    </row>
    <row r="6322" spans="1:18">
      <c r="A6322" t="s">
        <v>4</v>
      </c>
      <c r="B6322" s="4" t="s">
        <v>5</v>
      </c>
      <c r="C6322" s="4" t="s">
        <v>7</v>
      </c>
      <c r="D6322" s="4" t="s">
        <v>11</v>
      </c>
      <c r="E6322" s="4" t="s">
        <v>8</v>
      </c>
      <c r="F6322" s="4" t="s">
        <v>8</v>
      </c>
      <c r="G6322" s="4" t="s">
        <v>8</v>
      </c>
      <c r="H6322" s="4" t="s">
        <v>8</v>
      </c>
    </row>
    <row r="6323" spans="1:18">
      <c r="A6323" t="n">
        <v>57945</v>
      </c>
      <c r="B6323" s="38" t="n">
        <v>51</v>
      </c>
      <c r="C6323" s="7" t="n">
        <v>3</v>
      </c>
      <c r="D6323" s="7" t="n">
        <v>7</v>
      </c>
      <c r="E6323" s="7" t="s">
        <v>65</v>
      </c>
      <c r="F6323" s="7" t="s">
        <v>99</v>
      </c>
      <c r="G6323" s="7" t="s">
        <v>78</v>
      </c>
      <c r="H6323" s="7" t="s">
        <v>79</v>
      </c>
    </row>
    <row r="6324" spans="1:18">
      <c r="A6324" t="s">
        <v>4</v>
      </c>
      <c r="B6324" s="4" t="s">
        <v>5</v>
      </c>
      <c r="C6324" s="4" t="s">
        <v>11</v>
      </c>
      <c r="D6324" s="4" t="s">
        <v>11</v>
      </c>
      <c r="E6324" s="4" t="s">
        <v>11</v>
      </c>
    </row>
    <row r="6325" spans="1:18">
      <c r="A6325" t="n">
        <v>57966</v>
      </c>
      <c r="B6325" s="72" t="n">
        <v>61</v>
      </c>
      <c r="C6325" s="7" t="n">
        <v>0</v>
      </c>
      <c r="D6325" s="7" t="n">
        <v>65533</v>
      </c>
      <c r="E6325" s="7" t="n">
        <v>0</v>
      </c>
    </row>
    <row r="6326" spans="1:18">
      <c r="A6326" t="s">
        <v>4</v>
      </c>
      <c r="B6326" s="4" t="s">
        <v>5</v>
      </c>
      <c r="C6326" s="4" t="s">
        <v>11</v>
      </c>
      <c r="D6326" s="4" t="s">
        <v>11</v>
      </c>
      <c r="E6326" s="4" t="s">
        <v>11</v>
      </c>
    </row>
    <row r="6327" spans="1:18">
      <c r="A6327" t="n">
        <v>57973</v>
      </c>
      <c r="B6327" s="72" t="n">
        <v>61</v>
      </c>
      <c r="C6327" s="7" t="n">
        <v>7</v>
      </c>
      <c r="D6327" s="7" t="n">
        <v>65533</v>
      </c>
      <c r="E6327" s="7" t="n">
        <v>0</v>
      </c>
    </row>
    <row r="6328" spans="1:18">
      <c r="A6328" t="s">
        <v>4</v>
      </c>
      <c r="B6328" s="4" t="s">
        <v>5</v>
      </c>
      <c r="C6328" s="4" t="s">
        <v>7</v>
      </c>
    </row>
    <row r="6329" spans="1:18">
      <c r="A6329" t="n">
        <v>57980</v>
      </c>
      <c r="B6329" s="49" t="n">
        <v>116</v>
      </c>
      <c r="C6329" s="7" t="n">
        <v>0</v>
      </c>
    </row>
    <row r="6330" spans="1:18">
      <c r="A6330" t="s">
        <v>4</v>
      </c>
      <c r="B6330" s="4" t="s">
        <v>5</v>
      </c>
      <c r="C6330" s="4" t="s">
        <v>7</v>
      </c>
      <c r="D6330" s="4" t="s">
        <v>11</v>
      </c>
    </row>
    <row r="6331" spans="1:18">
      <c r="A6331" t="n">
        <v>57982</v>
      </c>
      <c r="B6331" s="49" t="n">
        <v>116</v>
      </c>
      <c r="C6331" s="7" t="n">
        <v>2</v>
      </c>
      <c r="D6331" s="7" t="n">
        <v>1</v>
      </c>
    </row>
    <row r="6332" spans="1:18">
      <c r="A6332" t="s">
        <v>4</v>
      </c>
      <c r="B6332" s="4" t="s">
        <v>5</v>
      </c>
      <c r="C6332" s="4" t="s">
        <v>7</v>
      </c>
      <c r="D6332" s="4" t="s">
        <v>15</v>
      </c>
    </row>
    <row r="6333" spans="1:18">
      <c r="A6333" t="n">
        <v>57986</v>
      </c>
      <c r="B6333" s="49" t="n">
        <v>116</v>
      </c>
      <c r="C6333" s="7" t="n">
        <v>5</v>
      </c>
      <c r="D6333" s="7" t="n">
        <v>1106247680</v>
      </c>
    </row>
    <row r="6334" spans="1:18">
      <c r="A6334" t="s">
        <v>4</v>
      </c>
      <c r="B6334" s="4" t="s">
        <v>5</v>
      </c>
      <c r="C6334" s="4" t="s">
        <v>7</v>
      </c>
      <c r="D6334" s="4" t="s">
        <v>11</v>
      </c>
    </row>
    <row r="6335" spans="1:18">
      <c r="A6335" t="n">
        <v>57992</v>
      </c>
      <c r="B6335" s="49" t="n">
        <v>116</v>
      </c>
      <c r="C6335" s="7" t="n">
        <v>6</v>
      </c>
      <c r="D6335" s="7" t="n">
        <v>1</v>
      </c>
    </row>
    <row r="6336" spans="1:18">
      <c r="A6336" t="s">
        <v>4</v>
      </c>
      <c r="B6336" s="4" t="s">
        <v>5</v>
      </c>
      <c r="C6336" s="4" t="s">
        <v>7</v>
      </c>
      <c r="D6336" s="4" t="s">
        <v>7</v>
      </c>
      <c r="E6336" s="4" t="s">
        <v>13</v>
      </c>
      <c r="F6336" s="4" t="s">
        <v>13</v>
      </c>
      <c r="G6336" s="4" t="s">
        <v>13</v>
      </c>
      <c r="H6336" s="4" t="s">
        <v>11</v>
      </c>
    </row>
    <row r="6337" spans="1:8">
      <c r="A6337" t="n">
        <v>57996</v>
      </c>
      <c r="B6337" s="51" t="n">
        <v>45</v>
      </c>
      <c r="C6337" s="7" t="n">
        <v>2</v>
      </c>
      <c r="D6337" s="7" t="n">
        <v>3</v>
      </c>
      <c r="E6337" s="7" t="n">
        <v>4.53000020980835</v>
      </c>
      <c r="F6337" s="7" t="n">
        <v>1.30999994277954</v>
      </c>
      <c r="G6337" s="7" t="n">
        <v>46.2700004577637</v>
      </c>
      <c r="H6337" s="7" t="n">
        <v>0</v>
      </c>
    </row>
    <row r="6338" spans="1:8">
      <c r="A6338" t="s">
        <v>4</v>
      </c>
      <c r="B6338" s="4" t="s">
        <v>5</v>
      </c>
      <c r="C6338" s="4" t="s">
        <v>7</v>
      </c>
      <c r="D6338" s="4" t="s">
        <v>7</v>
      </c>
      <c r="E6338" s="4" t="s">
        <v>13</v>
      </c>
      <c r="F6338" s="4" t="s">
        <v>13</v>
      </c>
      <c r="G6338" s="4" t="s">
        <v>13</v>
      </c>
      <c r="H6338" s="4" t="s">
        <v>11</v>
      </c>
      <c r="I6338" s="4" t="s">
        <v>7</v>
      </c>
    </row>
    <row r="6339" spans="1:8">
      <c r="A6339" t="n">
        <v>58013</v>
      </c>
      <c r="B6339" s="51" t="n">
        <v>45</v>
      </c>
      <c r="C6339" s="7" t="n">
        <v>4</v>
      </c>
      <c r="D6339" s="7" t="n">
        <v>3</v>
      </c>
      <c r="E6339" s="7" t="n">
        <v>12.8699998855591</v>
      </c>
      <c r="F6339" s="7" t="n">
        <v>80.0199966430664</v>
      </c>
      <c r="G6339" s="7" t="n">
        <v>0</v>
      </c>
      <c r="H6339" s="7" t="n">
        <v>0</v>
      </c>
      <c r="I6339" s="7" t="n">
        <v>0</v>
      </c>
    </row>
    <row r="6340" spans="1:8">
      <c r="A6340" t="s">
        <v>4</v>
      </c>
      <c r="B6340" s="4" t="s">
        <v>5</v>
      </c>
      <c r="C6340" s="4" t="s">
        <v>7</v>
      </c>
      <c r="D6340" s="4" t="s">
        <v>7</v>
      </c>
      <c r="E6340" s="4" t="s">
        <v>13</v>
      </c>
      <c r="F6340" s="4" t="s">
        <v>11</v>
      </c>
    </row>
    <row r="6341" spans="1:8">
      <c r="A6341" t="n">
        <v>58031</v>
      </c>
      <c r="B6341" s="51" t="n">
        <v>45</v>
      </c>
      <c r="C6341" s="7" t="n">
        <v>5</v>
      </c>
      <c r="D6341" s="7" t="n">
        <v>3</v>
      </c>
      <c r="E6341" s="7" t="n">
        <v>3</v>
      </c>
      <c r="F6341" s="7" t="n">
        <v>0</v>
      </c>
    </row>
    <row r="6342" spans="1:8">
      <c r="A6342" t="s">
        <v>4</v>
      </c>
      <c r="B6342" s="4" t="s">
        <v>5</v>
      </c>
      <c r="C6342" s="4" t="s">
        <v>7</v>
      </c>
      <c r="D6342" s="4" t="s">
        <v>7</v>
      </c>
      <c r="E6342" s="4" t="s">
        <v>13</v>
      </c>
      <c r="F6342" s="4" t="s">
        <v>11</v>
      </c>
    </row>
    <row r="6343" spans="1:8">
      <c r="A6343" t="n">
        <v>58040</v>
      </c>
      <c r="B6343" s="51" t="n">
        <v>45</v>
      </c>
      <c r="C6343" s="7" t="n">
        <v>11</v>
      </c>
      <c r="D6343" s="7" t="n">
        <v>3</v>
      </c>
      <c r="E6343" s="7" t="n">
        <v>34</v>
      </c>
      <c r="F6343" s="7" t="n">
        <v>0</v>
      </c>
    </row>
    <row r="6344" spans="1:8">
      <c r="A6344" t="s">
        <v>4</v>
      </c>
      <c r="B6344" s="4" t="s">
        <v>5</v>
      </c>
      <c r="C6344" s="4" t="s">
        <v>7</v>
      </c>
      <c r="D6344" s="4" t="s">
        <v>7</v>
      </c>
      <c r="E6344" s="4" t="s">
        <v>13</v>
      </c>
      <c r="F6344" s="4" t="s">
        <v>13</v>
      </c>
      <c r="G6344" s="4" t="s">
        <v>13</v>
      </c>
      <c r="H6344" s="4" t="s">
        <v>11</v>
      </c>
    </row>
    <row r="6345" spans="1:8">
      <c r="A6345" t="n">
        <v>58049</v>
      </c>
      <c r="B6345" s="51" t="n">
        <v>45</v>
      </c>
      <c r="C6345" s="7" t="n">
        <v>2</v>
      </c>
      <c r="D6345" s="7" t="n">
        <v>3</v>
      </c>
      <c r="E6345" s="7" t="n">
        <v>4.53000020980835</v>
      </c>
      <c r="F6345" s="7" t="n">
        <v>2.30999994277954</v>
      </c>
      <c r="G6345" s="7" t="n">
        <v>46.2700004577637</v>
      </c>
      <c r="H6345" s="7" t="n">
        <v>5000</v>
      </c>
    </row>
    <row r="6346" spans="1:8">
      <c r="A6346" t="s">
        <v>4</v>
      </c>
      <c r="B6346" s="4" t="s">
        <v>5</v>
      </c>
      <c r="C6346" s="4" t="s">
        <v>7</v>
      </c>
      <c r="D6346" s="4" t="s">
        <v>11</v>
      </c>
    </row>
    <row r="6347" spans="1:8">
      <c r="A6347" t="n">
        <v>58066</v>
      </c>
      <c r="B6347" s="23" t="n">
        <v>58</v>
      </c>
      <c r="C6347" s="7" t="n">
        <v>255</v>
      </c>
      <c r="D6347" s="7" t="n">
        <v>0</v>
      </c>
    </row>
    <row r="6348" spans="1:8">
      <c r="A6348" t="s">
        <v>4</v>
      </c>
      <c r="B6348" s="4" t="s">
        <v>5</v>
      </c>
      <c r="C6348" s="4" t="s">
        <v>11</v>
      </c>
      <c r="D6348" s="4" t="s">
        <v>13</v>
      </c>
      <c r="E6348" s="4" t="s">
        <v>13</v>
      </c>
      <c r="F6348" s="4" t="s">
        <v>7</v>
      </c>
    </row>
    <row r="6349" spans="1:8">
      <c r="A6349" t="n">
        <v>58070</v>
      </c>
      <c r="B6349" s="65" t="n">
        <v>52</v>
      </c>
      <c r="C6349" s="7" t="n">
        <v>0</v>
      </c>
      <c r="D6349" s="7" t="n">
        <v>255</v>
      </c>
      <c r="E6349" s="7" t="n">
        <v>5</v>
      </c>
      <c r="F6349" s="7" t="n">
        <v>0</v>
      </c>
    </row>
    <row r="6350" spans="1:8">
      <c r="A6350" t="s">
        <v>4</v>
      </c>
      <c r="B6350" s="4" t="s">
        <v>5</v>
      </c>
      <c r="C6350" s="4" t="s">
        <v>11</v>
      </c>
    </row>
    <row r="6351" spans="1:8">
      <c r="A6351" t="n">
        <v>58082</v>
      </c>
      <c r="B6351" s="29" t="n">
        <v>16</v>
      </c>
      <c r="C6351" s="7" t="n">
        <v>100</v>
      </c>
    </row>
    <row r="6352" spans="1:8">
      <c r="A6352" t="s">
        <v>4</v>
      </c>
      <c r="B6352" s="4" t="s">
        <v>5</v>
      </c>
      <c r="C6352" s="4" t="s">
        <v>11</v>
      </c>
      <c r="D6352" s="4" t="s">
        <v>13</v>
      </c>
      <c r="E6352" s="4" t="s">
        <v>13</v>
      </c>
      <c r="F6352" s="4" t="s">
        <v>7</v>
      </c>
    </row>
    <row r="6353" spans="1:9">
      <c r="A6353" t="n">
        <v>58085</v>
      </c>
      <c r="B6353" s="65" t="n">
        <v>52</v>
      </c>
      <c r="C6353" s="7" t="n">
        <v>7</v>
      </c>
      <c r="D6353" s="7" t="n">
        <v>255</v>
      </c>
      <c r="E6353" s="7" t="n">
        <v>5</v>
      </c>
      <c r="F6353" s="7" t="n">
        <v>0</v>
      </c>
    </row>
    <row r="6354" spans="1:9">
      <c r="A6354" t="s">
        <v>4</v>
      </c>
      <c r="B6354" s="4" t="s">
        <v>5</v>
      </c>
      <c r="C6354" s="4" t="s">
        <v>11</v>
      </c>
    </row>
    <row r="6355" spans="1:9">
      <c r="A6355" t="n">
        <v>58097</v>
      </c>
      <c r="B6355" s="66" t="n">
        <v>54</v>
      </c>
      <c r="C6355" s="7" t="n">
        <v>0</v>
      </c>
    </row>
    <row r="6356" spans="1:9">
      <c r="A6356" t="s">
        <v>4</v>
      </c>
      <c r="B6356" s="4" t="s">
        <v>5</v>
      </c>
      <c r="C6356" s="4" t="s">
        <v>11</v>
      </c>
      <c r="D6356" s="4" t="s">
        <v>11</v>
      </c>
      <c r="E6356" s="4" t="s">
        <v>13</v>
      </c>
      <c r="F6356" s="4" t="s">
        <v>13</v>
      </c>
      <c r="G6356" s="4" t="s">
        <v>13</v>
      </c>
      <c r="H6356" s="4" t="s">
        <v>13</v>
      </c>
      <c r="I6356" s="4" t="s">
        <v>7</v>
      </c>
      <c r="J6356" s="4" t="s">
        <v>11</v>
      </c>
    </row>
    <row r="6357" spans="1:9">
      <c r="A6357" t="n">
        <v>58100</v>
      </c>
      <c r="B6357" s="53" t="n">
        <v>55</v>
      </c>
      <c r="C6357" s="7" t="n">
        <v>0</v>
      </c>
      <c r="D6357" s="7" t="n">
        <v>65024</v>
      </c>
      <c r="E6357" s="7" t="n">
        <v>0</v>
      </c>
      <c r="F6357" s="7" t="n">
        <v>0</v>
      </c>
      <c r="G6357" s="7" t="n">
        <v>6</v>
      </c>
      <c r="H6357" s="7" t="n">
        <v>1.20000004768372</v>
      </c>
      <c r="I6357" s="7" t="n">
        <v>1</v>
      </c>
      <c r="J6357" s="7" t="n">
        <v>0</v>
      </c>
    </row>
    <row r="6358" spans="1:9">
      <c r="A6358" t="s">
        <v>4</v>
      </c>
      <c r="B6358" s="4" t="s">
        <v>5</v>
      </c>
      <c r="C6358" s="4" t="s">
        <v>11</v>
      </c>
    </row>
    <row r="6359" spans="1:9">
      <c r="A6359" t="n">
        <v>58124</v>
      </c>
      <c r="B6359" s="66" t="n">
        <v>54</v>
      </c>
      <c r="C6359" s="7" t="n">
        <v>7</v>
      </c>
    </row>
    <row r="6360" spans="1:9">
      <c r="A6360" t="s">
        <v>4</v>
      </c>
      <c r="B6360" s="4" t="s">
        <v>5</v>
      </c>
      <c r="C6360" s="4" t="s">
        <v>11</v>
      </c>
    </row>
    <row r="6361" spans="1:9">
      <c r="A6361" t="n">
        <v>58127</v>
      </c>
      <c r="B6361" s="29" t="n">
        <v>16</v>
      </c>
      <c r="C6361" s="7" t="n">
        <v>200</v>
      </c>
    </row>
    <row r="6362" spans="1:9">
      <c r="A6362" t="s">
        <v>4</v>
      </c>
      <c r="B6362" s="4" t="s">
        <v>5</v>
      </c>
      <c r="C6362" s="4" t="s">
        <v>11</v>
      </c>
      <c r="D6362" s="4" t="s">
        <v>11</v>
      </c>
      <c r="E6362" s="4" t="s">
        <v>13</v>
      </c>
      <c r="F6362" s="4" t="s">
        <v>13</v>
      </c>
      <c r="G6362" s="4" t="s">
        <v>13</v>
      </c>
      <c r="H6362" s="4" t="s">
        <v>13</v>
      </c>
      <c r="I6362" s="4" t="s">
        <v>7</v>
      </c>
      <c r="J6362" s="4" t="s">
        <v>11</v>
      </c>
    </row>
    <row r="6363" spans="1:9">
      <c r="A6363" t="n">
        <v>58130</v>
      </c>
      <c r="B6363" s="53" t="n">
        <v>55</v>
      </c>
      <c r="C6363" s="7" t="n">
        <v>7</v>
      </c>
      <c r="D6363" s="7" t="n">
        <v>65024</v>
      </c>
      <c r="E6363" s="7" t="n">
        <v>0</v>
      </c>
      <c r="F6363" s="7" t="n">
        <v>0</v>
      </c>
      <c r="G6363" s="7" t="n">
        <v>6</v>
      </c>
      <c r="H6363" s="7" t="n">
        <v>1.20000004768372</v>
      </c>
      <c r="I6363" s="7" t="n">
        <v>1</v>
      </c>
      <c r="J6363" s="7" t="n">
        <v>0</v>
      </c>
    </row>
    <row r="6364" spans="1:9">
      <c r="A6364" t="s">
        <v>4</v>
      </c>
      <c r="B6364" s="4" t="s">
        <v>5</v>
      </c>
      <c r="C6364" s="4" t="s">
        <v>11</v>
      </c>
    </row>
    <row r="6365" spans="1:9">
      <c r="A6365" t="n">
        <v>58154</v>
      </c>
      <c r="B6365" s="29" t="n">
        <v>16</v>
      </c>
      <c r="C6365" s="7" t="n">
        <v>2000</v>
      </c>
    </row>
    <row r="6366" spans="1:9">
      <c r="A6366" t="s">
        <v>4</v>
      </c>
      <c r="B6366" s="4" t="s">
        <v>5</v>
      </c>
      <c r="C6366" s="4" t="s">
        <v>7</v>
      </c>
      <c r="D6366" s="4" t="s">
        <v>11</v>
      </c>
      <c r="E6366" s="4" t="s">
        <v>13</v>
      </c>
    </row>
    <row r="6367" spans="1:9">
      <c r="A6367" t="n">
        <v>58157</v>
      </c>
      <c r="B6367" s="23" t="n">
        <v>58</v>
      </c>
      <c r="C6367" s="7" t="n">
        <v>0</v>
      </c>
      <c r="D6367" s="7" t="n">
        <v>1000</v>
      </c>
      <c r="E6367" s="7" t="n">
        <v>1</v>
      </c>
    </row>
    <row r="6368" spans="1:9">
      <c r="A6368" t="s">
        <v>4</v>
      </c>
      <c r="B6368" s="4" t="s">
        <v>5</v>
      </c>
      <c r="C6368" s="4" t="s">
        <v>7</v>
      </c>
      <c r="D6368" s="4" t="s">
        <v>11</v>
      </c>
    </row>
    <row r="6369" spans="1:10">
      <c r="A6369" t="n">
        <v>58165</v>
      </c>
      <c r="B6369" s="23" t="n">
        <v>58</v>
      </c>
      <c r="C6369" s="7" t="n">
        <v>255</v>
      </c>
      <c r="D6369" s="7" t="n">
        <v>0</v>
      </c>
    </row>
    <row r="6370" spans="1:10">
      <c r="A6370" t="s">
        <v>4</v>
      </c>
      <c r="B6370" s="4" t="s">
        <v>5</v>
      </c>
      <c r="C6370" s="4" t="s">
        <v>11</v>
      </c>
      <c r="D6370" s="4" t="s">
        <v>7</v>
      </c>
    </row>
    <row r="6371" spans="1:10">
      <c r="A6371" t="n">
        <v>58169</v>
      </c>
      <c r="B6371" s="54" t="n">
        <v>56</v>
      </c>
      <c r="C6371" s="7" t="n">
        <v>0</v>
      </c>
      <c r="D6371" s="7" t="n">
        <v>1</v>
      </c>
    </row>
    <row r="6372" spans="1:10">
      <c r="A6372" t="s">
        <v>4</v>
      </c>
      <c r="B6372" s="4" t="s">
        <v>5</v>
      </c>
      <c r="C6372" s="4" t="s">
        <v>11</v>
      </c>
      <c r="D6372" s="4" t="s">
        <v>7</v>
      </c>
    </row>
    <row r="6373" spans="1:10">
      <c r="A6373" t="n">
        <v>58173</v>
      </c>
      <c r="B6373" s="54" t="n">
        <v>56</v>
      </c>
      <c r="C6373" s="7" t="n">
        <v>7</v>
      </c>
      <c r="D6373" s="7" t="n">
        <v>1</v>
      </c>
    </row>
    <row r="6374" spans="1:10">
      <c r="A6374" t="s">
        <v>4</v>
      </c>
      <c r="B6374" s="4" t="s">
        <v>5</v>
      </c>
      <c r="C6374" s="4" t="s">
        <v>11</v>
      </c>
      <c r="D6374" s="4" t="s">
        <v>13</v>
      </c>
      <c r="E6374" s="4" t="s">
        <v>13</v>
      </c>
      <c r="F6374" s="4" t="s">
        <v>13</v>
      </c>
      <c r="G6374" s="4" t="s">
        <v>13</v>
      </c>
    </row>
    <row r="6375" spans="1:10">
      <c r="A6375" t="n">
        <v>58177</v>
      </c>
      <c r="B6375" s="36" t="n">
        <v>46</v>
      </c>
      <c r="C6375" s="7" t="n">
        <v>0</v>
      </c>
      <c r="D6375" s="7" t="n">
        <v>-11.1700000762939</v>
      </c>
      <c r="E6375" s="7" t="n">
        <v>10.0100002288818</v>
      </c>
      <c r="F6375" s="7" t="n">
        <v>47.7700004577637</v>
      </c>
      <c r="G6375" s="7" t="n">
        <v>278.399993896484</v>
      </c>
    </row>
    <row r="6376" spans="1:10">
      <c r="A6376" t="s">
        <v>4</v>
      </c>
      <c r="B6376" s="4" t="s">
        <v>5</v>
      </c>
      <c r="C6376" s="4" t="s">
        <v>11</v>
      </c>
      <c r="D6376" s="4" t="s">
        <v>13</v>
      </c>
      <c r="E6376" s="4" t="s">
        <v>13</v>
      </c>
      <c r="F6376" s="4" t="s">
        <v>13</v>
      </c>
      <c r="G6376" s="4" t="s">
        <v>13</v>
      </c>
    </row>
    <row r="6377" spans="1:10">
      <c r="A6377" t="n">
        <v>58196</v>
      </c>
      <c r="B6377" s="36" t="n">
        <v>46</v>
      </c>
      <c r="C6377" s="7" t="n">
        <v>7</v>
      </c>
      <c r="D6377" s="7" t="n">
        <v>-12.1700000762939</v>
      </c>
      <c r="E6377" s="7" t="n">
        <v>10.0100002288818</v>
      </c>
      <c r="F6377" s="7" t="n">
        <v>48.25</v>
      </c>
      <c r="G6377" s="7" t="n">
        <v>272.600006103516</v>
      </c>
    </row>
    <row r="6378" spans="1:10">
      <c r="A6378" t="s">
        <v>4</v>
      </c>
      <c r="B6378" s="4" t="s">
        <v>5</v>
      </c>
      <c r="C6378" s="4" t="s">
        <v>11</v>
      </c>
      <c r="D6378" s="4" t="s">
        <v>11</v>
      </c>
      <c r="E6378" s="4" t="s">
        <v>11</v>
      </c>
    </row>
    <row r="6379" spans="1:10">
      <c r="A6379" t="n">
        <v>58215</v>
      </c>
      <c r="B6379" s="72" t="n">
        <v>61</v>
      </c>
      <c r="C6379" s="7" t="n">
        <v>0</v>
      </c>
      <c r="D6379" s="7" t="n">
        <v>65533</v>
      </c>
      <c r="E6379" s="7" t="n">
        <v>0</v>
      </c>
    </row>
    <row r="6380" spans="1:10">
      <c r="A6380" t="s">
        <v>4</v>
      </c>
      <c r="B6380" s="4" t="s">
        <v>5</v>
      </c>
      <c r="C6380" s="4" t="s">
        <v>11</v>
      </c>
      <c r="D6380" s="4" t="s">
        <v>11</v>
      </c>
      <c r="E6380" s="4" t="s">
        <v>11</v>
      </c>
    </row>
    <row r="6381" spans="1:10">
      <c r="A6381" t="n">
        <v>58222</v>
      </c>
      <c r="B6381" s="72" t="n">
        <v>61</v>
      </c>
      <c r="C6381" s="7" t="n">
        <v>7</v>
      </c>
      <c r="D6381" s="7" t="n">
        <v>65533</v>
      </c>
      <c r="E6381" s="7" t="n">
        <v>0</v>
      </c>
    </row>
    <row r="6382" spans="1:10">
      <c r="A6382" t="s">
        <v>4</v>
      </c>
      <c r="B6382" s="4" t="s">
        <v>5</v>
      </c>
      <c r="C6382" s="4" t="s">
        <v>7</v>
      </c>
      <c r="D6382" s="4" t="s">
        <v>7</v>
      </c>
      <c r="E6382" s="4" t="s">
        <v>13</v>
      </c>
      <c r="F6382" s="4" t="s">
        <v>13</v>
      </c>
      <c r="G6382" s="4" t="s">
        <v>13</v>
      </c>
      <c r="H6382" s="4" t="s">
        <v>11</v>
      </c>
    </row>
    <row r="6383" spans="1:10">
      <c r="A6383" t="n">
        <v>58229</v>
      </c>
      <c r="B6383" s="51" t="n">
        <v>45</v>
      </c>
      <c r="C6383" s="7" t="n">
        <v>2</v>
      </c>
      <c r="D6383" s="7" t="n">
        <v>3</v>
      </c>
      <c r="E6383" s="7" t="n">
        <v>-15.3599996566772</v>
      </c>
      <c r="F6383" s="7" t="n">
        <v>10.9899997711182</v>
      </c>
      <c r="G6383" s="7" t="n">
        <v>46.3300018310547</v>
      </c>
      <c r="H6383" s="7" t="n">
        <v>0</v>
      </c>
    </row>
    <row r="6384" spans="1:10">
      <c r="A6384" t="s">
        <v>4</v>
      </c>
      <c r="B6384" s="4" t="s">
        <v>5</v>
      </c>
      <c r="C6384" s="4" t="s">
        <v>7</v>
      </c>
      <c r="D6384" s="4" t="s">
        <v>7</v>
      </c>
      <c r="E6384" s="4" t="s">
        <v>13</v>
      </c>
      <c r="F6384" s="4" t="s">
        <v>13</v>
      </c>
      <c r="G6384" s="4" t="s">
        <v>13</v>
      </c>
      <c r="H6384" s="4" t="s">
        <v>11</v>
      </c>
      <c r="I6384" s="4" t="s">
        <v>7</v>
      </c>
    </row>
    <row r="6385" spans="1:9">
      <c r="A6385" t="n">
        <v>58246</v>
      </c>
      <c r="B6385" s="51" t="n">
        <v>45</v>
      </c>
      <c r="C6385" s="7" t="n">
        <v>4</v>
      </c>
      <c r="D6385" s="7" t="n">
        <v>3</v>
      </c>
      <c r="E6385" s="7" t="n">
        <v>5.65000009536743</v>
      </c>
      <c r="F6385" s="7" t="n">
        <v>328.390014648438</v>
      </c>
      <c r="G6385" s="7" t="n">
        <v>0</v>
      </c>
      <c r="H6385" s="7" t="n">
        <v>0</v>
      </c>
      <c r="I6385" s="7" t="n">
        <v>0</v>
      </c>
    </row>
    <row r="6386" spans="1:9">
      <c r="A6386" t="s">
        <v>4</v>
      </c>
      <c r="B6386" s="4" t="s">
        <v>5</v>
      </c>
      <c r="C6386" s="4" t="s">
        <v>7</v>
      </c>
      <c r="D6386" s="4" t="s">
        <v>7</v>
      </c>
      <c r="E6386" s="4" t="s">
        <v>13</v>
      </c>
      <c r="F6386" s="4" t="s">
        <v>11</v>
      </c>
    </row>
    <row r="6387" spans="1:9">
      <c r="A6387" t="n">
        <v>58264</v>
      </c>
      <c r="B6387" s="51" t="n">
        <v>45</v>
      </c>
      <c r="C6387" s="7" t="n">
        <v>5</v>
      </c>
      <c r="D6387" s="7" t="n">
        <v>3</v>
      </c>
      <c r="E6387" s="7" t="n">
        <v>3.29999995231628</v>
      </c>
      <c r="F6387" s="7" t="n">
        <v>0</v>
      </c>
    </row>
    <row r="6388" spans="1:9">
      <c r="A6388" t="s">
        <v>4</v>
      </c>
      <c r="B6388" s="4" t="s">
        <v>5</v>
      </c>
      <c r="C6388" s="4" t="s">
        <v>7</v>
      </c>
      <c r="D6388" s="4" t="s">
        <v>7</v>
      </c>
      <c r="E6388" s="4" t="s">
        <v>13</v>
      </c>
      <c r="F6388" s="4" t="s">
        <v>11</v>
      </c>
    </row>
    <row r="6389" spans="1:9">
      <c r="A6389" t="n">
        <v>58273</v>
      </c>
      <c r="B6389" s="51" t="n">
        <v>45</v>
      </c>
      <c r="C6389" s="7" t="n">
        <v>11</v>
      </c>
      <c r="D6389" s="7" t="n">
        <v>3</v>
      </c>
      <c r="E6389" s="7" t="n">
        <v>34</v>
      </c>
      <c r="F6389" s="7" t="n">
        <v>0</v>
      </c>
    </row>
    <row r="6390" spans="1:9">
      <c r="A6390" t="s">
        <v>4</v>
      </c>
      <c r="B6390" s="4" t="s">
        <v>5</v>
      </c>
      <c r="C6390" s="4" t="s">
        <v>7</v>
      </c>
      <c r="D6390" s="4" t="s">
        <v>7</v>
      </c>
      <c r="E6390" s="4" t="s">
        <v>13</v>
      </c>
      <c r="F6390" s="4" t="s">
        <v>13</v>
      </c>
      <c r="G6390" s="4" t="s">
        <v>13</v>
      </c>
      <c r="H6390" s="4" t="s">
        <v>11</v>
      </c>
    </row>
    <row r="6391" spans="1:9">
      <c r="A6391" t="n">
        <v>58282</v>
      </c>
      <c r="B6391" s="51" t="n">
        <v>45</v>
      </c>
      <c r="C6391" s="7" t="n">
        <v>2</v>
      </c>
      <c r="D6391" s="7" t="n">
        <v>3</v>
      </c>
      <c r="E6391" s="7" t="n">
        <v>-14.4200000762939</v>
      </c>
      <c r="F6391" s="7" t="n">
        <v>10.9899997711182</v>
      </c>
      <c r="G6391" s="7" t="n">
        <v>48.4300003051758</v>
      </c>
      <c r="H6391" s="7" t="n">
        <v>6000</v>
      </c>
    </row>
    <row r="6392" spans="1:9">
      <c r="A6392" t="s">
        <v>4</v>
      </c>
      <c r="B6392" s="4" t="s">
        <v>5</v>
      </c>
      <c r="C6392" s="4" t="s">
        <v>7</v>
      </c>
      <c r="D6392" s="4" t="s">
        <v>7</v>
      </c>
      <c r="E6392" s="4" t="s">
        <v>13</v>
      </c>
      <c r="F6392" s="4" t="s">
        <v>13</v>
      </c>
      <c r="G6392" s="4" t="s">
        <v>13</v>
      </c>
      <c r="H6392" s="4" t="s">
        <v>11</v>
      </c>
      <c r="I6392" s="4" t="s">
        <v>7</v>
      </c>
    </row>
    <row r="6393" spans="1:9">
      <c r="A6393" t="n">
        <v>58299</v>
      </c>
      <c r="B6393" s="51" t="n">
        <v>45</v>
      </c>
      <c r="C6393" s="7" t="n">
        <v>4</v>
      </c>
      <c r="D6393" s="7" t="n">
        <v>3</v>
      </c>
      <c r="E6393" s="7" t="n">
        <v>1.87999999523163</v>
      </c>
      <c r="F6393" s="7" t="n">
        <v>244.899993896484</v>
      </c>
      <c r="G6393" s="7" t="n">
        <v>0</v>
      </c>
      <c r="H6393" s="7" t="n">
        <v>6000</v>
      </c>
      <c r="I6393" s="7" t="n">
        <v>1</v>
      </c>
    </row>
    <row r="6394" spans="1:9">
      <c r="A6394" t="s">
        <v>4</v>
      </c>
      <c r="B6394" s="4" t="s">
        <v>5</v>
      </c>
      <c r="C6394" s="4" t="s">
        <v>7</v>
      </c>
      <c r="D6394" s="4" t="s">
        <v>11</v>
      </c>
      <c r="E6394" s="4" t="s">
        <v>13</v>
      </c>
    </row>
    <row r="6395" spans="1:9">
      <c r="A6395" t="n">
        <v>58317</v>
      </c>
      <c r="B6395" s="23" t="n">
        <v>58</v>
      </c>
      <c r="C6395" s="7" t="n">
        <v>100</v>
      </c>
      <c r="D6395" s="7" t="n">
        <v>1000</v>
      </c>
      <c r="E6395" s="7" t="n">
        <v>1</v>
      </c>
    </row>
    <row r="6396" spans="1:9">
      <c r="A6396" t="s">
        <v>4</v>
      </c>
      <c r="B6396" s="4" t="s">
        <v>5</v>
      </c>
      <c r="C6396" s="4" t="s">
        <v>7</v>
      </c>
      <c r="D6396" s="4" t="s">
        <v>11</v>
      </c>
    </row>
    <row r="6397" spans="1:9">
      <c r="A6397" t="n">
        <v>58325</v>
      </c>
      <c r="B6397" s="23" t="n">
        <v>58</v>
      </c>
      <c r="C6397" s="7" t="n">
        <v>255</v>
      </c>
      <c r="D6397" s="7" t="n">
        <v>0</v>
      </c>
    </row>
    <row r="6398" spans="1:9">
      <c r="A6398" t="s">
        <v>4</v>
      </c>
      <c r="B6398" s="4" t="s">
        <v>5</v>
      </c>
      <c r="C6398" s="4" t="s">
        <v>8</v>
      </c>
      <c r="D6398" s="4" t="s">
        <v>8</v>
      </c>
    </row>
    <row r="6399" spans="1:9">
      <c r="A6399" t="n">
        <v>58329</v>
      </c>
      <c r="B6399" s="52" t="n">
        <v>70</v>
      </c>
      <c r="C6399" s="7" t="s">
        <v>567</v>
      </c>
      <c r="D6399" s="7" t="s">
        <v>109</v>
      </c>
    </row>
    <row r="6400" spans="1:9">
      <c r="A6400" t="s">
        <v>4</v>
      </c>
      <c r="B6400" s="4" t="s">
        <v>5</v>
      </c>
      <c r="C6400" s="4" t="s">
        <v>11</v>
      </c>
    </row>
    <row r="6401" spans="1:9">
      <c r="A6401" t="n">
        <v>58346</v>
      </c>
      <c r="B6401" s="29" t="n">
        <v>16</v>
      </c>
      <c r="C6401" s="7" t="n">
        <v>1500</v>
      </c>
    </row>
    <row r="6402" spans="1:9">
      <c r="A6402" t="s">
        <v>4</v>
      </c>
      <c r="B6402" s="4" t="s">
        <v>5</v>
      </c>
      <c r="C6402" s="4" t="s">
        <v>11</v>
      </c>
      <c r="D6402" s="4" t="s">
        <v>7</v>
      </c>
      <c r="E6402" s="4" t="s">
        <v>13</v>
      </c>
      <c r="F6402" s="4" t="s">
        <v>11</v>
      </c>
    </row>
    <row r="6403" spans="1:9">
      <c r="A6403" t="n">
        <v>58349</v>
      </c>
      <c r="B6403" s="56" t="n">
        <v>59</v>
      </c>
      <c r="C6403" s="7" t="n">
        <v>7</v>
      </c>
      <c r="D6403" s="7" t="n">
        <v>9</v>
      </c>
      <c r="E6403" s="7" t="n">
        <v>0.150000005960464</v>
      </c>
      <c r="F6403" s="7" t="n">
        <v>0</v>
      </c>
    </row>
    <row r="6404" spans="1:9">
      <c r="A6404" t="s">
        <v>4</v>
      </c>
      <c r="B6404" s="4" t="s">
        <v>5</v>
      </c>
      <c r="C6404" s="4" t="s">
        <v>11</v>
      </c>
      <c r="D6404" s="4" t="s">
        <v>13</v>
      </c>
      <c r="E6404" s="4" t="s">
        <v>13</v>
      </c>
      <c r="F6404" s="4" t="s">
        <v>13</v>
      </c>
      <c r="G6404" s="4" t="s">
        <v>11</v>
      </c>
      <c r="H6404" s="4" t="s">
        <v>11</v>
      </c>
    </row>
    <row r="6405" spans="1:9">
      <c r="A6405" t="n">
        <v>58359</v>
      </c>
      <c r="B6405" s="37" t="n">
        <v>60</v>
      </c>
      <c r="C6405" s="7" t="n">
        <v>7</v>
      </c>
      <c r="D6405" s="7" t="n">
        <v>-45</v>
      </c>
      <c r="E6405" s="7" t="n">
        <v>0</v>
      </c>
      <c r="F6405" s="7" t="n">
        <v>0</v>
      </c>
      <c r="G6405" s="7" t="n">
        <v>1000</v>
      </c>
      <c r="H6405" s="7" t="n">
        <v>0</v>
      </c>
    </row>
    <row r="6406" spans="1:9">
      <c r="A6406" t="s">
        <v>4</v>
      </c>
      <c r="B6406" s="4" t="s">
        <v>5</v>
      </c>
      <c r="C6406" s="4" t="s">
        <v>11</v>
      </c>
    </row>
    <row r="6407" spans="1:9">
      <c r="A6407" t="n">
        <v>58378</v>
      </c>
      <c r="B6407" s="29" t="n">
        <v>16</v>
      </c>
      <c r="C6407" s="7" t="n">
        <v>1000</v>
      </c>
    </row>
    <row r="6408" spans="1:9">
      <c r="A6408" t="s">
        <v>4</v>
      </c>
      <c r="B6408" s="4" t="s">
        <v>5</v>
      </c>
      <c r="C6408" s="4" t="s">
        <v>11</v>
      </c>
      <c r="D6408" s="4" t="s">
        <v>13</v>
      </c>
      <c r="E6408" s="4" t="s">
        <v>13</v>
      </c>
      <c r="F6408" s="4" t="s">
        <v>13</v>
      </c>
      <c r="G6408" s="4" t="s">
        <v>11</v>
      </c>
      <c r="H6408" s="4" t="s">
        <v>11</v>
      </c>
    </row>
    <row r="6409" spans="1:9">
      <c r="A6409" t="n">
        <v>58381</v>
      </c>
      <c r="B6409" s="37" t="n">
        <v>60</v>
      </c>
      <c r="C6409" s="7" t="n">
        <v>7</v>
      </c>
      <c r="D6409" s="7" t="n">
        <v>45</v>
      </c>
      <c r="E6409" s="7" t="n">
        <v>0</v>
      </c>
      <c r="F6409" s="7" t="n">
        <v>0</v>
      </c>
      <c r="G6409" s="7" t="n">
        <v>1000</v>
      </c>
      <c r="H6409" s="7" t="n">
        <v>0</v>
      </c>
    </row>
    <row r="6410" spans="1:9">
      <c r="A6410" t="s">
        <v>4</v>
      </c>
      <c r="B6410" s="4" t="s">
        <v>5</v>
      </c>
      <c r="C6410" s="4" t="s">
        <v>11</v>
      </c>
    </row>
    <row r="6411" spans="1:9">
      <c r="A6411" t="n">
        <v>58400</v>
      </c>
      <c r="B6411" s="29" t="n">
        <v>16</v>
      </c>
      <c r="C6411" s="7" t="n">
        <v>1000</v>
      </c>
    </row>
    <row r="6412" spans="1:9">
      <c r="A6412" t="s">
        <v>4</v>
      </c>
      <c r="B6412" s="4" t="s">
        <v>5</v>
      </c>
      <c r="C6412" s="4" t="s">
        <v>11</v>
      </c>
      <c r="D6412" s="4" t="s">
        <v>13</v>
      </c>
      <c r="E6412" s="4" t="s">
        <v>13</v>
      </c>
      <c r="F6412" s="4" t="s">
        <v>13</v>
      </c>
      <c r="G6412" s="4" t="s">
        <v>11</v>
      </c>
      <c r="H6412" s="4" t="s">
        <v>11</v>
      </c>
    </row>
    <row r="6413" spans="1:9">
      <c r="A6413" t="n">
        <v>58403</v>
      </c>
      <c r="B6413" s="37" t="n">
        <v>60</v>
      </c>
      <c r="C6413" s="7" t="n">
        <v>7</v>
      </c>
      <c r="D6413" s="7" t="n">
        <v>0</v>
      </c>
      <c r="E6413" s="7" t="n">
        <v>0</v>
      </c>
      <c r="F6413" s="7" t="n">
        <v>0</v>
      </c>
      <c r="G6413" s="7" t="n">
        <v>500</v>
      </c>
      <c r="H6413" s="7" t="n">
        <v>0</v>
      </c>
    </row>
    <row r="6414" spans="1:9">
      <c r="A6414" t="s">
        <v>4</v>
      </c>
      <c r="B6414" s="4" t="s">
        <v>5</v>
      </c>
      <c r="C6414" s="4" t="s">
        <v>11</v>
      </c>
    </row>
    <row r="6415" spans="1:9">
      <c r="A6415" t="n">
        <v>58422</v>
      </c>
      <c r="B6415" s="29" t="n">
        <v>16</v>
      </c>
      <c r="C6415" s="7" t="n">
        <v>1000</v>
      </c>
    </row>
    <row r="6416" spans="1:9">
      <c r="A6416" t="s">
        <v>4</v>
      </c>
      <c r="B6416" s="4" t="s">
        <v>5</v>
      </c>
      <c r="C6416" s="4" t="s">
        <v>7</v>
      </c>
      <c r="D6416" s="4" t="s">
        <v>11</v>
      </c>
    </row>
    <row r="6417" spans="1:8">
      <c r="A6417" t="n">
        <v>58425</v>
      </c>
      <c r="B6417" s="51" t="n">
        <v>45</v>
      </c>
      <c r="C6417" s="7" t="n">
        <v>7</v>
      </c>
      <c r="D6417" s="7" t="n">
        <v>255</v>
      </c>
    </row>
    <row r="6418" spans="1:8">
      <c r="A6418" t="s">
        <v>4</v>
      </c>
      <c r="B6418" s="4" t="s">
        <v>5</v>
      </c>
      <c r="C6418" s="4" t="s">
        <v>7</v>
      </c>
      <c r="D6418" s="4" t="s">
        <v>11</v>
      </c>
      <c r="E6418" s="4" t="s">
        <v>13</v>
      </c>
    </row>
    <row r="6419" spans="1:8">
      <c r="A6419" t="n">
        <v>58429</v>
      </c>
      <c r="B6419" s="23" t="n">
        <v>58</v>
      </c>
      <c r="C6419" s="7" t="n">
        <v>0</v>
      </c>
      <c r="D6419" s="7" t="n">
        <v>1000</v>
      </c>
      <c r="E6419" s="7" t="n">
        <v>1</v>
      </c>
    </row>
    <row r="6420" spans="1:8">
      <c r="A6420" t="s">
        <v>4</v>
      </c>
      <c r="B6420" s="4" t="s">
        <v>5</v>
      </c>
      <c r="C6420" s="4" t="s">
        <v>7</v>
      </c>
      <c r="D6420" s="4" t="s">
        <v>11</v>
      </c>
    </row>
    <row r="6421" spans="1:8">
      <c r="A6421" t="n">
        <v>58437</v>
      </c>
      <c r="B6421" s="23" t="n">
        <v>58</v>
      </c>
      <c r="C6421" s="7" t="n">
        <v>255</v>
      </c>
      <c r="D6421" s="7" t="n">
        <v>0</v>
      </c>
    </row>
    <row r="6422" spans="1:8">
      <c r="A6422" t="s">
        <v>4</v>
      </c>
      <c r="B6422" s="4" t="s">
        <v>5</v>
      </c>
      <c r="C6422" s="4" t="s">
        <v>11</v>
      </c>
      <c r="D6422" s="4" t="s">
        <v>11</v>
      </c>
      <c r="E6422" s="4" t="s">
        <v>11</v>
      </c>
    </row>
    <row r="6423" spans="1:8">
      <c r="A6423" t="n">
        <v>58441</v>
      </c>
      <c r="B6423" s="72" t="n">
        <v>61</v>
      </c>
      <c r="C6423" s="7" t="n">
        <v>0</v>
      </c>
      <c r="D6423" s="7" t="n">
        <v>65533</v>
      </c>
      <c r="E6423" s="7" t="n">
        <v>1000</v>
      </c>
    </row>
    <row r="6424" spans="1:8">
      <c r="A6424" t="s">
        <v>4</v>
      </c>
      <c r="B6424" s="4" t="s">
        <v>5</v>
      </c>
      <c r="C6424" s="4" t="s">
        <v>11</v>
      </c>
      <c r="D6424" s="4" t="s">
        <v>11</v>
      </c>
      <c r="E6424" s="4" t="s">
        <v>11</v>
      </c>
    </row>
    <row r="6425" spans="1:8">
      <c r="A6425" t="n">
        <v>58448</v>
      </c>
      <c r="B6425" s="72" t="n">
        <v>61</v>
      </c>
      <c r="C6425" s="7" t="n">
        <v>7</v>
      </c>
      <c r="D6425" s="7" t="n">
        <v>65533</v>
      </c>
      <c r="E6425" s="7" t="n">
        <v>1000</v>
      </c>
    </row>
    <row r="6426" spans="1:8">
      <c r="A6426" t="s">
        <v>4</v>
      </c>
      <c r="B6426" s="4" t="s">
        <v>5</v>
      </c>
      <c r="C6426" s="4" t="s">
        <v>11</v>
      </c>
      <c r="D6426" s="4" t="s">
        <v>13</v>
      </c>
      <c r="E6426" s="4" t="s">
        <v>13</v>
      </c>
      <c r="F6426" s="4" t="s">
        <v>13</v>
      </c>
      <c r="G6426" s="4" t="s">
        <v>13</v>
      </c>
    </row>
    <row r="6427" spans="1:8">
      <c r="A6427" t="n">
        <v>58455</v>
      </c>
      <c r="B6427" s="36" t="n">
        <v>46</v>
      </c>
      <c r="C6427" s="7" t="n">
        <v>0</v>
      </c>
      <c r="D6427" s="7" t="n">
        <v>-2.66000008583069</v>
      </c>
      <c r="E6427" s="7" t="n">
        <v>5.01000022888184</v>
      </c>
      <c r="F6427" s="7" t="n">
        <v>32.189998626709</v>
      </c>
      <c r="G6427" s="7" t="n">
        <v>90</v>
      </c>
    </row>
    <row r="6428" spans="1:8">
      <c r="A6428" t="s">
        <v>4</v>
      </c>
      <c r="B6428" s="4" t="s">
        <v>5</v>
      </c>
      <c r="C6428" s="4" t="s">
        <v>11</v>
      </c>
      <c r="D6428" s="4" t="s">
        <v>13</v>
      </c>
      <c r="E6428" s="4" t="s">
        <v>13</v>
      </c>
      <c r="F6428" s="4" t="s">
        <v>13</v>
      </c>
      <c r="G6428" s="4" t="s">
        <v>13</v>
      </c>
    </row>
    <row r="6429" spans="1:8">
      <c r="A6429" t="n">
        <v>58474</v>
      </c>
      <c r="B6429" s="36" t="n">
        <v>46</v>
      </c>
      <c r="C6429" s="7" t="n">
        <v>7</v>
      </c>
      <c r="D6429" s="7" t="n">
        <v>-3.16000008583069</v>
      </c>
      <c r="E6429" s="7" t="n">
        <v>5.01000022888184</v>
      </c>
      <c r="F6429" s="7" t="n">
        <v>31.7900009155273</v>
      </c>
      <c r="G6429" s="7" t="n">
        <v>90</v>
      </c>
    </row>
    <row r="6430" spans="1:8">
      <c r="A6430" t="s">
        <v>4</v>
      </c>
      <c r="B6430" s="4" t="s">
        <v>5</v>
      </c>
      <c r="C6430" s="4" t="s">
        <v>7</v>
      </c>
      <c r="D6430" s="4" t="s">
        <v>7</v>
      </c>
      <c r="E6430" s="4" t="s">
        <v>13</v>
      </c>
      <c r="F6430" s="4" t="s">
        <v>13</v>
      </c>
      <c r="G6430" s="4" t="s">
        <v>13</v>
      </c>
      <c r="H6430" s="4" t="s">
        <v>11</v>
      </c>
    </row>
    <row r="6431" spans="1:8">
      <c r="A6431" t="n">
        <v>58493</v>
      </c>
      <c r="B6431" s="51" t="n">
        <v>45</v>
      </c>
      <c r="C6431" s="7" t="n">
        <v>2</v>
      </c>
      <c r="D6431" s="7" t="n">
        <v>3</v>
      </c>
      <c r="E6431" s="7" t="n">
        <v>6.82000017166138</v>
      </c>
      <c r="F6431" s="7" t="n">
        <v>6.17999982833862</v>
      </c>
      <c r="G6431" s="7" t="n">
        <v>32.2799987792969</v>
      </c>
      <c r="H6431" s="7" t="n">
        <v>0</v>
      </c>
    </row>
    <row r="6432" spans="1:8">
      <c r="A6432" t="s">
        <v>4</v>
      </c>
      <c r="B6432" s="4" t="s">
        <v>5</v>
      </c>
      <c r="C6432" s="4" t="s">
        <v>7</v>
      </c>
      <c r="D6432" s="4" t="s">
        <v>7</v>
      </c>
      <c r="E6432" s="4" t="s">
        <v>13</v>
      </c>
      <c r="F6432" s="4" t="s">
        <v>13</v>
      </c>
      <c r="G6432" s="4" t="s">
        <v>13</v>
      </c>
      <c r="H6432" s="4" t="s">
        <v>11</v>
      </c>
      <c r="I6432" s="4" t="s">
        <v>7</v>
      </c>
    </row>
    <row r="6433" spans="1:9">
      <c r="A6433" t="n">
        <v>58510</v>
      </c>
      <c r="B6433" s="51" t="n">
        <v>45</v>
      </c>
      <c r="C6433" s="7" t="n">
        <v>4</v>
      </c>
      <c r="D6433" s="7" t="n">
        <v>3</v>
      </c>
      <c r="E6433" s="7" t="n">
        <v>358.239990234375</v>
      </c>
      <c r="F6433" s="7" t="n">
        <v>344.200012207031</v>
      </c>
      <c r="G6433" s="7" t="n">
        <v>0</v>
      </c>
      <c r="H6433" s="7" t="n">
        <v>0</v>
      </c>
      <c r="I6433" s="7" t="n">
        <v>0</v>
      </c>
    </row>
    <row r="6434" spans="1:9">
      <c r="A6434" t="s">
        <v>4</v>
      </c>
      <c r="B6434" s="4" t="s">
        <v>5</v>
      </c>
      <c r="C6434" s="4" t="s">
        <v>7</v>
      </c>
      <c r="D6434" s="4" t="s">
        <v>7</v>
      </c>
      <c r="E6434" s="4" t="s">
        <v>13</v>
      </c>
      <c r="F6434" s="4" t="s">
        <v>11</v>
      </c>
    </row>
    <row r="6435" spans="1:9">
      <c r="A6435" t="n">
        <v>58528</v>
      </c>
      <c r="B6435" s="51" t="n">
        <v>45</v>
      </c>
      <c r="C6435" s="7" t="n">
        <v>5</v>
      </c>
      <c r="D6435" s="7" t="n">
        <v>3</v>
      </c>
      <c r="E6435" s="7" t="n">
        <v>3.40000009536743</v>
      </c>
      <c r="F6435" s="7" t="n">
        <v>0</v>
      </c>
    </row>
    <row r="6436" spans="1:9">
      <c r="A6436" t="s">
        <v>4</v>
      </c>
      <c r="B6436" s="4" t="s">
        <v>5</v>
      </c>
      <c r="C6436" s="4" t="s">
        <v>7</v>
      </c>
      <c r="D6436" s="4" t="s">
        <v>7</v>
      </c>
      <c r="E6436" s="4" t="s">
        <v>13</v>
      </c>
      <c r="F6436" s="4" t="s">
        <v>11</v>
      </c>
    </row>
    <row r="6437" spans="1:9">
      <c r="A6437" t="n">
        <v>58537</v>
      </c>
      <c r="B6437" s="51" t="n">
        <v>45</v>
      </c>
      <c r="C6437" s="7" t="n">
        <v>11</v>
      </c>
      <c r="D6437" s="7" t="n">
        <v>3</v>
      </c>
      <c r="E6437" s="7" t="n">
        <v>40.2999992370605</v>
      </c>
      <c r="F6437" s="7" t="n">
        <v>0</v>
      </c>
    </row>
    <row r="6438" spans="1:9">
      <c r="A6438" t="s">
        <v>4</v>
      </c>
      <c r="B6438" s="4" t="s">
        <v>5</v>
      </c>
      <c r="C6438" s="4" t="s">
        <v>7</v>
      </c>
      <c r="D6438" s="4" t="s">
        <v>7</v>
      </c>
      <c r="E6438" s="4" t="s">
        <v>13</v>
      </c>
      <c r="F6438" s="4" t="s">
        <v>13</v>
      </c>
      <c r="G6438" s="4" t="s">
        <v>13</v>
      </c>
      <c r="H6438" s="4" t="s">
        <v>11</v>
      </c>
    </row>
    <row r="6439" spans="1:9">
      <c r="A6439" t="n">
        <v>58546</v>
      </c>
      <c r="B6439" s="51" t="n">
        <v>45</v>
      </c>
      <c r="C6439" s="7" t="n">
        <v>2</v>
      </c>
      <c r="D6439" s="7" t="n">
        <v>3</v>
      </c>
      <c r="E6439" s="7" t="n">
        <v>-2.55999994277954</v>
      </c>
      <c r="F6439" s="7" t="n">
        <v>6.17999982833862</v>
      </c>
      <c r="G6439" s="7" t="n">
        <v>32.1800003051758</v>
      </c>
      <c r="H6439" s="7" t="n">
        <v>6000</v>
      </c>
    </row>
    <row r="6440" spans="1:9">
      <c r="A6440" t="s">
        <v>4</v>
      </c>
      <c r="B6440" s="4" t="s">
        <v>5</v>
      </c>
      <c r="C6440" s="4" t="s">
        <v>7</v>
      </c>
      <c r="D6440" s="4" t="s">
        <v>7</v>
      </c>
      <c r="E6440" s="4" t="s">
        <v>13</v>
      </c>
      <c r="F6440" s="4" t="s">
        <v>13</v>
      </c>
      <c r="G6440" s="4" t="s">
        <v>13</v>
      </c>
      <c r="H6440" s="4" t="s">
        <v>11</v>
      </c>
      <c r="I6440" s="4" t="s">
        <v>7</v>
      </c>
    </row>
    <row r="6441" spans="1:9">
      <c r="A6441" t="n">
        <v>58563</v>
      </c>
      <c r="B6441" s="51" t="n">
        <v>45</v>
      </c>
      <c r="C6441" s="7" t="n">
        <v>4</v>
      </c>
      <c r="D6441" s="7" t="n">
        <v>3</v>
      </c>
      <c r="E6441" s="7" t="n">
        <v>12.2700004577637</v>
      </c>
      <c r="F6441" s="7" t="n">
        <v>75.7099990844727</v>
      </c>
      <c r="G6441" s="7" t="n">
        <v>0</v>
      </c>
      <c r="H6441" s="7" t="n">
        <v>6000</v>
      </c>
      <c r="I6441" s="7" t="n">
        <v>1</v>
      </c>
    </row>
    <row r="6442" spans="1:9">
      <c r="A6442" t="s">
        <v>4</v>
      </c>
      <c r="B6442" s="4" t="s">
        <v>5</v>
      </c>
      <c r="C6442" s="4" t="s">
        <v>7</v>
      </c>
      <c r="D6442" s="4" t="s">
        <v>7</v>
      </c>
      <c r="E6442" s="4" t="s">
        <v>13</v>
      </c>
      <c r="F6442" s="4" t="s">
        <v>11</v>
      </c>
    </row>
    <row r="6443" spans="1:9">
      <c r="A6443" t="n">
        <v>58581</v>
      </c>
      <c r="B6443" s="51" t="n">
        <v>45</v>
      </c>
      <c r="C6443" s="7" t="n">
        <v>5</v>
      </c>
      <c r="D6443" s="7" t="n">
        <v>3</v>
      </c>
      <c r="E6443" s="7" t="n">
        <v>2.70000004768372</v>
      </c>
      <c r="F6443" s="7" t="n">
        <v>6000</v>
      </c>
    </row>
    <row r="6444" spans="1:9">
      <c r="A6444" t="s">
        <v>4</v>
      </c>
      <c r="B6444" s="4" t="s">
        <v>5</v>
      </c>
      <c r="C6444" s="4" t="s">
        <v>7</v>
      </c>
      <c r="D6444" s="4" t="s">
        <v>11</v>
      </c>
      <c r="E6444" s="4" t="s">
        <v>13</v>
      </c>
    </row>
    <row r="6445" spans="1:9">
      <c r="A6445" t="n">
        <v>58590</v>
      </c>
      <c r="B6445" s="23" t="n">
        <v>58</v>
      </c>
      <c r="C6445" s="7" t="n">
        <v>100</v>
      </c>
      <c r="D6445" s="7" t="n">
        <v>1000</v>
      </c>
      <c r="E6445" s="7" t="n">
        <v>1</v>
      </c>
    </row>
    <row r="6446" spans="1:9">
      <c r="A6446" t="s">
        <v>4</v>
      </c>
      <c r="B6446" s="4" t="s">
        <v>5</v>
      </c>
      <c r="C6446" s="4" t="s">
        <v>7</v>
      </c>
      <c r="D6446" s="4" t="s">
        <v>11</v>
      </c>
    </row>
    <row r="6447" spans="1:9">
      <c r="A6447" t="n">
        <v>58598</v>
      </c>
      <c r="B6447" s="23" t="n">
        <v>58</v>
      </c>
      <c r="C6447" s="7" t="n">
        <v>255</v>
      </c>
      <c r="D6447" s="7" t="n">
        <v>0</v>
      </c>
    </row>
    <row r="6448" spans="1:9">
      <c r="A6448" t="s">
        <v>4</v>
      </c>
      <c r="B6448" s="4" t="s">
        <v>5</v>
      </c>
      <c r="C6448" s="4" t="s">
        <v>8</v>
      </c>
      <c r="D6448" s="4" t="s">
        <v>8</v>
      </c>
    </row>
    <row r="6449" spans="1:9">
      <c r="A6449" t="n">
        <v>58602</v>
      </c>
      <c r="B6449" s="52" t="n">
        <v>70</v>
      </c>
      <c r="C6449" s="7" t="s">
        <v>24</v>
      </c>
      <c r="D6449" s="7" t="s">
        <v>109</v>
      </c>
    </row>
    <row r="6450" spans="1:9">
      <c r="A6450" t="s">
        <v>4</v>
      </c>
      <c r="B6450" s="4" t="s">
        <v>5</v>
      </c>
      <c r="C6450" s="4" t="s">
        <v>11</v>
      </c>
    </row>
    <row r="6451" spans="1:9">
      <c r="A6451" t="n">
        <v>58619</v>
      </c>
      <c r="B6451" s="29" t="n">
        <v>16</v>
      </c>
      <c r="C6451" s="7" t="n">
        <v>4000</v>
      </c>
    </row>
    <row r="6452" spans="1:9">
      <c r="A6452" t="s">
        <v>4</v>
      </c>
      <c r="B6452" s="4" t="s">
        <v>5</v>
      </c>
      <c r="C6452" s="4" t="s">
        <v>11</v>
      </c>
      <c r="D6452" s="4" t="s">
        <v>7</v>
      </c>
      <c r="E6452" s="4" t="s">
        <v>13</v>
      </c>
      <c r="F6452" s="4" t="s">
        <v>11</v>
      </c>
    </row>
    <row r="6453" spans="1:9">
      <c r="A6453" t="n">
        <v>58622</v>
      </c>
      <c r="B6453" s="56" t="n">
        <v>59</v>
      </c>
      <c r="C6453" s="7" t="n">
        <v>0</v>
      </c>
      <c r="D6453" s="7" t="n">
        <v>9</v>
      </c>
      <c r="E6453" s="7" t="n">
        <v>0.150000005960464</v>
      </c>
      <c r="F6453" s="7" t="n">
        <v>0</v>
      </c>
    </row>
    <row r="6454" spans="1:9">
      <c r="A6454" t="s">
        <v>4</v>
      </c>
      <c r="B6454" s="4" t="s">
        <v>5</v>
      </c>
      <c r="C6454" s="4" t="s">
        <v>11</v>
      </c>
    </row>
    <row r="6455" spans="1:9">
      <c r="A6455" t="n">
        <v>58632</v>
      </c>
      <c r="B6455" s="29" t="n">
        <v>16</v>
      </c>
      <c r="C6455" s="7" t="n">
        <v>1800</v>
      </c>
    </row>
    <row r="6456" spans="1:9">
      <c r="A6456" t="s">
        <v>4</v>
      </c>
      <c r="B6456" s="4" t="s">
        <v>5</v>
      </c>
      <c r="C6456" s="4" t="s">
        <v>7</v>
      </c>
      <c r="D6456" s="4" t="s">
        <v>11</v>
      </c>
    </row>
    <row r="6457" spans="1:9">
      <c r="A6457" t="n">
        <v>58635</v>
      </c>
      <c r="B6457" s="51" t="n">
        <v>45</v>
      </c>
      <c r="C6457" s="7" t="n">
        <v>7</v>
      </c>
      <c r="D6457" s="7" t="n">
        <v>255</v>
      </c>
    </row>
    <row r="6458" spans="1:9">
      <c r="A6458" t="s">
        <v>4</v>
      </c>
      <c r="B6458" s="4" t="s">
        <v>5</v>
      </c>
      <c r="C6458" s="4" t="s">
        <v>7</v>
      </c>
      <c r="D6458" s="4" t="s">
        <v>11</v>
      </c>
      <c r="E6458" s="4" t="s">
        <v>13</v>
      </c>
    </row>
    <row r="6459" spans="1:9">
      <c r="A6459" t="n">
        <v>58639</v>
      </c>
      <c r="B6459" s="23" t="n">
        <v>58</v>
      </c>
      <c r="C6459" s="7" t="n">
        <v>0</v>
      </c>
      <c r="D6459" s="7" t="n">
        <v>1000</v>
      </c>
      <c r="E6459" s="7" t="n">
        <v>1</v>
      </c>
    </row>
    <row r="6460" spans="1:9">
      <c r="A6460" t="s">
        <v>4</v>
      </c>
      <c r="B6460" s="4" t="s">
        <v>5</v>
      </c>
      <c r="C6460" s="4" t="s">
        <v>7</v>
      </c>
      <c r="D6460" s="4" t="s">
        <v>11</v>
      </c>
    </row>
    <row r="6461" spans="1:9">
      <c r="A6461" t="n">
        <v>58647</v>
      </c>
      <c r="B6461" s="23" t="n">
        <v>58</v>
      </c>
      <c r="C6461" s="7" t="n">
        <v>255</v>
      </c>
      <c r="D6461" s="7" t="n">
        <v>0</v>
      </c>
    </row>
    <row r="6462" spans="1:9">
      <c r="A6462" t="s">
        <v>4</v>
      </c>
      <c r="B6462" s="4" t="s">
        <v>5</v>
      </c>
      <c r="C6462" s="4" t="s">
        <v>8</v>
      </c>
      <c r="D6462" s="4" t="s">
        <v>8</v>
      </c>
    </row>
    <row r="6463" spans="1:9">
      <c r="A6463" t="n">
        <v>58651</v>
      </c>
      <c r="B6463" s="52" t="n">
        <v>70</v>
      </c>
      <c r="C6463" s="7" t="s">
        <v>24</v>
      </c>
      <c r="D6463" s="7" t="s">
        <v>118</v>
      </c>
    </row>
    <row r="6464" spans="1:9">
      <c r="A6464" t="s">
        <v>4</v>
      </c>
      <c r="B6464" s="4" t="s">
        <v>5</v>
      </c>
      <c r="C6464" s="4" t="s">
        <v>11</v>
      </c>
      <c r="D6464" s="4" t="s">
        <v>13</v>
      </c>
      <c r="E6464" s="4" t="s">
        <v>13</v>
      </c>
      <c r="F6464" s="4" t="s">
        <v>13</v>
      </c>
      <c r="G6464" s="4" t="s">
        <v>13</v>
      </c>
    </row>
    <row r="6465" spans="1:7">
      <c r="A6465" t="n">
        <v>58667</v>
      </c>
      <c r="B6465" s="36" t="n">
        <v>46</v>
      </c>
      <c r="C6465" s="7" t="n">
        <v>0</v>
      </c>
      <c r="D6465" s="7" t="n">
        <v>-10.9899997711182</v>
      </c>
      <c r="E6465" s="7" t="n">
        <v>5.01000022888184</v>
      </c>
      <c r="F6465" s="7" t="n">
        <v>32.4300003051758</v>
      </c>
      <c r="G6465" s="7" t="n">
        <v>270</v>
      </c>
    </row>
    <row r="6466" spans="1:7">
      <c r="A6466" t="s">
        <v>4</v>
      </c>
      <c r="B6466" s="4" t="s">
        <v>5</v>
      </c>
      <c r="C6466" s="4" t="s">
        <v>11</v>
      </c>
      <c r="D6466" s="4" t="s">
        <v>13</v>
      </c>
      <c r="E6466" s="4" t="s">
        <v>13</v>
      </c>
      <c r="F6466" s="4" t="s">
        <v>13</v>
      </c>
      <c r="G6466" s="4" t="s">
        <v>13</v>
      </c>
    </row>
    <row r="6467" spans="1:7">
      <c r="A6467" t="n">
        <v>58686</v>
      </c>
      <c r="B6467" s="36" t="n">
        <v>46</v>
      </c>
      <c r="C6467" s="7" t="n">
        <v>7</v>
      </c>
      <c r="D6467" s="7" t="n">
        <v>-10.5500001907349</v>
      </c>
      <c r="E6467" s="7" t="n">
        <v>5.01000022888184</v>
      </c>
      <c r="F6467" s="7" t="n">
        <v>31.5499992370605</v>
      </c>
      <c r="G6467" s="7" t="n">
        <v>270</v>
      </c>
    </row>
    <row r="6468" spans="1:7">
      <c r="A6468" t="s">
        <v>4</v>
      </c>
      <c r="B6468" s="4" t="s">
        <v>5</v>
      </c>
      <c r="C6468" s="4" t="s">
        <v>7</v>
      </c>
      <c r="D6468" s="4" t="s">
        <v>7</v>
      </c>
      <c r="E6468" s="4" t="s">
        <v>13</v>
      </c>
      <c r="F6468" s="4" t="s">
        <v>13</v>
      </c>
      <c r="G6468" s="4" t="s">
        <v>13</v>
      </c>
      <c r="H6468" s="4" t="s">
        <v>11</v>
      </c>
    </row>
    <row r="6469" spans="1:7">
      <c r="A6469" t="n">
        <v>58705</v>
      </c>
      <c r="B6469" s="51" t="n">
        <v>45</v>
      </c>
      <c r="C6469" s="7" t="n">
        <v>2</v>
      </c>
      <c r="D6469" s="7" t="n">
        <v>3</v>
      </c>
      <c r="E6469" s="7" t="n">
        <v>-14.1199998855591</v>
      </c>
      <c r="F6469" s="7" t="n">
        <v>6.75</v>
      </c>
      <c r="G6469" s="7" t="n">
        <v>31.9300003051758</v>
      </c>
      <c r="H6469" s="7" t="n">
        <v>0</v>
      </c>
    </row>
    <row r="6470" spans="1:7">
      <c r="A6470" t="s">
        <v>4</v>
      </c>
      <c r="B6470" s="4" t="s">
        <v>5</v>
      </c>
      <c r="C6470" s="4" t="s">
        <v>7</v>
      </c>
      <c r="D6470" s="4" t="s">
        <v>7</v>
      </c>
      <c r="E6470" s="4" t="s">
        <v>13</v>
      </c>
      <c r="F6470" s="4" t="s">
        <v>13</v>
      </c>
      <c r="G6470" s="4" t="s">
        <v>13</v>
      </c>
      <c r="H6470" s="4" t="s">
        <v>11</v>
      </c>
      <c r="I6470" s="4" t="s">
        <v>7</v>
      </c>
    </row>
    <row r="6471" spans="1:7">
      <c r="A6471" t="n">
        <v>58722</v>
      </c>
      <c r="B6471" s="51" t="n">
        <v>45</v>
      </c>
      <c r="C6471" s="7" t="n">
        <v>4</v>
      </c>
      <c r="D6471" s="7" t="n">
        <v>3</v>
      </c>
      <c r="E6471" s="7" t="n">
        <v>7.63000011444092</v>
      </c>
      <c r="F6471" s="7" t="n">
        <v>90</v>
      </c>
      <c r="G6471" s="7" t="n">
        <v>0</v>
      </c>
      <c r="H6471" s="7" t="n">
        <v>0</v>
      </c>
      <c r="I6471" s="7" t="n">
        <v>0</v>
      </c>
    </row>
    <row r="6472" spans="1:7">
      <c r="A6472" t="s">
        <v>4</v>
      </c>
      <c r="B6472" s="4" t="s">
        <v>5</v>
      </c>
      <c r="C6472" s="4" t="s">
        <v>7</v>
      </c>
      <c r="D6472" s="4" t="s">
        <v>7</v>
      </c>
      <c r="E6472" s="4" t="s">
        <v>13</v>
      </c>
      <c r="F6472" s="4" t="s">
        <v>11</v>
      </c>
    </row>
    <row r="6473" spans="1:7">
      <c r="A6473" t="n">
        <v>58740</v>
      </c>
      <c r="B6473" s="51" t="n">
        <v>45</v>
      </c>
      <c r="C6473" s="7" t="n">
        <v>5</v>
      </c>
      <c r="D6473" s="7" t="n">
        <v>3</v>
      </c>
      <c r="E6473" s="7" t="n">
        <v>2.09999990463257</v>
      </c>
      <c r="F6473" s="7" t="n">
        <v>0</v>
      </c>
    </row>
    <row r="6474" spans="1:7">
      <c r="A6474" t="s">
        <v>4</v>
      </c>
      <c r="B6474" s="4" t="s">
        <v>5</v>
      </c>
      <c r="C6474" s="4" t="s">
        <v>7</v>
      </c>
      <c r="D6474" s="4" t="s">
        <v>7</v>
      </c>
      <c r="E6474" s="4" t="s">
        <v>13</v>
      </c>
      <c r="F6474" s="4" t="s">
        <v>11</v>
      </c>
    </row>
    <row r="6475" spans="1:7">
      <c r="A6475" t="n">
        <v>58749</v>
      </c>
      <c r="B6475" s="51" t="n">
        <v>45</v>
      </c>
      <c r="C6475" s="7" t="n">
        <v>11</v>
      </c>
      <c r="D6475" s="7" t="n">
        <v>3</v>
      </c>
      <c r="E6475" s="7" t="n">
        <v>40.2999992370605</v>
      </c>
      <c r="F6475" s="7" t="n">
        <v>0</v>
      </c>
    </row>
    <row r="6476" spans="1:7">
      <c r="A6476" t="s">
        <v>4</v>
      </c>
      <c r="B6476" s="4" t="s">
        <v>5</v>
      </c>
      <c r="C6476" s="4" t="s">
        <v>7</v>
      </c>
      <c r="D6476" s="4" t="s">
        <v>7</v>
      </c>
      <c r="E6476" s="4" t="s">
        <v>13</v>
      </c>
      <c r="F6476" s="4" t="s">
        <v>13</v>
      </c>
      <c r="G6476" s="4" t="s">
        <v>13</v>
      </c>
      <c r="H6476" s="4" t="s">
        <v>11</v>
      </c>
    </row>
    <row r="6477" spans="1:7">
      <c r="A6477" t="n">
        <v>58758</v>
      </c>
      <c r="B6477" s="51" t="n">
        <v>45</v>
      </c>
      <c r="C6477" s="7" t="n">
        <v>2</v>
      </c>
      <c r="D6477" s="7" t="n">
        <v>3</v>
      </c>
      <c r="E6477" s="7" t="n">
        <v>-9.10000038146973</v>
      </c>
      <c r="F6477" s="7" t="n">
        <v>6.75</v>
      </c>
      <c r="G6477" s="7" t="n">
        <v>31.9699993133545</v>
      </c>
      <c r="H6477" s="7" t="n">
        <v>6000</v>
      </c>
    </row>
    <row r="6478" spans="1:7">
      <c r="A6478" t="s">
        <v>4</v>
      </c>
      <c r="B6478" s="4" t="s">
        <v>5</v>
      </c>
      <c r="C6478" s="4" t="s">
        <v>7</v>
      </c>
      <c r="D6478" s="4" t="s">
        <v>7</v>
      </c>
      <c r="E6478" s="4" t="s">
        <v>13</v>
      </c>
      <c r="F6478" s="4" t="s">
        <v>13</v>
      </c>
      <c r="G6478" s="4" t="s">
        <v>13</v>
      </c>
      <c r="H6478" s="4" t="s">
        <v>11</v>
      </c>
      <c r="I6478" s="4" t="s">
        <v>7</v>
      </c>
    </row>
    <row r="6479" spans="1:7">
      <c r="A6479" t="n">
        <v>58775</v>
      </c>
      <c r="B6479" s="51" t="n">
        <v>45</v>
      </c>
      <c r="C6479" s="7" t="n">
        <v>4</v>
      </c>
      <c r="D6479" s="7" t="n">
        <v>3</v>
      </c>
      <c r="E6479" s="7" t="n">
        <v>0.0299999993294477</v>
      </c>
      <c r="F6479" s="7" t="n">
        <v>90</v>
      </c>
      <c r="G6479" s="7" t="n">
        <v>0</v>
      </c>
      <c r="H6479" s="7" t="n">
        <v>6000</v>
      </c>
      <c r="I6479" s="7" t="n">
        <v>0</v>
      </c>
    </row>
    <row r="6480" spans="1:7">
      <c r="A6480" t="s">
        <v>4</v>
      </c>
      <c r="B6480" s="4" t="s">
        <v>5</v>
      </c>
      <c r="C6480" s="4" t="s">
        <v>7</v>
      </c>
      <c r="D6480" s="4" t="s">
        <v>7</v>
      </c>
      <c r="E6480" s="4" t="s">
        <v>13</v>
      </c>
      <c r="F6480" s="4" t="s">
        <v>11</v>
      </c>
    </row>
    <row r="6481" spans="1:9">
      <c r="A6481" t="n">
        <v>58793</v>
      </c>
      <c r="B6481" s="51" t="n">
        <v>45</v>
      </c>
      <c r="C6481" s="7" t="n">
        <v>5</v>
      </c>
      <c r="D6481" s="7" t="n">
        <v>3</v>
      </c>
      <c r="E6481" s="7" t="n">
        <v>1.79999995231628</v>
      </c>
      <c r="F6481" s="7" t="n">
        <v>6000</v>
      </c>
    </row>
    <row r="6482" spans="1:9">
      <c r="A6482" t="s">
        <v>4</v>
      </c>
      <c r="B6482" s="4" t="s">
        <v>5</v>
      </c>
      <c r="C6482" s="4" t="s">
        <v>8</v>
      </c>
      <c r="D6482" s="4" t="s">
        <v>8</v>
      </c>
    </row>
    <row r="6483" spans="1:9">
      <c r="A6483" t="n">
        <v>58802</v>
      </c>
      <c r="B6483" s="52" t="n">
        <v>70</v>
      </c>
      <c r="C6483" s="7" t="s">
        <v>25</v>
      </c>
      <c r="D6483" s="7" t="s">
        <v>109</v>
      </c>
    </row>
    <row r="6484" spans="1:9">
      <c r="A6484" t="s">
        <v>4</v>
      </c>
      <c r="B6484" s="4" t="s">
        <v>5</v>
      </c>
      <c r="C6484" s="4" t="s">
        <v>7</v>
      </c>
      <c r="D6484" s="4" t="s">
        <v>11</v>
      </c>
      <c r="E6484" s="4" t="s">
        <v>13</v>
      </c>
    </row>
    <row r="6485" spans="1:9">
      <c r="A6485" t="n">
        <v>58819</v>
      </c>
      <c r="B6485" s="23" t="n">
        <v>58</v>
      </c>
      <c r="C6485" s="7" t="n">
        <v>100</v>
      </c>
      <c r="D6485" s="7" t="n">
        <v>1000</v>
      </c>
      <c r="E6485" s="7" t="n">
        <v>1</v>
      </c>
    </row>
    <row r="6486" spans="1:9">
      <c r="A6486" t="s">
        <v>4</v>
      </c>
      <c r="B6486" s="4" t="s">
        <v>5</v>
      </c>
      <c r="C6486" s="4" t="s">
        <v>7</v>
      </c>
      <c r="D6486" s="4" t="s">
        <v>11</v>
      </c>
    </row>
    <row r="6487" spans="1:9">
      <c r="A6487" t="n">
        <v>58827</v>
      </c>
      <c r="B6487" s="23" t="n">
        <v>58</v>
      </c>
      <c r="C6487" s="7" t="n">
        <v>255</v>
      </c>
      <c r="D6487" s="7" t="n">
        <v>0</v>
      </c>
    </row>
    <row r="6488" spans="1:9">
      <c r="A6488" t="s">
        <v>4</v>
      </c>
      <c r="B6488" s="4" t="s">
        <v>5</v>
      </c>
      <c r="C6488" s="4" t="s">
        <v>7</v>
      </c>
      <c r="D6488" s="4" t="s">
        <v>8</v>
      </c>
      <c r="E6488" s="4" t="s">
        <v>11</v>
      </c>
    </row>
    <row r="6489" spans="1:9">
      <c r="A6489" t="n">
        <v>58831</v>
      </c>
      <c r="B6489" s="15" t="n">
        <v>94</v>
      </c>
      <c r="C6489" s="7" t="n">
        <v>1</v>
      </c>
      <c r="D6489" s="7" t="s">
        <v>25</v>
      </c>
      <c r="E6489" s="7" t="n">
        <v>512</v>
      </c>
    </row>
    <row r="6490" spans="1:9">
      <c r="A6490" t="s">
        <v>4</v>
      </c>
      <c r="B6490" s="4" t="s">
        <v>5</v>
      </c>
      <c r="C6490" s="4" t="s">
        <v>11</v>
      </c>
    </row>
    <row r="6491" spans="1:9">
      <c r="A6491" t="n">
        <v>58845</v>
      </c>
      <c r="B6491" s="29" t="n">
        <v>16</v>
      </c>
      <c r="C6491" s="7" t="n">
        <v>4000</v>
      </c>
    </row>
    <row r="6492" spans="1:9">
      <c r="A6492" t="s">
        <v>4</v>
      </c>
      <c r="B6492" s="4" t="s">
        <v>5</v>
      </c>
      <c r="C6492" s="4" t="s">
        <v>11</v>
      </c>
      <c r="D6492" s="4" t="s">
        <v>7</v>
      </c>
      <c r="E6492" s="4" t="s">
        <v>13</v>
      </c>
      <c r="F6492" s="4" t="s">
        <v>11</v>
      </c>
    </row>
    <row r="6493" spans="1:9">
      <c r="A6493" t="n">
        <v>58848</v>
      </c>
      <c r="B6493" s="56" t="n">
        <v>59</v>
      </c>
      <c r="C6493" s="7" t="n">
        <v>0</v>
      </c>
      <c r="D6493" s="7" t="n">
        <v>9</v>
      </c>
      <c r="E6493" s="7" t="n">
        <v>0.150000005960464</v>
      </c>
      <c r="F6493" s="7" t="n">
        <v>0</v>
      </c>
    </row>
    <row r="6494" spans="1:9">
      <c r="A6494" t="s">
        <v>4</v>
      </c>
      <c r="B6494" s="4" t="s">
        <v>5</v>
      </c>
      <c r="C6494" s="4" t="s">
        <v>11</v>
      </c>
      <c r="D6494" s="4" t="s">
        <v>7</v>
      </c>
      <c r="E6494" s="4" t="s">
        <v>13</v>
      </c>
      <c r="F6494" s="4" t="s">
        <v>11</v>
      </c>
    </row>
    <row r="6495" spans="1:9">
      <c r="A6495" t="n">
        <v>58858</v>
      </c>
      <c r="B6495" s="56" t="n">
        <v>59</v>
      </c>
      <c r="C6495" s="7" t="n">
        <v>7</v>
      </c>
      <c r="D6495" s="7" t="n">
        <v>9</v>
      </c>
      <c r="E6495" s="7" t="n">
        <v>0.150000005960464</v>
      </c>
      <c r="F6495" s="7" t="n">
        <v>0</v>
      </c>
    </row>
    <row r="6496" spans="1:9">
      <c r="A6496" t="s">
        <v>4</v>
      </c>
      <c r="B6496" s="4" t="s">
        <v>5</v>
      </c>
      <c r="C6496" s="4" t="s">
        <v>11</v>
      </c>
    </row>
    <row r="6497" spans="1:6">
      <c r="A6497" t="n">
        <v>58868</v>
      </c>
      <c r="B6497" s="29" t="n">
        <v>16</v>
      </c>
      <c r="C6497" s="7" t="n">
        <v>1500</v>
      </c>
    </row>
    <row r="6498" spans="1:6">
      <c r="A6498" t="s">
        <v>4</v>
      </c>
      <c r="B6498" s="4" t="s">
        <v>5</v>
      </c>
      <c r="C6498" s="4" t="s">
        <v>7</v>
      </c>
      <c r="D6498" s="4" t="s">
        <v>11</v>
      </c>
    </row>
    <row r="6499" spans="1:6">
      <c r="A6499" t="n">
        <v>58871</v>
      </c>
      <c r="B6499" s="51" t="n">
        <v>45</v>
      </c>
      <c r="C6499" s="7" t="n">
        <v>7</v>
      </c>
      <c r="D6499" s="7" t="n">
        <v>255</v>
      </c>
    </row>
    <row r="6500" spans="1:6">
      <c r="A6500" t="s">
        <v>4</v>
      </c>
      <c r="B6500" s="4" t="s">
        <v>5</v>
      </c>
      <c r="C6500" s="4" t="s">
        <v>7</v>
      </c>
      <c r="D6500" s="4" t="s">
        <v>11</v>
      </c>
      <c r="E6500" s="4" t="s">
        <v>13</v>
      </c>
    </row>
    <row r="6501" spans="1:6">
      <c r="A6501" t="n">
        <v>58875</v>
      </c>
      <c r="B6501" s="23" t="n">
        <v>58</v>
      </c>
      <c r="C6501" s="7" t="n">
        <v>0</v>
      </c>
      <c r="D6501" s="7" t="n">
        <v>2000</v>
      </c>
      <c r="E6501" s="7" t="n">
        <v>1</v>
      </c>
    </row>
    <row r="6502" spans="1:6">
      <c r="A6502" t="s">
        <v>4</v>
      </c>
      <c r="B6502" s="4" t="s">
        <v>5</v>
      </c>
      <c r="C6502" s="4" t="s">
        <v>7</v>
      </c>
      <c r="D6502" s="4" t="s">
        <v>11</v>
      </c>
    </row>
    <row r="6503" spans="1:6">
      <c r="A6503" t="n">
        <v>58883</v>
      </c>
      <c r="B6503" s="23" t="n">
        <v>58</v>
      </c>
      <c r="C6503" s="7" t="n">
        <v>255</v>
      </c>
      <c r="D6503" s="7" t="n">
        <v>0</v>
      </c>
    </row>
    <row r="6504" spans="1:6">
      <c r="A6504" t="s">
        <v>4</v>
      </c>
      <c r="B6504" s="4" t="s">
        <v>5</v>
      </c>
      <c r="C6504" s="4" t="s">
        <v>7</v>
      </c>
      <c r="D6504" s="4" t="s">
        <v>7</v>
      </c>
      <c r="E6504" s="4" t="s">
        <v>13</v>
      </c>
      <c r="F6504" s="4" t="s">
        <v>13</v>
      </c>
      <c r="G6504" s="4" t="s">
        <v>13</v>
      </c>
      <c r="H6504" s="4" t="s">
        <v>11</v>
      </c>
    </row>
    <row r="6505" spans="1:6">
      <c r="A6505" t="n">
        <v>58887</v>
      </c>
      <c r="B6505" s="51" t="n">
        <v>45</v>
      </c>
      <c r="C6505" s="7" t="n">
        <v>2</v>
      </c>
      <c r="D6505" s="7" t="n">
        <v>3</v>
      </c>
      <c r="E6505" s="7" t="n">
        <v>-7.84000015258789</v>
      </c>
      <c r="F6505" s="7" t="n">
        <v>7.17000007629395</v>
      </c>
      <c r="G6505" s="7" t="n">
        <v>31.6599998474121</v>
      </c>
      <c r="H6505" s="7" t="n">
        <v>0</v>
      </c>
    </row>
    <row r="6506" spans="1:6">
      <c r="A6506" t="s">
        <v>4</v>
      </c>
      <c r="B6506" s="4" t="s">
        <v>5</v>
      </c>
      <c r="C6506" s="4" t="s">
        <v>7</v>
      </c>
      <c r="D6506" s="4" t="s">
        <v>7</v>
      </c>
      <c r="E6506" s="4" t="s">
        <v>13</v>
      </c>
      <c r="F6506" s="4" t="s">
        <v>13</v>
      </c>
      <c r="G6506" s="4" t="s">
        <v>13</v>
      </c>
      <c r="H6506" s="4" t="s">
        <v>11</v>
      </c>
      <c r="I6506" s="4" t="s">
        <v>7</v>
      </c>
    </row>
    <row r="6507" spans="1:6">
      <c r="A6507" t="n">
        <v>58904</v>
      </c>
      <c r="B6507" s="51" t="n">
        <v>45</v>
      </c>
      <c r="C6507" s="7" t="n">
        <v>4</v>
      </c>
      <c r="D6507" s="7" t="n">
        <v>3</v>
      </c>
      <c r="E6507" s="7" t="n">
        <v>9.01000022888184</v>
      </c>
      <c r="F6507" s="7" t="n">
        <v>55.7900009155273</v>
      </c>
      <c r="G6507" s="7" t="n">
        <v>0</v>
      </c>
      <c r="H6507" s="7" t="n">
        <v>0</v>
      </c>
      <c r="I6507" s="7" t="n">
        <v>0</v>
      </c>
    </row>
    <row r="6508" spans="1:6">
      <c r="A6508" t="s">
        <v>4</v>
      </c>
      <c r="B6508" s="4" t="s">
        <v>5</v>
      </c>
      <c r="C6508" s="4" t="s">
        <v>7</v>
      </c>
      <c r="D6508" s="4" t="s">
        <v>7</v>
      </c>
      <c r="E6508" s="4" t="s">
        <v>13</v>
      </c>
      <c r="F6508" s="4" t="s">
        <v>11</v>
      </c>
    </row>
    <row r="6509" spans="1:6">
      <c r="A6509" t="n">
        <v>58922</v>
      </c>
      <c r="B6509" s="51" t="n">
        <v>45</v>
      </c>
      <c r="C6509" s="7" t="n">
        <v>5</v>
      </c>
      <c r="D6509" s="7" t="n">
        <v>3</v>
      </c>
      <c r="E6509" s="7" t="n">
        <v>2.40000009536743</v>
      </c>
      <c r="F6509" s="7" t="n">
        <v>0</v>
      </c>
    </row>
    <row r="6510" spans="1:6">
      <c r="A6510" t="s">
        <v>4</v>
      </c>
      <c r="B6510" s="4" t="s">
        <v>5</v>
      </c>
      <c r="C6510" s="4" t="s">
        <v>7</v>
      </c>
      <c r="D6510" s="4" t="s">
        <v>7</v>
      </c>
      <c r="E6510" s="4" t="s">
        <v>13</v>
      </c>
      <c r="F6510" s="4" t="s">
        <v>11</v>
      </c>
    </row>
    <row r="6511" spans="1:6">
      <c r="A6511" t="n">
        <v>58931</v>
      </c>
      <c r="B6511" s="51" t="n">
        <v>45</v>
      </c>
      <c r="C6511" s="7" t="n">
        <v>11</v>
      </c>
      <c r="D6511" s="7" t="n">
        <v>3</v>
      </c>
      <c r="E6511" s="7" t="n">
        <v>40.2999992370605</v>
      </c>
      <c r="F6511" s="7" t="n">
        <v>0</v>
      </c>
    </row>
    <row r="6512" spans="1:6">
      <c r="A6512" t="s">
        <v>4</v>
      </c>
      <c r="B6512" s="4" t="s">
        <v>5</v>
      </c>
      <c r="C6512" s="4" t="s">
        <v>7</v>
      </c>
      <c r="D6512" s="4" t="s">
        <v>7</v>
      </c>
      <c r="E6512" s="4" t="s">
        <v>13</v>
      </c>
      <c r="F6512" s="4" t="s">
        <v>13</v>
      </c>
      <c r="G6512" s="4" t="s">
        <v>13</v>
      </c>
      <c r="H6512" s="4" t="s">
        <v>11</v>
      </c>
    </row>
    <row r="6513" spans="1:9">
      <c r="A6513" t="n">
        <v>58940</v>
      </c>
      <c r="B6513" s="51" t="n">
        <v>45</v>
      </c>
      <c r="C6513" s="7" t="n">
        <v>2</v>
      </c>
      <c r="D6513" s="7" t="n">
        <v>3</v>
      </c>
      <c r="E6513" s="7" t="n">
        <v>-6.8899998664856</v>
      </c>
      <c r="F6513" s="7" t="n">
        <v>6.26999998092651</v>
      </c>
      <c r="G6513" s="7" t="n">
        <v>30.0599994659424</v>
      </c>
      <c r="H6513" s="7" t="n">
        <v>6000</v>
      </c>
    </row>
    <row r="6514" spans="1:9">
      <c r="A6514" t="s">
        <v>4</v>
      </c>
      <c r="B6514" s="4" t="s">
        <v>5</v>
      </c>
      <c r="C6514" s="4" t="s">
        <v>7</v>
      </c>
      <c r="D6514" s="4" t="s">
        <v>7</v>
      </c>
      <c r="E6514" s="4" t="s">
        <v>13</v>
      </c>
      <c r="F6514" s="4" t="s">
        <v>13</v>
      </c>
      <c r="G6514" s="4" t="s">
        <v>13</v>
      </c>
      <c r="H6514" s="4" t="s">
        <v>11</v>
      </c>
      <c r="I6514" s="4" t="s">
        <v>7</v>
      </c>
    </row>
    <row r="6515" spans="1:9">
      <c r="A6515" t="n">
        <v>58957</v>
      </c>
      <c r="B6515" s="51" t="n">
        <v>45</v>
      </c>
      <c r="C6515" s="7" t="n">
        <v>4</v>
      </c>
      <c r="D6515" s="7" t="n">
        <v>3</v>
      </c>
      <c r="E6515" s="7" t="n">
        <v>6.73999977111816</v>
      </c>
      <c r="F6515" s="7" t="n">
        <v>13.6199998855591</v>
      </c>
      <c r="G6515" s="7" t="n">
        <v>0</v>
      </c>
      <c r="H6515" s="7" t="n">
        <v>6000</v>
      </c>
      <c r="I6515" s="7" t="n">
        <v>1</v>
      </c>
    </row>
    <row r="6516" spans="1:9">
      <c r="A6516" t="s">
        <v>4</v>
      </c>
      <c r="B6516" s="4" t="s">
        <v>5</v>
      </c>
      <c r="C6516" s="4" t="s">
        <v>11</v>
      </c>
      <c r="D6516" s="4" t="s">
        <v>13</v>
      </c>
      <c r="E6516" s="4" t="s">
        <v>13</v>
      </c>
      <c r="F6516" s="4" t="s">
        <v>13</v>
      </c>
      <c r="G6516" s="4" t="s">
        <v>13</v>
      </c>
    </row>
    <row r="6517" spans="1:9">
      <c r="A6517" t="n">
        <v>58975</v>
      </c>
      <c r="B6517" s="36" t="n">
        <v>46</v>
      </c>
      <c r="C6517" s="7" t="n">
        <v>0</v>
      </c>
      <c r="D6517" s="7" t="n">
        <v>-6.51000022888184</v>
      </c>
      <c r="E6517" s="7" t="n">
        <v>5</v>
      </c>
      <c r="F6517" s="7" t="n">
        <v>29.8999996185303</v>
      </c>
      <c r="G6517" s="7" t="n">
        <v>208</v>
      </c>
    </row>
    <row r="6518" spans="1:9">
      <c r="A6518" t="s">
        <v>4</v>
      </c>
      <c r="B6518" s="4" t="s">
        <v>5</v>
      </c>
      <c r="C6518" s="4" t="s">
        <v>11</v>
      </c>
      <c r="D6518" s="4" t="s">
        <v>13</v>
      </c>
      <c r="E6518" s="4" t="s">
        <v>13</v>
      </c>
      <c r="F6518" s="4" t="s">
        <v>13</v>
      </c>
      <c r="G6518" s="4" t="s">
        <v>13</v>
      </c>
    </row>
    <row r="6519" spans="1:9">
      <c r="A6519" t="n">
        <v>58994</v>
      </c>
      <c r="B6519" s="36" t="n">
        <v>46</v>
      </c>
      <c r="C6519" s="7" t="n">
        <v>7</v>
      </c>
      <c r="D6519" s="7" t="n">
        <v>-7.44999980926514</v>
      </c>
      <c r="E6519" s="7" t="n">
        <v>5</v>
      </c>
      <c r="F6519" s="7" t="n">
        <v>29.7999992370605</v>
      </c>
      <c r="G6519" s="7" t="n">
        <v>151.199996948242</v>
      </c>
    </row>
    <row r="6520" spans="1:9">
      <c r="A6520" t="s">
        <v>4</v>
      </c>
      <c r="B6520" s="4" t="s">
        <v>5</v>
      </c>
      <c r="C6520" s="4" t="s">
        <v>8</v>
      </c>
      <c r="D6520" s="4" t="s">
        <v>8</v>
      </c>
    </row>
    <row r="6521" spans="1:9">
      <c r="A6521" t="n">
        <v>59013</v>
      </c>
      <c r="B6521" s="52" t="n">
        <v>70</v>
      </c>
      <c r="C6521" s="7" t="s">
        <v>25</v>
      </c>
      <c r="D6521" s="7" t="s">
        <v>118</v>
      </c>
    </row>
    <row r="6522" spans="1:9">
      <c r="A6522" t="s">
        <v>4</v>
      </c>
      <c r="B6522" s="4" t="s">
        <v>5</v>
      </c>
      <c r="C6522" s="4" t="s">
        <v>11</v>
      </c>
      <c r="D6522" s="4" t="s">
        <v>7</v>
      </c>
      <c r="E6522" s="4" t="s">
        <v>8</v>
      </c>
      <c r="F6522" s="4" t="s">
        <v>13</v>
      </c>
      <c r="G6522" s="4" t="s">
        <v>13</v>
      </c>
      <c r="H6522" s="4" t="s">
        <v>13</v>
      </c>
    </row>
    <row r="6523" spans="1:9">
      <c r="A6523" t="n">
        <v>59029</v>
      </c>
      <c r="B6523" s="42" t="n">
        <v>48</v>
      </c>
      <c r="C6523" s="7" t="n">
        <v>7</v>
      </c>
      <c r="D6523" s="7" t="n">
        <v>0</v>
      </c>
      <c r="E6523" s="7" t="s">
        <v>275</v>
      </c>
      <c r="F6523" s="7" t="n">
        <v>0</v>
      </c>
      <c r="G6523" s="7" t="n">
        <v>1</v>
      </c>
      <c r="H6523" s="7" t="n">
        <v>0</v>
      </c>
    </row>
    <row r="6524" spans="1:9">
      <c r="A6524" t="s">
        <v>4</v>
      </c>
      <c r="B6524" s="4" t="s">
        <v>5</v>
      </c>
      <c r="C6524" s="4" t="s">
        <v>11</v>
      </c>
      <c r="D6524" s="4" t="s">
        <v>11</v>
      </c>
      <c r="E6524" s="4" t="s">
        <v>11</v>
      </c>
    </row>
    <row r="6525" spans="1:9">
      <c r="A6525" t="n">
        <v>59054</v>
      </c>
      <c r="B6525" s="72" t="n">
        <v>61</v>
      </c>
      <c r="C6525" s="7" t="n">
        <v>0</v>
      </c>
      <c r="D6525" s="7" t="n">
        <v>7</v>
      </c>
      <c r="E6525" s="7" t="n">
        <v>0</v>
      </c>
    </row>
    <row r="6526" spans="1:9">
      <c r="A6526" t="s">
        <v>4</v>
      </c>
      <c r="B6526" s="4" t="s">
        <v>5</v>
      </c>
      <c r="C6526" s="4" t="s">
        <v>11</v>
      </c>
      <c r="D6526" s="4" t="s">
        <v>11</v>
      </c>
      <c r="E6526" s="4" t="s">
        <v>11</v>
      </c>
    </row>
    <row r="6527" spans="1:9">
      <c r="A6527" t="n">
        <v>59061</v>
      </c>
      <c r="B6527" s="72" t="n">
        <v>61</v>
      </c>
      <c r="C6527" s="7" t="n">
        <v>7</v>
      </c>
      <c r="D6527" s="7" t="n">
        <v>0</v>
      </c>
      <c r="E6527" s="7" t="n">
        <v>0</v>
      </c>
    </row>
    <row r="6528" spans="1:9">
      <c r="A6528" t="s">
        <v>4</v>
      </c>
      <c r="B6528" s="4" t="s">
        <v>5</v>
      </c>
      <c r="C6528" s="4" t="s">
        <v>7</v>
      </c>
      <c r="D6528" s="4" t="s">
        <v>11</v>
      </c>
      <c r="E6528" s="4" t="s">
        <v>13</v>
      </c>
    </row>
    <row r="6529" spans="1:9">
      <c r="A6529" t="n">
        <v>59068</v>
      </c>
      <c r="B6529" s="23" t="n">
        <v>58</v>
      </c>
      <c r="C6529" s="7" t="n">
        <v>100</v>
      </c>
      <c r="D6529" s="7" t="n">
        <v>1000</v>
      </c>
      <c r="E6529" s="7" t="n">
        <v>1</v>
      </c>
    </row>
    <row r="6530" spans="1:9">
      <c r="A6530" t="s">
        <v>4</v>
      </c>
      <c r="B6530" s="4" t="s">
        <v>5</v>
      </c>
      <c r="C6530" s="4" t="s">
        <v>7</v>
      </c>
      <c r="D6530" s="4" t="s">
        <v>11</v>
      </c>
    </row>
    <row r="6531" spans="1:9">
      <c r="A6531" t="n">
        <v>59076</v>
      </c>
      <c r="B6531" s="23" t="n">
        <v>58</v>
      </c>
      <c r="C6531" s="7" t="n">
        <v>255</v>
      </c>
      <c r="D6531" s="7" t="n">
        <v>0</v>
      </c>
    </row>
    <row r="6532" spans="1:9">
      <c r="A6532" t="s">
        <v>4</v>
      </c>
      <c r="B6532" s="4" t="s">
        <v>5</v>
      </c>
      <c r="C6532" s="4" t="s">
        <v>11</v>
      </c>
    </row>
    <row r="6533" spans="1:9">
      <c r="A6533" t="n">
        <v>59080</v>
      </c>
      <c r="B6533" s="29" t="n">
        <v>16</v>
      </c>
      <c r="C6533" s="7" t="n">
        <v>1000</v>
      </c>
    </row>
    <row r="6534" spans="1:9">
      <c r="A6534" t="s">
        <v>4</v>
      </c>
      <c r="B6534" s="4" t="s">
        <v>5</v>
      </c>
      <c r="C6534" s="4" t="s">
        <v>7</v>
      </c>
      <c r="D6534" s="4" t="s">
        <v>11</v>
      </c>
    </row>
    <row r="6535" spans="1:9">
      <c r="A6535" t="n">
        <v>59083</v>
      </c>
      <c r="B6535" s="51" t="n">
        <v>45</v>
      </c>
      <c r="C6535" s="7" t="n">
        <v>7</v>
      </c>
      <c r="D6535" s="7" t="n">
        <v>255</v>
      </c>
    </row>
    <row r="6536" spans="1:9">
      <c r="A6536" t="s">
        <v>4</v>
      </c>
      <c r="B6536" s="4" t="s">
        <v>5</v>
      </c>
      <c r="C6536" s="4" t="s">
        <v>7</v>
      </c>
      <c r="D6536" s="4" t="s">
        <v>11</v>
      </c>
      <c r="E6536" s="4" t="s">
        <v>13</v>
      </c>
    </row>
    <row r="6537" spans="1:9">
      <c r="A6537" t="n">
        <v>59087</v>
      </c>
      <c r="B6537" s="23" t="n">
        <v>58</v>
      </c>
      <c r="C6537" s="7" t="n">
        <v>101</v>
      </c>
      <c r="D6537" s="7" t="n">
        <v>500</v>
      </c>
      <c r="E6537" s="7" t="n">
        <v>1</v>
      </c>
    </row>
    <row r="6538" spans="1:9">
      <c r="A6538" t="s">
        <v>4</v>
      </c>
      <c r="B6538" s="4" t="s">
        <v>5</v>
      </c>
      <c r="C6538" s="4" t="s">
        <v>7</v>
      </c>
      <c r="D6538" s="4" t="s">
        <v>11</v>
      </c>
    </row>
    <row r="6539" spans="1:9">
      <c r="A6539" t="n">
        <v>59095</v>
      </c>
      <c r="B6539" s="23" t="n">
        <v>58</v>
      </c>
      <c r="C6539" s="7" t="n">
        <v>254</v>
      </c>
      <c r="D6539" s="7" t="n">
        <v>0</v>
      </c>
    </row>
    <row r="6540" spans="1:9">
      <c r="A6540" t="s">
        <v>4</v>
      </c>
      <c r="B6540" s="4" t="s">
        <v>5</v>
      </c>
      <c r="C6540" s="4" t="s">
        <v>7</v>
      </c>
      <c r="D6540" s="4" t="s">
        <v>11</v>
      </c>
      <c r="E6540" s="4" t="s">
        <v>8</v>
      </c>
      <c r="F6540" s="4" t="s">
        <v>8</v>
      </c>
      <c r="G6540" s="4" t="s">
        <v>8</v>
      </c>
      <c r="H6540" s="4" t="s">
        <v>8</v>
      </c>
    </row>
    <row r="6541" spans="1:9">
      <c r="A6541" t="n">
        <v>59099</v>
      </c>
      <c r="B6541" s="38" t="n">
        <v>51</v>
      </c>
      <c r="C6541" s="7" t="n">
        <v>3</v>
      </c>
      <c r="D6541" s="7" t="n">
        <v>7</v>
      </c>
      <c r="E6541" s="7" t="s">
        <v>568</v>
      </c>
      <c r="F6541" s="7" t="s">
        <v>218</v>
      </c>
      <c r="G6541" s="7" t="s">
        <v>78</v>
      </c>
      <c r="H6541" s="7" t="s">
        <v>79</v>
      </c>
    </row>
    <row r="6542" spans="1:9">
      <c r="A6542" t="s">
        <v>4</v>
      </c>
      <c r="B6542" s="4" t="s">
        <v>5</v>
      </c>
      <c r="C6542" s="4" t="s">
        <v>7</v>
      </c>
      <c r="D6542" s="4" t="s">
        <v>11</v>
      </c>
      <c r="E6542" s="4" t="s">
        <v>11</v>
      </c>
      <c r="F6542" s="4" t="s">
        <v>15</v>
      </c>
      <c r="G6542" s="4" t="s">
        <v>15</v>
      </c>
      <c r="H6542" s="4" t="s">
        <v>15</v>
      </c>
    </row>
    <row r="6543" spans="1:9">
      <c r="A6543" t="n">
        <v>59112</v>
      </c>
      <c r="B6543" s="77" t="n">
        <v>97</v>
      </c>
      <c r="C6543" s="7" t="n">
        <v>6</v>
      </c>
      <c r="D6543" s="7" t="n">
        <v>0</v>
      </c>
      <c r="E6543" s="7" t="n">
        <v>0</v>
      </c>
      <c r="F6543" s="7" t="n">
        <v>-1065143501</v>
      </c>
      <c r="G6543" s="7" t="n">
        <v>1101004800</v>
      </c>
      <c r="H6543" s="7" t="n">
        <v>1101004800</v>
      </c>
    </row>
    <row r="6544" spans="1:9">
      <c r="A6544" t="s">
        <v>4</v>
      </c>
      <c r="B6544" s="4" t="s">
        <v>5</v>
      </c>
      <c r="C6544" s="4" t="s">
        <v>7</v>
      </c>
      <c r="D6544" s="4" t="s">
        <v>7</v>
      </c>
      <c r="E6544" s="4" t="s">
        <v>13</v>
      </c>
      <c r="F6544" s="4" t="s">
        <v>13</v>
      </c>
      <c r="G6544" s="4" t="s">
        <v>13</v>
      </c>
      <c r="H6544" s="4" t="s">
        <v>11</v>
      </c>
    </row>
    <row r="6545" spans="1:8">
      <c r="A6545" t="n">
        <v>59130</v>
      </c>
      <c r="B6545" s="51" t="n">
        <v>45</v>
      </c>
      <c r="C6545" s="7" t="n">
        <v>2</v>
      </c>
      <c r="D6545" s="7" t="n">
        <v>3</v>
      </c>
      <c r="E6545" s="7" t="n">
        <v>-6.86999988555908</v>
      </c>
      <c r="F6545" s="7" t="n">
        <v>6.38000011444092</v>
      </c>
      <c r="G6545" s="7" t="n">
        <v>29.8400001525879</v>
      </c>
      <c r="H6545" s="7" t="n">
        <v>0</v>
      </c>
    </row>
    <row r="6546" spans="1:8">
      <c r="A6546" t="s">
        <v>4</v>
      </c>
      <c r="B6546" s="4" t="s">
        <v>5</v>
      </c>
      <c r="C6546" s="4" t="s">
        <v>7</v>
      </c>
      <c r="D6546" s="4" t="s">
        <v>7</v>
      </c>
      <c r="E6546" s="4" t="s">
        <v>13</v>
      </c>
      <c r="F6546" s="4" t="s">
        <v>13</v>
      </c>
      <c r="G6546" s="4" t="s">
        <v>13</v>
      </c>
      <c r="H6546" s="4" t="s">
        <v>11</v>
      </c>
      <c r="I6546" s="4" t="s">
        <v>7</v>
      </c>
    </row>
    <row r="6547" spans="1:8">
      <c r="A6547" t="n">
        <v>59147</v>
      </c>
      <c r="B6547" s="51" t="n">
        <v>45</v>
      </c>
      <c r="C6547" s="7" t="n">
        <v>4</v>
      </c>
      <c r="D6547" s="7" t="n">
        <v>3</v>
      </c>
      <c r="E6547" s="7" t="n">
        <v>18.2999992370605</v>
      </c>
      <c r="F6547" s="7" t="n">
        <v>135.5</v>
      </c>
      <c r="G6547" s="7" t="n">
        <v>0</v>
      </c>
      <c r="H6547" s="7" t="n">
        <v>0</v>
      </c>
      <c r="I6547" s="7" t="n">
        <v>0</v>
      </c>
    </row>
    <row r="6548" spans="1:8">
      <c r="A6548" t="s">
        <v>4</v>
      </c>
      <c r="B6548" s="4" t="s">
        <v>5</v>
      </c>
      <c r="C6548" s="4" t="s">
        <v>7</v>
      </c>
      <c r="D6548" s="4" t="s">
        <v>7</v>
      </c>
      <c r="E6548" s="4" t="s">
        <v>13</v>
      </c>
      <c r="F6548" s="4" t="s">
        <v>11</v>
      </c>
    </row>
    <row r="6549" spans="1:8">
      <c r="A6549" t="n">
        <v>59165</v>
      </c>
      <c r="B6549" s="51" t="n">
        <v>45</v>
      </c>
      <c r="C6549" s="7" t="n">
        <v>5</v>
      </c>
      <c r="D6549" s="7" t="n">
        <v>3</v>
      </c>
      <c r="E6549" s="7" t="n">
        <v>1.29999995231628</v>
      </c>
      <c r="F6549" s="7" t="n">
        <v>0</v>
      </c>
    </row>
    <row r="6550" spans="1:8">
      <c r="A6550" t="s">
        <v>4</v>
      </c>
      <c r="B6550" s="4" t="s">
        <v>5</v>
      </c>
      <c r="C6550" s="4" t="s">
        <v>7</v>
      </c>
      <c r="D6550" s="4" t="s">
        <v>7</v>
      </c>
      <c r="E6550" s="4" t="s">
        <v>13</v>
      </c>
      <c r="F6550" s="4" t="s">
        <v>11</v>
      </c>
    </row>
    <row r="6551" spans="1:8">
      <c r="A6551" t="n">
        <v>59174</v>
      </c>
      <c r="B6551" s="51" t="n">
        <v>45</v>
      </c>
      <c r="C6551" s="7" t="n">
        <v>11</v>
      </c>
      <c r="D6551" s="7" t="n">
        <v>3</v>
      </c>
      <c r="E6551" s="7" t="n">
        <v>40.2999992370605</v>
      </c>
      <c r="F6551" s="7" t="n">
        <v>0</v>
      </c>
    </row>
    <row r="6552" spans="1:8">
      <c r="A6552" t="s">
        <v>4</v>
      </c>
      <c r="B6552" s="4" t="s">
        <v>5</v>
      </c>
      <c r="C6552" s="4" t="s">
        <v>7</v>
      </c>
      <c r="D6552" s="4" t="s">
        <v>11</v>
      </c>
    </row>
    <row r="6553" spans="1:8">
      <c r="A6553" t="n">
        <v>59183</v>
      </c>
      <c r="B6553" s="23" t="n">
        <v>58</v>
      </c>
      <c r="C6553" s="7" t="n">
        <v>255</v>
      </c>
      <c r="D6553" s="7" t="n">
        <v>0</v>
      </c>
    </row>
    <row r="6554" spans="1:8">
      <c r="A6554" t="s">
        <v>4</v>
      </c>
      <c r="B6554" s="4" t="s">
        <v>5</v>
      </c>
      <c r="C6554" s="4" t="s">
        <v>7</v>
      </c>
      <c r="D6554" s="4" t="s">
        <v>11</v>
      </c>
      <c r="E6554" s="4" t="s">
        <v>8</v>
      </c>
    </row>
    <row r="6555" spans="1:8">
      <c r="A6555" t="n">
        <v>59187</v>
      </c>
      <c r="B6555" s="38" t="n">
        <v>51</v>
      </c>
      <c r="C6555" s="7" t="n">
        <v>4</v>
      </c>
      <c r="D6555" s="7" t="n">
        <v>7</v>
      </c>
      <c r="E6555" s="7" t="s">
        <v>569</v>
      </c>
    </row>
    <row r="6556" spans="1:8">
      <c r="A6556" t="s">
        <v>4</v>
      </c>
      <c r="B6556" s="4" t="s">
        <v>5</v>
      </c>
      <c r="C6556" s="4" t="s">
        <v>11</v>
      </c>
    </row>
    <row r="6557" spans="1:8">
      <c r="A6557" t="n">
        <v>59200</v>
      </c>
      <c r="B6557" s="29" t="n">
        <v>16</v>
      </c>
      <c r="C6557" s="7" t="n">
        <v>0</v>
      </c>
    </row>
    <row r="6558" spans="1:8">
      <c r="A6558" t="s">
        <v>4</v>
      </c>
      <c r="B6558" s="4" t="s">
        <v>5</v>
      </c>
      <c r="C6558" s="4" t="s">
        <v>11</v>
      </c>
      <c r="D6558" s="4" t="s">
        <v>7</v>
      </c>
      <c r="E6558" s="4" t="s">
        <v>15</v>
      </c>
      <c r="F6558" s="4" t="s">
        <v>55</v>
      </c>
      <c r="G6558" s="4" t="s">
        <v>7</v>
      </c>
      <c r="H6558" s="4" t="s">
        <v>7</v>
      </c>
    </row>
    <row r="6559" spans="1:8">
      <c r="A6559" t="n">
        <v>59203</v>
      </c>
      <c r="B6559" s="55" t="n">
        <v>26</v>
      </c>
      <c r="C6559" s="7" t="n">
        <v>7</v>
      </c>
      <c r="D6559" s="7" t="n">
        <v>17</v>
      </c>
      <c r="E6559" s="7" t="n">
        <v>63914</v>
      </c>
      <c r="F6559" s="7" t="s">
        <v>570</v>
      </c>
      <c r="G6559" s="7" t="n">
        <v>2</v>
      </c>
      <c r="H6559" s="7" t="n">
        <v>0</v>
      </c>
    </row>
    <row r="6560" spans="1:8">
      <c r="A6560" t="s">
        <v>4</v>
      </c>
      <c r="B6560" s="4" t="s">
        <v>5</v>
      </c>
    </row>
    <row r="6561" spans="1:9">
      <c r="A6561" t="n">
        <v>59263</v>
      </c>
      <c r="B6561" s="27" t="n">
        <v>28</v>
      </c>
    </row>
    <row r="6562" spans="1:9">
      <c r="A6562" t="s">
        <v>4</v>
      </c>
      <c r="B6562" s="4" t="s">
        <v>5</v>
      </c>
      <c r="C6562" s="4" t="s">
        <v>7</v>
      </c>
      <c r="D6562" s="4" t="s">
        <v>11</v>
      </c>
      <c r="E6562" s="4" t="s">
        <v>8</v>
      </c>
    </row>
    <row r="6563" spans="1:9">
      <c r="A6563" t="n">
        <v>59264</v>
      </c>
      <c r="B6563" s="38" t="n">
        <v>51</v>
      </c>
      <c r="C6563" s="7" t="n">
        <v>4</v>
      </c>
      <c r="D6563" s="7" t="n">
        <v>0</v>
      </c>
      <c r="E6563" s="7" t="s">
        <v>242</v>
      </c>
    </row>
    <row r="6564" spans="1:9">
      <c r="A6564" t="s">
        <v>4</v>
      </c>
      <c r="B6564" s="4" t="s">
        <v>5</v>
      </c>
      <c r="C6564" s="4" t="s">
        <v>11</v>
      </c>
    </row>
    <row r="6565" spans="1:9">
      <c r="A6565" t="n">
        <v>59278</v>
      </c>
      <c r="B6565" s="29" t="n">
        <v>16</v>
      </c>
      <c r="C6565" s="7" t="n">
        <v>0</v>
      </c>
    </row>
    <row r="6566" spans="1:9">
      <c r="A6566" t="s">
        <v>4</v>
      </c>
      <c r="B6566" s="4" t="s">
        <v>5</v>
      </c>
      <c r="C6566" s="4" t="s">
        <v>11</v>
      </c>
      <c r="D6566" s="4" t="s">
        <v>7</v>
      </c>
      <c r="E6566" s="4" t="s">
        <v>15</v>
      </c>
      <c r="F6566" s="4" t="s">
        <v>55</v>
      </c>
      <c r="G6566" s="4" t="s">
        <v>7</v>
      </c>
      <c r="H6566" s="4" t="s">
        <v>7</v>
      </c>
      <c r="I6566" s="4" t="s">
        <v>7</v>
      </c>
      <c r="J6566" s="4" t="s">
        <v>15</v>
      </c>
      <c r="K6566" s="4" t="s">
        <v>55</v>
      </c>
      <c r="L6566" s="4" t="s">
        <v>7</v>
      </c>
      <c r="M6566" s="4" t="s">
        <v>7</v>
      </c>
      <c r="N6566" s="4" t="s">
        <v>7</v>
      </c>
      <c r="O6566" s="4" t="s">
        <v>15</v>
      </c>
      <c r="P6566" s="4" t="s">
        <v>55</v>
      </c>
      <c r="Q6566" s="4" t="s">
        <v>7</v>
      </c>
      <c r="R6566" s="4" t="s">
        <v>7</v>
      </c>
    </row>
    <row r="6567" spans="1:9">
      <c r="A6567" t="n">
        <v>59281</v>
      </c>
      <c r="B6567" s="55" t="n">
        <v>26</v>
      </c>
      <c r="C6567" s="7" t="n">
        <v>0</v>
      </c>
      <c r="D6567" s="7" t="n">
        <v>17</v>
      </c>
      <c r="E6567" s="7" t="n">
        <v>63915</v>
      </c>
      <c r="F6567" s="7" t="s">
        <v>571</v>
      </c>
      <c r="G6567" s="7" t="n">
        <v>2</v>
      </c>
      <c r="H6567" s="7" t="n">
        <v>3</v>
      </c>
      <c r="I6567" s="7" t="n">
        <v>17</v>
      </c>
      <c r="J6567" s="7" t="n">
        <v>63916</v>
      </c>
      <c r="K6567" s="7" t="s">
        <v>572</v>
      </c>
      <c r="L6567" s="7" t="n">
        <v>2</v>
      </c>
      <c r="M6567" s="7" t="n">
        <v>3</v>
      </c>
      <c r="N6567" s="7" t="n">
        <v>17</v>
      </c>
      <c r="O6567" s="7" t="n">
        <v>63917</v>
      </c>
      <c r="P6567" s="7" t="s">
        <v>573</v>
      </c>
      <c r="Q6567" s="7" t="n">
        <v>2</v>
      </c>
      <c r="R6567" s="7" t="n">
        <v>0</v>
      </c>
    </row>
    <row r="6568" spans="1:9">
      <c r="A6568" t="s">
        <v>4</v>
      </c>
      <c r="B6568" s="4" t="s">
        <v>5</v>
      </c>
    </row>
    <row r="6569" spans="1:9">
      <c r="A6569" t="n">
        <v>59632</v>
      </c>
      <c r="B6569" s="27" t="n">
        <v>28</v>
      </c>
    </row>
    <row r="6570" spans="1:9">
      <c r="A6570" t="s">
        <v>4</v>
      </c>
      <c r="B6570" s="4" t="s">
        <v>5</v>
      </c>
      <c r="C6570" s="4" t="s">
        <v>7</v>
      </c>
      <c r="D6570" s="4" t="s">
        <v>11</v>
      </c>
      <c r="E6570" s="4" t="s">
        <v>8</v>
      </c>
    </row>
    <row r="6571" spans="1:9">
      <c r="A6571" t="n">
        <v>59633</v>
      </c>
      <c r="B6571" s="38" t="n">
        <v>51</v>
      </c>
      <c r="C6571" s="7" t="n">
        <v>4</v>
      </c>
      <c r="D6571" s="7" t="n">
        <v>7</v>
      </c>
      <c r="E6571" s="7" t="s">
        <v>574</v>
      </c>
    </row>
    <row r="6572" spans="1:9">
      <c r="A6572" t="s">
        <v>4</v>
      </c>
      <c r="B6572" s="4" t="s">
        <v>5</v>
      </c>
      <c r="C6572" s="4" t="s">
        <v>11</v>
      </c>
    </row>
    <row r="6573" spans="1:9">
      <c r="A6573" t="n">
        <v>59646</v>
      </c>
      <c r="B6573" s="29" t="n">
        <v>16</v>
      </c>
      <c r="C6573" s="7" t="n">
        <v>0</v>
      </c>
    </row>
    <row r="6574" spans="1:9">
      <c r="A6574" t="s">
        <v>4</v>
      </c>
      <c r="B6574" s="4" t="s">
        <v>5</v>
      </c>
      <c r="C6574" s="4" t="s">
        <v>11</v>
      </c>
      <c r="D6574" s="4" t="s">
        <v>7</v>
      </c>
      <c r="E6574" s="4" t="s">
        <v>15</v>
      </c>
      <c r="F6574" s="4" t="s">
        <v>55</v>
      </c>
      <c r="G6574" s="4" t="s">
        <v>7</v>
      </c>
      <c r="H6574" s="4" t="s">
        <v>7</v>
      </c>
      <c r="I6574" s="4" t="s">
        <v>7</v>
      </c>
      <c r="J6574" s="4" t="s">
        <v>15</v>
      </c>
      <c r="K6574" s="4" t="s">
        <v>55</v>
      </c>
      <c r="L6574" s="4" t="s">
        <v>7</v>
      </c>
      <c r="M6574" s="4" t="s">
        <v>7</v>
      </c>
    </row>
    <row r="6575" spans="1:9">
      <c r="A6575" t="n">
        <v>59649</v>
      </c>
      <c r="B6575" s="55" t="n">
        <v>26</v>
      </c>
      <c r="C6575" s="7" t="n">
        <v>7</v>
      </c>
      <c r="D6575" s="7" t="n">
        <v>17</v>
      </c>
      <c r="E6575" s="7" t="n">
        <v>63918</v>
      </c>
      <c r="F6575" s="7" t="s">
        <v>575</v>
      </c>
      <c r="G6575" s="7" t="n">
        <v>2</v>
      </c>
      <c r="H6575" s="7" t="n">
        <v>3</v>
      </c>
      <c r="I6575" s="7" t="n">
        <v>17</v>
      </c>
      <c r="J6575" s="7" t="n">
        <v>63919</v>
      </c>
      <c r="K6575" s="7" t="s">
        <v>576</v>
      </c>
      <c r="L6575" s="7" t="n">
        <v>2</v>
      </c>
      <c r="M6575" s="7" t="n">
        <v>0</v>
      </c>
    </row>
    <row r="6576" spans="1:9">
      <c r="A6576" t="s">
        <v>4</v>
      </c>
      <c r="B6576" s="4" t="s">
        <v>5</v>
      </c>
    </row>
    <row r="6577" spans="1:18">
      <c r="A6577" t="n">
        <v>59724</v>
      </c>
      <c r="B6577" s="27" t="n">
        <v>28</v>
      </c>
    </row>
    <row r="6578" spans="1:18">
      <c r="A6578" t="s">
        <v>4</v>
      </c>
      <c r="B6578" s="4" t="s">
        <v>5</v>
      </c>
      <c r="C6578" s="4" t="s">
        <v>7</v>
      </c>
      <c r="D6578" s="4" t="s">
        <v>11</v>
      </c>
      <c r="E6578" s="4" t="s">
        <v>8</v>
      </c>
    </row>
    <row r="6579" spans="1:18">
      <c r="A6579" t="n">
        <v>59725</v>
      </c>
      <c r="B6579" s="38" t="n">
        <v>51</v>
      </c>
      <c r="C6579" s="7" t="n">
        <v>4</v>
      </c>
      <c r="D6579" s="7" t="n">
        <v>0</v>
      </c>
      <c r="E6579" s="7" t="s">
        <v>242</v>
      </c>
    </row>
    <row r="6580" spans="1:18">
      <c r="A6580" t="s">
        <v>4</v>
      </c>
      <c r="B6580" s="4" t="s">
        <v>5</v>
      </c>
      <c r="C6580" s="4" t="s">
        <v>11</v>
      </c>
    </row>
    <row r="6581" spans="1:18">
      <c r="A6581" t="n">
        <v>59739</v>
      </c>
      <c r="B6581" s="29" t="n">
        <v>16</v>
      </c>
      <c r="C6581" s="7" t="n">
        <v>0</v>
      </c>
    </row>
    <row r="6582" spans="1:18">
      <c r="A6582" t="s">
        <v>4</v>
      </c>
      <c r="B6582" s="4" t="s">
        <v>5</v>
      </c>
      <c r="C6582" s="4" t="s">
        <v>11</v>
      </c>
      <c r="D6582" s="4" t="s">
        <v>7</v>
      </c>
      <c r="E6582" s="4" t="s">
        <v>15</v>
      </c>
      <c r="F6582" s="4" t="s">
        <v>55</v>
      </c>
      <c r="G6582" s="4" t="s">
        <v>7</v>
      </c>
      <c r="H6582" s="4" t="s">
        <v>7</v>
      </c>
      <c r="I6582" s="4" t="s">
        <v>7</v>
      </c>
      <c r="J6582" s="4" t="s">
        <v>15</v>
      </c>
      <c r="K6582" s="4" t="s">
        <v>55</v>
      </c>
      <c r="L6582" s="4" t="s">
        <v>7</v>
      </c>
      <c r="M6582" s="4" t="s">
        <v>7</v>
      </c>
    </row>
    <row r="6583" spans="1:18">
      <c r="A6583" t="n">
        <v>59742</v>
      </c>
      <c r="B6583" s="55" t="n">
        <v>26</v>
      </c>
      <c r="C6583" s="7" t="n">
        <v>0</v>
      </c>
      <c r="D6583" s="7" t="n">
        <v>17</v>
      </c>
      <c r="E6583" s="7" t="n">
        <v>63920</v>
      </c>
      <c r="F6583" s="7" t="s">
        <v>577</v>
      </c>
      <c r="G6583" s="7" t="n">
        <v>2</v>
      </c>
      <c r="H6583" s="7" t="n">
        <v>3</v>
      </c>
      <c r="I6583" s="7" t="n">
        <v>17</v>
      </c>
      <c r="J6583" s="7" t="n">
        <v>63921</v>
      </c>
      <c r="K6583" s="7" t="s">
        <v>578</v>
      </c>
      <c r="L6583" s="7" t="n">
        <v>2</v>
      </c>
      <c r="M6583" s="7" t="n">
        <v>0</v>
      </c>
    </row>
    <row r="6584" spans="1:18">
      <c r="A6584" t="s">
        <v>4</v>
      </c>
      <c r="B6584" s="4" t="s">
        <v>5</v>
      </c>
    </row>
    <row r="6585" spans="1:18">
      <c r="A6585" t="n">
        <v>59861</v>
      </c>
      <c r="B6585" s="27" t="n">
        <v>28</v>
      </c>
    </row>
    <row r="6586" spans="1:18">
      <c r="A6586" t="s">
        <v>4</v>
      </c>
      <c r="B6586" s="4" t="s">
        <v>5</v>
      </c>
      <c r="C6586" s="4" t="s">
        <v>7</v>
      </c>
      <c r="D6586" s="4" t="s">
        <v>11</v>
      </c>
      <c r="E6586" s="4" t="s">
        <v>8</v>
      </c>
    </row>
    <row r="6587" spans="1:18">
      <c r="A6587" t="n">
        <v>59862</v>
      </c>
      <c r="B6587" s="38" t="n">
        <v>51</v>
      </c>
      <c r="C6587" s="7" t="n">
        <v>4</v>
      </c>
      <c r="D6587" s="7" t="n">
        <v>7</v>
      </c>
      <c r="E6587" s="7" t="s">
        <v>242</v>
      </c>
    </row>
    <row r="6588" spans="1:18">
      <c r="A6588" t="s">
        <v>4</v>
      </c>
      <c r="B6588" s="4" t="s">
        <v>5</v>
      </c>
      <c r="C6588" s="4" t="s">
        <v>11</v>
      </c>
    </row>
    <row r="6589" spans="1:18">
      <c r="A6589" t="n">
        <v>59876</v>
      </c>
      <c r="B6589" s="29" t="n">
        <v>16</v>
      </c>
      <c r="C6589" s="7" t="n">
        <v>0</v>
      </c>
    </row>
    <row r="6590" spans="1:18">
      <c r="A6590" t="s">
        <v>4</v>
      </c>
      <c r="B6590" s="4" t="s">
        <v>5</v>
      </c>
      <c r="C6590" s="4" t="s">
        <v>11</v>
      </c>
      <c r="D6590" s="4" t="s">
        <v>7</v>
      </c>
      <c r="E6590" s="4" t="s">
        <v>15</v>
      </c>
      <c r="F6590" s="4" t="s">
        <v>55</v>
      </c>
      <c r="G6590" s="4" t="s">
        <v>7</v>
      </c>
      <c r="H6590" s="4" t="s">
        <v>7</v>
      </c>
      <c r="I6590" s="4" t="s">
        <v>7</v>
      </c>
      <c r="J6590" s="4" t="s">
        <v>15</v>
      </c>
      <c r="K6590" s="4" t="s">
        <v>55</v>
      </c>
      <c r="L6590" s="4" t="s">
        <v>7</v>
      </c>
      <c r="M6590" s="4" t="s">
        <v>7</v>
      </c>
      <c r="N6590" s="4" t="s">
        <v>7</v>
      </c>
      <c r="O6590" s="4" t="s">
        <v>15</v>
      </c>
      <c r="P6590" s="4" t="s">
        <v>55</v>
      </c>
      <c r="Q6590" s="4" t="s">
        <v>7</v>
      </c>
      <c r="R6590" s="4" t="s">
        <v>7</v>
      </c>
    </row>
    <row r="6591" spans="1:18">
      <c r="A6591" t="n">
        <v>59879</v>
      </c>
      <c r="B6591" s="55" t="n">
        <v>26</v>
      </c>
      <c r="C6591" s="7" t="n">
        <v>7</v>
      </c>
      <c r="D6591" s="7" t="n">
        <v>17</v>
      </c>
      <c r="E6591" s="7" t="n">
        <v>63922</v>
      </c>
      <c r="F6591" s="7" t="s">
        <v>579</v>
      </c>
      <c r="G6591" s="7" t="n">
        <v>2</v>
      </c>
      <c r="H6591" s="7" t="n">
        <v>3</v>
      </c>
      <c r="I6591" s="7" t="n">
        <v>17</v>
      </c>
      <c r="J6591" s="7" t="n">
        <v>63923</v>
      </c>
      <c r="K6591" s="7" t="s">
        <v>580</v>
      </c>
      <c r="L6591" s="7" t="n">
        <v>2</v>
      </c>
      <c r="M6591" s="7" t="n">
        <v>3</v>
      </c>
      <c r="N6591" s="7" t="n">
        <v>17</v>
      </c>
      <c r="O6591" s="7" t="n">
        <v>63924</v>
      </c>
      <c r="P6591" s="7" t="s">
        <v>581</v>
      </c>
      <c r="Q6591" s="7" t="n">
        <v>2</v>
      </c>
      <c r="R6591" s="7" t="n">
        <v>0</v>
      </c>
    </row>
    <row r="6592" spans="1:18">
      <c r="A6592" t="s">
        <v>4</v>
      </c>
      <c r="B6592" s="4" t="s">
        <v>5</v>
      </c>
    </row>
    <row r="6593" spans="1:18">
      <c r="A6593" t="n">
        <v>60102</v>
      </c>
      <c r="B6593" s="27" t="n">
        <v>28</v>
      </c>
    </row>
    <row r="6594" spans="1:18">
      <c r="A6594" t="s">
        <v>4</v>
      </c>
      <c r="B6594" s="4" t="s">
        <v>5</v>
      </c>
      <c r="C6594" s="4" t="s">
        <v>7</v>
      </c>
      <c r="D6594" s="4" t="s">
        <v>11</v>
      </c>
      <c r="E6594" s="4" t="s">
        <v>8</v>
      </c>
    </row>
    <row r="6595" spans="1:18">
      <c r="A6595" t="n">
        <v>60103</v>
      </c>
      <c r="B6595" s="38" t="n">
        <v>51</v>
      </c>
      <c r="C6595" s="7" t="n">
        <v>4</v>
      </c>
      <c r="D6595" s="7" t="n">
        <v>0</v>
      </c>
      <c r="E6595" s="7" t="s">
        <v>242</v>
      </c>
    </row>
    <row r="6596" spans="1:18">
      <c r="A6596" t="s">
        <v>4</v>
      </c>
      <c r="B6596" s="4" t="s">
        <v>5</v>
      </c>
      <c r="C6596" s="4" t="s">
        <v>11</v>
      </c>
    </row>
    <row r="6597" spans="1:18">
      <c r="A6597" t="n">
        <v>60117</v>
      </c>
      <c r="B6597" s="29" t="n">
        <v>16</v>
      </c>
      <c r="C6597" s="7" t="n">
        <v>0</v>
      </c>
    </row>
    <row r="6598" spans="1:18">
      <c r="A6598" t="s">
        <v>4</v>
      </c>
      <c r="B6598" s="4" t="s">
        <v>5</v>
      </c>
      <c r="C6598" s="4" t="s">
        <v>11</v>
      </c>
      <c r="D6598" s="4" t="s">
        <v>7</v>
      </c>
      <c r="E6598" s="4" t="s">
        <v>15</v>
      </c>
      <c r="F6598" s="4" t="s">
        <v>55</v>
      </c>
      <c r="G6598" s="4" t="s">
        <v>7</v>
      </c>
      <c r="H6598" s="4" t="s">
        <v>7</v>
      </c>
    </row>
    <row r="6599" spans="1:18">
      <c r="A6599" t="n">
        <v>60120</v>
      </c>
      <c r="B6599" s="55" t="n">
        <v>26</v>
      </c>
      <c r="C6599" s="7" t="n">
        <v>0</v>
      </c>
      <c r="D6599" s="7" t="n">
        <v>17</v>
      </c>
      <c r="E6599" s="7" t="n">
        <v>63925</v>
      </c>
      <c r="F6599" s="7" t="s">
        <v>582</v>
      </c>
      <c r="G6599" s="7" t="n">
        <v>2</v>
      </c>
      <c r="H6599" s="7" t="n">
        <v>0</v>
      </c>
    </row>
    <row r="6600" spans="1:18">
      <c r="A6600" t="s">
        <v>4</v>
      </c>
      <c r="B6600" s="4" t="s">
        <v>5</v>
      </c>
    </row>
    <row r="6601" spans="1:18">
      <c r="A6601" t="n">
        <v>60159</v>
      </c>
      <c r="B6601" s="27" t="n">
        <v>28</v>
      </c>
    </row>
    <row r="6602" spans="1:18">
      <c r="A6602" t="s">
        <v>4</v>
      </c>
      <c r="B6602" s="4" t="s">
        <v>5</v>
      </c>
      <c r="C6602" s="4" t="s">
        <v>7</v>
      </c>
      <c r="D6602" s="4" t="s">
        <v>11</v>
      </c>
      <c r="E6602" s="4" t="s">
        <v>7</v>
      </c>
    </row>
    <row r="6603" spans="1:18">
      <c r="A6603" t="n">
        <v>60160</v>
      </c>
      <c r="B6603" s="13" t="n">
        <v>49</v>
      </c>
      <c r="C6603" s="7" t="n">
        <v>1</v>
      </c>
      <c r="D6603" s="7" t="n">
        <v>3000</v>
      </c>
      <c r="E6603" s="7" t="n">
        <v>0</v>
      </c>
    </row>
    <row r="6604" spans="1:18">
      <c r="A6604" t="s">
        <v>4</v>
      </c>
      <c r="B6604" s="4" t="s">
        <v>5</v>
      </c>
      <c r="C6604" s="4" t="s">
        <v>7</v>
      </c>
      <c r="D6604" s="4" t="s">
        <v>11</v>
      </c>
      <c r="E6604" s="4" t="s">
        <v>8</v>
      </c>
      <c r="F6604" s="4" t="s">
        <v>8</v>
      </c>
      <c r="G6604" s="4" t="s">
        <v>8</v>
      </c>
      <c r="H6604" s="4" t="s">
        <v>8</v>
      </c>
    </row>
    <row r="6605" spans="1:18">
      <c r="A6605" t="n">
        <v>60165</v>
      </c>
      <c r="B6605" s="38" t="n">
        <v>51</v>
      </c>
      <c r="C6605" s="7" t="n">
        <v>3</v>
      </c>
      <c r="D6605" s="7" t="n">
        <v>7</v>
      </c>
      <c r="E6605" s="7" t="s">
        <v>86</v>
      </c>
      <c r="F6605" s="7" t="s">
        <v>79</v>
      </c>
      <c r="G6605" s="7" t="s">
        <v>78</v>
      </c>
      <c r="H6605" s="7" t="s">
        <v>79</v>
      </c>
    </row>
    <row r="6606" spans="1:18">
      <c r="A6606" t="s">
        <v>4</v>
      </c>
      <c r="B6606" s="4" t="s">
        <v>5</v>
      </c>
      <c r="C6606" s="4" t="s">
        <v>11</v>
      </c>
      <c r="D6606" s="4" t="s">
        <v>7</v>
      </c>
      <c r="E6606" s="4" t="s">
        <v>13</v>
      </c>
      <c r="F6606" s="4" t="s">
        <v>11</v>
      </c>
    </row>
    <row r="6607" spans="1:18">
      <c r="A6607" t="n">
        <v>60178</v>
      </c>
      <c r="B6607" s="56" t="n">
        <v>59</v>
      </c>
      <c r="C6607" s="7" t="n">
        <v>7</v>
      </c>
      <c r="D6607" s="7" t="n">
        <v>9</v>
      </c>
      <c r="E6607" s="7" t="n">
        <v>0.150000005960464</v>
      </c>
      <c r="F6607" s="7" t="n">
        <v>0</v>
      </c>
    </row>
    <row r="6608" spans="1:18">
      <c r="A6608" t="s">
        <v>4</v>
      </c>
      <c r="B6608" s="4" t="s">
        <v>5</v>
      </c>
      <c r="C6608" s="4" t="s">
        <v>11</v>
      </c>
    </row>
    <row r="6609" spans="1:8">
      <c r="A6609" t="n">
        <v>60188</v>
      </c>
      <c r="B6609" s="29" t="n">
        <v>16</v>
      </c>
      <c r="C6609" s="7" t="n">
        <v>1800</v>
      </c>
    </row>
    <row r="6610" spans="1:8">
      <c r="A6610" t="s">
        <v>4</v>
      </c>
      <c r="B6610" s="4" t="s">
        <v>5</v>
      </c>
      <c r="C6610" s="4" t="s">
        <v>7</v>
      </c>
      <c r="D6610" s="4" t="s">
        <v>11</v>
      </c>
      <c r="E6610" s="4" t="s">
        <v>13</v>
      </c>
    </row>
    <row r="6611" spans="1:8">
      <c r="A6611" t="n">
        <v>60191</v>
      </c>
      <c r="B6611" s="23" t="n">
        <v>58</v>
      </c>
      <c r="C6611" s="7" t="n">
        <v>101</v>
      </c>
      <c r="D6611" s="7" t="n">
        <v>800</v>
      </c>
      <c r="E6611" s="7" t="n">
        <v>1</v>
      </c>
    </row>
    <row r="6612" spans="1:8">
      <c r="A6612" t="s">
        <v>4</v>
      </c>
      <c r="B6612" s="4" t="s">
        <v>5</v>
      </c>
      <c r="C6612" s="4" t="s">
        <v>7</v>
      </c>
      <c r="D6612" s="4" t="s">
        <v>11</v>
      </c>
    </row>
    <row r="6613" spans="1:8">
      <c r="A6613" t="n">
        <v>60199</v>
      </c>
      <c r="B6613" s="23" t="n">
        <v>58</v>
      </c>
      <c r="C6613" s="7" t="n">
        <v>254</v>
      </c>
      <c r="D6613" s="7" t="n">
        <v>0</v>
      </c>
    </row>
    <row r="6614" spans="1:8">
      <c r="A6614" t="s">
        <v>4</v>
      </c>
      <c r="B6614" s="4" t="s">
        <v>5</v>
      </c>
      <c r="C6614" s="4" t="s">
        <v>7</v>
      </c>
      <c r="D6614" s="4" t="s">
        <v>7</v>
      </c>
      <c r="E6614" s="4" t="s">
        <v>13</v>
      </c>
      <c r="F6614" s="4" t="s">
        <v>13</v>
      </c>
      <c r="G6614" s="4" t="s">
        <v>13</v>
      </c>
      <c r="H6614" s="4" t="s">
        <v>11</v>
      </c>
    </row>
    <row r="6615" spans="1:8">
      <c r="A6615" t="n">
        <v>60203</v>
      </c>
      <c r="B6615" s="51" t="n">
        <v>45</v>
      </c>
      <c r="C6615" s="7" t="n">
        <v>2</v>
      </c>
      <c r="D6615" s="7" t="n">
        <v>3</v>
      </c>
      <c r="E6615" s="7" t="n">
        <v>-7.36999988555908</v>
      </c>
      <c r="F6615" s="7" t="n">
        <v>6.32999992370605</v>
      </c>
      <c r="G6615" s="7" t="n">
        <v>29.8199996948242</v>
      </c>
      <c r="H6615" s="7" t="n">
        <v>0</v>
      </c>
    </row>
    <row r="6616" spans="1:8">
      <c r="A6616" t="s">
        <v>4</v>
      </c>
      <c r="B6616" s="4" t="s">
        <v>5</v>
      </c>
      <c r="C6616" s="4" t="s">
        <v>7</v>
      </c>
      <c r="D6616" s="4" t="s">
        <v>7</v>
      </c>
      <c r="E6616" s="4" t="s">
        <v>13</v>
      </c>
      <c r="F6616" s="4" t="s">
        <v>13</v>
      </c>
      <c r="G6616" s="4" t="s">
        <v>13</v>
      </c>
      <c r="H6616" s="4" t="s">
        <v>11</v>
      </c>
      <c r="I6616" s="4" t="s">
        <v>7</v>
      </c>
    </row>
    <row r="6617" spans="1:8">
      <c r="A6617" t="n">
        <v>60220</v>
      </c>
      <c r="B6617" s="51" t="n">
        <v>45</v>
      </c>
      <c r="C6617" s="7" t="n">
        <v>4</v>
      </c>
      <c r="D6617" s="7" t="n">
        <v>3</v>
      </c>
      <c r="E6617" s="7" t="n">
        <v>10.3299999237061</v>
      </c>
      <c r="F6617" s="7" t="n">
        <v>61.2000007629395</v>
      </c>
      <c r="G6617" s="7" t="n">
        <v>356</v>
      </c>
      <c r="H6617" s="7" t="n">
        <v>0</v>
      </c>
      <c r="I6617" s="7" t="n">
        <v>0</v>
      </c>
    </row>
    <row r="6618" spans="1:8">
      <c r="A6618" t="s">
        <v>4</v>
      </c>
      <c r="B6618" s="4" t="s">
        <v>5</v>
      </c>
      <c r="C6618" s="4" t="s">
        <v>7</v>
      </c>
      <c r="D6618" s="4" t="s">
        <v>7</v>
      </c>
      <c r="E6618" s="4" t="s">
        <v>13</v>
      </c>
      <c r="F6618" s="4" t="s">
        <v>11</v>
      </c>
    </row>
    <row r="6619" spans="1:8">
      <c r="A6619" t="n">
        <v>60238</v>
      </c>
      <c r="B6619" s="51" t="n">
        <v>45</v>
      </c>
      <c r="C6619" s="7" t="n">
        <v>5</v>
      </c>
      <c r="D6619" s="7" t="n">
        <v>3</v>
      </c>
      <c r="E6619" s="7" t="n">
        <v>0.800000011920929</v>
      </c>
      <c r="F6619" s="7" t="n">
        <v>0</v>
      </c>
    </row>
    <row r="6620" spans="1:8">
      <c r="A6620" t="s">
        <v>4</v>
      </c>
      <c r="B6620" s="4" t="s">
        <v>5</v>
      </c>
      <c r="C6620" s="4" t="s">
        <v>7</v>
      </c>
      <c r="D6620" s="4" t="s">
        <v>7</v>
      </c>
      <c r="E6620" s="4" t="s">
        <v>13</v>
      </c>
      <c r="F6620" s="4" t="s">
        <v>11</v>
      </c>
    </row>
    <row r="6621" spans="1:8">
      <c r="A6621" t="n">
        <v>60247</v>
      </c>
      <c r="B6621" s="51" t="n">
        <v>45</v>
      </c>
      <c r="C6621" s="7" t="n">
        <v>11</v>
      </c>
      <c r="D6621" s="7" t="n">
        <v>3</v>
      </c>
      <c r="E6621" s="7" t="n">
        <v>40.2999992370605</v>
      </c>
      <c r="F6621" s="7" t="n">
        <v>0</v>
      </c>
    </row>
    <row r="6622" spans="1:8">
      <c r="A6622" t="s">
        <v>4</v>
      </c>
      <c r="B6622" s="4" t="s">
        <v>5</v>
      </c>
      <c r="C6622" s="4" t="s">
        <v>11</v>
      </c>
      <c r="D6622" s="4" t="s">
        <v>7</v>
      </c>
      <c r="E6622" s="4" t="s">
        <v>8</v>
      </c>
      <c r="F6622" s="4" t="s">
        <v>13</v>
      </c>
      <c r="G6622" s="4" t="s">
        <v>13</v>
      </c>
      <c r="H6622" s="4" t="s">
        <v>13</v>
      </c>
    </row>
    <row r="6623" spans="1:8">
      <c r="A6623" t="n">
        <v>60256</v>
      </c>
      <c r="B6623" s="42" t="n">
        <v>48</v>
      </c>
      <c r="C6623" s="7" t="n">
        <v>7</v>
      </c>
      <c r="D6623" s="7" t="n">
        <v>0</v>
      </c>
      <c r="E6623" s="7" t="s">
        <v>583</v>
      </c>
      <c r="F6623" s="7" t="n">
        <v>0</v>
      </c>
      <c r="G6623" s="7" t="n">
        <v>1</v>
      </c>
      <c r="H6623" s="7" t="n">
        <v>0</v>
      </c>
    </row>
    <row r="6624" spans="1:8">
      <c r="A6624" t="s">
        <v>4</v>
      </c>
      <c r="B6624" s="4" t="s">
        <v>5</v>
      </c>
      <c r="C6624" s="4" t="s">
        <v>7</v>
      </c>
    </row>
    <row r="6625" spans="1:9">
      <c r="A6625" t="n">
        <v>60282</v>
      </c>
      <c r="B6625" s="49" t="n">
        <v>116</v>
      </c>
      <c r="C6625" s="7" t="n">
        <v>0</v>
      </c>
    </row>
    <row r="6626" spans="1:9">
      <c r="A6626" t="s">
        <v>4</v>
      </c>
      <c r="B6626" s="4" t="s">
        <v>5</v>
      </c>
      <c r="C6626" s="4" t="s">
        <v>7</v>
      </c>
      <c r="D6626" s="4" t="s">
        <v>11</v>
      </c>
    </row>
    <row r="6627" spans="1:9">
      <c r="A6627" t="n">
        <v>60284</v>
      </c>
      <c r="B6627" s="49" t="n">
        <v>116</v>
      </c>
      <c r="C6627" s="7" t="n">
        <v>2</v>
      </c>
      <c r="D6627" s="7" t="n">
        <v>1</v>
      </c>
    </row>
    <row r="6628" spans="1:9">
      <c r="A6628" t="s">
        <v>4</v>
      </c>
      <c r="B6628" s="4" t="s">
        <v>5</v>
      </c>
      <c r="C6628" s="4" t="s">
        <v>7</v>
      </c>
      <c r="D6628" s="4" t="s">
        <v>15</v>
      </c>
    </row>
    <row r="6629" spans="1:9">
      <c r="A6629" t="n">
        <v>60288</v>
      </c>
      <c r="B6629" s="49" t="n">
        <v>116</v>
      </c>
      <c r="C6629" s="7" t="n">
        <v>5</v>
      </c>
      <c r="D6629" s="7" t="n">
        <v>1077936128</v>
      </c>
    </row>
    <row r="6630" spans="1:9">
      <c r="A6630" t="s">
        <v>4</v>
      </c>
      <c r="B6630" s="4" t="s">
        <v>5</v>
      </c>
      <c r="C6630" s="4" t="s">
        <v>7</v>
      </c>
      <c r="D6630" s="4" t="s">
        <v>11</v>
      </c>
    </row>
    <row r="6631" spans="1:9">
      <c r="A6631" t="n">
        <v>60294</v>
      </c>
      <c r="B6631" s="49" t="n">
        <v>116</v>
      </c>
      <c r="C6631" s="7" t="n">
        <v>6</v>
      </c>
      <c r="D6631" s="7" t="n">
        <v>1</v>
      </c>
    </row>
    <row r="6632" spans="1:9">
      <c r="A6632" t="s">
        <v>4</v>
      </c>
      <c r="B6632" s="4" t="s">
        <v>5</v>
      </c>
      <c r="C6632" s="4" t="s">
        <v>11</v>
      </c>
      <c r="D6632" s="4" t="s">
        <v>11</v>
      </c>
      <c r="E6632" s="4" t="s">
        <v>13</v>
      </c>
      <c r="F6632" s="4" t="s">
        <v>7</v>
      </c>
    </row>
    <row r="6633" spans="1:9">
      <c r="A6633" t="n">
        <v>60298</v>
      </c>
      <c r="B6633" s="73" t="n">
        <v>53</v>
      </c>
      <c r="C6633" s="7" t="n">
        <v>0</v>
      </c>
      <c r="D6633" s="7" t="n">
        <v>7</v>
      </c>
      <c r="E6633" s="7" t="n">
        <v>0</v>
      </c>
      <c r="F6633" s="7" t="n">
        <v>0</v>
      </c>
    </row>
    <row r="6634" spans="1:9">
      <c r="A6634" t="s">
        <v>4</v>
      </c>
      <c r="B6634" s="4" t="s">
        <v>5</v>
      </c>
      <c r="C6634" s="4" t="s">
        <v>7</v>
      </c>
      <c r="D6634" s="4" t="s">
        <v>11</v>
      </c>
    </row>
    <row r="6635" spans="1:9">
      <c r="A6635" t="n">
        <v>60308</v>
      </c>
      <c r="B6635" s="23" t="n">
        <v>58</v>
      </c>
      <c r="C6635" s="7" t="n">
        <v>255</v>
      </c>
      <c r="D6635" s="7" t="n">
        <v>0</v>
      </c>
    </row>
    <row r="6636" spans="1:9">
      <c r="A6636" t="s">
        <v>4</v>
      </c>
      <c r="B6636" s="4" t="s">
        <v>5</v>
      </c>
      <c r="C6636" s="4" t="s">
        <v>11</v>
      </c>
      <c r="D6636" s="4" t="s">
        <v>11</v>
      </c>
      <c r="E6636" s="4" t="s">
        <v>13</v>
      </c>
      <c r="F6636" s="4" t="s">
        <v>7</v>
      </c>
    </row>
    <row r="6637" spans="1:9">
      <c r="A6637" t="n">
        <v>60312</v>
      </c>
      <c r="B6637" s="73" t="n">
        <v>53</v>
      </c>
      <c r="C6637" s="7" t="n">
        <v>7</v>
      </c>
      <c r="D6637" s="7" t="n">
        <v>0</v>
      </c>
      <c r="E6637" s="7" t="n">
        <v>5</v>
      </c>
      <c r="F6637" s="7" t="n">
        <v>0</v>
      </c>
    </row>
    <row r="6638" spans="1:9">
      <c r="A6638" t="s">
        <v>4</v>
      </c>
      <c r="B6638" s="4" t="s">
        <v>5</v>
      </c>
      <c r="C6638" s="4" t="s">
        <v>11</v>
      </c>
    </row>
    <row r="6639" spans="1:9">
      <c r="A6639" t="n">
        <v>60322</v>
      </c>
      <c r="B6639" s="66" t="n">
        <v>54</v>
      </c>
      <c r="C6639" s="7" t="n">
        <v>7</v>
      </c>
    </row>
    <row r="6640" spans="1:9">
      <c r="A6640" t="s">
        <v>4</v>
      </c>
      <c r="B6640" s="4" t="s">
        <v>5</v>
      </c>
      <c r="C6640" s="4" t="s">
        <v>7</v>
      </c>
      <c r="D6640" s="4" t="s">
        <v>7</v>
      </c>
    </row>
    <row r="6641" spans="1:6">
      <c r="A6641" t="n">
        <v>60325</v>
      </c>
      <c r="B6641" s="13" t="n">
        <v>49</v>
      </c>
      <c r="C6641" s="7" t="n">
        <v>2</v>
      </c>
      <c r="D6641" s="7" t="n">
        <v>0</v>
      </c>
    </row>
    <row r="6642" spans="1:6">
      <c r="A6642" t="s">
        <v>4</v>
      </c>
      <c r="B6642" s="4" t="s">
        <v>5</v>
      </c>
      <c r="C6642" s="4" t="s">
        <v>7</v>
      </c>
      <c r="D6642" s="4" t="s">
        <v>11</v>
      </c>
      <c r="E6642" s="4" t="s">
        <v>15</v>
      </c>
      <c r="F6642" s="4" t="s">
        <v>11</v>
      </c>
      <c r="G6642" s="4" t="s">
        <v>15</v>
      </c>
      <c r="H6642" s="4" t="s">
        <v>7</v>
      </c>
    </row>
    <row r="6643" spans="1:6">
      <c r="A6643" t="n">
        <v>60328</v>
      </c>
      <c r="B6643" s="13" t="n">
        <v>49</v>
      </c>
      <c r="C6643" s="7" t="n">
        <v>0</v>
      </c>
      <c r="D6643" s="7" t="n">
        <v>551</v>
      </c>
      <c r="E6643" s="7" t="n">
        <v>1061997773</v>
      </c>
      <c r="F6643" s="7" t="n">
        <v>0</v>
      </c>
      <c r="G6643" s="7" t="n">
        <v>0</v>
      </c>
      <c r="H6643" s="7" t="n">
        <v>0</v>
      </c>
    </row>
    <row r="6644" spans="1:6">
      <c r="A6644" t="s">
        <v>4</v>
      </c>
      <c r="B6644" s="4" t="s">
        <v>5</v>
      </c>
      <c r="C6644" s="4" t="s">
        <v>7</v>
      </c>
      <c r="D6644" s="4" t="s">
        <v>11</v>
      </c>
    </row>
    <row r="6645" spans="1:6">
      <c r="A6645" t="n">
        <v>60343</v>
      </c>
      <c r="B6645" s="13" t="n">
        <v>49</v>
      </c>
      <c r="C6645" s="7" t="n">
        <v>6</v>
      </c>
      <c r="D6645" s="7" t="n">
        <v>551</v>
      </c>
    </row>
    <row r="6646" spans="1:6">
      <c r="A6646" t="s">
        <v>4</v>
      </c>
      <c r="B6646" s="4" t="s">
        <v>5</v>
      </c>
      <c r="C6646" s="4" t="s">
        <v>11</v>
      </c>
    </row>
    <row r="6647" spans="1:6">
      <c r="A6647" t="n">
        <v>60347</v>
      </c>
      <c r="B6647" s="29" t="n">
        <v>16</v>
      </c>
      <c r="C6647" s="7" t="n">
        <v>500</v>
      </c>
    </row>
    <row r="6648" spans="1:6">
      <c r="A6648" t="s">
        <v>4</v>
      </c>
      <c r="B6648" s="4" t="s">
        <v>5</v>
      </c>
      <c r="C6648" s="4" t="s">
        <v>7</v>
      </c>
      <c r="D6648" s="4" t="s">
        <v>11</v>
      </c>
      <c r="E6648" s="4" t="s">
        <v>8</v>
      </c>
    </row>
    <row r="6649" spans="1:6">
      <c r="A6649" t="n">
        <v>60350</v>
      </c>
      <c r="B6649" s="38" t="n">
        <v>51</v>
      </c>
      <c r="C6649" s="7" t="n">
        <v>4</v>
      </c>
      <c r="D6649" s="7" t="n">
        <v>7</v>
      </c>
      <c r="E6649" s="7" t="s">
        <v>494</v>
      </c>
    </row>
    <row r="6650" spans="1:6">
      <c r="A6650" t="s">
        <v>4</v>
      </c>
      <c r="B6650" s="4" t="s">
        <v>5</v>
      </c>
      <c r="C6650" s="4" t="s">
        <v>11</v>
      </c>
    </row>
    <row r="6651" spans="1:6">
      <c r="A6651" t="n">
        <v>60363</v>
      </c>
      <c r="B6651" s="29" t="n">
        <v>16</v>
      </c>
      <c r="C6651" s="7" t="n">
        <v>0</v>
      </c>
    </row>
    <row r="6652" spans="1:6">
      <c r="A6652" t="s">
        <v>4</v>
      </c>
      <c r="B6652" s="4" t="s">
        <v>5</v>
      </c>
      <c r="C6652" s="4" t="s">
        <v>11</v>
      </c>
      <c r="D6652" s="4" t="s">
        <v>7</v>
      </c>
      <c r="E6652" s="4" t="s">
        <v>15</v>
      </c>
      <c r="F6652" s="4" t="s">
        <v>55</v>
      </c>
      <c r="G6652" s="4" t="s">
        <v>7</v>
      </c>
      <c r="H6652" s="4" t="s">
        <v>7</v>
      </c>
      <c r="I6652" s="4" t="s">
        <v>7</v>
      </c>
      <c r="J6652" s="4" t="s">
        <v>15</v>
      </c>
      <c r="K6652" s="4" t="s">
        <v>55</v>
      </c>
      <c r="L6652" s="4" t="s">
        <v>7</v>
      </c>
      <c r="M6652" s="4" t="s">
        <v>7</v>
      </c>
      <c r="N6652" s="4" t="s">
        <v>7</v>
      </c>
      <c r="O6652" s="4" t="s">
        <v>15</v>
      </c>
      <c r="P6652" s="4" t="s">
        <v>55</v>
      </c>
      <c r="Q6652" s="4" t="s">
        <v>7</v>
      </c>
      <c r="R6652" s="4" t="s">
        <v>7</v>
      </c>
      <c r="S6652" s="4" t="s">
        <v>7</v>
      </c>
      <c r="T6652" s="4" t="s">
        <v>15</v>
      </c>
      <c r="U6652" s="4" t="s">
        <v>55</v>
      </c>
      <c r="V6652" s="4" t="s">
        <v>7</v>
      </c>
      <c r="W6652" s="4" t="s">
        <v>7</v>
      </c>
    </row>
    <row r="6653" spans="1:6">
      <c r="A6653" t="n">
        <v>60366</v>
      </c>
      <c r="B6653" s="55" t="n">
        <v>26</v>
      </c>
      <c r="C6653" s="7" t="n">
        <v>7</v>
      </c>
      <c r="D6653" s="7" t="n">
        <v>17</v>
      </c>
      <c r="E6653" s="7" t="n">
        <v>4800</v>
      </c>
      <c r="F6653" s="7" t="s">
        <v>584</v>
      </c>
      <c r="G6653" s="7" t="n">
        <v>2</v>
      </c>
      <c r="H6653" s="7" t="n">
        <v>3</v>
      </c>
      <c r="I6653" s="7" t="n">
        <v>17</v>
      </c>
      <c r="J6653" s="7" t="n">
        <v>4801</v>
      </c>
      <c r="K6653" s="7" t="s">
        <v>585</v>
      </c>
      <c r="L6653" s="7" t="n">
        <v>2</v>
      </c>
      <c r="M6653" s="7" t="n">
        <v>3</v>
      </c>
      <c r="N6653" s="7" t="n">
        <v>17</v>
      </c>
      <c r="O6653" s="7" t="n">
        <v>4802</v>
      </c>
      <c r="P6653" s="7" t="s">
        <v>586</v>
      </c>
      <c r="Q6653" s="7" t="n">
        <v>2</v>
      </c>
      <c r="R6653" s="7" t="n">
        <v>3</v>
      </c>
      <c r="S6653" s="7" t="n">
        <v>17</v>
      </c>
      <c r="T6653" s="7" t="n">
        <v>4803</v>
      </c>
      <c r="U6653" s="7" t="s">
        <v>587</v>
      </c>
      <c r="V6653" s="7" t="n">
        <v>2</v>
      </c>
      <c r="W6653" s="7" t="n">
        <v>0</v>
      </c>
    </row>
    <row r="6654" spans="1:6">
      <c r="A6654" t="s">
        <v>4</v>
      </c>
      <c r="B6654" s="4" t="s">
        <v>5</v>
      </c>
    </row>
    <row r="6655" spans="1:6">
      <c r="A6655" t="n">
        <v>60705</v>
      </c>
      <c r="B6655" s="27" t="n">
        <v>28</v>
      </c>
    </row>
    <row r="6656" spans="1:6">
      <c r="A6656" t="s">
        <v>4</v>
      </c>
      <c r="B6656" s="4" t="s">
        <v>5</v>
      </c>
      <c r="C6656" s="4" t="s">
        <v>7</v>
      </c>
      <c r="D6656" s="4" t="s">
        <v>11</v>
      </c>
      <c r="E6656" s="4" t="s">
        <v>8</v>
      </c>
    </row>
    <row r="6657" spans="1:23">
      <c r="A6657" t="n">
        <v>60706</v>
      </c>
      <c r="B6657" s="38" t="n">
        <v>51</v>
      </c>
      <c r="C6657" s="7" t="n">
        <v>4</v>
      </c>
      <c r="D6657" s="7" t="n">
        <v>0</v>
      </c>
      <c r="E6657" s="7" t="s">
        <v>304</v>
      </c>
    </row>
    <row r="6658" spans="1:23">
      <c r="A6658" t="s">
        <v>4</v>
      </c>
      <c r="B6658" s="4" t="s">
        <v>5</v>
      </c>
      <c r="C6658" s="4" t="s">
        <v>11</v>
      </c>
    </row>
    <row r="6659" spans="1:23">
      <c r="A6659" t="n">
        <v>60719</v>
      </c>
      <c r="B6659" s="29" t="n">
        <v>16</v>
      </c>
      <c r="C6659" s="7" t="n">
        <v>0</v>
      </c>
    </row>
    <row r="6660" spans="1:23">
      <c r="A6660" t="s">
        <v>4</v>
      </c>
      <c r="B6660" s="4" t="s">
        <v>5</v>
      </c>
      <c r="C6660" s="4" t="s">
        <v>11</v>
      </c>
      <c r="D6660" s="4" t="s">
        <v>7</v>
      </c>
      <c r="E6660" s="4" t="s">
        <v>15</v>
      </c>
      <c r="F6660" s="4" t="s">
        <v>55</v>
      </c>
      <c r="G6660" s="4" t="s">
        <v>7</v>
      </c>
      <c r="H6660" s="4" t="s">
        <v>7</v>
      </c>
    </row>
    <row r="6661" spans="1:23">
      <c r="A6661" t="n">
        <v>60722</v>
      </c>
      <c r="B6661" s="55" t="n">
        <v>26</v>
      </c>
      <c r="C6661" s="7" t="n">
        <v>0</v>
      </c>
      <c r="D6661" s="7" t="n">
        <v>17</v>
      </c>
      <c r="E6661" s="7" t="n">
        <v>63926</v>
      </c>
      <c r="F6661" s="7" t="s">
        <v>588</v>
      </c>
      <c r="G6661" s="7" t="n">
        <v>2</v>
      </c>
      <c r="H6661" s="7" t="n">
        <v>0</v>
      </c>
    </row>
    <row r="6662" spans="1:23">
      <c r="A6662" t="s">
        <v>4</v>
      </c>
      <c r="B6662" s="4" t="s">
        <v>5</v>
      </c>
    </row>
    <row r="6663" spans="1:23">
      <c r="A6663" t="n">
        <v>60761</v>
      </c>
      <c r="B6663" s="27" t="n">
        <v>28</v>
      </c>
    </row>
    <row r="6664" spans="1:23">
      <c r="A6664" t="s">
        <v>4</v>
      </c>
      <c r="B6664" s="4" t="s">
        <v>5</v>
      </c>
      <c r="C6664" s="4" t="s">
        <v>7</v>
      </c>
      <c r="D6664" s="4" t="s">
        <v>11</v>
      </c>
      <c r="E6664" s="4" t="s">
        <v>8</v>
      </c>
    </row>
    <row r="6665" spans="1:23">
      <c r="A6665" t="n">
        <v>60762</v>
      </c>
      <c r="B6665" s="38" t="n">
        <v>51</v>
      </c>
      <c r="C6665" s="7" t="n">
        <v>4</v>
      </c>
      <c r="D6665" s="7" t="n">
        <v>7</v>
      </c>
      <c r="E6665" s="7" t="s">
        <v>235</v>
      </c>
    </row>
    <row r="6666" spans="1:23">
      <c r="A6666" t="s">
        <v>4</v>
      </c>
      <c r="B6666" s="4" t="s">
        <v>5</v>
      </c>
      <c r="C6666" s="4" t="s">
        <v>11</v>
      </c>
    </row>
    <row r="6667" spans="1:23">
      <c r="A6667" t="n">
        <v>60776</v>
      </c>
      <c r="B6667" s="29" t="n">
        <v>16</v>
      </c>
      <c r="C6667" s="7" t="n">
        <v>0</v>
      </c>
    </row>
    <row r="6668" spans="1:23">
      <c r="A6668" t="s">
        <v>4</v>
      </c>
      <c r="B6668" s="4" t="s">
        <v>5</v>
      </c>
      <c r="C6668" s="4" t="s">
        <v>11</v>
      </c>
      <c r="D6668" s="4" t="s">
        <v>7</v>
      </c>
      <c r="E6668" s="4" t="s">
        <v>15</v>
      </c>
      <c r="F6668" s="4" t="s">
        <v>55</v>
      </c>
      <c r="G6668" s="4" t="s">
        <v>7</v>
      </c>
      <c r="H6668" s="4" t="s">
        <v>7</v>
      </c>
      <c r="I6668" s="4" t="s">
        <v>7</v>
      </c>
      <c r="J6668" s="4" t="s">
        <v>15</v>
      </c>
      <c r="K6668" s="4" t="s">
        <v>55</v>
      </c>
      <c r="L6668" s="4" t="s">
        <v>7</v>
      </c>
      <c r="M6668" s="4" t="s">
        <v>7</v>
      </c>
      <c r="N6668" s="4" t="s">
        <v>7</v>
      </c>
      <c r="O6668" s="4" t="s">
        <v>15</v>
      </c>
      <c r="P6668" s="4" t="s">
        <v>55</v>
      </c>
      <c r="Q6668" s="4" t="s">
        <v>7</v>
      </c>
      <c r="R6668" s="4" t="s">
        <v>7</v>
      </c>
    </row>
    <row r="6669" spans="1:23">
      <c r="A6669" t="n">
        <v>60779</v>
      </c>
      <c r="B6669" s="55" t="n">
        <v>26</v>
      </c>
      <c r="C6669" s="7" t="n">
        <v>7</v>
      </c>
      <c r="D6669" s="7" t="n">
        <v>17</v>
      </c>
      <c r="E6669" s="7" t="n">
        <v>4804</v>
      </c>
      <c r="F6669" s="7" t="s">
        <v>589</v>
      </c>
      <c r="G6669" s="7" t="n">
        <v>2</v>
      </c>
      <c r="H6669" s="7" t="n">
        <v>3</v>
      </c>
      <c r="I6669" s="7" t="n">
        <v>17</v>
      </c>
      <c r="J6669" s="7" t="n">
        <v>4805</v>
      </c>
      <c r="K6669" s="7" t="s">
        <v>590</v>
      </c>
      <c r="L6669" s="7" t="n">
        <v>2</v>
      </c>
      <c r="M6669" s="7" t="n">
        <v>3</v>
      </c>
      <c r="N6669" s="7" t="n">
        <v>17</v>
      </c>
      <c r="O6669" s="7" t="n">
        <v>4806</v>
      </c>
      <c r="P6669" s="7" t="s">
        <v>591</v>
      </c>
      <c r="Q6669" s="7" t="n">
        <v>2</v>
      </c>
      <c r="R6669" s="7" t="n">
        <v>0</v>
      </c>
    </row>
    <row r="6670" spans="1:23">
      <c r="A6670" t="s">
        <v>4</v>
      </c>
      <c r="B6670" s="4" t="s">
        <v>5</v>
      </c>
    </row>
    <row r="6671" spans="1:23">
      <c r="A6671" t="n">
        <v>60978</v>
      </c>
      <c r="B6671" s="27" t="n">
        <v>28</v>
      </c>
    </row>
    <row r="6672" spans="1:23">
      <c r="A6672" t="s">
        <v>4</v>
      </c>
      <c r="B6672" s="4" t="s">
        <v>5</v>
      </c>
      <c r="C6672" s="4" t="s">
        <v>7</v>
      </c>
      <c r="D6672" s="4" t="s">
        <v>11</v>
      </c>
      <c r="E6672" s="4" t="s">
        <v>8</v>
      </c>
    </row>
    <row r="6673" spans="1:18">
      <c r="A6673" t="n">
        <v>60979</v>
      </c>
      <c r="B6673" s="38" t="n">
        <v>51</v>
      </c>
      <c r="C6673" s="7" t="n">
        <v>4</v>
      </c>
      <c r="D6673" s="7" t="n">
        <v>0</v>
      </c>
      <c r="E6673" s="7" t="s">
        <v>242</v>
      </c>
    </row>
    <row r="6674" spans="1:18">
      <c r="A6674" t="s">
        <v>4</v>
      </c>
      <c r="B6674" s="4" t="s">
        <v>5</v>
      </c>
      <c r="C6674" s="4" t="s">
        <v>11</v>
      </c>
    </row>
    <row r="6675" spans="1:18">
      <c r="A6675" t="n">
        <v>60993</v>
      </c>
      <c r="B6675" s="29" t="n">
        <v>16</v>
      </c>
      <c r="C6675" s="7" t="n">
        <v>0</v>
      </c>
    </row>
    <row r="6676" spans="1:18">
      <c r="A6676" t="s">
        <v>4</v>
      </c>
      <c r="B6676" s="4" t="s">
        <v>5</v>
      </c>
      <c r="C6676" s="4" t="s">
        <v>11</v>
      </c>
      <c r="D6676" s="4" t="s">
        <v>7</v>
      </c>
      <c r="E6676" s="4" t="s">
        <v>15</v>
      </c>
      <c r="F6676" s="4" t="s">
        <v>55</v>
      </c>
      <c r="G6676" s="4" t="s">
        <v>7</v>
      </c>
      <c r="H6676" s="4" t="s">
        <v>7</v>
      </c>
    </row>
    <row r="6677" spans="1:18">
      <c r="A6677" t="n">
        <v>60996</v>
      </c>
      <c r="B6677" s="55" t="n">
        <v>26</v>
      </c>
      <c r="C6677" s="7" t="n">
        <v>0</v>
      </c>
      <c r="D6677" s="7" t="n">
        <v>17</v>
      </c>
      <c r="E6677" s="7" t="n">
        <v>64268</v>
      </c>
      <c r="F6677" s="7" t="s">
        <v>446</v>
      </c>
      <c r="G6677" s="7" t="n">
        <v>2</v>
      </c>
      <c r="H6677" s="7" t="n">
        <v>0</v>
      </c>
    </row>
    <row r="6678" spans="1:18">
      <c r="A6678" t="s">
        <v>4</v>
      </c>
      <c r="B6678" s="4" t="s">
        <v>5</v>
      </c>
    </row>
    <row r="6679" spans="1:18">
      <c r="A6679" t="n">
        <v>61012</v>
      </c>
      <c r="B6679" s="27" t="n">
        <v>28</v>
      </c>
    </row>
    <row r="6680" spans="1:18">
      <c r="A6680" t="s">
        <v>4</v>
      </c>
      <c r="B6680" s="4" t="s">
        <v>5</v>
      </c>
      <c r="C6680" s="4" t="s">
        <v>7</v>
      </c>
      <c r="D6680" s="4" t="s">
        <v>11</v>
      </c>
      <c r="E6680" s="4" t="s">
        <v>8</v>
      </c>
    </row>
    <row r="6681" spans="1:18">
      <c r="A6681" t="n">
        <v>61013</v>
      </c>
      <c r="B6681" s="38" t="n">
        <v>51</v>
      </c>
      <c r="C6681" s="7" t="n">
        <v>4</v>
      </c>
      <c r="D6681" s="7" t="n">
        <v>7</v>
      </c>
      <c r="E6681" s="7" t="s">
        <v>235</v>
      </c>
    </row>
    <row r="6682" spans="1:18">
      <c r="A6682" t="s">
        <v>4</v>
      </c>
      <c r="B6682" s="4" t="s">
        <v>5</v>
      </c>
      <c r="C6682" s="4" t="s">
        <v>11</v>
      </c>
    </row>
    <row r="6683" spans="1:18">
      <c r="A6683" t="n">
        <v>61027</v>
      </c>
      <c r="B6683" s="29" t="n">
        <v>16</v>
      </c>
      <c r="C6683" s="7" t="n">
        <v>0</v>
      </c>
    </row>
    <row r="6684" spans="1:18">
      <c r="A6684" t="s">
        <v>4</v>
      </c>
      <c r="B6684" s="4" t="s">
        <v>5</v>
      </c>
      <c r="C6684" s="4" t="s">
        <v>11</v>
      </c>
      <c r="D6684" s="4" t="s">
        <v>7</v>
      </c>
      <c r="E6684" s="4" t="s">
        <v>15</v>
      </c>
      <c r="F6684" s="4" t="s">
        <v>55</v>
      </c>
      <c r="G6684" s="4" t="s">
        <v>7</v>
      </c>
      <c r="H6684" s="4" t="s">
        <v>7</v>
      </c>
      <c r="I6684" s="4" t="s">
        <v>7</v>
      </c>
      <c r="J6684" s="4" t="s">
        <v>15</v>
      </c>
      <c r="K6684" s="4" t="s">
        <v>55</v>
      </c>
      <c r="L6684" s="4" t="s">
        <v>7</v>
      </c>
      <c r="M6684" s="4" t="s">
        <v>7</v>
      </c>
      <c r="N6684" s="4" t="s">
        <v>7</v>
      </c>
      <c r="O6684" s="4" t="s">
        <v>15</v>
      </c>
      <c r="P6684" s="4" t="s">
        <v>55</v>
      </c>
      <c r="Q6684" s="4" t="s">
        <v>7</v>
      </c>
      <c r="R6684" s="4" t="s">
        <v>7</v>
      </c>
      <c r="S6684" s="4" t="s">
        <v>7</v>
      </c>
      <c r="T6684" s="4" t="s">
        <v>15</v>
      </c>
      <c r="U6684" s="4" t="s">
        <v>55</v>
      </c>
      <c r="V6684" s="4" t="s">
        <v>7</v>
      </c>
      <c r="W6684" s="4" t="s">
        <v>7</v>
      </c>
      <c r="X6684" s="4" t="s">
        <v>7</v>
      </c>
      <c r="Y6684" s="4" t="s">
        <v>15</v>
      </c>
      <c r="Z6684" s="4" t="s">
        <v>55</v>
      </c>
      <c r="AA6684" s="4" t="s">
        <v>7</v>
      </c>
      <c r="AB6684" s="4" t="s">
        <v>7</v>
      </c>
      <c r="AC6684" s="4" t="s">
        <v>7</v>
      </c>
      <c r="AD6684" s="4" t="s">
        <v>15</v>
      </c>
      <c r="AE6684" s="4" t="s">
        <v>55</v>
      </c>
      <c r="AF6684" s="4" t="s">
        <v>7</v>
      </c>
      <c r="AG6684" s="4" t="s">
        <v>7</v>
      </c>
    </row>
    <row r="6685" spans="1:18">
      <c r="A6685" t="n">
        <v>61030</v>
      </c>
      <c r="B6685" s="55" t="n">
        <v>26</v>
      </c>
      <c r="C6685" s="7" t="n">
        <v>7</v>
      </c>
      <c r="D6685" s="7" t="n">
        <v>17</v>
      </c>
      <c r="E6685" s="7" t="n">
        <v>4807</v>
      </c>
      <c r="F6685" s="7" t="s">
        <v>592</v>
      </c>
      <c r="G6685" s="7" t="n">
        <v>2</v>
      </c>
      <c r="H6685" s="7" t="n">
        <v>3</v>
      </c>
      <c r="I6685" s="7" t="n">
        <v>17</v>
      </c>
      <c r="J6685" s="7" t="n">
        <v>4808</v>
      </c>
      <c r="K6685" s="7" t="s">
        <v>593</v>
      </c>
      <c r="L6685" s="7" t="n">
        <v>2</v>
      </c>
      <c r="M6685" s="7" t="n">
        <v>3</v>
      </c>
      <c r="N6685" s="7" t="n">
        <v>17</v>
      </c>
      <c r="O6685" s="7" t="n">
        <v>4809</v>
      </c>
      <c r="P6685" s="7" t="s">
        <v>594</v>
      </c>
      <c r="Q6685" s="7" t="n">
        <v>2</v>
      </c>
      <c r="R6685" s="7" t="n">
        <v>3</v>
      </c>
      <c r="S6685" s="7" t="n">
        <v>17</v>
      </c>
      <c r="T6685" s="7" t="n">
        <v>4810</v>
      </c>
      <c r="U6685" s="7" t="s">
        <v>595</v>
      </c>
      <c r="V6685" s="7" t="n">
        <v>2</v>
      </c>
      <c r="W6685" s="7" t="n">
        <v>3</v>
      </c>
      <c r="X6685" s="7" t="n">
        <v>17</v>
      </c>
      <c r="Y6685" s="7" t="n">
        <v>4811</v>
      </c>
      <c r="Z6685" s="7" t="s">
        <v>596</v>
      </c>
      <c r="AA6685" s="7" t="n">
        <v>2</v>
      </c>
      <c r="AB6685" s="7" t="n">
        <v>3</v>
      </c>
      <c r="AC6685" s="7" t="n">
        <v>17</v>
      </c>
      <c r="AD6685" s="7" t="n">
        <v>4812</v>
      </c>
      <c r="AE6685" s="7" t="s">
        <v>597</v>
      </c>
      <c r="AF6685" s="7" t="n">
        <v>2</v>
      </c>
      <c r="AG6685" s="7" t="n">
        <v>0</v>
      </c>
    </row>
    <row r="6686" spans="1:18">
      <c r="A6686" t="s">
        <v>4</v>
      </c>
      <c r="B6686" s="4" t="s">
        <v>5</v>
      </c>
    </row>
    <row r="6687" spans="1:18">
      <c r="A6687" t="n">
        <v>61597</v>
      </c>
      <c r="B6687" s="27" t="n">
        <v>28</v>
      </c>
    </row>
    <row r="6688" spans="1:18">
      <c r="A6688" t="s">
        <v>4</v>
      </c>
      <c r="B6688" s="4" t="s">
        <v>5</v>
      </c>
      <c r="C6688" s="4" t="s">
        <v>7</v>
      </c>
      <c r="D6688" s="4" t="s">
        <v>11</v>
      </c>
      <c r="E6688" s="4" t="s">
        <v>8</v>
      </c>
    </row>
    <row r="6689" spans="1:33">
      <c r="A6689" t="n">
        <v>61598</v>
      </c>
      <c r="B6689" s="38" t="n">
        <v>51</v>
      </c>
      <c r="C6689" s="7" t="n">
        <v>4</v>
      </c>
      <c r="D6689" s="7" t="n">
        <v>0</v>
      </c>
      <c r="E6689" s="7" t="s">
        <v>206</v>
      </c>
    </row>
    <row r="6690" spans="1:33">
      <c r="A6690" t="s">
        <v>4</v>
      </c>
      <c r="B6690" s="4" t="s">
        <v>5</v>
      </c>
      <c r="C6690" s="4" t="s">
        <v>11</v>
      </c>
    </row>
    <row r="6691" spans="1:33">
      <c r="A6691" t="n">
        <v>61613</v>
      </c>
      <c r="B6691" s="29" t="n">
        <v>16</v>
      </c>
      <c r="C6691" s="7" t="n">
        <v>0</v>
      </c>
    </row>
    <row r="6692" spans="1:33">
      <c r="A6692" t="s">
        <v>4</v>
      </c>
      <c r="B6692" s="4" t="s">
        <v>5</v>
      </c>
      <c r="C6692" s="4" t="s">
        <v>11</v>
      </c>
      <c r="D6692" s="4" t="s">
        <v>7</v>
      </c>
      <c r="E6692" s="4" t="s">
        <v>15</v>
      </c>
      <c r="F6692" s="4" t="s">
        <v>55</v>
      </c>
      <c r="G6692" s="4" t="s">
        <v>7</v>
      </c>
      <c r="H6692" s="4" t="s">
        <v>7</v>
      </c>
    </row>
    <row r="6693" spans="1:33">
      <c r="A6693" t="n">
        <v>61616</v>
      </c>
      <c r="B6693" s="55" t="n">
        <v>26</v>
      </c>
      <c r="C6693" s="7" t="n">
        <v>0</v>
      </c>
      <c r="D6693" s="7" t="n">
        <v>17</v>
      </c>
      <c r="E6693" s="7" t="n">
        <v>64268</v>
      </c>
      <c r="F6693" s="7" t="s">
        <v>446</v>
      </c>
      <c r="G6693" s="7" t="n">
        <v>2</v>
      </c>
      <c r="H6693" s="7" t="n">
        <v>0</v>
      </c>
    </row>
    <row r="6694" spans="1:33">
      <c r="A6694" t="s">
        <v>4</v>
      </c>
      <c r="B6694" s="4" t="s">
        <v>5</v>
      </c>
    </row>
    <row r="6695" spans="1:33">
      <c r="A6695" t="n">
        <v>61632</v>
      </c>
      <c r="B6695" s="27" t="n">
        <v>28</v>
      </c>
    </row>
    <row r="6696" spans="1:33">
      <c r="A6696" t="s">
        <v>4</v>
      </c>
      <c r="B6696" s="4" t="s">
        <v>5</v>
      </c>
      <c r="C6696" s="4" t="s">
        <v>7</v>
      </c>
      <c r="D6696" s="4" t="s">
        <v>11</v>
      </c>
      <c r="E6696" s="4" t="s">
        <v>8</v>
      </c>
    </row>
    <row r="6697" spans="1:33">
      <c r="A6697" t="n">
        <v>61633</v>
      </c>
      <c r="B6697" s="38" t="n">
        <v>51</v>
      </c>
      <c r="C6697" s="7" t="n">
        <v>4</v>
      </c>
      <c r="D6697" s="7" t="n">
        <v>7</v>
      </c>
      <c r="E6697" s="7" t="s">
        <v>235</v>
      </c>
    </row>
    <row r="6698" spans="1:33">
      <c r="A6698" t="s">
        <v>4</v>
      </c>
      <c r="B6698" s="4" t="s">
        <v>5</v>
      </c>
      <c r="C6698" s="4" t="s">
        <v>11</v>
      </c>
    </row>
    <row r="6699" spans="1:33">
      <c r="A6699" t="n">
        <v>61647</v>
      </c>
      <c r="B6699" s="29" t="n">
        <v>16</v>
      </c>
      <c r="C6699" s="7" t="n">
        <v>0</v>
      </c>
    </row>
    <row r="6700" spans="1:33">
      <c r="A6700" t="s">
        <v>4</v>
      </c>
      <c r="B6700" s="4" t="s">
        <v>5</v>
      </c>
      <c r="C6700" s="4" t="s">
        <v>11</v>
      </c>
      <c r="D6700" s="4" t="s">
        <v>7</v>
      </c>
      <c r="E6700" s="4" t="s">
        <v>15</v>
      </c>
      <c r="F6700" s="4" t="s">
        <v>55</v>
      </c>
      <c r="G6700" s="4" t="s">
        <v>7</v>
      </c>
      <c r="H6700" s="4" t="s">
        <v>7</v>
      </c>
      <c r="I6700" s="4" t="s">
        <v>7</v>
      </c>
      <c r="J6700" s="4" t="s">
        <v>15</v>
      </c>
      <c r="K6700" s="4" t="s">
        <v>55</v>
      </c>
      <c r="L6700" s="4" t="s">
        <v>7</v>
      </c>
      <c r="M6700" s="4" t="s">
        <v>7</v>
      </c>
      <c r="N6700" s="4" t="s">
        <v>7</v>
      </c>
      <c r="O6700" s="4" t="s">
        <v>15</v>
      </c>
      <c r="P6700" s="4" t="s">
        <v>55</v>
      </c>
      <c r="Q6700" s="4" t="s">
        <v>7</v>
      </c>
      <c r="R6700" s="4" t="s">
        <v>7</v>
      </c>
    </row>
    <row r="6701" spans="1:33">
      <c r="A6701" t="n">
        <v>61650</v>
      </c>
      <c r="B6701" s="55" t="n">
        <v>26</v>
      </c>
      <c r="C6701" s="7" t="n">
        <v>7</v>
      </c>
      <c r="D6701" s="7" t="n">
        <v>17</v>
      </c>
      <c r="E6701" s="7" t="n">
        <v>4813</v>
      </c>
      <c r="F6701" s="7" t="s">
        <v>598</v>
      </c>
      <c r="G6701" s="7" t="n">
        <v>2</v>
      </c>
      <c r="H6701" s="7" t="n">
        <v>3</v>
      </c>
      <c r="I6701" s="7" t="n">
        <v>17</v>
      </c>
      <c r="J6701" s="7" t="n">
        <v>4814</v>
      </c>
      <c r="K6701" s="7" t="s">
        <v>599</v>
      </c>
      <c r="L6701" s="7" t="n">
        <v>2</v>
      </c>
      <c r="M6701" s="7" t="n">
        <v>3</v>
      </c>
      <c r="N6701" s="7" t="n">
        <v>17</v>
      </c>
      <c r="O6701" s="7" t="n">
        <v>4815</v>
      </c>
      <c r="P6701" s="7" t="s">
        <v>600</v>
      </c>
      <c r="Q6701" s="7" t="n">
        <v>2</v>
      </c>
      <c r="R6701" s="7" t="n">
        <v>0</v>
      </c>
    </row>
    <row r="6702" spans="1:33">
      <c r="A6702" t="s">
        <v>4</v>
      </c>
      <c r="B6702" s="4" t="s">
        <v>5</v>
      </c>
    </row>
    <row r="6703" spans="1:33">
      <c r="A6703" t="n">
        <v>61977</v>
      </c>
      <c r="B6703" s="27" t="n">
        <v>28</v>
      </c>
    </row>
    <row r="6704" spans="1:33">
      <c r="A6704" t="s">
        <v>4</v>
      </c>
      <c r="B6704" s="4" t="s">
        <v>5</v>
      </c>
      <c r="C6704" s="4" t="s">
        <v>11</v>
      </c>
      <c r="D6704" s="4" t="s">
        <v>7</v>
      </c>
    </row>
    <row r="6705" spans="1:18">
      <c r="A6705" t="n">
        <v>61978</v>
      </c>
      <c r="B6705" s="68" t="n">
        <v>89</v>
      </c>
      <c r="C6705" s="7" t="n">
        <v>65533</v>
      </c>
      <c r="D6705" s="7" t="n">
        <v>1</v>
      </c>
    </row>
    <row r="6706" spans="1:18">
      <c r="A6706" t="s">
        <v>4</v>
      </c>
      <c r="B6706" s="4" t="s">
        <v>5</v>
      </c>
      <c r="C6706" s="4" t="s">
        <v>7</v>
      </c>
      <c r="D6706" s="4" t="s">
        <v>11</v>
      </c>
      <c r="E6706" s="4" t="s">
        <v>13</v>
      </c>
    </row>
    <row r="6707" spans="1:18">
      <c r="A6707" t="n">
        <v>61982</v>
      </c>
      <c r="B6707" s="23" t="n">
        <v>58</v>
      </c>
      <c r="C6707" s="7" t="n">
        <v>101</v>
      </c>
      <c r="D6707" s="7" t="n">
        <v>500</v>
      </c>
      <c r="E6707" s="7" t="n">
        <v>1</v>
      </c>
    </row>
    <row r="6708" spans="1:18">
      <c r="A6708" t="s">
        <v>4</v>
      </c>
      <c r="B6708" s="4" t="s">
        <v>5</v>
      </c>
      <c r="C6708" s="4" t="s">
        <v>7</v>
      </c>
      <c r="D6708" s="4" t="s">
        <v>11</v>
      </c>
    </row>
    <row r="6709" spans="1:18">
      <c r="A6709" t="n">
        <v>61990</v>
      </c>
      <c r="B6709" s="23" t="n">
        <v>58</v>
      </c>
      <c r="C6709" s="7" t="n">
        <v>254</v>
      </c>
      <c r="D6709" s="7" t="n">
        <v>0</v>
      </c>
    </row>
    <row r="6710" spans="1:18">
      <c r="A6710" t="s">
        <v>4</v>
      </c>
      <c r="B6710" s="4" t="s">
        <v>5</v>
      </c>
      <c r="C6710" s="4" t="s">
        <v>7</v>
      </c>
      <c r="D6710" s="4" t="s">
        <v>7</v>
      </c>
      <c r="E6710" s="4" t="s">
        <v>13</v>
      </c>
      <c r="F6710" s="4" t="s">
        <v>13</v>
      </c>
      <c r="G6710" s="4" t="s">
        <v>13</v>
      </c>
      <c r="H6710" s="4" t="s">
        <v>11</v>
      </c>
    </row>
    <row r="6711" spans="1:18">
      <c r="A6711" t="n">
        <v>61994</v>
      </c>
      <c r="B6711" s="51" t="n">
        <v>45</v>
      </c>
      <c r="C6711" s="7" t="n">
        <v>2</v>
      </c>
      <c r="D6711" s="7" t="n">
        <v>3</v>
      </c>
      <c r="E6711" s="7" t="n">
        <v>-6.86999988555908</v>
      </c>
      <c r="F6711" s="7" t="n">
        <v>6.42999982833862</v>
      </c>
      <c r="G6711" s="7" t="n">
        <v>29.9200000762939</v>
      </c>
      <c r="H6711" s="7" t="n">
        <v>0</v>
      </c>
    </row>
    <row r="6712" spans="1:18">
      <c r="A6712" t="s">
        <v>4</v>
      </c>
      <c r="B6712" s="4" t="s">
        <v>5</v>
      </c>
      <c r="C6712" s="4" t="s">
        <v>7</v>
      </c>
      <c r="D6712" s="4" t="s">
        <v>7</v>
      </c>
      <c r="E6712" s="4" t="s">
        <v>13</v>
      </c>
      <c r="F6712" s="4" t="s">
        <v>13</v>
      </c>
      <c r="G6712" s="4" t="s">
        <v>13</v>
      </c>
      <c r="H6712" s="4" t="s">
        <v>11</v>
      </c>
      <c r="I6712" s="4" t="s">
        <v>7</v>
      </c>
    </row>
    <row r="6713" spans="1:18">
      <c r="A6713" t="n">
        <v>62011</v>
      </c>
      <c r="B6713" s="51" t="n">
        <v>45</v>
      </c>
      <c r="C6713" s="7" t="n">
        <v>4</v>
      </c>
      <c r="D6713" s="7" t="n">
        <v>3</v>
      </c>
      <c r="E6713" s="7" t="n">
        <v>9.21000003814697</v>
      </c>
      <c r="F6713" s="7" t="n">
        <v>50.6699981689453</v>
      </c>
      <c r="G6713" s="7" t="n">
        <v>8</v>
      </c>
      <c r="H6713" s="7" t="n">
        <v>0</v>
      </c>
      <c r="I6713" s="7" t="n">
        <v>0</v>
      </c>
    </row>
    <row r="6714" spans="1:18">
      <c r="A6714" t="s">
        <v>4</v>
      </c>
      <c r="B6714" s="4" t="s">
        <v>5</v>
      </c>
      <c r="C6714" s="4" t="s">
        <v>7</v>
      </c>
      <c r="D6714" s="4" t="s">
        <v>7</v>
      </c>
      <c r="E6714" s="4" t="s">
        <v>13</v>
      </c>
      <c r="F6714" s="4" t="s">
        <v>11</v>
      </c>
    </row>
    <row r="6715" spans="1:18">
      <c r="A6715" t="n">
        <v>62029</v>
      </c>
      <c r="B6715" s="51" t="n">
        <v>45</v>
      </c>
      <c r="C6715" s="7" t="n">
        <v>5</v>
      </c>
      <c r="D6715" s="7" t="n">
        <v>3</v>
      </c>
      <c r="E6715" s="7" t="n">
        <v>1.10000002384186</v>
      </c>
      <c r="F6715" s="7" t="n">
        <v>0</v>
      </c>
    </row>
    <row r="6716" spans="1:18">
      <c r="A6716" t="s">
        <v>4</v>
      </c>
      <c r="B6716" s="4" t="s">
        <v>5</v>
      </c>
      <c r="C6716" s="4" t="s">
        <v>7</v>
      </c>
      <c r="D6716" s="4" t="s">
        <v>7</v>
      </c>
      <c r="E6716" s="4" t="s">
        <v>13</v>
      </c>
      <c r="F6716" s="4" t="s">
        <v>11</v>
      </c>
    </row>
    <row r="6717" spans="1:18">
      <c r="A6717" t="n">
        <v>62038</v>
      </c>
      <c r="B6717" s="51" t="n">
        <v>45</v>
      </c>
      <c r="C6717" s="7" t="n">
        <v>11</v>
      </c>
      <c r="D6717" s="7" t="n">
        <v>3</v>
      </c>
      <c r="E6717" s="7" t="n">
        <v>40.2999992370605</v>
      </c>
      <c r="F6717" s="7" t="n">
        <v>0</v>
      </c>
    </row>
    <row r="6718" spans="1:18">
      <c r="A6718" t="s">
        <v>4</v>
      </c>
      <c r="B6718" s="4" t="s">
        <v>5</v>
      </c>
      <c r="C6718" s="4" t="s">
        <v>7</v>
      </c>
      <c r="D6718" s="4" t="s">
        <v>11</v>
      </c>
    </row>
    <row r="6719" spans="1:18">
      <c r="A6719" t="n">
        <v>62047</v>
      </c>
      <c r="B6719" s="23" t="n">
        <v>58</v>
      </c>
      <c r="C6719" s="7" t="n">
        <v>255</v>
      </c>
      <c r="D6719" s="7" t="n">
        <v>0</v>
      </c>
    </row>
    <row r="6720" spans="1:18">
      <c r="A6720" t="s">
        <v>4</v>
      </c>
      <c r="B6720" s="4" t="s">
        <v>5</v>
      </c>
      <c r="C6720" s="4" t="s">
        <v>7</v>
      </c>
      <c r="D6720" s="4" t="s">
        <v>11</v>
      </c>
      <c r="E6720" s="4" t="s">
        <v>8</v>
      </c>
    </row>
    <row r="6721" spans="1:9">
      <c r="A6721" t="n">
        <v>62051</v>
      </c>
      <c r="B6721" s="38" t="n">
        <v>51</v>
      </c>
      <c r="C6721" s="7" t="n">
        <v>4</v>
      </c>
      <c r="D6721" s="7" t="n">
        <v>0</v>
      </c>
      <c r="E6721" s="7" t="s">
        <v>179</v>
      </c>
    </row>
    <row r="6722" spans="1:9">
      <c r="A6722" t="s">
        <v>4</v>
      </c>
      <c r="B6722" s="4" t="s">
        <v>5</v>
      </c>
      <c r="C6722" s="4" t="s">
        <v>11</v>
      </c>
    </row>
    <row r="6723" spans="1:9">
      <c r="A6723" t="n">
        <v>62065</v>
      </c>
      <c r="B6723" s="29" t="n">
        <v>16</v>
      </c>
      <c r="C6723" s="7" t="n">
        <v>0</v>
      </c>
    </row>
    <row r="6724" spans="1:9">
      <c r="A6724" t="s">
        <v>4</v>
      </c>
      <c r="B6724" s="4" t="s">
        <v>5</v>
      </c>
      <c r="C6724" s="4" t="s">
        <v>11</v>
      </c>
      <c r="D6724" s="4" t="s">
        <v>7</v>
      </c>
      <c r="E6724" s="4" t="s">
        <v>15</v>
      </c>
      <c r="F6724" s="4" t="s">
        <v>55</v>
      </c>
      <c r="G6724" s="4" t="s">
        <v>7</v>
      </c>
      <c r="H6724" s="4" t="s">
        <v>7</v>
      </c>
      <c r="I6724" s="4" t="s">
        <v>7</v>
      </c>
      <c r="J6724" s="4" t="s">
        <v>15</v>
      </c>
      <c r="K6724" s="4" t="s">
        <v>55</v>
      </c>
      <c r="L6724" s="4" t="s">
        <v>7</v>
      </c>
      <c r="M6724" s="4" t="s">
        <v>7</v>
      </c>
    </row>
    <row r="6725" spans="1:9">
      <c r="A6725" t="n">
        <v>62068</v>
      </c>
      <c r="B6725" s="55" t="n">
        <v>26</v>
      </c>
      <c r="C6725" s="7" t="n">
        <v>0</v>
      </c>
      <c r="D6725" s="7" t="n">
        <v>17</v>
      </c>
      <c r="E6725" s="7" t="n">
        <v>63927</v>
      </c>
      <c r="F6725" s="7" t="s">
        <v>601</v>
      </c>
      <c r="G6725" s="7" t="n">
        <v>2</v>
      </c>
      <c r="H6725" s="7" t="n">
        <v>3</v>
      </c>
      <c r="I6725" s="7" t="n">
        <v>17</v>
      </c>
      <c r="J6725" s="7" t="n">
        <v>63928</v>
      </c>
      <c r="K6725" s="7" t="s">
        <v>602</v>
      </c>
      <c r="L6725" s="7" t="n">
        <v>2</v>
      </c>
      <c r="M6725" s="7" t="n">
        <v>0</v>
      </c>
    </row>
    <row r="6726" spans="1:9">
      <c r="A6726" t="s">
        <v>4</v>
      </c>
      <c r="B6726" s="4" t="s">
        <v>5</v>
      </c>
    </row>
    <row r="6727" spans="1:9">
      <c r="A6727" t="n">
        <v>62206</v>
      </c>
      <c r="B6727" s="27" t="n">
        <v>28</v>
      </c>
    </row>
    <row r="6728" spans="1:9">
      <c r="A6728" t="s">
        <v>4</v>
      </c>
      <c r="B6728" s="4" t="s">
        <v>5</v>
      </c>
      <c r="C6728" s="4" t="s">
        <v>7</v>
      </c>
      <c r="D6728" s="4" t="s">
        <v>11</v>
      </c>
      <c r="E6728" s="4" t="s">
        <v>8</v>
      </c>
    </row>
    <row r="6729" spans="1:9">
      <c r="A6729" t="n">
        <v>62207</v>
      </c>
      <c r="B6729" s="38" t="n">
        <v>51</v>
      </c>
      <c r="C6729" s="7" t="n">
        <v>4</v>
      </c>
      <c r="D6729" s="7" t="n">
        <v>7</v>
      </c>
      <c r="E6729" s="7" t="s">
        <v>450</v>
      </c>
    </row>
    <row r="6730" spans="1:9">
      <c r="A6730" t="s">
        <v>4</v>
      </c>
      <c r="B6730" s="4" t="s">
        <v>5</v>
      </c>
      <c r="C6730" s="4" t="s">
        <v>11</v>
      </c>
    </row>
    <row r="6731" spans="1:9">
      <c r="A6731" t="n">
        <v>62221</v>
      </c>
      <c r="B6731" s="29" t="n">
        <v>16</v>
      </c>
      <c r="C6731" s="7" t="n">
        <v>0</v>
      </c>
    </row>
    <row r="6732" spans="1:9">
      <c r="A6732" t="s">
        <v>4</v>
      </c>
      <c r="B6732" s="4" t="s">
        <v>5</v>
      </c>
      <c r="C6732" s="4" t="s">
        <v>11</v>
      </c>
      <c r="D6732" s="4" t="s">
        <v>7</v>
      </c>
      <c r="E6732" s="4" t="s">
        <v>15</v>
      </c>
      <c r="F6732" s="4" t="s">
        <v>55</v>
      </c>
      <c r="G6732" s="4" t="s">
        <v>7</v>
      </c>
      <c r="H6732" s="4" t="s">
        <v>7</v>
      </c>
    </row>
    <row r="6733" spans="1:9">
      <c r="A6733" t="n">
        <v>62224</v>
      </c>
      <c r="B6733" s="55" t="n">
        <v>26</v>
      </c>
      <c r="C6733" s="7" t="n">
        <v>7</v>
      </c>
      <c r="D6733" s="7" t="n">
        <v>17</v>
      </c>
      <c r="E6733" s="7" t="n">
        <v>4816</v>
      </c>
      <c r="F6733" s="7" t="s">
        <v>603</v>
      </c>
      <c r="G6733" s="7" t="n">
        <v>2</v>
      </c>
      <c r="H6733" s="7" t="n">
        <v>0</v>
      </c>
    </row>
    <row r="6734" spans="1:9">
      <c r="A6734" t="s">
        <v>4</v>
      </c>
      <c r="B6734" s="4" t="s">
        <v>5</v>
      </c>
    </row>
    <row r="6735" spans="1:9">
      <c r="A6735" t="n">
        <v>62249</v>
      </c>
      <c r="B6735" s="27" t="n">
        <v>28</v>
      </c>
    </row>
    <row r="6736" spans="1:9">
      <c r="A6736" t="s">
        <v>4</v>
      </c>
      <c r="B6736" s="4" t="s">
        <v>5</v>
      </c>
      <c r="C6736" s="4" t="s">
        <v>11</v>
      </c>
      <c r="D6736" s="4" t="s">
        <v>7</v>
      </c>
      <c r="E6736" s="4" t="s">
        <v>8</v>
      </c>
      <c r="F6736" s="4" t="s">
        <v>13</v>
      </c>
      <c r="G6736" s="4" t="s">
        <v>13</v>
      </c>
      <c r="H6736" s="4" t="s">
        <v>13</v>
      </c>
    </row>
    <row r="6737" spans="1:13">
      <c r="A6737" t="n">
        <v>62250</v>
      </c>
      <c r="B6737" s="42" t="n">
        <v>48</v>
      </c>
      <c r="C6737" s="7" t="n">
        <v>7</v>
      </c>
      <c r="D6737" s="7" t="n">
        <v>0</v>
      </c>
      <c r="E6737" s="7" t="s">
        <v>91</v>
      </c>
      <c r="F6737" s="7" t="n">
        <v>-1</v>
      </c>
      <c r="G6737" s="7" t="n">
        <v>1</v>
      </c>
      <c r="H6737" s="7" t="n">
        <v>0</v>
      </c>
    </row>
    <row r="6738" spans="1:13">
      <c r="A6738" t="s">
        <v>4</v>
      </c>
      <c r="B6738" s="4" t="s">
        <v>5</v>
      </c>
      <c r="C6738" s="4" t="s">
        <v>11</v>
      </c>
    </row>
    <row r="6739" spans="1:13">
      <c r="A6739" t="n">
        <v>62281</v>
      </c>
      <c r="B6739" s="29" t="n">
        <v>16</v>
      </c>
      <c r="C6739" s="7" t="n">
        <v>500</v>
      </c>
    </row>
    <row r="6740" spans="1:13">
      <c r="A6740" t="s">
        <v>4</v>
      </c>
      <c r="B6740" s="4" t="s">
        <v>5</v>
      </c>
      <c r="C6740" s="4" t="s">
        <v>7</v>
      </c>
      <c r="D6740" s="4" t="s">
        <v>11</v>
      </c>
      <c r="E6740" s="4" t="s">
        <v>8</v>
      </c>
    </row>
    <row r="6741" spans="1:13">
      <c r="A6741" t="n">
        <v>62284</v>
      </c>
      <c r="B6741" s="38" t="n">
        <v>51</v>
      </c>
      <c r="C6741" s="7" t="n">
        <v>4</v>
      </c>
      <c r="D6741" s="7" t="n">
        <v>7</v>
      </c>
      <c r="E6741" s="7" t="s">
        <v>192</v>
      </c>
    </row>
    <row r="6742" spans="1:13">
      <c r="A6742" t="s">
        <v>4</v>
      </c>
      <c r="B6742" s="4" t="s">
        <v>5</v>
      </c>
      <c r="C6742" s="4" t="s">
        <v>11</v>
      </c>
    </row>
    <row r="6743" spans="1:13">
      <c r="A6743" t="n">
        <v>62297</v>
      </c>
      <c r="B6743" s="29" t="n">
        <v>16</v>
      </c>
      <c r="C6743" s="7" t="n">
        <v>0</v>
      </c>
    </row>
    <row r="6744" spans="1:13">
      <c r="A6744" t="s">
        <v>4</v>
      </c>
      <c r="B6744" s="4" t="s">
        <v>5</v>
      </c>
      <c r="C6744" s="4" t="s">
        <v>11</v>
      </c>
      <c r="D6744" s="4" t="s">
        <v>7</v>
      </c>
      <c r="E6744" s="4" t="s">
        <v>15</v>
      </c>
      <c r="F6744" s="4" t="s">
        <v>55</v>
      </c>
      <c r="G6744" s="4" t="s">
        <v>7</v>
      </c>
      <c r="H6744" s="4" t="s">
        <v>7</v>
      </c>
      <c r="I6744" s="4" t="s">
        <v>7</v>
      </c>
      <c r="J6744" s="4" t="s">
        <v>15</v>
      </c>
      <c r="K6744" s="4" t="s">
        <v>55</v>
      </c>
      <c r="L6744" s="4" t="s">
        <v>7</v>
      </c>
      <c r="M6744" s="4" t="s">
        <v>7</v>
      </c>
    </row>
    <row r="6745" spans="1:13">
      <c r="A6745" t="n">
        <v>62300</v>
      </c>
      <c r="B6745" s="55" t="n">
        <v>26</v>
      </c>
      <c r="C6745" s="7" t="n">
        <v>7</v>
      </c>
      <c r="D6745" s="7" t="n">
        <v>17</v>
      </c>
      <c r="E6745" s="7" t="n">
        <v>4817</v>
      </c>
      <c r="F6745" s="7" t="s">
        <v>604</v>
      </c>
      <c r="G6745" s="7" t="n">
        <v>2</v>
      </c>
      <c r="H6745" s="7" t="n">
        <v>3</v>
      </c>
      <c r="I6745" s="7" t="n">
        <v>17</v>
      </c>
      <c r="J6745" s="7" t="n">
        <v>4818</v>
      </c>
      <c r="K6745" s="7" t="s">
        <v>605</v>
      </c>
      <c r="L6745" s="7" t="n">
        <v>2</v>
      </c>
      <c r="M6745" s="7" t="n">
        <v>0</v>
      </c>
    </row>
    <row r="6746" spans="1:13">
      <c r="A6746" t="s">
        <v>4</v>
      </c>
      <c r="B6746" s="4" t="s">
        <v>5</v>
      </c>
    </row>
    <row r="6747" spans="1:13">
      <c r="A6747" t="n">
        <v>62478</v>
      </c>
      <c r="B6747" s="27" t="n">
        <v>28</v>
      </c>
    </row>
    <row r="6748" spans="1:13">
      <c r="A6748" t="s">
        <v>4</v>
      </c>
      <c r="B6748" s="4" t="s">
        <v>5</v>
      </c>
      <c r="C6748" s="4" t="s">
        <v>7</v>
      </c>
      <c r="D6748" s="4" t="s">
        <v>11</v>
      </c>
      <c r="E6748" s="4" t="s">
        <v>8</v>
      </c>
    </row>
    <row r="6749" spans="1:13">
      <c r="A6749" t="n">
        <v>62479</v>
      </c>
      <c r="B6749" s="38" t="n">
        <v>51</v>
      </c>
      <c r="C6749" s="7" t="n">
        <v>4</v>
      </c>
      <c r="D6749" s="7" t="n">
        <v>0</v>
      </c>
      <c r="E6749" s="7" t="s">
        <v>147</v>
      </c>
    </row>
    <row r="6750" spans="1:13">
      <c r="A6750" t="s">
        <v>4</v>
      </c>
      <c r="B6750" s="4" t="s">
        <v>5</v>
      </c>
      <c r="C6750" s="4" t="s">
        <v>11</v>
      </c>
    </row>
    <row r="6751" spans="1:13">
      <c r="A6751" t="n">
        <v>62493</v>
      </c>
      <c r="B6751" s="29" t="n">
        <v>16</v>
      </c>
      <c r="C6751" s="7" t="n">
        <v>0</v>
      </c>
    </row>
    <row r="6752" spans="1:13">
      <c r="A6752" t="s">
        <v>4</v>
      </c>
      <c r="B6752" s="4" t="s">
        <v>5</v>
      </c>
      <c r="C6752" s="4" t="s">
        <v>11</v>
      </c>
      <c r="D6752" s="4" t="s">
        <v>7</v>
      </c>
      <c r="E6752" s="4" t="s">
        <v>15</v>
      </c>
      <c r="F6752" s="4" t="s">
        <v>55</v>
      </c>
      <c r="G6752" s="4" t="s">
        <v>7</v>
      </c>
      <c r="H6752" s="4" t="s">
        <v>7</v>
      </c>
    </row>
    <row r="6753" spans="1:13">
      <c r="A6753" t="n">
        <v>62496</v>
      </c>
      <c r="B6753" s="55" t="n">
        <v>26</v>
      </c>
      <c r="C6753" s="7" t="n">
        <v>0</v>
      </c>
      <c r="D6753" s="7" t="n">
        <v>17</v>
      </c>
      <c r="E6753" s="7" t="n">
        <v>63929</v>
      </c>
      <c r="F6753" s="7" t="s">
        <v>606</v>
      </c>
      <c r="G6753" s="7" t="n">
        <v>2</v>
      </c>
      <c r="H6753" s="7" t="n">
        <v>0</v>
      </c>
    </row>
    <row r="6754" spans="1:13">
      <c r="A6754" t="s">
        <v>4</v>
      </c>
      <c r="B6754" s="4" t="s">
        <v>5</v>
      </c>
    </row>
    <row r="6755" spans="1:13">
      <c r="A6755" t="n">
        <v>62521</v>
      </c>
      <c r="B6755" s="27" t="n">
        <v>28</v>
      </c>
    </row>
    <row r="6756" spans="1:13">
      <c r="A6756" t="s">
        <v>4</v>
      </c>
      <c r="B6756" s="4" t="s">
        <v>5</v>
      </c>
      <c r="C6756" s="4" t="s">
        <v>11</v>
      </c>
      <c r="D6756" s="4" t="s">
        <v>7</v>
      </c>
    </row>
    <row r="6757" spans="1:13">
      <c r="A6757" t="n">
        <v>62522</v>
      </c>
      <c r="B6757" s="68" t="n">
        <v>89</v>
      </c>
      <c r="C6757" s="7" t="n">
        <v>65533</v>
      </c>
      <c r="D6757" s="7" t="n">
        <v>1</v>
      </c>
    </row>
    <row r="6758" spans="1:13">
      <c r="A6758" t="s">
        <v>4</v>
      </c>
      <c r="B6758" s="4" t="s">
        <v>5</v>
      </c>
      <c r="C6758" s="4" t="s">
        <v>7</v>
      </c>
      <c r="D6758" s="4" t="s">
        <v>11</v>
      </c>
      <c r="E6758" s="4" t="s">
        <v>13</v>
      </c>
    </row>
    <row r="6759" spans="1:13">
      <c r="A6759" t="n">
        <v>62526</v>
      </c>
      <c r="B6759" s="23" t="n">
        <v>58</v>
      </c>
      <c r="C6759" s="7" t="n">
        <v>101</v>
      </c>
      <c r="D6759" s="7" t="n">
        <v>500</v>
      </c>
      <c r="E6759" s="7" t="n">
        <v>1</v>
      </c>
    </row>
    <row r="6760" spans="1:13">
      <c r="A6760" t="s">
        <v>4</v>
      </c>
      <c r="B6760" s="4" t="s">
        <v>5</v>
      </c>
      <c r="C6760" s="4" t="s">
        <v>7</v>
      </c>
      <c r="D6760" s="4" t="s">
        <v>11</v>
      </c>
    </row>
    <row r="6761" spans="1:13">
      <c r="A6761" t="n">
        <v>62534</v>
      </c>
      <c r="B6761" s="23" t="n">
        <v>58</v>
      </c>
      <c r="C6761" s="7" t="n">
        <v>254</v>
      </c>
      <c r="D6761" s="7" t="n">
        <v>0</v>
      </c>
    </row>
    <row r="6762" spans="1:13">
      <c r="A6762" t="s">
        <v>4</v>
      </c>
      <c r="B6762" s="4" t="s">
        <v>5</v>
      </c>
      <c r="C6762" s="4" t="s">
        <v>7</v>
      </c>
      <c r="D6762" s="4" t="s">
        <v>7</v>
      </c>
      <c r="E6762" s="4" t="s">
        <v>13</v>
      </c>
      <c r="F6762" s="4" t="s">
        <v>13</v>
      </c>
      <c r="G6762" s="4" t="s">
        <v>13</v>
      </c>
      <c r="H6762" s="4" t="s">
        <v>11</v>
      </c>
    </row>
    <row r="6763" spans="1:13">
      <c r="A6763" t="n">
        <v>62538</v>
      </c>
      <c r="B6763" s="51" t="n">
        <v>45</v>
      </c>
      <c r="C6763" s="7" t="n">
        <v>2</v>
      </c>
      <c r="D6763" s="7" t="n">
        <v>3</v>
      </c>
      <c r="E6763" s="7" t="n">
        <v>-7.36999988555908</v>
      </c>
      <c r="F6763" s="7" t="n">
        <v>6.34999990463257</v>
      </c>
      <c r="G6763" s="7" t="n">
        <v>29.8400001525879</v>
      </c>
      <c r="H6763" s="7" t="n">
        <v>0</v>
      </c>
    </row>
    <row r="6764" spans="1:13">
      <c r="A6764" t="s">
        <v>4</v>
      </c>
      <c r="B6764" s="4" t="s">
        <v>5</v>
      </c>
      <c r="C6764" s="4" t="s">
        <v>7</v>
      </c>
      <c r="D6764" s="4" t="s">
        <v>7</v>
      </c>
      <c r="E6764" s="4" t="s">
        <v>13</v>
      </c>
      <c r="F6764" s="4" t="s">
        <v>13</v>
      </c>
      <c r="G6764" s="4" t="s">
        <v>13</v>
      </c>
      <c r="H6764" s="4" t="s">
        <v>11</v>
      </c>
      <c r="I6764" s="4" t="s">
        <v>7</v>
      </c>
    </row>
    <row r="6765" spans="1:13">
      <c r="A6765" t="n">
        <v>62555</v>
      </c>
      <c r="B6765" s="51" t="n">
        <v>45</v>
      </c>
      <c r="C6765" s="7" t="n">
        <v>4</v>
      </c>
      <c r="D6765" s="7" t="n">
        <v>3</v>
      </c>
      <c r="E6765" s="7" t="n">
        <v>8.11999988555908</v>
      </c>
      <c r="F6765" s="7" t="n">
        <v>60.310001373291</v>
      </c>
      <c r="G6765" s="7" t="n">
        <v>354</v>
      </c>
      <c r="H6765" s="7" t="n">
        <v>0</v>
      </c>
      <c r="I6765" s="7" t="n">
        <v>0</v>
      </c>
    </row>
    <row r="6766" spans="1:13">
      <c r="A6766" t="s">
        <v>4</v>
      </c>
      <c r="B6766" s="4" t="s">
        <v>5</v>
      </c>
      <c r="C6766" s="4" t="s">
        <v>7</v>
      </c>
      <c r="D6766" s="4" t="s">
        <v>7</v>
      </c>
      <c r="E6766" s="4" t="s">
        <v>13</v>
      </c>
      <c r="F6766" s="4" t="s">
        <v>11</v>
      </c>
    </row>
    <row r="6767" spans="1:13">
      <c r="A6767" t="n">
        <v>62573</v>
      </c>
      <c r="B6767" s="51" t="n">
        <v>45</v>
      </c>
      <c r="C6767" s="7" t="n">
        <v>5</v>
      </c>
      <c r="D6767" s="7" t="n">
        <v>3</v>
      </c>
      <c r="E6767" s="7" t="n">
        <v>0.800000011920929</v>
      </c>
      <c r="F6767" s="7" t="n">
        <v>0</v>
      </c>
    </row>
    <row r="6768" spans="1:13">
      <c r="A6768" t="s">
        <v>4</v>
      </c>
      <c r="B6768" s="4" t="s">
        <v>5</v>
      </c>
      <c r="C6768" s="4" t="s">
        <v>7</v>
      </c>
      <c r="D6768" s="4" t="s">
        <v>7</v>
      </c>
      <c r="E6768" s="4" t="s">
        <v>13</v>
      </c>
      <c r="F6768" s="4" t="s">
        <v>11</v>
      </c>
    </row>
    <row r="6769" spans="1:9">
      <c r="A6769" t="n">
        <v>62582</v>
      </c>
      <c r="B6769" s="51" t="n">
        <v>45</v>
      </c>
      <c r="C6769" s="7" t="n">
        <v>11</v>
      </c>
      <c r="D6769" s="7" t="n">
        <v>3</v>
      </c>
      <c r="E6769" s="7" t="n">
        <v>40.2999992370605</v>
      </c>
      <c r="F6769" s="7" t="n">
        <v>0</v>
      </c>
    </row>
    <row r="6770" spans="1:9">
      <c r="A6770" t="s">
        <v>4</v>
      </c>
      <c r="B6770" s="4" t="s">
        <v>5</v>
      </c>
      <c r="C6770" s="4" t="s">
        <v>7</v>
      </c>
      <c r="D6770" s="4" t="s">
        <v>11</v>
      </c>
    </row>
    <row r="6771" spans="1:9">
      <c r="A6771" t="n">
        <v>62591</v>
      </c>
      <c r="B6771" s="23" t="n">
        <v>58</v>
      </c>
      <c r="C6771" s="7" t="n">
        <v>255</v>
      </c>
      <c r="D6771" s="7" t="n">
        <v>0</v>
      </c>
    </row>
    <row r="6772" spans="1:9">
      <c r="A6772" t="s">
        <v>4</v>
      </c>
      <c r="B6772" s="4" t="s">
        <v>5</v>
      </c>
      <c r="C6772" s="4" t="s">
        <v>7</v>
      </c>
      <c r="D6772" s="4" t="s">
        <v>11</v>
      </c>
      <c r="E6772" s="4" t="s">
        <v>8</v>
      </c>
    </row>
    <row r="6773" spans="1:9">
      <c r="A6773" t="n">
        <v>62595</v>
      </c>
      <c r="B6773" s="38" t="n">
        <v>51</v>
      </c>
      <c r="C6773" s="7" t="n">
        <v>4</v>
      </c>
      <c r="D6773" s="7" t="n">
        <v>7</v>
      </c>
      <c r="E6773" s="7" t="s">
        <v>607</v>
      </c>
    </row>
    <row r="6774" spans="1:9">
      <c r="A6774" t="s">
        <v>4</v>
      </c>
      <c r="B6774" s="4" t="s">
        <v>5</v>
      </c>
      <c r="C6774" s="4" t="s">
        <v>11</v>
      </c>
    </row>
    <row r="6775" spans="1:9">
      <c r="A6775" t="n">
        <v>62608</v>
      </c>
      <c r="B6775" s="29" t="n">
        <v>16</v>
      </c>
      <c r="C6775" s="7" t="n">
        <v>0</v>
      </c>
    </row>
    <row r="6776" spans="1:9">
      <c r="A6776" t="s">
        <v>4</v>
      </c>
      <c r="B6776" s="4" t="s">
        <v>5</v>
      </c>
      <c r="C6776" s="4" t="s">
        <v>11</v>
      </c>
      <c r="D6776" s="4" t="s">
        <v>7</v>
      </c>
      <c r="E6776" s="4" t="s">
        <v>15</v>
      </c>
      <c r="F6776" s="4" t="s">
        <v>55</v>
      </c>
      <c r="G6776" s="4" t="s">
        <v>7</v>
      </c>
      <c r="H6776" s="4" t="s">
        <v>7</v>
      </c>
      <c r="I6776" s="4" t="s">
        <v>7</v>
      </c>
      <c r="J6776" s="4" t="s">
        <v>15</v>
      </c>
      <c r="K6776" s="4" t="s">
        <v>55</v>
      </c>
      <c r="L6776" s="4" t="s">
        <v>7</v>
      </c>
      <c r="M6776" s="4" t="s">
        <v>7</v>
      </c>
      <c r="N6776" s="4" t="s">
        <v>7</v>
      </c>
      <c r="O6776" s="4" t="s">
        <v>15</v>
      </c>
      <c r="P6776" s="4" t="s">
        <v>55</v>
      </c>
      <c r="Q6776" s="4" t="s">
        <v>7</v>
      </c>
      <c r="R6776" s="4" t="s">
        <v>7</v>
      </c>
      <c r="S6776" s="4" t="s">
        <v>7</v>
      </c>
      <c r="T6776" s="4" t="s">
        <v>15</v>
      </c>
      <c r="U6776" s="4" t="s">
        <v>55</v>
      </c>
      <c r="V6776" s="4" t="s">
        <v>7</v>
      </c>
      <c r="W6776" s="4" t="s">
        <v>7</v>
      </c>
    </row>
    <row r="6777" spans="1:9">
      <c r="A6777" t="n">
        <v>62611</v>
      </c>
      <c r="B6777" s="55" t="n">
        <v>26</v>
      </c>
      <c r="C6777" s="7" t="n">
        <v>7</v>
      </c>
      <c r="D6777" s="7" t="n">
        <v>17</v>
      </c>
      <c r="E6777" s="7" t="n">
        <v>4819</v>
      </c>
      <c r="F6777" s="7" t="s">
        <v>608</v>
      </c>
      <c r="G6777" s="7" t="n">
        <v>2</v>
      </c>
      <c r="H6777" s="7" t="n">
        <v>3</v>
      </c>
      <c r="I6777" s="7" t="n">
        <v>17</v>
      </c>
      <c r="J6777" s="7" t="n">
        <v>4820</v>
      </c>
      <c r="K6777" s="7" t="s">
        <v>609</v>
      </c>
      <c r="L6777" s="7" t="n">
        <v>2</v>
      </c>
      <c r="M6777" s="7" t="n">
        <v>3</v>
      </c>
      <c r="N6777" s="7" t="n">
        <v>17</v>
      </c>
      <c r="O6777" s="7" t="n">
        <v>4821</v>
      </c>
      <c r="P6777" s="7" t="s">
        <v>610</v>
      </c>
      <c r="Q6777" s="7" t="n">
        <v>2</v>
      </c>
      <c r="R6777" s="7" t="n">
        <v>3</v>
      </c>
      <c r="S6777" s="7" t="n">
        <v>17</v>
      </c>
      <c r="T6777" s="7" t="n">
        <v>4822</v>
      </c>
      <c r="U6777" s="7" t="s">
        <v>611</v>
      </c>
      <c r="V6777" s="7" t="n">
        <v>2</v>
      </c>
      <c r="W6777" s="7" t="n">
        <v>0</v>
      </c>
    </row>
    <row r="6778" spans="1:9">
      <c r="A6778" t="s">
        <v>4</v>
      </c>
      <c r="B6778" s="4" t="s">
        <v>5</v>
      </c>
    </row>
    <row r="6779" spans="1:9">
      <c r="A6779" t="n">
        <v>62994</v>
      </c>
      <c r="B6779" s="27" t="n">
        <v>28</v>
      </c>
    </row>
    <row r="6780" spans="1:9">
      <c r="A6780" t="s">
        <v>4</v>
      </c>
      <c r="B6780" s="4" t="s">
        <v>5</v>
      </c>
      <c r="C6780" s="4" t="s">
        <v>7</v>
      </c>
      <c r="D6780" s="4" t="s">
        <v>11</v>
      </c>
      <c r="E6780" s="4" t="s">
        <v>8</v>
      </c>
    </row>
    <row r="6781" spans="1:9">
      <c r="A6781" t="n">
        <v>62995</v>
      </c>
      <c r="B6781" s="38" t="n">
        <v>51</v>
      </c>
      <c r="C6781" s="7" t="n">
        <v>4</v>
      </c>
      <c r="D6781" s="7" t="n">
        <v>0</v>
      </c>
      <c r="E6781" s="7" t="s">
        <v>173</v>
      </c>
    </row>
    <row r="6782" spans="1:9">
      <c r="A6782" t="s">
        <v>4</v>
      </c>
      <c r="B6782" s="4" t="s">
        <v>5</v>
      </c>
      <c r="C6782" s="4" t="s">
        <v>11</v>
      </c>
    </row>
    <row r="6783" spans="1:9">
      <c r="A6783" t="n">
        <v>63008</v>
      </c>
      <c r="B6783" s="29" t="n">
        <v>16</v>
      </c>
      <c r="C6783" s="7" t="n">
        <v>0</v>
      </c>
    </row>
    <row r="6784" spans="1:9">
      <c r="A6784" t="s">
        <v>4</v>
      </c>
      <c r="B6784" s="4" t="s">
        <v>5</v>
      </c>
      <c r="C6784" s="4" t="s">
        <v>11</v>
      </c>
      <c r="D6784" s="4" t="s">
        <v>7</v>
      </c>
      <c r="E6784" s="4" t="s">
        <v>15</v>
      </c>
      <c r="F6784" s="4" t="s">
        <v>55</v>
      </c>
      <c r="G6784" s="4" t="s">
        <v>7</v>
      </c>
      <c r="H6784" s="4" t="s">
        <v>7</v>
      </c>
    </row>
    <row r="6785" spans="1:23">
      <c r="A6785" t="n">
        <v>63011</v>
      </c>
      <c r="B6785" s="55" t="n">
        <v>26</v>
      </c>
      <c r="C6785" s="7" t="n">
        <v>0</v>
      </c>
      <c r="D6785" s="7" t="n">
        <v>17</v>
      </c>
      <c r="E6785" s="7" t="n">
        <v>63930</v>
      </c>
      <c r="F6785" s="7" t="s">
        <v>612</v>
      </c>
      <c r="G6785" s="7" t="n">
        <v>2</v>
      </c>
      <c r="H6785" s="7" t="n">
        <v>0</v>
      </c>
    </row>
    <row r="6786" spans="1:23">
      <c r="A6786" t="s">
        <v>4</v>
      </c>
      <c r="B6786" s="4" t="s">
        <v>5</v>
      </c>
    </row>
    <row r="6787" spans="1:23">
      <c r="A6787" t="n">
        <v>63030</v>
      </c>
      <c r="B6787" s="27" t="n">
        <v>28</v>
      </c>
    </row>
    <row r="6788" spans="1:23">
      <c r="A6788" t="s">
        <v>4</v>
      </c>
      <c r="B6788" s="4" t="s">
        <v>5</v>
      </c>
      <c r="C6788" s="4" t="s">
        <v>11</v>
      </c>
      <c r="D6788" s="4" t="s">
        <v>7</v>
      </c>
    </row>
    <row r="6789" spans="1:23">
      <c r="A6789" t="n">
        <v>63031</v>
      </c>
      <c r="B6789" s="68" t="n">
        <v>89</v>
      </c>
      <c r="C6789" s="7" t="n">
        <v>65533</v>
      </c>
      <c r="D6789" s="7" t="n">
        <v>1</v>
      </c>
    </row>
    <row r="6790" spans="1:23">
      <c r="A6790" t="s">
        <v>4</v>
      </c>
      <c r="B6790" s="4" t="s">
        <v>5</v>
      </c>
      <c r="C6790" s="4" t="s">
        <v>7</v>
      </c>
      <c r="D6790" s="4" t="s">
        <v>11</v>
      </c>
      <c r="E6790" s="4" t="s">
        <v>13</v>
      </c>
    </row>
    <row r="6791" spans="1:23">
      <c r="A6791" t="n">
        <v>63035</v>
      </c>
      <c r="B6791" s="23" t="n">
        <v>58</v>
      </c>
      <c r="C6791" s="7" t="n">
        <v>101</v>
      </c>
      <c r="D6791" s="7" t="n">
        <v>500</v>
      </c>
      <c r="E6791" s="7" t="n">
        <v>1</v>
      </c>
    </row>
    <row r="6792" spans="1:23">
      <c r="A6792" t="s">
        <v>4</v>
      </c>
      <c r="B6792" s="4" t="s">
        <v>5</v>
      </c>
      <c r="C6792" s="4" t="s">
        <v>7</v>
      </c>
      <c r="D6792" s="4" t="s">
        <v>11</v>
      </c>
    </row>
    <row r="6793" spans="1:23">
      <c r="A6793" t="n">
        <v>63043</v>
      </c>
      <c r="B6793" s="23" t="n">
        <v>58</v>
      </c>
      <c r="C6793" s="7" t="n">
        <v>254</v>
      </c>
      <c r="D6793" s="7" t="n">
        <v>0</v>
      </c>
    </row>
    <row r="6794" spans="1:23">
      <c r="A6794" t="s">
        <v>4</v>
      </c>
      <c r="B6794" s="4" t="s">
        <v>5</v>
      </c>
      <c r="C6794" s="4" t="s">
        <v>11</v>
      </c>
      <c r="D6794" s="4" t="s">
        <v>13</v>
      </c>
      <c r="E6794" s="4" t="s">
        <v>13</v>
      </c>
      <c r="F6794" s="4" t="s">
        <v>13</v>
      </c>
      <c r="G6794" s="4" t="s">
        <v>13</v>
      </c>
    </row>
    <row r="6795" spans="1:23">
      <c r="A6795" t="n">
        <v>63047</v>
      </c>
      <c r="B6795" s="36" t="n">
        <v>46</v>
      </c>
      <c r="C6795" s="7" t="n">
        <v>7</v>
      </c>
      <c r="D6795" s="7" t="n">
        <v>-6.92000007629395</v>
      </c>
      <c r="E6795" s="7" t="n">
        <v>5</v>
      </c>
      <c r="F6795" s="7" t="n">
        <v>29.8600006103516</v>
      </c>
      <c r="G6795" s="7" t="n">
        <v>83.9000015258789</v>
      </c>
    </row>
    <row r="6796" spans="1:23">
      <c r="A6796" t="s">
        <v>4</v>
      </c>
      <c r="B6796" s="4" t="s">
        <v>5</v>
      </c>
      <c r="C6796" s="4" t="s">
        <v>11</v>
      </c>
      <c r="D6796" s="4" t="s">
        <v>13</v>
      </c>
      <c r="E6796" s="4" t="s">
        <v>13</v>
      </c>
      <c r="F6796" s="4" t="s">
        <v>13</v>
      </c>
      <c r="G6796" s="4" t="s">
        <v>11</v>
      </c>
      <c r="H6796" s="4" t="s">
        <v>11</v>
      </c>
    </row>
    <row r="6797" spans="1:23">
      <c r="A6797" t="n">
        <v>63066</v>
      </c>
      <c r="B6797" s="37" t="n">
        <v>60</v>
      </c>
      <c r="C6797" s="7" t="n">
        <v>0</v>
      </c>
      <c r="D6797" s="7" t="n">
        <v>0</v>
      </c>
      <c r="E6797" s="7" t="n">
        <v>0</v>
      </c>
      <c r="F6797" s="7" t="n">
        <v>0</v>
      </c>
      <c r="G6797" s="7" t="n">
        <v>0</v>
      </c>
      <c r="H6797" s="7" t="n">
        <v>1</v>
      </c>
    </row>
    <row r="6798" spans="1:23">
      <c r="A6798" t="s">
        <v>4</v>
      </c>
      <c r="B6798" s="4" t="s">
        <v>5</v>
      </c>
      <c r="C6798" s="4" t="s">
        <v>11</v>
      </c>
      <c r="D6798" s="4" t="s">
        <v>13</v>
      </c>
      <c r="E6798" s="4" t="s">
        <v>13</v>
      </c>
      <c r="F6798" s="4" t="s">
        <v>13</v>
      </c>
      <c r="G6798" s="4" t="s">
        <v>11</v>
      </c>
      <c r="H6798" s="4" t="s">
        <v>11</v>
      </c>
    </row>
    <row r="6799" spans="1:23">
      <c r="A6799" t="n">
        <v>63085</v>
      </c>
      <c r="B6799" s="37" t="n">
        <v>60</v>
      </c>
      <c r="C6799" s="7" t="n">
        <v>0</v>
      </c>
      <c r="D6799" s="7" t="n">
        <v>0</v>
      </c>
      <c r="E6799" s="7" t="n">
        <v>0</v>
      </c>
      <c r="F6799" s="7" t="n">
        <v>0</v>
      </c>
      <c r="G6799" s="7" t="n">
        <v>0</v>
      </c>
      <c r="H6799" s="7" t="n">
        <v>0</v>
      </c>
    </row>
    <row r="6800" spans="1:23">
      <c r="A6800" t="s">
        <v>4</v>
      </c>
      <c r="B6800" s="4" t="s">
        <v>5</v>
      </c>
      <c r="C6800" s="4" t="s">
        <v>11</v>
      </c>
      <c r="D6800" s="4" t="s">
        <v>11</v>
      </c>
      <c r="E6800" s="4" t="s">
        <v>11</v>
      </c>
    </row>
    <row r="6801" spans="1:8">
      <c r="A6801" t="n">
        <v>63104</v>
      </c>
      <c r="B6801" s="72" t="n">
        <v>61</v>
      </c>
      <c r="C6801" s="7" t="n">
        <v>0</v>
      </c>
      <c r="D6801" s="7" t="n">
        <v>65533</v>
      </c>
      <c r="E6801" s="7" t="n">
        <v>0</v>
      </c>
    </row>
    <row r="6802" spans="1:8">
      <c r="A6802" t="s">
        <v>4</v>
      </c>
      <c r="B6802" s="4" t="s">
        <v>5</v>
      </c>
      <c r="C6802" s="4" t="s">
        <v>11</v>
      </c>
      <c r="D6802" s="4" t="s">
        <v>13</v>
      </c>
      <c r="E6802" s="4" t="s">
        <v>13</v>
      </c>
      <c r="F6802" s="4" t="s">
        <v>13</v>
      </c>
      <c r="G6802" s="4" t="s">
        <v>11</v>
      </c>
      <c r="H6802" s="4" t="s">
        <v>11</v>
      </c>
    </row>
    <row r="6803" spans="1:8">
      <c r="A6803" t="n">
        <v>63111</v>
      </c>
      <c r="B6803" s="37" t="n">
        <v>60</v>
      </c>
      <c r="C6803" s="7" t="n">
        <v>7</v>
      </c>
      <c r="D6803" s="7" t="n">
        <v>0</v>
      </c>
      <c r="E6803" s="7" t="n">
        <v>0</v>
      </c>
      <c r="F6803" s="7" t="n">
        <v>0</v>
      </c>
      <c r="G6803" s="7" t="n">
        <v>0</v>
      </c>
      <c r="H6803" s="7" t="n">
        <v>1</v>
      </c>
    </row>
    <row r="6804" spans="1:8">
      <c r="A6804" t="s">
        <v>4</v>
      </c>
      <c r="B6804" s="4" t="s">
        <v>5</v>
      </c>
      <c r="C6804" s="4" t="s">
        <v>11</v>
      </c>
      <c r="D6804" s="4" t="s">
        <v>13</v>
      </c>
      <c r="E6804" s="4" t="s">
        <v>13</v>
      </c>
      <c r="F6804" s="4" t="s">
        <v>13</v>
      </c>
      <c r="G6804" s="4" t="s">
        <v>11</v>
      </c>
      <c r="H6804" s="4" t="s">
        <v>11</v>
      </c>
    </row>
    <row r="6805" spans="1:8">
      <c r="A6805" t="n">
        <v>63130</v>
      </c>
      <c r="B6805" s="37" t="n">
        <v>60</v>
      </c>
      <c r="C6805" s="7" t="n">
        <v>7</v>
      </c>
      <c r="D6805" s="7" t="n">
        <v>0</v>
      </c>
      <c r="E6805" s="7" t="n">
        <v>0</v>
      </c>
      <c r="F6805" s="7" t="n">
        <v>0</v>
      </c>
      <c r="G6805" s="7" t="n">
        <v>0</v>
      </c>
      <c r="H6805" s="7" t="n">
        <v>0</v>
      </c>
    </row>
    <row r="6806" spans="1:8">
      <c r="A6806" t="s">
        <v>4</v>
      </c>
      <c r="B6806" s="4" t="s">
        <v>5</v>
      </c>
      <c r="C6806" s="4" t="s">
        <v>11</v>
      </c>
      <c r="D6806" s="4" t="s">
        <v>11</v>
      </c>
      <c r="E6806" s="4" t="s">
        <v>11</v>
      </c>
    </row>
    <row r="6807" spans="1:8">
      <c r="A6807" t="n">
        <v>63149</v>
      </c>
      <c r="B6807" s="72" t="n">
        <v>61</v>
      </c>
      <c r="C6807" s="7" t="n">
        <v>7</v>
      </c>
      <c r="D6807" s="7" t="n">
        <v>65533</v>
      </c>
      <c r="E6807" s="7" t="n">
        <v>0</v>
      </c>
    </row>
    <row r="6808" spans="1:8">
      <c r="A6808" t="s">
        <v>4</v>
      </c>
      <c r="B6808" s="4" t="s">
        <v>5</v>
      </c>
      <c r="C6808" s="4" t="s">
        <v>7</v>
      </c>
      <c r="D6808" s="4" t="s">
        <v>7</v>
      </c>
      <c r="E6808" s="4" t="s">
        <v>13</v>
      </c>
      <c r="F6808" s="4" t="s">
        <v>13</v>
      </c>
      <c r="G6808" s="4" t="s">
        <v>13</v>
      </c>
      <c r="H6808" s="4" t="s">
        <v>11</v>
      </c>
    </row>
    <row r="6809" spans="1:8">
      <c r="A6809" t="n">
        <v>63156</v>
      </c>
      <c r="B6809" s="51" t="n">
        <v>45</v>
      </c>
      <c r="C6809" s="7" t="n">
        <v>2</v>
      </c>
      <c r="D6809" s="7" t="n">
        <v>3</v>
      </c>
      <c r="E6809" s="7" t="n">
        <v>-6.73999977111816</v>
      </c>
      <c r="F6809" s="7" t="n">
        <v>6.01000022888184</v>
      </c>
      <c r="G6809" s="7" t="n">
        <v>29.9200000762939</v>
      </c>
      <c r="H6809" s="7" t="n">
        <v>0</v>
      </c>
    </row>
    <row r="6810" spans="1:8">
      <c r="A6810" t="s">
        <v>4</v>
      </c>
      <c r="B6810" s="4" t="s">
        <v>5</v>
      </c>
      <c r="C6810" s="4" t="s">
        <v>7</v>
      </c>
      <c r="D6810" s="4" t="s">
        <v>7</v>
      </c>
      <c r="E6810" s="4" t="s">
        <v>13</v>
      </c>
      <c r="F6810" s="4" t="s">
        <v>13</v>
      </c>
      <c r="G6810" s="4" t="s">
        <v>13</v>
      </c>
      <c r="H6810" s="4" t="s">
        <v>11</v>
      </c>
      <c r="I6810" s="4" t="s">
        <v>7</v>
      </c>
    </row>
    <row r="6811" spans="1:8">
      <c r="A6811" t="n">
        <v>63173</v>
      </c>
      <c r="B6811" s="51" t="n">
        <v>45</v>
      </c>
      <c r="C6811" s="7" t="n">
        <v>4</v>
      </c>
      <c r="D6811" s="7" t="n">
        <v>3</v>
      </c>
      <c r="E6811" s="7" t="n">
        <v>19.3700008392334</v>
      </c>
      <c r="F6811" s="7" t="n">
        <v>308.309997558594</v>
      </c>
      <c r="G6811" s="7" t="n">
        <v>354</v>
      </c>
      <c r="H6811" s="7" t="n">
        <v>0</v>
      </c>
      <c r="I6811" s="7" t="n">
        <v>0</v>
      </c>
    </row>
    <row r="6812" spans="1:8">
      <c r="A6812" t="s">
        <v>4</v>
      </c>
      <c r="B6812" s="4" t="s">
        <v>5</v>
      </c>
      <c r="C6812" s="4" t="s">
        <v>7</v>
      </c>
      <c r="D6812" s="4" t="s">
        <v>7</v>
      </c>
      <c r="E6812" s="4" t="s">
        <v>13</v>
      </c>
      <c r="F6812" s="4" t="s">
        <v>11</v>
      </c>
    </row>
    <row r="6813" spans="1:8">
      <c r="A6813" t="n">
        <v>63191</v>
      </c>
      <c r="B6813" s="51" t="n">
        <v>45</v>
      </c>
      <c r="C6813" s="7" t="n">
        <v>5</v>
      </c>
      <c r="D6813" s="7" t="n">
        <v>3</v>
      </c>
      <c r="E6813" s="7" t="n">
        <v>1</v>
      </c>
      <c r="F6813" s="7" t="n">
        <v>0</v>
      </c>
    </row>
    <row r="6814" spans="1:8">
      <c r="A6814" t="s">
        <v>4</v>
      </c>
      <c r="B6814" s="4" t="s">
        <v>5</v>
      </c>
      <c r="C6814" s="4" t="s">
        <v>7</v>
      </c>
      <c r="D6814" s="4" t="s">
        <v>7</v>
      </c>
      <c r="E6814" s="4" t="s">
        <v>13</v>
      </c>
      <c r="F6814" s="4" t="s">
        <v>11</v>
      </c>
    </row>
    <row r="6815" spans="1:8">
      <c r="A6815" t="n">
        <v>63200</v>
      </c>
      <c r="B6815" s="51" t="n">
        <v>45</v>
      </c>
      <c r="C6815" s="7" t="n">
        <v>11</v>
      </c>
      <c r="D6815" s="7" t="n">
        <v>3</v>
      </c>
      <c r="E6815" s="7" t="n">
        <v>40.2999992370605</v>
      </c>
      <c r="F6815" s="7" t="n">
        <v>0</v>
      </c>
    </row>
    <row r="6816" spans="1:8">
      <c r="A6816" t="s">
        <v>4</v>
      </c>
      <c r="B6816" s="4" t="s">
        <v>5</v>
      </c>
      <c r="C6816" s="4" t="s">
        <v>7</v>
      </c>
      <c r="D6816" s="4" t="s">
        <v>7</v>
      </c>
      <c r="E6816" s="4" t="s">
        <v>13</v>
      </c>
      <c r="F6816" s="4" t="s">
        <v>13</v>
      </c>
      <c r="G6816" s="4" t="s">
        <v>13</v>
      </c>
      <c r="H6816" s="4" t="s">
        <v>11</v>
      </c>
    </row>
    <row r="6817" spans="1:9">
      <c r="A6817" t="n">
        <v>63209</v>
      </c>
      <c r="B6817" s="51" t="n">
        <v>45</v>
      </c>
      <c r="C6817" s="7" t="n">
        <v>2</v>
      </c>
      <c r="D6817" s="7" t="n">
        <v>3</v>
      </c>
      <c r="E6817" s="7" t="n">
        <v>-6.73999977111816</v>
      </c>
      <c r="F6817" s="7" t="n">
        <v>6.36999988555908</v>
      </c>
      <c r="G6817" s="7" t="n">
        <v>29.9200000762939</v>
      </c>
      <c r="H6817" s="7" t="n">
        <v>4000</v>
      </c>
    </row>
    <row r="6818" spans="1:9">
      <c r="A6818" t="s">
        <v>4</v>
      </c>
      <c r="B6818" s="4" t="s">
        <v>5</v>
      </c>
      <c r="C6818" s="4" t="s">
        <v>7</v>
      </c>
      <c r="D6818" s="4" t="s">
        <v>7</v>
      </c>
      <c r="E6818" s="4" t="s">
        <v>13</v>
      </c>
      <c r="F6818" s="4" t="s">
        <v>13</v>
      </c>
      <c r="G6818" s="4" t="s">
        <v>13</v>
      </c>
      <c r="H6818" s="4" t="s">
        <v>11</v>
      </c>
      <c r="I6818" s="4" t="s">
        <v>7</v>
      </c>
    </row>
    <row r="6819" spans="1:9">
      <c r="A6819" t="n">
        <v>63226</v>
      </c>
      <c r="B6819" s="51" t="n">
        <v>45</v>
      </c>
      <c r="C6819" s="7" t="n">
        <v>4</v>
      </c>
      <c r="D6819" s="7" t="n">
        <v>3</v>
      </c>
      <c r="E6819" s="7" t="n">
        <v>8.44999980926514</v>
      </c>
      <c r="F6819" s="7" t="n">
        <v>15.75</v>
      </c>
      <c r="G6819" s="7" t="n">
        <v>354</v>
      </c>
      <c r="H6819" s="7" t="n">
        <v>4000</v>
      </c>
      <c r="I6819" s="7" t="n">
        <v>1</v>
      </c>
    </row>
    <row r="6820" spans="1:9">
      <c r="A6820" t="s">
        <v>4</v>
      </c>
      <c r="B6820" s="4" t="s">
        <v>5</v>
      </c>
      <c r="C6820" s="4" t="s">
        <v>11</v>
      </c>
      <c r="D6820" s="4" t="s">
        <v>7</v>
      </c>
      <c r="E6820" s="4" t="s">
        <v>8</v>
      </c>
      <c r="F6820" s="4" t="s">
        <v>13</v>
      </c>
      <c r="G6820" s="4" t="s">
        <v>13</v>
      </c>
      <c r="H6820" s="4" t="s">
        <v>13</v>
      </c>
    </row>
    <row r="6821" spans="1:9">
      <c r="A6821" t="n">
        <v>63244</v>
      </c>
      <c r="B6821" s="42" t="n">
        <v>48</v>
      </c>
      <c r="C6821" s="7" t="n">
        <v>0</v>
      </c>
      <c r="D6821" s="7" t="n">
        <v>0</v>
      </c>
      <c r="E6821" s="7" t="s">
        <v>210</v>
      </c>
      <c r="F6821" s="7" t="n">
        <v>0</v>
      </c>
      <c r="G6821" s="7" t="n">
        <v>1</v>
      </c>
      <c r="H6821" s="7" t="n">
        <v>0</v>
      </c>
    </row>
    <row r="6822" spans="1:9">
      <c r="A6822" t="s">
        <v>4</v>
      </c>
      <c r="B6822" s="4" t="s">
        <v>5</v>
      </c>
      <c r="C6822" s="4" t="s">
        <v>11</v>
      </c>
      <c r="D6822" s="4" t="s">
        <v>7</v>
      </c>
      <c r="E6822" s="4" t="s">
        <v>8</v>
      </c>
      <c r="F6822" s="4" t="s">
        <v>13</v>
      </c>
      <c r="G6822" s="4" t="s">
        <v>13</v>
      </c>
      <c r="H6822" s="4" t="s">
        <v>13</v>
      </c>
    </row>
    <row r="6823" spans="1:9">
      <c r="A6823" t="n">
        <v>63269</v>
      </c>
      <c r="B6823" s="42" t="n">
        <v>48</v>
      </c>
      <c r="C6823" s="7" t="n">
        <v>7</v>
      </c>
      <c r="D6823" s="7" t="n">
        <v>0</v>
      </c>
      <c r="E6823" s="7" t="s">
        <v>210</v>
      </c>
      <c r="F6823" s="7" t="n">
        <v>0</v>
      </c>
      <c r="G6823" s="7" t="n">
        <v>1</v>
      </c>
      <c r="H6823" s="7" t="n">
        <v>0</v>
      </c>
    </row>
    <row r="6824" spans="1:9">
      <c r="A6824" t="s">
        <v>4</v>
      </c>
      <c r="B6824" s="4" t="s">
        <v>5</v>
      </c>
      <c r="C6824" s="4" t="s">
        <v>7</v>
      </c>
      <c r="D6824" s="4" t="s">
        <v>11</v>
      </c>
      <c r="E6824" s="4" t="s">
        <v>8</v>
      </c>
      <c r="F6824" s="4" t="s">
        <v>8</v>
      </c>
      <c r="G6824" s="4" t="s">
        <v>8</v>
      </c>
      <c r="H6824" s="4" t="s">
        <v>8</v>
      </c>
    </row>
    <row r="6825" spans="1:9">
      <c r="A6825" t="n">
        <v>63294</v>
      </c>
      <c r="B6825" s="38" t="n">
        <v>51</v>
      </c>
      <c r="C6825" s="7" t="n">
        <v>3</v>
      </c>
      <c r="D6825" s="7" t="n">
        <v>0</v>
      </c>
      <c r="E6825" s="7" t="s">
        <v>86</v>
      </c>
      <c r="F6825" s="7" t="s">
        <v>99</v>
      </c>
      <c r="G6825" s="7" t="s">
        <v>78</v>
      </c>
      <c r="H6825" s="7" t="s">
        <v>79</v>
      </c>
    </row>
    <row r="6826" spans="1:9">
      <c r="A6826" t="s">
        <v>4</v>
      </c>
      <c r="B6826" s="4" t="s">
        <v>5</v>
      </c>
      <c r="C6826" s="4" t="s">
        <v>7</v>
      </c>
      <c r="D6826" s="4" t="s">
        <v>11</v>
      </c>
      <c r="E6826" s="4" t="s">
        <v>8</v>
      </c>
      <c r="F6826" s="4" t="s">
        <v>8</v>
      </c>
      <c r="G6826" s="4" t="s">
        <v>8</v>
      </c>
      <c r="H6826" s="4" t="s">
        <v>8</v>
      </c>
    </row>
    <row r="6827" spans="1:9">
      <c r="A6827" t="n">
        <v>63307</v>
      </c>
      <c r="B6827" s="38" t="n">
        <v>51</v>
      </c>
      <c r="C6827" s="7" t="n">
        <v>3</v>
      </c>
      <c r="D6827" s="7" t="n">
        <v>7</v>
      </c>
      <c r="E6827" s="7" t="s">
        <v>154</v>
      </c>
      <c r="F6827" s="7" t="s">
        <v>155</v>
      </c>
      <c r="G6827" s="7" t="s">
        <v>16</v>
      </c>
      <c r="H6827" s="7" t="s">
        <v>68</v>
      </c>
    </row>
    <row r="6828" spans="1:9">
      <c r="A6828" t="s">
        <v>4</v>
      </c>
      <c r="B6828" s="4" t="s">
        <v>5</v>
      </c>
      <c r="C6828" s="4" t="s">
        <v>7</v>
      </c>
      <c r="D6828" s="4" t="s">
        <v>11</v>
      </c>
    </row>
    <row r="6829" spans="1:9">
      <c r="A6829" t="n">
        <v>63318</v>
      </c>
      <c r="B6829" s="23" t="n">
        <v>58</v>
      </c>
      <c r="C6829" s="7" t="n">
        <v>255</v>
      </c>
      <c r="D6829" s="7" t="n">
        <v>0</v>
      </c>
    </row>
    <row r="6830" spans="1:9">
      <c r="A6830" t="s">
        <v>4</v>
      </c>
      <c r="B6830" s="4" t="s">
        <v>5</v>
      </c>
      <c r="C6830" s="4" t="s">
        <v>11</v>
      </c>
      <c r="D6830" s="4" t="s">
        <v>7</v>
      </c>
      <c r="E6830" s="4" t="s">
        <v>8</v>
      </c>
      <c r="F6830" s="4" t="s">
        <v>13</v>
      </c>
      <c r="G6830" s="4" t="s">
        <v>13</v>
      </c>
      <c r="H6830" s="4" t="s">
        <v>13</v>
      </c>
    </row>
    <row r="6831" spans="1:9">
      <c r="A6831" t="n">
        <v>63322</v>
      </c>
      <c r="B6831" s="42" t="n">
        <v>48</v>
      </c>
      <c r="C6831" s="7" t="n">
        <v>0</v>
      </c>
      <c r="D6831" s="7" t="n">
        <v>0</v>
      </c>
      <c r="E6831" s="7" t="s">
        <v>554</v>
      </c>
      <c r="F6831" s="7" t="n">
        <v>-1</v>
      </c>
      <c r="G6831" s="7" t="n">
        <v>1</v>
      </c>
      <c r="H6831" s="7" t="n">
        <v>0</v>
      </c>
    </row>
    <row r="6832" spans="1:9">
      <c r="A6832" t="s">
        <v>4</v>
      </c>
      <c r="B6832" s="4" t="s">
        <v>5</v>
      </c>
      <c r="C6832" s="4" t="s">
        <v>11</v>
      </c>
      <c r="D6832" s="4" t="s">
        <v>7</v>
      </c>
      <c r="E6832" s="4" t="s">
        <v>8</v>
      </c>
      <c r="F6832" s="4" t="s">
        <v>13</v>
      </c>
      <c r="G6832" s="4" t="s">
        <v>13</v>
      </c>
      <c r="H6832" s="4" t="s">
        <v>13</v>
      </c>
    </row>
    <row r="6833" spans="1:9">
      <c r="A6833" t="n">
        <v>63348</v>
      </c>
      <c r="B6833" s="42" t="n">
        <v>48</v>
      </c>
      <c r="C6833" s="7" t="n">
        <v>7</v>
      </c>
      <c r="D6833" s="7" t="n">
        <v>0</v>
      </c>
      <c r="E6833" s="7" t="s">
        <v>554</v>
      </c>
      <c r="F6833" s="7" t="n">
        <v>-1</v>
      </c>
      <c r="G6833" s="7" t="n">
        <v>1</v>
      </c>
      <c r="H6833" s="7" t="n">
        <v>0</v>
      </c>
    </row>
    <row r="6834" spans="1:9">
      <c r="A6834" t="s">
        <v>4</v>
      </c>
      <c r="B6834" s="4" t="s">
        <v>5</v>
      </c>
      <c r="C6834" s="4" t="s">
        <v>7</v>
      </c>
      <c r="D6834" s="4" t="s">
        <v>11</v>
      </c>
      <c r="E6834" s="4" t="s">
        <v>13</v>
      </c>
      <c r="F6834" s="4" t="s">
        <v>11</v>
      </c>
      <c r="G6834" s="4" t="s">
        <v>15</v>
      </c>
      <c r="H6834" s="4" t="s">
        <v>15</v>
      </c>
      <c r="I6834" s="4" t="s">
        <v>11</v>
      </c>
      <c r="J6834" s="4" t="s">
        <v>11</v>
      </c>
      <c r="K6834" s="4" t="s">
        <v>15</v>
      </c>
      <c r="L6834" s="4" t="s">
        <v>15</v>
      </c>
      <c r="M6834" s="4" t="s">
        <v>15</v>
      </c>
      <c r="N6834" s="4" t="s">
        <v>15</v>
      </c>
      <c r="O6834" s="4" t="s">
        <v>8</v>
      </c>
    </row>
    <row r="6835" spans="1:9">
      <c r="A6835" t="n">
        <v>63374</v>
      </c>
      <c r="B6835" s="57" t="n">
        <v>50</v>
      </c>
      <c r="C6835" s="7" t="n">
        <v>0</v>
      </c>
      <c r="D6835" s="7" t="n">
        <v>2004</v>
      </c>
      <c r="E6835" s="7" t="n">
        <v>0.400000005960464</v>
      </c>
      <c r="F6835" s="7" t="n">
        <v>200</v>
      </c>
      <c r="G6835" s="7" t="n">
        <v>0</v>
      </c>
      <c r="H6835" s="7" t="n">
        <v>1073741824</v>
      </c>
      <c r="I6835" s="7" t="n">
        <v>0</v>
      </c>
      <c r="J6835" s="7" t="n">
        <v>65533</v>
      </c>
      <c r="K6835" s="7" t="n">
        <v>0</v>
      </c>
      <c r="L6835" s="7" t="n">
        <v>0</v>
      </c>
      <c r="M6835" s="7" t="n">
        <v>0</v>
      </c>
      <c r="N6835" s="7" t="n">
        <v>0</v>
      </c>
      <c r="O6835" s="7" t="s">
        <v>16</v>
      </c>
    </row>
    <row r="6836" spans="1:9">
      <c r="A6836" t="s">
        <v>4</v>
      </c>
      <c r="B6836" s="4" t="s">
        <v>5</v>
      </c>
      <c r="C6836" s="4" t="s">
        <v>11</v>
      </c>
      <c r="D6836" s="4" t="s">
        <v>15</v>
      </c>
      <c r="E6836" s="4" t="s">
        <v>7</v>
      </c>
    </row>
    <row r="6837" spans="1:9">
      <c r="A6837" t="n">
        <v>63413</v>
      </c>
      <c r="B6837" s="78" t="n">
        <v>35</v>
      </c>
      <c r="C6837" s="7" t="n">
        <v>0</v>
      </c>
      <c r="D6837" s="7" t="n">
        <v>0</v>
      </c>
      <c r="E6837" s="7" t="n">
        <v>0</v>
      </c>
    </row>
    <row r="6838" spans="1:9">
      <c r="A6838" t="s">
        <v>4</v>
      </c>
      <c r="B6838" s="4" t="s">
        <v>5</v>
      </c>
      <c r="C6838" s="4" t="s">
        <v>11</v>
      </c>
      <c r="D6838" s="4" t="s">
        <v>15</v>
      </c>
      <c r="E6838" s="4" t="s">
        <v>7</v>
      </c>
    </row>
    <row r="6839" spans="1:9">
      <c r="A6839" t="n">
        <v>63421</v>
      </c>
      <c r="B6839" s="78" t="n">
        <v>35</v>
      </c>
      <c r="C6839" s="7" t="n">
        <v>7</v>
      </c>
      <c r="D6839" s="7" t="n">
        <v>0</v>
      </c>
      <c r="E6839" s="7" t="n">
        <v>0</v>
      </c>
    </row>
    <row r="6840" spans="1:9">
      <c r="A6840" t="s">
        <v>4</v>
      </c>
      <c r="B6840" s="4" t="s">
        <v>5</v>
      </c>
      <c r="C6840" s="4" t="s">
        <v>7</v>
      </c>
      <c r="D6840" s="4" t="s">
        <v>11</v>
      </c>
    </row>
    <row r="6841" spans="1:9">
      <c r="A6841" t="n">
        <v>63429</v>
      </c>
      <c r="B6841" s="51" t="n">
        <v>45</v>
      </c>
      <c r="C6841" s="7" t="n">
        <v>7</v>
      </c>
      <c r="D6841" s="7" t="n">
        <v>255</v>
      </c>
    </row>
    <row r="6842" spans="1:9">
      <c r="A6842" t="s">
        <v>4</v>
      </c>
      <c r="B6842" s="4" t="s">
        <v>5</v>
      </c>
      <c r="C6842" s="4" t="s">
        <v>7</v>
      </c>
      <c r="D6842" s="4" t="s">
        <v>7</v>
      </c>
      <c r="E6842" s="4" t="s">
        <v>13</v>
      </c>
      <c r="F6842" s="4" t="s">
        <v>13</v>
      </c>
      <c r="G6842" s="4" t="s">
        <v>13</v>
      </c>
      <c r="H6842" s="4" t="s">
        <v>11</v>
      </c>
    </row>
    <row r="6843" spans="1:9">
      <c r="A6843" t="n">
        <v>63433</v>
      </c>
      <c r="B6843" s="51" t="n">
        <v>45</v>
      </c>
      <c r="C6843" s="7" t="n">
        <v>2</v>
      </c>
      <c r="D6843" s="7" t="n">
        <v>3</v>
      </c>
      <c r="E6843" s="7" t="n">
        <v>-6.73999977111816</v>
      </c>
      <c r="F6843" s="7" t="n">
        <v>6.36999988555908</v>
      </c>
      <c r="G6843" s="7" t="n">
        <v>29.9200000762939</v>
      </c>
      <c r="H6843" s="7" t="n">
        <v>50000</v>
      </c>
    </row>
    <row r="6844" spans="1:9">
      <c r="A6844" t="s">
        <v>4</v>
      </c>
      <c r="B6844" s="4" t="s">
        <v>5</v>
      </c>
      <c r="C6844" s="4" t="s">
        <v>7</v>
      </c>
      <c r="D6844" s="4" t="s">
        <v>7</v>
      </c>
      <c r="E6844" s="4" t="s">
        <v>13</v>
      </c>
      <c r="F6844" s="4" t="s">
        <v>13</v>
      </c>
      <c r="G6844" s="4" t="s">
        <v>13</v>
      </c>
      <c r="H6844" s="4" t="s">
        <v>11</v>
      </c>
      <c r="I6844" s="4" t="s">
        <v>7</v>
      </c>
    </row>
    <row r="6845" spans="1:9">
      <c r="A6845" t="n">
        <v>63450</v>
      </c>
      <c r="B6845" s="51" t="n">
        <v>45</v>
      </c>
      <c r="C6845" s="7" t="n">
        <v>4</v>
      </c>
      <c r="D6845" s="7" t="n">
        <v>3</v>
      </c>
      <c r="E6845" s="7" t="n">
        <v>8.44999980926514</v>
      </c>
      <c r="F6845" s="7" t="n">
        <v>15.6599998474121</v>
      </c>
      <c r="G6845" s="7" t="n">
        <v>354</v>
      </c>
      <c r="H6845" s="7" t="n">
        <v>50000</v>
      </c>
      <c r="I6845" s="7" t="n">
        <v>1</v>
      </c>
    </row>
    <row r="6846" spans="1:9">
      <c r="A6846" t="s">
        <v>4</v>
      </c>
      <c r="B6846" s="4" t="s">
        <v>5</v>
      </c>
      <c r="C6846" s="4" t="s">
        <v>7</v>
      </c>
      <c r="D6846" s="4" t="s">
        <v>7</v>
      </c>
      <c r="E6846" s="4" t="s">
        <v>13</v>
      </c>
      <c r="F6846" s="4" t="s">
        <v>11</v>
      </c>
    </row>
    <row r="6847" spans="1:9">
      <c r="A6847" t="n">
        <v>63468</v>
      </c>
      <c r="B6847" s="51" t="n">
        <v>45</v>
      </c>
      <c r="C6847" s="7" t="n">
        <v>5</v>
      </c>
      <c r="D6847" s="7" t="n">
        <v>3</v>
      </c>
      <c r="E6847" s="7" t="n">
        <v>0.800000011920929</v>
      </c>
      <c r="F6847" s="7" t="n">
        <v>50000</v>
      </c>
    </row>
    <row r="6848" spans="1:9">
      <c r="A6848" t="s">
        <v>4</v>
      </c>
      <c r="B6848" s="4" t="s">
        <v>5</v>
      </c>
      <c r="C6848" s="4" t="s">
        <v>7</v>
      </c>
      <c r="D6848" s="4" t="s">
        <v>7</v>
      </c>
      <c r="E6848" s="4" t="s">
        <v>13</v>
      </c>
      <c r="F6848" s="4" t="s">
        <v>11</v>
      </c>
    </row>
    <row r="6849" spans="1:15">
      <c r="A6849" t="n">
        <v>63477</v>
      </c>
      <c r="B6849" s="51" t="n">
        <v>45</v>
      </c>
      <c r="C6849" s="7" t="n">
        <v>11</v>
      </c>
      <c r="D6849" s="7" t="n">
        <v>3</v>
      </c>
      <c r="E6849" s="7" t="n">
        <v>40.2999992370605</v>
      </c>
      <c r="F6849" s="7" t="n">
        <v>50000</v>
      </c>
    </row>
    <row r="6850" spans="1:15">
      <c r="A6850" t="s">
        <v>4</v>
      </c>
      <c r="B6850" s="4" t="s">
        <v>5</v>
      </c>
      <c r="C6850" s="4" t="s">
        <v>7</v>
      </c>
      <c r="D6850" s="4" t="s">
        <v>11</v>
      </c>
      <c r="E6850" s="4" t="s">
        <v>8</v>
      </c>
    </row>
    <row r="6851" spans="1:15">
      <c r="A6851" t="n">
        <v>63486</v>
      </c>
      <c r="B6851" s="38" t="n">
        <v>51</v>
      </c>
      <c r="C6851" s="7" t="n">
        <v>4</v>
      </c>
      <c r="D6851" s="7" t="n">
        <v>7</v>
      </c>
      <c r="E6851" s="7" t="s">
        <v>461</v>
      </c>
    </row>
    <row r="6852" spans="1:15">
      <c r="A6852" t="s">
        <v>4</v>
      </c>
      <c r="B6852" s="4" t="s">
        <v>5</v>
      </c>
      <c r="C6852" s="4" t="s">
        <v>11</v>
      </c>
    </row>
    <row r="6853" spans="1:15">
      <c r="A6853" t="n">
        <v>63506</v>
      </c>
      <c r="B6853" s="29" t="n">
        <v>16</v>
      </c>
      <c r="C6853" s="7" t="n">
        <v>0</v>
      </c>
    </row>
    <row r="6854" spans="1:15">
      <c r="A6854" t="s">
        <v>4</v>
      </c>
      <c r="B6854" s="4" t="s">
        <v>5</v>
      </c>
      <c r="C6854" s="4" t="s">
        <v>11</v>
      </c>
      <c r="D6854" s="4" t="s">
        <v>7</v>
      </c>
      <c r="E6854" s="4" t="s">
        <v>15</v>
      </c>
      <c r="F6854" s="4" t="s">
        <v>7</v>
      </c>
      <c r="G6854" s="4" t="s">
        <v>15</v>
      </c>
      <c r="H6854" s="4" t="s">
        <v>55</v>
      </c>
      <c r="I6854" s="4" t="s">
        <v>7</v>
      </c>
      <c r="J6854" s="4" t="s">
        <v>7</v>
      </c>
    </row>
    <row r="6855" spans="1:15">
      <c r="A6855" t="n">
        <v>63509</v>
      </c>
      <c r="B6855" s="55" t="n">
        <v>26</v>
      </c>
      <c r="C6855" s="7" t="n">
        <v>7</v>
      </c>
      <c r="D6855" s="7" t="n">
        <v>17</v>
      </c>
      <c r="E6855" s="7" t="n">
        <v>4823</v>
      </c>
      <c r="F6855" s="7" t="n">
        <v>17</v>
      </c>
      <c r="G6855" s="7" t="n">
        <v>64642</v>
      </c>
      <c r="H6855" s="7" t="s">
        <v>613</v>
      </c>
      <c r="I6855" s="7" t="n">
        <v>2</v>
      </c>
      <c r="J6855" s="7" t="n">
        <v>0</v>
      </c>
    </row>
    <row r="6856" spans="1:15">
      <c r="A6856" t="s">
        <v>4</v>
      </c>
      <c r="B6856" s="4" t="s">
        <v>5</v>
      </c>
    </row>
    <row r="6857" spans="1:15">
      <c r="A6857" t="n">
        <v>63530</v>
      </c>
      <c r="B6857" s="27" t="n">
        <v>28</v>
      </c>
    </row>
    <row r="6858" spans="1:15">
      <c r="A6858" t="s">
        <v>4</v>
      </c>
      <c r="B6858" s="4" t="s">
        <v>5</v>
      </c>
      <c r="C6858" s="4" t="s">
        <v>7</v>
      </c>
      <c r="D6858" s="4" t="s">
        <v>11</v>
      </c>
      <c r="E6858" s="4" t="s">
        <v>8</v>
      </c>
    </row>
    <row r="6859" spans="1:15">
      <c r="A6859" t="n">
        <v>63531</v>
      </c>
      <c r="B6859" s="38" t="n">
        <v>51</v>
      </c>
      <c r="C6859" s="7" t="n">
        <v>4</v>
      </c>
      <c r="D6859" s="7" t="n">
        <v>0</v>
      </c>
      <c r="E6859" s="7" t="s">
        <v>547</v>
      </c>
    </row>
    <row r="6860" spans="1:15">
      <c r="A6860" t="s">
        <v>4</v>
      </c>
      <c r="B6860" s="4" t="s">
        <v>5</v>
      </c>
      <c r="C6860" s="4" t="s">
        <v>11</v>
      </c>
    </row>
    <row r="6861" spans="1:15">
      <c r="A6861" t="n">
        <v>63545</v>
      </c>
      <c r="B6861" s="29" t="n">
        <v>16</v>
      </c>
      <c r="C6861" s="7" t="n">
        <v>0</v>
      </c>
    </row>
    <row r="6862" spans="1:15">
      <c r="A6862" t="s">
        <v>4</v>
      </c>
      <c r="B6862" s="4" t="s">
        <v>5</v>
      </c>
      <c r="C6862" s="4" t="s">
        <v>11</v>
      </c>
      <c r="D6862" s="4" t="s">
        <v>7</v>
      </c>
      <c r="E6862" s="4" t="s">
        <v>15</v>
      </c>
      <c r="F6862" s="4" t="s">
        <v>55</v>
      </c>
      <c r="G6862" s="4" t="s">
        <v>7</v>
      </c>
      <c r="H6862" s="4" t="s">
        <v>7</v>
      </c>
      <c r="I6862" s="4" t="s">
        <v>7</v>
      </c>
      <c r="J6862" s="4" t="s">
        <v>15</v>
      </c>
      <c r="K6862" s="4" t="s">
        <v>55</v>
      </c>
      <c r="L6862" s="4" t="s">
        <v>7</v>
      </c>
      <c r="M6862" s="4" t="s">
        <v>7</v>
      </c>
      <c r="N6862" s="4" t="s">
        <v>7</v>
      </c>
      <c r="O6862" s="4" t="s">
        <v>15</v>
      </c>
      <c r="P6862" s="4" t="s">
        <v>55</v>
      </c>
      <c r="Q6862" s="4" t="s">
        <v>7</v>
      </c>
      <c r="R6862" s="4" t="s">
        <v>7</v>
      </c>
      <c r="S6862" s="4" t="s">
        <v>7</v>
      </c>
      <c r="T6862" s="4" t="s">
        <v>15</v>
      </c>
      <c r="U6862" s="4" t="s">
        <v>55</v>
      </c>
      <c r="V6862" s="4" t="s">
        <v>7</v>
      </c>
      <c r="W6862" s="4" t="s">
        <v>7</v>
      </c>
    </row>
    <row r="6863" spans="1:15">
      <c r="A6863" t="n">
        <v>63548</v>
      </c>
      <c r="B6863" s="55" t="n">
        <v>26</v>
      </c>
      <c r="C6863" s="7" t="n">
        <v>0</v>
      </c>
      <c r="D6863" s="7" t="n">
        <v>17</v>
      </c>
      <c r="E6863" s="7" t="n">
        <v>63931</v>
      </c>
      <c r="F6863" s="7" t="s">
        <v>614</v>
      </c>
      <c r="G6863" s="7" t="n">
        <v>2</v>
      </c>
      <c r="H6863" s="7" t="n">
        <v>3</v>
      </c>
      <c r="I6863" s="7" t="n">
        <v>17</v>
      </c>
      <c r="J6863" s="7" t="n">
        <v>63932</v>
      </c>
      <c r="K6863" s="7" t="s">
        <v>615</v>
      </c>
      <c r="L6863" s="7" t="n">
        <v>2</v>
      </c>
      <c r="M6863" s="7" t="n">
        <v>3</v>
      </c>
      <c r="N6863" s="7" t="n">
        <v>17</v>
      </c>
      <c r="O6863" s="7" t="n">
        <v>63933</v>
      </c>
      <c r="P6863" s="7" t="s">
        <v>616</v>
      </c>
      <c r="Q6863" s="7" t="n">
        <v>2</v>
      </c>
      <c r="R6863" s="7" t="n">
        <v>3</v>
      </c>
      <c r="S6863" s="7" t="n">
        <v>17</v>
      </c>
      <c r="T6863" s="7" t="n">
        <v>63934</v>
      </c>
      <c r="U6863" s="7" t="s">
        <v>617</v>
      </c>
      <c r="V6863" s="7" t="n">
        <v>2</v>
      </c>
      <c r="W6863" s="7" t="n">
        <v>0</v>
      </c>
    </row>
    <row r="6864" spans="1:15">
      <c r="A6864" t="s">
        <v>4</v>
      </c>
      <c r="B6864" s="4" t="s">
        <v>5</v>
      </c>
    </row>
    <row r="6865" spans="1:23">
      <c r="A6865" t="n">
        <v>63893</v>
      </c>
      <c r="B6865" s="27" t="n">
        <v>28</v>
      </c>
    </row>
    <row r="6866" spans="1:23">
      <c r="A6866" t="s">
        <v>4</v>
      </c>
      <c r="B6866" s="4" t="s">
        <v>5</v>
      </c>
      <c r="C6866" s="4" t="s">
        <v>7</v>
      </c>
      <c r="D6866" s="4" t="s">
        <v>11</v>
      </c>
      <c r="E6866" s="4" t="s">
        <v>8</v>
      </c>
    </row>
    <row r="6867" spans="1:23">
      <c r="A6867" t="n">
        <v>63894</v>
      </c>
      <c r="B6867" s="38" t="n">
        <v>51</v>
      </c>
      <c r="C6867" s="7" t="n">
        <v>4</v>
      </c>
      <c r="D6867" s="7" t="n">
        <v>7</v>
      </c>
      <c r="E6867" s="7" t="s">
        <v>379</v>
      </c>
    </row>
    <row r="6868" spans="1:23">
      <c r="A6868" t="s">
        <v>4</v>
      </c>
      <c r="B6868" s="4" t="s">
        <v>5</v>
      </c>
      <c r="C6868" s="4" t="s">
        <v>11</v>
      </c>
    </row>
    <row r="6869" spans="1:23">
      <c r="A6869" t="n">
        <v>63908</v>
      </c>
      <c r="B6869" s="29" t="n">
        <v>16</v>
      </c>
      <c r="C6869" s="7" t="n">
        <v>0</v>
      </c>
    </row>
    <row r="6870" spans="1:23">
      <c r="A6870" t="s">
        <v>4</v>
      </c>
      <c r="B6870" s="4" t="s">
        <v>5</v>
      </c>
      <c r="C6870" s="4" t="s">
        <v>11</v>
      </c>
      <c r="D6870" s="4" t="s">
        <v>7</v>
      </c>
      <c r="E6870" s="4" t="s">
        <v>15</v>
      </c>
      <c r="F6870" s="4" t="s">
        <v>55</v>
      </c>
      <c r="G6870" s="4" t="s">
        <v>7</v>
      </c>
      <c r="H6870" s="4" t="s">
        <v>7</v>
      </c>
    </row>
    <row r="6871" spans="1:23">
      <c r="A6871" t="n">
        <v>63911</v>
      </c>
      <c r="B6871" s="55" t="n">
        <v>26</v>
      </c>
      <c r="C6871" s="7" t="n">
        <v>7</v>
      </c>
      <c r="D6871" s="7" t="n">
        <v>17</v>
      </c>
      <c r="E6871" s="7" t="n">
        <v>4824</v>
      </c>
      <c r="F6871" s="7" t="s">
        <v>618</v>
      </c>
      <c r="G6871" s="7" t="n">
        <v>2</v>
      </c>
      <c r="H6871" s="7" t="n">
        <v>0</v>
      </c>
    </row>
    <row r="6872" spans="1:23">
      <c r="A6872" t="s">
        <v>4</v>
      </c>
      <c r="B6872" s="4" t="s">
        <v>5</v>
      </c>
    </row>
    <row r="6873" spans="1:23">
      <c r="A6873" t="n">
        <v>63939</v>
      </c>
      <c r="B6873" s="27" t="n">
        <v>28</v>
      </c>
    </row>
    <row r="6874" spans="1:23">
      <c r="A6874" t="s">
        <v>4</v>
      </c>
      <c r="B6874" s="4" t="s">
        <v>5</v>
      </c>
      <c r="C6874" s="4" t="s">
        <v>11</v>
      </c>
      <c r="D6874" s="4" t="s">
        <v>7</v>
      </c>
      <c r="E6874" s="4" t="s">
        <v>8</v>
      </c>
      <c r="F6874" s="4" t="s">
        <v>13</v>
      </c>
      <c r="G6874" s="4" t="s">
        <v>13</v>
      </c>
      <c r="H6874" s="4" t="s">
        <v>13</v>
      </c>
    </row>
    <row r="6875" spans="1:23">
      <c r="A6875" t="n">
        <v>63940</v>
      </c>
      <c r="B6875" s="42" t="n">
        <v>48</v>
      </c>
      <c r="C6875" s="7" t="n">
        <v>0</v>
      </c>
      <c r="D6875" s="7" t="n">
        <v>0</v>
      </c>
      <c r="E6875" s="7" t="s">
        <v>555</v>
      </c>
      <c r="F6875" s="7" t="n">
        <v>-1</v>
      </c>
      <c r="G6875" s="7" t="n">
        <v>1</v>
      </c>
      <c r="H6875" s="7" t="n">
        <v>0</v>
      </c>
    </row>
    <row r="6876" spans="1:23">
      <c r="A6876" t="s">
        <v>4</v>
      </c>
      <c r="B6876" s="4" t="s">
        <v>5</v>
      </c>
      <c r="C6876" s="4" t="s">
        <v>11</v>
      </c>
      <c r="D6876" s="4" t="s">
        <v>7</v>
      </c>
      <c r="E6876" s="4" t="s">
        <v>8</v>
      </c>
      <c r="F6876" s="4" t="s">
        <v>13</v>
      </c>
      <c r="G6876" s="4" t="s">
        <v>13</v>
      </c>
      <c r="H6876" s="4" t="s">
        <v>13</v>
      </c>
    </row>
    <row r="6877" spans="1:23">
      <c r="A6877" t="n">
        <v>63966</v>
      </c>
      <c r="B6877" s="42" t="n">
        <v>48</v>
      </c>
      <c r="C6877" s="7" t="n">
        <v>7</v>
      </c>
      <c r="D6877" s="7" t="n">
        <v>0</v>
      </c>
      <c r="E6877" s="7" t="s">
        <v>555</v>
      </c>
      <c r="F6877" s="7" t="n">
        <v>-1</v>
      </c>
      <c r="G6877" s="7" t="n">
        <v>1</v>
      </c>
      <c r="H6877" s="7" t="n">
        <v>0</v>
      </c>
    </row>
    <row r="6878" spans="1:23">
      <c r="A6878" t="s">
        <v>4</v>
      </c>
      <c r="B6878" s="4" t="s">
        <v>5</v>
      </c>
      <c r="C6878" s="4" t="s">
        <v>11</v>
      </c>
    </row>
    <row r="6879" spans="1:23">
      <c r="A6879" t="n">
        <v>63992</v>
      </c>
      <c r="B6879" s="29" t="n">
        <v>16</v>
      </c>
      <c r="C6879" s="7" t="n">
        <v>500</v>
      </c>
    </row>
    <row r="6880" spans="1:23">
      <c r="A6880" t="s">
        <v>4</v>
      </c>
      <c r="B6880" s="4" t="s">
        <v>5</v>
      </c>
      <c r="C6880" s="4" t="s">
        <v>7</v>
      </c>
      <c r="D6880" s="4" t="s">
        <v>11</v>
      </c>
      <c r="E6880" s="4" t="s">
        <v>8</v>
      </c>
      <c r="F6880" s="4" t="s">
        <v>8</v>
      </c>
      <c r="G6880" s="4" t="s">
        <v>8</v>
      </c>
      <c r="H6880" s="4" t="s">
        <v>8</v>
      </c>
    </row>
    <row r="6881" spans="1:8">
      <c r="A6881" t="n">
        <v>63995</v>
      </c>
      <c r="B6881" s="38" t="n">
        <v>51</v>
      </c>
      <c r="C6881" s="7" t="n">
        <v>3</v>
      </c>
      <c r="D6881" s="7" t="n">
        <v>7</v>
      </c>
      <c r="E6881" s="7" t="s">
        <v>98</v>
      </c>
      <c r="F6881" s="7" t="s">
        <v>99</v>
      </c>
      <c r="G6881" s="7" t="s">
        <v>16</v>
      </c>
      <c r="H6881" s="7" t="s">
        <v>68</v>
      </c>
    </row>
    <row r="6882" spans="1:8">
      <c r="A6882" t="s">
        <v>4</v>
      </c>
      <c r="B6882" s="4" t="s">
        <v>5</v>
      </c>
      <c r="C6882" s="4" t="s">
        <v>7</v>
      </c>
      <c r="D6882" s="4" t="s">
        <v>11</v>
      </c>
      <c r="E6882" s="4" t="s">
        <v>13</v>
      </c>
      <c r="F6882" s="4" t="s">
        <v>11</v>
      </c>
      <c r="G6882" s="4" t="s">
        <v>15</v>
      </c>
      <c r="H6882" s="4" t="s">
        <v>15</v>
      </c>
      <c r="I6882" s="4" t="s">
        <v>11</v>
      </c>
      <c r="J6882" s="4" t="s">
        <v>11</v>
      </c>
      <c r="K6882" s="4" t="s">
        <v>15</v>
      </c>
      <c r="L6882" s="4" t="s">
        <v>15</v>
      </c>
      <c r="M6882" s="4" t="s">
        <v>15</v>
      </c>
      <c r="N6882" s="4" t="s">
        <v>15</v>
      </c>
      <c r="O6882" s="4" t="s">
        <v>8</v>
      </c>
    </row>
    <row r="6883" spans="1:8">
      <c r="A6883" t="n">
        <v>64006</v>
      </c>
      <c r="B6883" s="57" t="n">
        <v>50</v>
      </c>
      <c r="C6883" s="7" t="n">
        <v>0</v>
      </c>
      <c r="D6883" s="7" t="n">
        <v>2000</v>
      </c>
      <c r="E6883" s="7" t="n">
        <v>0.300000011920929</v>
      </c>
      <c r="F6883" s="7" t="n">
        <v>200</v>
      </c>
      <c r="G6883" s="7" t="n">
        <v>0</v>
      </c>
      <c r="H6883" s="7" t="n">
        <v>1073741824</v>
      </c>
      <c r="I6883" s="7" t="n">
        <v>0</v>
      </c>
      <c r="J6883" s="7" t="n">
        <v>65533</v>
      </c>
      <c r="K6883" s="7" t="n">
        <v>0</v>
      </c>
      <c r="L6883" s="7" t="n">
        <v>0</v>
      </c>
      <c r="M6883" s="7" t="n">
        <v>0</v>
      </c>
      <c r="N6883" s="7" t="n">
        <v>0</v>
      </c>
      <c r="O6883" s="7" t="s">
        <v>16</v>
      </c>
    </row>
    <row r="6884" spans="1:8">
      <c r="A6884" t="s">
        <v>4</v>
      </c>
      <c r="B6884" s="4" t="s">
        <v>5</v>
      </c>
      <c r="C6884" s="4" t="s">
        <v>11</v>
      </c>
      <c r="D6884" s="4" t="s">
        <v>15</v>
      </c>
      <c r="E6884" s="4" t="s">
        <v>7</v>
      </c>
    </row>
    <row r="6885" spans="1:8">
      <c r="A6885" t="n">
        <v>64045</v>
      </c>
      <c r="B6885" s="78" t="n">
        <v>35</v>
      </c>
      <c r="C6885" s="7" t="n">
        <v>0</v>
      </c>
      <c r="D6885" s="7" t="n">
        <v>0</v>
      </c>
      <c r="E6885" s="7" t="n">
        <v>0</v>
      </c>
    </row>
    <row r="6886" spans="1:8">
      <c r="A6886" t="s">
        <v>4</v>
      </c>
      <c r="B6886" s="4" t="s">
        <v>5</v>
      </c>
      <c r="C6886" s="4" t="s">
        <v>11</v>
      </c>
      <c r="D6886" s="4" t="s">
        <v>15</v>
      </c>
      <c r="E6886" s="4" t="s">
        <v>7</v>
      </c>
    </row>
    <row r="6887" spans="1:8">
      <c r="A6887" t="n">
        <v>64053</v>
      </c>
      <c r="B6887" s="78" t="n">
        <v>35</v>
      </c>
      <c r="C6887" s="7" t="n">
        <v>7</v>
      </c>
      <c r="D6887" s="7" t="n">
        <v>0</v>
      </c>
      <c r="E6887" s="7" t="n">
        <v>0</v>
      </c>
    </row>
    <row r="6888" spans="1:8">
      <c r="A6888" t="s">
        <v>4</v>
      </c>
      <c r="B6888" s="4" t="s">
        <v>5</v>
      </c>
      <c r="C6888" s="4" t="s">
        <v>7</v>
      </c>
      <c r="D6888" s="4" t="s">
        <v>11</v>
      </c>
      <c r="E6888" s="4" t="s">
        <v>8</v>
      </c>
    </row>
    <row r="6889" spans="1:8">
      <c r="A6889" t="n">
        <v>64061</v>
      </c>
      <c r="B6889" s="38" t="n">
        <v>51</v>
      </c>
      <c r="C6889" s="7" t="n">
        <v>4</v>
      </c>
      <c r="D6889" s="7" t="n">
        <v>0</v>
      </c>
      <c r="E6889" s="7" t="s">
        <v>179</v>
      </c>
    </row>
    <row r="6890" spans="1:8">
      <c r="A6890" t="s">
        <v>4</v>
      </c>
      <c r="B6890" s="4" t="s">
        <v>5</v>
      </c>
      <c r="C6890" s="4" t="s">
        <v>11</v>
      </c>
    </row>
    <row r="6891" spans="1:8">
      <c r="A6891" t="n">
        <v>64075</v>
      </c>
      <c r="B6891" s="29" t="n">
        <v>16</v>
      </c>
      <c r="C6891" s="7" t="n">
        <v>0</v>
      </c>
    </row>
    <row r="6892" spans="1:8">
      <c r="A6892" t="s">
        <v>4</v>
      </c>
      <c r="B6892" s="4" t="s">
        <v>5</v>
      </c>
      <c r="C6892" s="4" t="s">
        <v>11</v>
      </c>
      <c r="D6892" s="4" t="s">
        <v>7</v>
      </c>
      <c r="E6892" s="4" t="s">
        <v>15</v>
      </c>
      <c r="F6892" s="4" t="s">
        <v>55</v>
      </c>
      <c r="G6892" s="4" t="s">
        <v>7</v>
      </c>
      <c r="H6892" s="4" t="s">
        <v>7</v>
      </c>
      <c r="I6892" s="4" t="s">
        <v>7</v>
      </c>
      <c r="J6892" s="4" t="s">
        <v>15</v>
      </c>
      <c r="K6892" s="4" t="s">
        <v>55</v>
      </c>
      <c r="L6892" s="4" t="s">
        <v>7</v>
      </c>
      <c r="M6892" s="4" t="s">
        <v>7</v>
      </c>
    </row>
    <row r="6893" spans="1:8">
      <c r="A6893" t="n">
        <v>64078</v>
      </c>
      <c r="B6893" s="55" t="n">
        <v>26</v>
      </c>
      <c r="C6893" s="7" t="n">
        <v>0</v>
      </c>
      <c r="D6893" s="7" t="n">
        <v>17</v>
      </c>
      <c r="E6893" s="7" t="n">
        <v>63935</v>
      </c>
      <c r="F6893" s="7" t="s">
        <v>619</v>
      </c>
      <c r="G6893" s="7" t="n">
        <v>2</v>
      </c>
      <c r="H6893" s="7" t="n">
        <v>3</v>
      </c>
      <c r="I6893" s="7" t="n">
        <v>17</v>
      </c>
      <c r="J6893" s="7" t="n">
        <v>63936</v>
      </c>
      <c r="K6893" s="7" t="s">
        <v>620</v>
      </c>
      <c r="L6893" s="7" t="n">
        <v>2</v>
      </c>
      <c r="M6893" s="7" t="n">
        <v>0</v>
      </c>
    </row>
    <row r="6894" spans="1:8">
      <c r="A6894" t="s">
        <v>4</v>
      </c>
      <c r="B6894" s="4" t="s">
        <v>5</v>
      </c>
    </row>
    <row r="6895" spans="1:8">
      <c r="A6895" t="n">
        <v>64198</v>
      </c>
      <c r="B6895" s="27" t="n">
        <v>28</v>
      </c>
    </row>
    <row r="6896" spans="1:8">
      <c r="A6896" t="s">
        <v>4</v>
      </c>
      <c r="B6896" s="4" t="s">
        <v>5</v>
      </c>
      <c r="C6896" s="4" t="s">
        <v>11</v>
      </c>
      <c r="D6896" s="4" t="s">
        <v>13</v>
      </c>
      <c r="E6896" s="4" t="s">
        <v>13</v>
      </c>
      <c r="F6896" s="4" t="s">
        <v>13</v>
      </c>
      <c r="G6896" s="4" t="s">
        <v>11</v>
      </c>
      <c r="H6896" s="4" t="s">
        <v>11</v>
      </c>
    </row>
    <row r="6897" spans="1:15">
      <c r="A6897" t="n">
        <v>64199</v>
      </c>
      <c r="B6897" s="37" t="n">
        <v>60</v>
      </c>
      <c r="C6897" s="7" t="n">
        <v>7</v>
      </c>
      <c r="D6897" s="7" t="n">
        <v>0</v>
      </c>
      <c r="E6897" s="7" t="n">
        <v>40</v>
      </c>
      <c r="F6897" s="7" t="n">
        <v>0</v>
      </c>
      <c r="G6897" s="7" t="n">
        <v>800</v>
      </c>
      <c r="H6897" s="7" t="n">
        <v>0</v>
      </c>
    </row>
    <row r="6898" spans="1:15">
      <c r="A6898" t="s">
        <v>4</v>
      </c>
      <c r="B6898" s="4" t="s">
        <v>5</v>
      </c>
      <c r="C6898" s="4" t="s">
        <v>11</v>
      </c>
    </row>
    <row r="6899" spans="1:15">
      <c r="A6899" t="n">
        <v>64218</v>
      </c>
      <c r="B6899" s="29" t="n">
        <v>16</v>
      </c>
      <c r="C6899" s="7" t="n">
        <v>600</v>
      </c>
    </row>
    <row r="6900" spans="1:15">
      <c r="A6900" t="s">
        <v>4</v>
      </c>
      <c r="B6900" s="4" t="s">
        <v>5</v>
      </c>
      <c r="C6900" s="4" t="s">
        <v>7</v>
      </c>
      <c r="D6900" s="4" t="s">
        <v>11</v>
      </c>
      <c r="E6900" s="4" t="s">
        <v>8</v>
      </c>
    </row>
    <row r="6901" spans="1:15">
      <c r="A6901" t="n">
        <v>64221</v>
      </c>
      <c r="B6901" s="38" t="n">
        <v>51</v>
      </c>
      <c r="C6901" s="7" t="n">
        <v>4</v>
      </c>
      <c r="D6901" s="7" t="n">
        <v>7</v>
      </c>
      <c r="E6901" s="7" t="s">
        <v>375</v>
      </c>
    </row>
    <row r="6902" spans="1:15">
      <c r="A6902" t="s">
        <v>4</v>
      </c>
      <c r="B6902" s="4" t="s">
        <v>5</v>
      </c>
      <c r="C6902" s="4" t="s">
        <v>11</v>
      </c>
    </row>
    <row r="6903" spans="1:15">
      <c r="A6903" t="n">
        <v>64235</v>
      </c>
      <c r="B6903" s="29" t="n">
        <v>16</v>
      </c>
      <c r="C6903" s="7" t="n">
        <v>0</v>
      </c>
    </row>
    <row r="6904" spans="1:15">
      <c r="A6904" t="s">
        <v>4</v>
      </c>
      <c r="B6904" s="4" t="s">
        <v>5</v>
      </c>
      <c r="C6904" s="4" t="s">
        <v>11</v>
      </c>
      <c r="D6904" s="4" t="s">
        <v>7</v>
      </c>
      <c r="E6904" s="4" t="s">
        <v>15</v>
      </c>
      <c r="F6904" s="4" t="s">
        <v>55</v>
      </c>
      <c r="G6904" s="4" t="s">
        <v>7</v>
      </c>
      <c r="H6904" s="4" t="s">
        <v>7</v>
      </c>
    </row>
    <row r="6905" spans="1:15">
      <c r="A6905" t="n">
        <v>64238</v>
      </c>
      <c r="B6905" s="55" t="n">
        <v>26</v>
      </c>
      <c r="C6905" s="7" t="n">
        <v>7</v>
      </c>
      <c r="D6905" s="7" t="n">
        <v>17</v>
      </c>
      <c r="E6905" s="7" t="n">
        <v>4825</v>
      </c>
      <c r="F6905" s="7" t="s">
        <v>621</v>
      </c>
      <c r="G6905" s="7" t="n">
        <v>2</v>
      </c>
      <c r="H6905" s="7" t="n">
        <v>0</v>
      </c>
    </row>
    <row r="6906" spans="1:15">
      <c r="A6906" t="s">
        <v>4</v>
      </c>
      <c r="B6906" s="4" t="s">
        <v>5</v>
      </c>
    </row>
    <row r="6907" spans="1:15">
      <c r="A6907" t="n">
        <v>64256</v>
      </c>
      <c r="B6907" s="27" t="n">
        <v>28</v>
      </c>
    </row>
    <row r="6908" spans="1:15">
      <c r="A6908" t="s">
        <v>4</v>
      </c>
      <c r="B6908" s="4" t="s">
        <v>5</v>
      </c>
      <c r="C6908" s="4" t="s">
        <v>11</v>
      </c>
    </row>
    <row r="6909" spans="1:15">
      <c r="A6909" t="n">
        <v>64257</v>
      </c>
      <c r="B6909" s="29" t="n">
        <v>16</v>
      </c>
      <c r="C6909" s="7" t="n">
        <v>1000</v>
      </c>
    </row>
    <row r="6910" spans="1:15">
      <c r="A6910" t="s">
        <v>4</v>
      </c>
      <c r="B6910" s="4" t="s">
        <v>5</v>
      </c>
      <c r="C6910" s="4" t="s">
        <v>7</v>
      </c>
      <c r="D6910" s="4" t="s">
        <v>13</v>
      </c>
      <c r="E6910" s="4" t="s">
        <v>11</v>
      </c>
      <c r="F6910" s="4" t="s">
        <v>7</v>
      </c>
    </row>
    <row r="6911" spans="1:15">
      <c r="A6911" t="n">
        <v>64260</v>
      </c>
      <c r="B6911" s="13" t="n">
        <v>49</v>
      </c>
      <c r="C6911" s="7" t="n">
        <v>3</v>
      </c>
      <c r="D6911" s="7" t="n">
        <v>1</v>
      </c>
      <c r="E6911" s="7" t="n">
        <v>1000</v>
      </c>
      <c r="F6911" s="7" t="n">
        <v>0</v>
      </c>
    </row>
    <row r="6912" spans="1:15">
      <c r="A6912" t="s">
        <v>4</v>
      </c>
      <c r="B6912" s="4" t="s">
        <v>5</v>
      </c>
      <c r="C6912" s="4" t="s">
        <v>7</v>
      </c>
      <c r="D6912" s="4" t="s">
        <v>11</v>
      </c>
      <c r="E6912" s="4" t="s">
        <v>13</v>
      </c>
    </row>
    <row r="6913" spans="1:8">
      <c r="A6913" t="n">
        <v>64269</v>
      </c>
      <c r="B6913" s="23" t="n">
        <v>58</v>
      </c>
      <c r="C6913" s="7" t="n">
        <v>101</v>
      </c>
      <c r="D6913" s="7" t="n">
        <v>1000</v>
      </c>
      <c r="E6913" s="7" t="n">
        <v>1</v>
      </c>
    </row>
    <row r="6914" spans="1:8">
      <c r="A6914" t="s">
        <v>4</v>
      </c>
      <c r="B6914" s="4" t="s">
        <v>5</v>
      </c>
      <c r="C6914" s="4" t="s">
        <v>7</v>
      </c>
      <c r="D6914" s="4" t="s">
        <v>11</v>
      </c>
    </row>
    <row r="6915" spans="1:8">
      <c r="A6915" t="n">
        <v>64277</v>
      </c>
      <c r="B6915" s="23" t="n">
        <v>58</v>
      </c>
      <c r="C6915" s="7" t="n">
        <v>254</v>
      </c>
      <c r="D6915" s="7" t="n">
        <v>0</v>
      </c>
    </row>
    <row r="6916" spans="1:8">
      <c r="A6916" t="s">
        <v>4</v>
      </c>
      <c r="B6916" s="4" t="s">
        <v>5</v>
      </c>
      <c r="C6916" s="4" t="s">
        <v>7</v>
      </c>
    </row>
    <row r="6917" spans="1:8">
      <c r="A6917" t="n">
        <v>64281</v>
      </c>
      <c r="B6917" s="49" t="n">
        <v>116</v>
      </c>
      <c r="C6917" s="7" t="n">
        <v>0</v>
      </c>
    </row>
    <row r="6918" spans="1:8">
      <c r="A6918" t="s">
        <v>4</v>
      </c>
      <c r="B6918" s="4" t="s">
        <v>5</v>
      </c>
      <c r="C6918" s="4" t="s">
        <v>7</v>
      </c>
      <c r="D6918" s="4" t="s">
        <v>11</v>
      </c>
    </row>
    <row r="6919" spans="1:8">
      <c r="A6919" t="n">
        <v>64283</v>
      </c>
      <c r="B6919" s="49" t="n">
        <v>116</v>
      </c>
      <c r="C6919" s="7" t="n">
        <v>2</v>
      </c>
      <c r="D6919" s="7" t="n">
        <v>1</v>
      </c>
    </row>
    <row r="6920" spans="1:8">
      <c r="A6920" t="s">
        <v>4</v>
      </c>
      <c r="B6920" s="4" t="s">
        <v>5</v>
      </c>
      <c r="C6920" s="4" t="s">
        <v>7</v>
      </c>
      <c r="D6920" s="4" t="s">
        <v>15</v>
      </c>
    </row>
    <row r="6921" spans="1:8">
      <c r="A6921" t="n">
        <v>64287</v>
      </c>
      <c r="B6921" s="49" t="n">
        <v>116</v>
      </c>
      <c r="C6921" s="7" t="n">
        <v>5</v>
      </c>
      <c r="D6921" s="7" t="n">
        <v>1092616192</v>
      </c>
    </row>
    <row r="6922" spans="1:8">
      <c r="A6922" t="s">
        <v>4</v>
      </c>
      <c r="B6922" s="4" t="s">
        <v>5</v>
      </c>
      <c r="C6922" s="4" t="s">
        <v>7</v>
      </c>
      <c r="D6922" s="4" t="s">
        <v>11</v>
      </c>
    </row>
    <row r="6923" spans="1:8">
      <c r="A6923" t="n">
        <v>64293</v>
      </c>
      <c r="B6923" s="49" t="n">
        <v>116</v>
      </c>
      <c r="C6923" s="7" t="n">
        <v>6</v>
      </c>
      <c r="D6923" s="7" t="n">
        <v>1</v>
      </c>
    </row>
    <row r="6924" spans="1:8">
      <c r="A6924" t="s">
        <v>4</v>
      </c>
      <c r="B6924" s="4" t="s">
        <v>5</v>
      </c>
      <c r="C6924" s="4" t="s">
        <v>7</v>
      </c>
      <c r="D6924" s="4" t="s">
        <v>7</v>
      </c>
      <c r="E6924" s="4" t="s">
        <v>13</v>
      </c>
      <c r="F6924" s="4" t="s">
        <v>13</v>
      </c>
      <c r="G6924" s="4" t="s">
        <v>13</v>
      </c>
      <c r="H6924" s="4" t="s">
        <v>11</v>
      </c>
    </row>
    <row r="6925" spans="1:8">
      <c r="A6925" t="n">
        <v>64297</v>
      </c>
      <c r="B6925" s="51" t="n">
        <v>45</v>
      </c>
      <c r="C6925" s="7" t="n">
        <v>2</v>
      </c>
      <c r="D6925" s="7" t="n">
        <v>3</v>
      </c>
      <c r="E6925" s="7" t="n">
        <v>-6.67000007629395</v>
      </c>
      <c r="F6925" s="7" t="n">
        <v>6.42000007629395</v>
      </c>
      <c r="G6925" s="7" t="n">
        <v>29.8899993896484</v>
      </c>
      <c r="H6925" s="7" t="n">
        <v>0</v>
      </c>
    </row>
    <row r="6926" spans="1:8">
      <c r="A6926" t="s">
        <v>4</v>
      </c>
      <c r="B6926" s="4" t="s">
        <v>5</v>
      </c>
      <c r="C6926" s="4" t="s">
        <v>7</v>
      </c>
      <c r="D6926" s="4" t="s">
        <v>7</v>
      </c>
      <c r="E6926" s="4" t="s">
        <v>13</v>
      </c>
      <c r="F6926" s="4" t="s">
        <v>13</v>
      </c>
      <c r="G6926" s="4" t="s">
        <v>13</v>
      </c>
      <c r="H6926" s="4" t="s">
        <v>11</v>
      </c>
      <c r="I6926" s="4" t="s">
        <v>7</v>
      </c>
    </row>
    <row r="6927" spans="1:8">
      <c r="A6927" t="n">
        <v>64314</v>
      </c>
      <c r="B6927" s="51" t="n">
        <v>45</v>
      </c>
      <c r="C6927" s="7" t="n">
        <v>4</v>
      </c>
      <c r="D6927" s="7" t="n">
        <v>3</v>
      </c>
      <c r="E6927" s="7" t="n">
        <v>15.4700002670288</v>
      </c>
      <c r="F6927" s="7" t="n">
        <v>56.1100006103516</v>
      </c>
      <c r="G6927" s="7" t="n">
        <v>354</v>
      </c>
      <c r="H6927" s="7" t="n">
        <v>0</v>
      </c>
      <c r="I6927" s="7" t="n">
        <v>0</v>
      </c>
    </row>
    <row r="6928" spans="1:8">
      <c r="A6928" t="s">
        <v>4</v>
      </c>
      <c r="B6928" s="4" t="s">
        <v>5</v>
      </c>
      <c r="C6928" s="4" t="s">
        <v>7</v>
      </c>
      <c r="D6928" s="4" t="s">
        <v>7</v>
      </c>
      <c r="E6928" s="4" t="s">
        <v>13</v>
      </c>
      <c r="F6928" s="4" t="s">
        <v>11</v>
      </c>
    </row>
    <row r="6929" spans="1:9">
      <c r="A6929" t="n">
        <v>64332</v>
      </c>
      <c r="B6929" s="51" t="n">
        <v>45</v>
      </c>
      <c r="C6929" s="7" t="n">
        <v>5</v>
      </c>
      <c r="D6929" s="7" t="n">
        <v>3</v>
      </c>
      <c r="E6929" s="7" t="n">
        <v>1.5</v>
      </c>
      <c r="F6929" s="7" t="n">
        <v>0</v>
      </c>
    </row>
    <row r="6930" spans="1:9">
      <c r="A6930" t="s">
        <v>4</v>
      </c>
      <c r="B6930" s="4" t="s">
        <v>5</v>
      </c>
      <c r="C6930" s="4" t="s">
        <v>7</v>
      </c>
      <c r="D6930" s="4" t="s">
        <v>7</v>
      </c>
      <c r="E6930" s="4" t="s">
        <v>13</v>
      </c>
      <c r="F6930" s="4" t="s">
        <v>11</v>
      </c>
    </row>
    <row r="6931" spans="1:9">
      <c r="A6931" t="n">
        <v>64341</v>
      </c>
      <c r="B6931" s="51" t="n">
        <v>45</v>
      </c>
      <c r="C6931" s="7" t="n">
        <v>11</v>
      </c>
      <c r="D6931" s="7" t="n">
        <v>3</v>
      </c>
      <c r="E6931" s="7" t="n">
        <v>40.2999992370605</v>
      </c>
      <c r="F6931" s="7" t="n">
        <v>0</v>
      </c>
    </row>
    <row r="6932" spans="1:9">
      <c r="A6932" t="s">
        <v>4</v>
      </c>
      <c r="B6932" s="4" t="s">
        <v>5</v>
      </c>
      <c r="C6932" s="4" t="s">
        <v>7</v>
      </c>
      <c r="D6932" s="4" t="s">
        <v>7</v>
      </c>
      <c r="E6932" s="4" t="s">
        <v>13</v>
      </c>
      <c r="F6932" s="4" t="s">
        <v>13</v>
      </c>
      <c r="G6932" s="4" t="s">
        <v>13</v>
      </c>
      <c r="H6932" s="4" t="s">
        <v>11</v>
      </c>
    </row>
    <row r="6933" spans="1:9">
      <c r="A6933" t="n">
        <v>64350</v>
      </c>
      <c r="B6933" s="51" t="n">
        <v>45</v>
      </c>
      <c r="C6933" s="7" t="n">
        <v>2</v>
      </c>
      <c r="D6933" s="7" t="n">
        <v>3</v>
      </c>
      <c r="E6933" s="7" t="n">
        <v>-6.34000015258789</v>
      </c>
      <c r="F6933" s="7" t="n">
        <v>6.59000015258789</v>
      </c>
      <c r="G6933" s="7" t="n">
        <v>28.8899993896484</v>
      </c>
      <c r="H6933" s="7" t="n">
        <v>6000</v>
      </c>
    </row>
    <row r="6934" spans="1:9">
      <c r="A6934" t="s">
        <v>4</v>
      </c>
      <c r="B6934" s="4" t="s">
        <v>5</v>
      </c>
      <c r="C6934" s="4" t="s">
        <v>7</v>
      </c>
      <c r="D6934" s="4" t="s">
        <v>7</v>
      </c>
      <c r="E6934" s="4" t="s">
        <v>13</v>
      </c>
      <c r="F6934" s="4" t="s">
        <v>13</v>
      </c>
      <c r="G6934" s="4" t="s">
        <v>13</v>
      </c>
      <c r="H6934" s="4" t="s">
        <v>11</v>
      </c>
      <c r="I6934" s="4" t="s">
        <v>7</v>
      </c>
    </row>
    <row r="6935" spans="1:9">
      <c r="A6935" t="n">
        <v>64367</v>
      </c>
      <c r="B6935" s="51" t="n">
        <v>45</v>
      </c>
      <c r="C6935" s="7" t="n">
        <v>4</v>
      </c>
      <c r="D6935" s="7" t="n">
        <v>3</v>
      </c>
      <c r="E6935" s="7" t="n">
        <v>10.7700004577637</v>
      </c>
      <c r="F6935" s="7" t="n">
        <v>43.6100006103516</v>
      </c>
      <c r="G6935" s="7" t="n">
        <v>360</v>
      </c>
      <c r="H6935" s="7" t="n">
        <v>6000</v>
      </c>
      <c r="I6935" s="7" t="n">
        <v>1</v>
      </c>
    </row>
    <row r="6936" spans="1:9">
      <c r="A6936" t="s">
        <v>4</v>
      </c>
      <c r="B6936" s="4" t="s">
        <v>5</v>
      </c>
      <c r="C6936" s="4" t="s">
        <v>7</v>
      </c>
      <c r="D6936" s="4" t="s">
        <v>11</v>
      </c>
    </row>
    <row r="6937" spans="1:9">
      <c r="A6937" t="n">
        <v>64385</v>
      </c>
      <c r="B6937" s="23" t="n">
        <v>58</v>
      </c>
      <c r="C6937" s="7" t="n">
        <v>255</v>
      </c>
      <c r="D6937" s="7" t="n">
        <v>0</v>
      </c>
    </row>
    <row r="6938" spans="1:9">
      <c r="A6938" t="s">
        <v>4</v>
      </c>
      <c r="B6938" s="4" t="s">
        <v>5</v>
      </c>
      <c r="C6938" s="4" t="s">
        <v>7</v>
      </c>
      <c r="D6938" s="4" t="s">
        <v>11</v>
      </c>
    </row>
    <row r="6939" spans="1:9">
      <c r="A6939" t="n">
        <v>64389</v>
      </c>
      <c r="B6939" s="51" t="n">
        <v>45</v>
      </c>
      <c r="C6939" s="7" t="n">
        <v>7</v>
      </c>
      <c r="D6939" s="7" t="n">
        <v>255</v>
      </c>
    </row>
    <row r="6940" spans="1:9">
      <c r="A6940" t="s">
        <v>4</v>
      </c>
      <c r="B6940" s="4" t="s">
        <v>5</v>
      </c>
      <c r="C6940" s="4" t="s">
        <v>7</v>
      </c>
      <c r="D6940" s="4" t="s">
        <v>11</v>
      </c>
      <c r="E6940" s="4" t="s">
        <v>13</v>
      </c>
    </row>
    <row r="6941" spans="1:9">
      <c r="A6941" t="n">
        <v>64393</v>
      </c>
      <c r="B6941" s="23" t="n">
        <v>58</v>
      </c>
      <c r="C6941" s="7" t="n">
        <v>0</v>
      </c>
      <c r="D6941" s="7" t="n">
        <v>2000</v>
      </c>
      <c r="E6941" s="7" t="n">
        <v>1</v>
      </c>
    </row>
    <row r="6942" spans="1:9">
      <c r="A6942" t="s">
        <v>4</v>
      </c>
      <c r="B6942" s="4" t="s">
        <v>5</v>
      </c>
      <c r="C6942" s="4" t="s">
        <v>7</v>
      </c>
      <c r="D6942" s="4" t="s">
        <v>11</v>
      </c>
    </row>
    <row r="6943" spans="1:9">
      <c r="A6943" t="n">
        <v>64401</v>
      </c>
      <c r="B6943" s="23" t="n">
        <v>58</v>
      </c>
      <c r="C6943" s="7" t="n">
        <v>255</v>
      </c>
      <c r="D6943" s="7" t="n">
        <v>0</v>
      </c>
    </row>
    <row r="6944" spans="1:9">
      <c r="A6944" t="s">
        <v>4</v>
      </c>
      <c r="B6944" s="4" t="s">
        <v>5</v>
      </c>
      <c r="C6944" s="4" t="s">
        <v>7</v>
      </c>
      <c r="D6944" s="4" t="s">
        <v>11</v>
      </c>
      <c r="E6944" s="4" t="s">
        <v>11</v>
      </c>
      <c r="F6944" s="4" t="s">
        <v>15</v>
      </c>
    </row>
    <row r="6945" spans="1:9">
      <c r="A6945" t="n">
        <v>64405</v>
      </c>
      <c r="B6945" s="76" t="n">
        <v>84</v>
      </c>
      <c r="C6945" s="7" t="n">
        <v>1</v>
      </c>
      <c r="D6945" s="7" t="n">
        <v>0</v>
      </c>
      <c r="E6945" s="7" t="n">
        <v>0</v>
      </c>
      <c r="F6945" s="7" t="n">
        <v>0</v>
      </c>
    </row>
    <row r="6946" spans="1:9">
      <c r="A6946" t="s">
        <v>4</v>
      </c>
      <c r="B6946" s="4" t="s">
        <v>5</v>
      </c>
      <c r="C6946" s="4" t="s">
        <v>7</v>
      </c>
    </row>
    <row r="6947" spans="1:9">
      <c r="A6947" t="n">
        <v>64415</v>
      </c>
      <c r="B6947" s="28" t="n">
        <v>78</v>
      </c>
      <c r="C6947" s="7" t="n">
        <v>255</v>
      </c>
    </row>
    <row r="6948" spans="1:9">
      <c r="A6948" t="s">
        <v>4</v>
      </c>
      <c r="B6948" s="4" t="s">
        <v>5</v>
      </c>
      <c r="C6948" s="4" t="s">
        <v>7</v>
      </c>
      <c r="D6948" s="4" t="s">
        <v>11</v>
      </c>
      <c r="E6948" s="4" t="s">
        <v>7</v>
      </c>
    </row>
    <row r="6949" spans="1:9">
      <c r="A6949" t="n">
        <v>64417</v>
      </c>
      <c r="B6949" s="40" t="n">
        <v>36</v>
      </c>
      <c r="C6949" s="7" t="n">
        <v>9</v>
      </c>
      <c r="D6949" s="7" t="n">
        <v>0</v>
      </c>
      <c r="E6949" s="7" t="n">
        <v>0</v>
      </c>
    </row>
    <row r="6950" spans="1:9">
      <c r="A6950" t="s">
        <v>4</v>
      </c>
      <c r="B6950" s="4" t="s">
        <v>5</v>
      </c>
      <c r="C6950" s="4" t="s">
        <v>7</v>
      </c>
      <c r="D6950" s="4" t="s">
        <v>11</v>
      </c>
      <c r="E6950" s="4" t="s">
        <v>7</v>
      </c>
    </row>
    <row r="6951" spans="1:9">
      <c r="A6951" t="n">
        <v>64422</v>
      </c>
      <c r="B6951" s="40" t="n">
        <v>36</v>
      </c>
      <c r="C6951" s="7" t="n">
        <v>9</v>
      </c>
      <c r="D6951" s="7" t="n">
        <v>7</v>
      </c>
      <c r="E6951" s="7" t="n">
        <v>0</v>
      </c>
    </row>
    <row r="6952" spans="1:9">
      <c r="A6952" t="s">
        <v>4</v>
      </c>
      <c r="B6952" s="4" t="s">
        <v>5</v>
      </c>
      <c r="C6952" s="4" t="s">
        <v>11</v>
      </c>
    </row>
    <row r="6953" spans="1:9">
      <c r="A6953" t="n">
        <v>64427</v>
      </c>
      <c r="B6953" s="43" t="n">
        <v>12</v>
      </c>
      <c r="C6953" s="7" t="n">
        <v>10841</v>
      </c>
    </row>
    <row r="6954" spans="1:9">
      <c r="A6954" t="s">
        <v>4</v>
      </c>
      <c r="B6954" s="4" t="s">
        <v>5</v>
      </c>
      <c r="C6954" s="4" t="s">
        <v>11</v>
      </c>
    </row>
    <row r="6955" spans="1:9">
      <c r="A6955" t="n">
        <v>64430</v>
      </c>
      <c r="B6955" s="43" t="n">
        <v>12</v>
      </c>
      <c r="C6955" s="7" t="n">
        <v>6582</v>
      </c>
    </row>
    <row r="6956" spans="1:9">
      <c r="A6956" t="s">
        <v>4</v>
      </c>
      <c r="B6956" s="4" t="s">
        <v>5</v>
      </c>
      <c r="C6956" s="4" t="s">
        <v>7</v>
      </c>
      <c r="D6956" s="4" t="s">
        <v>15</v>
      </c>
    </row>
    <row r="6957" spans="1:9">
      <c r="A6957" t="n">
        <v>64433</v>
      </c>
      <c r="B6957" s="79" t="n">
        <v>137</v>
      </c>
      <c r="C6957" s="7" t="n">
        <v>6</v>
      </c>
      <c r="D6957" s="7" t="n">
        <v>16384</v>
      </c>
    </row>
    <row r="6958" spans="1:9">
      <c r="A6958" t="s">
        <v>4</v>
      </c>
      <c r="B6958" s="4" t="s">
        <v>5</v>
      </c>
      <c r="C6958" s="4" t="s">
        <v>11</v>
      </c>
      <c r="D6958" s="4" t="s">
        <v>7</v>
      </c>
      <c r="E6958" s="4" t="s">
        <v>11</v>
      </c>
    </row>
    <row r="6959" spans="1:9">
      <c r="A6959" t="n">
        <v>64439</v>
      </c>
      <c r="B6959" s="58" t="n">
        <v>104</v>
      </c>
      <c r="C6959" s="7" t="n">
        <v>127</v>
      </c>
      <c r="D6959" s="7" t="n">
        <v>1</v>
      </c>
      <c r="E6959" s="7" t="n">
        <v>9</v>
      </c>
    </row>
    <row r="6960" spans="1:9">
      <c r="A6960" t="s">
        <v>4</v>
      </c>
      <c r="B6960" s="4" t="s">
        <v>5</v>
      </c>
    </row>
    <row r="6961" spans="1:6">
      <c r="A6961" t="n">
        <v>64445</v>
      </c>
      <c r="B6961" s="5" t="n">
        <v>1</v>
      </c>
    </row>
    <row r="6962" spans="1:6">
      <c r="A6962" t="s">
        <v>4</v>
      </c>
      <c r="B6962" s="4" t="s">
        <v>5</v>
      </c>
      <c r="C6962" s="4" t="s">
        <v>7</v>
      </c>
      <c r="D6962" s="4" t="s">
        <v>11</v>
      </c>
      <c r="E6962" s="4" t="s">
        <v>11</v>
      </c>
      <c r="F6962" s="4" t="s">
        <v>15</v>
      </c>
      <c r="G6962" s="4" t="s">
        <v>15</v>
      </c>
      <c r="H6962" s="4" t="s">
        <v>15</v>
      </c>
    </row>
    <row r="6963" spans="1:6">
      <c r="A6963" t="n">
        <v>64446</v>
      </c>
      <c r="B6963" s="77" t="n">
        <v>97</v>
      </c>
      <c r="C6963" s="7" t="n">
        <v>7</v>
      </c>
      <c r="D6963" s="7" t="n">
        <v>0</v>
      </c>
      <c r="E6963" s="7" t="n">
        <v>0</v>
      </c>
      <c r="F6963" s="7" t="n">
        <v>0</v>
      </c>
      <c r="G6963" s="7" t="n">
        <v>0</v>
      </c>
      <c r="H6963" s="7" t="n">
        <v>0</v>
      </c>
    </row>
    <row r="6964" spans="1:6">
      <c r="A6964" t="s">
        <v>4</v>
      </c>
      <c r="B6964" s="4" t="s">
        <v>5</v>
      </c>
      <c r="C6964" s="4" t="s">
        <v>11</v>
      </c>
      <c r="D6964" s="4" t="s">
        <v>13</v>
      </c>
      <c r="E6964" s="4" t="s">
        <v>13</v>
      </c>
      <c r="F6964" s="4" t="s">
        <v>13</v>
      </c>
      <c r="G6964" s="4" t="s">
        <v>13</v>
      </c>
    </row>
    <row r="6965" spans="1:6">
      <c r="A6965" t="n">
        <v>64464</v>
      </c>
      <c r="B6965" s="36" t="n">
        <v>46</v>
      </c>
      <c r="C6965" s="7" t="n">
        <v>61456</v>
      </c>
      <c r="D6965" s="7" t="n">
        <v>0</v>
      </c>
      <c r="E6965" s="7" t="n">
        <v>0</v>
      </c>
      <c r="F6965" s="7" t="n">
        <v>0</v>
      </c>
      <c r="G6965" s="7" t="n">
        <v>0</v>
      </c>
    </row>
    <row r="6966" spans="1:6">
      <c r="A6966" t="s">
        <v>4</v>
      </c>
      <c r="B6966" s="4" t="s">
        <v>5</v>
      </c>
      <c r="C6966" s="4" t="s">
        <v>7</v>
      </c>
      <c r="D6966" s="4" t="s">
        <v>11</v>
      </c>
    </row>
    <row r="6967" spans="1:6">
      <c r="A6967" t="n">
        <v>64483</v>
      </c>
      <c r="B6967" s="8" t="n">
        <v>162</v>
      </c>
      <c r="C6967" s="7" t="n">
        <v>1</v>
      </c>
      <c r="D6967" s="7" t="n">
        <v>0</v>
      </c>
    </row>
    <row r="6968" spans="1:6">
      <c r="A6968" t="s">
        <v>4</v>
      </c>
      <c r="B6968" s="4" t="s">
        <v>5</v>
      </c>
    </row>
    <row r="6969" spans="1:6">
      <c r="A6969" t="n">
        <v>64487</v>
      </c>
      <c r="B6969" s="5" t="n">
        <v>1</v>
      </c>
    </row>
    <row r="6970" spans="1:6" s="3" customFormat="1" customHeight="0">
      <c r="A6970" s="3" t="s">
        <v>2</v>
      </c>
      <c r="B6970" s="3" t="s">
        <v>622</v>
      </c>
    </row>
    <row r="6971" spans="1:6">
      <c r="A6971" t="s">
        <v>4</v>
      </c>
      <c r="B6971" s="4" t="s">
        <v>5</v>
      </c>
      <c r="C6971" s="4" t="s">
        <v>7</v>
      </c>
      <c r="D6971" s="4" t="s">
        <v>7</v>
      </c>
      <c r="E6971" s="4" t="s">
        <v>7</v>
      </c>
      <c r="F6971" s="4" t="s">
        <v>7</v>
      </c>
    </row>
    <row r="6972" spans="1:6">
      <c r="A6972" t="n">
        <v>64488</v>
      </c>
      <c r="B6972" s="9" t="n">
        <v>14</v>
      </c>
      <c r="C6972" s="7" t="n">
        <v>2</v>
      </c>
      <c r="D6972" s="7" t="n">
        <v>0</v>
      </c>
      <c r="E6972" s="7" t="n">
        <v>0</v>
      </c>
      <c r="F6972" s="7" t="n">
        <v>0</v>
      </c>
    </row>
    <row r="6973" spans="1:6">
      <c r="A6973" t="s">
        <v>4</v>
      </c>
      <c r="B6973" s="4" t="s">
        <v>5</v>
      </c>
      <c r="C6973" s="4" t="s">
        <v>7</v>
      </c>
      <c r="D6973" s="20" t="s">
        <v>35</v>
      </c>
      <c r="E6973" s="4" t="s">
        <v>5</v>
      </c>
      <c r="F6973" s="4" t="s">
        <v>7</v>
      </c>
      <c r="G6973" s="4" t="s">
        <v>11</v>
      </c>
      <c r="H6973" s="20" t="s">
        <v>36</v>
      </c>
      <c r="I6973" s="4" t="s">
        <v>7</v>
      </c>
      <c r="J6973" s="4" t="s">
        <v>15</v>
      </c>
      <c r="K6973" s="4" t="s">
        <v>7</v>
      </c>
      <c r="L6973" s="4" t="s">
        <v>7</v>
      </c>
      <c r="M6973" s="20" t="s">
        <v>35</v>
      </c>
      <c r="N6973" s="4" t="s">
        <v>5</v>
      </c>
      <c r="O6973" s="4" t="s">
        <v>7</v>
      </c>
      <c r="P6973" s="4" t="s">
        <v>11</v>
      </c>
      <c r="Q6973" s="20" t="s">
        <v>36</v>
      </c>
      <c r="R6973" s="4" t="s">
        <v>7</v>
      </c>
      <c r="S6973" s="4" t="s">
        <v>15</v>
      </c>
      <c r="T6973" s="4" t="s">
        <v>7</v>
      </c>
      <c r="U6973" s="4" t="s">
        <v>7</v>
      </c>
      <c r="V6973" s="4" t="s">
        <v>7</v>
      </c>
      <c r="W6973" s="4" t="s">
        <v>12</v>
      </c>
    </row>
    <row r="6974" spans="1:6">
      <c r="A6974" t="n">
        <v>64493</v>
      </c>
      <c r="B6974" s="10" t="n">
        <v>5</v>
      </c>
      <c r="C6974" s="7" t="n">
        <v>28</v>
      </c>
      <c r="D6974" s="20" t="s">
        <v>3</v>
      </c>
      <c r="E6974" s="8" t="n">
        <v>162</v>
      </c>
      <c r="F6974" s="7" t="n">
        <v>3</v>
      </c>
      <c r="G6974" s="7" t="n">
        <v>32905</v>
      </c>
      <c r="H6974" s="20" t="s">
        <v>3</v>
      </c>
      <c r="I6974" s="7" t="n">
        <v>0</v>
      </c>
      <c r="J6974" s="7" t="n">
        <v>1</v>
      </c>
      <c r="K6974" s="7" t="n">
        <v>2</v>
      </c>
      <c r="L6974" s="7" t="n">
        <v>28</v>
      </c>
      <c r="M6974" s="20" t="s">
        <v>3</v>
      </c>
      <c r="N6974" s="8" t="n">
        <v>162</v>
      </c>
      <c r="O6974" s="7" t="n">
        <v>3</v>
      </c>
      <c r="P6974" s="7" t="n">
        <v>32905</v>
      </c>
      <c r="Q6974" s="20" t="s">
        <v>3</v>
      </c>
      <c r="R6974" s="7" t="n">
        <v>0</v>
      </c>
      <c r="S6974" s="7" t="n">
        <v>2</v>
      </c>
      <c r="T6974" s="7" t="n">
        <v>2</v>
      </c>
      <c r="U6974" s="7" t="n">
        <v>11</v>
      </c>
      <c r="V6974" s="7" t="n">
        <v>1</v>
      </c>
      <c r="W6974" s="11" t="n">
        <f t="normal" ca="1">A6978</f>
        <v>0</v>
      </c>
    </row>
    <row r="6975" spans="1:6">
      <c r="A6975" t="s">
        <v>4</v>
      </c>
      <c r="B6975" s="4" t="s">
        <v>5</v>
      </c>
      <c r="C6975" s="4" t="s">
        <v>7</v>
      </c>
      <c r="D6975" s="4" t="s">
        <v>11</v>
      </c>
      <c r="E6975" s="4" t="s">
        <v>13</v>
      </c>
    </row>
    <row r="6976" spans="1:6">
      <c r="A6976" t="n">
        <v>64522</v>
      </c>
      <c r="B6976" s="23" t="n">
        <v>58</v>
      </c>
      <c r="C6976" s="7" t="n">
        <v>0</v>
      </c>
      <c r="D6976" s="7" t="n">
        <v>0</v>
      </c>
      <c r="E6976" s="7" t="n">
        <v>1</v>
      </c>
    </row>
    <row r="6977" spans="1:23">
      <c r="A6977" t="s">
        <v>4</v>
      </c>
      <c r="B6977" s="4" t="s">
        <v>5</v>
      </c>
      <c r="C6977" s="4" t="s">
        <v>7</v>
      </c>
      <c r="D6977" s="20" t="s">
        <v>35</v>
      </c>
      <c r="E6977" s="4" t="s">
        <v>5</v>
      </c>
      <c r="F6977" s="4" t="s">
        <v>7</v>
      </c>
      <c r="G6977" s="4" t="s">
        <v>11</v>
      </c>
      <c r="H6977" s="20" t="s">
        <v>36</v>
      </c>
      <c r="I6977" s="4" t="s">
        <v>7</v>
      </c>
      <c r="J6977" s="4" t="s">
        <v>15</v>
      </c>
      <c r="K6977" s="4" t="s">
        <v>7</v>
      </c>
      <c r="L6977" s="4" t="s">
        <v>7</v>
      </c>
      <c r="M6977" s="20" t="s">
        <v>35</v>
      </c>
      <c r="N6977" s="4" t="s">
        <v>5</v>
      </c>
      <c r="O6977" s="4" t="s">
        <v>7</v>
      </c>
      <c r="P6977" s="4" t="s">
        <v>11</v>
      </c>
      <c r="Q6977" s="20" t="s">
        <v>36</v>
      </c>
      <c r="R6977" s="4" t="s">
        <v>7</v>
      </c>
      <c r="S6977" s="4" t="s">
        <v>15</v>
      </c>
      <c r="T6977" s="4" t="s">
        <v>7</v>
      </c>
      <c r="U6977" s="4" t="s">
        <v>7</v>
      </c>
      <c r="V6977" s="4" t="s">
        <v>7</v>
      </c>
      <c r="W6977" s="4" t="s">
        <v>12</v>
      </c>
    </row>
    <row r="6978" spans="1:23">
      <c r="A6978" t="n">
        <v>64530</v>
      </c>
      <c r="B6978" s="10" t="n">
        <v>5</v>
      </c>
      <c r="C6978" s="7" t="n">
        <v>28</v>
      </c>
      <c r="D6978" s="20" t="s">
        <v>3</v>
      </c>
      <c r="E6978" s="8" t="n">
        <v>162</v>
      </c>
      <c r="F6978" s="7" t="n">
        <v>3</v>
      </c>
      <c r="G6978" s="7" t="n">
        <v>32905</v>
      </c>
      <c r="H6978" s="20" t="s">
        <v>3</v>
      </c>
      <c r="I6978" s="7" t="n">
        <v>0</v>
      </c>
      <c r="J6978" s="7" t="n">
        <v>1</v>
      </c>
      <c r="K6978" s="7" t="n">
        <v>3</v>
      </c>
      <c r="L6978" s="7" t="n">
        <v>28</v>
      </c>
      <c r="M6978" s="20" t="s">
        <v>3</v>
      </c>
      <c r="N6978" s="8" t="n">
        <v>162</v>
      </c>
      <c r="O6978" s="7" t="n">
        <v>3</v>
      </c>
      <c r="P6978" s="7" t="n">
        <v>32905</v>
      </c>
      <c r="Q6978" s="20" t="s">
        <v>3</v>
      </c>
      <c r="R6978" s="7" t="n">
        <v>0</v>
      </c>
      <c r="S6978" s="7" t="n">
        <v>2</v>
      </c>
      <c r="T6978" s="7" t="n">
        <v>3</v>
      </c>
      <c r="U6978" s="7" t="n">
        <v>9</v>
      </c>
      <c r="V6978" s="7" t="n">
        <v>1</v>
      </c>
      <c r="W6978" s="11" t="n">
        <f t="normal" ca="1">A6988</f>
        <v>0</v>
      </c>
    </row>
    <row r="6979" spans="1:23">
      <c r="A6979" t="s">
        <v>4</v>
      </c>
      <c r="B6979" s="4" t="s">
        <v>5</v>
      </c>
      <c r="C6979" s="4" t="s">
        <v>7</v>
      </c>
      <c r="D6979" s="20" t="s">
        <v>35</v>
      </c>
      <c r="E6979" s="4" t="s">
        <v>5</v>
      </c>
      <c r="F6979" s="4" t="s">
        <v>11</v>
      </c>
      <c r="G6979" s="4" t="s">
        <v>7</v>
      </c>
      <c r="H6979" s="4" t="s">
        <v>7</v>
      </c>
      <c r="I6979" s="4" t="s">
        <v>8</v>
      </c>
      <c r="J6979" s="20" t="s">
        <v>36</v>
      </c>
      <c r="K6979" s="4" t="s">
        <v>7</v>
      </c>
      <c r="L6979" s="4" t="s">
        <v>7</v>
      </c>
      <c r="M6979" s="20" t="s">
        <v>35</v>
      </c>
      <c r="N6979" s="4" t="s">
        <v>5</v>
      </c>
      <c r="O6979" s="4" t="s">
        <v>7</v>
      </c>
      <c r="P6979" s="20" t="s">
        <v>36</v>
      </c>
      <c r="Q6979" s="4" t="s">
        <v>7</v>
      </c>
      <c r="R6979" s="4" t="s">
        <v>15</v>
      </c>
      <c r="S6979" s="4" t="s">
        <v>7</v>
      </c>
      <c r="T6979" s="4" t="s">
        <v>7</v>
      </c>
      <c r="U6979" s="4" t="s">
        <v>7</v>
      </c>
      <c r="V6979" s="20" t="s">
        <v>35</v>
      </c>
      <c r="W6979" s="4" t="s">
        <v>5</v>
      </c>
      <c r="X6979" s="4" t="s">
        <v>7</v>
      </c>
      <c r="Y6979" s="20" t="s">
        <v>36</v>
      </c>
      <c r="Z6979" s="4" t="s">
        <v>7</v>
      </c>
      <c r="AA6979" s="4" t="s">
        <v>15</v>
      </c>
      <c r="AB6979" s="4" t="s">
        <v>7</v>
      </c>
      <c r="AC6979" s="4" t="s">
        <v>7</v>
      </c>
      <c r="AD6979" s="4" t="s">
        <v>7</v>
      </c>
      <c r="AE6979" s="4" t="s">
        <v>12</v>
      </c>
    </row>
    <row r="6980" spans="1:23">
      <c r="A6980" t="n">
        <v>64559</v>
      </c>
      <c r="B6980" s="10" t="n">
        <v>5</v>
      </c>
      <c r="C6980" s="7" t="n">
        <v>28</v>
      </c>
      <c r="D6980" s="20" t="s">
        <v>3</v>
      </c>
      <c r="E6980" s="41" t="n">
        <v>47</v>
      </c>
      <c r="F6980" s="7" t="n">
        <v>61456</v>
      </c>
      <c r="G6980" s="7" t="n">
        <v>2</v>
      </c>
      <c r="H6980" s="7" t="n">
        <v>0</v>
      </c>
      <c r="I6980" s="7" t="s">
        <v>105</v>
      </c>
      <c r="J6980" s="20" t="s">
        <v>3</v>
      </c>
      <c r="K6980" s="7" t="n">
        <v>8</v>
      </c>
      <c r="L6980" s="7" t="n">
        <v>28</v>
      </c>
      <c r="M6980" s="20" t="s">
        <v>3</v>
      </c>
      <c r="N6980" s="45" t="n">
        <v>74</v>
      </c>
      <c r="O6980" s="7" t="n">
        <v>65</v>
      </c>
      <c r="P6980" s="20" t="s">
        <v>3</v>
      </c>
      <c r="Q6980" s="7" t="n">
        <v>0</v>
      </c>
      <c r="R6980" s="7" t="n">
        <v>1</v>
      </c>
      <c r="S6980" s="7" t="n">
        <v>3</v>
      </c>
      <c r="T6980" s="7" t="n">
        <v>9</v>
      </c>
      <c r="U6980" s="7" t="n">
        <v>28</v>
      </c>
      <c r="V6980" s="20" t="s">
        <v>3</v>
      </c>
      <c r="W6980" s="45" t="n">
        <v>74</v>
      </c>
      <c r="X6980" s="7" t="n">
        <v>65</v>
      </c>
      <c r="Y6980" s="20" t="s">
        <v>3</v>
      </c>
      <c r="Z6980" s="7" t="n">
        <v>0</v>
      </c>
      <c r="AA6980" s="7" t="n">
        <v>2</v>
      </c>
      <c r="AB6980" s="7" t="n">
        <v>3</v>
      </c>
      <c r="AC6980" s="7" t="n">
        <v>9</v>
      </c>
      <c r="AD6980" s="7" t="n">
        <v>1</v>
      </c>
      <c r="AE6980" s="11" t="n">
        <f t="normal" ca="1">A6984</f>
        <v>0</v>
      </c>
    </row>
    <row r="6981" spans="1:23">
      <c r="A6981" t="s">
        <v>4</v>
      </c>
      <c r="B6981" s="4" t="s">
        <v>5</v>
      </c>
      <c r="C6981" s="4" t="s">
        <v>11</v>
      </c>
      <c r="D6981" s="4" t="s">
        <v>7</v>
      </c>
      <c r="E6981" s="4" t="s">
        <v>7</v>
      </c>
      <c r="F6981" s="4" t="s">
        <v>8</v>
      </c>
    </row>
    <row r="6982" spans="1:23">
      <c r="A6982" t="n">
        <v>64607</v>
      </c>
      <c r="B6982" s="41" t="n">
        <v>47</v>
      </c>
      <c r="C6982" s="7" t="n">
        <v>61456</v>
      </c>
      <c r="D6982" s="7" t="n">
        <v>0</v>
      </c>
      <c r="E6982" s="7" t="n">
        <v>0</v>
      </c>
      <c r="F6982" s="7" t="s">
        <v>106</v>
      </c>
    </row>
    <row r="6983" spans="1:23">
      <c r="A6983" t="s">
        <v>4</v>
      </c>
      <c r="B6983" s="4" t="s">
        <v>5</v>
      </c>
      <c r="C6983" s="4" t="s">
        <v>7</v>
      </c>
      <c r="D6983" s="4" t="s">
        <v>11</v>
      </c>
      <c r="E6983" s="4" t="s">
        <v>13</v>
      </c>
    </row>
    <row r="6984" spans="1:23">
      <c r="A6984" t="n">
        <v>64620</v>
      </c>
      <c r="B6984" s="23" t="n">
        <v>58</v>
      </c>
      <c r="C6984" s="7" t="n">
        <v>0</v>
      </c>
      <c r="D6984" s="7" t="n">
        <v>300</v>
      </c>
      <c r="E6984" s="7" t="n">
        <v>1</v>
      </c>
    </row>
    <row r="6985" spans="1:23">
      <c r="A6985" t="s">
        <v>4</v>
      </c>
      <c r="B6985" s="4" t="s">
        <v>5</v>
      </c>
      <c r="C6985" s="4" t="s">
        <v>7</v>
      </c>
      <c r="D6985" s="4" t="s">
        <v>11</v>
      </c>
    </row>
    <row r="6986" spans="1:23">
      <c r="A6986" t="n">
        <v>64628</v>
      </c>
      <c r="B6986" s="23" t="n">
        <v>58</v>
      </c>
      <c r="C6986" s="7" t="n">
        <v>255</v>
      </c>
      <c r="D6986" s="7" t="n">
        <v>0</v>
      </c>
    </row>
    <row r="6987" spans="1:23">
      <c r="A6987" t="s">
        <v>4</v>
      </c>
      <c r="B6987" s="4" t="s">
        <v>5</v>
      </c>
      <c r="C6987" s="4" t="s">
        <v>7</v>
      </c>
      <c r="D6987" s="4" t="s">
        <v>7</v>
      </c>
      <c r="E6987" s="4" t="s">
        <v>7</v>
      </c>
      <c r="F6987" s="4" t="s">
        <v>7</v>
      </c>
    </row>
    <row r="6988" spans="1:23">
      <c r="A6988" t="n">
        <v>64632</v>
      </c>
      <c r="B6988" s="9" t="n">
        <v>14</v>
      </c>
      <c r="C6988" s="7" t="n">
        <v>0</v>
      </c>
      <c r="D6988" s="7" t="n">
        <v>0</v>
      </c>
      <c r="E6988" s="7" t="n">
        <v>0</v>
      </c>
      <c r="F6988" s="7" t="n">
        <v>64</v>
      </c>
    </row>
    <row r="6989" spans="1:23">
      <c r="A6989" t="s">
        <v>4</v>
      </c>
      <c r="B6989" s="4" t="s">
        <v>5</v>
      </c>
      <c r="C6989" s="4" t="s">
        <v>7</v>
      </c>
      <c r="D6989" s="4" t="s">
        <v>11</v>
      </c>
    </row>
    <row r="6990" spans="1:23">
      <c r="A6990" t="n">
        <v>64637</v>
      </c>
      <c r="B6990" s="22" t="n">
        <v>22</v>
      </c>
      <c r="C6990" s="7" t="n">
        <v>0</v>
      </c>
      <c r="D6990" s="7" t="n">
        <v>32905</v>
      </c>
    </row>
    <row r="6991" spans="1:23">
      <c r="A6991" t="s">
        <v>4</v>
      </c>
      <c r="B6991" s="4" t="s">
        <v>5</v>
      </c>
      <c r="C6991" s="4" t="s">
        <v>7</v>
      </c>
      <c r="D6991" s="4" t="s">
        <v>11</v>
      </c>
    </row>
    <row r="6992" spans="1:23">
      <c r="A6992" t="n">
        <v>64641</v>
      </c>
      <c r="B6992" s="23" t="n">
        <v>58</v>
      </c>
      <c r="C6992" s="7" t="n">
        <v>5</v>
      </c>
      <c r="D6992" s="7" t="n">
        <v>300</v>
      </c>
    </row>
    <row r="6993" spans="1:31">
      <c r="A6993" t="s">
        <v>4</v>
      </c>
      <c r="B6993" s="4" t="s">
        <v>5</v>
      </c>
      <c r="C6993" s="4" t="s">
        <v>13</v>
      </c>
      <c r="D6993" s="4" t="s">
        <v>11</v>
      </c>
    </row>
    <row r="6994" spans="1:31">
      <c r="A6994" t="n">
        <v>64645</v>
      </c>
      <c r="B6994" s="46" t="n">
        <v>103</v>
      </c>
      <c r="C6994" s="7" t="n">
        <v>0</v>
      </c>
      <c r="D6994" s="7" t="n">
        <v>300</v>
      </c>
    </row>
    <row r="6995" spans="1:31">
      <c r="A6995" t="s">
        <v>4</v>
      </c>
      <c r="B6995" s="4" t="s">
        <v>5</v>
      </c>
      <c r="C6995" s="4" t="s">
        <v>7</v>
      </c>
    </row>
    <row r="6996" spans="1:31">
      <c r="A6996" t="n">
        <v>64652</v>
      </c>
      <c r="B6996" s="47" t="n">
        <v>64</v>
      </c>
      <c r="C6996" s="7" t="n">
        <v>7</v>
      </c>
    </row>
    <row r="6997" spans="1:31">
      <c r="A6997" t="s">
        <v>4</v>
      </c>
      <c r="B6997" s="4" t="s">
        <v>5</v>
      </c>
      <c r="C6997" s="4" t="s">
        <v>7</v>
      </c>
      <c r="D6997" s="4" t="s">
        <v>11</v>
      </c>
    </row>
    <row r="6998" spans="1:31">
      <c r="A6998" t="n">
        <v>64654</v>
      </c>
      <c r="B6998" s="48" t="n">
        <v>72</v>
      </c>
      <c r="C6998" s="7" t="n">
        <v>5</v>
      </c>
      <c r="D6998" s="7" t="n">
        <v>0</v>
      </c>
    </row>
    <row r="6999" spans="1:31">
      <c r="A6999" t="s">
        <v>4</v>
      </c>
      <c r="B6999" s="4" t="s">
        <v>5</v>
      </c>
      <c r="C6999" s="4" t="s">
        <v>7</v>
      </c>
      <c r="D6999" s="20" t="s">
        <v>35</v>
      </c>
      <c r="E6999" s="4" t="s">
        <v>5</v>
      </c>
      <c r="F6999" s="4" t="s">
        <v>7</v>
      </c>
      <c r="G6999" s="4" t="s">
        <v>11</v>
      </c>
      <c r="H6999" s="20" t="s">
        <v>36</v>
      </c>
      <c r="I6999" s="4" t="s">
        <v>7</v>
      </c>
      <c r="J6999" s="4" t="s">
        <v>15</v>
      </c>
      <c r="K6999" s="4" t="s">
        <v>7</v>
      </c>
      <c r="L6999" s="4" t="s">
        <v>7</v>
      </c>
      <c r="M6999" s="4" t="s">
        <v>12</v>
      </c>
    </row>
    <row r="7000" spans="1:31">
      <c r="A7000" t="n">
        <v>64658</v>
      </c>
      <c r="B7000" s="10" t="n">
        <v>5</v>
      </c>
      <c r="C7000" s="7" t="n">
        <v>28</v>
      </c>
      <c r="D7000" s="20" t="s">
        <v>3</v>
      </c>
      <c r="E7000" s="8" t="n">
        <v>162</v>
      </c>
      <c r="F7000" s="7" t="n">
        <v>4</v>
      </c>
      <c r="G7000" s="7" t="n">
        <v>32905</v>
      </c>
      <c r="H7000" s="20" t="s">
        <v>3</v>
      </c>
      <c r="I7000" s="7" t="n">
        <v>0</v>
      </c>
      <c r="J7000" s="7" t="n">
        <v>1</v>
      </c>
      <c r="K7000" s="7" t="n">
        <v>2</v>
      </c>
      <c r="L7000" s="7" t="n">
        <v>1</v>
      </c>
      <c r="M7000" s="11" t="n">
        <f t="normal" ca="1">A7006</f>
        <v>0</v>
      </c>
    </row>
    <row r="7001" spans="1:31">
      <c r="A7001" t="s">
        <v>4</v>
      </c>
      <c r="B7001" s="4" t="s">
        <v>5</v>
      </c>
      <c r="C7001" s="4" t="s">
        <v>7</v>
      </c>
      <c r="D7001" s="4" t="s">
        <v>8</v>
      </c>
    </row>
    <row r="7002" spans="1:31">
      <c r="A7002" t="n">
        <v>64675</v>
      </c>
      <c r="B7002" s="6" t="n">
        <v>2</v>
      </c>
      <c r="C7002" s="7" t="n">
        <v>10</v>
      </c>
      <c r="D7002" s="7" t="s">
        <v>107</v>
      </c>
    </row>
    <row r="7003" spans="1:31">
      <c r="A7003" t="s">
        <v>4</v>
      </c>
      <c r="B7003" s="4" t="s">
        <v>5</v>
      </c>
      <c r="C7003" s="4" t="s">
        <v>11</v>
      </c>
    </row>
    <row r="7004" spans="1:31">
      <c r="A7004" t="n">
        <v>64692</v>
      </c>
      <c r="B7004" s="29" t="n">
        <v>16</v>
      </c>
      <c r="C7004" s="7" t="n">
        <v>0</v>
      </c>
    </row>
    <row r="7005" spans="1:31">
      <c r="A7005" t="s">
        <v>4</v>
      </c>
      <c r="B7005" s="4" t="s">
        <v>5</v>
      </c>
      <c r="C7005" s="4" t="s">
        <v>7</v>
      </c>
      <c r="D7005" s="4" t="s">
        <v>11</v>
      </c>
      <c r="E7005" s="4" t="s">
        <v>11</v>
      </c>
      <c r="F7005" s="4" t="s">
        <v>11</v>
      </c>
      <c r="G7005" s="4" t="s">
        <v>11</v>
      </c>
      <c r="H7005" s="4" t="s">
        <v>11</v>
      </c>
      <c r="I7005" s="4" t="s">
        <v>11</v>
      </c>
      <c r="J7005" s="4" t="s">
        <v>11</v>
      </c>
      <c r="K7005" s="4" t="s">
        <v>11</v>
      </c>
      <c r="L7005" s="4" t="s">
        <v>11</v>
      </c>
      <c r="M7005" s="4" t="s">
        <v>11</v>
      </c>
      <c r="N7005" s="4" t="s">
        <v>15</v>
      </c>
      <c r="O7005" s="4" t="s">
        <v>15</v>
      </c>
      <c r="P7005" s="4" t="s">
        <v>15</v>
      </c>
      <c r="Q7005" s="4" t="s">
        <v>15</v>
      </c>
      <c r="R7005" s="4" t="s">
        <v>7</v>
      </c>
      <c r="S7005" s="4" t="s">
        <v>8</v>
      </c>
    </row>
    <row r="7006" spans="1:31">
      <c r="A7006" t="n">
        <v>64695</v>
      </c>
      <c r="B7006" s="24" t="n">
        <v>75</v>
      </c>
      <c r="C7006" s="7" t="n">
        <v>0</v>
      </c>
      <c r="D7006" s="7" t="n">
        <v>484</v>
      </c>
      <c r="E7006" s="7" t="n">
        <v>328</v>
      </c>
      <c r="F7006" s="7" t="n">
        <v>996</v>
      </c>
      <c r="G7006" s="7" t="n">
        <v>392</v>
      </c>
      <c r="H7006" s="7" t="n">
        <v>0</v>
      </c>
      <c r="I7006" s="7" t="n">
        <v>0</v>
      </c>
      <c r="J7006" s="7" t="n">
        <v>0</v>
      </c>
      <c r="K7006" s="7" t="n">
        <v>448</v>
      </c>
      <c r="L7006" s="7" t="n">
        <v>512</v>
      </c>
      <c r="M7006" s="7" t="n">
        <v>512</v>
      </c>
      <c r="N7006" s="7" t="n">
        <v>1065353216</v>
      </c>
      <c r="O7006" s="7" t="n">
        <v>1065353216</v>
      </c>
      <c r="P7006" s="7" t="n">
        <v>1065353216</v>
      </c>
      <c r="Q7006" s="7" t="n">
        <v>0</v>
      </c>
      <c r="R7006" s="7" t="n">
        <v>0</v>
      </c>
      <c r="S7006" s="7" t="s">
        <v>271</v>
      </c>
    </row>
    <row r="7007" spans="1:31">
      <c r="A7007" t="s">
        <v>4</v>
      </c>
      <c r="B7007" s="4" t="s">
        <v>5</v>
      </c>
      <c r="C7007" s="4" t="s">
        <v>7</v>
      </c>
      <c r="D7007" s="4" t="s">
        <v>11</v>
      </c>
      <c r="E7007" s="4" t="s">
        <v>11</v>
      </c>
      <c r="F7007" s="4" t="s">
        <v>11</v>
      </c>
      <c r="G7007" s="4" t="s">
        <v>11</v>
      </c>
      <c r="H7007" s="4" t="s">
        <v>11</v>
      </c>
      <c r="I7007" s="4" t="s">
        <v>11</v>
      </c>
      <c r="J7007" s="4" t="s">
        <v>11</v>
      </c>
      <c r="K7007" s="4" t="s">
        <v>11</v>
      </c>
      <c r="L7007" s="4" t="s">
        <v>11</v>
      </c>
      <c r="M7007" s="4" t="s">
        <v>11</v>
      </c>
      <c r="N7007" s="4" t="s">
        <v>15</v>
      </c>
      <c r="O7007" s="4" t="s">
        <v>15</v>
      </c>
      <c r="P7007" s="4" t="s">
        <v>15</v>
      </c>
      <c r="Q7007" s="4" t="s">
        <v>15</v>
      </c>
      <c r="R7007" s="4" t="s">
        <v>7</v>
      </c>
      <c r="S7007" s="4" t="s">
        <v>8</v>
      </c>
    </row>
    <row r="7008" spans="1:31">
      <c r="A7008" t="n">
        <v>64744</v>
      </c>
      <c r="B7008" s="24" t="n">
        <v>75</v>
      </c>
      <c r="C7008" s="7" t="n">
        <v>1</v>
      </c>
      <c r="D7008" s="7" t="n">
        <v>0</v>
      </c>
      <c r="E7008" s="7" t="n">
        <v>0</v>
      </c>
      <c r="F7008" s="7" t="n">
        <v>1024</v>
      </c>
      <c r="G7008" s="7" t="n">
        <v>720</v>
      </c>
      <c r="H7008" s="7" t="n">
        <v>0</v>
      </c>
      <c r="I7008" s="7" t="n">
        <v>0</v>
      </c>
      <c r="J7008" s="7" t="n">
        <v>0</v>
      </c>
      <c r="K7008" s="7" t="n">
        <v>0</v>
      </c>
      <c r="L7008" s="7" t="n">
        <v>1024</v>
      </c>
      <c r="M7008" s="7" t="n">
        <v>720</v>
      </c>
      <c r="N7008" s="7" t="n">
        <v>1065353216</v>
      </c>
      <c r="O7008" s="7" t="n">
        <v>1065353216</v>
      </c>
      <c r="P7008" s="7" t="n">
        <v>1065353216</v>
      </c>
      <c r="Q7008" s="7" t="n">
        <v>0</v>
      </c>
      <c r="R7008" s="7" t="n">
        <v>0</v>
      </c>
      <c r="S7008" s="7" t="s">
        <v>623</v>
      </c>
    </row>
    <row r="7009" spans="1:19">
      <c r="A7009" t="s">
        <v>4</v>
      </c>
      <c r="B7009" s="4" t="s">
        <v>5</v>
      </c>
      <c r="C7009" s="4" t="s">
        <v>7</v>
      </c>
      <c r="D7009" s="4" t="s">
        <v>7</v>
      </c>
      <c r="E7009" s="4" t="s">
        <v>7</v>
      </c>
      <c r="F7009" s="4" t="s">
        <v>13</v>
      </c>
      <c r="G7009" s="4" t="s">
        <v>13</v>
      </c>
      <c r="H7009" s="4" t="s">
        <v>13</v>
      </c>
      <c r="I7009" s="4" t="s">
        <v>13</v>
      </c>
      <c r="J7009" s="4" t="s">
        <v>13</v>
      </c>
    </row>
    <row r="7010" spans="1:19">
      <c r="A7010" t="n">
        <v>64793</v>
      </c>
      <c r="B7010" s="25" t="n">
        <v>76</v>
      </c>
      <c r="C7010" s="7" t="n">
        <v>1</v>
      </c>
      <c r="D7010" s="7" t="n">
        <v>9</v>
      </c>
      <c r="E7010" s="7" t="n">
        <v>2</v>
      </c>
      <c r="F7010" s="7" t="n">
        <v>0</v>
      </c>
      <c r="G7010" s="7" t="n">
        <v>0</v>
      </c>
      <c r="H7010" s="7" t="n">
        <v>0</v>
      </c>
      <c r="I7010" s="7" t="n">
        <v>0</v>
      </c>
      <c r="J7010" s="7" t="n">
        <v>0</v>
      </c>
    </row>
    <row r="7011" spans="1:19">
      <c r="A7011" t="s">
        <v>4</v>
      </c>
      <c r="B7011" s="4" t="s">
        <v>5</v>
      </c>
      <c r="C7011" s="4" t="s">
        <v>11</v>
      </c>
      <c r="D7011" s="4" t="s">
        <v>8</v>
      </c>
      <c r="E7011" s="4" t="s">
        <v>8</v>
      </c>
      <c r="F7011" s="4" t="s">
        <v>8</v>
      </c>
      <c r="G7011" s="4" t="s">
        <v>7</v>
      </c>
      <c r="H7011" s="4" t="s">
        <v>15</v>
      </c>
      <c r="I7011" s="4" t="s">
        <v>13</v>
      </c>
      <c r="J7011" s="4" t="s">
        <v>13</v>
      </c>
      <c r="K7011" s="4" t="s">
        <v>13</v>
      </c>
      <c r="L7011" s="4" t="s">
        <v>13</v>
      </c>
      <c r="M7011" s="4" t="s">
        <v>13</v>
      </c>
      <c r="N7011" s="4" t="s">
        <v>13</v>
      </c>
      <c r="O7011" s="4" t="s">
        <v>13</v>
      </c>
      <c r="P7011" s="4" t="s">
        <v>8</v>
      </c>
      <c r="Q7011" s="4" t="s">
        <v>8</v>
      </c>
      <c r="R7011" s="4" t="s">
        <v>15</v>
      </c>
      <c r="S7011" s="4" t="s">
        <v>7</v>
      </c>
      <c r="T7011" s="4" t="s">
        <v>15</v>
      </c>
      <c r="U7011" s="4" t="s">
        <v>15</v>
      </c>
      <c r="V7011" s="4" t="s">
        <v>11</v>
      </c>
    </row>
    <row r="7012" spans="1:19">
      <c r="A7012" t="n">
        <v>64817</v>
      </c>
      <c r="B7012" s="62" t="n">
        <v>19</v>
      </c>
      <c r="C7012" s="7" t="n">
        <v>9</v>
      </c>
      <c r="D7012" s="7" t="s">
        <v>624</v>
      </c>
      <c r="E7012" s="7" t="s">
        <v>625</v>
      </c>
      <c r="F7012" s="7" t="s">
        <v>16</v>
      </c>
      <c r="G7012" s="7" t="n">
        <v>0</v>
      </c>
      <c r="H7012" s="7" t="n">
        <v>1</v>
      </c>
      <c r="I7012" s="7" t="n">
        <v>0</v>
      </c>
      <c r="J7012" s="7" t="n">
        <v>0</v>
      </c>
      <c r="K7012" s="7" t="n">
        <v>0</v>
      </c>
      <c r="L7012" s="7" t="n">
        <v>0</v>
      </c>
      <c r="M7012" s="7" t="n">
        <v>1</v>
      </c>
      <c r="N7012" s="7" t="n">
        <v>1.60000002384186</v>
      </c>
      <c r="O7012" s="7" t="n">
        <v>0.0900000035762787</v>
      </c>
      <c r="P7012" s="7" t="s">
        <v>16</v>
      </c>
      <c r="Q7012" s="7" t="s">
        <v>16</v>
      </c>
      <c r="R7012" s="7" t="n">
        <v>-1</v>
      </c>
      <c r="S7012" s="7" t="n">
        <v>0</v>
      </c>
      <c r="T7012" s="7" t="n">
        <v>0</v>
      </c>
      <c r="U7012" s="7" t="n">
        <v>0</v>
      </c>
      <c r="V7012" s="7" t="n">
        <v>0</v>
      </c>
    </row>
    <row r="7013" spans="1:19">
      <c r="A7013" t="s">
        <v>4</v>
      </c>
      <c r="B7013" s="4" t="s">
        <v>5</v>
      </c>
      <c r="C7013" s="4" t="s">
        <v>11</v>
      </c>
      <c r="D7013" s="4" t="s">
        <v>7</v>
      </c>
      <c r="E7013" s="4" t="s">
        <v>7</v>
      </c>
      <c r="F7013" s="4" t="s">
        <v>8</v>
      </c>
    </row>
    <row r="7014" spans="1:19">
      <c r="A7014" t="n">
        <v>64892</v>
      </c>
      <c r="B7014" s="50" t="n">
        <v>20</v>
      </c>
      <c r="C7014" s="7" t="n">
        <v>0</v>
      </c>
      <c r="D7014" s="7" t="n">
        <v>3</v>
      </c>
      <c r="E7014" s="7" t="n">
        <v>10</v>
      </c>
      <c r="F7014" s="7" t="s">
        <v>108</v>
      </c>
    </row>
    <row r="7015" spans="1:19">
      <c r="A7015" t="s">
        <v>4</v>
      </c>
      <c r="B7015" s="4" t="s">
        <v>5</v>
      </c>
      <c r="C7015" s="4" t="s">
        <v>11</v>
      </c>
    </row>
    <row r="7016" spans="1:19">
      <c r="A7016" t="n">
        <v>64910</v>
      </c>
      <c r="B7016" s="29" t="n">
        <v>16</v>
      </c>
      <c r="C7016" s="7" t="n">
        <v>0</v>
      </c>
    </row>
    <row r="7017" spans="1:19">
      <c r="A7017" t="s">
        <v>4</v>
      </c>
      <c r="B7017" s="4" t="s">
        <v>5</v>
      </c>
      <c r="C7017" s="4" t="s">
        <v>11</v>
      </c>
      <c r="D7017" s="4" t="s">
        <v>7</v>
      </c>
      <c r="E7017" s="4" t="s">
        <v>7</v>
      </c>
      <c r="F7017" s="4" t="s">
        <v>8</v>
      </c>
    </row>
    <row r="7018" spans="1:19">
      <c r="A7018" t="n">
        <v>64913</v>
      </c>
      <c r="B7018" s="50" t="n">
        <v>20</v>
      </c>
      <c r="C7018" s="7" t="n">
        <v>9</v>
      </c>
      <c r="D7018" s="7" t="n">
        <v>3</v>
      </c>
      <c r="E7018" s="7" t="n">
        <v>10</v>
      </c>
      <c r="F7018" s="7" t="s">
        <v>108</v>
      </c>
    </row>
    <row r="7019" spans="1:19">
      <c r="A7019" t="s">
        <v>4</v>
      </c>
      <c r="B7019" s="4" t="s">
        <v>5</v>
      </c>
      <c r="C7019" s="4" t="s">
        <v>11</v>
      </c>
    </row>
    <row r="7020" spans="1:19">
      <c r="A7020" t="n">
        <v>64931</v>
      </c>
      <c r="B7020" s="29" t="n">
        <v>16</v>
      </c>
      <c r="C7020" s="7" t="n">
        <v>0</v>
      </c>
    </row>
    <row r="7021" spans="1:19">
      <c r="A7021" t="s">
        <v>4</v>
      </c>
      <c r="B7021" s="4" t="s">
        <v>5</v>
      </c>
      <c r="C7021" s="4" t="s">
        <v>11</v>
      </c>
      <c r="D7021" s="4" t="s">
        <v>15</v>
      </c>
    </row>
    <row r="7022" spans="1:19">
      <c r="A7022" t="n">
        <v>64934</v>
      </c>
      <c r="B7022" s="39" t="n">
        <v>43</v>
      </c>
      <c r="C7022" s="7" t="n">
        <v>9</v>
      </c>
      <c r="D7022" s="7" t="n">
        <v>1</v>
      </c>
    </row>
    <row r="7023" spans="1:19">
      <c r="A7023" t="s">
        <v>4</v>
      </c>
      <c r="B7023" s="4" t="s">
        <v>5</v>
      </c>
      <c r="C7023" s="4" t="s">
        <v>7</v>
      </c>
    </row>
    <row r="7024" spans="1:19">
      <c r="A7024" t="n">
        <v>64941</v>
      </c>
      <c r="B7024" s="49" t="n">
        <v>116</v>
      </c>
      <c r="C7024" s="7" t="n">
        <v>0</v>
      </c>
    </row>
    <row r="7025" spans="1:22">
      <c r="A7025" t="s">
        <v>4</v>
      </c>
      <c r="B7025" s="4" t="s">
        <v>5</v>
      </c>
      <c r="C7025" s="4" t="s">
        <v>7</v>
      </c>
      <c r="D7025" s="4" t="s">
        <v>11</v>
      </c>
    </row>
    <row r="7026" spans="1:22">
      <c r="A7026" t="n">
        <v>64943</v>
      </c>
      <c r="B7026" s="49" t="n">
        <v>116</v>
      </c>
      <c r="C7026" s="7" t="n">
        <v>2</v>
      </c>
      <c r="D7026" s="7" t="n">
        <v>1</v>
      </c>
    </row>
    <row r="7027" spans="1:22">
      <c r="A7027" t="s">
        <v>4</v>
      </c>
      <c r="B7027" s="4" t="s">
        <v>5</v>
      </c>
      <c r="C7027" s="4" t="s">
        <v>7</v>
      </c>
      <c r="D7027" s="4" t="s">
        <v>15</v>
      </c>
    </row>
    <row r="7028" spans="1:22">
      <c r="A7028" t="n">
        <v>64947</v>
      </c>
      <c r="B7028" s="49" t="n">
        <v>116</v>
      </c>
      <c r="C7028" s="7" t="n">
        <v>5</v>
      </c>
      <c r="D7028" s="7" t="n">
        <v>1106247680</v>
      </c>
    </row>
    <row r="7029" spans="1:22">
      <c r="A7029" t="s">
        <v>4</v>
      </c>
      <c r="B7029" s="4" t="s">
        <v>5</v>
      </c>
      <c r="C7029" s="4" t="s">
        <v>7</v>
      </c>
      <c r="D7029" s="4" t="s">
        <v>11</v>
      </c>
    </row>
    <row r="7030" spans="1:22">
      <c r="A7030" t="n">
        <v>64953</v>
      </c>
      <c r="B7030" s="49" t="n">
        <v>116</v>
      </c>
      <c r="C7030" s="7" t="n">
        <v>6</v>
      </c>
      <c r="D7030" s="7" t="n">
        <v>1</v>
      </c>
    </row>
    <row r="7031" spans="1:22">
      <c r="A7031" t="s">
        <v>4</v>
      </c>
      <c r="B7031" s="4" t="s">
        <v>5</v>
      </c>
      <c r="C7031" s="4" t="s">
        <v>7</v>
      </c>
      <c r="D7031" s="4" t="s">
        <v>11</v>
      </c>
      <c r="E7031" s="4" t="s">
        <v>11</v>
      </c>
      <c r="F7031" s="4" t="s">
        <v>15</v>
      </c>
    </row>
    <row r="7032" spans="1:22">
      <c r="A7032" t="n">
        <v>64957</v>
      </c>
      <c r="B7032" s="76" t="n">
        <v>84</v>
      </c>
      <c r="C7032" s="7" t="n">
        <v>0</v>
      </c>
      <c r="D7032" s="7" t="n">
        <v>0</v>
      </c>
      <c r="E7032" s="7" t="n">
        <v>0</v>
      </c>
      <c r="F7032" s="7" t="n">
        <v>1045220557</v>
      </c>
    </row>
    <row r="7033" spans="1:22">
      <c r="A7033" t="s">
        <v>4</v>
      </c>
      <c r="B7033" s="4" t="s">
        <v>5</v>
      </c>
      <c r="C7033" s="4" t="s">
        <v>11</v>
      </c>
      <c r="D7033" s="4" t="s">
        <v>13</v>
      </c>
      <c r="E7033" s="4" t="s">
        <v>13</v>
      </c>
      <c r="F7033" s="4" t="s">
        <v>13</v>
      </c>
      <c r="G7033" s="4" t="s">
        <v>13</v>
      </c>
    </row>
    <row r="7034" spans="1:22">
      <c r="A7034" t="n">
        <v>64967</v>
      </c>
      <c r="B7034" s="36" t="n">
        <v>46</v>
      </c>
      <c r="C7034" s="7" t="n">
        <v>9</v>
      </c>
      <c r="D7034" s="7" t="n">
        <v>7.6100001335144</v>
      </c>
      <c r="E7034" s="7" t="n">
        <v>0</v>
      </c>
      <c r="F7034" s="7" t="n">
        <v>46.0200004577637</v>
      </c>
      <c r="G7034" s="7" t="n">
        <v>272.200012207031</v>
      </c>
    </row>
    <row r="7035" spans="1:22">
      <c r="A7035" t="s">
        <v>4</v>
      </c>
      <c r="B7035" s="4" t="s">
        <v>5</v>
      </c>
      <c r="C7035" s="4" t="s">
        <v>11</v>
      </c>
      <c r="D7035" s="4" t="s">
        <v>13</v>
      </c>
      <c r="E7035" s="4" t="s">
        <v>13</v>
      </c>
      <c r="F7035" s="4" t="s">
        <v>13</v>
      </c>
      <c r="G7035" s="4" t="s">
        <v>13</v>
      </c>
    </row>
    <row r="7036" spans="1:22">
      <c r="A7036" t="n">
        <v>64986</v>
      </c>
      <c r="B7036" s="36" t="n">
        <v>46</v>
      </c>
      <c r="C7036" s="7" t="n">
        <v>0</v>
      </c>
      <c r="D7036" s="7" t="n">
        <v>4.78000020980835</v>
      </c>
      <c r="E7036" s="7" t="n">
        <v>0</v>
      </c>
      <c r="F7036" s="7" t="n">
        <v>45.3300018310547</v>
      </c>
      <c r="G7036" s="7" t="n">
        <v>-102.300003051758</v>
      </c>
    </row>
    <row r="7037" spans="1:22">
      <c r="A7037" t="s">
        <v>4</v>
      </c>
      <c r="B7037" s="4" t="s">
        <v>5</v>
      </c>
      <c r="C7037" s="4" t="s">
        <v>11</v>
      </c>
      <c r="D7037" s="4" t="s">
        <v>7</v>
      </c>
      <c r="E7037" s="4" t="s">
        <v>8</v>
      </c>
      <c r="F7037" s="4" t="s">
        <v>13</v>
      </c>
      <c r="G7037" s="4" t="s">
        <v>13</v>
      </c>
      <c r="H7037" s="4" t="s">
        <v>13</v>
      </c>
    </row>
    <row r="7038" spans="1:22">
      <c r="A7038" t="n">
        <v>65005</v>
      </c>
      <c r="B7038" s="42" t="n">
        <v>48</v>
      </c>
      <c r="C7038" s="7" t="n">
        <v>0</v>
      </c>
      <c r="D7038" s="7" t="n">
        <v>0</v>
      </c>
      <c r="E7038" s="7" t="s">
        <v>275</v>
      </c>
      <c r="F7038" s="7" t="n">
        <v>0</v>
      </c>
      <c r="G7038" s="7" t="n">
        <v>1</v>
      </c>
      <c r="H7038" s="7" t="n">
        <v>0</v>
      </c>
    </row>
    <row r="7039" spans="1:22">
      <c r="A7039" t="s">
        <v>4</v>
      </c>
      <c r="B7039" s="4" t="s">
        <v>5</v>
      </c>
      <c r="C7039" s="4" t="s">
        <v>7</v>
      </c>
      <c r="D7039" s="4" t="s">
        <v>11</v>
      </c>
      <c r="E7039" s="4" t="s">
        <v>8</v>
      </c>
      <c r="F7039" s="4" t="s">
        <v>8</v>
      </c>
      <c r="G7039" s="4" t="s">
        <v>8</v>
      </c>
      <c r="H7039" s="4" t="s">
        <v>8</v>
      </c>
    </row>
    <row r="7040" spans="1:22">
      <c r="A7040" t="n">
        <v>65030</v>
      </c>
      <c r="B7040" s="38" t="n">
        <v>51</v>
      </c>
      <c r="C7040" s="7" t="n">
        <v>3</v>
      </c>
      <c r="D7040" s="7" t="n">
        <v>0</v>
      </c>
      <c r="E7040" s="7" t="s">
        <v>101</v>
      </c>
      <c r="F7040" s="7" t="s">
        <v>99</v>
      </c>
      <c r="G7040" s="7" t="s">
        <v>78</v>
      </c>
      <c r="H7040" s="7" t="s">
        <v>79</v>
      </c>
    </row>
    <row r="7041" spans="1:8">
      <c r="A7041" t="s">
        <v>4</v>
      </c>
      <c r="B7041" s="4" t="s">
        <v>5</v>
      </c>
      <c r="C7041" s="4" t="s">
        <v>7</v>
      </c>
      <c r="D7041" s="4" t="s">
        <v>11</v>
      </c>
      <c r="E7041" s="4" t="s">
        <v>8</v>
      </c>
      <c r="F7041" s="4" t="s">
        <v>8</v>
      </c>
      <c r="G7041" s="4" t="s">
        <v>8</v>
      </c>
      <c r="H7041" s="4" t="s">
        <v>8</v>
      </c>
    </row>
    <row r="7042" spans="1:8">
      <c r="A7042" t="n">
        <v>65051</v>
      </c>
      <c r="B7042" s="38" t="n">
        <v>51</v>
      </c>
      <c r="C7042" s="7" t="n">
        <v>3</v>
      </c>
      <c r="D7042" s="7" t="n">
        <v>9</v>
      </c>
      <c r="E7042" s="7" t="s">
        <v>101</v>
      </c>
      <c r="F7042" s="7" t="s">
        <v>232</v>
      </c>
      <c r="G7042" s="7" t="s">
        <v>78</v>
      </c>
      <c r="H7042" s="7" t="s">
        <v>79</v>
      </c>
    </row>
    <row r="7043" spans="1:8">
      <c r="A7043" t="s">
        <v>4</v>
      </c>
      <c r="B7043" s="4" t="s">
        <v>5</v>
      </c>
      <c r="C7043" s="4" t="s">
        <v>7</v>
      </c>
      <c r="D7043" s="4" t="s">
        <v>11</v>
      </c>
      <c r="E7043" s="4" t="s">
        <v>7</v>
      </c>
      <c r="F7043" s="4" t="s">
        <v>8</v>
      </c>
      <c r="G7043" s="4" t="s">
        <v>8</v>
      </c>
      <c r="H7043" s="4" t="s">
        <v>8</v>
      </c>
      <c r="I7043" s="4" t="s">
        <v>8</v>
      </c>
      <c r="J7043" s="4" t="s">
        <v>8</v>
      </c>
      <c r="K7043" s="4" t="s">
        <v>8</v>
      </c>
      <c r="L7043" s="4" t="s">
        <v>8</v>
      </c>
      <c r="M7043" s="4" t="s">
        <v>8</v>
      </c>
      <c r="N7043" s="4" t="s">
        <v>8</v>
      </c>
      <c r="O7043" s="4" t="s">
        <v>8</v>
      </c>
      <c r="P7043" s="4" t="s">
        <v>8</v>
      </c>
      <c r="Q7043" s="4" t="s">
        <v>8</v>
      </c>
      <c r="R7043" s="4" t="s">
        <v>8</v>
      </c>
      <c r="S7043" s="4" t="s">
        <v>8</v>
      </c>
      <c r="T7043" s="4" t="s">
        <v>8</v>
      </c>
      <c r="U7043" s="4" t="s">
        <v>8</v>
      </c>
    </row>
    <row r="7044" spans="1:8">
      <c r="A7044" t="n">
        <v>65072</v>
      </c>
      <c r="B7044" s="40" t="n">
        <v>36</v>
      </c>
      <c r="C7044" s="7" t="n">
        <v>8</v>
      </c>
      <c r="D7044" s="7" t="n">
        <v>0</v>
      </c>
      <c r="E7044" s="7" t="n">
        <v>0</v>
      </c>
      <c r="F7044" s="7" t="s">
        <v>626</v>
      </c>
      <c r="G7044" s="7" t="s">
        <v>627</v>
      </c>
      <c r="H7044" s="7" t="s">
        <v>16</v>
      </c>
      <c r="I7044" s="7" t="s">
        <v>16</v>
      </c>
      <c r="J7044" s="7" t="s">
        <v>16</v>
      </c>
      <c r="K7044" s="7" t="s">
        <v>16</v>
      </c>
      <c r="L7044" s="7" t="s">
        <v>16</v>
      </c>
      <c r="M7044" s="7" t="s">
        <v>16</v>
      </c>
      <c r="N7044" s="7" t="s">
        <v>16</v>
      </c>
      <c r="O7044" s="7" t="s">
        <v>16</v>
      </c>
      <c r="P7044" s="7" t="s">
        <v>16</v>
      </c>
      <c r="Q7044" s="7" t="s">
        <v>16</v>
      </c>
      <c r="R7044" s="7" t="s">
        <v>16</v>
      </c>
      <c r="S7044" s="7" t="s">
        <v>16</v>
      </c>
      <c r="T7044" s="7" t="s">
        <v>16</v>
      </c>
      <c r="U7044" s="7" t="s">
        <v>16</v>
      </c>
    </row>
    <row r="7045" spans="1:8">
      <c r="A7045" t="s">
        <v>4</v>
      </c>
      <c r="B7045" s="4" t="s">
        <v>5</v>
      </c>
      <c r="C7045" s="4" t="s">
        <v>7</v>
      </c>
      <c r="D7045" s="4" t="s">
        <v>11</v>
      </c>
      <c r="E7045" s="4" t="s">
        <v>7</v>
      </c>
      <c r="F7045" s="4" t="s">
        <v>8</v>
      </c>
      <c r="G7045" s="4" t="s">
        <v>8</v>
      </c>
      <c r="H7045" s="4" t="s">
        <v>8</v>
      </c>
      <c r="I7045" s="4" t="s">
        <v>8</v>
      </c>
      <c r="J7045" s="4" t="s">
        <v>8</v>
      </c>
      <c r="K7045" s="4" t="s">
        <v>8</v>
      </c>
      <c r="L7045" s="4" t="s">
        <v>8</v>
      </c>
      <c r="M7045" s="4" t="s">
        <v>8</v>
      </c>
      <c r="N7045" s="4" t="s">
        <v>8</v>
      </c>
      <c r="O7045" s="4" t="s">
        <v>8</v>
      </c>
      <c r="P7045" s="4" t="s">
        <v>8</v>
      </c>
      <c r="Q7045" s="4" t="s">
        <v>8</v>
      </c>
      <c r="R7045" s="4" t="s">
        <v>8</v>
      </c>
      <c r="S7045" s="4" t="s">
        <v>8</v>
      </c>
      <c r="T7045" s="4" t="s">
        <v>8</v>
      </c>
      <c r="U7045" s="4" t="s">
        <v>8</v>
      </c>
    </row>
    <row r="7046" spans="1:8">
      <c r="A7046" t="n">
        <v>65111</v>
      </c>
      <c r="B7046" s="40" t="n">
        <v>36</v>
      </c>
      <c r="C7046" s="7" t="n">
        <v>8</v>
      </c>
      <c r="D7046" s="7" t="n">
        <v>9</v>
      </c>
      <c r="E7046" s="7" t="n">
        <v>0</v>
      </c>
      <c r="F7046" s="7" t="s">
        <v>626</v>
      </c>
      <c r="G7046" s="7" t="s">
        <v>627</v>
      </c>
      <c r="H7046" s="7" t="s">
        <v>628</v>
      </c>
      <c r="I7046" s="7" t="s">
        <v>629</v>
      </c>
      <c r="J7046" s="7" t="s">
        <v>16</v>
      </c>
      <c r="K7046" s="7" t="s">
        <v>16</v>
      </c>
      <c r="L7046" s="7" t="s">
        <v>16</v>
      </c>
      <c r="M7046" s="7" t="s">
        <v>16</v>
      </c>
      <c r="N7046" s="7" t="s">
        <v>16</v>
      </c>
      <c r="O7046" s="7" t="s">
        <v>16</v>
      </c>
      <c r="P7046" s="7" t="s">
        <v>16</v>
      </c>
      <c r="Q7046" s="7" t="s">
        <v>16</v>
      </c>
      <c r="R7046" s="7" t="s">
        <v>16</v>
      </c>
      <c r="S7046" s="7" t="s">
        <v>16</v>
      </c>
      <c r="T7046" s="7" t="s">
        <v>16</v>
      </c>
      <c r="U7046" s="7" t="s">
        <v>16</v>
      </c>
    </row>
    <row r="7047" spans="1:8">
      <c r="A7047" t="s">
        <v>4</v>
      </c>
      <c r="B7047" s="4" t="s">
        <v>5</v>
      </c>
      <c r="C7047" s="4" t="s">
        <v>7</v>
      </c>
      <c r="D7047" s="4" t="s">
        <v>7</v>
      </c>
      <c r="E7047" s="4" t="s">
        <v>13</v>
      </c>
      <c r="F7047" s="4" t="s">
        <v>13</v>
      </c>
      <c r="G7047" s="4" t="s">
        <v>13</v>
      </c>
      <c r="H7047" s="4" t="s">
        <v>11</v>
      </c>
    </row>
    <row r="7048" spans="1:8">
      <c r="A7048" t="n">
        <v>65174</v>
      </c>
      <c r="B7048" s="51" t="n">
        <v>45</v>
      </c>
      <c r="C7048" s="7" t="n">
        <v>2</v>
      </c>
      <c r="D7048" s="7" t="n">
        <v>3</v>
      </c>
      <c r="E7048" s="7" t="n">
        <v>-3</v>
      </c>
      <c r="F7048" s="7" t="n">
        <v>2.89000010490417</v>
      </c>
      <c r="G7048" s="7" t="n">
        <v>41.3699989318848</v>
      </c>
      <c r="H7048" s="7" t="n">
        <v>0</v>
      </c>
    </row>
    <row r="7049" spans="1:8">
      <c r="A7049" t="s">
        <v>4</v>
      </c>
      <c r="B7049" s="4" t="s">
        <v>5</v>
      </c>
      <c r="C7049" s="4" t="s">
        <v>7</v>
      </c>
      <c r="D7049" s="4" t="s">
        <v>7</v>
      </c>
      <c r="E7049" s="4" t="s">
        <v>13</v>
      </c>
      <c r="F7049" s="4" t="s">
        <v>13</v>
      </c>
      <c r="G7049" s="4" t="s">
        <v>13</v>
      </c>
      <c r="H7049" s="4" t="s">
        <v>11</v>
      </c>
      <c r="I7049" s="4" t="s">
        <v>7</v>
      </c>
    </row>
    <row r="7050" spans="1:8">
      <c r="A7050" t="n">
        <v>65191</v>
      </c>
      <c r="B7050" s="51" t="n">
        <v>45</v>
      </c>
      <c r="C7050" s="7" t="n">
        <v>4</v>
      </c>
      <c r="D7050" s="7" t="n">
        <v>3</v>
      </c>
      <c r="E7050" s="7" t="n">
        <v>0.649999976158142</v>
      </c>
      <c r="F7050" s="7" t="n">
        <v>105.529998779297</v>
      </c>
      <c r="G7050" s="7" t="n">
        <v>0</v>
      </c>
      <c r="H7050" s="7" t="n">
        <v>0</v>
      </c>
      <c r="I7050" s="7" t="n">
        <v>0</v>
      </c>
    </row>
    <row r="7051" spans="1:8">
      <c r="A7051" t="s">
        <v>4</v>
      </c>
      <c r="B7051" s="4" t="s">
        <v>5</v>
      </c>
      <c r="C7051" s="4" t="s">
        <v>7</v>
      </c>
      <c r="D7051" s="4" t="s">
        <v>7</v>
      </c>
      <c r="E7051" s="4" t="s">
        <v>13</v>
      </c>
      <c r="F7051" s="4" t="s">
        <v>11</v>
      </c>
    </row>
    <row r="7052" spans="1:8">
      <c r="A7052" t="n">
        <v>65209</v>
      </c>
      <c r="B7052" s="51" t="n">
        <v>45</v>
      </c>
      <c r="C7052" s="7" t="n">
        <v>5</v>
      </c>
      <c r="D7052" s="7" t="n">
        <v>3</v>
      </c>
      <c r="E7052" s="7" t="n">
        <v>2.40000009536743</v>
      </c>
      <c r="F7052" s="7" t="n">
        <v>0</v>
      </c>
    </row>
    <row r="7053" spans="1:8">
      <c r="A7053" t="s">
        <v>4</v>
      </c>
      <c r="B7053" s="4" t="s">
        <v>5</v>
      </c>
      <c r="C7053" s="4" t="s">
        <v>7</v>
      </c>
      <c r="D7053" s="4" t="s">
        <v>7</v>
      </c>
      <c r="E7053" s="4" t="s">
        <v>13</v>
      </c>
      <c r="F7053" s="4" t="s">
        <v>11</v>
      </c>
    </row>
    <row r="7054" spans="1:8">
      <c r="A7054" t="n">
        <v>65218</v>
      </c>
      <c r="B7054" s="51" t="n">
        <v>45</v>
      </c>
      <c r="C7054" s="7" t="n">
        <v>11</v>
      </c>
      <c r="D7054" s="7" t="n">
        <v>3</v>
      </c>
      <c r="E7054" s="7" t="n">
        <v>33.4000015258789</v>
      </c>
      <c r="F7054" s="7" t="n">
        <v>0</v>
      </c>
    </row>
    <row r="7055" spans="1:8">
      <c r="A7055" t="s">
        <v>4</v>
      </c>
      <c r="B7055" s="4" t="s">
        <v>5</v>
      </c>
      <c r="C7055" s="4" t="s">
        <v>11</v>
      </c>
      <c r="D7055" s="4" t="s">
        <v>13</v>
      </c>
      <c r="E7055" s="4" t="s">
        <v>13</v>
      </c>
      <c r="F7055" s="4" t="s">
        <v>13</v>
      </c>
      <c r="G7055" s="4" t="s">
        <v>11</v>
      </c>
      <c r="H7055" s="4" t="s">
        <v>11</v>
      </c>
    </row>
    <row r="7056" spans="1:8">
      <c r="A7056" t="n">
        <v>65227</v>
      </c>
      <c r="B7056" s="37" t="n">
        <v>60</v>
      </c>
      <c r="C7056" s="7" t="n">
        <v>0</v>
      </c>
      <c r="D7056" s="7" t="n">
        <v>0</v>
      </c>
      <c r="E7056" s="7" t="n">
        <v>20</v>
      </c>
      <c r="F7056" s="7" t="n">
        <v>0</v>
      </c>
      <c r="G7056" s="7" t="n">
        <v>0</v>
      </c>
      <c r="H7056" s="7" t="n">
        <v>0</v>
      </c>
    </row>
    <row r="7057" spans="1:21">
      <c r="A7057" t="s">
        <v>4</v>
      </c>
      <c r="B7057" s="4" t="s">
        <v>5</v>
      </c>
      <c r="C7057" s="4" t="s">
        <v>7</v>
      </c>
      <c r="D7057" s="4" t="s">
        <v>7</v>
      </c>
      <c r="E7057" s="4" t="s">
        <v>7</v>
      </c>
      <c r="F7057" s="4" t="s">
        <v>13</v>
      </c>
      <c r="G7057" s="4" t="s">
        <v>13</v>
      </c>
      <c r="H7057" s="4" t="s">
        <v>13</v>
      </c>
      <c r="I7057" s="4" t="s">
        <v>13</v>
      </c>
      <c r="J7057" s="4" t="s">
        <v>13</v>
      </c>
    </row>
    <row r="7058" spans="1:21">
      <c r="A7058" t="n">
        <v>65246</v>
      </c>
      <c r="B7058" s="25" t="n">
        <v>76</v>
      </c>
      <c r="C7058" s="7" t="n">
        <v>0</v>
      </c>
      <c r="D7058" s="7" t="n">
        <v>3</v>
      </c>
      <c r="E7058" s="7" t="n">
        <v>2</v>
      </c>
      <c r="F7058" s="7" t="n">
        <v>1</v>
      </c>
      <c r="G7058" s="7" t="n">
        <v>1</v>
      </c>
      <c r="H7058" s="7" t="n">
        <v>1</v>
      </c>
      <c r="I7058" s="7" t="n">
        <v>1</v>
      </c>
      <c r="J7058" s="7" t="n">
        <v>2000</v>
      </c>
    </row>
    <row r="7059" spans="1:21">
      <c r="A7059" t="s">
        <v>4</v>
      </c>
      <c r="B7059" s="4" t="s">
        <v>5</v>
      </c>
      <c r="C7059" s="4" t="s">
        <v>7</v>
      </c>
      <c r="D7059" s="4" t="s">
        <v>7</v>
      </c>
      <c r="E7059" s="4" t="s">
        <v>7</v>
      </c>
      <c r="F7059" s="4" t="s">
        <v>13</v>
      </c>
      <c r="G7059" s="4" t="s">
        <v>13</v>
      </c>
      <c r="H7059" s="4" t="s">
        <v>13</v>
      </c>
      <c r="I7059" s="4" t="s">
        <v>13</v>
      </c>
      <c r="J7059" s="4" t="s">
        <v>13</v>
      </c>
    </row>
    <row r="7060" spans="1:21">
      <c r="A7060" t="n">
        <v>65270</v>
      </c>
      <c r="B7060" s="25" t="n">
        <v>76</v>
      </c>
      <c r="C7060" s="7" t="n">
        <v>0</v>
      </c>
      <c r="D7060" s="7" t="n">
        <v>0</v>
      </c>
      <c r="E7060" s="7" t="n">
        <v>2</v>
      </c>
      <c r="F7060" s="7" t="n">
        <v>64</v>
      </c>
      <c r="G7060" s="7" t="n">
        <v>0</v>
      </c>
      <c r="H7060" s="7" t="n">
        <v>2000</v>
      </c>
      <c r="I7060" s="7" t="n">
        <v>0</v>
      </c>
      <c r="J7060" s="7" t="n">
        <v>0</v>
      </c>
    </row>
    <row r="7061" spans="1:21">
      <c r="A7061" t="s">
        <v>4</v>
      </c>
      <c r="B7061" s="4" t="s">
        <v>5</v>
      </c>
      <c r="C7061" s="4" t="s">
        <v>7</v>
      </c>
      <c r="D7061" s="4" t="s">
        <v>7</v>
      </c>
    </row>
    <row r="7062" spans="1:21">
      <c r="A7062" t="n">
        <v>65294</v>
      </c>
      <c r="B7062" s="26" t="n">
        <v>77</v>
      </c>
      <c r="C7062" s="7" t="n">
        <v>0</v>
      </c>
      <c r="D7062" s="7" t="n">
        <v>3</v>
      </c>
    </row>
    <row r="7063" spans="1:21">
      <c r="A7063" t="s">
        <v>4</v>
      </c>
      <c r="B7063" s="4" t="s">
        <v>5</v>
      </c>
      <c r="C7063" s="4" t="s">
        <v>7</v>
      </c>
      <c r="D7063" s="4" t="s">
        <v>7</v>
      </c>
    </row>
    <row r="7064" spans="1:21">
      <c r="A7064" t="n">
        <v>65297</v>
      </c>
      <c r="B7064" s="26" t="n">
        <v>77</v>
      </c>
      <c r="C7064" s="7" t="n">
        <v>0</v>
      </c>
      <c r="D7064" s="7" t="n">
        <v>0</v>
      </c>
    </row>
    <row r="7065" spans="1:21">
      <c r="A7065" t="s">
        <v>4</v>
      </c>
      <c r="B7065" s="4" t="s">
        <v>5</v>
      </c>
      <c r="C7065" s="4" t="s">
        <v>11</v>
      </c>
    </row>
    <row r="7066" spans="1:21">
      <c r="A7066" t="n">
        <v>65300</v>
      </c>
      <c r="B7066" s="29" t="n">
        <v>16</v>
      </c>
      <c r="C7066" s="7" t="n">
        <v>2000</v>
      </c>
    </row>
    <row r="7067" spans="1:21">
      <c r="A7067" t="s">
        <v>4</v>
      </c>
      <c r="B7067" s="4" t="s">
        <v>5</v>
      </c>
      <c r="C7067" s="4" t="s">
        <v>7</v>
      </c>
      <c r="D7067" s="4" t="s">
        <v>11</v>
      </c>
      <c r="E7067" s="4" t="s">
        <v>15</v>
      </c>
      <c r="F7067" s="4" t="s">
        <v>11</v>
      </c>
      <c r="G7067" s="4" t="s">
        <v>15</v>
      </c>
      <c r="H7067" s="4" t="s">
        <v>7</v>
      </c>
    </row>
    <row r="7068" spans="1:21">
      <c r="A7068" t="n">
        <v>65303</v>
      </c>
      <c r="B7068" s="13" t="n">
        <v>49</v>
      </c>
      <c r="C7068" s="7" t="n">
        <v>0</v>
      </c>
      <c r="D7068" s="7" t="n">
        <v>514</v>
      </c>
      <c r="E7068" s="7" t="n">
        <v>1065353216</v>
      </c>
      <c r="F7068" s="7" t="n">
        <v>0</v>
      </c>
      <c r="G7068" s="7" t="n">
        <v>0</v>
      </c>
      <c r="H7068" s="7" t="n">
        <v>0</v>
      </c>
    </row>
    <row r="7069" spans="1:21">
      <c r="A7069" t="s">
        <v>4</v>
      </c>
      <c r="B7069" s="4" t="s">
        <v>5</v>
      </c>
      <c r="C7069" s="4" t="s">
        <v>7</v>
      </c>
      <c r="D7069" s="4" t="s">
        <v>7</v>
      </c>
      <c r="E7069" s="4" t="s">
        <v>7</v>
      </c>
      <c r="F7069" s="4" t="s">
        <v>13</v>
      </c>
      <c r="G7069" s="4" t="s">
        <v>13</v>
      </c>
      <c r="H7069" s="4" t="s">
        <v>13</v>
      </c>
      <c r="I7069" s="4" t="s">
        <v>13</v>
      </c>
      <c r="J7069" s="4" t="s">
        <v>13</v>
      </c>
    </row>
    <row r="7070" spans="1:21">
      <c r="A7070" t="n">
        <v>65318</v>
      </c>
      <c r="B7070" s="25" t="n">
        <v>76</v>
      </c>
      <c r="C7070" s="7" t="n">
        <v>0</v>
      </c>
      <c r="D7070" s="7" t="n">
        <v>3</v>
      </c>
      <c r="E7070" s="7" t="n">
        <v>1</v>
      </c>
      <c r="F7070" s="7" t="n">
        <v>1</v>
      </c>
      <c r="G7070" s="7" t="n">
        <v>1</v>
      </c>
      <c r="H7070" s="7" t="n">
        <v>1</v>
      </c>
      <c r="I7070" s="7" t="n">
        <v>0</v>
      </c>
      <c r="J7070" s="7" t="n">
        <v>2000</v>
      </c>
    </row>
    <row r="7071" spans="1:21">
      <c r="A7071" t="s">
        <v>4</v>
      </c>
      <c r="B7071" s="4" t="s">
        <v>5</v>
      </c>
      <c r="C7071" s="4" t="s">
        <v>7</v>
      </c>
      <c r="D7071" s="4" t="s">
        <v>7</v>
      </c>
      <c r="E7071" s="4" t="s">
        <v>7</v>
      </c>
      <c r="F7071" s="4" t="s">
        <v>13</v>
      </c>
      <c r="G7071" s="4" t="s">
        <v>13</v>
      </c>
      <c r="H7071" s="4" t="s">
        <v>13</v>
      </c>
      <c r="I7071" s="4" t="s">
        <v>13</v>
      </c>
      <c r="J7071" s="4" t="s">
        <v>13</v>
      </c>
    </row>
    <row r="7072" spans="1:21">
      <c r="A7072" t="n">
        <v>65342</v>
      </c>
      <c r="B7072" s="25" t="n">
        <v>76</v>
      </c>
      <c r="C7072" s="7" t="n">
        <v>0</v>
      </c>
      <c r="D7072" s="7" t="n">
        <v>0</v>
      </c>
      <c r="E7072" s="7" t="n">
        <v>1</v>
      </c>
      <c r="F7072" s="7" t="n">
        <v>128</v>
      </c>
      <c r="G7072" s="7" t="n">
        <v>0</v>
      </c>
      <c r="H7072" s="7" t="n">
        <v>2000</v>
      </c>
      <c r="I7072" s="7" t="n">
        <v>0</v>
      </c>
      <c r="J7072" s="7" t="n">
        <v>0</v>
      </c>
    </row>
    <row r="7073" spans="1:10">
      <c r="A7073" t="s">
        <v>4</v>
      </c>
      <c r="B7073" s="4" t="s">
        <v>5</v>
      </c>
      <c r="C7073" s="4" t="s">
        <v>7</v>
      </c>
      <c r="D7073" s="4" t="s">
        <v>7</v>
      </c>
    </row>
    <row r="7074" spans="1:10">
      <c r="A7074" t="n">
        <v>65366</v>
      </c>
      <c r="B7074" s="26" t="n">
        <v>77</v>
      </c>
      <c r="C7074" s="7" t="n">
        <v>0</v>
      </c>
      <c r="D7074" s="7" t="n">
        <v>3</v>
      </c>
    </row>
    <row r="7075" spans="1:10">
      <c r="A7075" t="s">
        <v>4</v>
      </c>
      <c r="B7075" s="4" t="s">
        <v>5</v>
      </c>
      <c r="C7075" s="4" t="s">
        <v>7</v>
      </c>
      <c r="D7075" s="4" t="s">
        <v>7</v>
      </c>
    </row>
    <row r="7076" spans="1:10">
      <c r="A7076" t="n">
        <v>65369</v>
      </c>
      <c r="B7076" s="26" t="n">
        <v>77</v>
      </c>
      <c r="C7076" s="7" t="n">
        <v>0</v>
      </c>
      <c r="D7076" s="7" t="n">
        <v>0</v>
      </c>
    </row>
    <row r="7077" spans="1:10">
      <c r="A7077" t="s">
        <v>4</v>
      </c>
      <c r="B7077" s="4" t="s">
        <v>5</v>
      </c>
      <c r="C7077" s="4" t="s">
        <v>7</v>
      </c>
      <c r="D7077" s="4" t="s">
        <v>7</v>
      </c>
      <c r="E7077" s="4" t="s">
        <v>13</v>
      </c>
      <c r="F7077" s="4" t="s">
        <v>13</v>
      </c>
      <c r="G7077" s="4" t="s">
        <v>13</v>
      </c>
      <c r="H7077" s="4" t="s">
        <v>11</v>
      </c>
    </row>
    <row r="7078" spans="1:10">
      <c r="A7078" t="n">
        <v>65372</v>
      </c>
      <c r="B7078" s="51" t="n">
        <v>45</v>
      </c>
      <c r="C7078" s="7" t="n">
        <v>2</v>
      </c>
      <c r="D7078" s="7" t="n">
        <v>3</v>
      </c>
      <c r="E7078" s="7" t="n">
        <v>5.23999977111816</v>
      </c>
      <c r="F7078" s="7" t="n">
        <v>2.15000009536743</v>
      </c>
      <c r="G7078" s="7" t="n">
        <v>43.8600006103516</v>
      </c>
      <c r="H7078" s="7" t="n">
        <v>8000</v>
      </c>
    </row>
    <row r="7079" spans="1:10">
      <c r="A7079" t="s">
        <v>4</v>
      </c>
      <c r="B7079" s="4" t="s">
        <v>5</v>
      </c>
      <c r="C7079" s="4" t="s">
        <v>7</v>
      </c>
      <c r="D7079" s="4" t="s">
        <v>7</v>
      </c>
      <c r="E7079" s="4" t="s">
        <v>13</v>
      </c>
      <c r="F7079" s="4" t="s">
        <v>13</v>
      </c>
      <c r="G7079" s="4" t="s">
        <v>13</v>
      </c>
      <c r="H7079" s="4" t="s">
        <v>11</v>
      </c>
      <c r="I7079" s="4" t="s">
        <v>7</v>
      </c>
    </row>
    <row r="7080" spans="1:10">
      <c r="A7080" t="n">
        <v>65389</v>
      </c>
      <c r="B7080" s="51" t="n">
        <v>45</v>
      </c>
      <c r="C7080" s="7" t="n">
        <v>4</v>
      </c>
      <c r="D7080" s="7" t="n">
        <v>3</v>
      </c>
      <c r="E7080" s="7" t="n">
        <v>12.4799995422363</v>
      </c>
      <c r="F7080" s="7" t="n">
        <v>144.25</v>
      </c>
      <c r="G7080" s="7" t="n">
        <v>0</v>
      </c>
      <c r="H7080" s="7" t="n">
        <v>8000</v>
      </c>
      <c r="I7080" s="7" t="n">
        <v>0</v>
      </c>
    </row>
    <row r="7081" spans="1:10">
      <c r="A7081" t="s">
        <v>4</v>
      </c>
      <c r="B7081" s="4" t="s">
        <v>5</v>
      </c>
      <c r="C7081" s="4" t="s">
        <v>7</v>
      </c>
      <c r="D7081" s="4" t="s">
        <v>7</v>
      </c>
      <c r="E7081" s="4" t="s">
        <v>13</v>
      </c>
      <c r="F7081" s="4" t="s">
        <v>11</v>
      </c>
    </row>
    <row r="7082" spans="1:10">
      <c r="A7082" t="n">
        <v>65407</v>
      </c>
      <c r="B7082" s="51" t="n">
        <v>45</v>
      </c>
      <c r="C7082" s="7" t="n">
        <v>5</v>
      </c>
      <c r="D7082" s="7" t="n">
        <v>3</v>
      </c>
      <c r="E7082" s="7" t="n">
        <v>2.40000009536743</v>
      </c>
      <c r="F7082" s="7" t="n">
        <v>8000</v>
      </c>
    </row>
    <row r="7083" spans="1:10">
      <c r="A7083" t="s">
        <v>4</v>
      </c>
      <c r="B7083" s="4" t="s">
        <v>5</v>
      </c>
      <c r="C7083" s="4" t="s">
        <v>7</v>
      </c>
      <c r="D7083" s="4" t="s">
        <v>7</v>
      </c>
      <c r="E7083" s="4" t="s">
        <v>13</v>
      </c>
      <c r="F7083" s="4" t="s">
        <v>11</v>
      </c>
    </row>
    <row r="7084" spans="1:10">
      <c r="A7084" t="n">
        <v>65416</v>
      </c>
      <c r="B7084" s="51" t="n">
        <v>45</v>
      </c>
      <c r="C7084" s="7" t="n">
        <v>11</v>
      </c>
      <c r="D7084" s="7" t="n">
        <v>3</v>
      </c>
      <c r="E7084" s="7" t="n">
        <v>33.4000015258789</v>
      </c>
      <c r="F7084" s="7" t="n">
        <v>8000</v>
      </c>
    </row>
    <row r="7085" spans="1:10">
      <c r="A7085" t="s">
        <v>4</v>
      </c>
      <c r="B7085" s="4" t="s">
        <v>5</v>
      </c>
      <c r="C7085" s="4" t="s">
        <v>7</v>
      </c>
      <c r="D7085" s="4" t="s">
        <v>11</v>
      </c>
      <c r="E7085" s="4" t="s">
        <v>13</v>
      </c>
    </row>
    <row r="7086" spans="1:10">
      <c r="A7086" t="n">
        <v>65425</v>
      </c>
      <c r="B7086" s="23" t="n">
        <v>58</v>
      </c>
      <c r="C7086" s="7" t="n">
        <v>100</v>
      </c>
      <c r="D7086" s="7" t="n">
        <v>1000</v>
      </c>
      <c r="E7086" s="7" t="n">
        <v>1</v>
      </c>
    </row>
    <row r="7087" spans="1:10">
      <c r="A7087" t="s">
        <v>4</v>
      </c>
      <c r="B7087" s="4" t="s">
        <v>5</v>
      </c>
      <c r="C7087" s="4" t="s">
        <v>7</v>
      </c>
      <c r="D7087" s="4" t="s">
        <v>11</v>
      </c>
    </row>
    <row r="7088" spans="1:10">
      <c r="A7088" t="n">
        <v>65433</v>
      </c>
      <c r="B7088" s="23" t="n">
        <v>58</v>
      </c>
      <c r="C7088" s="7" t="n">
        <v>255</v>
      </c>
      <c r="D7088" s="7" t="n">
        <v>0</v>
      </c>
    </row>
    <row r="7089" spans="1:9">
      <c r="A7089" t="s">
        <v>4</v>
      </c>
      <c r="B7089" s="4" t="s">
        <v>5</v>
      </c>
      <c r="C7089" s="4" t="s">
        <v>7</v>
      </c>
      <c r="D7089" s="4" t="s">
        <v>11</v>
      </c>
    </row>
    <row r="7090" spans="1:9">
      <c r="A7090" t="n">
        <v>65437</v>
      </c>
      <c r="B7090" s="51" t="n">
        <v>45</v>
      </c>
      <c r="C7090" s="7" t="n">
        <v>7</v>
      </c>
      <c r="D7090" s="7" t="n">
        <v>255</v>
      </c>
    </row>
    <row r="7091" spans="1:9">
      <c r="A7091" t="s">
        <v>4</v>
      </c>
      <c r="B7091" s="4" t="s">
        <v>5</v>
      </c>
      <c r="C7091" s="4" t="s">
        <v>7</v>
      </c>
      <c r="D7091" s="4" t="s">
        <v>11</v>
      </c>
      <c r="E7091" s="4" t="s">
        <v>13</v>
      </c>
    </row>
    <row r="7092" spans="1:9">
      <c r="A7092" t="n">
        <v>65441</v>
      </c>
      <c r="B7092" s="23" t="n">
        <v>58</v>
      </c>
      <c r="C7092" s="7" t="n">
        <v>101</v>
      </c>
      <c r="D7092" s="7" t="n">
        <v>800</v>
      </c>
      <c r="E7092" s="7" t="n">
        <v>1</v>
      </c>
    </row>
    <row r="7093" spans="1:9">
      <c r="A7093" t="s">
        <v>4</v>
      </c>
      <c r="B7093" s="4" t="s">
        <v>5</v>
      </c>
      <c r="C7093" s="4" t="s">
        <v>7</v>
      </c>
      <c r="D7093" s="4" t="s">
        <v>11</v>
      </c>
    </row>
    <row r="7094" spans="1:9">
      <c r="A7094" t="n">
        <v>65449</v>
      </c>
      <c r="B7094" s="23" t="n">
        <v>58</v>
      </c>
      <c r="C7094" s="7" t="n">
        <v>254</v>
      </c>
      <c r="D7094" s="7" t="n">
        <v>0</v>
      </c>
    </row>
    <row r="7095" spans="1:9">
      <c r="A7095" t="s">
        <v>4</v>
      </c>
      <c r="B7095" s="4" t="s">
        <v>5</v>
      </c>
      <c r="C7095" s="4" t="s">
        <v>7</v>
      </c>
      <c r="D7095" s="4" t="s">
        <v>7</v>
      </c>
      <c r="E7095" s="4" t="s">
        <v>13</v>
      </c>
      <c r="F7095" s="4" t="s">
        <v>13</v>
      </c>
      <c r="G7095" s="4" t="s">
        <v>13</v>
      </c>
      <c r="H7095" s="4" t="s">
        <v>11</v>
      </c>
    </row>
    <row r="7096" spans="1:9">
      <c r="A7096" t="n">
        <v>65453</v>
      </c>
      <c r="B7096" s="51" t="n">
        <v>45</v>
      </c>
      <c r="C7096" s="7" t="n">
        <v>2</v>
      </c>
      <c r="D7096" s="7" t="n">
        <v>3</v>
      </c>
      <c r="E7096" s="7" t="n">
        <v>4.26999998092651</v>
      </c>
      <c r="F7096" s="7" t="n">
        <v>2.44000005722046</v>
      </c>
      <c r="G7096" s="7" t="n">
        <v>44.1500015258789</v>
      </c>
      <c r="H7096" s="7" t="n">
        <v>0</v>
      </c>
    </row>
    <row r="7097" spans="1:9">
      <c r="A7097" t="s">
        <v>4</v>
      </c>
      <c r="B7097" s="4" t="s">
        <v>5</v>
      </c>
      <c r="C7097" s="4" t="s">
        <v>7</v>
      </c>
      <c r="D7097" s="4" t="s">
        <v>7</v>
      </c>
      <c r="E7097" s="4" t="s">
        <v>13</v>
      </c>
      <c r="F7097" s="4" t="s">
        <v>13</v>
      </c>
      <c r="G7097" s="4" t="s">
        <v>13</v>
      </c>
      <c r="H7097" s="4" t="s">
        <v>11</v>
      </c>
      <c r="I7097" s="4" t="s">
        <v>7</v>
      </c>
    </row>
    <row r="7098" spans="1:9">
      <c r="A7098" t="n">
        <v>65470</v>
      </c>
      <c r="B7098" s="51" t="n">
        <v>45</v>
      </c>
      <c r="C7098" s="7" t="n">
        <v>4</v>
      </c>
      <c r="D7098" s="7" t="n">
        <v>3</v>
      </c>
      <c r="E7098" s="7" t="n">
        <v>357.880004882813</v>
      </c>
      <c r="F7098" s="7" t="n">
        <v>321.779998779297</v>
      </c>
      <c r="G7098" s="7" t="n">
        <v>0</v>
      </c>
      <c r="H7098" s="7" t="n">
        <v>0</v>
      </c>
      <c r="I7098" s="7" t="n">
        <v>0</v>
      </c>
    </row>
    <row r="7099" spans="1:9">
      <c r="A7099" t="s">
        <v>4</v>
      </c>
      <c r="B7099" s="4" t="s">
        <v>5</v>
      </c>
      <c r="C7099" s="4" t="s">
        <v>7</v>
      </c>
      <c r="D7099" s="4" t="s">
        <v>7</v>
      </c>
      <c r="E7099" s="4" t="s">
        <v>13</v>
      </c>
      <c r="F7099" s="4" t="s">
        <v>11</v>
      </c>
    </row>
    <row r="7100" spans="1:9">
      <c r="A7100" t="n">
        <v>65488</v>
      </c>
      <c r="B7100" s="51" t="n">
        <v>45</v>
      </c>
      <c r="C7100" s="7" t="n">
        <v>5</v>
      </c>
      <c r="D7100" s="7" t="n">
        <v>3</v>
      </c>
      <c r="E7100" s="7" t="n">
        <v>2.40000009536743</v>
      </c>
      <c r="F7100" s="7" t="n">
        <v>0</v>
      </c>
    </row>
    <row r="7101" spans="1:9">
      <c r="A7101" t="s">
        <v>4</v>
      </c>
      <c r="B7101" s="4" t="s">
        <v>5</v>
      </c>
      <c r="C7101" s="4" t="s">
        <v>7</v>
      </c>
      <c r="D7101" s="4" t="s">
        <v>7</v>
      </c>
      <c r="E7101" s="4" t="s">
        <v>13</v>
      </c>
      <c r="F7101" s="4" t="s">
        <v>11</v>
      </c>
    </row>
    <row r="7102" spans="1:9">
      <c r="A7102" t="n">
        <v>65497</v>
      </c>
      <c r="B7102" s="51" t="n">
        <v>45</v>
      </c>
      <c r="C7102" s="7" t="n">
        <v>11</v>
      </c>
      <c r="D7102" s="7" t="n">
        <v>3</v>
      </c>
      <c r="E7102" s="7" t="n">
        <v>33.4000015258789</v>
      </c>
      <c r="F7102" s="7" t="n">
        <v>0</v>
      </c>
    </row>
    <row r="7103" spans="1:9">
      <c r="A7103" t="s">
        <v>4</v>
      </c>
      <c r="B7103" s="4" t="s">
        <v>5</v>
      </c>
      <c r="C7103" s="4" t="s">
        <v>7</v>
      </c>
      <c r="D7103" s="4" t="s">
        <v>7</v>
      </c>
      <c r="E7103" s="4" t="s">
        <v>13</v>
      </c>
      <c r="F7103" s="4" t="s">
        <v>13</v>
      </c>
      <c r="G7103" s="4" t="s">
        <v>13</v>
      </c>
      <c r="H7103" s="4" t="s">
        <v>11</v>
      </c>
    </row>
    <row r="7104" spans="1:9">
      <c r="A7104" t="n">
        <v>65506</v>
      </c>
      <c r="B7104" s="51" t="n">
        <v>45</v>
      </c>
      <c r="C7104" s="7" t="n">
        <v>2</v>
      </c>
      <c r="D7104" s="7" t="n">
        <v>3</v>
      </c>
      <c r="E7104" s="7" t="n">
        <v>4.76999998092651</v>
      </c>
      <c r="F7104" s="7" t="n">
        <v>1.45000004768372</v>
      </c>
      <c r="G7104" s="7" t="n">
        <v>45.2599983215332</v>
      </c>
      <c r="H7104" s="7" t="n">
        <v>8000</v>
      </c>
    </row>
    <row r="7105" spans="1:9">
      <c r="A7105" t="s">
        <v>4</v>
      </c>
      <c r="B7105" s="4" t="s">
        <v>5</v>
      </c>
      <c r="C7105" s="4" t="s">
        <v>7</v>
      </c>
      <c r="D7105" s="4" t="s">
        <v>7</v>
      </c>
      <c r="E7105" s="4" t="s">
        <v>13</v>
      </c>
      <c r="F7105" s="4" t="s">
        <v>13</v>
      </c>
      <c r="G7105" s="4" t="s">
        <v>13</v>
      </c>
      <c r="H7105" s="4" t="s">
        <v>11</v>
      </c>
      <c r="I7105" s="4" t="s">
        <v>7</v>
      </c>
    </row>
    <row r="7106" spans="1:9">
      <c r="A7106" t="n">
        <v>65523</v>
      </c>
      <c r="B7106" s="51" t="n">
        <v>45</v>
      </c>
      <c r="C7106" s="7" t="n">
        <v>4</v>
      </c>
      <c r="D7106" s="7" t="n">
        <v>3</v>
      </c>
      <c r="E7106" s="7" t="n">
        <v>358.660003662109</v>
      </c>
      <c r="F7106" s="7" t="n">
        <v>283.079986572266</v>
      </c>
      <c r="G7106" s="7" t="n">
        <v>0</v>
      </c>
      <c r="H7106" s="7" t="n">
        <v>8000</v>
      </c>
      <c r="I7106" s="7" t="n">
        <v>0</v>
      </c>
    </row>
    <row r="7107" spans="1:9">
      <c r="A7107" t="s">
        <v>4</v>
      </c>
      <c r="B7107" s="4" t="s">
        <v>5</v>
      </c>
      <c r="C7107" s="4" t="s">
        <v>7</v>
      </c>
      <c r="D7107" s="4" t="s">
        <v>7</v>
      </c>
      <c r="E7107" s="4" t="s">
        <v>13</v>
      </c>
      <c r="F7107" s="4" t="s">
        <v>11</v>
      </c>
    </row>
    <row r="7108" spans="1:9">
      <c r="A7108" t="n">
        <v>65541</v>
      </c>
      <c r="B7108" s="51" t="n">
        <v>45</v>
      </c>
      <c r="C7108" s="7" t="n">
        <v>5</v>
      </c>
      <c r="D7108" s="7" t="n">
        <v>3</v>
      </c>
      <c r="E7108" s="7" t="n">
        <v>2</v>
      </c>
      <c r="F7108" s="7" t="n">
        <v>8000</v>
      </c>
    </row>
    <row r="7109" spans="1:9">
      <c r="A7109" t="s">
        <v>4</v>
      </c>
      <c r="B7109" s="4" t="s">
        <v>5</v>
      </c>
      <c r="C7109" s="4" t="s">
        <v>7</v>
      </c>
      <c r="D7109" s="4" t="s">
        <v>11</v>
      </c>
    </row>
    <row r="7110" spans="1:9">
      <c r="A7110" t="n">
        <v>65550</v>
      </c>
      <c r="B7110" s="23" t="n">
        <v>58</v>
      </c>
      <c r="C7110" s="7" t="n">
        <v>255</v>
      </c>
      <c r="D7110" s="7" t="n">
        <v>0</v>
      </c>
    </row>
    <row r="7111" spans="1:9">
      <c r="A7111" t="s">
        <v>4</v>
      </c>
      <c r="B7111" s="4" t="s">
        <v>5</v>
      </c>
      <c r="C7111" s="4" t="s">
        <v>7</v>
      </c>
      <c r="D7111" s="4" t="s">
        <v>11</v>
      </c>
    </row>
    <row r="7112" spans="1:9">
      <c r="A7112" t="n">
        <v>65554</v>
      </c>
      <c r="B7112" s="51" t="n">
        <v>45</v>
      </c>
      <c r="C7112" s="7" t="n">
        <v>7</v>
      </c>
      <c r="D7112" s="7" t="n">
        <v>255</v>
      </c>
    </row>
    <row r="7113" spans="1:9">
      <c r="A7113" t="s">
        <v>4</v>
      </c>
      <c r="B7113" s="4" t="s">
        <v>5</v>
      </c>
      <c r="C7113" s="4" t="s">
        <v>7</v>
      </c>
      <c r="D7113" s="4" t="s">
        <v>11</v>
      </c>
      <c r="E7113" s="4" t="s">
        <v>13</v>
      </c>
    </row>
    <row r="7114" spans="1:9">
      <c r="A7114" t="n">
        <v>65558</v>
      </c>
      <c r="B7114" s="23" t="n">
        <v>58</v>
      </c>
      <c r="C7114" s="7" t="n">
        <v>101</v>
      </c>
      <c r="D7114" s="7" t="n">
        <v>800</v>
      </c>
      <c r="E7114" s="7" t="n">
        <v>1</v>
      </c>
    </row>
    <row r="7115" spans="1:9">
      <c r="A7115" t="s">
        <v>4</v>
      </c>
      <c r="B7115" s="4" t="s">
        <v>5</v>
      </c>
      <c r="C7115" s="4" t="s">
        <v>7</v>
      </c>
      <c r="D7115" s="4" t="s">
        <v>11</v>
      </c>
    </row>
    <row r="7116" spans="1:9">
      <c r="A7116" t="n">
        <v>65566</v>
      </c>
      <c r="B7116" s="23" t="n">
        <v>58</v>
      </c>
      <c r="C7116" s="7" t="n">
        <v>254</v>
      </c>
      <c r="D7116" s="7" t="n">
        <v>0</v>
      </c>
    </row>
    <row r="7117" spans="1:9">
      <c r="A7117" t="s">
        <v>4</v>
      </c>
      <c r="B7117" s="4" t="s">
        <v>5</v>
      </c>
      <c r="C7117" s="4" t="s">
        <v>7</v>
      </c>
      <c r="D7117" s="4" t="s">
        <v>7</v>
      </c>
      <c r="E7117" s="4" t="s">
        <v>13</v>
      </c>
      <c r="F7117" s="4" t="s">
        <v>13</v>
      </c>
      <c r="G7117" s="4" t="s">
        <v>13</v>
      </c>
      <c r="H7117" s="4" t="s">
        <v>11</v>
      </c>
    </row>
    <row r="7118" spans="1:9">
      <c r="A7118" t="n">
        <v>65570</v>
      </c>
      <c r="B7118" s="51" t="n">
        <v>45</v>
      </c>
      <c r="C7118" s="7" t="n">
        <v>2</v>
      </c>
      <c r="D7118" s="7" t="n">
        <v>3</v>
      </c>
      <c r="E7118" s="7" t="n">
        <v>4.73999977111816</v>
      </c>
      <c r="F7118" s="7" t="n">
        <v>1.37000000476837</v>
      </c>
      <c r="G7118" s="7" t="n">
        <v>45.310001373291</v>
      </c>
      <c r="H7118" s="7" t="n">
        <v>0</v>
      </c>
    </row>
    <row r="7119" spans="1:9">
      <c r="A7119" t="s">
        <v>4</v>
      </c>
      <c r="B7119" s="4" t="s">
        <v>5</v>
      </c>
      <c r="C7119" s="4" t="s">
        <v>7</v>
      </c>
      <c r="D7119" s="4" t="s">
        <v>7</v>
      </c>
      <c r="E7119" s="4" t="s">
        <v>13</v>
      </c>
      <c r="F7119" s="4" t="s">
        <v>13</v>
      </c>
      <c r="G7119" s="4" t="s">
        <v>13</v>
      </c>
      <c r="H7119" s="4" t="s">
        <v>11</v>
      </c>
      <c r="I7119" s="4" t="s">
        <v>7</v>
      </c>
    </row>
    <row r="7120" spans="1:9">
      <c r="A7120" t="n">
        <v>65587</v>
      </c>
      <c r="B7120" s="51" t="n">
        <v>45</v>
      </c>
      <c r="C7120" s="7" t="n">
        <v>4</v>
      </c>
      <c r="D7120" s="7" t="n">
        <v>3</v>
      </c>
      <c r="E7120" s="7" t="n">
        <v>4.3899998664856</v>
      </c>
      <c r="F7120" s="7" t="n">
        <v>107.779998779297</v>
      </c>
      <c r="G7120" s="7" t="n">
        <v>0</v>
      </c>
      <c r="H7120" s="7" t="n">
        <v>0</v>
      </c>
      <c r="I7120" s="7" t="n">
        <v>0</v>
      </c>
    </row>
    <row r="7121" spans="1:9">
      <c r="A7121" t="s">
        <v>4</v>
      </c>
      <c r="B7121" s="4" t="s">
        <v>5</v>
      </c>
      <c r="C7121" s="4" t="s">
        <v>7</v>
      </c>
      <c r="D7121" s="4" t="s">
        <v>7</v>
      </c>
      <c r="E7121" s="4" t="s">
        <v>13</v>
      </c>
      <c r="F7121" s="4" t="s">
        <v>11</v>
      </c>
    </row>
    <row r="7122" spans="1:9">
      <c r="A7122" t="n">
        <v>65605</v>
      </c>
      <c r="B7122" s="51" t="n">
        <v>45</v>
      </c>
      <c r="C7122" s="7" t="n">
        <v>5</v>
      </c>
      <c r="D7122" s="7" t="n">
        <v>3</v>
      </c>
      <c r="E7122" s="7" t="n">
        <v>2</v>
      </c>
      <c r="F7122" s="7" t="n">
        <v>0</v>
      </c>
    </row>
    <row r="7123" spans="1:9">
      <c r="A7123" t="s">
        <v>4</v>
      </c>
      <c r="B7123" s="4" t="s">
        <v>5</v>
      </c>
      <c r="C7123" s="4" t="s">
        <v>7</v>
      </c>
      <c r="D7123" s="4" t="s">
        <v>7</v>
      </c>
      <c r="E7123" s="4" t="s">
        <v>13</v>
      </c>
      <c r="F7123" s="4" t="s">
        <v>11</v>
      </c>
    </row>
    <row r="7124" spans="1:9">
      <c r="A7124" t="n">
        <v>65614</v>
      </c>
      <c r="B7124" s="51" t="n">
        <v>45</v>
      </c>
      <c r="C7124" s="7" t="n">
        <v>11</v>
      </c>
      <c r="D7124" s="7" t="n">
        <v>3</v>
      </c>
      <c r="E7124" s="7" t="n">
        <v>33.4000015258789</v>
      </c>
      <c r="F7124" s="7" t="n">
        <v>0</v>
      </c>
    </row>
    <row r="7125" spans="1:9">
      <c r="A7125" t="s">
        <v>4</v>
      </c>
      <c r="B7125" s="4" t="s">
        <v>5</v>
      </c>
      <c r="C7125" s="4" t="s">
        <v>11</v>
      </c>
      <c r="D7125" s="4" t="s">
        <v>15</v>
      </c>
    </row>
    <row r="7126" spans="1:9">
      <c r="A7126" t="n">
        <v>65623</v>
      </c>
      <c r="B7126" s="63" t="n">
        <v>44</v>
      </c>
      <c r="C7126" s="7" t="n">
        <v>9</v>
      </c>
      <c r="D7126" s="7" t="n">
        <v>1</v>
      </c>
    </row>
    <row r="7127" spans="1:9">
      <c r="A7127" t="s">
        <v>4</v>
      </c>
      <c r="B7127" s="4" t="s">
        <v>5</v>
      </c>
      <c r="C7127" s="4" t="s">
        <v>7</v>
      </c>
      <c r="D7127" s="4" t="s">
        <v>11</v>
      </c>
    </row>
    <row r="7128" spans="1:9">
      <c r="A7128" t="n">
        <v>65630</v>
      </c>
      <c r="B7128" s="23" t="n">
        <v>58</v>
      </c>
      <c r="C7128" s="7" t="n">
        <v>255</v>
      </c>
      <c r="D7128" s="7" t="n">
        <v>0</v>
      </c>
    </row>
    <row r="7129" spans="1:9">
      <c r="A7129" t="s">
        <v>4</v>
      </c>
      <c r="B7129" s="4" t="s">
        <v>5</v>
      </c>
      <c r="C7129" s="4" t="s">
        <v>8</v>
      </c>
      <c r="D7129" s="4" t="s">
        <v>8</v>
      </c>
    </row>
    <row r="7130" spans="1:9">
      <c r="A7130" t="n">
        <v>65634</v>
      </c>
      <c r="B7130" s="52" t="n">
        <v>70</v>
      </c>
      <c r="C7130" s="7" t="s">
        <v>279</v>
      </c>
      <c r="D7130" s="7" t="s">
        <v>280</v>
      </c>
    </row>
    <row r="7131" spans="1:9">
      <c r="A7131" t="s">
        <v>4</v>
      </c>
      <c r="B7131" s="4" t="s">
        <v>5</v>
      </c>
      <c r="C7131" s="4" t="s">
        <v>11</v>
      </c>
    </row>
    <row r="7132" spans="1:9">
      <c r="A7132" t="n">
        <v>65651</v>
      </c>
      <c r="B7132" s="29" t="n">
        <v>16</v>
      </c>
      <c r="C7132" s="7" t="n">
        <v>1000</v>
      </c>
    </row>
    <row r="7133" spans="1:9">
      <c r="A7133" t="s">
        <v>4</v>
      </c>
      <c r="B7133" s="4" t="s">
        <v>5</v>
      </c>
      <c r="C7133" s="4" t="s">
        <v>7</v>
      </c>
      <c r="D7133" s="4" t="s">
        <v>11</v>
      </c>
      <c r="E7133" s="4" t="s">
        <v>11</v>
      </c>
      <c r="F7133" s="4" t="s">
        <v>7</v>
      </c>
    </row>
    <row r="7134" spans="1:9">
      <c r="A7134" t="n">
        <v>65654</v>
      </c>
      <c r="B7134" s="31" t="n">
        <v>25</v>
      </c>
      <c r="C7134" s="7" t="n">
        <v>1</v>
      </c>
      <c r="D7134" s="7" t="n">
        <v>100</v>
      </c>
      <c r="E7134" s="7" t="n">
        <v>500</v>
      </c>
      <c r="F7134" s="7" t="n">
        <v>5</v>
      </c>
    </row>
    <row r="7135" spans="1:9">
      <c r="A7135" t="s">
        <v>4</v>
      </c>
      <c r="B7135" s="4" t="s">
        <v>5</v>
      </c>
      <c r="C7135" s="4" t="s">
        <v>8</v>
      </c>
      <c r="D7135" s="4" t="s">
        <v>11</v>
      </c>
    </row>
    <row r="7136" spans="1:9">
      <c r="A7136" t="n">
        <v>65661</v>
      </c>
      <c r="B7136" s="67" t="n">
        <v>29</v>
      </c>
      <c r="C7136" s="7" t="s">
        <v>281</v>
      </c>
      <c r="D7136" s="7" t="n">
        <v>65533</v>
      </c>
    </row>
    <row r="7137" spans="1:6">
      <c r="A7137" t="s">
        <v>4</v>
      </c>
      <c r="B7137" s="4" t="s">
        <v>5</v>
      </c>
      <c r="C7137" s="4" t="s">
        <v>7</v>
      </c>
      <c r="D7137" s="4" t="s">
        <v>11</v>
      </c>
      <c r="E7137" s="4" t="s">
        <v>8</v>
      </c>
    </row>
    <row r="7138" spans="1:6">
      <c r="A7138" t="n">
        <v>65670</v>
      </c>
      <c r="B7138" s="38" t="n">
        <v>51</v>
      </c>
      <c r="C7138" s="7" t="n">
        <v>4</v>
      </c>
      <c r="D7138" s="7" t="n">
        <v>9</v>
      </c>
      <c r="E7138" s="7" t="s">
        <v>16</v>
      </c>
    </row>
    <row r="7139" spans="1:6">
      <c r="A7139" t="s">
        <v>4</v>
      </c>
      <c r="B7139" s="4" t="s">
        <v>5</v>
      </c>
      <c r="C7139" s="4" t="s">
        <v>11</v>
      </c>
    </row>
    <row r="7140" spans="1:6">
      <c r="A7140" t="n">
        <v>65675</v>
      </c>
      <c r="B7140" s="29" t="n">
        <v>16</v>
      </c>
      <c r="C7140" s="7" t="n">
        <v>0</v>
      </c>
    </row>
    <row r="7141" spans="1:6">
      <c r="A7141" t="s">
        <v>4</v>
      </c>
      <c r="B7141" s="4" t="s">
        <v>5</v>
      </c>
      <c r="C7141" s="4" t="s">
        <v>11</v>
      </c>
      <c r="D7141" s="4" t="s">
        <v>7</v>
      </c>
      <c r="E7141" s="4" t="s">
        <v>15</v>
      </c>
      <c r="F7141" s="4" t="s">
        <v>55</v>
      </c>
      <c r="G7141" s="4" t="s">
        <v>7</v>
      </c>
      <c r="H7141" s="4" t="s">
        <v>7</v>
      </c>
    </row>
    <row r="7142" spans="1:6">
      <c r="A7142" t="n">
        <v>65678</v>
      </c>
      <c r="B7142" s="55" t="n">
        <v>26</v>
      </c>
      <c r="C7142" s="7" t="n">
        <v>9</v>
      </c>
      <c r="D7142" s="7" t="n">
        <v>17</v>
      </c>
      <c r="E7142" s="7" t="n">
        <v>63937</v>
      </c>
      <c r="F7142" s="7" t="s">
        <v>630</v>
      </c>
      <c r="G7142" s="7" t="n">
        <v>2</v>
      </c>
      <c r="H7142" s="7" t="n">
        <v>0</v>
      </c>
    </row>
    <row r="7143" spans="1:6">
      <c r="A7143" t="s">
        <v>4</v>
      </c>
      <c r="B7143" s="4" t="s">
        <v>5</v>
      </c>
    </row>
    <row r="7144" spans="1:6">
      <c r="A7144" t="n">
        <v>65707</v>
      </c>
      <c r="B7144" s="27" t="n">
        <v>28</v>
      </c>
    </row>
    <row r="7145" spans="1:6">
      <c r="A7145" t="s">
        <v>4</v>
      </c>
      <c r="B7145" s="4" t="s">
        <v>5</v>
      </c>
      <c r="C7145" s="4" t="s">
        <v>11</v>
      </c>
      <c r="D7145" s="4" t="s">
        <v>7</v>
      </c>
    </row>
    <row r="7146" spans="1:6">
      <c r="A7146" t="n">
        <v>65708</v>
      </c>
      <c r="B7146" s="68" t="n">
        <v>89</v>
      </c>
      <c r="C7146" s="7" t="n">
        <v>65533</v>
      </c>
      <c r="D7146" s="7" t="n">
        <v>1</v>
      </c>
    </row>
    <row r="7147" spans="1:6">
      <c r="A7147" t="s">
        <v>4</v>
      </c>
      <c r="B7147" s="4" t="s">
        <v>5</v>
      </c>
      <c r="C7147" s="4" t="s">
        <v>7</v>
      </c>
      <c r="D7147" s="4" t="s">
        <v>11</v>
      </c>
      <c r="E7147" s="4" t="s">
        <v>11</v>
      </c>
      <c r="F7147" s="4" t="s">
        <v>7</v>
      </c>
    </row>
    <row r="7148" spans="1:6">
      <c r="A7148" t="n">
        <v>65712</v>
      </c>
      <c r="B7148" s="31" t="n">
        <v>25</v>
      </c>
      <c r="C7148" s="7" t="n">
        <v>1</v>
      </c>
      <c r="D7148" s="7" t="n">
        <v>65535</v>
      </c>
      <c r="E7148" s="7" t="n">
        <v>65535</v>
      </c>
      <c r="F7148" s="7" t="n">
        <v>0</v>
      </c>
    </row>
    <row r="7149" spans="1:6">
      <c r="A7149" t="s">
        <v>4</v>
      </c>
      <c r="B7149" s="4" t="s">
        <v>5</v>
      </c>
      <c r="C7149" s="4" t="s">
        <v>8</v>
      </c>
      <c r="D7149" s="4" t="s">
        <v>11</v>
      </c>
    </row>
    <row r="7150" spans="1:6">
      <c r="A7150" t="n">
        <v>65719</v>
      </c>
      <c r="B7150" s="67" t="n">
        <v>29</v>
      </c>
      <c r="C7150" s="7" t="s">
        <v>16</v>
      </c>
      <c r="D7150" s="7" t="n">
        <v>65533</v>
      </c>
    </row>
    <row r="7151" spans="1:6">
      <c r="A7151" t="s">
        <v>4</v>
      </c>
      <c r="B7151" s="4" t="s">
        <v>5</v>
      </c>
      <c r="C7151" s="4" t="s">
        <v>11</v>
      </c>
      <c r="D7151" s="4" t="s">
        <v>7</v>
      </c>
      <c r="E7151" s="4" t="s">
        <v>13</v>
      </c>
      <c r="F7151" s="4" t="s">
        <v>11</v>
      </c>
    </row>
    <row r="7152" spans="1:6">
      <c r="A7152" t="n">
        <v>65723</v>
      </c>
      <c r="B7152" s="56" t="n">
        <v>59</v>
      </c>
      <c r="C7152" s="7" t="n">
        <v>0</v>
      </c>
      <c r="D7152" s="7" t="n">
        <v>13</v>
      </c>
      <c r="E7152" s="7" t="n">
        <v>0.150000005960464</v>
      </c>
      <c r="F7152" s="7" t="n">
        <v>0</v>
      </c>
    </row>
    <row r="7153" spans="1:8">
      <c r="A7153" t="s">
        <v>4</v>
      </c>
      <c r="B7153" s="4" t="s">
        <v>5</v>
      </c>
      <c r="C7153" s="4" t="s">
        <v>11</v>
      </c>
    </row>
    <row r="7154" spans="1:8">
      <c r="A7154" t="n">
        <v>65733</v>
      </c>
      <c r="B7154" s="29" t="n">
        <v>16</v>
      </c>
      <c r="C7154" s="7" t="n">
        <v>1000</v>
      </c>
    </row>
    <row r="7155" spans="1:8">
      <c r="A7155" t="s">
        <v>4</v>
      </c>
      <c r="B7155" s="4" t="s">
        <v>5</v>
      </c>
      <c r="C7155" s="4" t="s">
        <v>11</v>
      </c>
      <c r="D7155" s="4" t="s">
        <v>13</v>
      </c>
      <c r="E7155" s="4" t="s">
        <v>13</v>
      </c>
      <c r="F7155" s="4" t="s">
        <v>13</v>
      </c>
      <c r="G7155" s="4" t="s">
        <v>11</v>
      </c>
      <c r="H7155" s="4" t="s">
        <v>11</v>
      </c>
    </row>
    <row r="7156" spans="1:8">
      <c r="A7156" t="n">
        <v>65736</v>
      </c>
      <c r="B7156" s="37" t="n">
        <v>60</v>
      </c>
      <c r="C7156" s="7" t="n">
        <v>0</v>
      </c>
      <c r="D7156" s="7" t="n">
        <v>0</v>
      </c>
      <c r="E7156" s="7" t="n">
        <v>0</v>
      </c>
      <c r="F7156" s="7" t="n">
        <v>0</v>
      </c>
      <c r="G7156" s="7" t="n">
        <v>1000</v>
      </c>
      <c r="H7156" s="7" t="n">
        <v>0</v>
      </c>
    </row>
    <row r="7157" spans="1:8">
      <c r="A7157" t="s">
        <v>4</v>
      </c>
      <c r="B7157" s="4" t="s">
        <v>5</v>
      </c>
      <c r="C7157" s="4" t="s">
        <v>11</v>
      </c>
      <c r="D7157" s="4" t="s">
        <v>11</v>
      </c>
      <c r="E7157" s="4" t="s">
        <v>11</v>
      </c>
    </row>
    <row r="7158" spans="1:8">
      <c r="A7158" t="n">
        <v>65755</v>
      </c>
      <c r="B7158" s="72" t="n">
        <v>61</v>
      </c>
      <c r="C7158" s="7" t="n">
        <v>0</v>
      </c>
      <c r="D7158" s="7" t="n">
        <v>9</v>
      </c>
      <c r="E7158" s="7" t="n">
        <v>1000</v>
      </c>
    </row>
    <row r="7159" spans="1:8">
      <c r="A7159" t="s">
        <v>4</v>
      </c>
      <c r="B7159" s="4" t="s">
        <v>5</v>
      </c>
      <c r="C7159" s="4" t="s">
        <v>11</v>
      </c>
      <c r="D7159" s="4" t="s">
        <v>11</v>
      </c>
      <c r="E7159" s="4" t="s">
        <v>11</v>
      </c>
    </row>
    <row r="7160" spans="1:8">
      <c r="A7160" t="n">
        <v>65762</v>
      </c>
      <c r="B7160" s="72" t="n">
        <v>61</v>
      </c>
      <c r="C7160" s="7" t="n">
        <v>9</v>
      </c>
      <c r="D7160" s="7" t="n">
        <v>0</v>
      </c>
      <c r="E7160" s="7" t="n">
        <v>1000</v>
      </c>
    </row>
    <row r="7161" spans="1:8">
      <c r="A7161" t="s">
        <v>4</v>
      </c>
      <c r="B7161" s="4" t="s">
        <v>5</v>
      </c>
      <c r="C7161" s="4" t="s">
        <v>11</v>
      </c>
      <c r="D7161" s="4" t="s">
        <v>13</v>
      </c>
      <c r="E7161" s="4" t="s">
        <v>13</v>
      </c>
      <c r="F7161" s="4" t="s">
        <v>7</v>
      </c>
    </row>
    <row r="7162" spans="1:8">
      <c r="A7162" t="n">
        <v>65769</v>
      </c>
      <c r="B7162" s="65" t="n">
        <v>52</v>
      </c>
      <c r="C7162" s="7" t="n">
        <v>0</v>
      </c>
      <c r="D7162" s="7" t="n">
        <v>332.399993896484</v>
      </c>
      <c r="E7162" s="7" t="n">
        <v>5</v>
      </c>
      <c r="F7162" s="7" t="n">
        <v>0</v>
      </c>
    </row>
    <row r="7163" spans="1:8">
      <c r="A7163" t="s">
        <v>4</v>
      </c>
      <c r="B7163" s="4" t="s">
        <v>5</v>
      </c>
      <c r="C7163" s="4" t="s">
        <v>11</v>
      </c>
    </row>
    <row r="7164" spans="1:8">
      <c r="A7164" t="n">
        <v>65781</v>
      </c>
      <c r="B7164" s="66" t="n">
        <v>54</v>
      </c>
      <c r="C7164" s="7" t="n">
        <v>0</v>
      </c>
    </row>
    <row r="7165" spans="1:8">
      <c r="A7165" t="s">
        <v>4</v>
      </c>
      <c r="B7165" s="4" t="s">
        <v>5</v>
      </c>
      <c r="C7165" s="4" t="s">
        <v>7</v>
      </c>
      <c r="D7165" s="4" t="s">
        <v>11</v>
      </c>
      <c r="E7165" s="4" t="s">
        <v>13</v>
      </c>
    </row>
    <row r="7166" spans="1:8">
      <c r="A7166" t="n">
        <v>65784</v>
      </c>
      <c r="B7166" s="23" t="n">
        <v>58</v>
      </c>
      <c r="C7166" s="7" t="n">
        <v>101</v>
      </c>
      <c r="D7166" s="7" t="n">
        <v>500</v>
      </c>
      <c r="E7166" s="7" t="n">
        <v>1</v>
      </c>
    </row>
    <row r="7167" spans="1:8">
      <c r="A7167" t="s">
        <v>4</v>
      </c>
      <c r="B7167" s="4" t="s">
        <v>5</v>
      </c>
      <c r="C7167" s="4" t="s">
        <v>7</v>
      </c>
      <c r="D7167" s="4" t="s">
        <v>11</v>
      </c>
    </row>
    <row r="7168" spans="1:8">
      <c r="A7168" t="n">
        <v>65792</v>
      </c>
      <c r="B7168" s="23" t="n">
        <v>58</v>
      </c>
      <c r="C7168" s="7" t="n">
        <v>254</v>
      </c>
      <c r="D7168" s="7" t="n">
        <v>0</v>
      </c>
    </row>
    <row r="7169" spans="1:8">
      <c r="A7169" t="s">
        <v>4</v>
      </c>
      <c r="B7169" s="4" t="s">
        <v>5</v>
      </c>
      <c r="C7169" s="4" t="s">
        <v>7</v>
      </c>
      <c r="D7169" s="4" t="s">
        <v>7</v>
      </c>
      <c r="E7169" s="4" t="s">
        <v>13</v>
      </c>
      <c r="F7169" s="4" t="s">
        <v>13</v>
      </c>
      <c r="G7169" s="4" t="s">
        <v>13</v>
      </c>
      <c r="H7169" s="4" t="s">
        <v>11</v>
      </c>
    </row>
    <row r="7170" spans="1:8">
      <c r="A7170" t="n">
        <v>65796</v>
      </c>
      <c r="B7170" s="51" t="n">
        <v>45</v>
      </c>
      <c r="C7170" s="7" t="n">
        <v>2</v>
      </c>
      <c r="D7170" s="7" t="n">
        <v>3</v>
      </c>
      <c r="E7170" s="7" t="n">
        <v>4.92999982833862</v>
      </c>
      <c r="F7170" s="7" t="n">
        <v>1.46000003814697</v>
      </c>
      <c r="G7170" s="7" t="n">
        <v>45.6699981689453</v>
      </c>
      <c r="H7170" s="7" t="n">
        <v>0</v>
      </c>
    </row>
    <row r="7171" spans="1:8">
      <c r="A7171" t="s">
        <v>4</v>
      </c>
      <c r="B7171" s="4" t="s">
        <v>5</v>
      </c>
      <c r="C7171" s="4" t="s">
        <v>7</v>
      </c>
      <c r="D7171" s="4" t="s">
        <v>7</v>
      </c>
      <c r="E7171" s="4" t="s">
        <v>13</v>
      </c>
      <c r="F7171" s="4" t="s">
        <v>13</v>
      </c>
      <c r="G7171" s="4" t="s">
        <v>13</v>
      </c>
      <c r="H7171" s="4" t="s">
        <v>11</v>
      </c>
      <c r="I7171" s="4" t="s">
        <v>7</v>
      </c>
    </row>
    <row r="7172" spans="1:8">
      <c r="A7172" t="n">
        <v>65813</v>
      </c>
      <c r="B7172" s="51" t="n">
        <v>45</v>
      </c>
      <c r="C7172" s="7" t="n">
        <v>4</v>
      </c>
      <c r="D7172" s="7" t="n">
        <v>3</v>
      </c>
      <c r="E7172" s="7" t="n">
        <v>5.69000005722046</v>
      </c>
      <c r="F7172" s="7" t="n">
        <v>260.239990234375</v>
      </c>
      <c r="G7172" s="7" t="n">
        <v>0</v>
      </c>
      <c r="H7172" s="7" t="n">
        <v>0</v>
      </c>
      <c r="I7172" s="7" t="n">
        <v>0</v>
      </c>
    </row>
    <row r="7173" spans="1:8">
      <c r="A7173" t="s">
        <v>4</v>
      </c>
      <c r="B7173" s="4" t="s">
        <v>5</v>
      </c>
      <c r="C7173" s="4" t="s">
        <v>7</v>
      </c>
      <c r="D7173" s="4" t="s">
        <v>7</v>
      </c>
      <c r="E7173" s="4" t="s">
        <v>13</v>
      </c>
      <c r="F7173" s="4" t="s">
        <v>11</v>
      </c>
    </row>
    <row r="7174" spans="1:8">
      <c r="A7174" t="n">
        <v>65831</v>
      </c>
      <c r="B7174" s="51" t="n">
        <v>45</v>
      </c>
      <c r="C7174" s="7" t="n">
        <v>5</v>
      </c>
      <c r="D7174" s="7" t="n">
        <v>3</v>
      </c>
      <c r="E7174" s="7" t="n">
        <v>1.70000004768372</v>
      </c>
      <c r="F7174" s="7" t="n">
        <v>0</v>
      </c>
    </row>
    <row r="7175" spans="1:8">
      <c r="A7175" t="s">
        <v>4</v>
      </c>
      <c r="B7175" s="4" t="s">
        <v>5</v>
      </c>
      <c r="C7175" s="4" t="s">
        <v>7</v>
      </c>
      <c r="D7175" s="4" t="s">
        <v>7</v>
      </c>
      <c r="E7175" s="4" t="s">
        <v>13</v>
      </c>
      <c r="F7175" s="4" t="s">
        <v>11</v>
      </c>
    </row>
    <row r="7176" spans="1:8">
      <c r="A7176" t="n">
        <v>65840</v>
      </c>
      <c r="B7176" s="51" t="n">
        <v>45</v>
      </c>
      <c r="C7176" s="7" t="n">
        <v>11</v>
      </c>
      <c r="D7176" s="7" t="n">
        <v>3</v>
      </c>
      <c r="E7176" s="7" t="n">
        <v>34</v>
      </c>
      <c r="F7176" s="7" t="n">
        <v>0</v>
      </c>
    </row>
    <row r="7177" spans="1:8">
      <c r="A7177" t="s">
        <v>4</v>
      </c>
      <c r="B7177" s="4" t="s">
        <v>5</v>
      </c>
      <c r="C7177" s="4" t="s">
        <v>7</v>
      </c>
      <c r="D7177" s="4" t="s">
        <v>7</v>
      </c>
      <c r="E7177" s="4" t="s">
        <v>13</v>
      </c>
      <c r="F7177" s="4" t="s">
        <v>13</v>
      </c>
      <c r="G7177" s="4" t="s">
        <v>13</v>
      </c>
      <c r="H7177" s="4" t="s">
        <v>11</v>
      </c>
    </row>
    <row r="7178" spans="1:8">
      <c r="A7178" t="n">
        <v>65849</v>
      </c>
      <c r="B7178" s="51" t="n">
        <v>45</v>
      </c>
      <c r="C7178" s="7" t="n">
        <v>2</v>
      </c>
      <c r="D7178" s="7" t="n">
        <v>3</v>
      </c>
      <c r="E7178" s="7" t="n">
        <v>4.84999990463257</v>
      </c>
      <c r="F7178" s="7" t="n">
        <v>1.4099999666214</v>
      </c>
      <c r="G7178" s="7" t="n">
        <v>45.7999992370605</v>
      </c>
      <c r="H7178" s="7" t="n">
        <v>5500</v>
      </c>
    </row>
    <row r="7179" spans="1:8">
      <c r="A7179" t="s">
        <v>4</v>
      </c>
      <c r="B7179" s="4" t="s">
        <v>5</v>
      </c>
      <c r="C7179" s="4" t="s">
        <v>7</v>
      </c>
      <c r="D7179" s="4" t="s">
        <v>7</v>
      </c>
      <c r="E7179" s="4" t="s">
        <v>13</v>
      </c>
      <c r="F7179" s="4" t="s">
        <v>13</v>
      </c>
      <c r="G7179" s="4" t="s">
        <v>13</v>
      </c>
      <c r="H7179" s="4" t="s">
        <v>11</v>
      </c>
      <c r="I7179" s="4" t="s">
        <v>7</v>
      </c>
    </row>
    <row r="7180" spans="1:8">
      <c r="A7180" t="n">
        <v>65866</v>
      </c>
      <c r="B7180" s="51" t="n">
        <v>45</v>
      </c>
      <c r="C7180" s="7" t="n">
        <v>4</v>
      </c>
      <c r="D7180" s="7" t="n">
        <v>3</v>
      </c>
      <c r="E7180" s="7" t="n">
        <v>5.46999979019165</v>
      </c>
      <c r="F7180" s="7" t="n">
        <v>232.490005493164</v>
      </c>
      <c r="G7180" s="7" t="n">
        <v>0</v>
      </c>
      <c r="H7180" s="7" t="n">
        <v>5500</v>
      </c>
      <c r="I7180" s="7" t="n">
        <v>0</v>
      </c>
    </row>
    <row r="7181" spans="1:8">
      <c r="A7181" t="s">
        <v>4</v>
      </c>
      <c r="B7181" s="4" t="s">
        <v>5</v>
      </c>
      <c r="C7181" s="4" t="s">
        <v>11</v>
      </c>
      <c r="D7181" s="4" t="s">
        <v>7</v>
      </c>
      <c r="E7181" s="4" t="s">
        <v>7</v>
      </c>
      <c r="F7181" s="4" t="s">
        <v>8</v>
      </c>
    </row>
    <row r="7182" spans="1:8">
      <c r="A7182" t="n">
        <v>65884</v>
      </c>
      <c r="B7182" s="50" t="n">
        <v>20</v>
      </c>
      <c r="C7182" s="7" t="n">
        <v>9</v>
      </c>
      <c r="D7182" s="7" t="n">
        <v>2</v>
      </c>
      <c r="E7182" s="7" t="n">
        <v>11</v>
      </c>
      <c r="F7182" s="7" t="s">
        <v>283</v>
      </c>
    </row>
    <row r="7183" spans="1:8">
      <c r="A7183" t="s">
        <v>4</v>
      </c>
      <c r="B7183" s="4" t="s">
        <v>5</v>
      </c>
      <c r="C7183" s="4" t="s">
        <v>7</v>
      </c>
    </row>
    <row r="7184" spans="1:8">
      <c r="A7184" t="n">
        <v>65911</v>
      </c>
      <c r="B7184" s="49" t="n">
        <v>116</v>
      </c>
      <c r="C7184" s="7" t="n">
        <v>0</v>
      </c>
    </row>
    <row r="7185" spans="1:9">
      <c r="A7185" t="s">
        <v>4</v>
      </c>
      <c r="B7185" s="4" t="s">
        <v>5</v>
      </c>
      <c r="C7185" s="4" t="s">
        <v>7</v>
      </c>
      <c r="D7185" s="4" t="s">
        <v>11</v>
      </c>
    </row>
    <row r="7186" spans="1:9">
      <c r="A7186" t="n">
        <v>65913</v>
      </c>
      <c r="B7186" s="49" t="n">
        <v>116</v>
      </c>
      <c r="C7186" s="7" t="n">
        <v>2</v>
      </c>
      <c r="D7186" s="7" t="n">
        <v>1</v>
      </c>
    </row>
    <row r="7187" spans="1:9">
      <c r="A7187" t="s">
        <v>4</v>
      </c>
      <c r="B7187" s="4" t="s">
        <v>5</v>
      </c>
      <c r="C7187" s="4" t="s">
        <v>7</v>
      </c>
      <c r="D7187" s="4" t="s">
        <v>15</v>
      </c>
    </row>
    <row r="7188" spans="1:9">
      <c r="A7188" t="n">
        <v>65917</v>
      </c>
      <c r="B7188" s="49" t="n">
        <v>116</v>
      </c>
      <c r="C7188" s="7" t="n">
        <v>5</v>
      </c>
      <c r="D7188" s="7" t="n">
        <v>1084227584</v>
      </c>
    </row>
    <row r="7189" spans="1:9">
      <c r="A7189" t="s">
        <v>4</v>
      </c>
      <c r="B7189" s="4" t="s">
        <v>5</v>
      </c>
      <c r="C7189" s="4" t="s">
        <v>7</v>
      </c>
      <c r="D7189" s="4" t="s">
        <v>11</v>
      </c>
    </row>
    <row r="7190" spans="1:9">
      <c r="A7190" t="n">
        <v>65923</v>
      </c>
      <c r="B7190" s="49" t="n">
        <v>116</v>
      </c>
      <c r="C7190" s="7" t="n">
        <v>6</v>
      </c>
      <c r="D7190" s="7" t="n">
        <v>1</v>
      </c>
    </row>
    <row r="7191" spans="1:9">
      <c r="A7191" t="s">
        <v>4</v>
      </c>
      <c r="B7191" s="4" t="s">
        <v>5</v>
      </c>
      <c r="C7191" s="4" t="s">
        <v>7</v>
      </c>
      <c r="D7191" s="4" t="s">
        <v>11</v>
      </c>
    </row>
    <row r="7192" spans="1:9">
      <c r="A7192" t="n">
        <v>65927</v>
      </c>
      <c r="B7192" s="23" t="n">
        <v>58</v>
      </c>
      <c r="C7192" s="7" t="n">
        <v>255</v>
      </c>
      <c r="D7192" s="7" t="n">
        <v>0</v>
      </c>
    </row>
    <row r="7193" spans="1:9">
      <c r="A7193" t="s">
        <v>4</v>
      </c>
      <c r="B7193" s="4" t="s">
        <v>5</v>
      </c>
      <c r="C7193" s="4" t="s">
        <v>11</v>
      </c>
    </row>
    <row r="7194" spans="1:9">
      <c r="A7194" t="n">
        <v>65931</v>
      </c>
      <c r="B7194" s="29" t="n">
        <v>16</v>
      </c>
      <c r="C7194" s="7" t="n">
        <v>800</v>
      </c>
    </row>
    <row r="7195" spans="1:9">
      <c r="A7195" t="s">
        <v>4</v>
      </c>
      <c r="B7195" s="4" t="s">
        <v>5</v>
      </c>
      <c r="C7195" s="4" t="s">
        <v>8</v>
      </c>
      <c r="D7195" s="4" t="s">
        <v>8</v>
      </c>
    </row>
    <row r="7196" spans="1:9">
      <c r="A7196" t="n">
        <v>65934</v>
      </c>
      <c r="B7196" s="52" t="n">
        <v>70</v>
      </c>
      <c r="C7196" s="7" t="s">
        <v>279</v>
      </c>
      <c r="D7196" s="7" t="s">
        <v>284</v>
      </c>
    </row>
    <row r="7197" spans="1:9">
      <c r="A7197" t="s">
        <v>4</v>
      </c>
      <c r="B7197" s="4" t="s">
        <v>5</v>
      </c>
      <c r="C7197" s="4" t="s">
        <v>7</v>
      </c>
      <c r="D7197" s="4" t="s">
        <v>11</v>
      </c>
    </row>
    <row r="7198" spans="1:9">
      <c r="A7198" t="n">
        <v>65952</v>
      </c>
      <c r="B7198" s="51" t="n">
        <v>45</v>
      </c>
      <c r="C7198" s="7" t="n">
        <v>7</v>
      </c>
      <c r="D7198" s="7" t="n">
        <v>255</v>
      </c>
    </row>
    <row r="7199" spans="1:9">
      <c r="A7199" t="s">
        <v>4</v>
      </c>
      <c r="B7199" s="4" t="s">
        <v>5</v>
      </c>
      <c r="C7199" s="4" t="s">
        <v>7</v>
      </c>
      <c r="D7199" s="4" t="s">
        <v>11</v>
      </c>
      <c r="E7199" s="4" t="s">
        <v>8</v>
      </c>
    </row>
    <row r="7200" spans="1:9">
      <c r="A7200" t="n">
        <v>65956</v>
      </c>
      <c r="B7200" s="38" t="n">
        <v>51</v>
      </c>
      <c r="C7200" s="7" t="n">
        <v>4</v>
      </c>
      <c r="D7200" s="7" t="n">
        <v>0</v>
      </c>
      <c r="E7200" s="7" t="s">
        <v>285</v>
      </c>
    </row>
    <row r="7201" spans="1:5">
      <c r="A7201" t="s">
        <v>4</v>
      </c>
      <c r="B7201" s="4" t="s">
        <v>5</v>
      </c>
      <c r="C7201" s="4" t="s">
        <v>11</v>
      </c>
    </row>
    <row r="7202" spans="1:5">
      <c r="A7202" t="n">
        <v>65969</v>
      </c>
      <c r="B7202" s="29" t="n">
        <v>16</v>
      </c>
      <c r="C7202" s="7" t="n">
        <v>0</v>
      </c>
    </row>
    <row r="7203" spans="1:5">
      <c r="A7203" t="s">
        <v>4</v>
      </c>
      <c r="B7203" s="4" t="s">
        <v>5</v>
      </c>
      <c r="C7203" s="4" t="s">
        <v>11</v>
      </c>
      <c r="D7203" s="4" t="s">
        <v>7</v>
      </c>
      <c r="E7203" s="4" t="s">
        <v>15</v>
      </c>
      <c r="F7203" s="4" t="s">
        <v>55</v>
      </c>
      <c r="G7203" s="4" t="s">
        <v>7</v>
      </c>
      <c r="H7203" s="4" t="s">
        <v>7</v>
      </c>
      <c r="I7203" s="4" t="s">
        <v>7</v>
      </c>
      <c r="J7203" s="4" t="s">
        <v>15</v>
      </c>
      <c r="K7203" s="4" t="s">
        <v>55</v>
      </c>
      <c r="L7203" s="4" t="s">
        <v>7</v>
      </c>
      <c r="M7203" s="4" t="s">
        <v>7</v>
      </c>
    </row>
    <row r="7204" spans="1:5">
      <c r="A7204" t="n">
        <v>65972</v>
      </c>
      <c r="B7204" s="55" t="n">
        <v>26</v>
      </c>
      <c r="C7204" s="7" t="n">
        <v>0</v>
      </c>
      <c r="D7204" s="7" t="n">
        <v>17</v>
      </c>
      <c r="E7204" s="7" t="n">
        <v>63938</v>
      </c>
      <c r="F7204" s="7" t="s">
        <v>631</v>
      </c>
      <c r="G7204" s="7" t="n">
        <v>2</v>
      </c>
      <c r="H7204" s="7" t="n">
        <v>3</v>
      </c>
      <c r="I7204" s="7" t="n">
        <v>17</v>
      </c>
      <c r="J7204" s="7" t="n">
        <v>63939</v>
      </c>
      <c r="K7204" s="7" t="s">
        <v>632</v>
      </c>
      <c r="L7204" s="7" t="n">
        <v>2</v>
      </c>
      <c r="M7204" s="7" t="n">
        <v>0</v>
      </c>
    </row>
    <row r="7205" spans="1:5">
      <c r="A7205" t="s">
        <v>4</v>
      </c>
      <c r="B7205" s="4" t="s">
        <v>5</v>
      </c>
    </row>
    <row r="7206" spans="1:5">
      <c r="A7206" t="n">
        <v>66080</v>
      </c>
      <c r="B7206" s="27" t="n">
        <v>28</v>
      </c>
    </row>
    <row r="7207" spans="1:5">
      <c r="A7207" t="s">
        <v>4</v>
      </c>
      <c r="B7207" s="4" t="s">
        <v>5</v>
      </c>
      <c r="C7207" s="4" t="s">
        <v>7</v>
      </c>
      <c r="D7207" s="4" t="s">
        <v>11</v>
      </c>
      <c r="E7207" s="4" t="s">
        <v>13</v>
      </c>
    </row>
    <row r="7208" spans="1:5">
      <c r="A7208" t="n">
        <v>66081</v>
      </c>
      <c r="B7208" s="23" t="n">
        <v>58</v>
      </c>
      <c r="C7208" s="7" t="n">
        <v>101</v>
      </c>
      <c r="D7208" s="7" t="n">
        <v>500</v>
      </c>
      <c r="E7208" s="7" t="n">
        <v>1</v>
      </c>
    </row>
    <row r="7209" spans="1:5">
      <c r="A7209" t="s">
        <v>4</v>
      </c>
      <c r="B7209" s="4" t="s">
        <v>5</v>
      </c>
      <c r="C7209" s="4" t="s">
        <v>7</v>
      </c>
      <c r="D7209" s="4" t="s">
        <v>11</v>
      </c>
    </row>
    <row r="7210" spans="1:5">
      <c r="A7210" t="n">
        <v>66089</v>
      </c>
      <c r="B7210" s="23" t="n">
        <v>58</v>
      </c>
      <c r="C7210" s="7" t="n">
        <v>254</v>
      </c>
      <c r="D7210" s="7" t="n">
        <v>0</v>
      </c>
    </row>
    <row r="7211" spans="1:5">
      <c r="A7211" t="s">
        <v>4</v>
      </c>
      <c r="B7211" s="4" t="s">
        <v>5</v>
      </c>
      <c r="C7211" s="4" t="s">
        <v>7</v>
      </c>
      <c r="D7211" s="4" t="s">
        <v>7</v>
      </c>
      <c r="E7211" s="4" t="s">
        <v>13</v>
      </c>
      <c r="F7211" s="4" t="s">
        <v>13</v>
      </c>
      <c r="G7211" s="4" t="s">
        <v>13</v>
      </c>
      <c r="H7211" s="4" t="s">
        <v>11</v>
      </c>
    </row>
    <row r="7212" spans="1:5">
      <c r="A7212" t="n">
        <v>66093</v>
      </c>
      <c r="B7212" s="51" t="n">
        <v>45</v>
      </c>
      <c r="C7212" s="7" t="n">
        <v>2</v>
      </c>
      <c r="D7212" s="7" t="n">
        <v>3</v>
      </c>
      <c r="E7212" s="7" t="n">
        <v>4.94999980926514</v>
      </c>
      <c r="F7212" s="7" t="n">
        <v>1.25</v>
      </c>
      <c r="G7212" s="7" t="n">
        <v>46.3600006103516</v>
      </c>
      <c r="H7212" s="7" t="n">
        <v>0</v>
      </c>
    </row>
    <row r="7213" spans="1:5">
      <c r="A7213" t="s">
        <v>4</v>
      </c>
      <c r="B7213" s="4" t="s">
        <v>5</v>
      </c>
      <c r="C7213" s="4" t="s">
        <v>7</v>
      </c>
      <c r="D7213" s="4" t="s">
        <v>7</v>
      </c>
      <c r="E7213" s="4" t="s">
        <v>13</v>
      </c>
      <c r="F7213" s="4" t="s">
        <v>13</v>
      </c>
      <c r="G7213" s="4" t="s">
        <v>13</v>
      </c>
      <c r="H7213" s="4" t="s">
        <v>11</v>
      </c>
      <c r="I7213" s="4" t="s">
        <v>7</v>
      </c>
    </row>
    <row r="7214" spans="1:5">
      <c r="A7214" t="n">
        <v>66110</v>
      </c>
      <c r="B7214" s="51" t="n">
        <v>45</v>
      </c>
      <c r="C7214" s="7" t="n">
        <v>4</v>
      </c>
      <c r="D7214" s="7" t="n">
        <v>3</v>
      </c>
      <c r="E7214" s="7" t="n">
        <v>357.170013427734</v>
      </c>
      <c r="F7214" s="7" t="n">
        <v>204.279998779297</v>
      </c>
      <c r="G7214" s="7" t="n">
        <v>0</v>
      </c>
      <c r="H7214" s="7" t="n">
        <v>0</v>
      </c>
      <c r="I7214" s="7" t="n">
        <v>0</v>
      </c>
    </row>
    <row r="7215" spans="1:5">
      <c r="A7215" t="s">
        <v>4</v>
      </c>
      <c r="B7215" s="4" t="s">
        <v>5</v>
      </c>
      <c r="C7215" s="4" t="s">
        <v>7</v>
      </c>
      <c r="D7215" s="4" t="s">
        <v>7</v>
      </c>
      <c r="E7215" s="4" t="s">
        <v>13</v>
      </c>
      <c r="F7215" s="4" t="s">
        <v>11</v>
      </c>
    </row>
    <row r="7216" spans="1:5">
      <c r="A7216" t="n">
        <v>66128</v>
      </c>
      <c r="B7216" s="51" t="n">
        <v>45</v>
      </c>
      <c r="C7216" s="7" t="n">
        <v>5</v>
      </c>
      <c r="D7216" s="7" t="n">
        <v>3</v>
      </c>
      <c r="E7216" s="7" t="n">
        <v>1</v>
      </c>
      <c r="F7216" s="7" t="n">
        <v>0</v>
      </c>
    </row>
    <row r="7217" spans="1:13">
      <c r="A7217" t="s">
        <v>4</v>
      </c>
      <c r="B7217" s="4" t="s">
        <v>5</v>
      </c>
      <c r="C7217" s="4" t="s">
        <v>7</v>
      </c>
      <c r="D7217" s="4" t="s">
        <v>7</v>
      </c>
      <c r="E7217" s="4" t="s">
        <v>13</v>
      </c>
      <c r="F7217" s="4" t="s">
        <v>11</v>
      </c>
    </row>
    <row r="7218" spans="1:13">
      <c r="A7218" t="n">
        <v>66137</v>
      </c>
      <c r="B7218" s="51" t="n">
        <v>45</v>
      </c>
      <c r="C7218" s="7" t="n">
        <v>11</v>
      </c>
      <c r="D7218" s="7" t="n">
        <v>3</v>
      </c>
      <c r="E7218" s="7" t="n">
        <v>34</v>
      </c>
      <c r="F7218" s="7" t="n">
        <v>0</v>
      </c>
    </row>
    <row r="7219" spans="1:13">
      <c r="A7219" t="s">
        <v>4</v>
      </c>
      <c r="B7219" s="4" t="s">
        <v>5</v>
      </c>
      <c r="C7219" s="4" t="s">
        <v>7</v>
      </c>
      <c r="D7219" s="4" t="s">
        <v>11</v>
      </c>
    </row>
    <row r="7220" spans="1:13">
      <c r="A7220" t="n">
        <v>66146</v>
      </c>
      <c r="B7220" s="23" t="n">
        <v>58</v>
      </c>
      <c r="C7220" s="7" t="n">
        <v>255</v>
      </c>
      <c r="D7220" s="7" t="n">
        <v>0</v>
      </c>
    </row>
    <row r="7221" spans="1:13">
      <c r="A7221" t="s">
        <v>4</v>
      </c>
      <c r="B7221" s="4" t="s">
        <v>5</v>
      </c>
      <c r="C7221" s="4" t="s">
        <v>11</v>
      </c>
      <c r="D7221" s="4" t="s">
        <v>7</v>
      </c>
      <c r="E7221" s="4" t="s">
        <v>8</v>
      </c>
      <c r="F7221" s="4" t="s">
        <v>13</v>
      </c>
      <c r="G7221" s="4" t="s">
        <v>13</v>
      </c>
      <c r="H7221" s="4" t="s">
        <v>13</v>
      </c>
    </row>
    <row r="7222" spans="1:13">
      <c r="A7222" t="n">
        <v>66150</v>
      </c>
      <c r="B7222" s="42" t="n">
        <v>48</v>
      </c>
      <c r="C7222" s="7" t="n">
        <v>9</v>
      </c>
      <c r="D7222" s="7" t="n">
        <v>0</v>
      </c>
      <c r="E7222" s="7" t="s">
        <v>628</v>
      </c>
      <c r="F7222" s="7" t="n">
        <v>-1</v>
      </c>
      <c r="G7222" s="7" t="n">
        <v>1</v>
      </c>
      <c r="H7222" s="7" t="n">
        <v>0</v>
      </c>
    </row>
    <row r="7223" spans="1:13">
      <c r="A7223" t="s">
        <v>4</v>
      </c>
      <c r="B7223" s="4" t="s">
        <v>5</v>
      </c>
      <c r="C7223" s="4" t="s">
        <v>11</v>
      </c>
    </row>
    <row r="7224" spans="1:13">
      <c r="A7224" t="n">
        <v>66182</v>
      </c>
      <c r="B7224" s="29" t="n">
        <v>16</v>
      </c>
      <c r="C7224" s="7" t="n">
        <v>500</v>
      </c>
    </row>
    <row r="7225" spans="1:13">
      <c r="A7225" t="s">
        <v>4</v>
      </c>
      <c r="B7225" s="4" t="s">
        <v>5</v>
      </c>
      <c r="C7225" s="4" t="s">
        <v>7</v>
      </c>
      <c r="D7225" s="4" t="s">
        <v>11</v>
      </c>
      <c r="E7225" s="4" t="s">
        <v>8</v>
      </c>
    </row>
    <row r="7226" spans="1:13">
      <c r="A7226" t="n">
        <v>66185</v>
      </c>
      <c r="B7226" s="38" t="n">
        <v>51</v>
      </c>
      <c r="C7226" s="7" t="n">
        <v>4</v>
      </c>
      <c r="D7226" s="7" t="n">
        <v>9</v>
      </c>
      <c r="E7226" s="7" t="s">
        <v>313</v>
      </c>
    </row>
    <row r="7227" spans="1:13">
      <c r="A7227" t="s">
        <v>4</v>
      </c>
      <c r="B7227" s="4" t="s">
        <v>5</v>
      </c>
      <c r="C7227" s="4" t="s">
        <v>11</v>
      </c>
    </row>
    <row r="7228" spans="1:13">
      <c r="A7228" t="n">
        <v>66198</v>
      </c>
      <c r="B7228" s="29" t="n">
        <v>16</v>
      </c>
      <c r="C7228" s="7" t="n">
        <v>0</v>
      </c>
    </row>
    <row r="7229" spans="1:13">
      <c r="A7229" t="s">
        <v>4</v>
      </c>
      <c r="B7229" s="4" t="s">
        <v>5</v>
      </c>
      <c r="C7229" s="4" t="s">
        <v>11</v>
      </c>
      <c r="D7229" s="4" t="s">
        <v>7</v>
      </c>
      <c r="E7229" s="4" t="s">
        <v>15</v>
      </c>
      <c r="F7229" s="4" t="s">
        <v>55</v>
      </c>
      <c r="G7229" s="4" t="s">
        <v>7</v>
      </c>
      <c r="H7229" s="4" t="s">
        <v>7</v>
      </c>
      <c r="I7229" s="4" t="s">
        <v>7</v>
      </c>
      <c r="J7229" s="4" t="s">
        <v>15</v>
      </c>
      <c r="K7229" s="4" t="s">
        <v>55</v>
      </c>
      <c r="L7229" s="4" t="s">
        <v>7</v>
      </c>
      <c r="M7229" s="4" t="s">
        <v>7</v>
      </c>
    </row>
    <row r="7230" spans="1:13">
      <c r="A7230" t="n">
        <v>66201</v>
      </c>
      <c r="B7230" s="55" t="n">
        <v>26</v>
      </c>
      <c r="C7230" s="7" t="n">
        <v>9</v>
      </c>
      <c r="D7230" s="7" t="n">
        <v>17</v>
      </c>
      <c r="E7230" s="7" t="n">
        <v>63940</v>
      </c>
      <c r="F7230" s="7" t="s">
        <v>633</v>
      </c>
      <c r="G7230" s="7" t="n">
        <v>2</v>
      </c>
      <c r="H7230" s="7" t="n">
        <v>3</v>
      </c>
      <c r="I7230" s="7" t="n">
        <v>17</v>
      </c>
      <c r="J7230" s="7" t="n">
        <v>63941</v>
      </c>
      <c r="K7230" s="7" t="s">
        <v>634</v>
      </c>
      <c r="L7230" s="7" t="n">
        <v>2</v>
      </c>
      <c r="M7230" s="7" t="n">
        <v>0</v>
      </c>
    </row>
    <row r="7231" spans="1:13">
      <c r="A7231" t="s">
        <v>4</v>
      </c>
      <c r="B7231" s="4" t="s">
        <v>5</v>
      </c>
    </row>
    <row r="7232" spans="1:13">
      <c r="A7232" t="n">
        <v>66288</v>
      </c>
      <c r="B7232" s="27" t="n">
        <v>28</v>
      </c>
    </row>
    <row r="7233" spans="1:13">
      <c r="A7233" t="s">
        <v>4</v>
      </c>
      <c r="B7233" s="4" t="s">
        <v>5</v>
      </c>
      <c r="C7233" s="4" t="s">
        <v>7</v>
      </c>
      <c r="D7233" s="4" t="s">
        <v>11</v>
      </c>
      <c r="E7233" s="4" t="s">
        <v>8</v>
      </c>
      <c r="F7233" s="4" t="s">
        <v>8</v>
      </c>
      <c r="G7233" s="4" t="s">
        <v>8</v>
      </c>
      <c r="H7233" s="4" t="s">
        <v>8</v>
      </c>
    </row>
    <row r="7234" spans="1:13">
      <c r="A7234" t="n">
        <v>66289</v>
      </c>
      <c r="B7234" s="38" t="n">
        <v>51</v>
      </c>
      <c r="C7234" s="7" t="n">
        <v>3</v>
      </c>
      <c r="D7234" s="7" t="n">
        <v>9</v>
      </c>
      <c r="E7234" s="7" t="s">
        <v>295</v>
      </c>
      <c r="F7234" s="7" t="s">
        <v>79</v>
      </c>
      <c r="G7234" s="7" t="s">
        <v>78</v>
      </c>
      <c r="H7234" s="7" t="s">
        <v>79</v>
      </c>
    </row>
    <row r="7235" spans="1:13">
      <c r="A7235" t="s">
        <v>4</v>
      </c>
      <c r="B7235" s="4" t="s">
        <v>5</v>
      </c>
      <c r="C7235" s="4" t="s">
        <v>11</v>
      </c>
      <c r="D7235" s="4" t="s">
        <v>13</v>
      </c>
      <c r="E7235" s="4" t="s">
        <v>13</v>
      </c>
      <c r="F7235" s="4" t="s">
        <v>13</v>
      </c>
      <c r="G7235" s="4" t="s">
        <v>11</v>
      </c>
      <c r="H7235" s="4" t="s">
        <v>11</v>
      </c>
    </row>
    <row r="7236" spans="1:13">
      <c r="A7236" t="n">
        <v>66302</v>
      </c>
      <c r="B7236" s="37" t="n">
        <v>60</v>
      </c>
      <c r="C7236" s="7" t="n">
        <v>9</v>
      </c>
      <c r="D7236" s="7" t="n">
        <v>-45</v>
      </c>
      <c r="E7236" s="7" t="n">
        <v>0</v>
      </c>
      <c r="F7236" s="7" t="n">
        <v>0</v>
      </c>
      <c r="G7236" s="7" t="n">
        <v>1000</v>
      </c>
      <c r="H7236" s="7" t="n">
        <v>0</v>
      </c>
    </row>
    <row r="7237" spans="1:13">
      <c r="A7237" t="s">
        <v>4</v>
      </c>
      <c r="B7237" s="4" t="s">
        <v>5</v>
      </c>
      <c r="C7237" s="4" t="s">
        <v>11</v>
      </c>
    </row>
    <row r="7238" spans="1:13">
      <c r="A7238" t="n">
        <v>66321</v>
      </c>
      <c r="B7238" s="29" t="n">
        <v>16</v>
      </c>
      <c r="C7238" s="7" t="n">
        <v>1000</v>
      </c>
    </row>
    <row r="7239" spans="1:13">
      <c r="A7239" t="s">
        <v>4</v>
      </c>
      <c r="B7239" s="4" t="s">
        <v>5</v>
      </c>
      <c r="C7239" s="4" t="s">
        <v>7</v>
      </c>
      <c r="D7239" s="4" t="s">
        <v>11</v>
      </c>
      <c r="E7239" s="4" t="s">
        <v>8</v>
      </c>
      <c r="F7239" s="4" t="s">
        <v>8</v>
      </c>
      <c r="G7239" s="4" t="s">
        <v>8</v>
      </c>
      <c r="H7239" s="4" t="s">
        <v>8</v>
      </c>
    </row>
    <row r="7240" spans="1:13">
      <c r="A7240" t="n">
        <v>66324</v>
      </c>
      <c r="B7240" s="38" t="n">
        <v>51</v>
      </c>
      <c r="C7240" s="7" t="n">
        <v>3</v>
      </c>
      <c r="D7240" s="7" t="n">
        <v>9</v>
      </c>
      <c r="E7240" s="7" t="s">
        <v>296</v>
      </c>
      <c r="F7240" s="7" t="s">
        <v>79</v>
      </c>
      <c r="G7240" s="7" t="s">
        <v>78</v>
      </c>
      <c r="H7240" s="7" t="s">
        <v>79</v>
      </c>
    </row>
    <row r="7241" spans="1:13">
      <c r="A7241" t="s">
        <v>4</v>
      </c>
      <c r="B7241" s="4" t="s">
        <v>5</v>
      </c>
      <c r="C7241" s="4" t="s">
        <v>11</v>
      </c>
      <c r="D7241" s="4" t="s">
        <v>13</v>
      </c>
      <c r="E7241" s="4" t="s">
        <v>13</v>
      </c>
      <c r="F7241" s="4" t="s">
        <v>13</v>
      </c>
      <c r="G7241" s="4" t="s">
        <v>11</v>
      </c>
      <c r="H7241" s="4" t="s">
        <v>11</v>
      </c>
    </row>
    <row r="7242" spans="1:13">
      <c r="A7242" t="n">
        <v>66338</v>
      </c>
      <c r="B7242" s="37" t="n">
        <v>60</v>
      </c>
      <c r="C7242" s="7" t="n">
        <v>9</v>
      </c>
      <c r="D7242" s="7" t="n">
        <v>45</v>
      </c>
      <c r="E7242" s="7" t="n">
        <v>0</v>
      </c>
      <c r="F7242" s="7" t="n">
        <v>0</v>
      </c>
      <c r="G7242" s="7" t="n">
        <v>1000</v>
      </c>
      <c r="H7242" s="7" t="n">
        <v>0</v>
      </c>
    </row>
    <row r="7243" spans="1:13">
      <c r="A7243" t="s">
        <v>4</v>
      </c>
      <c r="B7243" s="4" t="s">
        <v>5</v>
      </c>
      <c r="C7243" s="4" t="s">
        <v>11</v>
      </c>
    </row>
    <row r="7244" spans="1:13">
      <c r="A7244" t="n">
        <v>66357</v>
      </c>
      <c r="B7244" s="29" t="n">
        <v>16</v>
      </c>
      <c r="C7244" s="7" t="n">
        <v>1200</v>
      </c>
    </row>
    <row r="7245" spans="1:13">
      <c r="A7245" t="s">
        <v>4</v>
      </c>
      <c r="B7245" s="4" t="s">
        <v>5</v>
      </c>
      <c r="C7245" s="4" t="s">
        <v>7</v>
      </c>
      <c r="D7245" s="4" t="s">
        <v>11</v>
      </c>
      <c r="E7245" s="4" t="s">
        <v>8</v>
      </c>
      <c r="F7245" s="4" t="s">
        <v>8</v>
      </c>
      <c r="G7245" s="4" t="s">
        <v>8</v>
      </c>
      <c r="H7245" s="4" t="s">
        <v>8</v>
      </c>
    </row>
    <row r="7246" spans="1:13">
      <c r="A7246" t="n">
        <v>66360</v>
      </c>
      <c r="B7246" s="38" t="n">
        <v>51</v>
      </c>
      <c r="C7246" s="7" t="n">
        <v>3</v>
      </c>
      <c r="D7246" s="7" t="n">
        <v>9</v>
      </c>
      <c r="E7246" s="7" t="s">
        <v>86</v>
      </c>
      <c r="F7246" s="7" t="s">
        <v>79</v>
      </c>
      <c r="G7246" s="7" t="s">
        <v>78</v>
      </c>
      <c r="H7246" s="7" t="s">
        <v>79</v>
      </c>
    </row>
    <row r="7247" spans="1:13">
      <c r="A7247" t="s">
        <v>4</v>
      </c>
      <c r="B7247" s="4" t="s">
        <v>5</v>
      </c>
      <c r="C7247" s="4" t="s">
        <v>11</v>
      </c>
      <c r="D7247" s="4" t="s">
        <v>13</v>
      </c>
      <c r="E7247" s="4" t="s">
        <v>13</v>
      </c>
      <c r="F7247" s="4" t="s">
        <v>13</v>
      </c>
      <c r="G7247" s="4" t="s">
        <v>11</v>
      </c>
      <c r="H7247" s="4" t="s">
        <v>11</v>
      </c>
    </row>
    <row r="7248" spans="1:13">
      <c r="A7248" t="n">
        <v>66373</v>
      </c>
      <c r="B7248" s="37" t="n">
        <v>60</v>
      </c>
      <c r="C7248" s="7" t="n">
        <v>9</v>
      </c>
      <c r="D7248" s="7" t="n">
        <v>0</v>
      </c>
      <c r="E7248" s="7" t="n">
        <v>0</v>
      </c>
      <c r="F7248" s="7" t="n">
        <v>0</v>
      </c>
      <c r="G7248" s="7" t="n">
        <v>1000</v>
      </c>
      <c r="H7248" s="7" t="n">
        <v>0</v>
      </c>
    </row>
    <row r="7249" spans="1:8">
      <c r="A7249" t="s">
        <v>4</v>
      </c>
      <c r="B7249" s="4" t="s">
        <v>5</v>
      </c>
      <c r="C7249" s="4" t="s">
        <v>11</v>
      </c>
    </row>
    <row r="7250" spans="1:8">
      <c r="A7250" t="n">
        <v>66392</v>
      </c>
      <c r="B7250" s="29" t="n">
        <v>16</v>
      </c>
      <c r="C7250" s="7" t="n">
        <v>1000</v>
      </c>
    </row>
    <row r="7251" spans="1:8">
      <c r="A7251" t="s">
        <v>4</v>
      </c>
      <c r="B7251" s="4" t="s">
        <v>5</v>
      </c>
      <c r="C7251" s="4" t="s">
        <v>7</v>
      </c>
      <c r="D7251" s="4" t="s">
        <v>11</v>
      </c>
      <c r="E7251" s="4" t="s">
        <v>8</v>
      </c>
    </row>
    <row r="7252" spans="1:8">
      <c r="A7252" t="n">
        <v>66395</v>
      </c>
      <c r="B7252" s="38" t="n">
        <v>51</v>
      </c>
      <c r="C7252" s="7" t="n">
        <v>4</v>
      </c>
      <c r="D7252" s="7" t="n">
        <v>9</v>
      </c>
      <c r="E7252" s="7" t="s">
        <v>242</v>
      </c>
    </row>
    <row r="7253" spans="1:8">
      <c r="A7253" t="s">
        <v>4</v>
      </c>
      <c r="B7253" s="4" t="s">
        <v>5</v>
      </c>
      <c r="C7253" s="4" t="s">
        <v>11</v>
      </c>
    </row>
    <row r="7254" spans="1:8">
      <c r="A7254" t="n">
        <v>66409</v>
      </c>
      <c r="B7254" s="29" t="n">
        <v>16</v>
      </c>
      <c r="C7254" s="7" t="n">
        <v>0</v>
      </c>
    </row>
    <row r="7255" spans="1:8">
      <c r="A7255" t="s">
        <v>4</v>
      </c>
      <c r="B7255" s="4" t="s">
        <v>5</v>
      </c>
      <c r="C7255" s="4" t="s">
        <v>11</v>
      </c>
      <c r="D7255" s="4" t="s">
        <v>7</v>
      </c>
      <c r="E7255" s="4" t="s">
        <v>15</v>
      </c>
      <c r="F7255" s="4" t="s">
        <v>55</v>
      </c>
      <c r="G7255" s="4" t="s">
        <v>7</v>
      </c>
      <c r="H7255" s="4" t="s">
        <v>7</v>
      </c>
      <c r="I7255" s="4" t="s">
        <v>7</v>
      </c>
      <c r="J7255" s="4" t="s">
        <v>15</v>
      </c>
      <c r="K7255" s="4" t="s">
        <v>55</v>
      </c>
      <c r="L7255" s="4" t="s">
        <v>7</v>
      </c>
      <c r="M7255" s="4" t="s">
        <v>7</v>
      </c>
    </row>
    <row r="7256" spans="1:8">
      <c r="A7256" t="n">
        <v>66412</v>
      </c>
      <c r="B7256" s="55" t="n">
        <v>26</v>
      </c>
      <c r="C7256" s="7" t="n">
        <v>9</v>
      </c>
      <c r="D7256" s="7" t="n">
        <v>17</v>
      </c>
      <c r="E7256" s="7" t="n">
        <v>63942</v>
      </c>
      <c r="F7256" s="7" t="s">
        <v>635</v>
      </c>
      <c r="G7256" s="7" t="n">
        <v>2</v>
      </c>
      <c r="H7256" s="7" t="n">
        <v>3</v>
      </c>
      <c r="I7256" s="7" t="n">
        <v>17</v>
      </c>
      <c r="J7256" s="7" t="n">
        <v>63943</v>
      </c>
      <c r="K7256" s="7" t="s">
        <v>636</v>
      </c>
      <c r="L7256" s="7" t="n">
        <v>2</v>
      </c>
      <c r="M7256" s="7" t="n">
        <v>0</v>
      </c>
    </row>
    <row r="7257" spans="1:8">
      <c r="A7257" t="s">
        <v>4</v>
      </c>
      <c r="B7257" s="4" t="s">
        <v>5</v>
      </c>
    </row>
    <row r="7258" spans="1:8">
      <c r="A7258" t="n">
        <v>66517</v>
      </c>
      <c r="B7258" s="27" t="n">
        <v>28</v>
      </c>
    </row>
    <row r="7259" spans="1:8">
      <c r="A7259" t="s">
        <v>4</v>
      </c>
      <c r="B7259" s="4" t="s">
        <v>5</v>
      </c>
      <c r="C7259" s="4" t="s">
        <v>7</v>
      </c>
      <c r="D7259" s="4" t="s">
        <v>11</v>
      </c>
      <c r="E7259" s="4" t="s">
        <v>8</v>
      </c>
    </row>
    <row r="7260" spans="1:8">
      <c r="A7260" t="n">
        <v>66518</v>
      </c>
      <c r="B7260" s="38" t="n">
        <v>51</v>
      </c>
      <c r="C7260" s="7" t="n">
        <v>4</v>
      </c>
      <c r="D7260" s="7" t="n">
        <v>0</v>
      </c>
      <c r="E7260" s="7" t="s">
        <v>304</v>
      </c>
    </row>
    <row r="7261" spans="1:8">
      <c r="A7261" t="s">
        <v>4</v>
      </c>
      <c r="B7261" s="4" t="s">
        <v>5</v>
      </c>
      <c r="C7261" s="4" t="s">
        <v>11</v>
      </c>
    </row>
    <row r="7262" spans="1:8">
      <c r="A7262" t="n">
        <v>66531</v>
      </c>
      <c r="B7262" s="29" t="n">
        <v>16</v>
      </c>
      <c r="C7262" s="7" t="n">
        <v>0</v>
      </c>
    </row>
    <row r="7263" spans="1:8">
      <c r="A7263" t="s">
        <v>4</v>
      </c>
      <c r="B7263" s="4" t="s">
        <v>5</v>
      </c>
      <c r="C7263" s="4" t="s">
        <v>11</v>
      </c>
      <c r="D7263" s="4" t="s">
        <v>7</v>
      </c>
      <c r="E7263" s="4" t="s">
        <v>15</v>
      </c>
      <c r="F7263" s="4" t="s">
        <v>55</v>
      </c>
      <c r="G7263" s="4" t="s">
        <v>7</v>
      </c>
      <c r="H7263" s="4" t="s">
        <v>7</v>
      </c>
      <c r="I7263" s="4" t="s">
        <v>7</v>
      </c>
      <c r="J7263" s="4" t="s">
        <v>15</v>
      </c>
      <c r="K7263" s="4" t="s">
        <v>55</v>
      </c>
      <c r="L7263" s="4" t="s">
        <v>7</v>
      </c>
      <c r="M7263" s="4" t="s">
        <v>7</v>
      </c>
      <c r="N7263" s="4" t="s">
        <v>7</v>
      </c>
      <c r="O7263" s="4" t="s">
        <v>15</v>
      </c>
      <c r="P7263" s="4" t="s">
        <v>55</v>
      </c>
      <c r="Q7263" s="4" t="s">
        <v>7</v>
      </c>
      <c r="R7263" s="4" t="s">
        <v>7</v>
      </c>
    </row>
    <row r="7264" spans="1:8">
      <c r="A7264" t="n">
        <v>66534</v>
      </c>
      <c r="B7264" s="55" t="n">
        <v>26</v>
      </c>
      <c r="C7264" s="7" t="n">
        <v>0</v>
      </c>
      <c r="D7264" s="7" t="n">
        <v>17</v>
      </c>
      <c r="E7264" s="7" t="n">
        <v>63944</v>
      </c>
      <c r="F7264" s="7" t="s">
        <v>637</v>
      </c>
      <c r="G7264" s="7" t="n">
        <v>2</v>
      </c>
      <c r="H7264" s="7" t="n">
        <v>3</v>
      </c>
      <c r="I7264" s="7" t="n">
        <v>17</v>
      </c>
      <c r="J7264" s="7" t="n">
        <v>63945</v>
      </c>
      <c r="K7264" s="7" t="s">
        <v>638</v>
      </c>
      <c r="L7264" s="7" t="n">
        <v>2</v>
      </c>
      <c r="M7264" s="7" t="n">
        <v>3</v>
      </c>
      <c r="N7264" s="7" t="n">
        <v>17</v>
      </c>
      <c r="O7264" s="7" t="n">
        <v>63946</v>
      </c>
      <c r="P7264" s="7" t="s">
        <v>639</v>
      </c>
      <c r="Q7264" s="7" t="n">
        <v>2</v>
      </c>
      <c r="R7264" s="7" t="n">
        <v>0</v>
      </c>
    </row>
    <row r="7265" spans="1:18">
      <c r="A7265" t="s">
        <v>4</v>
      </c>
      <c r="B7265" s="4" t="s">
        <v>5</v>
      </c>
    </row>
    <row r="7266" spans="1:18">
      <c r="A7266" t="n">
        <v>66694</v>
      </c>
      <c r="B7266" s="27" t="n">
        <v>28</v>
      </c>
    </row>
    <row r="7267" spans="1:18">
      <c r="A7267" t="s">
        <v>4</v>
      </c>
      <c r="B7267" s="4" t="s">
        <v>5</v>
      </c>
      <c r="C7267" s="4" t="s">
        <v>7</v>
      </c>
      <c r="D7267" s="4" t="s">
        <v>11</v>
      </c>
      <c r="E7267" s="4" t="s">
        <v>8</v>
      </c>
      <c r="F7267" s="4" t="s">
        <v>8</v>
      </c>
      <c r="G7267" s="4" t="s">
        <v>8</v>
      </c>
      <c r="H7267" s="4" t="s">
        <v>8</v>
      </c>
    </row>
    <row r="7268" spans="1:18">
      <c r="A7268" t="n">
        <v>66695</v>
      </c>
      <c r="B7268" s="38" t="n">
        <v>51</v>
      </c>
      <c r="C7268" s="7" t="n">
        <v>3</v>
      </c>
      <c r="D7268" s="7" t="n">
        <v>9</v>
      </c>
      <c r="E7268" s="7" t="s">
        <v>371</v>
      </c>
      <c r="F7268" s="7" t="s">
        <v>79</v>
      </c>
      <c r="G7268" s="7" t="s">
        <v>78</v>
      </c>
      <c r="H7268" s="7" t="s">
        <v>79</v>
      </c>
    </row>
    <row r="7269" spans="1:18">
      <c r="A7269" t="s">
        <v>4</v>
      </c>
      <c r="B7269" s="4" t="s">
        <v>5</v>
      </c>
      <c r="C7269" s="4" t="s">
        <v>11</v>
      </c>
      <c r="D7269" s="4" t="s">
        <v>7</v>
      </c>
      <c r="E7269" s="4" t="s">
        <v>8</v>
      </c>
      <c r="F7269" s="4" t="s">
        <v>13</v>
      </c>
      <c r="G7269" s="4" t="s">
        <v>13</v>
      </c>
      <c r="H7269" s="4" t="s">
        <v>13</v>
      </c>
    </row>
    <row r="7270" spans="1:18">
      <c r="A7270" t="n">
        <v>66708</v>
      </c>
      <c r="B7270" s="42" t="n">
        <v>48</v>
      </c>
      <c r="C7270" s="7" t="n">
        <v>9</v>
      </c>
      <c r="D7270" s="7" t="n">
        <v>0</v>
      </c>
      <c r="E7270" s="7" t="s">
        <v>629</v>
      </c>
      <c r="F7270" s="7" t="n">
        <v>-1</v>
      </c>
      <c r="G7270" s="7" t="n">
        <v>1</v>
      </c>
      <c r="H7270" s="7" t="n">
        <v>0</v>
      </c>
    </row>
    <row r="7271" spans="1:18">
      <c r="A7271" t="s">
        <v>4</v>
      </c>
      <c r="B7271" s="4" t="s">
        <v>5</v>
      </c>
      <c r="C7271" s="4" t="s">
        <v>11</v>
      </c>
    </row>
    <row r="7272" spans="1:18">
      <c r="A7272" t="n">
        <v>66734</v>
      </c>
      <c r="B7272" s="29" t="n">
        <v>16</v>
      </c>
      <c r="C7272" s="7" t="n">
        <v>500</v>
      </c>
    </row>
    <row r="7273" spans="1:18">
      <c r="A7273" t="s">
        <v>4</v>
      </c>
      <c r="B7273" s="4" t="s">
        <v>5</v>
      </c>
      <c r="C7273" s="4" t="s">
        <v>7</v>
      </c>
      <c r="D7273" s="4" t="s">
        <v>11</v>
      </c>
      <c r="E7273" s="4" t="s">
        <v>8</v>
      </c>
    </row>
    <row r="7274" spans="1:18">
      <c r="A7274" t="n">
        <v>66737</v>
      </c>
      <c r="B7274" s="38" t="n">
        <v>51</v>
      </c>
      <c r="C7274" s="7" t="n">
        <v>4</v>
      </c>
      <c r="D7274" s="7" t="n">
        <v>9</v>
      </c>
      <c r="E7274" s="7" t="s">
        <v>640</v>
      </c>
    </row>
    <row r="7275" spans="1:18">
      <c r="A7275" t="s">
        <v>4</v>
      </c>
      <c r="B7275" s="4" t="s">
        <v>5</v>
      </c>
      <c r="C7275" s="4" t="s">
        <v>11</v>
      </c>
    </row>
    <row r="7276" spans="1:18">
      <c r="A7276" t="n">
        <v>66751</v>
      </c>
      <c r="B7276" s="29" t="n">
        <v>16</v>
      </c>
      <c r="C7276" s="7" t="n">
        <v>0</v>
      </c>
    </row>
    <row r="7277" spans="1:18">
      <c r="A7277" t="s">
        <v>4</v>
      </c>
      <c r="B7277" s="4" t="s">
        <v>5</v>
      </c>
      <c r="C7277" s="4" t="s">
        <v>11</v>
      </c>
      <c r="D7277" s="4" t="s">
        <v>7</v>
      </c>
      <c r="E7277" s="4" t="s">
        <v>15</v>
      </c>
      <c r="F7277" s="4" t="s">
        <v>55</v>
      </c>
      <c r="G7277" s="4" t="s">
        <v>7</v>
      </c>
      <c r="H7277" s="4" t="s">
        <v>7</v>
      </c>
    </row>
    <row r="7278" spans="1:18">
      <c r="A7278" t="n">
        <v>66754</v>
      </c>
      <c r="B7278" s="55" t="n">
        <v>26</v>
      </c>
      <c r="C7278" s="7" t="n">
        <v>9</v>
      </c>
      <c r="D7278" s="7" t="n">
        <v>17</v>
      </c>
      <c r="E7278" s="7" t="n">
        <v>63947</v>
      </c>
      <c r="F7278" s="7" t="s">
        <v>641</v>
      </c>
      <c r="G7278" s="7" t="n">
        <v>2</v>
      </c>
      <c r="H7278" s="7" t="n">
        <v>0</v>
      </c>
    </row>
    <row r="7279" spans="1:18">
      <c r="A7279" t="s">
        <v>4</v>
      </c>
      <c r="B7279" s="4" t="s">
        <v>5</v>
      </c>
    </row>
    <row r="7280" spans="1:18">
      <c r="A7280" t="n">
        <v>66791</v>
      </c>
      <c r="B7280" s="27" t="n">
        <v>28</v>
      </c>
    </row>
    <row r="7281" spans="1:8">
      <c r="A7281" t="s">
        <v>4</v>
      </c>
      <c r="B7281" s="4" t="s">
        <v>5</v>
      </c>
      <c r="C7281" s="4" t="s">
        <v>7</v>
      </c>
      <c r="D7281" s="4" t="s">
        <v>11</v>
      </c>
      <c r="E7281" s="4" t="s">
        <v>13</v>
      </c>
    </row>
    <row r="7282" spans="1:8">
      <c r="A7282" t="n">
        <v>66792</v>
      </c>
      <c r="B7282" s="23" t="n">
        <v>58</v>
      </c>
      <c r="C7282" s="7" t="n">
        <v>101</v>
      </c>
      <c r="D7282" s="7" t="n">
        <v>500</v>
      </c>
      <c r="E7282" s="7" t="n">
        <v>1</v>
      </c>
    </row>
    <row r="7283" spans="1:8">
      <c r="A7283" t="s">
        <v>4</v>
      </c>
      <c r="B7283" s="4" t="s">
        <v>5</v>
      </c>
      <c r="C7283" s="4" t="s">
        <v>7</v>
      </c>
      <c r="D7283" s="4" t="s">
        <v>11</v>
      </c>
    </row>
    <row r="7284" spans="1:8">
      <c r="A7284" t="n">
        <v>66800</v>
      </c>
      <c r="B7284" s="23" t="n">
        <v>58</v>
      </c>
      <c r="C7284" s="7" t="n">
        <v>254</v>
      </c>
      <c r="D7284" s="7" t="n">
        <v>0</v>
      </c>
    </row>
    <row r="7285" spans="1:8">
      <c r="A7285" t="s">
        <v>4</v>
      </c>
      <c r="B7285" s="4" t="s">
        <v>5</v>
      </c>
      <c r="C7285" s="4" t="s">
        <v>11</v>
      </c>
      <c r="D7285" s="4" t="s">
        <v>7</v>
      </c>
      <c r="E7285" s="4" t="s">
        <v>8</v>
      </c>
      <c r="F7285" s="4" t="s">
        <v>13</v>
      </c>
      <c r="G7285" s="4" t="s">
        <v>13</v>
      </c>
      <c r="H7285" s="4" t="s">
        <v>13</v>
      </c>
    </row>
    <row r="7286" spans="1:8">
      <c r="A7286" t="n">
        <v>66804</v>
      </c>
      <c r="B7286" s="42" t="n">
        <v>48</v>
      </c>
      <c r="C7286" s="7" t="n">
        <v>9</v>
      </c>
      <c r="D7286" s="7" t="n">
        <v>0</v>
      </c>
      <c r="E7286" s="7" t="s">
        <v>583</v>
      </c>
      <c r="F7286" s="7" t="n">
        <v>0</v>
      </c>
      <c r="G7286" s="7" t="n">
        <v>1</v>
      </c>
      <c r="H7286" s="7" t="n">
        <v>0</v>
      </c>
    </row>
    <row r="7287" spans="1:8">
      <c r="A7287" t="s">
        <v>4</v>
      </c>
      <c r="B7287" s="4" t="s">
        <v>5</v>
      </c>
      <c r="C7287" s="4" t="s">
        <v>7</v>
      </c>
      <c r="D7287" s="4" t="s">
        <v>11</v>
      </c>
      <c r="E7287" s="4" t="s">
        <v>8</v>
      </c>
      <c r="F7287" s="4" t="s">
        <v>8</v>
      </c>
      <c r="G7287" s="4" t="s">
        <v>8</v>
      </c>
      <c r="H7287" s="4" t="s">
        <v>8</v>
      </c>
    </row>
    <row r="7288" spans="1:8">
      <c r="A7288" t="n">
        <v>66830</v>
      </c>
      <c r="B7288" s="38" t="n">
        <v>51</v>
      </c>
      <c r="C7288" s="7" t="n">
        <v>3</v>
      </c>
      <c r="D7288" s="7" t="n">
        <v>0</v>
      </c>
      <c r="E7288" s="7" t="s">
        <v>65</v>
      </c>
      <c r="F7288" s="7" t="s">
        <v>99</v>
      </c>
      <c r="G7288" s="7" t="s">
        <v>78</v>
      </c>
      <c r="H7288" s="7" t="s">
        <v>79</v>
      </c>
    </row>
    <row r="7289" spans="1:8">
      <c r="A7289" t="s">
        <v>4</v>
      </c>
      <c r="B7289" s="4" t="s">
        <v>5</v>
      </c>
      <c r="C7289" s="4" t="s">
        <v>7</v>
      </c>
      <c r="D7289" s="4" t="s">
        <v>11</v>
      </c>
      <c r="E7289" s="4" t="s">
        <v>8</v>
      </c>
      <c r="F7289" s="4" t="s">
        <v>8</v>
      </c>
      <c r="G7289" s="4" t="s">
        <v>8</v>
      </c>
      <c r="H7289" s="4" t="s">
        <v>8</v>
      </c>
    </row>
    <row r="7290" spans="1:8">
      <c r="A7290" t="n">
        <v>66851</v>
      </c>
      <c r="B7290" s="38" t="n">
        <v>51</v>
      </c>
      <c r="C7290" s="7" t="n">
        <v>3</v>
      </c>
      <c r="D7290" s="7" t="n">
        <v>9</v>
      </c>
      <c r="E7290" s="7" t="s">
        <v>65</v>
      </c>
      <c r="F7290" s="7" t="s">
        <v>232</v>
      </c>
      <c r="G7290" s="7" t="s">
        <v>78</v>
      </c>
      <c r="H7290" s="7" t="s">
        <v>79</v>
      </c>
    </row>
    <row r="7291" spans="1:8">
      <c r="A7291" t="s">
        <v>4</v>
      </c>
      <c r="B7291" s="4" t="s">
        <v>5</v>
      </c>
      <c r="C7291" s="4" t="s">
        <v>11</v>
      </c>
      <c r="D7291" s="4" t="s">
        <v>11</v>
      </c>
      <c r="E7291" s="4" t="s">
        <v>11</v>
      </c>
    </row>
    <row r="7292" spans="1:8">
      <c r="A7292" t="n">
        <v>66872</v>
      </c>
      <c r="B7292" s="72" t="n">
        <v>61</v>
      </c>
      <c r="C7292" s="7" t="n">
        <v>0</v>
      </c>
      <c r="D7292" s="7" t="n">
        <v>65533</v>
      </c>
      <c r="E7292" s="7" t="n">
        <v>0</v>
      </c>
    </row>
    <row r="7293" spans="1:8">
      <c r="A7293" t="s">
        <v>4</v>
      </c>
      <c r="B7293" s="4" t="s">
        <v>5</v>
      </c>
      <c r="C7293" s="4" t="s">
        <v>11</v>
      </c>
      <c r="D7293" s="4" t="s">
        <v>11</v>
      </c>
      <c r="E7293" s="4" t="s">
        <v>11</v>
      </c>
    </row>
    <row r="7294" spans="1:8">
      <c r="A7294" t="n">
        <v>66879</v>
      </c>
      <c r="B7294" s="72" t="n">
        <v>61</v>
      </c>
      <c r="C7294" s="7" t="n">
        <v>9</v>
      </c>
      <c r="D7294" s="7" t="n">
        <v>65533</v>
      </c>
      <c r="E7294" s="7" t="n">
        <v>0</v>
      </c>
    </row>
    <row r="7295" spans="1:8">
      <c r="A7295" t="s">
        <v>4</v>
      </c>
      <c r="B7295" s="4" t="s">
        <v>5</v>
      </c>
      <c r="C7295" s="4" t="s">
        <v>7</v>
      </c>
    </row>
    <row r="7296" spans="1:8">
      <c r="A7296" t="n">
        <v>66886</v>
      </c>
      <c r="B7296" s="49" t="n">
        <v>116</v>
      </c>
      <c r="C7296" s="7" t="n">
        <v>0</v>
      </c>
    </row>
    <row r="7297" spans="1:8">
      <c r="A7297" t="s">
        <v>4</v>
      </c>
      <c r="B7297" s="4" t="s">
        <v>5</v>
      </c>
      <c r="C7297" s="4" t="s">
        <v>7</v>
      </c>
      <c r="D7297" s="4" t="s">
        <v>11</v>
      </c>
    </row>
    <row r="7298" spans="1:8">
      <c r="A7298" t="n">
        <v>66888</v>
      </c>
      <c r="B7298" s="49" t="n">
        <v>116</v>
      </c>
      <c r="C7298" s="7" t="n">
        <v>2</v>
      </c>
      <c r="D7298" s="7" t="n">
        <v>1</v>
      </c>
    </row>
    <row r="7299" spans="1:8">
      <c r="A7299" t="s">
        <v>4</v>
      </c>
      <c r="B7299" s="4" t="s">
        <v>5</v>
      </c>
      <c r="C7299" s="4" t="s">
        <v>7</v>
      </c>
      <c r="D7299" s="4" t="s">
        <v>15</v>
      </c>
    </row>
    <row r="7300" spans="1:8">
      <c r="A7300" t="n">
        <v>66892</v>
      </c>
      <c r="B7300" s="49" t="n">
        <v>116</v>
      </c>
      <c r="C7300" s="7" t="n">
        <v>5</v>
      </c>
      <c r="D7300" s="7" t="n">
        <v>1106247680</v>
      </c>
    </row>
    <row r="7301" spans="1:8">
      <c r="A7301" t="s">
        <v>4</v>
      </c>
      <c r="B7301" s="4" t="s">
        <v>5</v>
      </c>
      <c r="C7301" s="4" t="s">
        <v>7</v>
      </c>
      <c r="D7301" s="4" t="s">
        <v>11</v>
      </c>
    </row>
    <row r="7302" spans="1:8">
      <c r="A7302" t="n">
        <v>66898</v>
      </c>
      <c r="B7302" s="49" t="n">
        <v>116</v>
      </c>
      <c r="C7302" s="7" t="n">
        <v>6</v>
      </c>
      <c r="D7302" s="7" t="n">
        <v>1</v>
      </c>
    </row>
    <row r="7303" spans="1:8">
      <c r="A7303" t="s">
        <v>4</v>
      </c>
      <c r="B7303" s="4" t="s">
        <v>5</v>
      </c>
      <c r="C7303" s="4" t="s">
        <v>7</v>
      </c>
      <c r="D7303" s="4" t="s">
        <v>7</v>
      </c>
      <c r="E7303" s="4" t="s">
        <v>13</v>
      </c>
      <c r="F7303" s="4" t="s">
        <v>13</v>
      </c>
      <c r="G7303" s="4" t="s">
        <v>13</v>
      </c>
      <c r="H7303" s="4" t="s">
        <v>11</v>
      </c>
    </row>
    <row r="7304" spans="1:8">
      <c r="A7304" t="n">
        <v>66902</v>
      </c>
      <c r="B7304" s="51" t="n">
        <v>45</v>
      </c>
      <c r="C7304" s="7" t="n">
        <v>2</v>
      </c>
      <c r="D7304" s="7" t="n">
        <v>3</v>
      </c>
      <c r="E7304" s="7" t="n">
        <v>4.53000020980835</v>
      </c>
      <c r="F7304" s="7" t="n">
        <v>1.30999994277954</v>
      </c>
      <c r="G7304" s="7" t="n">
        <v>46.2700004577637</v>
      </c>
      <c r="H7304" s="7" t="n">
        <v>0</v>
      </c>
    </row>
    <row r="7305" spans="1:8">
      <c r="A7305" t="s">
        <v>4</v>
      </c>
      <c r="B7305" s="4" t="s">
        <v>5</v>
      </c>
      <c r="C7305" s="4" t="s">
        <v>7</v>
      </c>
      <c r="D7305" s="4" t="s">
        <v>7</v>
      </c>
      <c r="E7305" s="4" t="s">
        <v>13</v>
      </c>
      <c r="F7305" s="4" t="s">
        <v>13</v>
      </c>
      <c r="G7305" s="4" t="s">
        <v>13</v>
      </c>
      <c r="H7305" s="4" t="s">
        <v>11</v>
      </c>
      <c r="I7305" s="4" t="s">
        <v>7</v>
      </c>
    </row>
    <row r="7306" spans="1:8">
      <c r="A7306" t="n">
        <v>66919</v>
      </c>
      <c r="B7306" s="51" t="n">
        <v>45</v>
      </c>
      <c r="C7306" s="7" t="n">
        <v>4</v>
      </c>
      <c r="D7306" s="7" t="n">
        <v>3</v>
      </c>
      <c r="E7306" s="7" t="n">
        <v>12.8699998855591</v>
      </c>
      <c r="F7306" s="7" t="n">
        <v>80.0199966430664</v>
      </c>
      <c r="G7306" s="7" t="n">
        <v>0</v>
      </c>
      <c r="H7306" s="7" t="n">
        <v>0</v>
      </c>
      <c r="I7306" s="7" t="n">
        <v>0</v>
      </c>
    </row>
    <row r="7307" spans="1:8">
      <c r="A7307" t="s">
        <v>4</v>
      </c>
      <c r="B7307" s="4" t="s">
        <v>5</v>
      </c>
      <c r="C7307" s="4" t="s">
        <v>7</v>
      </c>
      <c r="D7307" s="4" t="s">
        <v>7</v>
      </c>
      <c r="E7307" s="4" t="s">
        <v>13</v>
      </c>
      <c r="F7307" s="4" t="s">
        <v>11</v>
      </c>
    </row>
    <row r="7308" spans="1:8">
      <c r="A7308" t="n">
        <v>66937</v>
      </c>
      <c r="B7308" s="51" t="n">
        <v>45</v>
      </c>
      <c r="C7308" s="7" t="n">
        <v>5</v>
      </c>
      <c r="D7308" s="7" t="n">
        <v>3</v>
      </c>
      <c r="E7308" s="7" t="n">
        <v>3</v>
      </c>
      <c r="F7308" s="7" t="n">
        <v>0</v>
      </c>
    </row>
    <row r="7309" spans="1:8">
      <c r="A7309" t="s">
        <v>4</v>
      </c>
      <c r="B7309" s="4" t="s">
        <v>5</v>
      </c>
      <c r="C7309" s="4" t="s">
        <v>7</v>
      </c>
      <c r="D7309" s="4" t="s">
        <v>7</v>
      </c>
      <c r="E7309" s="4" t="s">
        <v>13</v>
      </c>
      <c r="F7309" s="4" t="s">
        <v>11</v>
      </c>
    </row>
    <row r="7310" spans="1:8">
      <c r="A7310" t="n">
        <v>66946</v>
      </c>
      <c r="B7310" s="51" t="n">
        <v>45</v>
      </c>
      <c r="C7310" s="7" t="n">
        <v>11</v>
      </c>
      <c r="D7310" s="7" t="n">
        <v>3</v>
      </c>
      <c r="E7310" s="7" t="n">
        <v>34</v>
      </c>
      <c r="F7310" s="7" t="n">
        <v>0</v>
      </c>
    </row>
    <row r="7311" spans="1:8">
      <c r="A7311" t="s">
        <v>4</v>
      </c>
      <c r="B7311" s="4" t="s">
        <v>5</v>
      </c>
      <c r="C7311" s="4" t="s">
        <v>7</v>
      </c>
      <c r="D7311" s="4" t="s">
        <v>7</v>
      </c>
      <c r="E7311" s="4" t="s">
        <v>13</v>
      </c>
      <c r="F7311" s="4" t="s">
        <v>13</v>
      </c>
      <c r="G7311" s="4" t="s">
        <v>13</v>
      </c>
      <c r="H7311" s="4" t="s">
        <v>11</v>
      </c>
    </row>
    <row r="7312" spans="1:8">
      <c r="A7312" t="n">
        <v>66955</v>
      </c>
      <c r="B7312" s="51" t="n">
        <v>45</v>
      </c>
      <c r="C7312" s="7" t="n">
        <v>2</v>
      </c>
      <c r="D7312" s="7" t="n">
        <v>3</v>
      </c>
      <c r="E7312" s="7" t="n">
        <v>4.53000020980835</v>
      </c>
      <c r="F7312" s="7" t="n">
        <v>2.30999994277954</v>
      </c>
      <c r="G7312" s="7" t="n">
        <v>46.2700004577637</v>
      </c>
      <c r="H7312" s="7" t="n">
        <v>5000</v>
      </c>
    </row>
    <row r="7313" spans="1:9">
      <c r="A7313" t="s">
        <v>4</v>
      </c>
      <c r="B7313" s="4" t="s">
        <v>5</v>
      </c>
      <c r="C7313" s="4" t="s">
        <v>7</v>
      </c>
      <c r="D7313" s="4" t="s">
        <v>11</v>
      </c>
    </row>
    <row r="7314" spans="1:9">
      <c r="A7314" t="n">
        <v>66972</v>
      </c>
      <c r="B7314" s="23" t="n">
        <v>58</v>
      </c>
      <c r="C7314" s="7" t="n">
        <v>255</v>
      </c>
      <c r="D7314" s="7" t="n">
        <v>0</v>
      </c>
    </row>
    <row r="7315" spans="1:9">
      <c r="A7315" t="s">
        <v>4</v>
      </c>
      <c r="B7315" s="4" t="s">
        <v>5</v>
      </c>
      <c r="C7315" s="4" t="s">
        <v>11</v>
      </c>
      <c r="D7315" s="4" t="s">
        <v>13</v>
      </c>
      <c r="E7315" s="4" t="s">
        <v>13</v>
      </c>
      <c r="F7315" s="4" t="s">
        <v>7</v>
      </c>
    </row>
    <row r="7316" spans="1:9">
      <c r="A7316" t="n">
        <v>66976</v>
      </c>
      <c r="B7316" s="65" t="n">
        <v>52</v>
      </c>
      <c r="C7316" s="7" t="n">
        <v>0</v>
      </c>
      <c r="D7316" s="7" t="n">
        <v>255</v>
      </c>
      <c r="E7316" s="7" t="n">
        <v>5</v>
      </c>
      <c r="F7316" s="7" t="n">
        <v>0</v>
      </c>
    </row>
    <row r="7317" spans="1:9">
      <c r="A7317" t="s">
        <v>4</v>
      </c>
      <c r="B7317" s="4" t="s">
        <v>5</v>
      </c>
      <c r="C7317" s="4" t="s">
        <v>11</v>
      </c>
    </row>
    <row r="7318" spans="1:9">
      <c r="A7318" t="n">
        <v>66988</v>
      </c>
      <c r="B7318" s="29" t="n">
        <v>16</v>
      </c>
      <c r="C7318" s="7" t="n">
        <v>100</v>
      </c>
    </row>
    <row r="7319" spans="1:9">
      <c r="A7319" t="s">
        <v>4</v>
      </c>
      <c r="B7319" s="4" t="s">
        <v>5</v>
      </c>
      <c r="C7319" s="4" t="s">
        <v>11</v>
      </c>
      <c r="D7319" s="4" t="s">
        <v>13</v>
      </c>
      <c r="E7319" s="4" t="s">
        <v>13</v>
      </c>
      <c r="F7319" s="4" t="s">
        <v>7</v>
      </c>
    </row>
    <row r="7320" spans="1:9">
      <c r="A7320" t="n">
        <v>66991</v>
      </c>
      <c r="B7320" s="65" t="n">
        <v>52</v>
      </c>
      <c r="C7320" s="7" t="n">
        <v>9</v>
      </c>
      <c r="D7320" s="7" t="n">
        <v>255</v>
      </c>
      <c r="E7320" s="7" t="n">
        <v>5</v>
      </c>
      <c r="F7320" s="7" t="n">
        <v>0</v>
      </c>
    </row>
    <row r="7321" spans="1:9">
      <c r="A7321" t="s">
        <v>4</v>
      </c>
      <c r="B7321" s="4" t="s">
        <v>5</v>
      </c>
      <c r="C7321" s="4" t="s">
        <v>11</v>
      </c>
    </row>
    <row r="7322" spans="1:9">
      <c r="A7322" t="n">
        <v>67003</v>
      </c>
      <c r="B7322" s="66" t="n">
        <v>54</v>
      </c>
      <c r="C7322" s="7" t="n">
        <v>0</v>
      </c>
    </row>
    <row r="7323" spans="1:9">
      <c r="A7323" t="s">
        <v>4</v>
      </c>
      <c r="B7323" s="4" t="s">
        <v>5</v>
      </c>
      <c r="C7323" s="4" t="s">
        <v>11</v>
      </c>
      <c r="D7323" s="4" t="s">
        <v>11</v>
      </c>
      <c r="E7323" s="4" t="s">
        <v>13</v>
      </c>
      <c r="F7323" s="4" t="s">
        <v>13</v>
      </c>
      <c r="G7323" s="4" t="s">
        <v>13</v>
      </c>
      <c r="H7323" s="4" t="s">
        <v>13</v>
      </c>
      <c r="I7323" s="4" t="s">
        <v>7</v>
      </c>
      <c r="J7323" s="4" t="s">
        <v>11</v>
      </c>
    </row>
    <row r="7324" spans="1:9">
      <c r="A7324" t="n">
        <v>67006</v>
      </c>
      <c r="B7324" s="53" t="n">
        <v>55</v>
      </c>
      <c r="C7324" s="7" t="n">
        <v>0</v>
      </c>
      <c r="D7324" s="7" t="n">
        <v>65024</v>
      </c>
      <c r="E7324" s="7" t="n">
        <v>0</v>
      </c>
      <c r="F7324" s="7" t="n">
        <v>0</v>
      </c>
      <c r="G7324" s="7" t="n">
        <v>6</v>
      </c>
      <c r="H7324" s="7" t="n">
        <v>1.20000004768372</v>
      </c>
      <c r="I7324" s="7" t="n">
        <v>1</v>
      </c>
      <c r="J7324" s="7" t="n">
        <v>0</v>
      </c>
    </row>
    <row r="7325" spans="1:9">
      <c r="A7325" t="s">
        <v>4</v>
      </c>
      <c r="B7325" s="4" t="s">
        <v>5</v>
      </c>
      <c r="C7325" s="4" t="s">
        <v>11</v>
      </c>
    </row>
    <row r="7326" spans="1:9">
      <c r="A7326" t="n">
        <v>67030</v>
      </c>
      <c r="B7326" s="66" t="n">
        <v>54</v>
      </c>
      <c r="C7326" s="7" t="n">
        <v>9</v>
      </c>
    </row>
    <row r="7327" spans="1:9">
      <c r="A7327" t="s">
        <v>4</v>
      </c>
      <c r="B7327" s="4" t="s">
        <v>5</v>
      </c>
      <c r="C7327" s="4" t="s">
        <v>11</v>
      </c>
    </row>
    <row r="7328" spans="1:9">
      <c r="A7328" t="n">
        <v>67033</v>
      </c>
      <c r="B7328" s="29" t="n">
        <v>16</v>
      </c>
      <c r="C7328" s="7" t="n">
        <v>200</v>
      </c>
    </row>
    <row r="7329" spans="1:10">
      <c r="A7329" t="s">
        <v>4</v>
      </c>
      <c r="B7329" s="4" t="s">
        <v>5</v>
      </c>
      <c r="C7329" s="4" t="s">
        <v>11</v>
      </c>
      <c r="D7329" s="4" t="s">
        <v>11</v>
      </c>
      <c r="E7329" s="4" t="s">
        <v>13</v>
      </c>
      <c r="F7329" s="4" t="s">
        <v>13</v>
      </c>
      <c r="G7329" s="4" t="s">
        <v>13</v>
      </c>
      <c r="H7329" s="4" t="s">
        <v>13</v>
      </c>
      <c r="I7329" s="4" t="s">
        <v>7</v>
      </c>
      <c r="J7329" s="4" t="s">
        <v>11</v>
      </c>
    </row>
    <row r="7330" spans="1:10">
      <c r="A7330" t="n">
        <v>67036</v>
      </c>
      <c r="B7330" s="53" t="n">
        <v>55</v>
      </c>
      <c r="C7330" s="7" t="n">
        <v>9</v>
      </c>
      <c r="D7330" s="7" t="n">
        <v>65024</v>
      </c>
      <c r="E7330" s="7" t="n">
        <v>0</v>
      </c>
      <c r="F7330" s="7" t="n">
        <v>0</v>
      </c>
      <c r="G7330" s="7" t="n">
        <v>6</v>
      </c>
      <c r="H7330" s="7" t="n">
        <v>1.20000004768372</v>
      </c>
      <c r="I7330" s="7" t="n">
        <v>1</v>
      </c>
      <c r="J7330" s="7" t="n">
        <v>0</v>
      </c>
    </row>
    <row r="7331" spans="1:10">
      <c r="A7331" t="s">
        <v>4</v>
      </c>
      <c r="B7331" s="4" t="s">
        <v>5</v>
      </c>
      <c r="C7331" s="4" t="s">
        <v>11</v>
      </c>
    </row>
    <row r="7332" spans="1:10">
      <c r="A7332" t="n">
        <v>67060</v>
      </c>
      <c r="B7332" s="29" t="n">
        <v>16</v>
      </c>
      <c r="C7332" s="7" t="n">
        <v>2000</v>
      </c>
    </row>
    <row r="7333" spans="1:10">
      <c r="A7333" t="s">
        <v>4</v>
      </c>
      <c r="B7333" s="4" t="s">
        <v>5</v>
      </c>
      <c r="C7333" s="4" t="s">
        <v>7</v>
      </c>
      <c r="D7333" s="4" t="s">
        <v>11</v>
      </c>
      <c r="E7333" s="4" t="s">
        <v>13</v>
      </c>
    </row>
    <row r="7334" spans="1:10">
      <c r="A7334" t="n">
        <v>67063</v>
      </c>
      <c r="B7334" s="23" t="n">
        <v>58</v>
      </c>
      <c r="C7334" s="7" t="n">
        <v>0</v>
      </c>
      <c r="D7334" s="7" t="n">
        <v>1000</v>
      </c>
      <c r="E7334" s="7" t="n">
        <v>1</v>
      </c>
    </row>
    <row r="7335" spans="1:10">
      <c r="A7335" t="s">
        <v>4</v>
      </c>
      <c r="B7335" s="4" t="s">
        <v>5</v>
      </c>
      <c r="C7335" s="4" t="s">
        <v>7</v>
      </c>
      <c r="D7335" s="4" t="s">
        <v>11</v>
      </c>
    </row>
    <row r="7336" spans="1:10">
      <c r="A7336" t="n">
        <v>67071</v>
      </c>
      <c r="B7336" s="23" t="n">
        <v>58</v>
      </c>
      <c r="C7336" s="7" t="n">
        <v>255</v>
      </c>
      <c r="D7336" s="7" t="n">
        <v>0</v>
      </c>
    </row>
    <row r="7337" spans="1:10">
      <c r="A7337" t="s">
        <v>4</v>
      </c>
      <c r="B7337" s="4" t="s">
        <v>5</v>
      </c>
      <c r="C7337" s="4" t="s">
        <v>11</v>
      </c>
      <c r="D7337" s="4" t="s">
        <v>7</v>
      </c>
    </row>
    <row r="7338" spans="1:10">
      <c r="A7338" t="n">
        <v>67075</v>
      </c>
      <c r="B7338" s="54" t="n">
        <v>56</v>
      </c>
      <c r="C7338" s="7" t="n">
        <v>0</v>
      </c>
      <c r="D7338" s="7" t="n">
        <v>1</v>
      </c>
    </row>
    <row r="7339" spans="1:10">
      <c r="A7339" t="s">
        <v>4</v>
      </c>
      <c r="B7339" s="4" t="s">
        <v>5</v>
      </c>
      <c r="C7339" s="4" t="s">
        <v>11</v>
      </c>
      <c r="D7339" s="4" t="s">
        <v>7</v>
      </c>
    </row>
    <row r="7340" spans="1:10">
      <c r="A7340" t="n">
        <v>67079</v>
      </c>
      <c r="B7340" s="54" t="n">
        <v>56</v>
      </c>
      <c r="C7340" s="7" t="n">
        <v>9</v>
      </c>
      <c r="D7340" s="7" t="n">
        <v>1</v>
      </c>
    </row>
    <row r="7341" spans="1:10">
      <c r="A7341" t="s">
        <v>4</v>
      </c>
      <c r="B7341" s="4" t="s">
        <v>5</v>
      </c>
      <c r="C7341" s="4" t="s">
        <v>11</v>
      </c>
      <c r="D7341" s="4" t="s">
        <v>13</v>
      </c>
      <c r="E7341" s="4" t="s">
        <v>13</v>
      </c>
      <c r="F7341" s="4" t="s">
        <v>13</v>
      </c>
      <c r="G7341" s="4" t="s">
        <v>13</v>
      </c>
    </row>
    <row r="7342" spans="1:10">
      <c r="A7342" t="n">
        <v>67083</v>
      </c>
      <c r="B7342" s="36" t="n">
        <v>46</v>
      </c>
      <c r="C7342" s="7" t="n">
        <v>0</v>
      </c>
      <c r="D7342" s="7" t="n">
        <v>-11.3500003814697</v>
      </c>
      <c r="E7342" s="7" t="n">
        <v>10.0100002288818</v>
      </c>
      <c r="F7342" s="7" t="n">
        <v>32.2599983215332</v>
      </c>
      <c r="G7342" s="7" t="n">
        <v>278.399993896484</v>
      </c>
    </row>
    <row r="7343" spans="1:10">
      <c r="A7343" t="s">
        <v>4</v>
      </c>
      <c r="B7343" s="4" t="s">
        <v>5</v>
      </c>
      <c r="C7343" s="4" t="s">
        <v>11</v>
      </c>
      <c r="D7343" s="4" t="s">
        <v>13</v>
      </c>
      <c r="E7343" s="4" t="s">
        <v>13</v>
      </c>
      <c r="F7343" s="4" t="s">
        <v>13</v>
      </c>
      <c r="G7343" s="4" t="s">
        <v>13</v>
      </c>
    </row>
    <row r="7344" spans="1:10">
      <c r="A7344" t="n">
        <v>67102</v>
      </c>
      <c r="B7344" s="36" t="n">
        <v>46</v>
      </c>
      <c r="C7344" s="7" t="n">
        <v>9</v>
      </c>
      <c r="D7344" s="7" t="n">
        <v>-12.0699996948242</v>
      </c>
      <c r="E7344" s="7" t="n">
        <v>10.0100002288818</v>
      </c>
      <c r="F7344" s="7" t="n">
        <v>31.9200000762939</v>
      </c>
      <c r="G7344" s="7" t="n">
        <v>272.600006103516</v>
      </c>
    </row>
    <row r="7345" spans="1:10">
      <c r="A7345" t="s">
        <v>4</v>
      </c>
      <c r="B7345" s="4" t="s">
        <v>5</v>
      </c>
      <c r="C7345" s="4" t="s">
        <v>11</v>
      </c>
      <c r="D7345" s="4" t="s">
        <v>11</v>
      </c>
      <c r="E7345" s="4" t="s">
        <v>11</v>
      </c>
    </row>
    <row r="7346" spans="1:10">
      <c r="A7346" t="n">
        <v>67121</v>
      </c>
      <c r="B7346" s="72" t="n">
        <v>61</v>
      </c>
      <c r="C7346" s="7" t="n">
        <v>0</v>
      </c>
      <c r="D7346" s="7" t="n">
        <v>65533</v>
      </c>
      <c r="E7346" s="7" t="n">
        <v>0</v>
      </c>
    </row>
    <row r="7347" spans="1:10">
      <c r="A7347" t="s">
        <v>4</v>
      </c>
      <c r="B7347" s="4" t="s">
        <v>5</v>
      </c>
      <c r="C7347" s="4" t="s">
        <v>11</v>
      </c>
      <c r="D7347" s="4" t="s">
        <v>11</v>
      </c>
      <c r="E7347" s="4" t="s">
        <v>11</v>
      </c>
    </row>
    <row r="7348" spans="1:10">
      <c r="A7348" t="n">
        <v>67128</v>
      </c>
      <c r="B7348" s="72" t="n">
        <v>61</v>
      </c>
      <c r="C7348" s="7" t="n">
        <v>9</v>
      </c>
      <c r="D7348" s="7" t="n">
        <v>65533</v>
      </c>
      <c r="E7348" s="7" t="n">
        <v>0</v>
      </c>
    </row>
    <row r="7349" spans="1:10">
      <c r="A7349" t="s">
        <v>4</v>
      </c>
      <c r="B7349" s="4" t="s">
        <v>5</v>
      </c>
      <c r="C7349" s="4" t="s">
        <v>7</v>
      </c>
      <c r="D7349" s="4" t="s">
        <v>7</v>
      </c>
      <c r="E7349" s="4" t="s">
        <v>13</v>
      </c>
      <c r="F7349" s="4" t="s">
        <v>13</v>
      </c>
      <c r="G7349" s="4" t="s">
        <v>13</v>
      </c>
      <c r="H7349" s="4" t="s">
        <v>11</v>
      </c>
    </row>
    <row r="7350" spans="1:10">
      <c r="A7350" t="n">
        <v>67135</v>
      </c>
      <c r="B7350" s="51" t="n">
        <v>45</v>
      </c>
      <c r="C7350" s="7" t="n">
        <v>2</v>
      </c>
      <c r="D7350" s="7" t="n">
        <v>3</v>
      </c>
      <c r="E7350" s="7" t="n">
        <v>-17.2999992370605</v>
      </c>
      <c r="F7350" s="7" t="n">
        <v>11.25</v>
      </c>
      <c r="G7350" s="7" t="n">
        <v>33.189998626709</v>
      </c>
      <c r="H7350" s="7" t="n">
        <v>0</v>
      </c>
    </row>
    <row r="7351" spans="1:10">
      <c r="A7351" t="s">
        <v>4</v>
      </c>
      <c r="B7351" s="4" t="s">
        <v>5</v>
      </c>
      <c r="C7351" s="4" t="s">
        <v>7</v>
      </c>
      <c r="D7351" s="4" t="s">
        <v>7</v>
      </c>
      <c r="E7351" s="4" t="s">
        <v>13</v>
      </c>
      <c r="F7351" s="4" t="s">
        <v>13</v>
      </c>
      <c r="G7351" s="4" t="s">
        <v>13</v>
      </c>
      <c r="H7351" s="4" t="s">
        <v>11</v>
      </c>
      <c r="I7351" s="4" t="s">
        <v>7</v>
      </c>
    </row>
    <row r="7352" spans="1:10">
      <c r="A7352" t="n">
        <v>67152</v>
      </c>
      <c r="B7352" s="51" t="n">
        <v>45</v>
      </c>
      <c r="C7352" s="7" t="n">
        <v>4</v>
      </c>
      <c r="D7352" s="7" t="n">
        <v>3</v>
      </c>
      <c r="E7352" s="7" t="n">
        <v>357.369995117188</v>
      </c>
      <c r="F7352" s="7" t="n">
        <v>103.440002441406</v>
      </c>
      <c r="G7352" s="7" t="n">
        <v>0</v>
      </c>
      <c r="H7352" s="7" t="n">
        <v>0</v>
      </c>
      <c r="I7352" s="7" t="n">
        <v>0</v>
      </c>
    </row>
    <row r="7353" spans="1:10">
      <c r="A7353" t="s">
        <v>4</v>
      </c>
      <c r="B7353" s="4" t="s">
        <v>5</v>
      </c>
      <c r="C7353" s="4" t="s">
        <v>7</v>
      </c>
      <c r="D7353" s="4" t="s">
        <v>7</v>
      </c>
      <c r="E7353" s="4" t="s">
        <v>13</v>
      </c>
      <c r="F7353" s="4" t="s">
        <v>11</v>
      </c>
    </row>
    <row r="7354" spans="1:10">
      <c r="A7354" t="n">
        <v>67170</v>
      </c>
      <c r="B7354" s="51" t="n">
        <v>45</v>
      </c>
      <c r="C7354" s="7" t="n">
        <v>5</v>
      </c>
      <c r="D7354" s="7" t="n">
        <v>3</v>
      </c>
      <c r="E7354" s="7" t="n">
        <v>2.59999990463257</v>
      </c>
      <c r="F7354" s="7" t="n">
        <v>0</v>
      </c>
    </row>
    <row r="7355" spans="1:10">
      <c r="A7355" t="s">
        <v>4</v>
      </c>
      <c r="B7355" s="4" t="s">
        <v>5</v>
      </c>
      <c r="C7355" s="4" t="s">
        <v>7</v>
      </c>
      <c r="D7355" s="4" t="s">
        <v>7</v>
      </c>
      <c r="E7355" s="4" t="s">
        <v>13</v>
      </c>
      <c r="F7355" s="4" t="s">
        <v>11</v>
      </c>
    </row>
    <row r="7356" spans="1:10">
      <c r="A7356" t="n">
        <v>67179</v>
      </c>
      <c r="B7356" s="51" t="n">
        <v>45</v>
      </c>
      <c r="C7356" s="7" t="n">
        <v>11</v>
      </c>
      <c r="D7356" s="7" t="n">
        <v>3</v>
      </c>
      <c r="E7356" s="7" t="n">
        <v>34</v>
      </c>
      <c r="F7356" s="7" t="n">
        <v>0</v>
      </c>
    </row>
    <row r="7357" spans="1:10">
      <c r="A7357" t="s">
        <v>4</v>
      </c>
      <c r="B7357" s="4" t="s">
        <v>5</v>
      </c>
      <c r="C7357" s="4" t="s">
        <v>7</v>
      </c>
      <c r="D7357" s="4" t="s">
        <v>7</v>
      </c>
      <c r="E7357" s="4" t="s">
        <v>13</v>
      </c>
      <c r="F7357" s="4" t="s">
        <v>13</v>
      </c>
      <c r="G7357" s="4" t="s">
        <v>13</v>
      </c>
      <c r="H7357" s="4" t="s">
        <v>11</v>
      </c>
    </row>
    <row r="7358" spans="1:10">
      <c r="A7358" t="n">
        <v>67188</v>
      </c>
      <c r="B7358" s="51" t="n">
        <v>45</v>
      </c>
      <c r="C7358" s="7" t="n">
        <v>2</v>
      </c>
      <c r="D7358" s="7" t="n">
        <v>3</v>
      </c>
      <c r="E7358" s="7" t="n">
        <v>-13.7600002288818</v>
      </c>
      <c r="F7358" s="7" t="n">
        <v>11.25</v>
      </c>
      <c r="G7358" s="7" t="n">
        <v>31.9200000762939</v>
      </c>
      <c r="H7358" s="7" t="n">
        <v>7000</v>
      </c>
    </row>
    <row r="7359" spans="1:10">
      <c r="A7359" t="s">
        <v>4</v>
      </c>
      <c r="B7359" s="4" t="s">
        <v>5</v>
      </c>
      <c r="C7359" s="4" t="s">
        <v>7</v>
      </c>
      <c r="D7359" s="4" t="s">
        <v>7</v>
      </c>
      <c r="E7359" s="4" t="s">
        <v>13</v>
      </c>
      <c r="F7359" s="4" t="s">
        <v>13</v>
      </c>
      <c r="G7359" s="4" t="s">
        <v>13</v>
      </c>
      <c r="H7359" s="4" t="s">
        <v>11</v>
      </c>
      <c r="I7359" s="4" t="s">
        <v>7</v>
      </c>
    </row>
    <row r="7360" spans="1:10">
      <c r="A7360" t="n">
        <v>67205</v>
      </c>
      <c r="B7360" s="51" t="n">
        <v>45</v>
      </c>
      <c r="C7360" s="7" t="n">
        <v>4</v>
      </c>
      <c r="D7360" s="7" t="n">
        <v>3</v>
      </c>
      <c r="E7360" s="7" t="n">
        <v>357.369995117188</v>
      </c>
      <c r="F7360" s="7" t="n">
        <v>296.869995117188</v>
      </c>
      <c r="G7360" s="7" t="n">
        <v>0</v>
      </c>
      <c r="H7360" s="7" t="n">
        <v>7000</v>
      </c>
      <c r="I7360" s="7" t="n">
        <v>1</v>
      </c>
    </row>
    <row r="7361" spans="1:9">
      <c r="A7361" t="s">
        <v>4</v>
      </c>
      <c r="B7361" s="4" t="s">
        <v>5</v>
      </c>
      <c r="C7361" s="4" t="s">
        <v>7</v>
      </c>
      <c r="D7361" s="4" t="s">
        <v>7</v>
      </c>
      <c r="E7361" s="4" t="s">
        <v>13</v>
      </c>
      <c r="F7361" s="4" t="s">
        <v>11</v>
      </c>
    </row>
    <row r="7362" spans="1:9">
      <c r="A7362" t="n">
        <v>67223</v>
      </c>
      <c r="B7362" s="51" t="n">
        <v>45</v>
      </c>
      <c r="C7362" s="7" t="n">
        <v>5</v>
      </c>
      <c r="D7362" s="7" t="n">
        <v>3</v>
      </c>
      <c r="E7362" s="7" t="n">
        <v>2.59999990463257</v>
      </c>
      <c r="F7362" s="7" t="n">
        <v>0</v>
      </c>
    </row>
    <row r="7363" spans="1:9">
      <c r="A7363" t="s">
        <v>4</v>
      </c>
      <c r="B7363" s="4" t="s">
        <v>5</v>
      </c>
      <c r="C7363" s="4" t="s">
        <v>7</v>
      </c>
      <c r="D7363" s="4" t="s">
        <v>11</v>
      </c>
      <c r="E7363" s="4" t="s">
        <v>13</v>
      </c>
    </row>
    <row r="7364" spans="1:9">
      <c r="A7364" t="n">
        <v>67232</v>
      </c>
      <c r="B7364" s="23" t="n">
        <v>58</v>
      </c>
      <c r="C7364" s="7" t="n">
        <v>100</v>
      </c>
      <c r="D7364" s="7" t="n">
        <v>1000</v>
      </c>
      <c r="E7364" s="7" t="n">
        <v>1</v>
      </c>
    </row>
    <row r="7365" spans="1:9">
      <c r="A7365" t="s">
        <v>4</v>
      </c>
      <c r="B7365" s="4" t="s">
        <v>5</v>
      </c>
      <c r="C7365" s="4" t="s">
        <v>7</v>
      </c>
      <c r="D7365" s="4" t="s">
        <v>11</v>
      </c>
    </row>
    <row r="7366" spans="1:9">
      <c r="A7366" t="n">
        <v>67240</v>
      </c>
      <c r="B7366" s="23" t="n">
        <v>58</v>
      </c>
      <c r="C7366" s="7" t="n">
        <v>255</v>
      </c>
      <c r="D7366" s="7" t="n">
        <v>0</v>
      </c>
    </row>
    <row r="7367" spans="1:9">
      <c r="A7367" t="s">
        <v>4</v>
      </c>
      <c r="B7367" s="4" t="s">
        <v>5</v>
      </c>
      <c r="C7367" s="4" t="s">
        <v>8</v>
      </c>
      <c r="D7367" s="4" t="s">
        <v>8</v>
      </c>
    </row>
    <row r="7368" spans="1:9">
      <c r="A7368" t="n">
        <v>67244</v>
      </c>
      <c r="B7368" s="52" t="n">
        <v>70</v>
      </c>
      <c r="C7368" s="7" t="s">
        <v>642</v>
      </c>
      <c r="D7368" s="7" t="s">
        <v>109</v>
      </c>
    </row>
    <row r="7369" spans="1:9">
      <c r="A7369" t="s">
        <v>4</v>
      </c>
      <c r="B7369" s="4" t="s">
        <v>5</v>
      </c>
      <c r="C7369" s="4" t="s">
        <v>11</v>
      </c>
    </row>
    <row r="7370" spans="1:9">
      <c r="A7370" t="n">
        <v>67261</v>
      </c>
      <c r="B7370" s="29" t="n">
        <v>16</v>
      </c>
      <c r="C7370" s="7" t="n">
        <v>3000</v>
      </c>
    </row>
    <row r="7371" spans="1:9">
      <c r="A7371" t="s">
        <v>4</v>
      </c>
      <c r="B7371" s="4" t="s">
        <v>5</v>
      </c>
      <c r="C7371" s="4" t="s">
        <v>11</v>
      </c>
      <c r="D7371" s="4" t="s">
        <v>7</v>
      </c>
      <c r="E7371" s="4" t="s">
        <v>13</v>
      </c>
      <c r="F7371" s="4" t="s">
        <v>11</v>
      </c>
    </row>
    <row r="7372" spans="1:9">
      <c r="A7372" t="n">
        <v>67264</v>
      </c>
      <c r="B7372" s="56" t="n">
        <v>59</v>
      </c>
      <c r="C7372" s="7" t="n">
        <v>9</v>
      </c>
      <c r="D7372" s="7" t="n">
        <v>9</v>
      </c>
      <c r="E7372" s="7" t="n">
        <v>0.150000005960464</v>
      </c>
      <c r="F7372" s="7" t="n">
        <v>0</v>
      </c>
    </row>
    <row r="7373" spans="1:9">
      <c r="A7373" t="s">
        <v>4</v>
      </c>
      <c r="B7373" s="4" t="s">
        <v>5</v>
      </c>
      <c r="C7373" s="4" t="s">
        <v>11</v>
      </c>
      <c r="D7373" s="4" t="s">
        <v>13</v>
      </c>
      <c r="E7373" s="4" t="s">
        <v>13</v>
      </c>
      <c r="F7373" s="4" t="s">
        <v>13</v>
      </c>
      <c r="G7373" s="4" t="s">
        <v>11</v>
      </c>
      <c r="H7373" s="4" t="s">
        <v>11</v>
      </c>
    </row>
    <row r="7374" spans="1:9">
      <c r="A7374" t="n">
        <v>67274</v>
      </c>
      <c r="B7374" s="37" t="n">
        <v>60</v>
      </c>
      <c r="C7374" s="7" t="n">
        <v>9</v>
      </c>
      <c r="D7374" s="7" t="n">
        <v>-45</v>
      </c>
      <c r="E7374" s="7" t="n">
        <v>0</v>
      </c>
      <c r="F7374" s="7" t="n">
        <v>0</v>
      </c>
      <c r="G7374" s="7" t="n">
        <v>1000</v>
      </c>
      <c r="H7374" s="7" t="n">
        <v>0</v>
      </c>
    </row>
    <row r="7375" spans="1:9">
      <c r="A7375" t="s">
        <v>4</v>
      </c>
      <c r="B7375" s="4" t="s">
        <v>5</v>
      </c>
      <c r="C7375" s="4" t="s">
        <v>11</v>
      </c>
    </row>
    <row r="7376" spans="1:9">
      <c r="A7376" t="n">
        <v>67293</v>
      </c>
      <c r="B7376" s="29" t="n">
        <v>16</v>
      </c>
      <c r="C7376" s="7" t="n">
        <v>1000</v>
      </c>
    </row>
    <row r="7377" spans="1:8">
      <c r="A7377" t="s">
        <v>4</v>
      </c>
      <c r="B7377" s="4" t="s">
        <v>5</v>
      </c>
      <c r="C7377" s="4" t="s">
        <v>11</v>
      </c>
      <c r="D7377" s="4" t="s">
        <v>13</v>
      </c>
      <c r="E7377" s="4" t="s">
        <v>13</v>
      </c>
      <c r="F7377" s="4" t="s">
        <v>13</v>
      </c>
      <c r="G7377" s="4" t="s">
        <v>11</v>
      </c>
      <c r="H7377" s="4" t="s">
        <v>11</v>
      </c>
    </row>
    <row r="7378" spans="1:8">
      <c r="A7378" t="n">
        <v>67296</v>
      </c>
      <c r="B7378" s="37" t="n">
        <v>60</v>
      </c>
      <c r="C7378" s="7" t="n">
        <v>9</v>
      </c>
      <c r="D7378" s="7" t="n">
        <v>45</v>
      </c>
      <c r="E7378" s="7" t="n">
        <v>0</v>
      </c>
      <c r="F7378" s="7" t="n">
        <v>0</v>
      </c>
      <c r="G7378" s="7" t="n">
        <v>1000</v>
      </c>
      <c r="H7378" s="7" t="n">
        <v>0</v>
      </c>
    </row>
    <row r="7379" spans="1:8">
      <c r="A7379" t="s">
        <v>4</v>
      </c>
      <c r="B7379" s="4" t="s">
        <v>5</v>
      </c>
      <c r="C7379" s="4" t="s">
        <v>11</v>
      </c>
    </row>
    <row r="7380" spans="1:8">
      <c r="A7380" t="n">
        <v>67315</v>
      </c>
      <c r="B7380" s="29" t="n">
        <v>16</v>
      </c>
      <c r="C7380" s="7" t="n">
        <v>1000</v>
      </c>
    </row>
    <row r="7381" spans="1:8">
      <c r="A7381" t="s">
        <v>4</v>
      </c>
      <c r="B7381" s="4" t="s">
        <v>5</v>
      </c>
      <c r="C7381" s="4" t="s">
        <v>11</v>
      </c>
      <c r="D7381" s="4" t="s">
        <v>13</v>
      </c>
      <c r="E7381" s="4" t="s">
        <v>13</v>
      </c>
      <c r="F7381" s="4" t="s">
        <v>13</v>
      </c>
      <c r="G7381" s="4" t="s">
        <v>11</v>
      </c>
      <c r="H7381" s="4" t="s">
        <v>11</v>
      </c>
    </row>
    <row r="7382" spans="1:8">
      <c r="A7382" t="n">
        <v>67318</v>
      </c>
      <c r="B7382" s="37" t="n">
        <v>60</v>
      </c>
      <c r="C7382" s="7" t="n">
        <v>9</v>
      </c>
      <c r="D7382" s="7" t="n">
        <v>0</v>
      </c>
      <c r="E7382" s="7" t="n">
        <v>0</v>
      </c>
      <c r="F7382" s="7" t="n">
        <v>0</v>
      </c>
      <c r="G7382" s="7" t="n">
        <v>500</v>
      </c>
      <c r="H7382" s="7" t="n">
        <v>0</v>
      </c>
    </row>
    <row r="7383" spans="1:8">
      <c r="A7383" t="s">
        <v>4</v>
      </c>
      <c r="B7383" s="4" t="s">
        <v>5</v>
      </c>
      <c r="C7383" s="4" t="s">
        <v>11</v>
      </c>
    </row>
    <row r="7384" spans="1:8">
      <c r="A7384" t="n">
        <v>67337</v>
      </c>
      <c r="B7384" s="29" t="n">
        <v>16</v>
      </c>
      <c r="C7384" s="7" t="n">
        <v>1000</v>
      </c>
    </row>
    <row r="7385" spans="1:8">
      <c r="A7385" t="s">
        <v>4</v>
      </c>
      <c r="B7385" s="4" t="s">
        <v>5</v>
      </c>
      <c r="C7385" s="4" t="s">
        <v>7</v>
      </c>
      <c r="D7385" s="4" t="s">
        <v>11</v>
      </c>
    </row>
    <row r="7386" spans="1:8">
      <c r="A7386" t="n">
        <v>67340</v>
      </c>
      <c r="B7386" s="51" t="n">
        <v>45</v>
      </c>
      <c r="C7386" s="7" t="n">
        <v>7</v>
      </c>
      <c r="D7386" s="7" t="n">
        <v>255</v>
      </c>
    </row>
    <row r="7387" spans="1:8">
      <c r="A7387" t="s">
        <v>4</v>
      </c>
      <c r="B7387" s="4" t="s">
        <v>5</v>
      </c>
      <c r="C7387" s="4" t="s">
        <v>7</v>
      </c>
      <c r="D7387" s="4" t="s">
        <v>11</v>
      </c>
      <c r="E7387" s="4" t="s">
        <v>13</v>
      </c>
    </row>
    <row r="7388" spans="1:8">
      <c r="A7388" t="n">
        <v>67344</v>
      </c>
      <c r="B7388" s="23" t="n">
        <v>58</v>
      </c>
      <c r="C7388" s="7" t="n">
        <v>0</v>
      </c>
      <c r="D7388" s="7" t="n">
        <v>1000</v>
      </c>
      <c r="E7388" s="7" t="n">
        <v>1</v>
      </c>
    </row>
    <row r="7389" spans="1:8">
      <c r="A7389" t="s">
        <v>4</v>
      </c>
      <c r="B7389" s="4" t="s">
        <v>5</v>
      </c>
      <c r="C7389" s="4" t="s">
        <v>7</v>
      </c>
      <c r="D7389" s="4" t="s">
        <v>11</v>
      </c>
    </row>
    <row r="7390" spans="1:8">
      <c r="A7390" t="n">
        <v>67352</v>
      </c>
      <c r="B7390" s="23" t="n">
        <v>58</v>
      </c>
      <c r="C7390" s="7" t="n">
        <v>255</v>
      </c>
      <c r="D7390" s="7" t="n">
        <v>0</v>
      </c>
    </row>
    <row r="7391" spans="1:8">
      <c r="A7391" t="s">
        <v>4</v>
      </c>
      <c r="B7391" s="4" t="s">
        <v>5</v>
      </c>
      <c r="C7391" s="4" t="s">
        <v>11</v>
      </c>
      <c r="D7391" s="4" t="s">
        <v>11</v>
      </c>
      <c r="E7391" s="4" t="s">
        <v>11</v>
      </c>
    </row>
    <row r="7392" spans="1:8">
      <c r="A7392" t="n">
        <v>67356</v>
      </c>
      <c r="B7392" s="72" t="n">
        <v>61</v>
      </c>
      <c r="C7392" s="7" t="n">
        <v>0</v>
      </c>
      <c r="D7392" s="7" t="n">
        <v>65533</v>
      </c>
      <c r="E7392" s="7" t="n">
        <v>1000</v>
      </c>
    </row>
    <row r="7393" spans="1:8">
      <c r="A7393" t="s">
        <v>4</v>
      </c>
      <c r="B7393" s="4" t="s">
        <v>5</v>
      </c>
      <c r="C7393" s="4" t="s">
        <v>11</v>
      </c>
      <c r="D7393" s="4" t="s">
        <v>11</v>
      </c>
      <c r="E7393" s="4" t="s">
        <v>11</v>
      </c>
    </row>
    <row r="7394" spans="1:8">
      <c r="A7394" t="n">
        <v>67363</v>
      </c>
      <c r="B7394" s="72" t="n">
        <v>61</v>
      </c>
      <c r="C7394" s="7" t="n">
        <v>9</v>
      </c>
      <c r="D7394" s="7" t="n">
        <v>65533</v>
      </c>
      <c r="E7394" s="7" t="n">
        <v>1000</v>
      </c>
    </row>
    <row r="7395" spans="1:8">
      <c r="A7395" t="s">
        <v>4</v>
      </c>
      <c r="B7395" s="4" t="s">
        <v>5</v>
      </c>
      <c r="C7395" s="4" t="s">
        <v>11</v>
      </c>
      <c r="D7395" s="4" t="s">
        <v>13</v>
      </c>
      <c r="E7395" s="4" t="s">
        <v>13</v>
      </c>
      <c r="F7395" s="4" t="s">
        <v>13</v>
      </c>
      <c r="G7395" s="4" t="s">
        <v>13</v>
      </c>
    </row>
    <row r="7396" spans="1:8">
      <c r="A7396" t="n">
        <v>67370</v>
      </c>
      <c r="B7396" s="36" t="n">
        <v>46</v>
      </c>
      <c r="C7396" s="7" t="n">
        <v>0</v>
      </c>
      <c r="D7396" s="7" t="n">
        <v>-2.66000008583069</v>
      </c>
      <c r="E7396" s="7" t="n">
        <v>5.01000022888184</v>
      </c>
      <c r="F7396" s="7" t="n">
        <v>32.189998626709</v>
      </c>
      <c r="G7396" s="7" t="n">
        <v>90</v>
      </c>
    </row>
    <row r="7397" spans="1:8">
      <c r="A7397" t="s">
        <v>4</v>
      </c>
      <c r="B7397" s="4" t="s">
        <v>5</v>
      </c>
      <c r="C7397" s="4" t="s">
        <v>11</v>
      </c>
      <c r="D7397" s="4" t="s">
        <v>13</v>
      </c>
      <c r="E7397" s="4" t="s">
        <v>13</v>
      </c>
      <c r="F7397" s="4" t="s">
        <v>13</v>
      </c>
      <c r="G7397" s="4" t="s">
        <v>13</v>
      </c>
    </row>
    <row r="7398" spans="1:8">
      <c r="A7398" t="n">
        <v>67389</v>
      </c>
      <c r="B7398" s="36" t="n">
        <v>46</v>
      </c>
      <c r="C7398" s="7" t="n">
        <v>9</v>
      </c>
      <c r="D7398" s="7" t="n">
        <v>-3.16000008583069</v>
      </c>
      <c r="E7398" s="7" t="n">
        <v>5.01000022888184</v>
      </c>
      <c r="F7398" s="7" t="n">
        <v>31.7900009155273</v>
      </c>
      <c r="G7398" s="7" t="n">
        <v>90</v>
      </c>
    </row>
    <row r="7399" spans="1:8">
      <c r="A7399" t="s">
        <v>4</v>
      </c>
      <c r="B7399" s="4" t="s">
        <v>5</v>
      </c>
      <c r="C7399" s="4" t="s">
        <v>7</v>
      </c>
      <c r="D7399" s="4" t="s">
        <v>7</v>
      </c>
      <c r="E7399" s="4" t="s">
        <v>13</v>
      </c>
      <c r="F7399" s="4" t="s">
        <v>13</v>
      </c>
      <c r="G7399" s="4" t="s">
        <v>13</v>
      </c>
      <c r="H7399" s="4" t="s">
        <v>11</v>
      </c>
    </row>
    <row r="7400" spans="1:8">
      <c r="A7400" t="n">
        <v>67408</v>
      </c>
      <c r="B7400" s="51" t="n">
        <v>45</v>
      </c>
      <c r="C7400" s="7" t="n">
        <v>2</v>
      </c>
      <c r="D7400" s="7" t="n">
        <v>3</v>
      </c>
      <c r="E7400" s="7" t="n">
        <v>6.82000017166138</v>
      </c>
      <c r="F7400" s="7" t="n">
        <v>6.17999982833862</v>
      </c>
      <c r="G7400" s="7" t="n">
        <v>32.2799987792969</v>
      </c>
      <c r="H7400" s="7" t="n">
        <v>0</v>
      </c>
    </row>
    <row r="7401" spans="1:8">
      <c r="A7401" t="s">
        <v>4</v>
      </c>
      <c r="B7401" s="4" t="s">
        <v>5</v>
      </c>
      <c r="C7401" s="4" t="s">
        <v>7</v>
      </c>
      <c r="D7401" s="4" t="s">
        <v>7</v>
      </c>
      <c r="E7401" s="4" t="s">
        <v>13</v>
      </c>
      <c r="F7401" s="4" t="s">
        <v>13</v>
      </c>
      <c r="G7401" s="4" t="s">
        <v>13</v>
      </c>
      <c r="H7401" s="4" t="s">
        <v>11</v>
      </c>
      <c r="I7401" s="4" t="s">
        <v>7</v>
      </c>
    </row>
    <row r="7402" spans="1:8">
      <c r="A7402" t="n">
        <v>67425</v>
      </c>
      <c r="B7402" s="51" t="n">
        <v>45</v>
      </c>
      <c r="C7402" s="7" t="n">
        <v>4</v>
      </c>
      <c r="D7402" s="7" t="n">
        <v>3</v>
      </c>
      <c r="E7402" s="7" t="n">
        <v>358.239990234375</v>
      </c>
      <c r="F7402" s="7" t="n">
        <v>344.200012207031</v>
      </c>
      <c r="G7402" s="7" t="n">
        <v>0</v>
      </c>
      <c r="H7402" s="7" t="n">
        <v>0</v>
      </c>
      <c r="I7402" s="7" t="n">
        <v>0</v>
      </c>
    </row>
    <row r="7403" spans="1:8">
      <c r="A7403" t="s">
        <v>4</v>
      </c>
      <c r="B7403" s="4" t="s">
        <v>5</v>
      </c>
      <c r="C7403" s="4" t="s">
        <v>7</v>
      </c>
      <c r="D7403" s="4" t="s">
        <v>7</v>
      </c>
      <c r="E7403" s="4" t="s">
        <v>13</v>
      </c>
      <c r="F7403" s="4" t="s">
        <v>11</v>
      </c>
    </row>
    <row r="7404" spans="1:8">
      <c r="A7404" t="n">
        <v>67443</v>
      </c>
      <c r="B7404" s="51" t="n">
        <v>45</v>
      </c>
      <c r="C7404" s="7" t="n">
        <v>5</v>
      </c>
      <c r="D7404" s="7" t="n">
        <v>3</v>
      </c>
      <c r="E7404" s="7" t="n">
        <v>3.40000009536743</v>
      </c>
      <c r="F7404" s="7" t="n">
        <v>0</v>
      </c>
    </row>
    <row r="7405" spans="1:8">
      <c r="A7405" t="s">
        <v>4</v>
      </c>
      <c r="B7405" s="4" t="s">
        <v>5</v>
      </c>
      <c r="C7405" s="4" t="s">
        <v>7</v>
      </c>
      <c r="D7405" s="4" t="s">
        <v>7</v>
      </c>
      <c r="E7405" s="4" t="s">
        <v>13</v>
      </c>
      <c r="F7405" s="4" t="s">
        <v>11</v>
      </c>
    </row>
    <row r="7406" spans="1:8">
      <c r="A7406" t="n">
        <v>67452</v>
      </c>
      <c r="B7406" s="51" t="n">
        <v>45</v>
      </c>
      <c r="C7406" s="7" t="n">
        <v>11</v>
      </c>
      <c r="D7406" s="7" t="n">
        <v>3</v>
      </c>
      <c r="E7406" s="7" t="n">
        <v>40.2999992370605</v>
      </c>
      <c r="F7406" s="7" t="n">
        <v>0</v>
      </c>
    </row>
    <row r="7407" spans="1:8">
      <c r="A7407" t="s">
        <v>4</v>
      </c>
      <c r="B7407" s="4" t="s">
        <v>5</v>
      </c>
      <c r="C7407" s="4" t="s">
        <v>7</v>
      </c>
      <c r="D7407" s="4" t="s">
        <v>7</v>
      </c>
      <c r="E7407" s="4" t="s">
        <v>13</v>
      </c>
      <c r="F7407" s="4" t="s">
        <v>13</v>
      </c>
      <c r="G7407" s="4" t="s">
        <v>13</v>
      </c>
      <c r="H7407" s="4" t="s">
        <v>11</v>
      </c>
    </row>
    <row r="7408" spans="1:8">
      <c r="A7408" t="n">
        <v>67461</v>
      </c>
      <c r="B7408" s="51" t="n">
        <v>45</v>
      </c>
      <c r="C7408" s="7" t="n">
        <v>2</v>
      </c>
      <c r="D7408" s="7" t="n">
        <v>3</v>
      </c>
      <c r="E7408" s="7" t="n">
        <v>-2.55999994277954</v>
      </c>
      <c r="F7408" s="7" t="n">
        <v>6.17999982833862</v>
      </c>
      <c r="G7408" s="7" t="n">
        <v>32.1800003051758</v>
      </c>
      <c r="H7408" s="7" t="n">
        <v>6000</v>
      </c>
    </row>
    <row r="7409" spans="1:9">
      <c r="A7409" t="s">
        <v>4</v>
      </c>
      <c r="B7409" s="4" t="s">
        <v>5</v>
      </c>
      <c r="C7409" s="4" t="s">
        <v>7</v>
      </c>
      <c r="D7409" s="4" t="s">
        <v>7</v>
      </c>
      <c r="E7409" s="4" t="s">
        <v>13</v>
      </c>
      <c r="F7409" s="4" t="s">
        <v>13</v>
      </c>
      <c r="G7409" s="4" t="s">
        <v>13</v>
      </c>
      <c r="H7409" s="4" t="s">
        <v>11</v>
      </c>
      <c r="I7409" s="4" t="s">
        <v>7</v>
      </c>
    </row>
    <row r="7410" spans="1:9">
      <c r="A7410" t="n">
        <v>67478</v>
      </c>
      <c r="B7410" s="51" t="n">
        <v>45</v>
      </c>
      <c r="C7410" s="7" t="n">
        <v>4</v>
      </c>
      <c r="D7410" s="7" t="n">
        <v>3</v>
      </c>
      <c r="E7410" s="7" t="n">
        <v>12.2700004577637</v>
      </c>
      <c r="F7410" s="7" t="n">
        <v>75.7099990844727</v>
      </c>
      <c r="G7410" s="7" t="n">
        <v>0</v>
      </c>
      <c r="H7410" s="7" t="n">
        <v>6000</v>
      </c>
      <c r="I7410" s="7" t="n">
        <v>1</v>
      </c>
    </row>
    <row r="7411" spans="1:9">
      <c r="A7411" t="s">
        <v>4</v>
      </c>
      <c r="B7411" s="4" t="s">
        <v>5</v>
      </c>
      <c r="C7411" s="4" t="s">
        <v>7</v>
      </c>
      <c r="D7411" s="4" t="s">
        <v>7</v>
      </c>
      <c r="E7411" s="4" t="s">
        <v>13</v>
      </c>
      <c r="F7411" s="4" t="s">
        <v>11</v>
      </c>
    </row>
    <row r="7412" spans="1:9">
      <c r="A7412" t="n">
        <v>67496</v>
      </c>
      <c r="B7412" s="51" t="n">
        <v>45</v>
      </c>
      <c r="C7412" s="7" t="n">
        <v>5</v>
      </c>
      <c r="D7412" s="7" t="n">
        <v>3</v>
      </c>
      <c r="E7412" s="7" t="n">
        <v>2.70000004768372</v>
      </c>
      <c r="F7412" s="7" t="n">
        <v>6000</v>
      </c>
    </row>
    <row r="7413" spans="1:9">
      <c r="A7413" t="s">
        <v>4</v>
      </c>
      <c r="B7413" s="4" t="s">
        <v>5</v>
      </c>
      <c r="C7413" s="4" t="s">
        <v>7</v>
      </c>
      <c r="D7413" s="4" t="s">
        <v>11</v>
      </c>
      <c r="E7413" s="4" t="s">
        <v>13</v>
      </c>
    </row>
    <row r="7414" spans="1:9">
      <c r="A7414" t="n">
        <v>67505</v>
      </c>
      <c r="B7414" s="23" t="n">
        <v>58</v>
      </c>
      <c r="C7414" s="7" t="n">
        <v>100</v>
      </c>
      <c r="D7414" s="7" t="n">
        <v>1000</v>
      </c>
      <c r="E7414" s="7" t="n">
        <v>1</v>
      </c>
    </row>
    <row r="7415" spans="1:9">
      <c r="A7415" t="s">
        <v>4</v>
      </c>
      <c r="B7415" s="4" t="s">
        <v>5</v>
      </c>
      <c r="C7415" s="4" t="s">
        <v>7</v>
      </c>
      <c r="D7415" s="4" t="s">
        <v>11</v>
      </c>
    </row>
    <row r="7416" spans="1:9">
      <c r="A7416" t="n">
        <v>67513</v>
      </c>
      <c r="B7416" s="23" t="n">
        <v>58</v>
      </c>
      <c r="C7416" s="7" t="n">
        <v>255</v>
      </c>
      <c r="D7416" s="7" t="n">
        <v>0</v>
      </c>
    </row>
    <row r="7417" spans="1:9">
      <c r="A7417" t="s">
        <v>4</v>
      </c>
      <c r="B7417" s="4" t="s">
        <v>5</v>
      </c>
      <c r="C7417" s="4" t="s">
        <v>8</v>
      </c>
      <c r="D7417" s="4" t="s">
        <v>8</v>
      </c>
    </row>
    <row r="7418" spans="1:9">
      <c r="A7418" t="n">
        <v>67517</v>
      </c>
      <c r="B7418" s="52" t="n">
        <v>70</v>
      </c>
      <c r="C7418" s="7" t="s">
        <v>24</v>
      </c>
      <c r="D7418" s="7" t="s">
        <v>109</v>
      </c>
    </row>
    <row r="7419" spans="1:9">
      <c r="A7419" t="s">
        <v>4</v>
      </c>
      <c r="B7419" s="4" t="s">
        <v>5</v>
      </c>
      <c r="C7419" s="4" t="s">
        <v>11</v>
      </c>
    </row>
    <row r="7420" spans="1:9">
      <c r="A7420" t="n">
        <v>67534</v>
      </c>
      <c r="B7420" s="29" t="n">
        <v>16</v>
      </c>
      <c r="C7420" s="7" t="n">
        <v>4000</v>
      </c>
    </row>
    <row r="7421" spans="1:9">
      <c r="A7421" t="s">
        <v>4</v>
      </c>
      <c r="B7421" s="4" t="s">
        <v>5</v>
      </c>
      <c r="C7421" s="4" t="s">
        <v>11</v>
      </c>
      <c r="D7421" s="4" t="s">
        <v>7</v>
      </c>
      <c r="E7421" s="4" t="s">
        <v>13</v>
      </c>
      <c r="F7421" s="4" t="s">
        <v>11</v>
      </c>
    </row>
    <row r="7422" spans="1:9">
      <c r="A7422" t="n">
        <v>67537</v>
      </c>
      <c r="B7422" s="56" t="n">
        <v>59</v>
      </c>
      <c r="C7422" s="7" t="n">
        <v>0</v>
      </c>
      <c r="D7422" s="7" t="n">
        <v>9</v>
      </c>
      <c r="E7422" s="7" t="n">
        <v>0.150000005960464</v>
      </c>
      <c r="F7422" s="7" t="n">
        <v>0</v>
      </c>
    </row>
    <row r="7423" spans="1:9">
      <c r="A7423" t="s">
        <v>4</v>
      </c>
      <c r="B7423" s="4" t="s">
        <v>5</v>
      </c>
      <c r="C7423" s="4" t="s">
        <v>11</v>
      </c>
    </row>
    <row r="7424" spans="1:9">
      <c r="A7424" t="n">
        <v>67547</v>
      </c>
      <c r="B7424" s="29" t="n">
        <v>16</v>
      </c>
      <c r="C7424" s="7" t="n">
        <v>1800</v>
      </c>
    </row>
    <row r="7425" spans="1:9">
      <c r="A7425" t="s">
        <v>4</v>
      </c>
      <c r="B7425" s="4" t="s">
        <v>5</v>
      </c>
      <c r="C7425" s="4" t="s">
        <v>7</v>
      </c>
      <c r="D7425" s="4" t="s">
        <v>11</v>
      </c>
    </row>
    <row r="7426" spans="1:9">
      <c r="A7426" t="n">
        <v>67550</v>
      </c>
      <c r="B7426" s="51" t="n">
        <v>45</v>
      </c>
      <c r="C7426" s="7" t="n">
        <v>7</v>
      </c>
      <c r="D7426" s="7" t="n">
        <v>255</v>
      </c>
    </row>
    <row r="7427" spans="1:9">
      <c r="A7427" t="s">
        <v>4</v>
      </c>
      <c r="B7427" s="4" t="s">
        <v>5</v>
      </c>
      <c r="C7427" s="4" t="s">
        <v>7</v>
      </c>
      <c r="D7427" s="4" t="s">
        <v>11</v>
      </c>
      <c r="E7427" s="4" t="s">
        <v>13</v>
      </c>
    </row>
    <row r="7428" spans="1:9">
      <c r="A7428" t="n">
        <v>67554</v>
      </c>
      <c r="B7428" s="23" t="n">
        <v>58</v>
      </c>
      <c r="C7428" s="7" t="n">
        <v>0</v>
      </c>
      <c r="D7428" s="7" t="n">
        <v>1000</v>
      </c>
      <c r="E7428" s="7" t="n">
        <v>1</v>
      </c>
    </row>
    <row r="7429" spans="1:9">
      <c r="A7429" t="s">
        <v>4</v>
      </c>
      <c r="B7429" s="4" t="s">
        <v>5</v>
      </c>
      <c r="C7429" s="4" t="s">
        <v>7</v>
      </c>
      <c r="D7429" s="4" t="s">
        <v>11</v>
      </c>
    </row>
    <row r="7430" spans="1:9">
      <c r="A7430" t="n">
        <v>67562</v>
      </c>
      <c r="B7430" s="23" t="n">
        <v>58</v>
      </c>
      <c r="C7430" s="7" t="n">
        <v>255</v>
      </c>
      <c r="D7430" s="7" t="n">
        <v>0</v>
      </c>
    </row>
    <row r="7431" spans="1:9">
      <c r="A7431" t="s">
        <v>4</v>
      </c>
      <c r="B7431" s="4" t="s">
        <v>5</v>
      </c>
      <c r="C7431" s="4" t="s">
        <v>8</v>
      </c>
      <c r="D7431" s="4" t="s">
        <v>8</v>
      </c>
    </row>
    <row r="7432" spans="1:9">
      <c r="A7432" t="n">
        <v>67566</v>
      </c>
      <c r="B7432" s="52" t="n">
        <v>70</v>
      </c>
      <c r="C7432" s="7" t="s">
        <v>24</v>
      </c>
      <c r="D7432" s="7" t="s">
        <v>118</v>
      </c>
    </row>
    <row r="7433" spans="1:9">
      <c r="A7433" t="s">
        <v>4</v>
      </c>
      <c r="B7433" s="4" t="s">
        <v>5</v>
      </c>
      <c r="C7433" s="4" t="s">
        <v>11</v>
      </c>
      <c r="D7433" s="4" t="s">
        <v>13</v>
      </c>
      <c r="E7433" s="4" t="s">
        <v>13</v>
      </c>
      <c r="F7433" s="4" t="s">
        <v>13</v>
      </c>
      <c r="G7433" s="4" t="s">
        <v>13</v>
      </c>
    </row>
    <row r="7434" spans="1:9">
      <c r="A7434" t="n">
        <v>67582</v>
      </c>
      <c r="B7434" s="36" t="n">
        <v>46</v>
      </c>
      <c r="C7434" s="7" t="n">
        <v>0</v>
      </c>
      <c r="D7434" s="7" t="n">
        <v>-10.9899997711182</v>
      </c>
      <c r="E7434" s="7" t="n">
        <v>5.01000022888184</v>
      </c>
      <c r="F7434" s="7" t="n">
        <v>32.4300003051758</v>
      </c>
      <c r="G7434" s="7" t="n">
        <v>270</v>
      </c>
    </row>
    <row r="7435" spans="1:9">
      <c r="A7435" t="s">
        <v>4</v>
      </c>
      <c r="B7435" s="4" t="s">
        <v>5</v>
      </c>
      <c r="C7435" s="4" t="s">
        <v>11</v>
      </c>
      <c r="D7435" s="4" t="s">
        <v>13</v>
      </c>
      <c r="E7435" s="4" t="s">
        <v>13</v>
      </c>
      <c r="F7435" s="4" t="s">
        <v>13</v>
      </c>
      <c r="G7435" s="4" t="s">
        <v>13</v>
      </c>
    </row>
    <row r="7436" spans="1:9">
      <c r="A7436" t="n">
        <v>67601</v>
      </c>
      <c r="B7436" s="36" t="n">
        <v>46</v>
      </c>
      <c r="C7436" s="7" t="n">
        <v>9</v>
      </c>
      <c r="D7436" s="7" t="n">
        <v>-10.5500001907349</v>
      </c>
      <c r="E7436" s="7" t="n">
        <v>5.01000022888184</v>
      </c>
      <c r="F7436" s="7" t="n">
        <v>31.5499992370605</v>
      </c>
      <c r="G7436" s="7" t="n">
        <v>270</v>
      </c>
    </row>
    <row r="7437" spans="1:9">
      <c r="A7437" t="s">
        <v>4</v>
      </c>
      <c r="B7437" s="4" t="s">
        <v>5</v>
      </c>
      <c r="C7437" s="4" t="s">
        <v>7</v>
      </c>
      <c r="D7437" s="4" t="s">
        <v>7</v>
      </c>
      <c r="E7437" s="4" t="s">
        <v>13</v>
      </c>
      <c r="F7437" s="4" t="s">
        <v>13</v>
      </c>
      <c r="G7437" s="4" t="s">
        <v>13</v>
      </c>
      <c r="H7437" s="4" t="s">
        <v>11</v>
      </c>
    </row>
    <row r="7438" spans="1:9">
      <c r="A7438" t="n">
        <v>67620</v>
      </c>
      <c r="B7438" s="51" t="n">
        <v>45</v>
      </c>
      <c r="C7438" s="7" t="n">
        <v>2</v>
      </c>
      <c r="D7438" s="7" t="n">
        <v>3</v>
      </c>
      <c r="E7438" s="7" t="n">
        <v>-14.1199998855591</v>
      </c>
      <c r="F7438" s="7" t="n">
        <v>6.75</v>
      </c>
      <c r="G7438" s="7" t="n">
        <v>31.9300003051758</v>
      </c>
      <c r="H7438" s="7" t="n">
        <v>0</v>
      </c>
    </row>
    <row r="7439" spans="1:9">
      <c r="A7439" t="s">
        <v>4</v>
      </c>
      <c r="B7439" s="4" t="s">
        <v>5</v>
      </c>
      <c r="C7439" s="4" t="s">
        <v>7</v>
      </c>
      <c r="D7439" s="4" t="s">
        <v>7</v>
      </c>
      <c r="E7439" s="4" t="s">
        <v>13</v>
      </c>
      <c r="F7439" s="4" t="s">
        <v>13</v>
      </c>
      <c r="G7439" s="4" t="s">
        <v>13</v>
      </c>
      <c r="H7439" s="4" t="s">
        <v>11</v>
      </c>
      <c r="I7439" s="4" t="s">
        <v>7</v>
      </c>
    </row>
    <row r="7440" spans="1:9">
      <c r="A7440" t="n">
        <v>67637</v>
      </c>
      <c r="B7440" s="51" t="n">
        <v>45</v>
      </c>
      <c r="C7440" s="7" t="n">
        <v>4</v>
      </c>
      <c r="D7440" s="7" t="n">
        <v>3</v>
      </c>
      <c r="E7440" s="7" t="n">
        <v>7.63000011444092</v>
      </c>
      <c r="F7440" s="7" t="n">
        <v>90</v>
      </c>
      <c r="G7440" s="7" t="n">
        <v>0</v>
      </c>
      <c r="H7440" s="7" t="n">
        <v>0</v>
      </c>
      <c r="I7440" s="7" t="n">
        <v>0</v>
      </c>
    </row>
    <row r="7441" spans="1:9">
      <c r="A7441" t="s">
        <v>4</v>
      </c>
      <c r="B7441" s="4" t="s">
        <v>5</v>
      </c>
      <c r="C7441" s="4" t="s">
        <v>7</v>
      </c>
      <c r="D7441" s="4" t="s">
        <v>7</v>
      </c>
      <c r="E7441" s="4" t="s">
        <v>13</v>
      </c>
      <c r="F7441" s="4" t="s">
        <v>11</v>
      </c>
    </row>
    <row r="7442" spans="1:9">
      <c r="A7442" t="n">
        <v>67655</v>
      </c>
      <c r="B7442" s="51" t="n">
        <v>45</v>
      </c>
      <c r="C7442" s="7" t="n">
        <v>5</v>
      </c>
      <c r="D7442" s="7" t="n">
        <v>3</v>
      </c>
      <c r="E7442" s="7" t="n">
        <v>2.09999990463257</v>
      </c>
      <c r="F7442" s="7" t="n">
        <v>0</v>
      </c>
    </row>
    <row r="7443" spans="1:9">
      <c r="A7443" t="s">
        <v>4</v>
      </c>
      <c r="B7443" s="4" t="s">
        <v>5</v>
      </c>
      <c r="C7443" s="4" t="s">
        <v>7</v>
      </c>
      <c r="D7443" s="4" t="s">
        <v>7</v>
      </c>
      <c r="E7443" s="4" t="s">
        <v>13</v>
      </c>
      <c r="F7443" s="4" t="s">
        <v>11</v>
      </c>
    </row>
    <row r="7444" spans="1:9">
      <c r="A7444" t="n">
        <v>67664</v>
      </c>
      <c r="B7444" s="51" t="n">
        <v>45</v>
      </c>
      <c r="C7444" s="7" t="n">
        <v>11</v>
      </c>
      <c r="D7444" s="7" t="n">
        <v>3</v>
      </c>
      <c r="E7444" s="7" t="n">
        <v>40.2999992370605</v>
      </c>
      <c r="F7444" s="7" t="n">
        <v>0</v>
      </c>
    </row>
    <row r="7445" spans="1:9">
      <c r="A7445" t="s">
        <v>4</v>
      </c>
      <c r="B7445" s="4" t="s">
        <v>5</v>
      </c>
      <c r="C7445" s="4" t="s">
        <v>7</v>
      </c>
      <c r="D7445" s="4" t="s">
        <v>7</v>
      </c>
      <c r="E7445" s="4" t="s">
        <v>13</v>
      </c>
      <c r="F7445" s="4" t="s">
        <v>13</v>
      </c>
      <c r="G7445" s="4" t="s">
        <v>13</v>
      </c>
      <c r="H7445" s="4" t="s">
        <v>11</v>
      </c>
    </row>
    <row r="7446" spans="1:9">
      <c r="A7446" t="n">
        <v>67673</v>
      </c>
      <c r="B7446" s="51" t="n">
        <v>45</v>
      </c>
      <c r="C7446" s="7" t="n">
        <v>2</v>
      </c>
      <c r="D7446" s="7" t="n">
        <v>3</v>
      </c>
      <c r="E7446" s="7" t="n">
        <v>-9.10000038146973</v>
      </c>
      <c r="F7446" s="7" t="n">
        <v>6.75</v>
      </c>
      <c r="G7446" s="7" t="n">
        <v>31.9699993133545</v>
      </c>
      <c r="H7446" s="7" t="n">
        <v>6000</v>
      </c>
    </row>
    <row r="7447" spans="1:9">
      <c r="A7447" t="s">
        <v>4</v>
      </c>
      <c r="B7447" s="4" t="s">
        <v>5</v>
      </c>
      <c r="C7447" s="4" t="s">
        <v>7</v>
      </c>
      <c r="D7447" s="4" t="s">
        <v>7</v>
      </c>
      <c r="E7447" s="4" t="s">
        <v>13</v>
      </c>
      <c r="F7447" s="4" t="s">
        <v>13</v>
      </c>
      <c r="G7447" s="4" t="s">
        <v>13</v>
      </c>
      <c r="H7447" s="4" t="s">
        <v>11</v>
      </c>
      <c r="I7447" s="4" t="s">
        <v>7</v>
      </c>
    </row>
    <row r="7448" spans="1:9">
      <c r="A7448" t="n">
        <v>67690</v>
      </c>
      <c r="B7448" s="51" t="n">
        <v>45</v>
      </c>
      <c r="C7448" s="7" t="n">
        <v>4</v>
      </c>
      <c r="D7448" s="7" t="n">
        <v>3</v>
      </c>
      <c r="E7448" s="7" t="n">
        <v>0.0299999993294477</v>
      </c>
      <c r="F7448" s="7" t="n">
        <v>90</v>
      </c>
      <c r="G7448" s="7" t="n">
        <v>0</v>
      </c>
      <c r="H7448" s="7" t="n">
        <v>6000</v>
      </c>
      <c r="I7448" s="7" t="n">
        <v>0</v>
      </c>
    </row>
    <row r="7449" spans="1:9">
      <c r="A7449" t="s">
        <v>4</v>
      </c>
      <c r="B7449" s="4" t="s">
        <v>5</v>
      </c>
      <c r="C7449" s="4" t="s">
        <v>7</v>
      </c>
      <c r="D7449" s="4" t="s">
        <v>7</v>
      </c>
      <c r="E7449" s="4" t="s">
        <v>13</v>
      </c>
      <c r="F7449" s="4" t="s">
        <v>11</v>
      </c>
    </row>
    <row r="7450" spans="1:9">
      <c r="A7450" t="n">
        <v>67708</v>
      </c>
      <c r="B7450" s="51" t="n">
        <v>45</v>
      </c>
      <c r="C7450" s="7" t="n">
        <v>5</v>
      </c>
      <c r="D7450" s="7" t="n">
        <v>3</v>
      </c>
      <c r="E7450" s="7" t="n">
        <v>1.79999995231628</v>
      </c>
      <c r="F7450" s="7" t="n">
        <v>6000</v>
      </c>
    </row>
    <row r="7451" spans="1:9">
      <c r="A7451" t="s">
        <v>4</v>
      </c>
      <c r="B7451" s="4" t="s">
        <v>5</v>
      </c>
      <c r="C7451" s="4" t="s">
        <v>8</v>
      </c>
      <c r="D7451" s="4" t="s">
        <v>8</v>
      </c>
    </row>
    <row r="7452" spans="1:9">
      <c r="A7452" t="n">
        <v>67717</v>
      </c>
      <c r="B7452" s="52" t="n">
        <v>70</v>
      </c>
      <c r="C7452" s="7" t="s">
        <v>25</v>
      </c>
      <c r="D7452" s="7" t="s">
        <v>109</v>
      </c>
    </row>
    <row r="7453" spans="1:9">
      <c r="A7453" t="s">
        <v>4</v>
      </c>
      <c r="B7453" s="4" t="s">
        <v>5</v>
      </c>
      <c r="C7453" s="4" t="s">
        <v>7</v>
      </c>
      <c r="D7453" s="4" t="s">
        <v>11</v>
      </c>
      <c r="E7453" s="4" t="s">
        <v>13</v>
      </c>
    </row>
    <row r="7454" spans="1:9">
      <c r="A7454" t="n">
        <v>67734</v>
      </c>
      <c r="B7454" s="23" t="n">
        <v>58</v>
      </c>
      <c r="C7454" s="7" t="n">
        <v>100</v>
      </c>
      <c r="D7454" s="7" t="n">
        <v>1000</v>
      </c>
      <c r="E7454" s="7" t="n">
        <v>1</v>
      </c>
    </row>
    <row r="7455" spans="1:9">
      <c r="A7455" t="s">
        <v>4</v>
      </c>
      <c r="B7455" s="4" t="s">
        <v>5</v>
      </c>
      <c r="C7455" s="4" t="s">
        <v>7</v>
      </c>
      <c r="D7455" s="4" t="s">
        <v>11</v>
      </c>
    </row>
    <row r="7456" spans="1:9">
      <c r="A7456" t="n">
        <v>67742</v>
      </c>
      <c r="B7456" s="23" t="n">
        <v>58</v>
      </c>
      <c r="C7456" s="7" t="n">
        <v>255</v>
      </c>
      <c r="D7456" s="7" t="n">
        <v>0</v>
      </c>
    </row>
    <row r="7457" spans="1:9">
      <c r="A7457" t="s">
        <v>4</v>
      </c>
      <c r="B7457" s="4" t="s">
        <v>5</v>
      </c>
      <c r="C7457" s="4" t="s">
        <v>7</v>
      </c>
      <c r="D7457" s="4" t="s">
        <v>8</v>
      </c>
      <c r="E7457" s="4" t="s">
        <v>11</v>
      </c>
    </row>
    <row r="7458" spans="1:9">
      <c r="A7458" t="n">
        <v>67746</v>
      </c>
      <c r="B7458" s="15" t="n">
        <v>94</v>
      </c>
      <c r="C7458" s="7" t="n">
        <v>1</v>
      </c>
      <c r="D7458" s="7" t="s">
        <v>25</v>
      </c>
      <c r="E7458" s="7" t="n">
        <v>512</v>
      </c>
    </row>
    <row r="7459" spans="1:9">
      <c r="A7459" t="s">
        <v>4</v>
      </c>
      <c r="B7459" s="4" t="s">
        <v>5</v>
      </c>
      <c r="C7459" s="4" t="s">
        <v>11</v>
      </c>
    </row>
    <row r="7460" spans="1:9">
      <c r="A7460" t="n">
        <v>67760</v>
      </c>
      <c r="B7460" s="29" t="n">
        <v>16</v>
      </c>
      <c r="C7460" s="7" t="n">
        <v>4000</v>
      </c>
    </row>
    <row r="7461" spans="1:9">
      <c r="A7461" t="s">
        <v>4</v>
      </c>
      <c r="B7461" s="4" t="s">
        <v>5</v>
      </c>
      <c r="C7461" s="4" t="s">
        <v>11</v>
      </c>
      <c r="D7461" s="4" t="s">
        <v>7</v>
      </c>
      <c r="E7461" s="4" t="s">
        <v>13</v>
      </c>
      <c r="F7461" s="4" t="s">
        <v>11</v>
      </c>
    </row>
    <row r="7462" spans="1:9">
      <c r="A7462" t="n">
        <v>67763</v>
      </c>
      <c r="B7462" s="56" t="n">
        <v>59</v>
      </c>
      <c r="C7462" s="7" t="n">
        <v>0</v>
      </c>
      <c r="D7462" s="7" t="n">
        <v>9</v>
      </c>
      <c r="E7462" s="7" t="n">
        <v>0.150000005960464</v>
      </c>
      <c r="F7462" s="7" t="n">
        <v>0</v>
      </c>
    </row>
    <row r="7463" spans="1:9">
      <c r="A7463" t="s">
        <v>4</v>
      </c>
      <c r="B7463" s="4" t="s">
        <v>5</v>
      </c>
      <c r="C7463" s="4" t="s">
        <v>11</v>
      </c>
      <c r="D7463" s="4" t="s">
        <v>7</v>
      </c>
      <c r="E7463" s="4" t="s">
        <v>13</v>
      </c>
      <c r="F7463" s="4" t="s">
        <v>11</v>
      </c>
    </row>
    <row r="7464" spans="1:9">
      <c r="A7464" t="n">
        <v>67773</v>
      </c>
      <c r="B7464" s="56" t="n">
        <v>59</v>
      </c>
      <c r="C7464" s="7" t="n">
        <v>9</v>
      </c>
      <c r="D7464" s="7" t="n">
        <v>9</v>
      </c>
      <c r="E7464" s="7" t="n">
        <v>0.150000005960464</v>
      </c>
      <c r="F7464" s="7" t="n">
        <v>0</v>
      </c>
    </row>
    <row r="7465" spans="1:9">
      <c r="A7465" t="s">
        <v>4</v>
      </c>
      <c r="B7465" s="4" t="s">
        <v>5</v>
      </c>
      <c r="C7465" s="4" t="s">
        <v>11</v>
      </c>
    </row>
    <row r="7466" spans="1:9">
      <c r="A7466" t="n">
        <v>67783</v>
      </c>
      <c r="B7466" s="29" t="n">
        <v>16</v>
      </c>
      <c r="C7466" s="7" t="n">
        <v>1500</v>
      </c>
    </row>
    <row r="7467" spans="1:9">
      <c r="A7467" t="s">
        <v>4</v>
      </c>
      <c r="B7467" s="4" t="s">
        <v>5</v>
      </c>
      <c r="C7467" s="4" t="s">
        <v>7</v>
      </c>
      <c r="D7467" s="4" t="s">
        <v>11</v>
      </c>
    </row>
    <row r="7468" spans="1:9">
      <c r="A7468" t="n">
        <v>67786</v>
      </c>
      <c r="B7468" s="51" t="n">
        <v>45</v>
      </c>
      <c r="C7468" s="7" t="n">
        <v>7</v>
      </c>
      <c r="D7468" s="7" t="n">
        <v>255</v>
      </c>
    </row>
    <row r="7469" spans="1:9">
      <c r="A7469" t="s">
        <v>4</v>
      </c>
      <c r="B7469" s="4" t="s">
        <v>5</v>
      </c>
      <c r="C7469" s="4" t="s">
        <v>7</v>
      </c>
      <c r="D7469" s="4" t="s">
        <v>11</v>
      </c>
      <c r="E7469" s="4" t="s">
        <v>13</v>
      </c>
    </row>
    <row r="7470" spans="1:9">
      <c r="A7470" t="n">
        <v>67790</v>
      </c>
      <c r="B7470" s="23" t="n">
        <v>58</v>
      </c>
      <c r="C7470" s="7" t="n">
        <v>0</v>
      </c>
      <c r="D7470" s="7" t="n">
        <v>2000</v>
      </c>
      <c r="E7470" s="7" t="n">
        <v>1</v>
      </c>
    </row>
    <row r="7471" spans="1:9">
      <c r="A7471" t="s">
        <v>4</v>
      </c>
      <c r="B7471" s="4" t="s">
        <v>5</v>
      </c>
      <c r="C7471" s="4" t="s">
        <v>7</v>
      </c>
      <c r="D7471" s="4" t="s">
        <v>11</v>
      </c>
    </row>
    <row r="7472" spans="1:9">
      <c r="A7472" t="n">
        <v>67798</v>
      </c>
      <c r="B7472" s="23" t="n">
        <v>58</v>
      </c>
      <c r="C7472" s="7" t="n">
        <v>255</v>
      </c>
      <c r="D7472" s="7" t="n">
        <v>0</v>
      </c>
    </row>
    <row r="7473" spans="1:6">
      <c r="A7473" t="s">
        <v>4</v>
      </c>
      <c r="B7473" s="4" t="s">
        <v>5</v>
      </c>
      <c r="C7473" s="4" t="s">
        <v>7</v>
      </c>
      <c r="D7473" s="4" t="s">
        <v>7</v>
      </c>
      <c r="E7473" s="4" t="s">
        <v>13</v>
      </c>
      <c r="F7473" s="4" t="s">
        <v>13</v>
      </c>
      <c r="G7473" s="4" t="s">
        <v>13</v>
      </c>
      <c r="H7473" s="4" t="s">
        <v>11</v>
      </c>
    </row>
    <row r="7474" spans="1:6">
      <c r="A7474" t="n">
        <v>67802</v>
      </c>
      <c r="B7474" s="51" t="n">
        <v>45</v>
      </c>
      <c r="C7474" s="7" t="n">
        <v>2</v>
      </c>
      <c r="D7474" s="7" t="n">
        <v>3</v>
      </c>
      <c r="E7474" s="7" t="n">
        <v>-7.84000015258789</v>
      </c>
      <c r="F7474" s="7" t="n">
        <v>7.17000007629395</v>
      </c>
      <c r="G7474" s="7" t="n">
        <v>31.6599998474121</v>
      </c>
      <c r="H7474" s="7" t="n">
        <v>0</v>
      </c>
    </row>
    <row r="7475" spans="1:6">
      <c r="A7475" t="s">
        <v>4</v>
      </c>
      <c r="B7475" s="4" t="s">
        <v>5</v>
      </c>
      <c r="C7475" s="4" t="s">
        <v>7</v>
      </c>
      <c r="D7475" s="4" t="s">
        <v>7</v>
      </c>
      <c r="E7475" s="4" t="s">
        <v>13</v>
      </c>
      <c r="F7475" s="4" t="s">
        <v>13</v>
      </c>
      <c r="G7475" s="4" t="s">
        <v>13</v>
      </c>
      <c r="H7475" s="4" t="s">
        <v>11</v>
      </c>
      <c r="I7475" s="4" t="s">
        <v>7</v>
      </c>
    </row>
    <row r="7476" spans="1:6">
      <c r="A7476" t="n">
        <v>67819</v>
      </c>
      <c r="B7476" s="51" t="n">
        <v>45</v>
      </c>
      <c r="C7476" s="7" t="n">
        <v>4</v>
      </c>
      <c r="D7476" s="7" t="n">
        <v>3</v>
      </c>
      <c r="E7476" s="7" t="n">
        <v>9.01000022888184</v>
      </c>
      <c r="F7476" s="7" t="n">
        <v>55.7900009155273</v>
      </c>
      <c r="G7476" s="7" t="n">
        <v>0</v>
      </c>
      <c r="H7476" s="7" t="n">
        <v>0</v>
      </c>
      <c r="I7476" s="7" t="n">
        <v>0</v>
      </c>
    </row>
    <row r="7477" spans="1:6">
      <c r="A7477" t="s">
        <v>4</v>
      </c>
      <c r="B7477" s="4" t="s">
        <v>5</v>
      </c>
      <c r="C7477" s="4" t="s">
        <v>7</v>
      </c>
      <c r="D7477" s="4" t="s">
        <v>7</v>
      </c>
      <c r="E7477" s="4" t="s">
        <v>13</v>
      </c>
      <c r="F7477" s="4" t="s">
        <v>11</v>
      </c>
    </row>
    <row r="7478" spans="1:6">
      <c r="A7478" t="n">
        <v>67837</v>
      </c>
      <c r="B7478" s="51" t="n">
        <v>45</v>
      </c>
      <c r="C7478" s="7" t="n">
        <v>5</v>
      </c>
      <c r="D7478" s="7" t="n">
        <v>3</v>
      </c>
      <c r="E7478" s="7" t="n">
        <v>2.40000009536743</v>
      </c>
      <c r="F7478" s="7" t="n">
        <v>0</v>
      </c>
    </row>
    <row r="7479" spans="1:6">
      <c r="A7479" t="s">
        <v>4</v>
      </c>
      <c r="B7479" s="4" t="s">
        <v>5</v>
      </c>
      <c r="C7479" s="4" t="s">
        <v>7</v>
      </c>
      <c r="D7479" s="4" t="s">
        <v>7</v>
      </c>
      <c r="E7479" s="4" t="s">
        <v>13</v>
      </c>
      <c r="F7479" s="4" t="s">
        <v>11</v>
      </c>
    </row>
    <row r="7480" spans="1:6">
      <c r="A7480" t="n">
        <v>67846</v>
      </c>
      <c r="B7480" s="51" t="n">
        <v>45</v>
      </c>
      <c r="C7480" s="7" t="n">
        <v>11</v>
      </c>
      <c r="D7480" s="7" t="n">
        <v>3</v>
      </c>
      <c r="E7480" s="7" t="n">
        <v>40.2999992370605</v>
      </c>
      <c r="F7480" s="7" t="n">
        <v>0</v>
      </c>
    </row>
    <row r="7481" spans="1:6">
      <c r="A7481" t="s">
        <v>4</v>
      </c>
      <c r="B7481" s="4" t="s">
        <v>5</v>
      </c>
      <c r="C7481" s="4" t="s">
        <v>7</v>
      </c>
      <c r="D7481" s="4" t="s">
        <v>7</v>
      </c>
      <c r="E7481" s="4" t="s">
        <v>13</v>
      </c>
      <c r="F7481" s="4" t="s">
        <v>13</v>
      </c>
      <c r="G7481" s="4" t="s">
        <v>13</v>
      </c>
      <c r="H7481" s="4" t="s">
        <v>11</v>
      </c>
    </row>
    <row r="7482" spans="1:6">
      <c r="A7482" t="n">
        <v>67855</v>
      </c>
      <c r="B7482" s="51" t="n">
        <v>45</v>
      </c>
      <c r="C7482" s="7" t="n">
        <v>2</v>
      </c>
      <c r="D7482" s="7" t="n">
        <v>3</v>
      </c>
      <c r="E7482" s="7" t="n">
        <v>-6.8899998664856</v>
      </c>
      <c r="F7482" s="7" t="n">
        <v>6.26999998092651</v>
      </c>
      <c r="G7482" s="7" t="n">
        <v>30.0599994659424</v>
      </c>
      <c r="H7482" s="7" t="n">
        <v>6000</v>
      </c>
    </row>
    <row r="7483" spans="1:6">
      <c r="A7483" t="s">
        <v>4</v>
      </c>
      <c r="B7483" s="4" t="s">
        <v>5</v>
      </c>
      <c r="C7483" s="4" t="s">
        <v>7</v>
      </c>
      <c r="D7483" s="4" t="s">
        <v>7</v>
      </c>
      <c r="E7483" s="4" t="s">
        <v>13</v>
      </c>
      <c r="F7483" s="4" t="s">
        <v>13</v>
      </c>
      <c r="G7483" s="4" t="s">
        <v>13</v>
      </c>
      <c r="H7483" s="4" t="s">
        <v>11</v>
      </c>
      <c r="I7483" s="4" t="s">
        <v>7</v>
      </c>
    </row>
    <row r="7484" spans="1:6">
      <c r="A7484" t="n">
        <v>67872</v>
      </c>
      <c r="B7484" s="51" t="n">
        <v>45</v>
      </c>
      <c r="C7484" s="7" t="n">
        <v>4</v>
      </c>
      <c r="D7484" s="7" t="n">
        <v>3</v>
      </c>
      <c r="E7484" s="7" t="n">
        <v>6.73999977111816</v>
      </c>
      <c r="F7484" s="7" t="n">
        <v>13.6199998855591</v>
      </c>
      <c r="G7484" s="7" t="n">
        <v>0</v>
      </c>
      <c r="H7484" s="7" t="n">
        <v>6000</v>
      </c>
      <c r="I7484" s="7" t="n">
        <v>1</v>
      </c>
    </row>
    <row r="7485" spans="1:6">
      <c r="A7485" t="s">
        <v>4</v>
      </c>
      <c r="B7485" s="4" t="s">
        <v>5</v>
      </c>
      <c r="C7485" s="4" t="s">
        <v>11</v>
      </c>
      <c r="D7485" s="4" t="s">
        <v>13</v>
      </c>
      <c r="E7485" s="4" t="s">
        <v>13</v>
      </c>
      <c r="F7485" s="4" t="s">
        <v>13</v>
      </c>
      <c r="G7485" s="4" t="s">
        <v>13</v>
      </c>
    </row>
    <row r="7486" spans="1:6">
      <c r="A7486" t="n">
        <v>67890</v>
      </c>
      <c r="B7486" s="36" t="n">
        <v>46</v>
      </c>
      <c r="C7486" s="7" t="n">
        <v>0</v>
      </c>
      <c r="D7486" s="7" t="n">
        <v>-6.51000022888184</v>
      </c>
      <c r="E7486" s="7" t="n">
        <v>5</v>
      </c>
      <c r="F7486" s="7" t="n">
        <v>29.8999996185303</v>
      </c>
      <c r="G7486" s="7" t="n">
        <v>208</v>
      </c>
    </row>
    <row r="7487" spans="1:6">
      <c r="A7487" t="s">
        <v>4</v>
      </c>
      <c r="B7487" s="4" t="s">
        <v>5</v>
      </c>
      <c r="C7487" s="4" t="s">
        <v>11</v>
      </c>
      <c r="D7487" s="4" t="s">
        <v>13</v>
      </c>
      <c r="E7487" s="4" t="s">
        <v>13</v>
      </c>
      <c r="F7487" s="4" t="s">
        <v>13</v>
      </c>
      <c r="G7487" s="4" t="s">
        <v>13</v>
      </c>
    </row>
    <row r="7488" spans="1:6">
      <c r="A7488" t="n">
        <v>67909</v>
      </c>
      <c r="B7488" s="36" t="n">
        <v>46</v>
      </c>
      <c r="C7488" s="7" t="n">
        <v>9</v>
      </c>
      <c r="D7488" s="7" t="n">
        <v>-7.44999980926514</v>
      </c>
      <c r="E7488" s="7" t="n">
        <v>5</v>
      </c>
      <c r="F7488" s="7" t="n">
        <v>29.7999992370605</v>
      </c>
      <c r="G7488" s="7" t="n">
        <v>151.199996948242</v>
      </c>
    </row>
    <row r="7489" spans="1:9">
      <c r="A7489" t="s">
        <v>4</v>
      </c>
      <c r="B7489" s="4" t="s">
        <v>5</v>
      </c>
      <c r="C7489" s="4" t="s">
        <v>8</v>
      </c>
      <c r="D7489" s="4" t="s">
        <v>8</v>
      </c>
    </row>
    <row r="7490" spans="1:9">
      <c r="A7490" t="n">
        <v>67928</v>
      </c>
      <c r="B7490" s="52" t="n">
        <v>70</v>
      </c>
      <c r="C7490" s="7" t="s">
        <v>25</v>
      </c>
      <c r="D7490" s="7" t="s">
        <v>118</v>
      </c>
    </row>
    <row r="7491" spans="1:9">
      <c r="A7491" t="s">
        <v>4</v>
      </c>
      <c r="B7491" s="4" t="s">
        <v>5</v>
      </c>
      <c r="C7491" s="4" t="s">
        <v>11</v>
      </c>
      <c r="D7491" s="4" t="s">
        <v>11</v>
      </c>
      <c r="E7491" s="4" t="s">
        <v>11</v>
      </c>
    </row>
    <row r="7492" spans="1:9">
      <c r="A7492" t="n">
        <v>67944</v>
      </c>
      <c r="B7492" s="72" t="n">
        <v>61</v>
      </c>
      <c r="C7492" s="7" t="n">
        <v>0</v>
      </c>
      <c r="D7492" s="7" t="n">
        <v>9</v>
      </c>
      <c r="E7492" s="7" t="n">
        <v>0</v>
      </c>
    </row>
    <row r="7493" spans="1:9">
      <c r="A7493" t="s">
        <v>4</v>
      </c>
      <c r="B7493" s="4" t="s">
        <v>5</v>
      </c>
      <c r="C7493" s="4" t="s">
        <v>11</v>
      </c>
      <c r="D7493" s="4" t="s">
        <v>11</v>
      </c>
      <c r="E7493" s="4" t="s">
        <v>11</v>
      </c>
    </row>
    <row r="7494" spans="1:9">
      <c r="A7494" t="n">
        <v>67951</v>
      </c>
      <c r="B7494" s="72" t="n">
        <v>61</v>
      </c>
      <c r="C7494" s="7" t="n">
        <v>9</v>
      </c>
      <c r="D7494" s="7" t="n">
        <v>0</v>
      </c>
      <c r="E7494" s="7" t="n">
        <v>0</v>
      </c>
    </row>
    <row r="7495" spans="1:9">
      <c r="A7495" t="s">
        <v>4</v>
      </c>
      <c r="B7495" s="4" t="s">
        <v>5</v>
      </c>
      <c r="C7495" s="4" t="s">
        <v>7</v>
      </c>
      <c r="D7495" s="4" t="s">
        <v>11</v>
      </c>
      <c r="E7495" s="4" t="s">
        <v>13</v>
      </c>
    </row>
    <row r="7496" spans="1:9">
      <c r="A7496" t="n">
        <v>67958</v>
      </c>
      <c r="B7496" s="23" t="n">
        <v>58</v>
      </c>
      <c r="C7496" s="7" t="n">
        <v>100</v>
      </c>
      <c r="D7496" s="7" t="n">
        <v>1000</v>
      </c>
      <c r="E7496" s="7" t="n">
        <v>1</v>
      </c>
    </row>
    <row r="7497" spans="1:9">
      <c r="A7497" t="s">
        <v>4</v>
      </c>
      <c r="B7497" s="4" t="s">
        <v>5</v>
      </c>
      <c r="C7497" s="4" t="s">
        <v>7</v>
      </c>
      <c r="D7497" s="4" t="s">
        <v>11</v>
      </c>
    </row>
    <row r="7498" spans="1:9">
      <c r="A7498" t="n">
        <v>67966</v>
      </c>
      <c r="B7498" s="23" t="n">
        <v>58</v>
      </c>
      <c r="C7498" s="7" t="n">
        <v>255</v>
      </c>
      <c r="D7498" s="7" t="n">
        <v>0</v>
      </c>
    </row>
    <row r="7499" spans="1:9">
      <c r="A7499" t="s">
        <v>4</v>
      </c>
      <c r="B7499" s="4" t="s">
        <v>5</v>
      </c>
      <c r="C7499" s="4" t="s">
        <v>11</v>
      </c>
    </row>
    <row r="7500" spans="1:9">
      <c r="A7500" t="n">
        <v>67970</v>
      </c>
      <c r="B7500" s="29" t="n">
        <v>16</v>
      </c>
      <c r="C7500" s="7" t="n">
        <v>1000</v>
      </c>
    </row>
    <row r="7501" spans="1:9">
      <c r="A7501" t="s">
        <v>4</v>
      </c>
      <c r="B7501" s="4" t="s">
        <v>5</v>
      </c>
      <c r="C7501" s="4" t="s">
        <v>7</v>
      </c>
      <c r="D7501" s="4" t="s">
        <v>11</v>
      </c>
    </row>
    <row r="7502" spans="1:9">
      <c r="A7502" t="n">
        <v>67973</v>
      </c>
      <c r="B7502" s="51" t="n">
        <v>45</v>
      </c>
      <c r="C7502" s="7" t="n">
        <v>7</v>
      </c>
      <c r="D7502" s="7" t="n">
        <v>255</v>
      </c>
    </row>
    <row r="7503" spans="1:9">
      <c r="A7503" t="s">
        <v>4</v>
      </c>
      <c r="B7503" s="4" t="s">
        <v>5</v>
      </c>
      <c r="C7503" s="4" t="s">
        <v>7</v>
      </c>
      <c r="D7503" s="4" t="s">
        <v>11</v>
      </c>
      <c r="E7503" s="4" t="s">
        <v>13</v>
      </c>
    </row>
    <row r="7504" spans="1:9">
      <c r="A7504" t="n">
        <v>67977</v>
      </c>
      <c r="B7504" s="23" t="n">
        <v>58</v>
      </c>
      <c r="C7504" s="7" t="n">
        <v>101</v>
      </c>
      <c r="D7504" s="7" t="n">
        <v>500</v>
      </c>
      <c r="E7504" s="7" t="n">
        <v>1</v>
      </c>
    </row>
    <row r="7505" spans="1:5">
      <c r="A7505" t="s">
        <v>4</v>
      </c>
      <c r="B7505" s="4" t="s">
        <v>5</v>
      </c>
      <c r="C7505" s="4" t="s">
        <v>7</v>
      </c>
      <c r="D7505" s="4" t="s">
        <v>11</v>
      </c>
    </row>
    <row r="7506" spans="1:5">
      <c r="A7506" t="n">
        <v>67985</v>
      </c>
      <c r="B7506" s="23" t="n">
        <v>58</v>
      </c>
      <c r="C7506" s="7" t="n">
        <v>254</v>
      </c>
      <c r="D7506" s="7" t="n">
        <v>0</v>
      </c>
    </row>
    <row r="7507" spans="1:5">
      <c r="A7507" t="s">
        <v>4</v>
      </c>
      <c r="B7507" s="4" t="s">
        <v>5</v>
      </c>
      <c r="C7507" s="4" t="s">
        <v>7</v>
      </c>
      <c r="D7507" s="4" t="s">
        <v>11</v>
      </c>
      <c r="E7507" s="4" t="s">
        <v>8</v>
      </c>
      <c r="F7507" s="4" t="s">
        <v>8</v>
      </c>
      <c r="G7507" s="4" t="s">
        <v>8</v>
      </c>
      <c r="H7507" s="4" t="s">
        <v>8</v>
      </c>
    </row>
    <row r="7508" spans="1:5">
      <c r="A7508" t="n">
        <v>67989</v>
      </c>
      <c r="B7508" s="38" t="n">
        <v>51</v>
      </c>
      <c r="C7508" s="7" t="n">
        <v>3</v>
      </c>
      <c r="D7508" s="7" t="n">
        <v>9</v>
      </c>
      <c r="E7508" s="7" t="s">
        <v>79</v>
      </c>
      <c r="F7508" s="7" t="s">
        <v>79</v>
      </c>
      <c r="G7508" s="7" t="s">
        <v>78</v>
      </c>
      <c r="H7508" s="7" t="s">
        <v>79</v>
      </c>
    </row>
    <row r="7509" spans="1:5">
      <c r="A7509" t="s">
        <v>4</v>
      </c>
      <c r="B7509" s="4" t="s">
        <v>5</v>
      </c>
      <c r="C7509" s="4" t="s">
        <v>7</v>
      </c>
      <c r="D7509" s="4" t="s">
        <v>11</v>
      </c>
      <c r="E7509" s="4" t="s">
        <v>11</v>
      </c>
      <c r="F7509" s="4" t="s">
        <v>15</v>
      </c>
      <c r="G7509" s="4" t="s">
        <v>15</v>
      </c>
      <c r="H7509" s="4" t="s">
        <v>15</v>
      </c>
    </row>
    <row r="7510" spans="1:5">
      <c r="A7510" t="n">
        <v>68002</v>
      </c>
      <c r="B7510" s="77" t="n">
        <v>97</v>
      </c>
      <c r="C7510" s="7" t="n">
        <v>6</v>
      </c>
      <c r="D7510" s="7" t="n">
        <v>0</v>
      </c>
      <c r="E7510" s="7" t="n">
        <v>0</v>
      </c>
      <c r="F7510" s="7" t="n">
        <v>-1065143501</v>
      </c>
      <c r="G7510" s="7" t="n">
        <v>1101004800</v>
      </c>
      <c r="H7510" s="7" t="n">
        <v>1101004800</v>
      </c>
    </row>
    <row r="7511" spans="1:5">
      <c r="A7511" t="s">
        <v>4</v>
      </c>
      <c r="B7511" s="4" t="s">
        <v>5</v>
      </c>
      <c r="C7511" s="4" t="s">
        <v>7</v>
      </c>
      <c r="D7511" s="4" t="s">
        <v>7</v>
      </c>
      <c r="E7511" s="4" t="s">
        <v>13</v>
      </c>
      <c r="F7511" s="4" t="s">
        <v>13</v>
      </c>
      <c r="G7511" s="4" t="s">
        <v>13</v>
      </c>
      <c r="H7511" s="4" t="s">
        <v>11</v>
      </c>
    </row>
    <row r="7512" spans="1:5">
      <c r="A7512" t="n">
        <v>68020</v>
      </c>
      <c r="B7512" s="51" t="n">
        <v>45</v>
      </c>
      <c r="C7512" s="7" t="n">
        <v>2</v>
      </c>
      <c r="D7512" s="7" t="n">
        <v>3</v>
      </c>
      <c r="E7512" s="7" t="n">
        <v>-6.8600001335144</v>
      </c>
      <c r="F7512" s="7" t="n">
        <v>6.34000015258789</v>
      </c>
      <c r="G7512" s="7" t="n">
        <v>29.8500003814697</v>
      </c>
      <c r="H7512" s="7" t="n">
        <v>0</v>
      </c>
    </row>
    <row r="7513" spans="1:5">
      <c r="A7513" t="s">
        <v>4</v>
      </c>
      <c r="B7513" s="4" t="s">
        <v>5</v>
      </c>
      <c r="C7513" s="4" t="s">
        <v>7</v>
      </c>
      <c r="D7513" s="4" t="s">
        <v>7</v>
      </c>
      <c r="E7513" s="4" t="s">
        <v>13</v>
      </c>
      <c r="F7513" s="4" t="s">
        <v>13</v>
      </c>
      <c r="G7513" s="4" t="s">
        <v>13</v>
      </c>
      <c r="H7513" s="4" t="s">
        <v>11</v>
      </c>
      <c r="I7513" s="4" t="s">
        <v>7</v>
      </c>
    </row>
    <row r="7514" spans="1:5">
      <c r="A7514" t="n">
        <v>68037</v>
      </c>
      <c r="B7514" s="51" t="n">
        <v>45</v>
      </c>
      <c r="C7514" s="7" t="n">
        <v>4</v>
      </c>
      <c r="D7514" s="7" t="n">
        <v>3</v>
      </c>
      <c r="E7514" s="7" t="n">
        <v>18.2999992370605</v>
      </c>
      <c r="F7514" s="7" t="n">
        <v>137.570007324219</v>
      </c>
      <c r="G7514" s="7" t="n">
        <v>0</v>
      </c>
      <c r="H7514" s="7" t="n">
        <v>0</v>
      </c>
      <c r="I7514" s="7" t="n">
        <v>0</v>
      </c>
    </row>
    <row r="7515" spans="1:5">
      <c r="A7515" t="s">
        <v>4</v>
      </c>
      <c r="B7515" s="4" t="s">
        <v>5</v>
      </c>
      <c r="C7515" s="4" t="s">
        <v>7</v>
      </c>
      <c r="D7515" s="4" t="s">
        <v>7</v>
      </c>
      <c r="E7515" s="4" t="s">
        <v>13</v>
      </c>
      <c r="F7515" s="4" t="s">
        <v>11</v>
      </c>
    </row>
    <row r="7516" spans="1:5">
      <c r="A7516" t="n">
        <v>68055</v>
      </c>
      <c r="B7516" s="51" t="n">
        <v>45</v>
      </c>
      <c r="C7516" s="7" t="n">
        <v>5</v>
      </c>
      <c r="D7516" s="7" t="n">
        <v>3</v>
      </c>
      <c r="E7516" s="7" t="n">
        <v>1.29999995231628</v>
      </c>
      <c r="F7516" s="7" t="n">
        <v>0</v>
      </c>
    </row>
    <row r="7517" spans="1:5">
      <c r="A7517" t="s">
        <v>4</v>
      </c>
      <c r="B7517" s="4" t="s">
        <v>5</v>
      </c>
      <c r="C7517" s="4" t="s">
        <v>7</v>
      </c>
      <c r="D7517" s="4" t="s">
        <v>7</v>
      </c>
      <c r="E7517" s="4" t="s">
        <v>13</v>
      </c>
      <c r="F7517" s="4" t="s">
        <v>11</v>
      </c>
    </row>
    <row r="7518" spans="1:5">
      <c r="A7518" t="n">
        <v>68064</v>
      </c>
      <c r="B7518" s="51" t="n">
        <v>45</v>
      </c>
      <c r="C7518" s="7" t="n">
        <v>11</v>
      </c>
      <c r="D7518" s="7" t="n">
        <v>3</v>
      </c>
      <c r="E7518" s="7" t="n">
        <v>40.2999992370605</v>
      </c>
      <c r="F7518" s="7" t="n">
        <v>0</v>
      </c>
    </row>
    <row r="7519" spans="1:5">
      <c r="A7519" t="s">
        <v>4</v>
      </c>
      <c r="B7519" s="4" t="s">
        <v>5</v>
      </c>
      <c r="C7519" s="4" t="s">
        <v>7</v>
      </c>
      <c r="D7519" s="4" t="s">
        <v>11</v>
      </c>
    </row>
    <row r="7520" spans="1:5">
      <c r="A7520" t="n">
        <v>68073</v>
      </c>
      <c r="B7520" s="23" t="n">
        <v>58</v>
      </c>
      <c r="C7520" s="7" t="n">
        <v>255</v>
      </c>
      <c r="D7520" s="7" t="n">
        <v>0</v>
      </c>
    </row>
    <row r="7521" spans="1:9">
      <c r="A7521" t="s">
        <v>4</v>
      </c>
      <c r="B7521" s="4" t="s">
        <v>5</v>
      </c>
      <c r="C7521" s="4" t="s">
        <v>7</v>
      </c>
      <c r="D7521" s="4" t="s">
        <v>11</v>
      </c>
      <c r="E7521" s="4" t="s">
        <v>8</v>
      </c>
    </row>
    <row r="7522" spans="1:9">
      <c r="A7522" t="n">
        <v>68077</v>
      </c>
      <c r="B7522" s="38" t="n">
        <v>51</v>
      </c>
      <c r="C7522" s="7" t="n">
        <v>4</v>
      </c>
      <c r="D7522" s="7" t="n">
        <v>9</v>
      </c>
      <c r="E7522" s="7" t="s">
        <v>643</v>
      </c>
    </row>
    <row r="7523" spans="1:9">
      <c r="A7523" t="s">
        <v>4</v>
      </c>
      <c r="B7523" s="4" t="s">
        <v>5</v>
      </c>
      <c r="C7523" s="4" t="s">
        <v>11</v>
      </c>
    </row>
    <row r="7524" spans="1:9">
      <c r="A7524" t="n">
        <v>68090</v>
      </c>
      <c r="B7524" s="29" t="n">
        <v>16</v>
      </c>
      <c r="C7524" s="7" t="n">
        <v>0</v>
      </c>
    </row>
    <row r="7525" spans="1:9">
      <c r="A7525" t="s">
        <v>4</v>
      </c>
      <c r="B7525" s="4" t="s">
        <v>5</v>
      </c>
      <c r="C7525" s="4" t="s">
        <v>11</v>
      </c>
      <c r="D7525" s="4" t="s">
        <v>7</v>
      </c>
      <c r="E7525" s="4" t="s">
        <v>15</v>
      </c>
      <c r="F7525" s="4" t="s">
        <v>55</v>
      </c>
      <c r="G7525" s="4" t="s">
        <v>7</v>
      </c>
      <c r="H7525" s="4" t="s">
        <v>7</v>
      </c>
      <c r="I7525" s="4" t="s">
        <v>7</v>
      </c>
      <c r="J7525" s="4" t="s">
        <v>15</v>
      </c>
      <c r="K7525" s="4" t="s">
        <v>55</v>
      </c>
      <c r="L7525" s="4" t="s">
        <v>7</v>
      </c>
      <c r="M7525" s="4" t="s">
        <v>7</v>
      </c>
    </row>
    <row r="7526" spans="1:9">
      <c r="A7526" t="n">
        <v>68093</v>
      </c>
      <c r="B7526" s="55" t="n">
        <v>26</v>
      </c>
      <c r="C7526" s="7" t="n">
        <v>9</v>
      </c>
      <c r="D7526" s="7" t="n">
        <v>17</v>
      </c>
      <c r="E7526" s="7" t="n">
        <v>63948</v>
      </c>
      <c r="F7526" s="7" t="s">
        <v>644</v>
      </c>
      <c r="G7526" s="7" t="n">
        <v>2</v>
      </c>
      <c r="H7526" s="7" t="n">
        <v>3</v>
      </c>
      <c r="I7526" s="7" t="n">
        <v>17</v>
      </c>
      <c r="J7526" s="7" t="n">
        <v>63949</v>
      </c>
      <c r="K7526" s="7" t="s">
        <v>645</v>
      </c>
      <c r="L7526" s="7" t="n">
        <v>2</v>
      </c>
      <c r="M7526" s="7" t="n">
        <v>0</v>
      </c>
    </row>
    <row r="7527" spans="1:9">
      <c r="A7527" t="s">
        <v>4</v>
      </c>
      <c r="B7527" s="4" t="s">
        <v>5</v>
      </c>
    </row>
    <row r="7528" spans="1:9">
      <c r="A7528" t="n">
        <v>68252</v>
      </c>
      <c r="B7528" s="27" t="n">
        <v>28</v>
      </c>
    </row>
    <row r="7529" spans="1:9">
      <c r="A7529" t="s">
        <v>4</v>
      </c>
      <c r="B7529" s="4" t="s">
        <v>5</v>
      </c>
      <c r="C7529" s="4" t="s">
        <v>7</v>
      </c>
      <c r="D7529" s="4" t="s">
        <v>13</v>
      </c>
      <c r="E7529" s="4" t="s">
        <v>11</v>
      </c>
      <c r="F7529" s="4" t="s">
        <v>7</v>
      </c>
    </row>
    <row r="7530" spans="1:9">
      <c r="A7530" t="n">
        <v>68253</v>
      </c>
      <c r="B7530" s="13" t="n">
        <v>49</v>
      </c>
      <c r="C7530" s="7" t="n">
        <v>3</v>
      </c>
      <c r="D7530" s="7" t="n">
        <v>0.699999988079071</v>
      </c>
      <c r="E7530" s="7" t="n">
        <v>500</v>
      </c>
      <c r="F7530" s="7" t="n">
        <v>0</v>
      </c>
    </row>
    <row r="7531" spans="1:9">
      <c r="A7531" t="s">
        <v>4</v>
      </c>
      <c r="B7531" s="4" t="s">
        <v>5</v>
      </c>
      <c r="C7531" s="4" t="s">
        <v>7</v>
      </c>
      <c r="D7531" s="4" t="s">
        <v>7</v>
      </c>
      <c r="E7531" s="4" t="s">
        <v>7</v>
      </c>
      <c r="F7531" s="4" t="s">
        <v>13</v>
      </c>
      <c r="G7531" s="4" t="s">
        <v>13</v>
      </c>
      <c r="H7531" s="4" t="s">
        <v>13</v>
      </c>
      <c r="I7531" s="4" t="s">
        <v>13</v>
      </c>
      <c r="J7531" s="4" t="s">
        <v>13</v>
      </c>
    </row>
    <row r="7532" spans="1:9">
      <c r="A7532" t="n">
        <v>68262</v>
      </c>
      <c r="B7532" s="25" t="n">
        <v>76</v>
      </c>
      <c r="C7532" s="7" t="n">
        <v>1</v>
      </c>
      <c r="D7532" s="7" t="n">
        <v>3</v>
      </c>
      <c r="E7532" s="7" t="n">
        <v>0</v>
      </c>
      <c r="F7532" s="7" t="n">
        <v>1</v>
      </c>
      <c r="G7532" s="7" t="n">
        <v>1</v>
      </c>
      <c r="H7532" s="7" t="n">
        <v>1</v>
      </c>
      <c r="I7532" s="7" t="n">
        <v>1</v>
      </c>
      <c r="J7532" s="7" t="n">
        <v>1000</v>
      </c>
    </row>
    <row r="7533" spans="1:9">
      <c r="A7533" t="s">
        <v>4</v>
      </c>
      <c r="B7533" s="4" t="s">
        <v>5</v>
      </c>
      <c r="C7533" s="4" t="s">
        <v>7</v>
      </c>
      <c r="D7533" s="4" t="s">
        <v>7</v>
      </c>
    </row>
    <row r="7534" spans="1:9">
      <c r="A7534" t="n">
        <v>68286</v>
      </c>
      <c r="B7534" s="26" t="n">
        <v>77</v>
      </c>
      <c r="C7534" s="7" t="n">
        <v>1</v>
      </c>
      <c r="D7534" s="7" t="n">
        <v>3</v>
      </c>
    </row>
    <row r="7535" spans="1:9">
      <c r="A7535" t="s">
        <v>4</v>
      </c>
      <c r="B7535" s="4" t="s">
        <v>5</v>
      </c>
      <c r="C7535" s="4" t="s">
        <v>11</v>
      </c>
    </row>
    <row r="7536" spans="1:9">
      <c r="A7536" t="n">
        <v>68289</v>
      </c>
      <c r="B7536" s="29" t="n">
        <v>16</v>
      </c>
      <c r="C7536" s="7" t="n">
        <v>2000</v>
      </c>
    </row>
    <row r="7537" spans="1:13">
      <c r="A7537" t="s">
        <v>4</v>
      </c>
      <c r="B7537" s="4" t="s">
        <v>5</v>
      </c>
      <c r="C7537" s="4" t="s">
        <v>7</v>
      </c>
      <c r="D7537" s="4" t="s">
        <v>13</v>
      </c>
      <c r="E7537" s="4" t="s">
        <v>11</v>
      </c>
      <c r="F7537" s="4" t="s">
        <v>7</v>
      </c>
    </row>
    <row r="7538" spans="1:13">
      <c r="A7538" t="n">
        <v>68292</v>
      </c>
      <c r="B7538" s="13" t="n">
        <v>49</v>
      </c>
      <c r="C7538" s="7" t="n">
        <v>3</v>
      </c>
      <c r="D7538" s="7" t="n">
        <v>1</v>
      </c>
      <c r="E7538" s="7" t="n">
        <v>1000</v>
      </c>
      <c r="F7538" s="7" t="n">
        <v>0</v>
      </c>
    </row>
    <row r="7539" spans="1:13">
      <c r="A7539" t="s">
        <v>4</v>
      </c>
      <c r="B7539" s="4" t="s">
        <v>5</v>
      </c>
      <c r="C7539" s="4" t="s">
        <v>7</v>
      </c>
      <c r="D7539" s="4" t="s">
        <v>7</v>
      </c>
      <c r="E7539" s="4" t="s">
        <v>7</v>
      </c>
      <c r="F7539" s="4" t="s">
        <v>13</v>
      </c>
      <c r="G7539" s="4" t="s">
        <v>13</v>
      </c>
      <c r="H7539" s="4" t="s">
        <v>13</v>
      </c>
      <c r="I7539" s="4" t="s">
        <v>13</v>
      </c>
      <c r="J7539" s="4" t="s">
        <v>13</v>
      </c>
    </row>
    <row r="7540" spans="1:13">
      <c r="A7540" t="n">
        <v>68301</v>
      </c>
      <c r="B7540" s="25" t="n">
        <v>76</v>
      </c>
      <c r="C7540" s="7" t="n">
        <v>1</v>
      </c>
      <c r="D7540" s="7" t="n">
        <v>3</v>
      </c>
      <c r="E7540" s="7" t="n">
        <v>0</v>
      </c>
      <c r="F7540" s="7" t="n">
        <v>1</v>
      </c>
      <c r="G7540" s="7" t="n">
        <v>1</v>
      </c>
      <c r="H7540" s="7" t="n">
        <v>1</v>
      </c>
      <c r="I7540" s="7" t="n">
        <v>0</v>
      </c>
      <c r="J7540" s="7" t="n">
        <v>1000</v>
      </c>
    </row>
    <row r="7541" spans="1:13">
      <c r="A7541" t="s">
        <v>4</v>
      </c>
      <c r="B7541" s="4" t="s">
        <v>5</v>
      </c>
      <c r="C7541" s="4" t="s">
        <v>7</v>
      </c>
      <c r="D7541" s="4" t="s">
        <v>7</v>
      </c>
    </row>
    <row r="7542" spans="1:13">
      <c r="A7542" t="n">
        <v>68325</v>
      </c>
      <c r="B7542" s="26" t="n">
        <v>77</v>
      </c>
      <c r="C7542" s="7" t="n">
        <v>1</v>
      </c>
      <c r="D7542" s="7" t="n">
        <v>3</v>
      </c>
    </row>
    <row r="7543" spans="1:13">
      <c r="A7543" t="s">
        <v>4</v>
      </c>
      <c r="B7543" s="4" t="s">
        <v>5</v>
      </c>
      <c r="C7543" s="4" t="s">
        <v>7</v>
      </c>
      <c r="D7543" s="4" t="s">
        <v>11</v>
      </c>
      <c r="E7543" s="4" t="s">
        <v>8</v>
      </c>
    </row>
    <row r="7544" spans="1:13">
      <c r="A7544" t="n">
        <v>68328</v>
      </c>
      <c r="B7544" s="38" t="n">
        <v>51</v>
      </c>
      <c r="C7544" s="7" t="n">
        <v>4</v>
      </c>
      <c r="D7544" s="7" t="n">
        <v>0</v>
      </c>
      <c r="E7544" s="7" t="s">
        <v>242</v>
      </c>
    </row>
    <row r="7545" spans="1:13">
      <c r="A7545" t="s">
        <v>4</v>
      </c>
      <c r="B7545" s="4" t="s">
        <v>5</v>
      </c>
      <c r="C7545" s="4" t="s">
        <v>11</v>
      </c>
    </row>
    <row r="7546" spans="1:13">
      <c r="A7546" t="n">
        <v>68342</v>
      </c>
      <c r="B7546" s="29" t="n">
        <v>16</v>
      </c>
      <c r="C7546" s="7" t="n">
        <v>0</v>
      </c>
    </row>
    <row r="7547" spans="1:13">
      <c r="A7547" t="s">
        <v>4</v>
      </c>
      <c r="B7547" s="4" t="s">
        <v>5</v>
      </c>
      <c r="C7547" s="4" t="s">
        <v>11</v>
      </c>
      <c r="D7547" s="4" t="s">
        <v>7</v>
      </c>
      <c r="E7547" s="4" t="s">
        <v>15</v>
      </c>
      <c r="F7547" s="4" t="s">
        <v>55</v>
      </c>
      <c r="G7547" s="4" t="s">
        <v>7</v>
      </c>
      <c r="H7547" s="4" t="s">
        <v>7</v>
      </c>
      <c r="I7547" s="4" t="s">
        <v>7</v>
      </c>
      <c r="J7547" s="4" t="s">
        <v>15</v>
      </c>
      <c r="K7547" s="4" t="s">
        <v>55</v>
      </c>
      <c r="L7547" s="4" t="s">
        <v>7</v>
      </c>
      <c r="M7547" s="4" t="s">
        <v>7</v>
      </c>
      <c r="N7547" s="4" t="s">
        <v>7</v>
      </c>
      <c r="O7547" s="4" t="s">
        <v>15</v>
      </c>
      <c r="P7547" s="4" t="s">
        <v>55</v>
      </c>
      <c r="Q7547" s="4" t="s">
        <v>7</v>
      </c>
      <c r="R7547" s="4" t="s">
        <v>7</v>
      </c>
    </row>
    <row r="7548" spans="1:13">
      <c r="A7548" t="n">
        <v>68345</v>
      </c>
      <c r="B7548" s="55" t="n">
        <v>26</v>
      </c>
      <c r="C7548" s="7" t="n">
        <v>0</v>
      </c>
      <c r="D7548" s="7" t="n">
        <v>17</v>
      </c>
      <c r="E7548" s="7" t="n">
        <v>63950</v>
      </c>
      <c r="F7548" s="7" t="s">
        <v>646</v>
      </c>
      <c r="G7548" s="7" t="n">
        <v>2</v>
      </c>
      <c r="H7548" s="7" t="n">
        <v>3</v>
      </c>
      <c r="I7548" s="7" t="n">
        <v>17</v>
      </c>
      <c r="J7548" s="7" t="n">
        <v>63951</v>
      </c>
      <c r="K7548" s="7" t="s">
        <v>647</v>
      </c>
      <c r="L7548" s="7" t="n">
        <v>2</v>
      </c>
      <c r="M7548" s="7" t="n">
        <v>3</v>
      </c>
      <c r="N7548" s="7" t="n">
        <v>17</v>
      </c>
      <c r="O7548" s="7" t="n">
        <v>63952</v>
      </c>
      <c r="P7548" s="7" t="s">
        <v>648</v>
      </c>
      <c r="Q7548" s="7" t="n">
        <v>2</v>
      </c>
      <c r="R7548" s="7" t="n">
        <v>0</v>
      </c>
    </row>
    <row r="7549" spans="1:13">
      <c r="A7549" t="s">
        <v>4</v>
      </c>
      <c r="B7549" s="4" t="s">
        <v>5</v>
      </c>
    </row>
    <row r="7550" spans="1:13">
      <c r="A7550" t="n">
        <v>68596</v>
      </c>
      <c r="B7550" s="27" t="n">
        <v>28</v>
      </c>
    </row>
    <row r="7551" spans="1:13">
      <c r="A7551" t="s">
        <v>4</v>
      </c>
      <c r="B7551" s="4" t="s">
        <v>5</v>
      </c>
      <c r="C7551" s="4" t="s">
        <v>7</v>
      </c>
      <c r="D7551" s="4" t="s">
        <v>11</v>
      </c>
      <c r="E7551" s="4" t="s">
        <v>8</v>
      </c>
    </row>
    <row r="7552" spans="1:13">
      <c r="A7552" t="n">
        <v>68597</v>
      </c>
      <c r="B7552" s="38" t="n">
        <v>51</v>
      </c>
      <c r="C7552" s="7" t="n">
        <v>4</v>
      </c>
      <c r="D7552" s="7" t="n">
        <v>9</v>
      </c>
      <c r="E7552" s="7" t="s">
        <v>491</v>
      </c>
    </row>
    <row r="7553" spans="1:18">
      <c r="A7553" t="s">
        <v>4</v>
      </c>
      <c r="B7553" s="4" t="s">
        <v>5</v>
      </c>
      <c r="C7553" s="4" t="s">
        <v>11</v>
      </c>
    </row>
    <row r="7554" spans="1:18">
      <c r="A7554" t="n">
        <v>68611</v>
      </c>
      <c r="B7554" s="29" t="n">
        <v>16</v>
      </c>
      <c r="C7554" s="7" t="n">
        <v>0</v>
      </c>
    </row>
    <row r="7555" spans="1:18">
      <c r="A7555" t="s">
        <v>4</v>
      </c>
      <c r="B7555" s="4" t="s">
        <v>5</v>
      </c>
      <c r="C7555" s="4" t="s">
        <v>11</v>
      </c>
      <c r="D7555" s="4" t="s">
        <v>7</v>
      </c>
      <c r="E7555" s="4" t="s">
        <v>15</v>
      </c>
      <c r="F7555" s="4" t="s">
        <v>55</v>
      </c>
      <c r="G7555" s="4" t="s">
        <v>7</v>
      </c>
      <c r="H7555" s="4" t="s">
        <v>7</v>
      </c>
    </row>
    <row r="7556" spans="1:18">
      <c r="A7556" t="n">
        <v>68614</v>
      </c>
      <c r="B7556" s="55" t="n">
        <v>26</v>
      </c>
      <c r="C7556" s="7" t="n">
        <v>9</v>
      </c>
      <c r="D7556" s="7" t="n">
        <v>17</v>
      </c>
      <c r="E7556" s="7" t="n">
        <v>63953</v>
      </c>
      <c r="F7556" s="7" t="s">
        <v>649</v>
      </c>
      <c r="G7556" s="7" t="n">
        <v>2</v>
      </c>
      <c r="H7556" s="7" t="n">
        <v>0</v>
      </c>
    </row>
    <row r="7557" spans="1:18">
      <c r="A7557" t="s">
        <v>4</v>
      </c>
      <c r="B7557" s="4" t="s">
        <v>5</v>
      </c>
    </row>
    <row r="7558" spans="1:18">
      <c r="A7558" t="n">
        <v>68672</v>
      </c>
      <c r="B7558" s="27" t="n">
        <v>28</v>
      </c>
    </row>
    <row r="7559" spans="1:18">
      <c r="A7559" t="s">
        <v>4</v>
      </c>
      <c r="B7559" s="4" t="s">
        <v>5</v>
      </c>
      <c r="C7559" s="4" t="s">
        <v>7</v>
      </c>
      <c r="D7559" s="4" t="s">
        <v>11</v>
      </c>
      <c r="E7559" s="4" t="s">
        <v>8</v>
      </c>
    </row>
    <row r="7560" spans="1:18">
      <c r="A7560" t="n">
        <v>68673</v>
      </c>
      <c r="B7560" s="38" t="n">
        <v>51</v>
      </c>
      <c r="C7560" s="7" t="n">
        <v>4</v>
      </c>
      <c r="D7560" s="7" t="n">
        <v>0</v>
      </c>
      <c r="E7560" s="7" t="s">
        <v>173</v>
      </c>
    </row>
    <row r="7561" spans="1:18">
      <c r="A7561" t="s">
        <v>4</v>
      </c>
      <c r="B7561" s="4" t="s">
        <v>5</v>
      </c>
      <c r="C7561" s="4" t="s">
        <v>11</v>
      </c>
    </row>
    <row r="7562" spans="1:18">
      <c r="A7562" t="n">
        <v>68686</v>
      </c>
      <c r="B7562" s="29" t="n">
        <v>16</v>
      </c>
      <c r="C7562" s="7" t="n">
        <v>0</v>
      </c>
    </row>
    <row r="7563" spans="1:18">
      <c r="A7563" t="s">
        <v>4</v>
      </c>
      <c r="B7563" s="4" t="s">
        <v>5</v>
      </c>
      <c r="C7563" s="4" t="s">
        <v>11</v>
      </c>
      <c r="D7563" s="4" t="s">
        <v>7</v>
      </c>
      <c r="E7563" s="4" t="s">
        <v>15</v>
      </c>
      <c r="F7563" s="4" t="s">
        <v>55</v>
      </c>
      <c r="G7563" s="4" t="s">
        <v>7</v>
      </c>
      <c r="H7563" s="4" t="s">
        <v>7</v>
      </c>
      <c r="I7563" s="4" t="s">
        <v>7</v>
      </c>
      <c r="J7563" s="4" t="s">
        <v>15</v>
      </c>
      <c r="K7563" s="4" t="s">
        <v>55</v>
      </c>
      <c r="L7563" s="4" t="s">
        <v>7</v>
      </c>
      <c r="M7563" s="4" t="s">
        <v>7</v>
      </c>
    </row>
    <row r="7564" spans="1:18">
      <c r="A7564" t="n">
        <v>68689</v>
      </c>
      <c r="B7564" s="55" t="n">
        <v>26</v>
      </c>
      <c r="C7564" s="7" t="n">
        <v>0</v>
      </c>
      <c r="D7564" s="7" t="n">
        <v>17</v>
      </c>
      <c r="E7564" s="7" t="n">
        <v>63954</v>
      </c>
      <c r="F7564" s="7" t="s">
        <v>650</v>
      </c>
      <c r="G7564" s="7" t="n">
        <v>2</v>
      </c>
      <c r="H7564" s="7" t="n">
        <v>3</v>
      </c>
      <c r="I7564" s="7" t="n">
        <v>17</v>
      </c>
      <c r="J7564" s="7" t="n">
        <v>63955</v>
      </c>
      <c r="K7564" s="7" t="s">
        <v>651</v>
      </c>
      <c r="L7564" s="7" t="n">
        <v>2</v>
      </c>
      <c r="M7564" s="7" t="n">
        <v>0</v>
      </c>
    </row>
    <row r="7565" spans="1:18">
      <c r="A7565" t="s">
        <v>4</v>
      </c>
      <c r="B7565" s="4" t="s">
        <v>5</v>
      </c>
    </row>
    <row r="7566" spans="1:18">
      <c r="A7566" t="n">
        <v>68813</v>
      </c>
      <c r="B7566" s="27" t="n">
        <v>28</v>
      </c>
    </row>
    <row r="7567" spans="1:18">
      <c r="A7567" t="s">
        <v>4</v>
      </c>
      <c r="B7567" s="4" t="s">
        <v>5</v>
      </c>
      <c r="C7567" s="4" t="s">
        <v>7</v>
      </c>
      <c r="D7567" s="4" t="s">
        <v>11</v>
      </c>
      <c r="E7567" s="4" t="s">
        <v>8</v>
      </c>
    </row>
    <row r="7568" spans="1:18">
      <c r="A7568" t="n">
        <v>68814</v>
      </c>
      <c r="B7568" s="38" t="n">
        <v>51</v>
      </c>
      <c r="C7568" s="7" t="n">
        <v>4</v>
      </c>
      <c r="D7568" s="7" t="n">
        <v>9</v>
      </c>
      <c r="E7568" s="7" t="s">
        <v>242</v>
      </c>
    </row>
    <row r="7569" spans="1:13">
      <c r="A7569" t="s">
        <v>4</v>
      </c>
      <c r="B7569" s="4" t="s">
        <v>5</v>
      </c>
      <c r="C7569" s="4" t="s">
        <v>11</v>
      </c>
    </row>
    <row r="7570" spans="1:13">
      <c r="A7570" t="n">
        <v>68828</v>
      </c>
      <c r="B7570" s="29" t="n">
        <v>16</v>
      </c>
      <c r="C7570" s="7" t="n">
        <v>0</v>
      </c>
    </row>
    <row r="7571" spans="1:13">
      <c r="A7571" t="s">
        <v>4</v>
      </c>
      <c r="B7571" s="4" t="s">
        <v>5</v>
      </c>
      <c r="C7571" s="4" t="s">
        <v>11</v>
      </c>
      <c r="D7571" s="4" t="s">
        <v>7</v>
      </c>
      <c r="E7571" s="4" t="s">
        <v>15</v>
      </c>
      <c r="F7571" s="4" t="s">
        <v>55</v>
      </c>
      <c r="G7571" s="4" t="s">
        <v>7</v>
      </c>
      <c r="H7571" s="4" t="s">
        <v>7</v>
      </c>
      <c r="I7571" s="4" t="s">
        <v>7</v>
      </c>
      <c r="J7571" s="4" t="s">
        <v>15</v>
      </c>
      <c r="K7571" s="4" t="s">
        <v>55</v>
      </c>
      <c r="L7571" s="4" t="s">
        <v>7</v>
      </c>
      <c r="M7571" s="4" t="s">
        <v>7</v>
      </c>
      <c r="N7571" s="4" t="s">
        <v>7</v>
      </c>
      <c r="O7571" s="4" t="s">
        <v>15</v>
      </c>
      <c r="P7571" s="4" t="s">
        <v>55</v>
      </c>
      <c r="Q7571" s="4" t="s">
        <v>7</v>
      </c>
      <c r="R7571" s="4" t="s">
        <v>7</v>
      </c>
    </row>
    <row r="7572" spans="1:13">
      <c r="A7572" t="n">
        <v>68831</v>
      </c>
      <c r="B7572" s="55" t="n">
        <v>26</v>
      </c>
      <c r="C7572" s="7" t="n">
        <v>9</v>
      </c>
      <c r="D7572" s="7" t="n">
        <v>17</v>
      </c>
      <c r="E7572" s="7" t="n">
        <v>63956</v>
      </c>
      <c r="F7572" s="7" t="s">
        <v>652</v>
      </c>
      <c r="G7572" s="7" t="n">
        <v>2</v>
      </c>
      <c r="H7572" s="7" t="n">
        <v>3</v>
      </c>
      <c r="I7572" s="7" t="n">
        <v>17</v>
      </c>
      <c r="J7572" s="7" t="n">
        <v>63957</v>
      </c>
      <c r="K7572" s="7" t="s">
        <v>653</v>
      </c>
      <c r="L7572" s="7" t="n">
        <v>2</v>
      </c>
      <c r="M7572" s="7" t="n">
        <v>3</v>
      </c>
      <c r="N7572" s="7" t="n">
        <v>17</v>
      </c>
      <c r="O7572" s="7" t="n">
        <v>63958</v>
      </c>
      <c r="P7572" s="7" t="s">
        <v>654</v>
      </c>
      <c r="Q7572" s="7" t="n">
        <v>2</v>
      </c>
      <c r="R7572" s="7" t="n">
        <v>0</v>
      </c>
    </row>
    <row r="7573" spans="1:13">
      <c r="A7573" t="s">
        <v>4</v>
      </c>
      <c r="B7573" s="4" t="s">
        <v>5</v>
      </c>
    </row>
    <row r="7574" spans="1:13">
      <c r="A7574" t="n">
        <v>69075</v>
      </c>
      <c r="B7574" s="27" t="n">
        <v>28</v>
      </c>
    </row>
    <row r="7575" spans="1:13">
      <c r="A7575" t="s">
        <v>4</v>
      </c>
      <c r="B7575" s="4" t="s">
        <v>5</v>
      </c>
      <c r="C7575" s="4" t="s">
        <v>7</v>
      </c>
      <c r="D7575" s="4" t="s">
        <v>11</v>
      </c>
      <c r="E7575" s="4" t="s">
        <v>8</v>
      </c>
    </row>
    <row r="7576" spans="1:13">
      <c r="A7576" t="n">
        <v>69076</v>
      </c>
      <c r="B7576" s="38" t="n">
        <v>51</v>
      </c>
      <c r="C7576" s="7" t="n">
        <v>4</v>
      </c>
      <c r="D7576" s="7" t="n">
        <v>0</v>
      </c>
      <c r="E7576" s="7" t="s">
        <v>179</v>
      </c>
    </row>
    <row r="7577" spans="1:13">
      <c r="A7577" t="s">
        <v>4</v>
      </c>
      <c r="B7577" s="4" t="s">
        <v>5</v>
      </c>
      <c r="C7577" s="4" t="s">
        <v>11</v>
      </c>
    </row>
    <row r="7578" spans="1:13">
      <c r="A7578" t="n">
        <v>69090</v>
      </c>
      <c r="B7578" s="29" t="n">
        <v>16</v>
      </c>
      <c r="C7578" s="7" t="n">
        <v>0</v>
      </c>
    </row>
    <row r="7579" spans="1:13">
      <c r="A7579" t="s">
        <v>4</v>
      </c>
      <c r="B7579" s="4" t="s">
        <v>5</v>
      </c>
      <c r="C7579" s="4" t="s">
        <v>11</v>
      </c>
      <c r="D7579" s="4" t="s">
        <v>7</v>
      </c>
      <c r="E7579" s="4" t="s">
        <v>15</v>
      </c>
      <c r="F7579" s="4" t="s">
        <v>55</v>
      </c>
      <c r="G7579" s="4" t="s">
        <v>7</v>
      </c>
      <c r="H7579" s="4" t="s">
        <v>7</v>
      </c>
      <c r="I7579" s="4" t="s">
        <v>7</v>
      </c>
      <c r="J7579" s="4" t="s">
        <v>15</v>
      </c>
      <c r="K7579" s="4" t="s">
        <v>55</v>
      </c>
      <c r="L7579" s="4" t="s">
        <v>7</v>
      </c>
      <c r="M7579" s="4" t="s">
        <v>7</v>
      </c>
      <c r="N7579" s="4" t="s">
        <v>7</v>
      </c>
      <c r="O7579" s="4" t="s">
        <v>15</v>
      </c>
      <c r="P7579" s="4" t="s">
        <v>55</v>
      </c>
      <c r="Q7579" s="4" t="s">
        <v>7</v>
      </c>
      <c r="R7579" s="4" t="s">
        <v>7</v>
      </c>
    </row>
    <row r="7580" spans="1:13">
      <c r="A7580" t="n">
        <v>69093</v>
      </c>
      <c r="B7580" s="55" t="n">
        <v>26</v>
      </c>
      <c r="C7580" s="7" t="n">
        <v>0</v>
      </c>
      <c r="D7580" s="7" t="n">
        <v>17</v>
      </c>
      <c r="E7580" s="7" t="n">
        <v>63959</v>
      </c>
      <c r="F7580" s="7" t="s">
        <v>655</v>
      </c>
      <c r="G7580" s="7" t="n">
        <v>2</v>
      </c>
      <c r="H7580" s="7" t="n">
        <v>3</v>
      </c>
      <c r="I7580" s="7" t="n">
        <v>17</v>
      </c>
      <c r="J7580" s="7" t="n">
        <v>63960</v>
      </c>
      <c r="K7580" s="7" t="s">
        <v>656</v>
      </c>
      <c r="L7580" s="7" t="n">
        <v>2</v>
      </c>
      <c r="M7580" s="7" t="n">
        <v>3</v>
      </c>
      <c r="N7580" s="7" t="n">
        <v>17</v>
      </c>
      <c r="O7580" s="7" t="n">
        <v>63961</v>
      </c>
      <c r="P7580" s="7" t="s">
        <v>657</v>
      </c>
      <c r="Q7580" s="7" t="n">
        <v>2</v>
      </c>
      <c r="R7580" s="7" t="n">
        <v>0</v>
      </c>
    </row>
    <row r="7581" spans="1:13">
      <c r="A7581" t="s">
        <v>4</v>
      </c>
      <c r="B7581" s="4" t="s">
        <v>5</v>
      </c>
    </row>
    <row r="7582" spans="1:13">
      <c r="A7582" t="n">
        <v>69405</v>
      </c>
      <c r="B7582" s="27" t="n">
        <v>28</v>
      </c>
    </row>
    <row r="7583" spans="1:13">
      <c r="A7583" t="s">
        <v>4</v>
      </c>
      <c r="B7583" s="4" t="s">
        <v>5</v>
      </c>
      <c r="C7583" s="4" t="s">
        <v>7</v>
      </c>
      <c r="D7583" s="4" t="s">
        <v>11</v>
      </c>
      <c r="E7583" s="4" t="s">
        <v>7</v>
      </c>
    </row>
    <row r="7584" spans="1:13">
      <c r="A7584" t="n">
        <v>69406</v>
      </c>
      <c r="B7584" s="13" t="n">
        <v>49</v>
      </c>
      <c r="C7584" s="7" t="n">
        <v>1</v>
      </c>
      <c r="D7584" s="7" t="n">
        <v>3000</v>
      </c>
      <c r="E7584" s="7" t="n">
        <v>0</v>
      </c>
    </row>
    <row r="7585" spans="1:18">
      <c r="A7585" t="s">
        <v>4</v>
      </c>
      <c r="B7585" s="4" t="s">
        <v>5</v>
      </c>
      <c r="C7585" s="4" t="s">
        <v>7</v>
      </c>
      <c r="D7585" s="4" t="s">
        <v>11</v>
      </c>
      <c r="E7585" s="4" t="s">
        <v>8</v>
      </c>
      <c r="F7585" s="4" t="s">
        <v>8</v>
      </c>
      <c r="G7585" s="4" t="s">
        <v>8</v>
      </c>
      <c r="H7585" s="4" t="s">
        <v>8</v>
      </c>
    </row>
    <row r="7586" spans="1:18">
      <c r="A7586" t="n">
        <v>69411</v>
      </c>
      <c r="B7586" s="38" t="n">
        <v>51</v>
      </c>
      <c r="C7586" s="7" t="n">
        <v>3</v>
      </c>
      <c r="D7586" s="7" t="n">
        <v>9</v>
      </c>
      <c r="E7586" s="7" t="s">
        <v>86</v>
      </c>
      <c r="F7586" s="7" t="s">
        <v>218</v>
      </c>
      <c r="G7586" s="7" t="s">
        <v>78</v>
      </c>
      <c r="H7586" s="7" t="s">
        <v>79</v>
      </c>
    </row>
    <row r="7587" spans="1:18">
      <c r="A7587" t="s">
        <v>4</v>
      </c>
      <c r="B7587" s="4" t="s">
        <v>5</v>
      </c>
      <c r="C7587" s="4" t="s">
        <v>11</v>
      </c>
      <c r="D7587" s="4" t="s">
        <v>7</v>
      </c>
      <c r="E7587" s="4" t="s">
        <v>13</v>
      </c>
      <c r="F7587" s="4" t="s">
        <v>11</v>
      </c>
    </row>
    <row r="7588" spans="1:18">
      <c r="A7588" t="n">
        <v>69424</v>
      </c>
      <c r="B7588" s="56" t="n">
        <v>59</v>
      </c>
      <c r="C7588" s="7" t="n">
        <v>9</v>
      </c>
      <c r="D7588" s="7" t="n">
        <v>9</v>
      </c>
      <c r="E7588" s="7" t="n">
        <v>0.150000005960464</v>
      </c>
      <c r="F7588" s="7" t="n">
        <v>0</v>
      </c>
    </row>
    <row r="7589" spans="1:18">
      <c r="A7589" t="s">
        <v>4</v>
      </c>
      <c r="B7589" s="4" t="s">
        <v>5</v>
      </c>
      <c r="C7589" s="4" t="s">
        <v>11</v>
      </c>
    </row>
    <row r="7590" spans="1:18">
      <c r="A7590" t="n">
        <v>69434</v>
      </c>
      <c r="B7590" s="29" t="n">
        <v>16</v>
      </c>
      <c r="C7590" s="7" t="n">
        <v>1800</v>
      </c>
    </row>
    <row r="7591" spans="1:18">
      <c r="A7591" t="s">
        <v>4</v>
      </c>
      <c r="B7591" s="4" t="s">
        <v>5</v>
      </c>
      <c r="C7591" s="4" t="s">
        <v>7</v>
      </c>
      <c r="D7591" s="4" t="s">
        <v>11</v>
      </c>
      <c r="E7591" s="4" t="s">
        <v>13</v>
      </c>
    </row>
    <row r="7592" spans="1:18">
      <c r="A7592" t="n">
        <v>69437</v>
      </c>
      <c r="B7592" s="23" t="n">
        <v>58</v>
      </c>
      <c r="C7592" s="7" t="n">
        <v>101</v>
      </c>
      <c r="D7592" s="7" t="n">
        <v>800</v>
      </c>
      <c r="E7592" s="7" t="n">
        <v>1</v>
      </c>
    </row>
    <row r="7593" spans="1:18">
      <c r="A7593" t="s">
        <v>4</v>
      </c>
      <c r="B7593" s="4" t="s">
        <v>5</v>
      </c>
      <c r="C7593" s="4" t="s">
        <v>7</v>
      </c>
      <c r="D7593" s="4" t="s">
        <v>11</v>
      </c>
    </row>
    <row r="7594" spans="1:18">
      <c r="A7594" t="n">
        <v>69445</v>
      </c>
      <c r="B7594" s="23" t="n">
        <v>58</v>
      </c>
      <c r="C7594" s="7" t="n">
        <v>254</v>
      </c>
      <c r="D7594" s="7" t="n">
        <v>0</v>
      </c>
    </row>
    <row r="7595" spans="1:18">
      <c r="A7595" t="s">
        <v>4</v>
      </c>
      <c r="B7595" s="4" t="s">
        <v>5</v>
      </c>
      <c r="C7595" s="4" t="s">
        <v>7</v>
      </c>
      <c r="D7595" s="4" t="s">
        <v>7</v>
      </c>
      <c r="E7595" s="4" t="s">
        <v>13</v>
      </c>
      <c r="F7595" s="4" t="s">
        <v>13</v>
      </c>
      <c r="G7595" s="4" t="s">
        <v>13</v>
      </c>
      <c r="H7595" s="4" t="s">
        <v>11</v>
      </c>
    </row>
    <row r="7596" spans="1:18">
      <c r="A7596" t="n">
        <v>69449</v>
      </c>
      <c r="B7596" s="51" t="n">
        <v>45</v>
      </c>
      <c r="C7596" s="7" t="n">
        <v>2</v>
      </c>
      <c r="D7596" s="7" t="n">
        <v>3</v>
      </c>
      <c r="E7596" s="7" t="n">
        <v>-7.36999988555908</v>
      </c>
      <c r="F7596" s="7" t="n">
        <v>6.26999998092651</v>
      </c>
      <c r="G7596" s="7" t="n">
        <v>29.8199996948242</v>
      </c>
      <c r="H7596" s="7" t="n">
        <v>0</v>
      </c>
    </row>
    <row r="7597" spans="1:18">
      <c r="A7597" t="s">
        <v>4</v>
      </c>
      <c r="B7597" s="4" t="s">
        <v>5</v>
      </c>
      <c r="C7597" s="4" t="s">
        <v>7</v>
      </c>
      <c r="D7597" s="4" t="s">
        <v>7</v>
      </c>
      <c r="E7597" s="4" t="s">
        <v>13</v>
      </c>
      <c r="F7597" s="4" t="s">
        <v>13</v>
      </c>
      <c r="G7597" s="4" t="s">
        <v>13</v>
      </c>
      <c r="H7597" s="4" t="s">
        <v>11</v>
      </c>
      <c r="I7597" s="4" t="s">
        <v>7</v>
      </c>
    </row>
    <row r="7598" spans="1:18">
      <c r="A7598" t="n">
        <v>69466</v>
      </c>
      <c r="B7598" s="51" t="n">
        <v>45</v>
      </c>
      <c r="C7598" s="7" t="n">
        <v>4</v>
      </c>
      <c r="D7598" s="7" t="n">
        <v>3</v>
      </c>
      <c r="E7598" s="7" t="n">
        <v>10.3299999237061</v>
      </c>
      <c r="F7598" s="7" t="n">
        <v>61.2000007629395</v>
      </c>
      <c r="G7598" s="7" t="n">
        <v>356</v>
      </c>
      <c r="H7598" s="7" t="n">
        <v>0</v>
      </c>
      <c r="I7598" s="7" t="n">
        <v>0</v>
      </c>
    </row>
    <row r="7599" spans="1:18">
      <c r="A7599" t="s">
        <v>4</v>
      </c>
      <c r="B7599" s="4" t="s">
        <v>5</v>
      </c>
      <c r="C7599" s="4" t="s">
        <v>7</v>
      </c>
      <c r="D7599" s="4" t="s">
        <v>7</v>
      </c>
      <c r="E7599" s="4" t="s">
        <v>13</v>
      </c>
      <c r="F7599" s="4" t="s">
        <v>11</v>
      </c>
    </row>
    <row r="7600" spans="1:18">
      <c r="A7600" t="n">
        <v>69484</v>
      </c>
      <c r="B7600" s="51" t="n">
        <v>45</v>
      </c>
      <c r="C7600" s="7" t="n">
        <v>5</v>
      </c>
      <c r="D7600" s="7" t="n">
        <v>3</v>
      </c>
      <c r="E7600" s="7" t="n">
        <v>0.800000011920929</v>
      </c>
      <c r="F7600" s="7" t="n">
        <v>0</v>
      </c>
    </row>
    <row r="7601" spans="1:9">
      <c r="A7601" t="s">
        <v>4</v>
      </c>
      <c r="B7601" s="4" t="s">
        <v>5</v>
      </c>
      <c r="C7601" s="4" t="s">
        <v>7</v>
      </c>
      <c r="D7601" s="4" t="s">
        <v>7</v>
      </c>
      <c r="E7601" s="4" t="s">
        <v>13</v>
      </c>
      <c r="F7601" s="4" t="s">
        <v>11</v>
      </c>
    </row>
    <row r="7602" spans="1:9">
      <c r="A7602" t="n">
        <v>69493</v>
      </c>
      <c r="B7602" s="51" t="n">
        <v>45</v>
      </c>
      <c r="C7602" s="7" t="n">
        <v>11</v>
      </c>
      <c r="D7602" s="7" t="n">
        <v>3</v>
      </c>
      <c r="E7602" s="7" t="n">
        <v>40.2999992370605</v>
      </c>
      <c r="F7602" s="7" t="n">
        <v>0</v>
      </c>
    </row>
    <row r="7603" spans="1:9">
      <c r="A7603" t="s">
        <v>4</v>
      </c>
      <c r="B7603" s="4" t="s">
        <v>5</v>
      </c>
      <c r="C7603" s="4" t="s">
        <v>7</v>
      </c>
    </row>
    <row r="7604" spans="1:9">
      <c r="A7604" t="n">
        <v>69502</v>
      </c>
      <c r="B7604" s="49" t="n">
        <v>116</v>
      </c>
      <c r="C7604" s="7" t="n">
        <v>0</v>
      </c>
    </row>
    <row r="7605" spans="1:9">
      <c r="A7605" t="s">
        <v>4</v>
      </c>
      <c r="B7605" s="4" t="s">
        <v>5</v>
      </c>
      <c r="C7605" s="4" t="s">
        <v>7</v>
      </c>
      <c r="D7605" s="4" t="s">
        <v>11</v>
      </c>
    </row>
    <row r="7606" spans="1:9">
      <c r="A7606" t="n">
        <v>69504</v>
      </c>
      <c r="B7606" s="49" t="n">
        <v>116</v>
      </c>
      <c r="C7606" s="7" t="n">
        <v>2</v>
      </c>
      <c r="D7606" s="7" t="n">
        <v>1</v>
      </c>
    </row>
    <row r="7607" spans="1:9">
      <c r="A7607" t="s">
        <v>4</v>
      </c>
      <c r="B7607" s="4" t="s">
        <v>5</v>
      </c>
      <c r="C7607" s="4" t="s">
        <v>7</v>
      </c>
      <c r="D7607" s="4" t="s">
        <v>15</v>
      </c>
    </row>
    <row r="7608" spans="1:9">
      <c r="A7608" t="n">
        <v>69508</v>
      </c>
      <c r="B7608" s="49" t="n">
        <v>116</v>
      </c>
      <c r="C7608" s="7" t="n">
        <v>5</v>
      </c>
      <c r="D7608" s="7" t="n">
        <v>1077936128</v>
      </c>
    </row>
    <row r="7609" spans="1:9">
      <c r="A7609" t="s">
        <v>4</v>
      </c>
      <c r="B7609" s="4" t="s">
        <v>5</v>
      </c>
      <c r="C7609" s="4" t="s">
        <v>7</v>
      </c>
      <c r="D7609" s="4" t="s">
        <v>11</v>
      </c>
    </row>
    <row r="7610" spans="1:9">
      <c r="A7610" t="n">
        <v>69514</v>
      </c>
      <c r="B7610" s="49" t="n">
        <v>116</v>
      </c>
      <c r="C7610" s="7" t="n">
        <v>6</v>
      </c>
      <c r="D7610" s="7" t="n">
        <v>1</v>
      </c>
    </row>
    <row r="7611" spans="1:9">
      <c r="A7611" t="s">
        <v>4</v>
      </c>
      <c r="B7611" s="4" t="s">
        <v>5</v>
      </c>
      <c r="C7611" s="4" t="s">
        <v>11</v>
      </c>
      <c r="D7611" s="4" t="s">
        <v>11</v>
      </c>
      <c r="E7611" s="4" t="s">
        <v>13</v>
      </c>
      <c r="F7611" s="4" t="s">
        <v>7</v>
      </c>
    </row>
    <row r="7612" spans="1:9">
      <c r="A7612" t="n">
        <v>69518</v>
      </c>
      <c r="B7612" s="73" t="n">
        <v>53</v>
      </c>
      <c r="C7612" s="7" t="n">
        <v>0</v>
      </c>
      <c r="D7612" s="7" t="n">
        <v>9</v>
      </c>
      <c r="E7612" s="7" t="n">
        <v>0</v>
      </c>
      <c r="F7612" s="7" t="n">
        <v>0</v>
      </c>
    </row>
    <row r="7613" spans="1:9">
      <c r="A7613" t="s">
        <v>4</v>
      </c>
      <c r="B7613" s="4" t="s">
        <v>5</v>
      </c>
      <c r="C7613" s="4" t="s">
        <v>7</v>
      </c>
      <c r="D7613" s="4" t="s">
        <v>11</v>
      </c>
    </row>
    <row r="7614" spans="1:9">
      <c r="A7614" t="n">
        <v>69528</v>
      </c>
      <c r="B7614" s="23" t="n">
        <v>58</v>
      </c>
      <c r="C7614" s="7" t="n">
        <v>255</v>
      </c>
      <c r="D7614" s="7" t="n">
        <v>0</v>
      </c>
    </row>
    <row r="7615" spans="1:9">
      <c r="A7615" t="s">
        <v>4</v>
      </c>
      <c r="B7615" s="4" t="s">
        <v>5</v>
      </c>
      <c r="C7615" s="4" t="s">
        <v>7</v>
      </c>
      <c r="D7615" s="4" t="s">
        <v>11</v>
      </c>
      <c r="E7615" s="4" t="s">
        <v>8</v>
      </c>
      <c r="F7615" s="4" t="s">
        <v>8</v>
      </c>
      <c r="G7615" s="4" t="s">
        <v>8</v>
      </c>
      <c r="H7615" s="4" t="s">
        <v>8</v>
      </c>
    </row>
    <row r="7616" spans="1:9">
      <c r="A7616" t="n">
        <v>69532</v>
      </c>
      <c r="B7616" s="38" t="n">
        <v>51</v>
      </c>
      <c r="C7616" s="7" t="n">
        <v>3</v>
      </c>
      <c r="D7616" s="7" t="n">
        <v>9</v>
      </c>
      <c r="E7616" s="7" t="s">
        <v>568</v>
      </c>
      <c r="F7616" s="7" t="s">
        <v>218</v>
      </c>
      <c r="G7616" s="7" t="s">
        <v>78</v>
      </c>
      <c r="H7616" s="7" t="s">
        <v>79</v>
      </c>
    </row>
    <row r="7617" spans="1:8">
      <c r="A7617" t="s">
        <v>4</v>
      </c>
      <c r="B7617" s="4" t="s">
        <v>5</v>
      </c>
      <c r="C7617" s="4" t="s">
        <v>11</v>
      </c>
      <c r="D7617" s="4" t="s">
        <v>11</v>
      </c>
      <c r="E7617" s="4" t="s">
        <v>13</v>
      </c>
      <c r="F7617" s="4" t="s">
        <v>7</v>
      </c>
    </row>
    <row r="7618" spans="1:8">
      <c r="A7618" t="n">
        <v>69545</v>
      </c>
      <c r="B7618" s="73" t="n">
        <v>53</v>
      </c>
      <c r="C7618" s="7" t="n">
        <v>9</v>
      </c>
      <c r="D7618" s="7" t="n">
        <v>0</v>
      </c>
      <c r="E7618" s="7" t="n">
        <v>5</v>
      </c>
      <c r="F7618" s="7" t="n">
        <v>0</v>
      </c>
    </row>
    <row r="7619" spans="1:8">
      <c r="A7619" t="s">
        <v>4</v>
      </c>
      <c r="B7619" s="4" t="s">
        <v>5</v>
      </c>
      <c r="C7619" s="4" t="s">
        <v>11</v>
      </c>
    </row>
    <row r="7620" spans="1:8">
      <c r="A7620" t="n">
        <v>69555</v>
      </c>
      <c r="B7620" s="66" t="n">
        <v>54</v>
      </c>
      <c r="C7620" s="7" t="n">
        <v>9</v>
      </c>
    </row>
    <row r="7621" spans="1:8">
      <c r="A7621" t="s">
        <v>4</v>
      </c>
      <c r="B7621" s="4" t="s">
        <v>5</v>
      </c>
      <c r="C7621" s="4" t="s">
        <v>7</v>
      </c>
      <c r="D7621" s="4" t="s">
        <v>7</v>
      </c>
    </row>
    <row r="7622" spans="1:8">
      <c r="A7622" t="n">
        <v>69558</v>
      </c>
      <c r="B7622" s="13" t="n">
        <v>49</v>
      </c>
      <c r="C7622" s="7" t="n">
        <v>2</v>
      </c>
      <c r="D7622" s="7" t="n">
        <v>0</v>
      </c>
    </row>
    <row r="7623" spans="1:8">
      <c r="A7623" t="s">
        <v>4</v>
      </c>
      <c r="B7623" s="4" t="s">
        <v>5</v>
      </c>
      <c r="C7623" s="4" t="s">
        <v>7</v>
      </c>
      <c r="D7623" s="4" t="s">
        <v>11</v>
      </c>
      <c r="E7623" s="4" t="s">
        <v>15</v>
      </c>
      <c r="F7623" s="4" t="s">
        <v>11</v>
      </c>
      <c r="G7623" s="4" t="s">
        <v>15</v>
      </c>
      <c r="H7623" s="4" t="s">
        <v>7</v>
      </c>
    </row>
    <row r="7624" spans="1:8">
      <c r="A7624" t="n">
        <v>69561</v>
      </c>
      <c r="B7624" s="13" t="n">
        <v>49</v>
      </c>
      <c r="C7624" s="7" t="n">
        <v>0</v>
      </c>
      <c r="D7624" s="7" t="n">
        <v>551</v>
      </c>
      <c r="E7624" s="7" t="n">
        <v>1061997773</v>
      </c>
      <c r="F7624" s="7" t="n">
        <v>0</v>
      </c>
      <c r="G7624" s="7" t="n">
        <v>0</v>
      </c>
      <c r="H7624" s="7" t="n">
        <v>0</v>
      </c>
    </row>
    <row r="7625" spans="1:8">
      <c r="A7625" t="s">
        <v>4</v>
      </c>
      <c r="B7625" s="4" t="s">
        <v>5</v>
      </c>
      <c r="C7625" s="4" t="s">
        <v>7</v>
      </c>
      <c r="D7625" s="4" t="s">
        <v>11</v>
      </c>
    </row>
    <row r="7626" spans="1:8">
      <c r="A7626" t="n">
        <v>69576</v>
      </c>
      <c r="B7626" s="13" t="n">
        <v>49</v>
      </c>
      <c r="C7626" s="7" t="n">
        <v>6</v>
      </c>
      <c r="D7626" s="7" t="n">
        <v>551</v>
      </c>
    </row>
    <row r="7627" spans="1:8">
      <c r="A7627" t="s">
        <v>4</v>
      </c>
      <c r="B7627" s="4" t="s">
        <v>5</v>
      </c>
      <c r="C7627" s="4" t="s">
        <v>11</v>
      </c>
    </row>
    <row r="7628" spans="1:8">
      <c r="A7628" t="n">
        <v>69580</v>
      </c>
      <c r="B7628" s="29" t="n">
        <v>16</v>
      </c>
      <c r="C7628" s="7" t="n">
        <v>500</v>
      </c>
    </row>
    <row r="7629" spans="1:8">
      <c r="A7629" t="s">
        <v>4</v>
      </c>
      <c r="B7629" s="4" t="s">
        <v>5</v>
      </c>
      <c r="C7629" s="4" t="s">
        <v>7</v>
      </c>
      <c r="D7629" s="4" t="s">
        <v>11</v>
      </c>
      <c r="E7629" s="4" t="s">
        <v>8</v>
      </c>
    </row>
    <row r="7630" spans="1:8">
      <c r="A7630" t="n">
        <v>69583</v>
      </c>
      <c r="B7630" s="38" t="n">
        <v>51</v>
      </c>
      <c r="C7630" s="7" t="n">
        <v>4</v>
      </c>
      <c r="D7630" s="7" t="n">
        <v>9</v>
      </c>
      <c r="E7630" s="7" t="s">
        <v>658</v>
      </c>
    </row>
    <row r="7631" spans="1:8">
      <c r="A7631" t="s">
        <v>4</v>
      </c>
      <c r="B7631" s="4" t="s">
        <v>5</v>
      </c>
      <c r="C7631" s="4" t="s">
        <v>11</v>
      </c>
    </row>
    <row r="7632" spans="1:8">
      <c r="A7632" t="n">
        <v>69597</v>
      </c>
      <c r="B7632" s="29" t="n">
        <v>16</v>
      </c>
      <c r="C7632" s="7" t="n">
        <v>0</v>
      </c>
    </row>
    <row r="7633" spans="1:8">
      <c r="A7633" t="s">
        <v>4</v>
      </c>
      <c r="B7633" s="4" t="s">
        <v>5</v>
      </c>
      <c r="C7633" s="4" t="s">
        <v>11</v>
      </c>
      <c r="D7633" s="4" t="s">
        <v>7</v>
      </c>
      <c r="E7633" s="4" t="s">
        <v>15</v>
      </c>
      <c r="F7633" s="4" t="s">
        <v>55</v>
      </c>
      <c r="G7633" s="4" t="s">
        <v>7</v>
      </c>
      <c r="H7633" s="4" t="s">
        <v>7</v>
      </c>
    </row>
    <row r="7634" spans="1:8">
      <c r="A7634" t="n">
        <v>69600</v>
      </c>
      <c r="B7634" s="55" t="n">
        <v>26</v>
      </c>
      <c r="C7634" s="7" t="n">
        <v>9</v>
      </c>
      <c r="D7634" s="7" t="n">
        <v>17</v>
      </c>
      <c r="E7634" s="7" t="n">
        <v>5800</v>
      </c>
      <c r="F7634" s="7" t="s">
        <v>659</v>
      </c>
      <c r="G7634" s="7" t="n">
        <v>2</v>
      </c>
      <c r="H7634" s="7" t="n">
        <v>0</v>
      </c>
    </row>
    <row r="7635" spans="1:8">
      <c r="A7635" t="s">
        <v>4</v>
      </c>
      <c r="B7635" s="4" t="s">
        <v>5</v>
      </c>
    </row>
    <row r="7636" spans="1:8">
      <c r="A7636" t="n">
        <v>69651</v>
      </c>
      <c r="B7636" s="27" t="n">
        <v>28</v>
      </c>
    </row>
    <row r="7637" spans="1:8">
      <c r="A7637" t="s">
        <v>4</v>
      </c>
      <c r="B7637" s="4" t="s">
        <v>5</v>
      </c>
      <c r="C7637" s="4" t="s">
        <v>7</v>
      </c>
      <c r="D7637" s="4" t="s">
        <v>11</v>
      </c>
      <c r="E7637" s="4" t="s">
        <v>8</v>
      </c>
    </row>
    <row r="7638" spans="1:8">
      <c r="A7638" t="n">
        <v>69652</v>
      </c>
      <c r="B7638" s="38" t="n">
        <v>51</v>
      </c>
      <c r="C7638" s="7" t="n">
        <v>4</v>
      </c>
      <c r="D7638" s="7" t="n">
        <v>0</v>
      </c>
      <c r="E7638" s="7" t="s">
        <v>147</v>
      </c>
    </row>
    <row r="7639" spans="1:8">
      <c r="A7639" t="s">
        <v>4</v>
      </c>
      <c r="B7639" s="4" t="s">
        <v>5</v>
      </c>
      <c r="C7639" s="4" t="s">
        <v>11</v>
      </c>
    </row>
    <row r="7640" spans="1:8">
      <c r="A7640" t="n">
        <v>69666</v>
      </c>
      <c r="B7640" s="29" t="n">
        <v>16</v>
      </c>
      <c r="C7640" s="7" t="n">
        <v>0</v>
      </c>
    </row>
    <row r="7641" spans="1:8">
      <c r="A7641" t="s">
        <v>4</v>
      </c>
      <c r="B7641" s="4" t="s">
        <v>5</v>
      </c>
      <c r="C7641" s="4" t="s">
        <v>11</v>
      </c>
      <c r="D7641" s="4" t="s">
        <v>7</v>
      </c>
      <c r="E7641" s="4" t="s">
        <v>15</v>
      </c>
      <c r="F7641" s="4" t="s">
        <v>55</v>
      </c>
      <c r="G7641" s="4" t="s">
        <v>7</v>
      </c>
      <c r="H7641" s="4" t="s">
        <v>7</v>
      </c>
    </row>
    <row r="7642" spans="1:8">
      <c r="A7642" t="n">
        <v>69669</v>
      </c>
      <c r="B7642" s="55" t="n">
        <v>26</v>
      </c>
      <c r="C7642" s="7" t="n">
        <v>0</v>
      </c>
      <c r="D7642" s="7" t="n">
        <v>17</v>
      </c>
      <c r="E7642" s="7" t="n">
        <v>63962</v>
      </c>
      <c r="F7642" s="7" t="s">
        <v>660</v>
      </c>
      <c r="G7642" s="7" t="n">
        <v>2</v>
      </c>
      <c r="H7642" s="7" t="n">
        <v>0</v>
      </c>
    </row>
    <row r="7643" spans="1:8">
      <c r="A7643" t="s">
        <v>4</v>
      </c>
      <c r="B7643" s="4" t="s">
        <v>5</v>
      </c>
    </row>
    <row r="7644" spans="1:8">
      <c r="A7644" t="n">
        <v>69691</v>
      </c>
      <c r="B7644" s="27" t="n">
        <v>28</v>
      </c>
    </row>
    <row r="7645" spans="1:8">
      <c r="A7645" t="s">
        <v>4</v>
      </c>
      <c r="B7645" s="4" t="s">
        <v>5</v>
      </c>
      <c r="C7645" s="4" t="s">
        <v>7</v>
      </c>
      <c r="D7645" s="4" t="s">
        <v>11</v>
      </c>
      <c r="E7645" s="4" t="s">
        <v>8</v>
      </c>
    </row>
    <row r="7646" spans="1:8">
      <c r="A7646" t="n">
        <v>69692</v>
      </c>
      <c r="B7646" s="38" t="n">
        <v>51</v>
      </c>
      <c r="C7646" s="7" t="n">
        <v>4</v>
      </c>
      <c r="D7646" s="7" t="n">
        <v>9</v>
      </c>
      <c r="E7646" s="7" t="s">
        <v>219</v>
      </c>
    </row>
    <row r="7647" spans="1:8">
      <c r="A7647" t="s">
        <v>4</v>
      </c>
      <c r="B7647" s="4" t="s">
        <v>5</v>
      </c>
      <c r="C7647" s="4" t="s">
        <v>11</v>
      </c>
    </row>
    <row r="7648" spans="1:8">
      <c r="A7648" t="n">
        <v>69705</v>
      </c>
      <c r="B7648" s="29" t="n">
        <v>16</v>
      </c>
      <c r="C7648" s="7" t="n">
        <v>0</v>
      </c>
    </row>
    <row r="7649" spans="1:8">
      <c r="A7649" t="s">
        <v>4</v>
      </c>
      <c r="B7649" s="4" t="s">
        <v>5</v>
      </c>
      <c r="C7649" s="4" t="s">
        <v>11</v>
      </c>
      <c r="D7649" s="4" t="s">
        <v>7</v>
      </c>
      <c r="E7649" s="4" t="s">
        <v>15</v>
      </c>
      <c r="F7649" s="4" t="s">
        <v>55</v>
      </c>
      <c r="G7649" s="4" t="s">
        <v>7</v>
      </c>
      <c r="H7649" s="4" t="s">
        <v>7</v>
      </c>
      <c r="I7649" s="4" t="s">
        <v>7</v>
      </c>
      <c r="J7649" s="4" t="s">
        <v>15</v>
      </c>
      <c r="K7649" s="4" t="s">
        <v>55</v>
      </c>
      <c r="L7649" s="4" t="s">
        <v>7</v>
      </c>
      <c r="M7649" s="4" t="s">
        <v>7</v>
      </c>
      <c r="N7649" s="4" t="s">
        <v>7</v>
      </c>
      <c r="O7649" s="4" t="s">
        <v>15</v>
      </c>
      <c r="P7649" s="4" t="s">
        <v>55</v>
      </c>
      <c r="Q7649" s="4" t="s">
        <v>7</v>
      </c>
      <c r="R7649" s="4" t="s">
        <v>7</v>
      </c>
      <c r="S7649" s="4" t="s">
        <v>7</v>
      </c>
      <c r="T7649" s="4" t="s">
        <v>15</v>
      </c>
      <c r="U7649" s="4" t="s">
        <v>55</v>
      </c>
      <c r="V7649" s="4" t="s">
        <v>7</v>
      </c>
      <c r="W7649" s="4" t="s">
        <v>7</v>
      </c>
    </row>
    <row r="7650" spans="1:8">
      <c r="A7650" t="n">
        <v>69708</v>
      </c>
      <c r="B7650" s="55" t="n">
        <v>26</v>
      </c>
      <c r="C7650" s="7" t="n">
        <v>9</v>
      </c>
      <c r="D7650" s="7" t="n">
        <v>17</v>
      </c>
      <c r="E7650" s="7" t="n">
        <v>5801</v>
      </c>
      <c r="F7650" s="7" t="s">
        <v>661</v>
      </c>
      <c r="G7650" s="7" t="n">
        <v>2</v>
      </c>
      <c r="H7650" s="7" t="n">
        <v>3</v>
      </c>
      <c r="I7650" s="7" t="n">
        <v>17</v>
      </c>
      <c r="J7650" s="7" t="n">
        <v>5802</v>
      </c>
      <c r="K7650" s="7" t="s">
        <v>662</v>
      </c>
      <c r="L7650" s="7" t="n">
        <v>2</v>
      </c>
      <c r="M7650" s="7" t="n">
        <v>3</v>
      </c>
      <c r="N7650" s="7" t="n">
        <v>17</v>
      </c>
      <c r="O7650" s="7" t="n">
        <v>5803</v>
      </c>
      <c r="P7650" s="7" t="s">
        <v>663</v>
      </c>
      <c r="Q7650" s="7" t="n">
        <v>2</v>
      </c>
      <c r="R7650" s="7" t="n">
        <v>3</v>
      </c>
      <c r="S7650" s="7" t="n">
        <v>17</v>
      </c>
      <c r="T7650" s="7" t="n">
        <v>5804</v>
      </c>
      <c r="U7650" s="7" t="s">
        <v>664</v>
      </c>
      <c r="V7650" s="7" t="n">
        <v>2</v>
      </c>
      <c r="W7650" s="7" t="n">
        <v>0</v>
      </c>
    </row>
    <row r="7651" spans="1:8">
      <c r="A7651" t="s">
        <v>4</v>
      </c>
      <c r="B7651" s="4" t="s">
        <v>5</v>
      </c>
    </row>
    <row r="7652" spans="1:8">
      <c r="A7652" t="n">
        <v>70035</v>
      </c>
      <c r="B7652" s="27" t="n">
        <v>28</v>
      </c>
    </row>
    <row r="7653" spans="1:8">
      <c r="A7653" t="s">
        <v>4</v>
      </c>
      <c r="B7653" s="4" t="s">
        <v>5</v>
      </c>
      <c r="C7653" s="4" t="s">
        <v>7</v>
      </c>
      <c r="D7653" s="4" t="s">
        <v>11</v>
      </c>
      <c r="E7653" s="4" t="s">
        <v>8</v>
      </c>
    </row>
    <row r="7654" spans="1:8">
      <c r="A7654" t="n">
        <v>70036</v>
      </c>
      <c r="B7654" s="38" t="n">
        <v>51</v>
      </c>
      <c r="C7654" s="7" t="n">
        <v>4</v>
      </c>
      <c r="D7654" s="7" t="n">
        <v>0</v>
      </c>
      <c r="E7654" s="7" t="s">
        <v>179</v>
      </c>
    </row>
    <row r="7655" spans="1:8">
      <c r="A7655" t="s">
        <v>4</v>
      </c>
      <c r="B7655" s="4" t="s">
        <v>5</v>
      </c>
      <c r="C7655" s="4" t="s">
        <v>11</v>
      </c>
    </row>
    <row r="7656" spans="1:8">
      <c r="A7656" t="n">
        <v>70050</v>
      </c>
      <c r="B7656" s="29" t="n">
        <v>16</v>
      </c>
      <c r="C7656" s="7" t="n">
        <v>0</v>
      </c>
    </row>
    <row r="7657" spans="1:8">
      <c r="A7657" t="s">
        <v>4</v>
      </c>
      <c r="B7657" s="4" t="s">
        <v>5</v>
      </c>
      <c r="C7657" s="4" t="s">
        <v>11</v>
      </c>
      <c r="D7657" s="4" t="s">
        <v>7</v>
      </c>
      <c r="E7657" s="4" t="s">
        <v>15</v>
      </c>
      <c r="F7657" s="4" t="s">
        <v>55</v>
      </c>
      <c r="G7657" s="4" t="s">
        <v>7</v>
      </c>
      <c r="H7657" s="4" t="s">
        <v>7</v>
      </c>
      <c r="I7657" s="4" t="s">
        <v>7</v>
      </c>
      <c r="J7657" s="4" t="s">
        <v>15</v>
      </c>
      <c r="K7657" s="4" t="s">
        <v>55</v>
      </c>
      <c r="L7657" s="4" t="s">
        <v>7</v>
      </c>
      <c r="M7657" s="4" t="s">
        <v>7</v>
      </c>
      <c r="N7657" s="4" t="s">
        <v>7</v>
      </c>
      <c r="O7657" s="4" t="s">
        <v>15</v>
      </c>
      <c r="P7657" s="4" t="s">
        <v>55</v>
      </c>
      <c r="Q7657" s="4" t="s">
        <v>7</v>
      </c>
      <c r="R7657" s="4" t="s">
        <v>7</v>
      </c>
      <c r="S7657" s="4" t="s">
        <v>7</v>
      </c>
      <c r="T7657" s="4" t="s">
        <v>15</v>
      </c>
      <c r="U7657" s="4" t="s">
        <v>55</v>
      </c>
      <c r="V7657" s="4" t="s">
        <v>7</v>
      </c>
      <c r="W7657" s="4" t="s">
        <v>7</v>
      </c>
    </row>
    <row r="7658" spans="1:8">
      <c r="A7658" t="n">
        <v>70053</v>
      </c>
      <c r="B7658" s="55" t="n">
        <v>26</v>
      </c>
      <c r="C7658" s="7" t="n">
        <v>0</v>
      </c>
      <c r="D7658" s="7" t="n">
        <v>17</v>
      </c>
      <c r="E7658" s="7" t="n">
        <v>63963</v>
      </c>
      <c r="F7658" s="7" t="s">
        <v>665</v>
      </c>
      <c r="G7658" s="7" t="n">
        <v>2</v>
      </c>
      <c r="H7658" s="7" t="n">
        <v>3</v>
      </c>
      <c r="I7658" s="7" t="n">
        <v>17</v>
      </c>
      <c r="J7658" s="7" t="n">
        <v>63964</v>
      </c>
      <c r="K7658" s="7" t="s">
        <v>666</v>
      </c>
      <c r="L7658" s="7" t="n">
        <v>2</v>
      </c>
      <c r="M7658" s="7" t="n">
        <v>3</v>
      </c>
      <c r="N7658" s="7" t="n">
        <v>17</v>
      </c>
      <c r="O7658" s="7" t="n">
        <v>63965</v>
      </c>
      <c r="P7658" s="7" t="s">
        <v>667</v>
      </c>
      <c r="Q7658" s="7" t="n">
        <v>2</v>
      </c>
      <c r="R7658" s="7" t="n">
        <v>3</v>
      </c>
      <c r="S7658" s="7" t="n">
        <v>17</v>
      </c>
      <c r="T7658" s="7" t="n">
        <v>63966</v>
      </c>
      <c r="U7658" s="7" t="s">
        <v>668</v>
      </c>
      <c r="V7658" s="7" t="n">
        <v>2</v>
      </c>
      <c r="W7658" s="7" t="n">
        <v>0</v>
      </c>
    </row>
    <row r="7659" spans="1:8">
      <c r="A7659" t="s">
        <v>4</v>
      </c>
      <c r="B7659" s="4" t="s">
        <v>5</v>
      </c>
    </row>
    <row r="7660" spans="1:8">
      <c r="A7660" t="n">
        <v>70412</v>
      </c>
      <c r="B7660" s="27" t="n">
        <v>28</v>
      </c>
    </row>
    <row r="7661" spans="1:8">
      <c r="A7661" t="s">
        <v>4</v>
      </c>
      <c r="B7661" s="4" t="s">
        <v>5</v>
      </c>
      <c r="C7661" s="4" t="s">
        <v>7</v>
      </c>
      <c r="D7661" s="4" t="s">
        <v>11</v>
      </c>
      <c r="E7661" s="4" t="s">
        <v>8</v>
      </c>
    </row>
    <row r="7662" spans="1:8">
      <c r="A7662" t="n">
        <v>70413</v>
      </c>
      <c r="B7662" s="38" t="n">
        <v>51</v>
      </c>
      <c r="C7662" s="7" t="n">
        <v>4</v>
      </c>
      <c r="D7662" s="7" t="n">
        <v>9</v>
      </c>
      <c r="E7662" s="7" t="s">
        <v>245</v>
      </c>
    </row>
    <row r="7663" spans="1:8">
      <c r="A7663" t="s">
        <v>4</v>
      </c>
      <c r="B7663" s="4" t="s">
        <v>5</v>
      </c>
      <c r="C7663" s="4" t="s">
        <v>11</v>
      </c>
    </row>
    <row r="7664" spans="1:8">
      <c r="A7664" t="n">
        <v>70427</v>
      </c>
      <c r="B7664" s="29" t="n">
        <v>16</v>
      </c>
      <c r="C7664" s="7" t="n">
        <v>0</v>
      </c>
    </row>
    <row r="7665" spans="1:23">
      <c r="A7665" t="s">
        <v>4</v>
      </c>
      <c r="B7665" s="4" t="s">
        <v>5</v>
      </c>
      <c r="C7665" s="4" t="s">
        <v>11</v>
      </c>
      <c r="D7665" s="4" t="s">
        <v>7</v>
      </c>
      <c r="E7665" s="4" t="s">
        <v>15</v>
      </c>
      <c r="F7665" s="4" t="s">
        <v>55</v>
      </c>
      <c r="G7665" s="4" t="s">
        <v>7</v>
      </c>
      <c r="H7665" s="4" t="s">
        <v>7</v>
      </c>
    </row>
    <row r="7666" spans="1:23">
      <c r="A7666" t="n">
        <v>70430</v>
      </c>
      <c r="B7666" s="55" t="n">
        <v>26</v>
      </c>
      <c r="C7666" s="7" t="n">
        <v>9</v>
      </c>
      <c r="D7666" s="7" t="n">
        <v>17</v>
      </c>
      <c r="E7666" s="7" t="n">
        <v>5805</v>
      </c>
      <c r="F7666" s="7" t="s">
        <v>669</v>
      </c>
      <c r="G7666" s="7" t="n">
        <v>2</v>
      </c>
      <c r="H7666" s="7" t="n">
        <v>0</v>
      </c>
    </row>
    <row r="7667" spans="1:23">
      <c r="A7667" t="s">
        <v>4</v>
      </c>
      <c r="B7667" s="4" t="s">
        <v>5</v>
      </c>
    </row>
    <row r="7668" spans="1:23">
      <c r="A7668" t="n">
        <v>70449</v>
      </c>
      <c r="B7668" s="27" t="n">
        <v>28</v>
      </c>
    </row>
    <row r="7669" spans="1:23">
      <c r="A7669" t="s">
        <v>4</v>
      </c>
      <c r="B7669" s="4" t="s">
        <v>5</v>
      </c>
      <c r="C7669" s="4" t="s">
        <v>11</v>
      </c>
      <c r="D7669" s="4" t="s">
        <v>7</v>
      </c>
      <c r="E7669" s="4" t="s">
        <v>8</v>
      </c>
      <c r="F7669" s="4" t="s">
        <v>13</v>
      </c>
      <c r="G7669" s="4" t="s">
        <v>13</v>
      </c>
      <c r="H7669" s="4" t="s">
        <v>13</v>
      </c>
    </row>
    <row r="7670" spans="1:23">
      <c r="A7670" t="n">
        <v>70450</v>
      </c>
      <c r="B7670" s="42" t="n">
        <v>48</v>
      </c>
      <c r="C7670" s="7" t="n">
        <v>9</v>
      </c>
      <c r="D7670" s="7" t="n">
        <v>0</v>
      </c>
      <c r="E7670" s="7" t="s">
        <v>628</v>
      </c>
      <c r="F7670" s="7" t="n">
        <v>-1</v>
      </c>
      <c r="G7670" s="7" t="n">
        <v>1</v>
      </c>
      <c r="H7670" s="7" t="n">
        <v>0</v>
      </c>
    </row>
    <row r="7671" spans="1:23">
      <c r="A7671" t="s">
        <v>4</v>
      </c>
      <c r="B7671" s="4" t="s">
        <v>5</v>
      </c>
      <c r="C7671" s="4" t="s">
        <v>11</v>
      </c>
    </row>
    <row r="7672" spans="1:23">
      <c r="A7672" t="n">
        <v>70482</v>
      </c>
      <c r="B7672" s="29" t="n">
        <v>16</v>
      </c>
      <c r="C7672" s="7" t="n">
        <v>500</v>
      </c>
    </row>
    <row r="7673" spans="1:23">
      <c r="A7673" t="s">
        <v>4</v>
      </c>
      <c r="B7673" s="4" t="s">
        <v>5</v>
      </c>
      <c r="C7673" s="4" t="s">
        <v>7</v>
      </c>
      <c r="D7673" s="4" t="s">
        <v>11</v>
      </c>
      <c r="E7673" s="4" t="s">
        <v>8</v>
      </c>
    </row>
    <row r="7674" spans="1:23">
      <c r="A7674" t="n">
        <v>70485</v>
      </c>
      <c r="B7674" s="38" t="n">
        <v>51</v>
      </c>
      <c r="C7674" s="7" t="n">
        <v>4</v>
      </c>
      <c r="D7674" s="7" t="n">
        <v>9</v>
      </c>
      <c r="E7674" s="7" t="s">
        <v>658</v>
      </c>
    </row>
    <row r="7675" spans="1:23">
      <c r="A7675" t="s">
        <v>4</v>
      </c>
      <c r="B7675" s="4" t="s">
        <v>5</v>
      </c>
      <c r="C7675" s="4" t="s">
        <v>11</v>
      </c>
    </row>
    <row r="7676" spans="1:23">
      <c r="A7676" t="n">
        <v>70499</v>
      </c>
      <c r="B7676" s="29" t="n">
        <v>16</v>
      </c>
      <c r="C7676" s="7" t="n">
        <v>0</v>
      </c>
    </row>
    <row r="7677" spans="1:23">
      <c r="A7677" t="s">
        <v>4</v>
      </c>
      <c r="B7677" s="4" t="s">
        <v>5</v>
      </c>
      <c r="C7677" s="4" t="s">
        <v>11</v>
      </c>
      <c r="D7677" s="4" t="s">
        <v>7</v>
      </c>
      <c r="E7677" s="4" t="s">
        <v>15</v>
      </c>
      <c r="F7677" s="4" t="s">
        <v>55</v>
      </c>
      <c r="G7677" s="4" t="s">
        <v>7</v>
      </c>
      <c r="H7677" s="4" t="s">
        <v>7</v>
      </c>
      <c r="I7677" s="4" t="s">
        <v>7</v>
      </c>
      <c r="J7677" s="4" t="s">
        <v>15</v>
      </c>
      <c r="K7677" s="4" t="s">
        <v>55</v>
      </c>
      <c r="L7677" s="4" t="s">
        <v>7</v>
      </c>
      <c r="M7677" s="4" t="s">
        <v>7</v>
      </c>
    </row>
    <row r="7678" spans="1:23">
      <c r="A7678" t="n">
        <v>70502</v>
      </c>
      <c r="B7678" s="55" t="n">
        <v>26</v>
      </c>
      <c r="C7678" s="7" t="n">
        <v>9</v>
      </c>
      <c r="D7678" s="7" t="n">
        <v>17</v>
      </c>
      <c r="E7678" s="7" t="n">
        <v>5806</v>
      </c>
      <c r="F7678" s="7" t="s">
        <v>670</v>
      </c>
      <c r="G7678" s="7" t="n">
        <v>2</v>
      </c>
      <c r="H7678" s="7" t="n">
        <v>3</v>
      </c>
      <c r="I7678" s="7" t="n">
        <v>17</v>
      </c>
      <c r="J7678" s="7" t="n">
        <v>5807</v>
      </c>
      <c r="K7678" s="7" t="s">
        <v>671</v>
      </c>
      <c r="L7678" s="7" t="n">
        <v>2</v>
      </c>
      <c r="M7678" s="7" t="n">
        <v>0</v>
      </c>
    </row>
    <row r="7679" spans="1:23">
      <c r="A7679" t="s">
        <v>4</v>
      </c>
      <c r="B7679" s="4" t="s">
        <v>5</v>
      </c>
    </row>
    <row r="7680" spans="1:23">
      <c r="A7680" t="n">
        <v>70750</v>
      </c>
      <c r="B7680" s="27" t="n">
        <v>28</v>
      </c>
    </row>
    <row r="7681" spans="1:13">
      <c r="A7681" t="s">
        <v>4</v>
      </c>
      <c r="B7681" s="4" t="s">
        <v>5</v>
      </c>
      <c r="C7681" s="4" t="s">
        <v>7</v>
      </c>
      <c r="D7681" s="4" t="s">
        <v>11</v>
      </c>
      <c r="E7681" s="4" t="s">
        <v>8</v>
      </c>
    </row>
    <row r="7682" spans="1:13">
      <c r="A7682" t="n">
        <v>70751</v>
      </c>
      <c r="B7682" s="38" t="n">
        <v>51</v>
      </c>
      <c r="C7682" s="7" t="n">
        <v>4</v>
      </c>
      <c r="D7682" s="7" t="n">
        <v>0</v>
      </c>
      <c r="E7682" s="7" t="s">
        <v>304</v>
      </c>
    </row>
    <row r="7683" spans="1:13">
      <c r="A7683" t="s">
        <v>4</v>
      </c>
      <c r="B7683" s="4" t="s">
        <v>5</v>
      </c>
      <c r="C7683" s="4" t="s">
        <v>11</v>
      </c>
    </row>
    <row r="7684" spans="1:13">
      <c r="A7684" t="n">
        <v>70764</v>
      </c>
      <c r="B7684" s="29" t="n">
        <v>16</v>
      </c>
      <c r="C7684" s="7" t="n">
        <v>0</v>
      </c>
    </row>
    <row r="7685" spans="1:13">
      <c r="A7685" t="s">
        <v>4</v>
      </c>
      <c r="B7685" s="4" t="s">
        <v>5</v>
      </c>
      <c r="C7685" s="4" t="s">
        <v>11</v>
      </c>
      <c r="D7685" s="4" t="s">
        <v>7</v>
      </c>
      <c r="E7685" s="4" t="s">
        <v>15</v>
      </c>
      <c r="F7685" s="4" t="s">
        <v>55</v>
      </c>
      <c r="G7685" s="4" t="s">
        <v>7</v>
      </c>
      <c r="H7685" s="4" t="s">
        <v>7</v>
      </c>
    </row>
    <row r="7686" spans="1:13">
      <c r="A7686" t="n">
        <v>70767</v>
      </c>
      <c r="B7686" s="55" t="n">
        <v>26</v>
      </c>
      <c r="C7686" s="7" t="n">
        <v>0</v>
      </c>
      <c r="D7686" s="7" t="n">
        <v>17</v>
      </c>
      <c r="E7686" s="7" t="n">
        <v>63967</v>
      </c>
      <c r="F7686" s="7" t="s">
        <v>672</v>
      </c>
      <c r="G7686" s="7" t="n">
        <v>2</v>
      </c>
      <c r="H7686" s="7" t="n">
        <v>0</v>
      </c>
    </row>
    <row r="7687" spans="1:13">
      <c r="A7687" t="s">
        <v>4</v>
      </c>
      <c r="B7687" s="4" t="s">
        <v>5</v>
      </c>
    </row>
    <row r="7688" spans="1:13">
      <c r="A7688" t="n">
        <v>70828</v>
      </c>
      <c r="B7688" s="27" t="n">
        <v>28</v>
      </c>
    </row>
    <row r="7689" spans="1:13">
      <c r="A7689" t="s">
        <v>4</v>
      </c>
      <c r="B7689" s="4" t="s">
        <v>5</v>
      </c>
      <c r="C7689" s="4" t="s">
        <v>7</v>
      </c>
      <c r="D7689" s="4" t="s">
        <v>11</v>
      </c>
      <c r="E7689" s="4" t="s">
        <v>8</v>
      </c>
    </row>
    <row r="7690" spans="1:13">
      <c r="A7690" t="n">
        <v>70829</v>
      </c>
      <c r="B7690" s="38" t="n">
        <v>51</v>
      </c>
      <c r="C7690" s="7" t="n">
        <v>4</v>
      </c>
      <c r="D7690" s="7" t="n">
        <v>9</v>
      </c>
      <c r="E7690" s="7" t="s">
        <v>322</v>
      </c>
    </row>
    <row r="7691" spans="1:13">
      <c r="A7691" t="s">
        <v>4</v>
      </c>
      <c r="B7691" s="4" t="s">
        <v>5</v>
      </c>
      <c r="C7691" s="4" t="s">
        <v>11</v>
      </c>
    </row>
    <row r="7692" spans="1:13">
      <c r="A7692" t="n">
        <v>70843</v>
      </c>
      <c r="B7692" s="29" t="n">
        <v>16</v>
      </c>
      <c r="C7692" s="7" t="n">
        <v>0</v>
      </c>
    </row>
    <row r="7693" spans="1:13">
      <c r="A7693" t="s">
        <v>4</v>
      </c>
      <c r="B7693" s="4" t="s">
        <v>5</v>
      </c>
      <c r="C7693" s="4" t="s">
        <v>11</v>
      </c>
      <c r="D7693" s="4" t="s">
        <v>7</v>
      </c>
      <c r="E7693" s="4" t="s">
        <v>15</v>
      </c>
      <c r="F7693" s="4" t="s">
        <v>55</v>
      </c>
      <c r="G7693" s="4" t="s">
        <v>7</v>
      </c>
      <c r="H7693" s="4" t="s">
        <v>7</v>
      </c>
    </row>
    <row r="7694" spans="1:13">
      <c r="A7694" t="n">
        <v>70846</v>
      </c>
      <c r="B7694" s="55" t="n">
        <v>26</v>
      </c>
      <c r="C7694" s="7" t="n">
        <v>9</v>
      </c>
      <c r="D7694" s="7" t="n">
        <v>17</v>
      </c>
      <c r="E7694" s="7" t="n">
        <v>5808</v>
      </c>
      <c r="F7694" s="7" t="s">
        <v>673</v>
      </c>
      <c r="G7694" s="7" t="n">
        <v>2</v>
      </c>
      <c r="H7694" s="7" t="n">
        <v>0</v>
      </c>
    </row>
    <row r="7695" spans="1:13">
      <c r="A7695" t="s">
        <v>4</v>
      </c>
      <c r="B7695" s="4" t="s">
        <v>5</v>
      </c>
    </row>
    <row r="7696" spans="1:13">
      <c r="A7696" t="n">
        <v>70872</v>
      </c>
      <c r="B7696" s="27" t="n">
        <v>28</v>
      </c>
    </row>
    <row r="7697" spans="1:8">
      <c r="A7697" t="s">
        <v>4</v>
      </c>
      <c r="B7697" s="4" t="s">
        <v>5</v>
      </c>
      <c r="C7697" s="4" t="s">
        <v>11</v>
      </c>
      <c r="D7697" s="4" t="s">
        <v>7</v>
      </c>
    </row>
    <row r="7698" spans="1:8">
      <c r="A7698" t="n">
        <v>70873</v>
      </c>
      <c r="B7698" s="68" t="n">
        <v>89</v>
      </c>
      <c r="C7698" s="7" t="n">
        <v>65533</v>
      </c>
      <c r="D7698" s="7" t="n">
        <v>1</v>
      </c>
    </row>
    <row r="7699" spans="1:8">
      <c r="A7699" t="s">
        <v>4</v>
      </c>
      <c r="B7699" s="4" t="s">
        <v>5</v>
      </c>
      <c r="C7699" s="4" t="s">
        <v>7</v>
      </c>
      <c r="D7699" s="4" t="s">
        <v>11</v>
      </c>
      <c r="E7699" s="4" t="s">
        <v>13</v>
      </c>
    </row>
    <row r="7700" spans="1:8">
      <c r="A7700" t="n">
        <v>70877</v>
      </c>
      <c r="B7700" s="23" t="n">
        <v>58</v>
      </c>
      <c r="C7700" s="7" t="n">
        <v>101</v>
      </c>
      <c r="D7700" s="7" t="n">
        <v>500</v>
      </c>
      <c r="E7700" s="7" t="n">
        <v>1</v>
      </c>
    </row>
    <row r="7701" spans="1:8">
      <c r="A7701" t="s">
        <v>4</v>
      </c>
      <c r="B7701" s="4" t="s">
        <v>5</v>
      </c>
      <c r="C7701" s="4" t="s">
        <v>7</v>
      </c>
      <c r="D7701" s="4" t="s">
        <v>11</v>
      </c>
    </row>
    <row r="7702" spans="1:8">
      <c r="A7702" t="n">
        <v>70885</v>
      </c>
      <c r="B7702" s="23" t="n">
        <v>58</v>
      </c>
      <c r="C7702" s="7" t="n">
        <v>254</v>
      </c>
      <c r="D7702" s="7" t="n">
        <v>0</v>
      </c>
    </row>
    <row r="7703" spans="1:8">
      <c r="A7703" t="s">
        <v>4</v>
      </c>
      <c r="B7703" s="4" t="s">
        <v>5</v>
      </c>
      <c r="C7703" s="4" t="s">
        <v>7</v>
      </c>
      <c r="D7703" s="4" t="s">
        <v>7</v>
      </c>
      <c r="E7703" s="4" t="s">
        <v>13</v>
      </c>
      <c r="F7703" s="4" t="s">
        <v>13</v>
      </c>
      <c r="G7703" s="4" t="s">
        <v>13</v>
      </c>
      <c r="H7703" s="4" t="s">
        <v>11</v>
      </c>
    </row>
    <row r="7704" spans="1:8">
      <c r="A7704" t="n">
        <v>70889</v>
      </c>
      <c r="B7704" s="51" t="n">
        <v>45</v>
      </c>
      <c r="C7704" s="7" t="n">
        <v>2</v>
      </c>
      <c r="D7704" s="7" t="n">
        <v>3</v>
      </c>
      <c r="E7704" s="7" t="n">
        <v>-6.86999988555908</v>
      </c>
      <c r="F7704" s="7" t="n">
        <v>6.38000011444092</v>
      </c>
      <c r="G7704" s="7" t="n">
        <v>29.9200000762939</v>
      </c>
      <c r="H7704" s="7" t="n">
        <v>0</v>
      </c>
    </row>
    <row r="7705" spans="1:8">
      <c r="A7705" t="s">
        <v>4</v>
      </c>
      <c r="B7705" s="4" t="s">
        <v>5</v>
      </c>
      <c r="C7705" s="4" t="s">
        <v>7</v>
      </c>
      <c r="D7705" s="4" t="s">
        <v>7</v>
      </c>
      <c r="E7705" s="4" t="s">
        <v>13</v>
      </c>
      <c r="F7705" s="4" t="s">
        <v>13</v>
      </c>
      <c r="G7705" s="4" t="s">
        <v>13</v>
      </c>
      <c r="H7705" s="4" t="s">
        <v>11</v>
      </c>
      <c r="I7705" s="4" t="s">
        <v>7</v>
      </c>
    </row>
    <row r="7706" spans="1:8">
      <c r="A7706" t="n">
        <v>70906</v>
      </c>
      <c r="B7706" s="51" t="n">
        <v>45</v>
      </c>
      <c r="C7706" s="7" t="n">
        <v>4</v>
      </c>
      <c r="D7706" s="7" t="n">
        <v>3</v>
      </c>
      <c r="E7706" s="7" t="n">
        <v>9.21000003814697</v>
      </c>
      <c r="F7706" s="7" t="n">
        <v>50.6699981689453</v>
      </c>
      <c r="G7706" s="7" t="n">
        <v>8</v>
      </c>
      <c r="H7706" s="7" t="n">
        <v>0</v>
      </c>
      <c r="I7706" s="7" t="n">
        <v>0</v>
      </c>
    </row>
    <row r="7707" spans="1:8">
      <c r="A7707" t="s">
        <v>4</v>
      </c>
      <c r="B7707" s="4" t="s">
        <v>5</v>
      </c>
      <c r="C7707" s="4" t="s">
        <v>7</v>
      </c>
      <c r="D7707" s="4" t="s">
        <v>7</v>
      </c>
      <c r="E7707" s="4" t="s">
        <v>13</v>
      </c>
      <c r="F7707" s="4" t="s">
        <v>11</v>
      </c>
    </row>
    <row r="7708" spans="1:8">
      <c r="A7708" t="n">
        <v>70924</v>
      </c>
      <c r="B7708" s="51" t="n">
        <v>45</v>
      </c>
      <c r="C7708" s="7" t="n">
        <v>5</v>
      </c>
      <c r="D7708" s="7" t="n">
        <v>3</v>
      </c>
      <c r="E7708" s="7" t="n">
        <v>1.10000002384186</v>
      </c>
      <c r="F7708" s="7" t="n">
        <v>0</v>
      </c>
    </row>
    <row r="7709" spans="1:8">
      <c r="A7709" t="s">
        <v>4</v>
      </c>
      <c r="B7709" s="4" t="s">
        <v>5</v>
      </c>
      <c r="C7709" s="4" t="s">
        <v>7</v>
      </c>
      <c r="D7709" s="4" t="s">
        <v>7</v>
      </c>
      <c r="E7709" s="4" t="s">
        <v>13</v>
      </c>
      <c r="F7709" s="4" t="s">
        <v>11</v>
      </c>
    </row>
    <row r="7710" spans="1:8">
      <c r="A7710" t="n">
        <v>70933</v>
      </c>
      <c r="B7710" s="51" t="n">
        <v>45</v>
      </c>
      <c r="C7710" s="7" t="n">
        <v>11</v>
      </c>
      <c r="D7710" s="7" t="n">
        <v>3</v>
      </c>
      <c r="E7710" s="7" t="n">
        <v>40.2999992370605</v>
      </c>
      <c r="F7710" s="7" t="n">
        <v>0</v>
      </c>
    </row>
    <row r="7711" spans="1:8">
      <c r="A7711" t="s">
        <v>4</v>
      </c>
      <c r="B7711" s="4" t="s">
        <v>5</v>
      </c>
      <c r="C7711" s="4" t="s">
        <v>7</v>
      </c>
      <c r="D7711" s="4" t="s">
        <v>11</v>
      </c>
    </row>
    <row r="7712" spans="1:8">
      <c r="A7712" t="n">
        <v>70942</v>
      </c>
      <c r="B7712" s="23" t="n">
        <v>58</v>
      </c>
      <c r="C7712" s="7" t="n">
        <v>255</v>
      </c>
      <c r="D7712" s="7" t="n">
        <v>0</v>
      </c>
    </row>
    <row r="7713" spans="1:9">
      <c r="A7713" t="s">
        <v>4</v>
      </c>
      <c r="B7713" s="4" t="s">
        <v>5</v>
      </c>
      <c r="C7713" s="4" t="s">
        <v>7</v>
      </c>
      <c r="D7713" s="4" t="s">
        <v>11</v>
      </c>
      <c r="E7713" s="4" t="s">
        <v>8</v>
      </c>
    </row>
    <row r="7714" spans="1:9">
      <c r="A7714" t="n">
        <v>70946</v>
      </c>
      <c r="B7714" s="38" t="n">
        <v>51</v>
      </c>
      <c r="C7714" s="7" t="n">
        <v>4</v>
      </c>
      <c r="D7714" s="7" t="n">
        <v>0</v>
      </c>
      <c r="E7714" s="7" t="s">
        <v>242</v>
      </c>
    </row>
    <row r="7715" spans="1:9">
      <c r="A7715" t="s">
        <v>4</v>
      </c>
      <c r="B7715" s="4" t="s">
        <v>5</v>
      </c>
      <c r="C7715" s="4" t="s">
        <v>11</v>
      </c>
    </row>
    <row r="7716" spans="1:9">
      <c r="A7716" t="n">
        <v>70960</v>
      </c>
      <c r="B7716" s="29" t="n">
        <v>16</v>
      </c>
      <c r="C7716" s="7" t="n">
        <v>0</v>
      </c>
    </row>
    <row r="7717" spans="1:9">
      <c r="A7717" t="s">
        <v>4</v>
      </c>
      <c r="B7717" s="4" t="s">
        <v>5</v>
      </c>
      <c r="C7717" s="4" t="s">
        <v>11</v>
      </c>
      <c r="D7717" s="4" t="s">
        <v>7</v>
      </c>
      <c r="E7717" s="4" t="s">
        <v>15</v>
      </c>
      <c r="F7717" s="4" t="s">
        <v>55</v>
      </c>
      <c r="G7717" s="4" t="s">
        <v>7</v>
      </c>
      <c r="H7717" s="4" t="s">
        <v>7</v>
      </c>
      <c r="I7717" s="4" t="s">
        <v>7</v>
      </c>
      <c r="J7717" s="4" t="s">
        <v>15</v>
      </c>
      <c r="K7717" s="4" t="s">
        <v>55</v>
      </c>
      <c r="L7717" s="4" t="s">
        <v>7</v>
      </c>
      <c r="M7717" s="4" t="s">
        <v>7</v>
      </c>
      <c r="N7717" s="4" t="s">
        <v>7</v>
      </c>
      <c r="O7717" s="4" t="s">
        <v>15</v>
      </c>
      <c r="P7717" s="4" t="s">
        <v>55</v>
      </c>
      <c r="Q7717" s="4" t="s">
        <v>7</v>
      </c>
      <c r="R7717" s="4" t="s">
        <v>7</v>
      </c>
      <c r="S7717" s="4" t="s">
        <v>7</v>
      </c>
      <c r="T7717" s="4" t="s">
        <v>15</v>
      </c>
      <c r="U7717" s="4" t="s">
        <v>55</v>
      </c>
      <c r="V7717" s="4" t="s">
        <v>7</v>
      </c>
      <c r="W7717" s="4" t="s">
        <v>7</v>
      </c>
      <c r="X7717" s="4" t="s">
        <v>7</v>
      </c>
      <c r="Y7717" s="4" t="s">
        <v>15</v>
      </c>
      <c r="Z7717" s="4" t="s">
        <v>55</v>
      </c>
      <c r="AA7717" s="4" t="s">
        <v>7</v>
      </c>
      <c r="AB7717" s="4" t="s">
        <v>7</v>
      </c>
    </row>
    <row r="7718" spans="1:9">
      <c r="A7718" t="n">
        <v>70963</v>
      </c>
      <c r="B7718" s="55" t="n">
        <v>26</v>
      </c>
      <c r="C7718" s="7" t="n">
        <v>0</v>
      </c>
      <c r="D7718" s="7" t="n">
        <v>17</v>
      </c>
      <c r="E7718" s="7" t="n">
        <v>63968</v>
      </c>
      <c r="F7718" s="7" t="s">
        <v>674</v>
      </c>
      <c r="G7718" s="7" t="n">
        <v>2</v>
      </c>
      <c r="H7718" s="7" t="n">
        <v>3</v>
      </c>
      <c r="I7718" s="7" t="n">
        <v>17</v>
      </c>
      <c r="J7718" s="7" t="n">
        <v>63969</v>
      </c>
      <c r="K7718" s="7" t="s">
        <v>675</v>
      </c>
      <c r="L7718" s="7" t="n">
        <v>2</v>
      </c>
      <c r="M7718" s="7" t="n">
        <v>3</v>
      </c>
      <c r="N7718" s="7" t="n">
        <v>17</v>
      </c>
      <c r="O7718" s="7" t="n">
        <v>63970</v>
      </c>
      <c r="P7718" s="7" t="s">
        <v>676</v>
      </c>
      <c r="Q7718" s="7" t="n">
        <v>2</v>
      </c>
      <c r="R7718" s="7" t="n">
        <v>3</v>
      </c>
      <c r="S7718" s="7" t="n">
        <v>17</v>
      </c>
      <c r="T7718" s="7" t="n">
        <v>63971</v>
      </c>
      <c r="U7718" s="7" t="s">
        <v>677</v>
      </c>
      <c r="V7718" s="7" t="n">
        <v>2</v>
      </c>
      <c r="W7718" s="7" t="n">
        <v>3</v>
      </c>
      <c r="X7718" s="7" t="n">
        <v>17</v>
      </c>
      <c r="Y7718" s="7" t="n">
        <v>63972</v>
      </c>
      <c r="Z7718" s="7" t="s">
        <v>678</v>
      </c>
      <c r="AA7718" s="7" t="n">
        <v>2</v>
      </c>
      <c r="AB7718" s="7" t="n">
        <v>0</v>
      </c>
    </row>
    <row r="7719" spans="1:9">
      <c r="A7719" t="s">
        <v>4</v>
      </c>
      <c r="B7719" s="4" t="s">
        <v>5</v>
      </c>
    </row>
    <row r="7720" spans="1:9">
      <c r="A7720" t="n">
        <v>71476</v>
      </c>
      <c r="B7720" s="27" t="n">
        <v>28</v>
      </c>
    </row>
    <row r="7721" spans="1:9">
      <c r="A7721" t="s">
        <v>4</v>
      </c>
      <c r="B7721" s="4" t="s">
        <v>5</v>
      </c>
      <c r="C7721" s="4" t="s">
        <v>11</v>
      </c>
      <c r="D7721" s="4" t="s">
        <v>7</v>
      </c>
      <c r="E7721" s="4" t="s">
        <v>8</v>
      </c>
      <c r="F7721" s="4" t="s">
        <v>13</v>
      </c>
      <c r="G7721" s="4" t="s">
        <v>13</v>
      </c>
      <c r="H7721" s="4" t="s">
        <v>13</v>
      </c>
    </row>
    <row r="7722" spans="1:9">
      <c r="A7722" t="n">
        <v>71477</v>
      </c>
      <c r="B7722" s="42" t="n">
        <v>48</v>
      </c>
      <c r="C7722" s="7" t="n">
        <v>9</v>
      </c>
      <c r="D7722" s="7" t="n">
        <v>0</v>
      </c>
      <c r="E7722" s="7" t="s">
        <v>628</v>
      </c>
      <c r="F7722" s="7" t="n">
        <v>-1</v>
      </c>
      <c r="G7722" s="7" t="n">
        <v>1</v>
      </c>
      <c r="H7722" s="7" t="n">
        <v>2.80259692864963e-45</v>
      </c>
    </row>
    <row r="7723" spans="1:9">
      <c r="A7723" t="s">
        <v>4</v>
      </c>
      <c r="B7723" s="4" t="s">
        <v>5</v>
      </c>
      <c r="C7723" s="4" t="s">
        <v>11</v>
      </c>
    </row>
    <row r="7724" spans="1:9">
      <c r="A7724" t="n">
        <v>71509</v>
      </c>
      <c r="B7724" s="29" t="n">
        <v>16</v>
      </c>
      <c r="C7724" s="7" t="n">
        <v>500</v>
      </c>
    </row>
    <row r="7725" spans="1:9">
      <c r="A7725" t="s">
        <v>4</v>
      </c>
      <c r="B7725" s="4" t="s">
        <v>5</v>
      </c>
      <c r="C7725" s="4" t="s">
        <v>7</v>
      </c>
      <c r="D7725" s="4" t="s">
        <v>11</v>
      </c>
      <c r="E7725" s="4" t="s">
        <v>8</v>
      </c>
    </row>
    <row r="7726" spans="1:9">
      <c r="A7726" t="n">
        <v>71512</v>
      </c>
      <c r="B7726" s="38" t="n">
        <v>51</v>
      </c>
      <c r="C7726" s="7" t="n">
        <v>4</v>
      </c>
      <c r="D7726" s="7" t="n">
        <v>9</v>
      </c>
      <c r="E7726" s="7" t="s">
        <v>679</v>
      </c>
    </row>
    <row r="7727" spans="1:9">
      <c r="A7727" t="s">
        <v>4</v>
      </c>
      <c r="B7727" s="4" t="s">
        <v>5</v>
      </c>
      <c r="C7727" s="4" t="s">
        <v>11</v>
      </c>
    </row>
    <row r="7728" spans="1:9">
      <c r="A7728" t="n">
        <v>71525</v>
      </c>
      <c r="B7728" s="29" t="n">
        <v>16</v>
      </c>
      <c r="C7728" s="7" t="n">
        <v>0</v>
      </c>
    </row>
    <row r="7729" spans="1:28">
      <c r="A7729" t="s">
        <v>4</v>
      </c>
      <c r="B7729" s="4" t="s">
        <v>5</v>
      </c>
      <c r="C7729" s="4" t="s">
        <v>11</v>
      </c>
      <c r="D7729" s="4" t="s">
        <v>7</v>
      </c>
      <c r="E7729" s="4" t="s">
        <v>15</v>
      </c>
      <c r="F7729" s="4" t="s">
        <v>55</v>
      </c>
      <c r="G7729" s="4" t="s">
        <v>7</v>
      </c>
      <c r="H7729" s="4" t="s">
        <v>7</v>
      </c>
    </row>
    <row r="7730" spans="1:28">
      <c r="A7730" t="n">
        <v>71528</v>
      </c>
      <c r="B7730" s="55" t="n">
        <v>26</v>
      </c>
      <c r="C7730" s="7" t="n">
        <v>9</v>
      </c>
      <c r="D7730" s="7" t="n">
        <v>17</v>
      </c>
      <c r="E7730" s="7" t="n">
        <v>5809</v>
      </c>
      <c r="F7730" s="7" t="s">
        <v>680</v>
      </c>
      <c r="G7730" s="7" t="n">
        <v>2</v>
      </c>
      <c r="H7730" s="7" t="n">
        <v>0</v>
      </c>
    </row>
    <row r="7731" spans="1:28">
      <c r="A7731" t="s">
        <v>4</v>
      </c>
      <c r="B7731" s="4" t="s">
        <v>5</v>
      </c>
    </row>
    <row r="7732" spans="1:28">
      <c r="A7732" t="n">
        <v>71548</v>
      </c>
      <c r="B7732" s="27" t="n">
        <v>28</v>
      </c>
    </row>
    <row r="7733" spans="1:28">
      <c r="A7733" t="s">
        <v>4</v>
      </c>
      <c r="B7733" s="4" t="s">
        <v>5</v>
      </c>
      <c r="C7733" s="4" t="s">
        <v>7</v>
      </c>
      <c r="D7733" s="4" t="s">
        <v>11</v>
      </c>
      <c r="E7733" s="4" t="s">
        <v>8</v>
      </c>
    </row>
    <row r="7734" spans="1:28">
      <c r="A7734" t="n">
        <v>71549</v>
      </c>
      <c r="B7734" s="38" t="n">
        <v>51</v>
      </c>
      <c r="C7734" s="7" t="n">
        <v>4</v>
      </c>
      <c r="D7734" s="7" t="n">
        <v>0</v>
      </c>
      <c r="E7734" s="7" t="s">
        <v>179</v>
      </c>
    </row>
    <row r="7735" spans="1:28">
      <c r="A7735" t="s">
        <v>4</v>
      </c>
      <c r="B7735" s="4" t="s">
        <v>5</v>
      </c>
      <c r="C7735" s="4" t="s">
        <v>11</v>
      </c>
    </row>
    <row r="7736" spans="1:28">
      <c r="A7736" t="n">
        <v>71563</v>
      </c>
      <c r="B7736" s="29" t="n">
        <v>16</v>
      </c>
      <c r="C7736" s="7" t="n">
        <v>0</v>
      </c>
    </row>
    <row r="7737" spans="1:28">
      <c r="A7737" t="s">
        <v>4</v>
      </c>
      <c r="B7737" s="4" t="s">
        <v>5</v>
      </c>
      <c r="C7737" s="4" t="s">
        <v>11</v>
      </c>
      <c r="D7737" s="4" t="s">
        <v>7</v>
      </c>
      <c r="E7737" s="4" t="s">
        <v>15</v>
      </c>
      <c r="F7737" s="4" t="s">
        <v>55</v>
      </c>
      <c r="G7737" s="4" t="s">
        <v>7</v>
      </c>
      <c r="H7737" s="4" t="s">
        <v>7</v>
      </c>
      <c r="I7737" s="4" t="s">
        <v>7</v>
      </c>
      <c r="J7737" s="4" t="s">
        <v>15</v>
      </c>
      <c r="K7737" s="4" t="s">
        <v>55</v>
      </c>
      <c r="L7737" s="4" t="s">
        <v>7</v>
      </c>
      <c r="M7737" s="4" t="s">
        <v>7</v>
      </c>
      <c r="N7737" s="4" t="s">
        <v>7</v>
      </c>
      <c r="O7737" s="4" t="s">
        <v>15</v>
      </c>
      <c r="P7737" s="4" t="s">
        <v>55</v>
      </c>
      <c r="Q7737" s="4" t="s">
        <v>7</v>
      </c>
      <c r="R7737" s="4" t="s">
        <v>7</v>
      </c>
    </row>
    <row r="7738" spans="1:28">
      <c r="A7738" t="n">
        <v>71566</v>
      </c>
      <c r="B7738" s="55" t="n">
        <v>26</v>
      </c>
      <c r="C7738" s="7" t="n">
        <v>0</v>
      </c>
      <c r="D7738" s="7" t="n">
        <v>17</v>
      </c>
      <c r="E7738" s="7" t="n">
        <v>63973</v>
      </c>
      <c r="F7738" s="7" t="s">
        <v>681</v>
      </c>
      <c r="G7738" s="7" t="n">
        <v>2</v>
      </c>
      <c r="H7738" s="7" t="n">
        <v>3</v>
      </c>
      <c r="I7738" s="7" t="n">
        <v>17</v>
      </c>
      <c r="J7738" s="7" t="n">
        <v>63974</v>
      </c>
      <c r="K7738" s="7" t="s">
        <v>682</v>
      </c>
      <c r="L7738" s="7" t="n">
        <v>2</v>
      </c>
      <c r="M7738" s="7" t="n">
        <v>3</v>
      </c>
      <c r="N7738" s="7" t="n">
        <v>17</v>
      </c>
      <c r="O7738" s="7" t="n">
        <v>63975</v>
      </c>
      <c r="P7738" s="7" t="s">
        <v>683</v>
      </c>
      <c r="Q7738" s="7" t="n">
        <v>2</v>
      </c>
      <c r="R7738" s="7" t="n">
        <v>0</v>
      </c>
    </row>
    <row r="7739" spans="1:28">
      <c r="A7739" t="s">
        <v>4</v>
      </c>
      <c r="B7739" s="4" t="s">
        <v>5</v>
      </c>
    </row>
    <row r="7740" spans="1:28">
      <c r="A7740" t="n">
        <v>71837</v>
      </c>
      <c r="B7740" s="27" t="n">
        <v>28</v>
      </c>
    </row>
    <row r="7741" spans="1:28">
      <c r="A7741" t="s">
        <v>4</v>
      </c>
      <c r="B7741" s="4" t="s">
        <v>5</v>
      </c>
      <c r="C7741" s="4" t="s">
        <v>11</v>
      </c>
      <c r="D7741" s="4" t="s">
        <v>7</v>
      </c>
    </row>
    <row r="7742" spans="1:28">
      <c r="A7742" t="n">
        <v>71838</v>
      </c>
      <c r="B7742" s="68" t="n">
        <v>89</v>
      </c>
      <c r="C7742" s="7" t="n">
        <v>65533</v>
      </c>
      <c r="D7742" s="7" t="n">
        <v>1</v>
      </c>
    </row>
    <row r="7743" spans="1:28">
      <c r="A7743" t="s">
        <v>4</v>
      </c>
      <c r="B7743" s="4" t="s">
        <v>5</v>
      </c>
      <c r="C7743" s="4" t="s">
        <v>7</v>
      </c>
      <c r="D7743" s="4" t="s">
        <v>11</v>
      </c>
      <c r="E7743" s="4" t="s">
        <v>13</v>
      </c>
    </row>
    <row r="7744" spans="1:28">
      <c r="A7744" t="n">
        <v>71842</v>
      </c>
      <c r="B7744" s="23" t="n">
        <v>58</v>
      </c>
      <c r="C7744" s="7" t="n">
        <v>101</v>
      </c>
      <c r="D7744" s="7" t="n">
        <v>500</v>
      </c>
      <c r="E7744" s="7" t="n">
        <v>1</v>
      </c>
    </row>
    <row r="7745" spans="1:18">
      <c r="A7745" t="s">
        <v>4</v>
      </c>
      <c r="B7745" s="4" t="s">
        <v>5</v>
      </c>
      <c r="C7745" s="4" t="s">
        <v>7</v>
      </c>
      <c r="D7745" s="4" t="s">
        <v>11</v>
      </c>
    </row>
    <row r="7746" spans="1:18">
      <c r="A7746" t="n">
        <v>71850</v>
      </c>
      <c r="B7746" s="23" t="n">
        <v>58</v>
      </c>
      <c r="C7746" s="7" t="n">
        <v>254</v>
      </c>
      <c r="D7746" s="7" t="n">
        <v>0</v>
      </c>
    </row>
    <row r="7747" spans="1:18">
      <c r="A7747" t="s">
        <v>4</v>
      </c>
      <c r="B7747" s="4" t="s">
        <v>5</v>
      </c>
      <c r="C7747" s="4" t="s">
        <v>7</v>
      </c>
      <c r="D7747" s="4" t="s">
        <v>7</v>
      </c>
      <c r="E7747" s="4" t="s">
        <v>13</v>
      </c>
      <c r="F7747" s="4" t="s">
        <v>13</v>
      </c>
      <c r="G7747" s="4" t="s">
        <v>13</v>
      </c>
      <c r="H7747" s="4" t="s">
        <v>11</v>
      </c>
    </row>
    <row r="7748" spans="1:18">
      <c r="A7748" t="n">
        <v>71854</v>
      </c>
      <c r="B7748" s="51" t="n">
        <v>45</v>
      </c>
      <c r="C7748" s="7" t="n">
        <v>2</v>
      </c>
      <c r="D7748" s="7" t="n">
        <v>3</v>
      </c>
      <c r="E7748" s="7" t="n">
        <v>-7.3600001335144</v>
      </c>
      <c r="F7748" s="7" t="n">
        <v>6.26000022888184</v>
      </c>
      <c r="G7748" s="7" t="n">
        <v>29.8199996948242</v>
      </c>
      <c r="H7748" s="7" t="n">
        <v>0</v>
      </c>
    </row>
    <row r="7749" spans="1:18">
      <c r="A7749" t="s">
        <v>4</v>
      </c>
      <c r="B7749" s="4" t="s">
        <v>5</v>
      </c>
      <c r="C7749" s="4" t="s">
        <v>7</v>
      </c>
      <c r="D7749" s="4" t="s">
        <v>7</v>
      </c>
      <c r="E7749" s="4" t="s">
        <v>13</v>
      </c>
      <c r="F7749" s="4" t="s">
        <v>13</v>
      </c>
      <c r="G7749" s="4" t="s">
        <v>13</v>
      </c>
      <c r="H7749" s="4" t="s">
        <v>11</v>
      </c>
      <c r="I7749" s="4" t="s">
        <v>7</v>
      </c>
    </row>
    <row r="7750" spans="1:18">
      <c r="A7750" t="n">
        <v>71871</v>
      </c>
      <c r="B7750" s="51" t="n">
        <v>45</v>
      </c>
      <c r="C7750" s="7" t="n">
        <v>4</v>
      </c>
      <c r="D7750" s="7" t="n">
        <v>3</v>
      </c>
      <c r="E7750" s="7" t="n">
        <v>8.11999988555908</v>
      </c>
      <c r="F7750" s="7" t="n">
        <v>60.310001373291</v>
      </c>
      <c r="G7750" s="7" t="n">
        <v>354</v>
      </c>
      <c r="H7750" s="7" t="n">
        <v>0</v>
      </c>
      <c r="I7750" s="7" t="n">
        <v>0</v>
      </c>
    </row>
    <row r="7751" spans="1:18">
      <c r="A7751" t="s">
        <v>4</v>
      </c>
      <c r="B7751" s="4" t="s">
        <v>5</v>
      </c>
      <c r="C7751" s="4" t="s">
        <v>7</v>
      </c>
      <c r="D7751" s="4" t="s">
        <v>7</v>
      </c>
      <c r="E7751" s="4" t="s">
        <v>13</v>
      </c>
      <c r="F7751" s="4" t="s">
        <v>11</v>
      </c>
    </row>
    <row r="7752" spans="1:18">
      <c r="A7752" t="n">
        <v>71889</v>
      </c>
      <c r="B7752" s="51" t="n">
        <v>45</v>
      </c>
      <c r="C7752" s="7" t="n">
        <v>5</v>
      </c>
      <c r="D7752" s="7" t="n">
        <v>3</v>
      </c>
      <c r="E7752" s="7" t="n">
        <v>0.800000011920929</v>
      </c>
      <c r="F7752" s="7" t="n">
        <v>0</v>
      </c>
    </row>
    <row r="7753" spans="1:18">
      <c r="A7753" t="s">
        <v>4</v>
      </c>
      <c r="B7753" s="4" t="s">
        <v>5</v>
      </c>
      <c r="C7753" s="4" t="s">
        <v>7</v>
      </c>
      <c r="D7753" s="4" t="s">
        <v>7</v>
      </c>
      <c r="E7753" s="4" t="s">
        <v>13</v>
      </c>
      <c r="F7753" s="4" t="s">
        <v>11</v>
      </c>
    </row>
    <row r="7754" spans="1:18">
      <c r="A7754" t="n">
        <v>71898</v>
      </c>
      <c r="B7754" s="51" t="n">
        <v>45</v>
      </c>
      <c r="C7754" s="7" t="n">
        <v>11</v>
      </c>
      <c r="D7754" s="7" t="n">
        <v>3</v>
      </c>
      <c r="E7754" s="7" t="n">
        <v>40.2999992370605</v>
      </c>
      <c r="F7754" s="7" t="n">
        <v>0</v>
      </c>
    </row>
    <row r="7755" spans="1:18">
      <c r="A7755" t="s">
        <v>4</v>
      </c>
      <c r="B7755" s="4" t="s">
        <v>5</v>
      </c>
      <c r="C7755" s="4" t="s">
        <v>7</v>
      </c>
      <c r="D7755" s="4" t="s">
        <v>11</v>
      </c>
    </row>
    <row r="7756" spans="1:18">
      <c r="A7756" t="n">
        <v>71907</v>
      </c>
      <c r="B7756" s="23" t="n">
        <v>58</v>
      </c>
      <c r="C7756" s="7" t="n">
        <v>255</v>
      </c>
      <c r="D7756" s="7" t="n">
        <v>0</v>
      </c>
    </row>
    <row r="7757" spans="1:18">
      <c r="A7757" t="s">
        <v>4</v>
      </c>
      <c r="B7757" s="4" t="s">
        <v>5</v>
      </c>
      <c r="C7757" s="4" t="s">
        <v>7</v>
      </c>
      <c r="D7757" s="4" t="s">
        <v>11</v>
      </c>
      <c r="E7757" s="4" t="s">
        <v>8</v>
      </c>
    </row>
    <row r="7758" spans="1:18">
      <c r="A7758" t="n">
        <v>71911</v>
      </c>
      <c r="B7758" s="38" t="n">
        <v>51</v>
      </c>
      <c r="C7758" s="7" t="n">
        <v>4</v>
      </c>
      <c r="D7758" s="7" t="n">
        <v>9</v>
      </c>
      <c r="E7758" s="7" t="s">
        <v>313</v>
      </c>
    </row>
    <row r="7759" spans="1:18">
      <c r="A7759" t="s">
        <v>4</v>
      </c>
      <c r="B7759" s="4" t="s">
        <v>5</v>
      </c>
      <c r="C7759" s="4" t="s">
        <v>11</v>
      </c>
    </row>
    <row r="7760" spans="1:18">
      <c r="A7760" t="n">
        <v>71924</v>
      </c>
      <c r="B7760" s="29" t="n">
        <v>16</v>
      </c>
      <c r="C7760" s="7" t="n">
        <v>0</v>
      </c>
    </row>
    <row r="7761" spans="1:9">
      <c r="A7761" t="s">
        <v>4</v>
      </c>
      <c r="B7761" s="4" t="s">
        <v>5</v>
      </c>
      <c r="C7761" s="4" t="s">
        <v>11</v>
      </c>
      <c r="D7761" s="4" t="s">
        <v>7</v>
      </c>
      <c r="E7761" s="4" t="s">
        <v>15</v>
      </c>
      <c r="F7761" s="4" t="s">
        <v>55</v>
      </c>
      <c r="G7761" s="4" t="s">
        <v>7</v>
      </c>
      <c r="H7761" s="4" t="s">
        <v>7</v>
      </c>
    </row>
    <row r="7762" spans="1:9">
      <c r="A7762" t="n">
        <v>71927</v>
      </c>
      <c r="B7762" s="55" t="n">
        <v>26</v>
      </c>
      <c r="C7762" s="7" t="n">
        <v>9</v>
      </c>
      <c r="D7762" s="7" t="n">
        <v>17</v>
      </c>
      <c r="E7762" s="7" t="n">
        <v>5810</v>
      </c>
      <c r="F7762" s="7" t="s">
        <v>684</v>
      </c>
      <c r="G7762" s="7" t="n">
        <v>2</v>
      </c>
      <c r="H7762" s="7" t="n">
        <v>0</v>
      </c>
    </row>
    <row r="7763" spans="1:9">
      <c r="A7763" t="s">
        <v>4</v>
      </c>
      <c r="B7763" s="4" t="s">
        <v>5</v>
      </c>
    </row>
    <row r="7764" spans="1:9">
      <c r="A7764" t="n">
        <v>71948</v>
      </c>
      <c r="B7764" s="27" t="n">
        <v>28</v>
      </c>
    </row>
    <row r="7765" spans="1:9">
      <c r="A7765" t="s">
        <v>4</v>
      </c>
      <c r="B7765" s="4" t="s">
        <v>5</v>
      </c>
      <c r="C7765" s="4" t="s">
        <v>7</v>
      </c>
      <c r="D7765" s="4" t="s">
        <v>11</v>
      </c>
      <c r="E7765" s="4" t="s">
        <v>8</v>
      </c>
      <c r="F7765" s="4" t="s">
        <v>8</v>
      </c>
      <c r="G7765" s="4" t="s">
        <v>8</v>
      </c>
      <c r="H7765" s="4" t="s">
        <v>8</v>
      </c>
    </row>
    <row r="7766" spans="1:9">
      <c r="A7766" t="n">
        <v>71949</v>
      </c>
      <c r="B7766" s="38" t="n">
        <v>51</v>
      </c>
      <c r="C7766" s="7" t="n">
        <v>3</v>
      </c>
      <c r="D7766" s="7" t="n">
        <v>9</v>
      </c>
      <c r="E7766" s="7" t="s">
        <v>86</v>
      </c>
      <c r="F7766" s="7" t="s">
        <v>79</v>
      </c>
      <c r="G7766" s="7" t="s">
        <v>78</v>
      </c>
      <c r="H7766" s="7" t="s">
        <v>79</v>
      </c>
    </row>
    <row r="7767" spans="1:9">
      <c r="A7767" t="s">
        <v>4</v>
      </c>
      <c r="B7767" s="4" t="s">
        <v>5</v>
      </c>
      <c r="C7767" s="4" t="s">
        <v>11</v>
      </c>
      <c r="D7767" s="4" t="s">
        <v>7</v>
      </c>
      <c r="E7767" s="4" t="s">
        <v>13</v>
      </c>
      <c r="F7767" s="4" t="s">
        <v>11</v>
      </c>
    </row>
    <row r="7768" spans="1:9">
      <c r="A7768" t="n">
        <v>71962</v>
      </c>
      <c r="B7768" s="56" t="n">
        <v>59</v>
      </c>
      <c r="C7768" s="7" t="n">
        <v>9</v>
      </c>
      <c r="D7768" s="7" t="n">
        <v>9</v>
      </c>
      <c r="E7768" s="7" t="n">
        <v>0.150000005960464</v>
      </c>
      <c r="F7768" s="7" t="n">
        <v>0</v>
      </c>
    </row>
    <row r="7769" spans="1:9">
      <c r="A7769" t="s">
        <v>4</v>
      </c>
      <c r="B7769" s="4" t="s">
        <v>5</v>
      </c>
      <c r="C7769" s="4" t="s">
        <v>11</v>
      </c>
    </row>
    <row r="7770" spans="1:9">
      <c r="A7770" t="n">
        <v>71972</v>
      </c>
      <c r="B7770" s="29" t="n">
        <v>16</v>
      </c>
      <c r="C7770" s="7" t="n">
        <v>1800</v>
      </c>
    </row>
    <row r="7771" spans="1:9">
      <c r="A7771" t="s">
        <v>4</v>
      </c>
      <c r="B7771" s="4" t="s">
        <v>5</v>
      </c>
      <c r="C7771" s="4" t="s">
        <v>7</v>
      </c>
      <c r="D7771" s="4" t="s">
        <v>11</v>
      </c>
      <c r="E7771" s="4" t="s">
        <v>8</v>
      </c>
      <c r="F7771" s="4" t="s">
        <v>8</v>
      </c>
      <c r="G7771" s="4" t="s">
        <v>8</v>
      </c>
      <c r="H7771" s="4" t="s">
        <v>8</v>
      </c>
    </row>
    <row r="7772" spans="1:9">
      <c r="A7772" t="n">
        <v>71975</v>
      </c>
      <c r="B7772" s="38" t="n">
        <v>51</v>
      </c>
      <c r="C7772" s="7" t="n">
        <v>3</v>
      </c>
      <c r="D7772" s="7" t="n">
        <v>9</v>
      </c>
      <c r="E7772" s="7" t="s">
        <v>98</v>
      </c>
      <c r="F7772" s="7" t="s">
        <v>79</v>
      </c>
      <c r="G7772" s="7" t="s">
        <v>78</v>
      </c>
      <c r="H7772" s="7" t="s">
        <v>79</v>
      </c>
    </row>
    <row r="7773" spans="1:9">
      <c r="A7773" t="s">
        <v>4</v>
      </c>
      <c r="B7773" s="4" t="s">
        <v>5</v>
      </c>
      <c r="C7773" s="4" t="s">
        <v>11</v>
      </c>
      <c r="D7773" s="4" t="s">
        <v>11</v>
      </c>
      <c r="E7773" s="4" t="s">
        <v>13</v>
      </c>
      <c r="F7773" s="4" t="s">
        <v>13</v>
      </c>
      <c r="G7773" s="4" t="s">
        <v>13</v>
      </c>
      <c r="H7773" s="4" t="s">
        <v>13</v>
      </c>
      <c r="I7773" s="4" t="s">
        <v>7</v>
      </c>
      <c r="J7773" s="4" t="s">
        <v>11</v>
      </c>
    </row>
    <row r="7774" spans="1:9">
      <c r="A7774" t="n">
        <v>71988</v>
      </c>
      <c r="B7774" s="53" t="n">
        <v>55</v>
      </c>
      <c r="C7774" s="7" t="n">
        <v>9</v>
      </c>
      <c r="D7774" s="7" t="n">
        <v>65533</v>
      </c>
      <c r="E7774" s="7" t="n">
        <v>-6.90999984741211</v>
      </c>
      <c r="F7774" s="7" t="n">
        <v>5</v>
      </c>
      <c r="G7774" s="7" t="n">
        <v>29.8600006103516</v>
      </c>
      <c r="H7774" s="7" t="n">
        <v>2.79999995231628</v>
      </c>
      <c r="I7774" s="7" t="n">
        <v>1</v>
      </c>
      <c r="J7774" s="7" t="n">
        <v>0</v>
      </c>
    </row>
    <row r="7775" spans="1:9">
      <c r="A7775" t="s">
        <v>4</v>
      </c>
      <c r="B7775" s="4" t="s">
        <v>5</v>
      </c>
      <c r="C7775" s="4" t="s">
        <v>11</v>
      </c>
    </row>
    <row r="7776" spans="1:9">
      <c r="A7776" t="n">
        <v>72012</v>
      </c>
      <c r="B7776" s="29" t="n">
        <v>16</v>
      </c>
      <c r="C7776" s="7" t="n">
        <v>100</v>
      </c>
    </row>
    <row r="7777" spans="1:10">
      <c r="A7777" t="s">
        <v>4</v>
      </c>
      <c r="B7777" s="4" t="s">
        <v>5</v>
      </c>
      <c r="C7777" s="4" t="s">
        <v>7</v>
      </c>
      <c r="D7777" s="4" t="s">
        <v>11</v>
      </c>
      <c r="E7777" s="4" t="s">
        <v>13</v>
      </c>
    </row>
    <row r="7778" spans="1:10">
      <c r="A7778" t="n">
        <v>72015</v>
      </c>
      <c r="B7778" s="23" t="n">
        <v>58</v>
      </c>
      <c r="C7778" s="7" t="n">
        <v>101</v>
      </c>
      <c r="D7778" s="7" t="n">
        <v>500</v>
      </c>
      <c r="E7778" s="7" t="n">
        <v>1</v>
      </c>
    </row>
    <row r="7779" spans="1:10">
      <c r="A7779" t="s">
        <v>4</v>
      </c>
      <c r="B7779" s="4" t="s">
        <v>5</v>
      </c>
      <c r="C7779" s="4" t="s">
        <v>7</v>
      </c>
      <c r="D7779" s="4" t="s">
        <v>11</v>
      </c>
    </row>
    <row r="7780" spans="1:10">
      <c r="A7780" t="n">
        <v>72023</v>
      </c>
      <c r="B7780" s="23" t="n">
        <v>58</v>
      </c>
      <c r="C7780" s="7" t="n">
        <v>254</v>
      </c>
      <c r="D7780" s="7" t="n">
        <v>0</v>
      </c>
    </row>
    <row r="7781" spans="1:10">
      <c r="A7781" t="s">
        <v>4</v>
      </c>
      <c r="B7781" s="4" t="s">
        <v>5</v>
      </c>
      <c r="C7781" s="4" t="s">
        <v>11</v>
      </c>
      <c r="D7781" s="4" t="s">
        <v>7</v>
      </c>
    </row>
    <row r="7782" spans="1:10">
      <c r="A7782" t="n">
        <v>72027</v>
      </c>
      <c r="B7782" s="54" t="n">
        <v>56</v>
      </c>
      <c r="C7782" s="7" t="n">
        <v>9</v>
      </c>
      <c r="D7782" s="7" t="n">
        <v>1</v>
      </c>
    </row>
    <row r="7783" spans="1:10">
      <c r="A7783" t="s">
        <v>4</v>
      </c>
      <c r="B7783" s="4" t="s">
        <v>5</v>
      </c>
      <c r="C7783" s="4" t="s">
        <v>11</v>
      </c>
      <c r="D7783" s="4" t="s">
        <v>13</v>
      </c>
      <c r="E7783" s="4" t="s">
        <v>13</v>
      </c>
      <c r="F7783" s="4" t="s">
        <v>13</v>
      </c>
      <c r="G7783" s="4" t="s">
        <v>13</v>
      </c>
    </row>
    <row r="7784" spans="1:10">
      <c r="A7784" t="n">
        <v>72031</v>
      </c>
      <c r="B7784" s="36" t="n">
        <v>46</v>
      </c>
      <c r="C7784" s="7" t="n">
        <v>9</v>
      </c>
      <c r="D7784" s="7" t="n">
        <v>-7.51000022888184</v>
      </c>
      <c r="E7784" s="7" t="n">
        <v>5</v>
      </c>
      <c r="F7784" s="7" t="n">
        <v>29.7900009155273</v>
      </c>
      <c r="G7784" s="7" t="n">
        <v>83.9000015258789</v>
      </c>
    </row>
    <row r="7785" spans="1:10">
      <c r="A7785" t="s">
        <v>4</v>
      </c>
      <c r="B7785" s="4" t="s">
        <v>5</v>
      </c>
      <c r="C7785" s="4" t="s">
        <v>11</v>
      </c>
      <c r="D7785" s="4" t="s">
        <v>13</v>
      </c>
      <c r="E7785" s="4" t="s">
        <v>13</v>
      </c>
      <c r="F7785" s="4" t="s">
        <v>13</v>
      </c>
      <c r="G7785" s="4" t="s">
        <v>11</v>
      </c>
      <c r="H7785" s="4" t="s">
        <v>11</v>
      </c>
    </row>
    <row r="7786" spans="1:10">
      <c r="A7786" t="n">
        <v>72050</v>
      </c>
      <c r="B7786" s="37" t="n">
        <v>60</v>
      </c>
      <c r="C7786" s="7" t="n">
        <v>0</v>
      </c>
      <c r="D7786" s="7" t="n">
        <v>0</v>
      </c>
      <c r="E7786" s="7" t="n">
        <v>0</v>
      </c>
      <c r="F7786" s="7" t="n">
        <v>0</v>
      </c>
      <c r="G7786" s="7" t="n">
        <v>0</v>
      </c>
      <c r="H7786" s="7" t="n">
        <v>1</v>
      </c>
    </row>
    <row r="7787" spans="1:10">
      <c r="A7787" t="s">
        <v>4</v>
      </c>
      <c r="B7787" s="4" t="s">
        <v>5</v>
      </c>
      <c r="C7787" s="4" t="s">
        <v>11</v>
      </c>
      <c r="D7787" s="4" t="s">
        <v>13</v>
      </c>
      <c r="E7787" s="4" t="s">
        <v>13</v>
      </c>
      <c r="F7787" s="4" t="s">
        <v>13</v>
      </c>
      <c r="G7787" s="4" t="s">
        <v>11</v>
      </c>
      <c r="H7787" s="4" t="s">
        <v>11</v>
      </c>
    </row>
    <row r="7788" spans="1:10">
      <c r="A7788" t="n">
        <v>72069</v>
      </c>
      <c r="B7788" s="37" t="n">
        <v>60</v>
      </c>
      <c r="C7788" s="7" t="n">
        <v>0</v>
      </c>
      <c r="D7788" s="7" t="n">
        <v>0</v>
      </c>
      <c r="E7788" s="7" t="n">
        <v>0</v>
      </c>
      <c r="F7788" s="7" t="n">
        <v>0</v>
      </c>
      <c r="G7788" s="7" t="n">
        <v>0</v>
      </c>
      <c r="H7788" s="7" t="n">
        <v>0</v>
      </c>
    </row>
    <row r="7789" spans="1:10">
      <c r="A7789" t="s">
        <v>4</v>
      </c>
      <c r="B7789" s="4" t="s">
        <v>5</v>
      </c>
      <c r="C7789" s="4" t="s">
        <v>11</v>
      </c>
      <c r="D7789" s="4" t="s">
        <v>11</v>
      </c>
      <c r="E7789" s="4" t="s">
        <v>11</v>
      </c>
    </row>
    <row r="7790" spans="1:10">
      <c r="A7790" t="n">
        <v>72088</v>
      </c>
      <c r="B7790" s="72" t="n">
        <v>61</v>
      </c>
      <c r="C7790" s="7" t="n">
        <v>0</v>
      </c>
      <c r="D7790" s="7" t="n">
        <v>65533</v>
      </c>
      <c r="E7790" s="7" t="n">
        <v>0</v>
      </c>
    </row>
    <row r="7791" spans="1:10">
      <c r="A7791" t="s">
        <v>4</v>
      </c>
      <c r="B7791" s="4" t="s">
        <v>5</v>
      </c>
      <c r="C7791" s="4" t="s">
        <v>11</v>
      </c>
      <c r="D7791" s="4" t="s">
        <v>13</v>
      </c>
      <c r="E7791" s="4" t="s">
        <v>13</v>
      </c>
      <c r="F7791" s="4" t="s">
        <v>13</v>
      </c>
      <c r="G7791" s="4" t="s">
        <v>11</v>
      </c>
      <c r="H7791" s="4" t="s">
        <v>11</v>
      </c>
    </row>
    <row r="7792" spans="1:10">
      <c r="A7792" t="n">
        <v>72095</v>
      </c>
      <c r="B7792" s="37" t="n">
        <v>60</v>
      </c>
      <c r="C7792" s="7" t="n">
        <v>9</v>
      </c>
      <c r="D7792" s="7" t="n">
        <v>0</v>
      </c>
      <c r="E7792" s="7" t="n">
        <v>0</v>
      </c>
      <c r="F7792" s="7" t="n">
        <v>0</v>
      </c>
      <c r="G7792" s="7" t="n">
        <v>0</v>
      </c>
      <c r="H7792" s="7" t="n">
        <v>1</v>
      </c>
    </row>
    <row r="7793" spans="1:8">
      <c r="A7793" t="s">
        <v>4</v>
      </c>
      <c r="B7793" s="4" t="s">
        <v>5</v>
      </c>
      <c r="C7793" s="4" t="s">
        <v>11</v>
      </c>
      <c r="D7793" s="4" t="s">
        <v>13</v>
      </c>
      <c r="E7793" s="4" t="s">
        <v>13</v>
      </c>
      <c r="F7793" s="4" t="s">
        <v>13</v>
      </c>
      <c r="G7793" s="4" t="s">
        <v>11</v>
      </c>
      <c r="H7793" s="4" t="s">
        <v>11</v>
      </c>
    </row>
    <row r="7794" spans="1:8">
      <c r="A7794" t="n">
        <v>72114</v>
      </c>
      <c r="B7794" s="37" t="n">
        <v>60</v>
      </c>
      <c r="C7794" s="7" t="n">
        <v>9</v>
      </c>
      <c r="D7794" s="7" t="n">
        <v>0</v>
      </c>
      <c r="E7794" s="7" t="n">
        <v>0</v>
      </c>
      <c r="F7794" s="7" t="n">
        <v>0</v>
      </c>
      <c r="G7794" s="7" t="n">
        <v>0</v>
      </c>
      <c r="H7794" s="7" t="n">
        <v>0</v>
      </c>
    </row>
    <row r="7795" spans="1:8">
      <c r="A7795" t="s">
        <v>4</v>
      </c>
      <c r="B7795" s="4" t="s">
        <v>5</v>
      </c>
      <c r="C7795" s="4" t="s">
        <v>11</v>
      </c>
      <c r="D7795" s="4" t="s">
        <v>11</v>
      </c>
      <c r="E7795" s="4" t="s">
        <v>11</v>
      </c>
    </row>
    <row r="7796" spans="1:8">
      <c r="A7796" t="n">
        <v>72133</v>
      </c>
      <c r="B7796" s="72" t="n">
        <v>61</v>
      </c>
      <c r="C7796" s="7" t="n">
        <v>9</v>
      </c>
      <c r="D7796" s="7" t="n">
        <v>65533</v>
      </c>
      <c r="E7796" s="7" t="n">
        <v>0</v>
      </c>
    </row>
    <row r="7797" spans="1:8">
      <c r="A7797" t="s">
        <v>4</v>
      </c>
      <c r="B7797" s="4" t="s">
        <v>5</v>
      </c>
      <c r="C7797" s="4" t="s">
        <v>7</v>
      </c>
      <c r="D7797" s="4" t="s">
        <v>7</v>
      </c>
      <c r="E7797" s="4" t="s">
        <v>13</v>
      </c>
      <c r="F7797" s="4" t="s">
        <v>13</v>
      </c>
      <c r="G7797" s="4" t="s">
        <v>13</v>
      </c>
      <c r="H7797" s="4" t="s">
        <v>11</v>
      </c>
    </row>
    <row r="7798" spans="1:8">
      <c r="A7798" t="n">
        <v>72140</v>
      </c>
      <c r="B7798" s="51" t="n">
        <v>45</v>
      </c>
      <c r="C7798" s="7" t="n">
        <v>2</v>
      </c>
      <c r="D7798" s="7" t="n">
        <v>3</v>
      </c>
      <c r="E7798" s="7" t="n">
        <v>-6.82999992370605</v>
      </c>
      <c r="F7798" s="7" t="n">
        <v>6.19999980926514</v>
      </c>
      <c r="G7798" s="7" t="n">
        <v>29.9400005340576</v>
      </c>
      <c r="H7798" s="7" t="n">
        <v>0</v>
      </c>
    </row>
    <row r="7799" spans="1:8">
      <c r="A7799" t="s">
        <v>4</v>
      </c>
      <c r="B7799" s="4" t="s">
        <v>5</v>
      </c>
      <c r="C7799" s="4" t="s">
        <v>7</v>
      </c>
      <c r="D7799" s="4" t="s">
        <v>7</v>
      </c>
      <c r="E7799" s="4" t="s">
        <v>13</v>
      </c>
      <c r="F7799" s="4" t="s">
        <v>13</v>
      </c>
      <c r="G7799" s="4" t="s">
        <v>13</v>
      </c>
      <c r="H7799" s="4" t="s">
        <v>11</v>
      </c>
      <c r="I7799" s="4" t="s">
        <v>7</v>
      </c>
    </row>
    <row r="7800" spans="1:8">
      <c r="A7800" t="n">
        <v>72157</v>
      </c>
      <c r="B7800" s="51" t="n">
        <v>45</v>
      </c>
      <c r="C7800" s="7" t="n">
        <v>4</v>
      </c>
      <c r="D7800" s="7" t="n">
        <v>3</v>
      </c>
      <c r="E7800" s="7" t="n">
        <v>6.59999990463257</v>
      </c>
      <c r="F7800" s="7" t="n">
        <v>308.010009765625</v>
      </c>
      <c r="G7800" s="7" t="n">
        <v>354</v>
      </c>
      <c r="H7800" s="7" t="n">
        <v>0</v>
      </c>
      <c r="I7800" s="7" t="n">
        <v>0</v>
      </c>
    </row>
    <row r="7801" spans="1:8">
      <c r="A7801" t="s">
        <v>4</v>
      </c>
      <c r="B7801" s="4" t="s">
        <v>5</v>
      </c>
      <c r="C7801" s="4" t="s">
        <v>7</v>
      </c>
      <c r="D7801" s="4" t="s">
        <v>7</v>
      </c>
      <c r="E7801" s="4" t="s">
        <v>13</v>
      </c>
      <c r="F7801" s="4" t="s">
        <v>11</v>
      </c>
    </row>
    <row r="7802" spans="1:8">
      <c r="A7802" t="n">
        <v>72175</v>
      </c>
      <c r="B7802" s="51" t="n">
        <v>45</v>
      </c>
      <c r="C7802" s="7" t="n">
        <v>5</v>
      </c>
      <c r="D7802" s="7" t="n">
        <v>3</v>
      </c>
      <c r="E7802" s="7" t="n">
        <v>1.20000004768372</v>
      </c>
      <c r="F7802" s="7" t="n">
        <v>0</v>
      </c>
    </row>
    <row r="7803" spans="1:8">
      <c r="A7803" t="s">
        <v>4</v>
      </c>
      <c r="B7803" s="4" t="s">
        <v>5</v>
      </c>
      <c r="C7803" s="4" t="s">
        <v>7</v>
      </c>
      <c r="D7803" s="4" t="s">
        <v>7</v>
      </c>
      <c r="E7803" s="4" t="s">
        <v>13</v>
      </c>
      <c r="F7803" s="4" t="s">
        <v>11</v>
      </c>
    </row>
    <row r="7804" spans="1:8">
      <c r="A7804" t="n">
        <v>72184</v>
      </c>
      <c r="B7804" s="51" t="n">
        <v>45</v>
      </c>
      <c r="C7804" s="7" t="n">
        <v>11</v>
      </c>
      <c r="D7804" s="7" t="n">
        <v>3</v>
      </c>
      <c r="E7804" s="7" t="n">
        <v>40.2999992370605</v>
      </c>
      <c r="F7804" s="7" t="n">
        <v>0</v>
      </c>
    </row>
    <row r="7805" spans="1:8">
      <c r="A7805" t="s">
        <v>4</v>
      </c>
      <c r="B7805" s="4" t="s">
        <v>5</v>
      </c>
      <c r="C7805" s="4" t="s">
        <v>7</v>
      </c>
      <c r="D7805" s="4" t="s">
        <v>7</v>
      </c>
      <c r="E7805" s="4" t="s">
        <v>13</v>
      </c>
      <c r="F7805" s="4" t="s">
        <v>13</v>
      </c>
      <c r="G7805" s="4" t="s">
        <v>13</v>
      </c>
      <c r="H7805" s="4" t="s">
        <v>11</v>
      </c>
    </row>
    <row r="7806" spans="1:8">
      <c r="A7806" t="n">
        <v>72193</v>
      </c>
      <c r="B7806" s="51" t="n">
        <v>45</v>
      </c>
      <c r="C7806" s="7" t="n">
        <v>2</v>
      </c>
      <c r="D7806" s="7" t="n">
        <v>3</v>
      </c>
      <c r="E7806" s="7" t="n">
        <v>-6.51999998092651</v>
      </c>
      <c r="F7806" s="7" t="n">
        <v>6.30999994277954</v>
      </c>
      <c r="G7806" s="7" t="n">
        <v>29.9099998474121</v>
      </c>
      <c r="H7806" s="7" t="n">
        <v>3000</v>
      </c>
    </row>
    <row r="7807" spans="1:8">
      <c r="A7807" t="s">
        <v>4</v>
      </c>
      <c r="B7807" s="4" t="s">
        <v>5</v>
      </c>
      <c r="C7807" s="4" t="s">
        <v>7</v>
      </c>
      <c r="D7807" s="4" t="s">
        <v>7</v>
      </c>
      <c r="E7807" s="4" t="s">
        <v>13</v>
      </c>
      <c r="F7807" s="4" t="s">
        <v>13</v>
      </c>
      <c r="G7807" s="4" t="s">
        <v>13</v>
      </c>
      <c r="H7807" s="4" t="s">
        <v>11</v>
      </c>
      <c r="I7807" s="4" t="s">
        <v>7</v>
      </c>
    </row>
    <row r="7808" spans="1:8">
      <c r="A7808" t="n">
        <v>72210</v>
      </c>
      <c r="B7808" s="51" t="n">
        <v>45</v>
      </c>
      <c r="C7808" s="7" t="n">
        <v>4</v>
      </c>
      <c r="D7808" s="7" t="n">
        <v>3</v>
      </c>
      <c r="E7808" s="7" t="n">
        <v>347.279998779297</v>
      </c>
      <c r="F7808" s="7" t="n">
        <v>14.7700004577637</v>
      </c>
      <c r="G7808" s="7" t="n">
        <v>354</v>
      </c>
      <c r="H7808" s="7" t="n">
        <v>3000</v>
      </c>
      <c r="I7808" s="7" t="n">
        <v>1</v>
      </c>
    </row>
    <row r="7809" spans="1:9">
      <c r="A7809" t="s">
        <v>4</v>
      </c>
      <c r="B7809" s="4" t="s">
        <v>5</v>
      </c>
      <c r="C7809" s="4" t="s">
        <v>11</v>
      </c>
      <c r="D7809" s="4" t="s">
        <v>7</v>
      </c>
      <c r="E7809" s="4" t="s">
        <v>8</v>
      </c>
      <c r="F7809" s="4" t="s">
        <v>13</v>
      </c>
      <c r="G7809" s="4" t="s">
        <v>13</v>
      </c>
      <c r="H7809" s="4" t="s">
        <v>13</v>
      </c>
    </row>
    <row r="7810" spans="1:9">
      <c r="A7810" t="n">
        <v>72228</v>
      </c>
      <c r="B7810" s="42" t="n">
        <v>48</v>
      </c>
      <c r="C7810" s="7" t="n">
        <v>0</v>
      </c>
      <c r="D7810" s="7" t="n">
        <v>0</v>
      </c>
      <c r="E7810" s="7" t="s">
        <v>210</v>
      </c>
      <c r="F7810" s="7" t="n">
        <v>0</v>
      </c>
      <c r="G7810" s="7" t="n">
        <v>1</v>
      </c>
      <c r="H7810" s="7" t="n">
        <v>0</v>
      </c>
    </row>
    <row r="7811" spans="1:9">
      <c r="A7811" t="s">
        <v>4</v>
      </c>
      <c r="B7811" s="4" t="s">
        <v>5</v>
      </c>
      <c r="C7811" s="4" t="s">
        <v>11</v>
      </c>
      <c r="D7811" s="4" t="s">
        <v>7</v>
      </c>
      <c r="E7811" s="4" t="s">
        <v>8</v>
      </c>
      <c r="F7811" s="4" t="s">
        <v>13</v>
      </c>
      <c r="G7811" s="4" t="s">
        <v>13</v>
      </c>
      <c r="H7811" s="4" t="s">
        <v>13</v>
      </c>
    </row>
    <row r="7812" spans="1:9">
      <c r="A7812" t="n">
        <v>72253</v>
      </c>
      <c r="B7812" s="42" t="n">
        <v>48</v>
      </c>
      <c r="C7812" s="7" t="n">
        <v>9</v>
      </c>
      <c r="D7812" s="7" t="n">
        <v>0</v>
      </c>
      <c r="E7812" s="7" t="s">
        <v>210</v>
      </c>
      <c r="F7812" s="7" t="n">
        <v>0</v>
      </c>
      <c r="G7812" s="7" t="n">
        <v>1</v>
      </c>
      <c r="H7812" s="7" t="n">
        <v>0</v>
      </c>
    </row>
    <row r="7813" spans="1:9">
      <c r="A7813" t="s">
        <v>4</v>
      </c>
      <c r="B7813" s="4" t="s">
        <v>5</v>
      </c>
      <c r="C7813" s="4" t="s">
        <v>7</v>
      </c>
      <c r="D7813" s="4" t="s">
        <v>11</v>
      </c>
      <c r="E7813" s="4" t="s">
        <v>8</v>
      </c>
      <c r="F7813" s="4" t="s">
        <v>8</v>
      </c>
      <c r="G7813" s="4" t="s">
        <v>8</v>
      </c>
      <c r="H7813" s="4" t="s">
        <v>8</v>
      </c>
    </row>
    <row r="7814" spans="1:9">
      <c r="A7814" t="n">
        <v>72278</v>
      </c>
      <c r="B7814" s="38" t="n">
        <v>51</v>
      </c>
      <c r="C7814" s="7" t="n">
        <v>3</v>
      </c>
      <c r="D7814" s="7" t="n">
        <v>0</v>
      </c>
      <c r="E7814" s="7" t="s">
        <v>154</v>
      </c>
      <c r="F7814" s="7" t="s">
        <v>155</v>
      </c>
      <c r="G7814" s="7" t="s">
        <v>78</v>
      </c>
      <c r="H7814" s="7" t="s">
        <v>79</v>
      </c>
    </row>
    <row r="7815" spans="1:9">
      <c r="A7815" t="s">
        <v>4</v>
      </c>
      <c r="B7815" s="4" t="s">
        <v>5</v>
      </c>
      <c r="C7815" s="4" t="s">
        <v>7</v>
      </c>
      <c r="D7815" s="4" t="s">
        <v>11</v>
      </c>
    </row>
    <row r="7816" spans="1:9">
      <c r="A7816" t="n">
        <v>72291</v>
      </c>
      <c r="B7816" s="23" t="n">
        <v>58</v>
      </c>
      <c r="C7816" s="7" t="n">
        <v>255</v>
      </c>
      <c r="D7816" s="7" t="n">
        <v>0</v>
      </c>
    </row>
    <row r="7817" spans="1:9">
      <c r="A7817" t="s">
        <v>4</v>
      </c>
      <c r="B7817" s="4" t="s">
        <v>5</v>
      </c>
      <c r="C7817" s="4" t="s">
        <v>11</v>
      </c>
      <c r="D7817" s="4" t="s">
        <v>7</v>
      </c>
      <c r="E7817" s="4" t="s">
        <v>8</v>
      </c>
      <c r="F7817" s="4" t="s">
        <v>13</v>
      </c>
      <c r="G7817" s="4" t="s">
        <v>13</v>
      </c>
      <c r="H7817" s="4" t="s">
        <v>13</v>
      </c>
    </row>
    <row r="7818" spans="1:9">
      <c r="A7818" t="n">
        <v>72295</v>
      </c>
      <c r="B7818" s="42" t="n">
        <v>48</v>
      </c>
      <c r="C7818" s="7" t="n">
        <v>0</v>
      </c>
      <c r="D7818" s="7" t="n">
        <v>0</v>
      </c>
      <c r="E7818" s="7" t="s">
        <v>626</v>
      </c>
      <c r="F7818" s="7" t="n">
        <v>-1</v>
      </c>
      <c r="G7818" s="7" t="n">
        <v>1</v>
      </c>
      <c r="H7818" s="7" t="n">
        <v>0</v>
      </c>
    </row>
    <row r="7819" spans="1:9">
      <c r="A7819" t="s">
        <v>4</v>
      </c>
      <c r="B7819" s="4" t="s">
        <v>5</v>
      </c>
      <c r="C7819" s="4" t="s">
        <v>11</v>
      </c>
      <c r="D7819" s="4" t="s">
        <v>7</v>
      </c>
      <c r="E7819" s="4" t="s">
        <v>8</v>
      </c>
      <c r="F7819" s="4" t="s">
        <v>13</v>
      </c>
      <c r="G7819" s="4" t="s">
        <v>13</v>
      </c>
      <c r="H7819" s="4" t="s">
        <v>13</v>
      </c>
    </row>
    <row r="7820" spans="1:9">
      <c r="A7820" t="n">
        <v>72321</v>
      </c>
      <c r="B7820" s="42" t="n">
        <v>48</v>
      </c>
      <c r="C7820" s="7" t="n">
        <v>9</v>
      </c>
      <c r="D7820" s="7" t="n">
        <v>0</v>
      </c>
      <c r="E7820" s="7" t="s">
        <v>626</v>
      </c>
      <c r="F7820" s="7" t="n">
        <v>-1</v>
      </c>
      <c r="G7820" s="7" t="n">
        <v>1</v>
      </c>
      <c r="H7820" s="7" t="n">
        <v>0</v>
      </c>
    </row>
    <row r="7821" spans="1:9">
      <c r="A7821" t="s">
        <v>4</v>
      </c>
      <c r="B7821" s="4" t="s">
        <v>5</v>
      </c>
      <c r="C7821" s="4" t="s">
        <v>11</v>
      </c>
    </row>
    <row r="7822" spans="1:9">
      <c r="A7822" t="n">
        <v>72347</v>
      </c>
      <c r="B7822" s="29" t="n">
        <v>16</v>
      </c>
      <c r="C7822" s="7" t="n">
        <v>200</v>
      </c>
    </row>
    <row r="7823" spans="1:9">
      <c r="A7823" t="s">
        <v>4</v>
      </c>
      <c r="B7823" s="4" t="s">
        <v>5</v>
      </c>
      <c r="C7823" s="4" t="s">
        <v>7</v>
      </c>
      <c r="D7823" s="4" t="s">
        <v>11</v>
      </c>
      <c r="E7823" s="4" t="s">
        <v>13</v>
      </c>
      <c r="F7823" s="4" t="s">
        <v>11</v>
      </c>
      <c r="G7823" s="4" t="s">
        <v>15</v>
      </c>
      <c r="H7823" s="4" t="s">
        <v>15</v>
      </c>
      <c r="I7823" s="4" t="s">
        <v>11</v>
      </c>
      <c r="J7823" s="4" t="s">
        <v>11</v>
      </c>
      <c r="K7823" s="4" t="s">
        <v>15</v>
      </c>
      <c r="L7823" s="4" t="s">
        <v>15</v>
      </c>
      <c r="M7823" s="4" t="s">
        <v>15</v>
      </c>
      <c r="N7823" s="4" t="s">
        <v>15</v>
      </c>
      <c r="O7823" s="4" t="s">
        <v>8</v>
      </c>
    </row>
    <row r="7824" spans="1:9">
      <c r="A7824" t="n">
        <v>72350</v>
      </c>
      <c r="B7824" s="57" t="n">
        <v>50</v>
      </c>
      <c r="C7824" s="7" t="n">
        <v>0</v>
      </c>
      <c r="D7824" s="7" t="n">
        <v>2003</v>
      </c>
      <c r="E7824" s="7" t="n">
        <v>0.600000023841858</v>
      </c>
      <c r="F7824" s="7" t="n">
        <v>100</v>
      </c>
      <c r="G7824" s="7" t="n">
        <v>0</v>
      </c>
      <c r="H7824" s="7" t="n">
        <v>0</v>
      </c>
      <c r="I7824" s="7" t="n">
        <v>0</v>
      </c>
      <c r="J7824" s="7" t="n">
        <v>65533</v>
      </c>
      <c r="K7824" s="7" t="n">
        <v>0</v>
      </c>
      <c r="L7824" s="7" t="n">
        <v>0</v>
      </c>
      <c r="M7824" s="7" t="n">
        <v>0</v>
      </c>
      <c r="N7824" s="7" t="n">
        <v>0</v>
      </c>
      <c r="O7824" s="7" t="s">
        <v>16</v>
      </c>
    </row>
    <row r="7825" spans="1:15">
      <c r="A7825" t="s">
        <v>4</v>
      </c>
      <c r="B7825" s="4" t="s">
        <v>5</v>
      </c>
      <c r="C7825" s="4" t="s">
        <v>11</v>
      </c>
      <c r="D7825" s="4" t="s">
        <v>15</v>
      </c>
      <c r="E7825" s="4" t="s">
        <v>7</v>
      </c>
    </row>
    <row r="7826" spans="1:15">
      <c r="A7826" t="n">
        <v>72389</v>
      </c>
      <c r="B7826" s="78" t="n">
        <v>35</v>
      </c>
      <c r="C7826" s="7" t="n">
        <v>0</v>
      </c>
      <c r="D7826" s="7" t="n">
        <v>0</v>
      </c>
      <c r="E7826" s="7" t="n">
        <v>0</v>
      </c>
    </row>
    <row r="7827" spans="1:15">
      <c r="A7827" t="s">
        <v>4</v>
      </c>
      <c r="B7827" s="4" t="s">
        <v>5</v>
      </c>
      <c r="C7827" s="4" t="s">
        <v>11</v>
      </c>
      <c r="D7827" s="4" t="s">
        <v>15</v>
      </c>
      <c r="E7827" s="4" t="s">
        <v>7</v>
      </c>
    </row>
    <row r="7828" spans="1:15">
      <c r="A7828" t="n">
        <v>72397</v>
      </c>
      <c r="B7828" s="78" t="n">
        <v>35</v>
      </c>
      <c r="C7828" s="7" t="n">
        <v>9</v>
      </c>
      <c r="D7828" s="7" t="n">
        <v>0</v>
      </c>
      <c r="E7828" s="7" t="n">
        <v>0</v>
      </c>
    </row>
    <row r="7829" spans="1:15">
      <c r="A7829" t="s">
        <v>4</v>
      </c>
      <c r="B7829" s="4" t="s">
        <v>5</v>
      </c>
      <c r="C7829" s="4" t="s">
        <v>7</v>
      </c>
      <c r="D7829" s="4" t="s">
        <v>11</v>
      </c>
    </row>
    <row r="7830" spans="1:15">
      <c r="A7830" t="n">
        <v>72405</v>
      </c>
      <c r="B7830" s="51" t="n">
        <v>45</v>
      </c>
      <c r="C7830" s="7" t="n">
        <v>7</v>
      </c>
      <c r="D7830" s="7" t="n">
        <v>255</v>
      </c>
    </row>
    <row r="7831" spans="1:15">
      <c r="A7831" t="s">
        <v>4</v>
      </c>
      <c r="B7831" s="4" t="s">
        <v>5</v>
      </c>
      <c r="C7831" s="4" t="s">
        <v>7</v>
      </c>
      <c r="D7831" s="4" t="s">
        <v>11</v>
      </c>
      <c r="E7831" s="4" t="s">
        <v>8</v>
      </c>
    </row>
    <row r="7832" spans="1:15">
      <c r="A7832" t="n">
        <v>72409</v>
      </c>
      <c r="B7832" s="38" t="n">
        <v>51</v>
      </c>
      <c r="C7832" s="7" t="n">
        <v>4</v>
      </c>
      <c r="D7832" s="7" t="n">
        <v>9</v>
      </c>
      <c r="E7832" s="7" t="s">
        <v>417</v>
      </c>
    </row>
    <row r="7833" spans="1:15">
      <c r="A7833" t="s">
        <v>4</v>
      </c>
      <c r="B7833" s="4" t="s">
        <v>5</v>
      </c>
      <c r="C7833" s="4" t="s">
        <v>11</v>
      </c>
    </row>
    <row r="7834" spans="1:15">
      <c r="A7834" t="n">
        <v>72423</v>
      </c>
      <c r="B7834" s="29" t="n">
        <v>16</v>
      </c>
      <c r="C7834" s="7" t="n">
        <v>0</v>
      </c>
    </row>
    <row r="7835" spans="1:15">
      <c r="A7835" t="s">
        <v>4</v>
      </c>
      <c r="B7835" s="4" t="s">
        <v>5</v>
      </c>
      <c r="C7835" s="4" t="s">
        <v>11</v>
      </c>
      <c r="D7835" s="4" t="s">
        <v>7</v>
      </c>
      <c r="E7835" s="4" t="s">
        <v>15</v>
      </c>
      <c r="F7835" s="4" t="s">
        <v>55</v>
      </c>
      <c r="G7835" s="4" t="s">
        <v>7</v>
      </c>
      <c r="H7835" s="4" t="s">
        <v>7</v>
      </c>
      <c r="I7835" s="4" t="s">
        <v>7</v>
      </c>
      <c r="J7835" s="4" t="s">
        <v>15</v>
      </c>
      <c r="K7835" s="4" t="s">
        <v>55</v>
      </c>
      <c r="L7835" s="4" t="s">
        <v>7</v>
      </c>
      <c r="M7835" s="4" t="s">
        <v>7</v>
      </c>
    </row>
    <row r="7836" spans="1:15">
      <c r="A7836" t="n">
        <v>72426</v>
      </c>
      <c r="B7836" s="55" t="n">
        <v>26</v>
      </c>
      <c r="C7836" s="7" t="n">
        <v>9</v>
      </c>
      <c r="D7836" s="7" t="n">
        <v>17</v>
      </c>
      <c r="E7836" s="7" t="n">
        <v>5811</v>
      </c>
      <c r="F7836" s="7" t="s">
        <v>685</v>
      </c>
      <c r="G7836" s="7" t="n">
        <v>2</v>
      </c>
      <c r="H7836" s="7" t="n">
        <v>3</v>
      </c>
      <c r="I7836" s="7" t="n">
        <v>17</v>
      </c>
      <c r="J7836" s="7" t="n">
        <v>5812</v>
      </c>
      <c r="K7836" s="7" t="s">
        <v>686</v>
      </c>
      <c r="L7836" s="7" t="n">
        <v>2</v>
      </c>
      <c r="M7836" s="7" t="n">
        <v>0</v>
      </c>
    </row>
    <row r="7837" spans="1:15">
      <c r="A7837" t="s">
        <v>4</v>
      </c>
      <c r="B7837" s="4" t="s">
        <v>5</v>
      </c>
    </row>
    <row r="7838" spans="1:15">
      <c r="A7838" t="n">
        <v>72641</v>
      </c>
      <c r="B7838" s="27" t="n">
        <v>28</v>
      </c>
    </row>
    <row r="7839" spans="1:15">
      <c r="A7839" t="s">
        <v>4</v>
      </c>
      <c r="B7839" s="4" t="s">
        <v>5</v>
      </c>
      <c r="C7839" s="4" t="s">
        <v>7</v>
      </c>
      <c r="D7839" s="4" t="s">
        <v>11</v>
      </c>
      <c r="E7839" s="4" t="s">
        <v>8</v>
      </c>
    </row>
    <row r="7840" spans="1:15">
      <c r="A7840" t="n">
        <v>72642</v>
      </c>
      <c r="B7840" s="38" t="n">
        <v>51</v>
      </c>
      <c r="C7840" s="7" t="n">
        <v>4</v>
      </c>
      <c r="D7840" s="7" t="n">
        <v>0</v>
      </c>
      <c r="E7840" s="7" t="s">
        <v>173</v>
      </c>
    </row>
    <row r="7841" spans="1:13">
      <c r="A7841" t="s">
        <v>4</v>
      </c>
      <c r="B7841" s="4" t="s">
        <v>5</v>
      </c>
      <c r="C7841" s="4" t="s">
        <v>11</v>
      </c>
    </row>
    <row r="7842" spans="1:13">
      <c r="A7842" t="n">
        <v>72655</v>
      </c>
      <c r="B7842" s="29" t="n">
        <v>16</v>
      </c>
      <c r="C7842" s="7" t="n">
        <v>0</v>
      </c>
    </row>
    <row r="7843" spans="1:13">
      <c r="A7843" t="s">
        <v>4</v>
      </c>
      <c r="B7843" s="4" t="s">
        <v>5</v>
      </c>
      <c r="C7843" s="4" t="s">
        <v>11</v>
      </c>
      <c r="D7843" s="4" t="s">
        <v>7</v>
      </c>
      <c r="E7843" s="4" t="s">
        <v>15</v>
      </c>
      <c r="F7843" s="4" t="s">
        <v>55</v>
      </c>
      <c r="G7843" s="4" t="s">
        <v>7</v>
      </c>
      <c r="H7843" s="4" t="s">
        <v>7</v>
      </c>
      <c r="I7843" s="4" t="s">
        <v>7</v>
      </c>
      <c r="J7843" s="4" t="s">
        <v>15</v>
      </c>
      <c r="K7843" s="4" t="s">
        <v>55</v>
      </c>
      <c r="L7843" s="4" t="s">
        <v>7</v>
      </c>
      <c r="M7843" s="4" t="s">
        <v>7</v>
      </c>
      <c r="N7843" s="4" t="s">
        <v>7</v>
      </c>
      <c r="O7843" s="4" t="s">
        <v>15</v>
      </c>
      <c r="P7843" s="4" t="s">
        <v>55</v>
      </c>
      <c r="Q7843" s="4" t="s">
        <v>7</v>
      </c>
      <c r="R7843" s="4" t="s">
        <v>7</v>
      </c>
      <c r="S7843" s="4" t="s">
        <v>7</v>
      </c>
      <c r="T7843" s="4" t="s">
        <v>15</v>
      </c>
      <c r="U7843" s="4" t="s">
        <v>55</v>
      </c>
      <c r="V7843" s="4" t="s">
        <v>7</v>
      </c>
      <c r="W7843" s="4" t="s">
        <v>7</v>
      </c>
    </row>
    <row r="7844" spans="1:13">
      <c r="A7844" t="n">
        <v>72658</v>
      </c>
      <c r="B7844" s="55" t="n">
        <v>26</v>
      </c>
      <c r="C7844" s="7" t="n">
        <v>0</v>
      </c>
      <c r="D7844" s="7" t="n">
        <v>17</v>
      </c>
      <c r="E7844" s="7" t="n">
        <v>63976</v>
      </c>
      <c r="F7844" s="7" t="s">
        <v>687</v>
      </c>
      <c r="G7844" s="7" t="n">
        <v>2</v>
      </c>
      <c r="H7844" s="7" t="n">
        <v>3</v>
      </c>
      <c r="I7844" s="7" t="n">
        <v>17</v>
      </c>
      <c r="J7844" s="7" t="n">
        <v>63977</v>
      </c>
      <c r="K7844" s="7" t="s">
        <v>688</v>
      </c>
      <c r="L7844" s="7" t="n">
        <v>2</v>
      </c>
      <c r="M7844" s="7" t="n">
        <v>3</v>
      </c>
      <c r="N7844" s="7" t="n">
        <v>17</v>
      </c>
      <c r="O7844" s="7" t="n">
        <v>63978</v>
      </c>
      <c r="P7844" s="7" t="s">
        <v>689</v>
      </c>
      <c r="Q7844" s="7" t="n">
        <v>2</v>
      </c>
      <c r="R7844" s="7" t="n">
        <v>3</v>
      </c>
      <c r="S7844" s="7" t="n">
        <v>17</v>
      </c>
      <c r="T7844" s="7" t="n">
        <v>63979</v>
      </c>
      <c r="U7844" s="7" t="s">
        <v>690</v>
      </c>
      <c r="V7844" s="7" t="n">
        <v>2</v>
      </c>
      <c r="W7844" s="7" t="n">
        <v>0</v>
      </c>
    </row>
    <row r="7845" spans="1:13">
      <c r="A7845" t="s">
        <v>4</v>
      </c>
      <c r="B7845" s="4" t="s">
        <v>5</v>
      </c>
    </row>
    <row r="7846" spans="1:13">
      <c r="A7846" t="n">
        <v>72996</v>
      </c>
      <c r="B7846" s="27" t="n">
        <v>28</v>
      </c>
    </row>
    <row r="7847" spans="1:13">
      <c r="A7847" t="s">
        <v>4</v>
      </c>
      <c r="B7847" s="4" t="s">
        <v>5</v>
      </c>
      <c r="C7847" s="4" t="s">
        <v>11</v>
      </c>
      <c r="D7847" s="4" t="s">
        <v>7</v>
      </c>
    </row>
    <row r="7848" spans="1:13">
      <c r="A7848" t="n">
        <v>72997</v>
      </c>
      <c r="B7848" s="68" t="n">
        <v>89</v>
      </c>
      <c r="C7848" s="7" t="n">
        <v>65533</v>
      </c>
      <c r="D7848" s="7" t="n">
        <v>1</v>
      </c>
    </row>
    <row r="7849" spans="1:13">
      <c r="A7849" t="s">
        <v>4</v>
      </c>
      <c r="B7849" s="4" t="s">
        <v>5</v>
      </c>
      <c r="C7849" s="4" t="s">
        <v>7</v>
      </c>
      <c r="D7849" s="4" t="s">
        <v>11</v>
      </c>
      <c r="E7849" s="4" t="s">
        <v>8</v>
      </c>
      <c r="F7849" s="4" t="s">
        <v>8</v>
      </c>
      <c r="G7849" s="4" t="s">
        <v>8</v>
      </c>
      <c r="H7849" s="4" t="s">
        <v>8</v>
      </c>
    </row>
    <row r="7850" spans="1:13">
      <c r="A7850" t="n">
        <v>73001</v>
      </c>
      <c r="B7850" s="38" t="n">
        <v>51</v>
      </c>
      <c r="C7850" s="7" t="n">
        <v>3</v>
      </c>
      <c r="D7850" s="7" t="n">
        <v>0</v>
      </c>
      <c r="E7850" s="7" t="s">
        <v>86</v>
      </c>
      <c r="F7850" s="7" t="s">
        <v>99</v>
      </c>
      <c r="G7850" s="7" t="s">
        <v>78</v>
      </c>
      <c r="H7850" s="7" t="s">
        <v>79</v>
      </c>
    </row>
    <row r="7851" spans="1:13">
      <c r="A7851" t="s">
        <v>4</v>
      </c>
      <c r="B7851" s="4" t="s">
        <v>5</v>
      </c>
      <c r="C7851" s="4" t="s">
        <v>11</v>
      </c>
      <c r="D7851" s="4" t="s">
        <v>7</v>
      </c>
      <c r="E7851" s="4" t="s">
        <v>8</v>
      </c>
      <c r="F7851" s="4" t="s">
        <v>13</v>
      </c>
      <c r="G7851" s="4" t="s">
        <v>13</v>
      </c>
      <c r="H7851" s="4" t="s">
        <v>13</v>
      </c>
    </row>
    <row r="7852" spans="1:13">
      <c r="A7852" t="n">
        <v>73014</v>
      </c>
      <c r="B7852" s="42" t="n">
        <v>48</v>
      </c>
      <c r="C7852" s="7" t="n">
        <v>0</v>
      </c>
      <c r="D7852" s="7" t="n">
        <v>0</v>
      </c>
      <c r="E7852" s="7" t="s">
        <v>627</v>
      </c>
      <c r="F7852" s="7" t="n">
        <v>-1</v>
      </c>
      <c r="G7852" s="7" t="n">
        <v>1</v>
      </c>
      <c r="H7852" s="7" t="n">
        <v>0</v>
      </c>
    </row>
    <row r="7853" spans="1:13">
      <c r="A7853" t="s">
        <v>4</v>
      </c>
      <c r="B7853" s="4" t="s">
        <v>5</v>
      </c>
      <c r="C7853" s="4" t="s">
        <v>11</v>
      </c>
      <c r="D7853" s="4" t="s">
        <v>7</v>
      </c>
      <c r="E7853" s="4" t="s">
        <v>8</v>
      </c>
      <c r="F7853" s="4" t="s">
        <v>13</v>
      </c>
      <c r="G7853" s="4" t="s">
        <v>13</v>
      </c>
      <c r="H7853" s="4" t="s">
        <v>13</v>
      </c>
    </row>
    <row r="7854" spans="1:13">
      <c r="A7854" t="n">
        <v>73040</v>
      </c>
      <c r="B7854" s="42" t="n">
        <v>48</v>
      </c>
      <c r="C7854" s="7" t="n">
        <v>9</v>
      </c>
      <c r="D7854" s="7" t="n">
        <v>0</v>
      </c>
      <c r="E7854" s="7" t="s">
        <v>627</v>
      </c>
      <c r="F7854" s="7" t="n">
        <v>-1</v>
      </c>
      <c r="G7854" s="7" t="n">
        <v>1</v>
      </c>
      <c r="H7854" s="7" t="n">
        <v>0</v>
      </c>
    </row>
    <row r="7855" spans="1:13">
      <c r="A7855" t="s">
        <v>4</v>
      </c>
      <c r="B7855" s="4" t="s">
        <v>5</v>
      </c>
      <c r="C7855" s="4" t="s">
        <v>11</v>
      </c>
    </row>
    <row r="7856" spans="1:13">
      <c r="A7856" t="n">
        <v>73066</v>
      </c>
      <c r="B7856" s="29" t="n">
        <v>16</v>
      </c>
      <c r="C7856" s="7" t="n">
        <v>600</v>
      </c>
    </row>
    <row r="7857" spans="1:23">
      <c r="A7857" t="s">
        <v>4</v>
      </c>
      <c r="B7857" s="4" t="s">
        <v>5</v>
      </c>
      <c r="C7857" s="4" t="s">
        <v>7</v>
      </c>
      <c r="D7857" s="4" t="s">
        <v>11</v>
      </c>
      <c r="E7857" s="4" t="s">
        <v>13</v>
      </c>
      <c r="F7857" s="4" t="s">
        <v>11</v>
      </c>
      <c r="G7857" s="4" t="s">
        <v>15</v>
      </c>
      <c r="H7857" s="4" t="s">
        <v>15</v>
      </c>
      <c r="I7857" s="4" t="s">
        <v>11</v>
      </c>
      <c r="J7857" s="4" t="s">
        <v>11</v>
      </c>
      <c r="K7857" s="4" t="s">
        <v>15</v>
      </c>
      <c r="L7857" s="4" t="s">
        <v>15</v>
      </c>
      <c r="M7857" s="4" t="s">
        <v>15</v>
      </c>
      <c r="N7857" s="4" t="s">
        <v>15</v>
      </c>
      <c r="O7857" s="4" t="s">
        <v>8</v>
      </c>
    </row>
    <row r="7858" spans="1:23">
      <c r="A7858" t="n">
        <v>73069</v>
      </c>
      <c r="B7858" s="57" t="n">
        <v>50</v>
      </c>
      <c r="C7858" s="7" t="n">
        <v>0</v>
      </c>
      <c r="D7858" s="7" t="n">
        <v>2000</v>
      </c>
      <c r="E7858" s="7" t="n">
        <v>0.400000005960464</v>
      </c>
      <c r="F7858" s="7" t="n">
        <v>200</v>
      </c>
      <c r="G7858" s="7" t="n">
        <v>0</v>
      </c>
      <c r="H7858" s="7" t="n">
        <v>1073741824</v>
      </c>
      <c r="I7858" s="7" t="n">
        <v>0</v>
      </c>
      <c r="J7858" s="7" t="n">
        <v>65533</v>
      </c>
      <c r="K7858" s="7" t="n">
        <v>0</v>
      </c>
      <c r="L7858" s="7" t="n">
        <v>0</v>
      </c>
      <c r="M7858" s="7" t="n">
        <v>0</v>
      </c>
      <c r="N7858" s="7" t="n">
        <v>0</v>
      </c>
      <c r="O7858" s="7" t="s">
        <v>16</v>
      </c>
    </row>
    <row r="7859" spans="1:23">
      <c r="A7859" t="s">
        <v>4</v>
      </c>
      <c r="B7859" s="4" t="s">
        <v>5</v>
      </c>
      <c r="C7859" s="4" t="s">
        <v>11</v>
      </c>
      <c r="D7859" s="4" t="s">
        <v>15</v>
      </c>
      <c r="E7859" s="4" t="s">
        <v>7</v>
      </c>
    </row>
    <row r="7860" spans="1:23">
      <c r="A7860" t="n">
        <v>73108</v>
      </c>
      <c r="B7860" s="78" t="n">
        <v>35</v>
      </c>
      <c r="C7860" s="7" t="n">
        <v>0</v>
      </c>
      <c r="D7860" s="7" t="n">
        <v>0</v>
      </c>
      <c r="E7860" s="7" t="n">
        <v>0</v>
      </c>
    </row>
    <row r="7861" spans="1:23">
      <c r="A7861" t="s">
        <v>4</v>
      </c>
      <c r="B7861" s="4" t="s">
        <v>5</v>
      </c>
      <c r="C7861" s="4" t="s">
        <v>11</v>
      </c>
      <c r="D7861" s="4" t="s">
        <v>15</v>
      </c>
      <c r="E7861" s="4" t="s">
        <v>7</v>
      </c>
    </row>
    <row r="7862" spans="1:23">
      <c r="A7862" t="n">
        <v>73116</v>
      </c>
      <c r="B7862" s="78" t="n">
        <v>35</v>
      </c>
      <c r="C7862" s="7" t="n">
        <v>9</v>
      </c>
      <c r="D7862" s="7" t="n">
        <v>0</v>
      </c>
      <c r="E7862" s="7" t="n">
        <v>0</v>
      </c>
    </row>
    <row r="7863" spans="1:23">
      <c r="A7863" t="s">
        <v>4</v>
      </c>
      <c r="B7863" s="4" t="s">
        <v>5</v>
      </c>
      <c r="C7863" s="4" t="s">
        <v>11</v>
      </c>
    </row>
    <row r="7864" spans="1:23">
      <c r="A7864" t="n">
        <v>73124</v>
      </c>
      <c r="B7864" s="29" t="n">
        <v>16</v>
      </c>
      <c r="C7864" s="7" t="n">
        <v>1000</v>
      </c>
    </row>
    <row r="7865" spans="1:23">
      <c r="A7865" t="s">
        <v>4</v>
      </c>
      <c r="B7865" s="4" t="s">
        <v>5</v>
      </c>
      <c r="C7865" s="4" t="s">
        <v>7</v>
      </c>
      <c r="D7865" s="4" t="s">
        <v>11</v>
      </c>
      <c r="E7865" s="4" t="s">
        <v>8</v>
      </c>
      <c r="F7865" s="4" t="s">
        <v>8</v>
      </c>
      <c r="G7865" s="4" t="s">
        <v>8</v>
      </c>
      <c r="H7865" s="4" t="s">
        <v>8</v>
      </c>
    </row>
    <row r="7866" spans="1:23">
      <c r="A7866" t="n">
        <v>73127</v>
      </c>
      <c r="B7866" s="38" t="n">
        <v>51</v>
      </c>
      <c r="C7866" s="7" t="n">
        <v>3</v>
      </c>
      <c r="D7866" s="7" t="n">
        <v>9</v>
      </c>
      <c r="E7866" s="7" t="s">
        <v>98</v>
      </c>
      <c r="F7866" s="7" t="s">
        <v>232</v>
      </c>
      <c r="G7866" s="7" t="s">
        <v>78</v>
      </c>
      <c r="H7866" s="7" t="s">
        <v>79</v>
      </c>
    </row>
    <row r="7867" spans="1:23">
      <c r="A7867" t="s">
        <v>4</v>
      </c>
      <c r="B7867" s="4" t="s">
        <v>5</v>
      </c>
      <c r="C7867" s="4" t="s">
        <v>11</v>
      </c>
    </row>
    <row r="7868" spans="1:23">
      <c r="A7868" t="n">
        <v>73140</v>
      </c>
      <c r="B7868" s="29" t="n">
        <v>16</v>
      </c>
      <c r="C7868" s="7" t="n">
        <v>1000</v>
      </c>
    </row>
    <row r="7869" spans="1:23">
      <c r="A7869" t="s">
        <v>4</v>
      </c>
      <c r="B7869" s="4" t="s">
        <v>5</v>
      </c>
      <c r="C7869" s="4" t="s">
        <v>7</v>
      </c>
      <c r="D7869" s="4" t="s">
        <v>11</v>
      </c>
      <c r="E7869" s="4" t="s">
        <v>13</v>
      </c>
    </row>
    <row r="7870" spans="1:23">
      <c r="A7870" t="n">
        <v>73143</v>
      </c>
      <c r="B7870" s="23" t="n">
        <v>58</v>
      </c>
      <c r="C7870" s="7" t="n">
        <v>101</v>
      </c>
      <c r="D7870" s="7" t="n">
        <v>500</v>
      </c>
      <c r="E7870" s="7" t="n">
        <v>1</v>
      </c>
    </row>
    <row r="7871" spans="1:23">
      <c r="A7871" t="s">
        <v>4</v>
      </c>
      <c r="B7871" s="4" t="s">
        <v>5</v>
      </c>
      <c r="C7871" s="4" t="s">
        <v>7</v>
      </c>
      <c r="D7871" s="4" t="s">
        <v>11</v>
      </c>
    </row>
    <row r="7872" spans="1:23">
      <c r="A7872" t="n">
        <v>73151</v>
      </c>
      <c r="B7872" s="23" t="n">
        <v>58</v>
      </c>
      <c r="C7872" s="7" t="n">
        <v>254</v>
      </c>
      <c r="D7872" s="7" t="n">
        <v>0</v>
      </c>
    </row>
    <row r="7873" spans="1:15">
      <c r="A7873" t="s">
        <v>4</v>
      </c>
      <c r="B7873" s="4" t="s">
        <v>5</v>
      </c>
      <c r="C7873" s="4" t="s">
        <v>11</v>
      </c>
      <c r="D7873" s="4" t="s">
        <v>11</v>
      </c>
      <c r="E7873" s="4" t="s">
        <v>11</v>
      </c>
    </row>
    <row r="7874" spans="1:15">
      <c r="A7874" t="n">
        <v>73155</v>
      </c>
      <c r="B7874" s="72" t="n">
        <v>61</v>
      </c>
      <c r="C7874" s="7" t="n">
        <v>0</v>
      </c>
      <c r="D7874" s="7" t="n">
        <v>9</v>
      </c>
      <c r="E7874" s="7" t="n">
        <v>0</v>
      </c>
    </row>
    <row r="7875" spans="1:15">
      <c r="A7875" t="s">
        <v>4</v>
      </c>
      <c r="B7875" s="4" t="s">
        <v>5</v>
      </c>
      <c r="C7875" s="4" t="s">
        <v>7</v>
      </c>
      <c r="D7875" s="4" t="s">
        <v>7</v>
      </c>
      <c r="E7875" s="4" t="s">
        <v>13</v>
      </c>
      <c r="F7875" s="4" t="s">
        <v>13</v>
      </c>
      <c r="G7875" s="4" t="s">
        <v>13</v>
      </c>
      <c r="H7875" s="4" t="s">
        <v>11</v>
      </c>
    </row>
    <row r="7876" spans="1:15">
      <c r="A7876" t="n">
        <v>73162</v>
      </c>
      <c r="B7876" s="51" t="n">
        <v>45</v>
      </c>
      <c r="C7876" s="7" t="n">
        <v>2</v>
      </c>
      <c r="D7876" s="7" t="n">
        <v>3</v>
      </c>
      <c r="E7876" s="7" t="n">
        <v>-6.51999998092651</v>
      </c>
      <c r="F7876" s="7" t="n">
        <v>6.19999980926514</v>
      </c>
      <c r="G7876" s="7" t="n">
        <v>29.9599990844727</v>
      </c>
      <c r="H7876" s="7" t="n">
        <v>0</v>
      </c>
    </row>
    <row r="7877" spans="1:15">
      <c r="A7877" t="s">
        <v>4</v>
      </c>
      <c r="B7877" s="4" t="s">
        <v>5</v>
      </c>
      <c r="C7877" s="4" t="s">
        <v>7</v>
      </c>
      <c r="D7877" s="4" t="s">
        <v>7</v>
      </c>
      <c r="E7877" s="4" t="s">
        <v>13</v>
      </c>
      <c r="F7877" s="4" t="s">
        <v>13</v>
      </c>
      <c r="G7877" s="4" t="s">
        <v>13</v>
      </c>
      <c r="H7877" s="4" t="s">
        <v>11</v>
      </c>
      <c r="I7877" s="4" t="s">
        <v>7</v>
      </c>
    </row>
    <row r="7878" spans="1:15">
      <c r="A7878" t="n">
        <v>73179</v>
      </c>
      <c r="B7878" s="51" t="n">
        <v>45</v>
      </c>
      <c r="C7878" s="7" t="n">
        <v>4</v>
      </c>
      <c r="D7878" s="7" t="n">
        <v>3</v>
      </c>
      <c r="E7878" s="7" t="n">
        <v>336.369995117188</v>
      </c>
      <c r="F7878" s="7" t="n">
        <v>29.3400001525879</v>
      </c>
      <c r="G7878" s="7" t="n">
        <v>354</v>
      </c>
      <c r="H7878" s="7" t="n">
        <v>0</v>
      </c>
      <c r="I7878" s="7" t="n">
        <v>0</v>
      </c>
    </row>
    <row r="7879" spans="1:15">
      <c r="A7879" t="s">
        <v>4</v>
      </c>
      <c r="B7879" s="4" t="s">
        <v>5</v>
      </c>
      <c r="C7879" s="4" t="s">
        <v>7</v>
      </c>
      <c r="D7879" s="4" t="s">
        <v>7</v>
      </c>
      <c r="E7879" s="4" t="s">
        <v>13</v>
      </c>
      <c r="F7879" s="4" t="s">
        <v>11</v>
      </c>
    </row>
    <row r="7880" spans="1:15">
      <c r="A7880" t="n">
        <v>73197</v>
      </c>
      <c r="B7880" s="51" t="n">
        <v>45</v>
      </c>
      <c r="C7880" s="7" t="n">
        <v>5</v>
      </c>
      <c r="D7880" s="7" t="n">
        <v>3</v>
      </c>
      <c r="E7880" s="7" t="n">
        <v>1.29999995231628</v>
      </c>
      <c r="F7880" s="7" t="n">
        <v>0</v>
      </c>
    </row>
    <row r="7881" spans="1:15">
      <c r="A7881" t="s">
        <v>4</v>
      </c>
      <c r="B7881" s="4" t="s">
        <v>5</v>
      </c>
      <c r="C7881" s="4" t="s">
        <v>7</v>
      </c>
      <c r="D7881" s="4" t="s">
        <v>7</v>
      </c>
      <c r="E7881" s="4" t="s">
        <v>13</v>
      </c>
      <c r="F7881" s="4" t="s">
        <v>11</v>
      </c>
    </row>
    <row r="7882" spans="1:15">
      <c r="A7882" t="n">
        <v>73206</v>
      </c>
      <c r="B7882" s="51" t="n">
        <v>45</v>
      </c>
      <c r="C7882" s="7" t="n">
        <v>11</v>
      </c>
      <c r="D7882" s="7" t="n">
        <v>3</v>
      </c>
      <c r="E7882" s="7" t="n">
        <v>40.2999992370605</v>
      </c>
      <c r="F7882" s="7" t="n">
        <v>0</v>
      </c>
    </row>
    <row r="7883" spans="1:15">
      <c r="A7883" t="s">
        <v>4</v>
      </c>
      <c r="B7883" s="4" t="s">
        <v>5</v>
      </c>
      <c r="C7883" s="4" t="s">
        <v>7</v>
      </c>
      <c r="D7883" s="4" t="s">
        <v>7</v>
      </c>
      <c r="E7883" s="4" t="s">
        <v>13</v>
      </c>
      <c r="F7883" s="4" t="s">
        <v>11</v>
      </c>
    </row>
    <row r="7884" spans="1:15">
      <c r="A7884" t="n">
        <v>73215</v>
      </c>
      <c r="B7884" s="51" t="n">
        <v>45</v>
      </c>
      <c r="C7884" s="7" t="n">
        <v>5</v>
      </c>
      <c r="D7884" s="7" t="n">
        <v>3</v>
      </c>
      <c r="E7884" s="7" t="n">
        <v>0.899999976158142</v>
      </c>
      <c r="F7884" s="7" t="n">
        <v>30000</v>
      </c>
    </row>
    <row r="7885" spans="1:15">
      <c r="A7885" t="s">
        <v>4</v>
      </c>
      <c r="B7885" s="4" t="s">
        <v>5</v>
      </c>
      <c r="C7885" s="4" t="s">
        <v>11</v>
      </c>
      <c r="D7885" s="4" t="s">
        <v>13</v>
      </c>
      <c r="E7885" s="4" t="s">
        <v>13</v>
      </c>
      <c r="F7885" s="4" t="s">
        <v>13</v>
      </c>
      <c r="G7885" s="4" t="s">
        <v>13</v>
      </c>
    </row>
    <row r="7886" spans="1:15">
      <c r="A7886" t="n">
        <v>73224</v>
      </c>
      <c r="B7886" s="36" t="n">
        <v>46</v>
      </c>
      <c r="C7886" s="7" t="n">
        <v>9</v>
      </c>
      <c r="D7886" s="7" t="n">
        <v>-7.51999998092651</v>
      </c>
      <c r="E7886" s="7" t="n">
        <v>4.96999979019165</v>
      </c>
      <c r="F7886" s="7" t="n">
        <v>29.8199996948242</v>
      </c>
      <c r="G7886" s="7" t="n">
        <v>83.9000015258789</v>
      </c>
    </row>
    <row r="7887" spans="1:15">
      <c r="A7887" t="s">
        <v>4</v>
      </c>
      <c r="B7887" s="4" t="s">
        <v>5</v>
      </c>
      <c r="C7887" s="4" t="s">
        <v>7</v>
      </c>
      <c r="D7887" s="4" t="s">
        <v>11</v>
      </c>
    </row>
    <row r="7888" spans="1:15">
      <c r="A7888" t="n">
        <v>73243</v>
      </c>
      <c r="B7888" s="23" t="n">
        <v>58</v>
      </c>
      <c r="C7888" s="7" t="n">
        <v>254</v>
      </c>
      <c r="D7888" s="7" t="n">
        <v>0</v>
      </c>
    </row>
    <row r="7889" spans="1:9">
      <c r="A7889" t="s">
        <v>4</v>
      </c>
      <c r="B7889" s="4" t="s">
        <v>5</v>
      </c>
      <c r="C7889" s="4" t="s">
        <v>7</v>
      </c>
      <c r="D7889" s="4" t="s">
        <v>11</v>
      </c>
    </row>
    <row r="7890" spans="1:9">
      <c r="A7890" t="n">
        <v>73247</v>
      </c>
      <c r="B7890" s="23" t="n">
        <v>58</v>
      </c>
      <c r="C7890" s="7" t="n">
        <v>255</v>
      </c>
      <c r="D7890" s="7" t="n">
        <v>0</v>
      </c>
    </row>
    <row r="7891" spans="1:9">
      <c r="A7891" t="s">
        <v>4</v>
      </c>
      <c r="B7891" s="4" t="s">
        <v>5</v>
      </c>
      <c r="C7891" s="4" t="s">
        <v>7</v>
      </c>
      <c r="D7891" s="4" t="s">
        <v>11</v>
      </c>
      <c r="E7891" s="4" t="s">
        <v>8</v>
      </c>
    </row>
    <row r="7892" spans="1:9">
      <c r="A7892" t="n">
        <v>73251</v>
      </c>
      <c r="B7892" s="38" t="n">
        <v>51</v>
      </c>
      <c r="C7892" s="7" t="n">
        <v>4</v>
      </c>
      <c r="D7892" s="7" t="n">
        <v>9</v>
      </c>
      <c r="E7892" s="7" t="s">
        <v>491</v>
      </c>
    </row>
    <row r="7893" spans="1:9">
      <c r="A7893" t="s">
        <v>4</v>
      </c>
      <c r="B7893" s="4" t="s">
        <v>5</v>
      </c>
      <c r="C7893" s="4" t="s">
        <v>11</v>
      </c>
    </row>
    <row r="7894" spans="1:9">
      <c r="A7894" t="n">
        <v>73265</v>
      </c>
      <c r="B7894" s="29" t="n">
        <v>16</v>
      </c>
      <c r="C7894" s="7" t="n">
        <v>0</v>
      </c>
    </row>
    <row r="7895" spans="1:9">
      <c r="A7895" t="s">
        <v>4</v>
      </c>
      <c r="B7895" s="4" t="s">
        <v>5</v>
      </c>
      <c r="C7895" s="4" t="s">
        <v>11</v>
      </c>
      <c r="D7895" s="4" t="s">
        <v>7</v>
      </c>
      <c r="E7895" s="4" t="s">
        <v>15</v>
      </c>
      <c r="F7895" s="4" t="s">
        <v>55</v>
      </c>
      <c r="G7895" s="4" t="s">
        <v>7</v>
      </c>
      <c r="H7895" s="4" t="s">
        <v>7</v>
      </c>
      <c r="I7895" s="4" t="s">
        <v>7</v>
      </c>
      <c r="J7895" s="4" t="s">
        <v>15</v>
      </c>
      <c r="K7895" s="4" t="s">
        <v>55</v>
      </c>
      <c r="L7895" s="4" t="s">
        <v>7</v>
      </c>
      <c r="M7895" s="4" t="s">
        <v>7</v>
      </c>
      <c r="N7895" s="4" t="s">
        <v>7</v>
      </c>
      <c r="O7895" s="4" t="s">
        <v>15</v>
      </c>
      <c r="P7895" s="4" t="s">
        <v>55</v>
      </c>
      <c r="Q7895" s="4" t="s">
        <v>7</v>
      </c>
      <c r="R7895" s="4" t="s">
        <v>7</v>
      </c>
    </row>
    <row r="7896" spans="1:9">
      <c r="A7896" t="n">
        <v>73268</v>
      </c>
      <c r="B7896" s="55" t="n">
        <v>26</v>
      </c>
      <c r="C7896" s="7" t="n">
        <v>9</v>
      </c>
      <c r="D7896" s="7" t="n">
        <v>17</v>
      </c>
      <c r="E7896" s="7" t="n">
        <v>5813</v>
      </c>
      <c r="F7896" s="7" t="s">
        <v>691</v>
      </c>
      <c r="G7896" s="7" t="n">
        <v>2</v>
      </c>
      <c r="H7896" s="7" t="n">
        <v>3</v>
      </c>
      <c r="I7896" s="7" t="n">
        <v>17</v>
      </c>
      <c r="J7896" s="7" t="n">
        <v>5814</v>
      </c>
      <c r="K7896" s="7" t="s">
        <v>692</v>
      </c>
      <c r="L7896" s="7" t="n">
        <v>2</v>
      </c>
      <c r="M7896" s="7" t="n">
        <v>3</v>
      </c>
      <c r="N7896" s="7" t="n">
        <v>17</v>
      </c>
      <c r="O7896" s="7" t="n">
        <v>5815</v>
      </c>
      <c r="P7896" s="7" t="s">
        <v>693</v>
      </c>
      <c r="Q7896" s="7" t="n">
        <v>2</v>
      </c>
      <c r="R7896" s="7" t="n">
        <v>0</v>
      </c>
    </row>
    <row r="7897" spans="1:9">
      <c r="A7897" t="s">
        <v>4</v>
      </c>
      <c r="B7897" s="4" t="s">
        <v>5</v>
      </c>
    </row>
    <row r="7898" spans="1:9">
      <c r="A7898" t="n">
        <v>73427</v>
      </c>
      <c r="B7898" s="27" t="n">
        <v>28</v>
      </c>
    </row>
    <row r="7899" spans="1:9">
      <c r="A7899" t="s">
        <v>4</v>
      </c>
      <c r="B7899" s="4" t="s">
        <v>5</v>
      </c>
      <c r="C7899" s="4" t="s">
        <v>7</v>
      </c>
      <c r="D7899" s="4" t="s">
        <v>11</v>
      </c>
      <c r="E7899" s="4" t="s">
        <v>8</v>
      </c>
    </row>
    <row r="7900" spans="1:9">
      <c r="A7900" t="n">
        <v>73428</v>
      </c>
      <c r="B7900" s="38" t="n">
        <v>51</v>
      </c>
      <c r="C7900" s="7" t="n">
        <v>4</v>
      </c>
      <c r="D7900" s="7" t="n">
        <v>0</v>
      </c>
      <c r="E7900" s="7" t="s">
        <v>235</v>
      </c>
    </row>
    <row r="7901" spans="1:9">
      <c r="A7901" t="s">
        <v>4</v>
      </c>
      <c r="B7901" s="4" t="s">
        <v>5</v>
      </c>
      <c r="C7901" s="4" t="s">
        <v>11</v>
      </c>
    </row>
    <row r="7902" spans="1:9">
      <c r="A7902" t="n">
        <v>73442</v>
      </c>
      <c r="B7902" s="29" t="n">
        <v>16</v>
      </c>
      <c r="C7902" s="7" t="n">
        <v>0</v>
      </c>
    </row>
    <row r="7903" spans="1:9">
      <c r="A7903" t="s">
        <v>4</v>
      </c>
      <c r="B7903" s="4" t="s">
        <v>5</v>
      </c>
      <c r="C7903" s="4" t="s">
        <v>11</v>
      </c>
      <c r="D7903" s="4" t="s">
        <v>7</v>
      </c>
      <c r="E7903" s="4" t="s">
        <v>15</v>
      </c>
      <c r="F7903" s="4" t="s">
        <v>55</v>
      </c>
      <c r="G7903" s="4" t="s">
        <v>7</v>
      </c>
      <c r="H7903" s="4" t="s">
        <v>7</v>
      </c>
      <c r="I7903" s="4" t="s">
        <v>7</v>
      </c>
      <c r="J7903" s="4" t="s">
        <v>15</v>
      </c>
      <c r="K7903" s="4" t="s">
        <v>55</v>
      </c>
      <c r="L7903" s="4" t="s">
        <v>7</v>
      </c>
      <c r="M7903" s="4" t="s">
        <v>7</v>
      </c>
      <c r="N7903" s="4" t="s">
        <v>7</v>
      </c>
      <c r="O7903" s="4" t="s">
        <v>15</v>
      </c>
      <c r="P7903" s="4" t="s">
        <v>55</v>
      </c>
      <c r="Q7903" s="4" t="s">
        <v>7</v>
      </c>
      <c r="R7903" s="4" t="s">
        <v>7</v>
      </c>
    </row>
    <row r="7904" spans="1:9">
      <c r="A7904" t="n">
        <v>73445</v>
      </c>
      <c r="B7904" s="55" t="n">
        <v>26</v>
      </c>
      <c r="C7904" s="7" t="n">
        <v>0</v>
      </c>
      <c r="D7904" s="7" t="n">
        <v>17</v>
      </c>
      <c r="E7904" s="7" t="n">
        <v>63980</v>
      </c>
      <c r="F7904" s="7" t="s">
        <v>694</v>
      </c>
      <c r="G7904" s="7" t="n">
        <v>2</v>
      </c>
      <c r="H7904" s="7" t="n">
        <v>3</v>
      </c>
      <c r="I7904" s="7" t="n">
        <v>17</v>
      </c>
      <c r="J7904" s="7" t="n">
        <v>63981</v>
      </c>
      <c r="K7904" s="7" t="s">
        <v>695</v>
      </c>
      <c r="L7904" s="7" t="n">
        <v>2</v>
      </c>
      <c r="M7904" s="7" t="n">
        <v>3</v>
      </c>
      <c r="N7904" s="7" t="n">
        <v>17</v>
      </c>
      <c r="O7904" s="7" t="n">
        <v>63982</v>
      </c>
      <c r="P7904" s="7" t="s">
        <v>696</v>
      </c>
      <c r="Q7904" s="7" t="n">
        <v>2</v>
      </c>
      <c r="R7904" s="7" t="n">
        <v>0</v>
      </c>
    </row>
    <row r="7905" spans="1:18">
      <c r="A7905" t="s">
        <v>4</v>
      </c>
      <c r="B7905" s="4" t="s">
        <v>5</v>
      </c>
    </row>
    <row r="7906" spans="1:18">
      <c r="A7906" t="n">
        <v>73680</v>
      </c>
      <c r="B7906" s="27" t="n">
        <v>28</v>
      </c>
    </row>
    <row r="7907" spans="1:18">
      <c r="A7907" t="s">
        <v>4</v>
      </c>
      <c r="B7907" s="4" t="s">
        <v>5</v>
      </c>
      <c r="C7907" s="4" t="s">
        <v>7</v>
      </c>
      <c r="D7907" s="4" t="s">
        <v>11</v>
      </c>
      <c r="E7907" s="4" t="s">
        <v>8</v>
      </c>
    </row>
    <row r="7908" spans="1:18">
      <c r="A7908" t="n">
        <v>73681</v>
      </c>
      <c r="B7908" s="38" t="n">
        <v>51</v>
      </c>
      <c r="C7908" s="7" t="n">
        <v>4</v>
      </c>
      <c r="D7908" s="7" t="n">
        <v>9</v>
      </c>
      <c r="E7908" s="7" t="s">
        <v>491</v>
      </c>
    </row>
    <row r="7909" spans="1:18">
      <c r="A7909" t="s">
        <v>4</v>
      </c>
      <c r="B7909" s="4" t="s">
        <v>5</v>
      </c>
      <c r="C7909" s="4" t="s">
        <v>11</v>
      </c>
    </row>
    <row r="7910" spans="1:18">
      <c r="A7910" t="n">
        <v>73695</v>
      </c>
      <c r="B7910" s="29" t="n">
        <v>16</v>
      </c>
      <c r="C7910" s="7" t="n">
        <v>0</v>
      </c>
    </row>
    <row r="7911" spans="1:18">
      <c r="A7911" t="s">
        <v>4</v>
      </c>
      <c r="B7911" s="4" t="s">
        <v>5</v>
      </c>
      <c r="C7911" s="4" t="s">
        <v>11</v>
      </c>
      <c r="D7911" s="4" t="s">
        <v>7</v>
      </c>
      <c r="E7911" s="4" t="s">
        <v>15</v>
      </c>
      <c r="F7911" s="4" t="s">
        <v>55</v>
      </c>
      <c r="G7911" s="4" t="s">
        <v>7</v>
      </c>
      <c r="H7911" s="4" t="s">
        <v>7</v>
      </c>
    </row>
    <row r="7912" spans="1:18">
      <c r="A7912" t="n">
        <v>73698</v>
      </c>
      <c r="B7912" s="55" t="n">
        <v>26</v>
      </c>
      <c r="C7912" s="7" t="n">
        <v>9</v>
      </c>
      <c r="D7912" s="7" t="n">
        <v>17</v>
      </c>
      <c r="E7912" s="7" t="n">
        <v>5816</v>
      </c>
      <c r="F7912" s="7" t="s">
        <v>697</v>
      </c>
      <c r="G7912" s="7" t="n">
        <v>2</v>
      </c>
      <c r="H7912" s="7" t="n">
        <v>0</v>
      </c>
    </row>
    <row r="7913" spans="1:18">
      <c r="A7913" t="s">
        <v>4</v>
      </c>
      <c r="B7913" s="4" t="s">
        <v>5</v>
      </c>
    </row>
    <row r="7914" spans="1:18">
      <c r="A7914" t="n">
        <v>73729</v>
      </c>
      <c r="B7914" s="27" t="n">
        <v>28</v>
      </c>
    </row>
    <row r="7915" spans="1:18">
      <c r="A7915" t="s">
        <v>4</v>
      </c>
      <c r="B7915" s="4" t="s">
        <v>5</v>
      </c>
      <c r="C7915" s="4" t="s">
        <v>11</v>
      </c>
    </row>
    <row r="7916" spans="1:18">
      <c r="A7916" t="n">
        <v>73730</v>
      </c>
      <c r="B7916" s="29" t="n">
        <v>16</v>
      </c>
      <c r="C7916" s="7" t="n">
        <v>1000</v>
      </c>
    </row>
    <row r="7917" spans="1:18">
      <c r="A7917" t="s">
        <v>4</v>
      </c>
      <c r="B7917" s="4" t="s">
        <v>5</v>
      </c>
      <c r="C7917" s="4" t="s">
        <v>7</v>
      </c>
      <c r="D7917" s="4" t="s">
        <v>13</v>
      </c>
      <c r="E7917" s="4" t="s">
        <v>11</v>
      </c>
      <c r="F7917" s="4" t="s">
        <v>7</v>
      </c>
    </row>
    <row r="7918" spans="1:18">
      <c r="A7918" t="n">
        <v>73733</v>
      </c>
      <c r="B7918" s="13" t="n">
        <v>49</v>
      </c>
      <c r="C7918" s="7" t="n">
        <v>3</v>
      </c>
      <c r="D7918" s="7" t="n">
        <v>1</v>
      </c>
      <c r="E7918" s="7" t="n">
        <v>1000</v>
      </c>
      <c r="F7918" s="7" t="n">
        <v>0</v>
      </c>
    </row>
    <row r="7919" spans="1:18">
      <c r="A7919" t="s">
        <v>4</v>
      </c>
      <c r="B7919" s="4" t="s">
        <v>5</v>
      </c>
      <c r="C7919" s="4" t="s">
        <v>7</v>
      </c>
      <c r="D7919" s="4" t="s">
        <v>11</v>
      </c>
      <c r="E7919" s="4" t="s">
        <v>13</v>
      </c>
    </row>
    <row r="7920" spans="1:18">
      <c r="A7920" t="n">
        <v>73742</v>
      </c>
      <c r="B7920" s="23" t="n">
        <v>58</v>
      </c>
      <c r="C7920" s="7" t="n">
        <v>101</v>
      </c>
      <c r="D7920" s="7" t="n">
        <v>1000</v>
      </c>
      <c r="E7920" s="7" t="n">
        <v>1</v>
      </c>
    </row>
    <row r="7921" spans="1:8">
      <c r="A7921" t="s">
        <v>4</v>
      </c>
      <c r="B7921" s="4" t="s">
        <v>5</v>
      </c>
      <c r="C7921" s="4" t="s">
        <v>7</v>
      </c>
      <c r="D7921" s="4" t="s">
        <v>11</v>
      </c>
    </row>
    <row r="7922" spans="1:8">
      <c r="A7922" t="n">
        <v>73750</v>
      </c>
      <c r="B7922" s="23" t="n">
        <v>58</v>
      </c>
      <c r="C7922" s="7" t="n">
        <v>254</v>
      </c>
      <c r="D7922" s="7" t="n">
        <v>0</v>
      </c>
    </row>
    <row r="7923" spans="1:8">
      <c r="A7923" t="s">
        <v>4</v>
      </c>
      <c r="B7923" s="4" t="s">
        <v>5</v>
      </c>
      <c r="C7923" s="4" t="s">
        <v>7</v>
      </c>
      <c r="D7923" s="4" t="s">
        <v>11</v>
      </c>
      <c r="E7923" s="4" t="s">
        <v>8</v>
      </c>
      <c r="F7923" s="4" t="s">
        <v>8</v>
      </c>
      <c r="G7923" s="4" t="s">
        <v>8</v>
      </c>
      <c r="H7923" s="4" t="s">
        <v>8</v>
      </c>
    </row>
    <row r="7924" spans="1:8">
      <c r="A7924" t="n">
        <v>73754</v>
      </c>
      <c r="B7924" s="38" t="n">
        <v>51</v>
      </c>
      <c r="C7924" s="7" t="n">
        <v>3</v>
      </c>
      <c r="D7924" s="7" t="n">
        <v>0</v>
      </c>
      <c r="E7924" s="7" t="s">
        <v>86</v>
      </c>
      <c r="F7924" s="7" t="s">
        <v>99</v>
      </c>
      <c r="G7924" s="7" t="s">
        <v>78</v>
      </c>
      <c r="H7924" s="7" t="s">
        <v>79</v>
      </c>
    </row>
    <row r="7925" spans="1:8">
      <c r="A7925" t="s">
        <v>4</v>
      </c>
      <c r="B7925" s="4" t="s">
        <v>5</v>
      </c>
      <c r="C7925" s="4" t="s">
        <v>7</v>
      </c>
    </row>
    <row r="7926" spans="1:8">
      <c r="A7926" t="n">
        <v>73767</v>
      </c>
      <c r="B7926" s="49" t="n">
        <v>116</v>
      </c>
      <c r="C7926" s="7" t="n">
        <v>0</v>
      </c>
    </row>
    <row r="7927" spans="1:8">
      <c r="A7927" t="s">
        <v>4</v>
      </c>
      <c r="B7927" s="4" t="s">
        <v>5</v>
      </c>
      <c r="C7927" s="4" t="s">
        <v>7</v>
      </c>
      <c r="D7927" s="4" t="s">
        <v>11</v>
      </c>
    </row>
    <row r="7928" spans="1:8">
      <c r="A7928" t="n">
        <v>73769</v>
      </c>
      <c r="B7928" s="49" t="n">
        <v>116</v>
      </c>
      <c r="C7928" s="7" t="n">
        <v>2</v>
      </c>
      <c r="D7928" s="7" t="n">
        <v>1</v>
      </c>
    </row>
    <row r="7929" spans="1:8">
      <c r="A7929" t="s">
        <v>4</v>
      </c>
      <c r="B7929" s="4" t="s">
        <v>5</v>
      </c>
      <c r="C7929" s="4" t="s">
        <v>7</v>
      </c>
      <c r="D7929" s="4" t="s">
        <v>15</v>
      </c>
    </row>
    <row r="7930" spans="1:8">
      <c r="A7930" t="n">
        <v>73773</v>
      </c>
      <c r="B7930" s="49" t="n">
        <v>116</v>
      </c>
      <c r="C7930" s="7" t="n">
        <v>5</v>
      </c>
      <c r="D7930" s="7" t="n">
        <v>1092616192</v>
      </c>
    </row>
    <row r="7931" spans="1:8">
      <c r="A7931" t="s">
        <v>4</v>
      </c>
      <c r="B7931" s="4" t="s">
        <v>5</v>
      </c>
      <c r="C7931" s="4" t="s">
        <v>7</v>
      </c>
      <c r="D7931" s="4" t="s">
        <v>11</v>
      </c>
    </row>
    <row r="7932" spans="1:8">
      <c r="A7932" t="n">
        <v>73779</v>
      </c>
      <c r="B7932" s="49" t="n">
        <v>116</v>
      </c>
      <c r="C7932" s="7" t="n">
        <v>6</v>
      </c>
      <c r="D7932" s="7" t="n">
        <v>1</v>
      </c>
    </row>
    <row r="7933" spans="1:8">
      <c r="A7933" t="s">
        <v>4</v>
      </c>
      <c r="B7933" s="4" t="s">
        <v>5</v>
      </c>
      <c r="C7933" s="4" t="s">
        <v>11</v>
      </c>
      <c r="D7933" s="4" t="s">
        <v>13</v>
      </c>
      <c r="E7933" s="4" t="s">
        <v>13</v>
      </c>
      <c r="F7933" s="4" t="s">
        <v>13</v>
      </c>
      <c r="G7933" s="4" t="s">
        <v>13</v>
      </c>
    </row>
    <row r="7934" spans="1:8">
      <c r="A7934" t="n">
        <v>73783</v>
      </c>
      <c r="B7934" s="36" t="n">
        <v>46</v>
      </c>
      <c r="C7934" s="7" t="n">
        <v>9</v>
      </c>
      <c r="D7934" s="7" t="n">
        <v>-7.51000022888184</v>
      </c>
      <c r="E7934" s="7" t="n">
        <v>5</v>
      </c>
      <c r="F7934" s="7" t="n">
        <v>29.7900009155273</v>
      </c>
      <c r="G7934" s="7" t="n">
        <v>83.9000015258789</v>
      </c>
    </row>
    <row r="7935" spans="1:8">
      <c r="A7935" t="s">
        <v>4</v>
      </c>
      <c r="B7935" s="4" t="s">
        <v>5</v>
      </c>
      <c r="C7935" s="4" t="s">
        <v>7</v>
      </c>
      <c r="D7935" s="4" t="s">
        <v>7</v>
      </c>
      <c r="E7935" s="4" t="s">
        <v>13</v>
      </c>
      <c r="F7935" s="4" t="s">
        <v>13</v>
      </c>
      <c r="G7935" s="4" t="s">
        <v>13</v>
      </c>
      <c r="H7935" s="4" t="s">
        <v>11</v>
      </c>
    </row>
    <row r="7936" spans="1:8">
      <c r="A7936" t="n">
        <v>73802</v>
      </c>
      <c r="B7936" s="51" t="n">
        <v>45</v>
      </c>
      <c r="C7936" s="7" t="n">
        <v>2</v>
      </c>
      <c r="D7936" s="7" t="n">
        <v>3</v>
      </c>
      <c r="E7936" s="7" t="n">
        <v>-6.67000007629395</v>
      </c>
      <c r="F7936" s="7" t="n">
        <v>6.28000020980835</v>
      </c>
      <c r="G7936" s="7" t="n">
        <v>29.8700008392334</v>
      </c>
      <c r="H7936" s="7" t="n">
        <v>0</v>
      </c>
    </row>
    <row r="7937" spans="1:8">
      <c r="A7937" t="s">
        <v>4</v>
      </c>
      <c r="B7937" s="4" t="s">
        <v>5</v>
      </c>
      <c r="C7937" s="4" t="s">
        <v>7</v>
      </c>
      <c r="D7937" s="4" t="s">
        <v>7</v>
      </c>
      <c r="E7937" s="4" t="s">
        <v>13</v>
      </c>
      <c r="F7937" s="4" t="s">
        <v>13</v>
      </c>
      <c r="G7937" s="4" t="s">
        <v>13</v>
      </c>
      <c r="H7937" s="4" t="s">
        <v>11</v>
      </c>
      <c r="I7937" s="4" t="s">
        <v>7</v>
      </c>
    </row>
    <row r="7938" spans="1:8">
      <c r="A7938" t="n">
        <v>73819</v>
      </c>
      <c r="B7938" s="51" t="n">
        <v>45</v>
      </c>
      <c r="C7938" s="7" t="n">
        <v>4</v>
      </c>
      <c r="D7938" s="7" t="n">
        <v>3</v>
      </c>
      <c r="E7938" s="7" t="n">
        <v>1.75</v>
      </c>
      <c r="F7938" s="7" t="n">
        <v>297.660003662109</v>
      </c>
      <c r="G7938" s="7" t="n">
        <v>354.130004882813</v>
      </c>
      <c r="H7938" s="7" t="n">
        <v>0</v>
      </c>
      <c r="I7938" s="7" t="n">
        <v>0</v>
      </c>
    </row>
    <row r="7939" spans="1:8">
      <c r="A7939" t="s">
        <v>4</v>
      </c>
      <c r="B7939" s="4" t="s">
        <v>5</v>
      </c>
      <c r="C7939" s="4" t="s">
        <v>7</v>
      </c>
      <c r="D7939" s="4" t="s">
        <v>7</v>
      </c>
      <c r="E7939" s="4" t="s">
        <v>13</v>
      </c>
      <c r="F7939" s="4" t="s">
        <v>11</v>
      </c>
    </row>
    <row r="7940" spans="1:8">
      <c r="A7940" t="n">
        <v>73837</v>
      </c>
      <c r="B7940" s="51" t="n">
        <v>45</v>
      </c>
      <c r="C7940" s="7" t="n">
        <v>5</v>
      </c>
      <c r="D7940" s="7" t="n">
        <v>3</v>
      </c>
      <c r="E7940" s="7" t="n">
        <v>1.60000002384186</v>
      </c>
      <c r="F7940" s="7" t="n">
        <v>0</v>
      </c>
    </row>
    <row r="7941" spans="1:8">
      <c r="A7941" t="s">
        <v>4</v>
      </c>
      <c r="B7941" s="4" t="s">
        <v>5</v>
      </c>
      <c r="C7941" s="4" t="s">
        <v>7</v>
      </c>
      <c r="D7941" s="4" t="s">
        <v>7</v>
      </c>
      <c r="E7941" s="4" t="s">
        <v>13</v>
      </c>
      <c r="F7941" s="4" t="s">
        <v>11</v>
      </c>
    </row>
    <row r="7942" spans="1:8">
      <c r="A7942" t="n">
        <v>73846</v>
      </c>
      <c r="B7942" s="51" t="n">
        <v>45</v>
      </c>
      <c r="C7942" s="7" t="n">
        <v>11</v>
      </c>
      <c r="D7942" s="7" t="n">
        <v>3</v>
      </c>
      <c r="E7942" s="7" t="n">
        <v>40.2999992370605</v>
      </c>
      <c r="F7942" s="7" t="n">
        <v>0</v>
      </c>
    </row>
    <row r="7943" spans="1:8">
      <c r="A7943" t="s">
        <v>4</v>
      </c>
      <c r="B7943" s="4" t="s">
        <v>5</v>
      </c>
      <c r="C7943" s="4" t="s">
        <v>7</v>
      </c>
      <c r="D7943" s="4" t="s">
        <v>7</v>
      </c>
      <c r="E7943" s="4" t="s">
        <v>13</v>
      </c>
      <c r="F7943" s="4" t="s">
        <v>13</v>
      </c>
      <c r="G7943" s="4" t="s">
        <v>13</v>
      </c>
      <c r="H7943" s="4" t="s">
        <v>11</v>
      </c>
    </row>
    <row r="7944" spans="1:8">
      <c r="A7944" t="n">
        <v>73855</v>
      </c>
      <c r="B7944" s="51" t="n">
        <v>45</v>
      </c>
      <c r="C7944" s="7" t="n">
        <v>2</v>
      </c>
      <c r="D7944" s="7" t="n">
        <v>3</v>
      </c>
      <c r="E7944" s="7" t="n">
        <v>-7.28999996185303</v>
      </c>
      <c r="F7944" s="7" t="n">
        <v>6.38000011444092</v>
      </c>
      <c r="G7944" s="7" t="n">
        <v>28.5100002288818</v>
      </c>
      <c r="H7944" s="7" t="n">
        <v>6000</v>
      </c>
    </row>
    <row r="7945" spans="1:8">
      <c r="A7945" t="s">
        <v>4</v>
      </c>
      <c r="B7945" s="4" t="s">
        <v>5</v>
      </c>
      <c r="C7945" s="4" t="s">
        <v>7</v>
      </c>
      <c r="D7945" s="4" t="s">
        <v>7</v>
      </c>
      <c r="E7945" s="4" t="s">
        <v>13</v>
      </c>
      <c r="F7945" s="4" t="s">
        <v>13</v>
      </c>
      <c r="G7945" s="4" t="s">
        <v>13</v>
      </c>
      <c r="H7945" s="4" t="s">
        <v>11</v>
      </c>
      <c r="I7945" s="4" t="s">
        <v>7</v>
      </c>
    </row>
    <row r="7946" spans="1:8">
      <c r="A7946" t="n">
        <v>73872</v>
      </c>
      <c r="B7946" s="51" t="n">
        <v>45</v>
      </c>
      <c r="C7946" s="7" t="n">
        <v>4</v>
      </c>
      <c r="D7946" s="7" t="n">
        <v>3</v>
      </c>
      <c r="E7946" s="7" t="n">
        <v>1.75</v>
      </c>
      <c r="F7946" s="7" t="n">
        <v>324.200012207031</v>
      </c>
      <c r="G7946" s="7" t="n">
        <v>354.130004882813</v>
      </c>
      <c r="H7946" s="7" t="n">
        <v>6000</v>
      </c>
      <c r="I7946" s="7" t="n">
        <v>1</v>
      </c>
    </row>
    <row r="7947" spans="1:8">
      <c r="A7947" t="s">
        <v>4</v>
      </c>
      <c r="B7947" s="4" t="s">
        <v>5</v>
      </c>
      <c r="C7947" s="4" t="s">
        <v>7</v>
      </c>
      <c r="D7947" s="4" t="s">
        <v>7</v>
      </c>
      <c r="E7947" s="4" t="s">
        <v>13</v>
      </c>
      <c r="F7947" s="4" t="s">
        <v>11</v>
      </c>
    </row>
    <row r="7948" spans="1:8">
      <c r="A7948" t="n">
        <v>73890</v>
      </c>
      <c r="B7948" s="51" t="n">
        <v>45</v>
      </c>
      <c r="C7948" s="7" t="n">
        <v>5</v>
      </c>
      <c r="D7948" s="7" t="n">
        <v>3</v>
      </c>
      <c r="E7948" s="7" t="n">
        <v>1.89999997615814</v>
      </c>
      <c r="F7948" s="7" t="n">
        <v>6000</v>
      </c>
    </row>
    <row r="7949" spans="1:8">
      <c r="A7949" t="s">
        <v>4</v>
      </c>
      <c r="B7949" s="4" t="s">
        <v>5</v>
      </c>
      <c r="C7949" s="4" t="s">
        <v>7</v>
      </c>
      <c r="D7949" s="4" t="s">
        <v>7</v>
      </c>
      <c r="E7949" s="4" t="s">
        <v>13</v>
      </c>
      <c r="F7949" s="4" t="s">
        <v>11</v>
      </c>
    </row>
    <row r="7950" spans="1:8">
      <c r="A7950" t="n">
        <v>73899</v>
      </c>
      <c r="B7950" s="51" t="n">
        <v>45</v>
      </c>
      <c r="C7950" s="7" t="n">
        <v>11</v>
      </c>
      <c r="D7950" s="7" t="n">
        <v>3</v>
      </c>
      <c r="E7950" s="7" t="n">
        <v>40.2999992370605</v>
      </c>
      <c r="F7950" s="7" t="n">
        <v>6000</v>
      </c>
    </row>
    <row r="7951" spans="1:8">
      <c r="A7951" t="s">
        <v>4</v>
      </c>
      <c r="B7951" s="4" t="s">
        <v>5</v>
      </c>
      <c r="C7951" s="4" t="s">
        <v>7</v>
      </c>
      <c r="D7951" s="4" t="s">
        <v>11</v>
      </c>
    </row>
    <row r="7952" spans="1:8">
      <c r="A7952" t="n">
        <v>73908</v>
      </c>
      <c r="B7952" s="23" t="n">
        <v>58</v>
      </c>
      <c r="C7952" s="7" t="n">
        <v>255</v>
      </c>
      <c r="D7952" s="7" t="n">
        <v>0</v>
      </c>
    </row>
    <row r="7953" spans="1:9">
      <c r="A7953" t="s">
        <v>4</v>
      </c>
      <c r="B7953" s="4" t="s">
        <v>5</v>
      </c>
      <c r="C7953" s="4" t="s">
        <v>7</v>
      </c>
      <c r="D7953" s="4" t="s">
        <v>11</v>
      </c>
    </row>
    <row r="7954" spans="1:9">
      <c r="A7954" t="n">
        <v>73912</v>
      </c>
      <c r="B7954" s="51" t="n">
        <v>45</v>
      </c>
      <c r="C7954" s="7" t="n">
        <v>7</v>
      </c>
      <c r="D7954" s="7" t="n">
        <v>255</v>
      </c>
    </row>
    <row r="7955" spans="1:9">
      <c r="A7955" t="s">
        <v>4</v>
      </c>
      <c r="B7955" s="4" t="s">
        <v>5</v>
      </c>
      <c r="C7955" s="4" t="s">
        <v>7</v>
      </c>
      <c r="D7955" s="4" t="s">
        <v>11</v>
      </c>
      <c r="E7955" s="4" t="s">
        <v>13</v>
      </c>
    </row>
    <row r="7956" spans="1:9">
      <c r="A7956" t="n">
        <v>73916</v>
      </c>
      <c r="B7956" s="23" t="n">
        <v>58</v>
      </c>
      <c r="C7956" s="7" t="n">
        <v>0</v>
      </c>
      <c r="D7956" s="7" t="n">
        <v>2000</v>
      </c>
      <c r="E7956" s="7" t="n">
        <v>1</v>
      </c>
    </row>
    <row r="7957" spans="1:9">
      <c r="A7957" t="s">
        <v>4</v>
      </c>
      <c r="B7957" s="4" t="s">
        <v>5</v>
      </c>
      <c r="C7957" s="4" t="s">
        <v>7</v>
      </c>
      <c r="D7957" s="4" t="s">
        <v>11</v>
      </c>
    </row>
    <row r="7958" spans="1:9">
      <c r="A7958" t="n">
        <v>73924</v>
      </c>
      <c r="B7958" s="23" t="n">
        <v>58</v>
      </c>
      <c r="C7958" s="7" t="n">
        <v>255</v>
      </c>
      <c r="D7958" s="7" t="n">
        <v>0</v>
      </c>
    </row>
    <row r="7959" spans="1:9">
      <c r="A7959" t="s">
        <v>4</v>
      </c>
      <c r="B7959" s="4" t="s">
        <v>5</v>
      </c>
      <c r="C7959" s="4" t="s">
        <v>7</v>
      </c>
      <c r="D7959" s="4" t="s">
        <v>11</v>
      </c>
      <c r="E7959" s="4" t="s">
        <v>11</v>
      </c>
      <c r="F7959" s="4" t="s">
        <v>15</v>
      </c>
    </row>
    <row r="7960" spans="1:9">
      <c r="A7960" t="n">
        <v>73928</v>
      </c>
      <c r="B7960" s="76" t="n">
        <v>84</v>
      </c>
      <c r="C7960" s="7" t="n">
        <v>1</v>
      </c>
      <c r="D7960" s="7" t="n">
        <v>0</v>
      </c>
      <c r="E7960" s="7" t="n">
        <v>0</v>
      </c>
      <c r="F7960" s="7" t="n">
        <v>0</v>
      </c>
    </row>
    <row r="7961" spans="1:9">
      <c r="A7961" t="s">
        <v>4</v>
      </c>
      <c r="B7961" s="4" t="s">
        <v>5</v>
      </c>
      <c r="C7961" s="4" t="s">
        <v>7</v>
      </c>
    </row>
    <row r="7962" spans="1:9">
      <c r="A7962" t="n">
        <v>73938</v>
      </c>
      <c r="B7962" s="28" t="n">
        <v>78</v>
      </c>
      <c r="C7962" s="7" t="n">
        <v>255</v>
      </c>
    </row>
    <row r="7963" spans="1:9">
      <c r="A7963" t="s">
        <v>4</v>
      </c>
      <c r="B7963" s="4" t="s">
        <v>5</v>
      </c>
      <c r="C7963" s="4" t="s">
        <v>7</v>
      </c>
      <c r="D7963" s="4" t="s">
        <v>11</v>
      </c>
      <c r="E7963" s="4" t="s">
        <v>7</v>
      </c>
    </row>
    <row r="7964" spans="1:9">
      <c r="A7964" t="n">
        <v>73940</v>
      </c>
      <c r="B7964" s="40" t="n">
        <v>36</v>
      </c>
      <c r="C7964" s="7" t="n">
        <v>9</v>
      </c>
      <c r="D7964" s="7" t="n">
        <v>0</v>
      </c>
      <c r="E7964" s="7" t="n">
        <v>0</v>
      </c>
    </row>
    <row r="7965" spans="1:9">
      <c r="A7965" t="s">
        <v>4</v>
      </c>
      <c r="B7965" s="4" t="s">
        <v>5</v>
      </c>
      <c r="C7965" s="4" t="s">
        <v>7</v>
      </c>
      <c r="D7965" s="4" t="s">
        <v>11</v>
      </c>
      <c r="E7965" s="4" t="s">
        <v>7</v>
      </c>
    </row>
    <row r="7966" spans="1:9">
      <c r="A7966" t="n">
        <v>73945</v>
      </c>
      <c r="B7966" s="40" t="n">
        <v>36</v>
      </c>
      <c r="C7966" s="7" t="n">
        <v>9</v>
      </c>
      <c r="D7966" s="7" t="n">
        <v>9</v>
      </c>
      <c r="E7966" s="7" t="n">
        <v>0</v>
      </c>
    </row>
    <row r="7967" spans="1:9">
      <c r="A7967" t="s">
        <v>4</v>
      </c>
      <c r="B7967" s="4" t="s">
        <v>5</v>
      </c>
      <c r="C7967" s="4" t="s">
        <v>11</v>
      </c>
    </row>
    <row r="7968" spans="1:9">
      <c r="A7968" t="n">
        <v>73950</v>
      </c>
      <c r="B7968" s="43" t="n">
        <v>12</v>
      </c>
      <c r="C7968" s="7" t="n">
        <v>10853</v>
      </c>
    </row>
    <row r="7969" spans="1:6">
      <c r="A7969" t="s">
        <v>4</v>
      </c>
      <c r="B7969" s="4" t="s">
        <v>5</v>
      </c>
      <c r="C7969" s="4" t="s">
        <v>11</v>
      </c>
    </row>
    <row r="7970" spans="1:6">
      <c r="A7970" t="n">
        <v>73953</v>
      </c>
      <c r="B7970" s="43" t="n">
        <v>12</v>
      </c>
      <c r="C7970" s="7" t="n">
        <v>6584</v>
      </c>
    </row>
    <row r="7971" spans="1:6">
      <c r="A7971" t="s">
        <v>4</v>
      </c>
      <c r="B7971" s="4" t="s">
        <v>5</v>
      </c>
      <c r="C7971" s="4" t="s">
        <v>7</v>
      </c>
      <c r="D7971" s="4" t="s">
        <v>15</v>
      </c>
    </row>
    <row r="7972" spans="1:6">
      <c r="A7972" t="n">
        <v>73956</v>
      </c>
      <c r="B7972" s="79" t="n">
        <v>137</v>
      </c>
      <c r="C7972" s="7" t="n">
        <v>6</v>
      </c>
      <c r="D7972" s="7" t="n">
        <v>262144</v>
      </c>
    </row>
    <row r="7973" spans="1:6">
      <c r="A7973" t="s">
        <v>4</v>
      </c>
      <c r="B7973" s="4" t="s">
        <v>5</v>
      </c>
      <c r="C7973" s="4" t="s">
        <v>11</v>
      </c>
      <c r="D7973" s="4" t="s">
        <v>7</v>
      </c>
      <c r="E7973" s="4" t="s">
        <v>11</v>
      </c>
    </row>
    <row r="7974" spans="1:6">
      <c r="A7974" t="n">
        <v>73962</v>
      </c>
      <c r="B7974" s="58" t="n">
        <v>104</v>
      </c>
      <c r="C7974" s="7" t="n">
        <v>127</v>
      </c>
      <c r="D7974" s="7" t="n">
        <v>1</v>
      </c>
      <c r="E7974" s="7" t="n">
        <v>11</v>
      </c>
    </row>
    <row r="7975" spans="1:6">
      <c r="A7975" t="s">
        <v>4</v>
      </c>
      <c r="B7975" s="4" t="s">
        <v>5</v>
      </c>
    </row>
    <row r="7976" spans="1:6">
      <c r="A7976" t="n">
        <v>73968</v>
      </c>
      <c r="B7976" s="5" t="n">
        <v>1</v>
      </c>
    </row>
    <row r="7977" spans="1:6">
      <c r="A7977" t="s">
        <v>4</v>
      </c>
      <c r="B7977" s="4" t="s">
        <v>5</v>
      </c>
      <c r="C7977" s="4" t="s">
        <v>7</v>
      </c>
      <c r="D7977" s="4" t="s">
        <v>11</v>
      </c>
      <c r="E7977" s="4" t="s">
        <v>11</v>
      </c>
      <c r="F7977" s="4" t="s">
        <v>15</v>
      </c>
      <c r="G7977" s="4" t="s">
        <v>15</v>
      </c>
      <c r="H7977" s="4" t="s">
        <v>15</v>
      </c>
    </row>
    <row r="7978" spans="1:6">
      <c r="A7978" t="n">
        <v>73969</v>
      </c>
      <c r="B7978" s="77" t="n">
        <v>97</v>
      </c>
      <c r="C7978" s="7" t="n">
        <v>7</v>
      </c>
      <c r="D7978" s="7" t="n">
        <v>0</v>
      </c>
      <c r="E7978" s="7" t="n">
        <v>0</v>
      </c>
      <c r="F7978" s="7" t="n">
        <v>0</v>
      </c>
      <c r="G7978" s="7" t="n">
        <v>0</v>
      </c>
      <c r="H7978" s="7" t="n">
        <v>0</v>
      </c>
    </row>
    <row r="7979" spans="1:6">
      <c r="A7979" t="s">
        <v>4</v>
      </c>
      <c r="B7979" s="4" t="s">
        <v>5</v>
      </c>
      <c r="C7979" s="4" t="s">
        <v>11</v>
      </c>
      <c r="D7979" s="4" t="s">
        <v>13</v>
      </c>
      <c r="E7979" s="4" t="s">
        <v>13</v>
      </c>
      <c r="F7979" s="4" t="s">
        <v>13</v>
      </c>
      <c r="G7979" s="4" t="s">
        <v>13</v>
      </c>
    </row>
    <row r="7980" spans="1:6">
      <c r="A7980" t="n">
        <v>73987</v>
      </c>
      <c r="B7980" s="36" t="n">
        <v>46</v>
      </c>
      <c r="C7980" s="7" t="n">
        <v>61456</v>
      </c>
      <c r="D7980" s="7" t="n">
        <v>0</v>
      </c>
      <c r="E7980" s="7" t="n">
        <v>0</v>
      </c>
      <c r="F7980" s="7" t="n">
        <v>0</v>
      </c>
      <c r="G7980" s="7" t="n">
        <v>0</v>
      </c>
    </row>
    <row r="7981" spans="1:6">
      <c r="A7981" t="s">
        <v>4</v>
      </c>
      <c r="B7981" s="4" t="s">
        <v>5</v>
      </c>
      <c r="C7981" s="4" t="s">
        <v>7</v>
      </c>
      <c r="D7981" s="4" t="s">
        <v>11</v>
      </c>
    </row>
    <row r="7982" spans="1:6">
      <c r="A7982" t="n">
        <v>74006</v>
      </c>
      <c r="B7982" s="8" t="n">
        <v>162</v>
      </c>
      <c r="C7982" s="7" t="n">
        <v>1</v>
      </c>
      <c r="D7982" s="7" t="n">
        <v>0</v>
      </c>
    </row>
    <row r="7983" spans="1:6">
      <c r="A7983" t="s">
        <v>4</v>
      </c>
      <c r="B7983" s="4" t="s">
        <v>5</v>
      </c>
    </row>
    <row r="7984" spans="1:6">
      <c r="A7984" t="n">
        <v>74010</v>
      </c>
      <c r="B7984" s="5" t="n">
        <v>1</v>
      </c>
    </row>
    <row r="7985" spans="1:8" s="3" customFormat="1" customHeight="0">
      <c r="A7985" s="3" t="s">
        <v>2</v>
      </c>
      <c r="B7985" s="3" t="s">
        <v>698</v>
      </c>
    </row>
    <row r="7986" spans="1:8">
      <c r="A7986" t="s">
        <v>4</v>
      </c>
      <c r="B7986" s="4" t="s">
        <v>5</v>
      </c>
      <c r="C7986" s="4" t="s">
        <v>7</v>
      </c>
      <c r="D7986" s="4" t="s">
        <v>7</v>
      </c>
      <c r="E7986" s="4" t="s">
        <v>7</v>
      </c>
      <c r="F7986" s="4" t="s">
        <v>7</v>
      </c>
    </row>
    <row r="7987" spans="1:8">
      <c r="A7987" t="n">
        <v>74012</v>
      </c>
      <c r="B7987" s="9" t="n">
        <v>14</v>
      </c>
      <c r="C7987" s="7" t="n">
        <v>2</v>
      </c>
      <c r="D7987" s="7" t="n">
        <v>0</v>
      </c>
      <c r="E7987" s="7" t="n">
        <v>0</v>
      </c>
      <c r="F7987" s="7" t="n">
        <v>0</v>
      </c>
    </row>
    <row r="7988" spans="1:8">
      <c r="A7988" t="s">
        <v>4</v>
      </c>
      <c r="B7988" s="4" t="s">
        <v>5</v>
      </c>
      <c r="C7988" s="4" t="s">
        <v>7</v>
      </c>
      <c r="D7988" s="20" t="s">
        <v>35</v>
      </c>
      <c r="E7988" s="4" t="s">
        <v>5</v>
      </c>
      <c r="F7988" s="4" t="s">
        <v>7</v>
      </c>
      <c r="G7988" s="4" t="s">
        <v>11</v>
      </c>
      <c r="H7988" s="20" t="s">
        <v>36</v>
      </c>
      <c r="I7988" s="4" t="s">
        <v>7</v>
      </c>
      <c r="J7988" s="4" t="s">
        <v>15</v>
      </c>
      <c r="K7988" s="4" t="s">
        <v>7</v>
      </c>
      <c r="L7988" s="4" t="s">
        <v>7</v>
      </c>
      <c r="M7988" s="20" t="s">
        <v>35</v>
      </c>
      <c r="N7988" s="4" t="s">
        <v>5</v>
      </c>
      <c r="O7988" s="4" t="s">
        <v>7</v>
      </c>
      <c r="P7988" s="4" t="s">
        <v>11</v>
      </c>
      <c r="Q7988" s="20" t="s">
        <v>36</v>
      </c>
      <c r="R7988" s="4" t="s">
        <v>7</v>
      </c>
      <c r="S7988" s="4" t="s">
        <v>15</v>
      </c>
      <c r="T7988" s="4" t="s">
        <v>7</v>
      </c>
      <c r="U7988" s="4" t="s">
        <v>7</v>
      </c>
      <c r="V7988" s="4" t="s">
        <v>7</v>
      </c>
      <c r="W7988" s="4" t="s">
        <v>12</v>
      </c>
    </row>
    <row r="7989" spans="1:8">
      <c r="A7989" t="n">
        <v>74017</v>
      </c>
      <c r="B7989" s="10" t="n">
        <v>5</v>
      </c>
      <c r="C7989" s="7" t="n">
        <v>28</v>
      </c>
      <c r="D7989" s="20" t="s">
        <v>3</v>
      </c>
      <c r="E7989" s="8" t="n">
        <v>162</v>
      </c>
      <c r="F7989" s="7" t="n">
        <v>3</v>
      </c>
      <c r="G7989" s="7" t="n">
        <v>32911</v>
      </c>
      <c r="H7989" s="20" t="s">
        <v>3</v>
      </c>
      <c r="I7989" s="7" t="n">
        <v>0</v>
      </c>
      <c r="J7989" s="7" t="n">
        <v>1</v>
      </c>
      <c r="K7989" s="7" t="n">
        <v>2</v>
      </c>
      <c r="L7989" s="7" t="n">
        <v>28</v>
      </c>
      <c r="M7989" s="20" t="s">
        <v>3</v>
      </c>
      <c r="N7989" s="8" t="n">
        <v>162</v>
      </c>
      <c r="O7989" s="7" t="n">
        <v>3</v>
      </c>
      <c r="P7989" s="7" t="n">
        <v>32911</v>
      </c>
      <c r="Q7989" s="20" t="s">
        <v>3</v>
      </c>
      <c r="R7989" s="7" t="n">
        <v>0</v>
      </c>
      <c r="S7989" s="7" t="n">
        <v>2</v>
      </c>
      <c r="T7989" s="7" t="n">
        <v>2</v>
      </c>
      <c r="U7989" s="7" t="n">
        <v>11</v>
      </c>
      <c r="V7989" s="7" t="n">
        <v>1</v>
      </c>
      <c r="W7989" s="11" t="n">
        <f t="normal" ca="1">A7993</f>
        <v>0</v>
      </c>
    </row>
    <row r="7990" spans="1:8">
      <c r="A7990" t="s">
        <v>4</v>
      </c>
      <c r="B7990" s="4" t="s">
        <v>5</v>
      </c>
      <c r="C7990" s="4" t="s">
        <v>7</v>
      </c>
      <c r="D7990" s="4" t="s">
        <v>11</v>
      </c>
      <c r="E7990" s="4" t="s">
        <v>13</v>
      </c>
    </row>
    <row r="7991" spans="1:8">
      <c r="A7991" t="n">
        <v>74046</v>
      </c>
      <c r="B7991" s="23" t="n">
        <v>58</v>
      </c>
      <c r="C7991" s="7" t="n">
        <v>0</v>
      </c>
      <c r="D7991" s="7" t="n">
        <v>0</v>
      </c>
      <c r="E7991" s="7" t="n">
        <v>1</v>
      </c>
    </row>
    <row r="7992" spans="1:8">
      <c r="A7992" t="s">
        <v>4</v>
      </c>
      <c r="B7992" s="4" t="s">
        <v>5</v>
      </c>
      <c r="C7992" s="4" t="s">
        <v>7</v>
      </c>
      <c r="D7992" s="20" t="s">
        <v>35</v>
      </c>
      <c r="E7992" s="4" t="s">
        <v>5</v>
      </c>
      <c r="F7992" s="4" t="s">
        <v>7</v>
      </c>
      <c r="G7992" s="4" t="s">
        <v>11</v>
      </c>
      <c r="H7992" s="20" t="s">
        <v>36</v>
      </c>
      <c r="I7992" s="4" t="s">
        <v>7</v>
      </c>
      <c r="J7992" s="4" t="s">
        <v>15</v>
      </c>
      <c r="K7992" s="4" t="s">
        <v>7</v>
      </c>
      <c r="L7992" s="4" t="s">
        <v>7</v>
      </c>
      <c r="M7992" s="20" t="s">
        <v>35</v>
      </c>
      <c r="N7992" s="4" t="s">
        <v>5</v>
      </c>
      <c r="O7992" s="4" t="s">
        <v>7</v>
      </c>
      <c r="P7992" s="4" t="s">
        <v>11</v>
      </c>
      <c r="Q7992" s="20" t="s">
        <v>36</v>
      </c>
      <c r="R7992" s="4" t="s">
        <v>7</v>
      </c>
      <c r="S7992" s="4" t="s">
        <v>15</v>
      </c>
      <c r="T7992" s="4" t="s">
        <v>7</v>
      </c>
      <c r="U7992" s="4" t="s">
        <v>7</v>
      </c>
      <c r="V7992" s="4" t="s">
        <v>7</v>
      </c>
      <c r="W7992" s="4" t="s">
        <v>12</v>
      </c>
    </row>
    <row r="7993" spans="1:8">
      <c r="A7993" t="n">
        <v>74054</v>
      </c>
      <c r="B7993" s="10" t="n">
        <v>5</v>
      </c>
      <c r="C7993" s="7" t="n">
        <v>28</v>
      </c>
      <c r="D7993" s="20" t="s">
        <v>3</v>
      </c>
      <c r="E7993" s="8" t="n">
        <v>162</v>
      </c>
      <c r="F7993" s="7" t="n">
        <v>3</v>
      </c>
      <c r="G7993" s="7" t="n">
        <v>32911</v>
      </c>
      <c r="H7993" s="20" t="s">
        <v>3</v>
      </c>
      <c r="I7993" s="7" t="n">
        <v>0</v>
      </c>
      <c r="J7993" s="7" t="n">
        <v>1</v>
      </c>
      <c r="K7993" s="7" t="n">
        <v>3</v>
      </c>
      <c r="L7993" s="7" t="n">
        <v>28</v>
      </c>
      <c r="M7993" s="20" t="s">
        <v>3</v>
      </c>
      <c r="N7993" s="8" t="n">
        <v>162</v>
      </c>
      <c r="O7993" s="7" t="n">
        <v>3</v>
      </c>
      <c r="P7993" s="7" t="n">
        <v>32911</v>
      </c>
      <c r="Q7993" s="20" t="s">
        <v>3</v>
      </c>
      <c r="R7993" s="7" t="n">
        <v>0</v>
      </c>
      <c r="S7993" s="7" t="n">
        <v>2</v>
      </c>
      <c r="T7993" s="7" t="n">
        <v>3</v>
      </c>
      <c r="U7993" s="7" t="n">
        <v>9</v>
      </c>
      <c r="V7993" s="7" t="n">
        <v>1</v>
      </c>
      <c r="W7993" s="11" t="n">
        <f t="normal" ca="1">A8003</f>
        <v>0</v>
      </c>
    </row>
    <row r="7994" spans="1:8">
      <c r="A7994" t="s">
        <v>4</v>
      </c>
      <c r="B7994" s="4" t="s">
        <v>5</v>
      </c>
      <c r="C7994" s="4" t="s">
        <v>7</v>
      </c>
      <c r="D7994" s="20" t="s">
        <v>35</v>
      </c>
      <c r="E7994" s="4" t="s">
        <v>5</v>
      </c>
      <c r="F7994" s="4" t="s">
        <v>11</v>
      </c>
      <c r="G7994" s="4" t="s">
        <v>7</v>
      </c>
      <c r="H7994" s="4" t="s">
        <v>7</v>
      </c>
      <c r="I7994" s="4" t="s">
        <v>8</v>
      </c>
      <c r="J7994" s="20" t="s">
        <v>36</v>
      </c>
      <c r="K7994" s="4" t="s">
        <v>7</v>
      </c>
      <c r="L7994" s="4" t="s">
        <v>7</v>
      </c>
      <c r="M7994" s="20" t="s">
        <v>35</v>
      </c>
      <c r="N7994" s="4" t="s">
        <v>5</v>
      </c>
      <c r="O7994" s="4" t="s">
        <v>7</v>
      </c>
      <c r="P7994" s="20" t="s">
        <v>36</v>
      </c>
      <c r="Q7994" s="4" t="s">
        <v>7</v>
      </c>
      <c r="R7994" s="4" t="s">
        <v>15</v>
      </c>
      <c r="S7994" s="4" t="s">
        <v>7</v>
      </c>
      <c r="T7994" s="4" t="s">
        <v>7</v>
      </c>
      <c r="U7994" s="4" t="s">
        <v>7</v>
      </c>
      <c r="V7994" s="20" t="s">
        <v>35</v>
      </c>
      <c r="W7994" s="4" t="s">
        <v>5</v>
      </c>
      <c r="X7994" s="4" t="s">
        <v>7</v>
      </c>
      <c r="Y7994" s="20" t="s">
        <v>36</v>
      </c>
      <c r="Z7994" s="4" t="s">
        <v>7</v>
      </c>
      <c r="AA7994" s="4" t="s">
        <v>15</v>
      </c>
      <c r="AB7994" s="4" t="s">
        <v>7</v>
      </c>
      <c r="AC7994" s="4" t="s">
        <v>7</v>
      </c>
      <c r="AD7994" s="4" t="s">
        <v>7</v>
      </c>
      <c r="AE7994" s="4" t="s">
        <v>12</v>
      </c>
    </row>
    <row r="7995" spans="1:8">
      <c r="A7995" t="n">
        <v>74083</v>
      </c>
      <c r="B7995" s="10" t="n">
        <v>5</v>
      </c>
      <c r="C7995" s="7" t="n">
        <v>28</v>
      </c>
      <c r="D7995" s="20" t="s">
        <v>3</v>
      </c>
      <c r="E7995" s="41" t="n">
        <v>47</v>
      </c>
      <c r="F7995" s="7" t="n">
        <v>61456</v>
      </c>
      <c r="G7995" s="7" t="n">
        <v>2</v>
      </c>
      <c r="H7995" s="7" t="n">
        <v>0</v>
      </c>
      <c r="I7995" s="7" t="s">
        <v>105</v>
      </c>
      <c r="J7995" s="20" t="s">
        <v>3</v>
      </c>
      <c r="K7995" s="7" t="n">
        <v>8</v>
      </c>
      <c r="L7995" s="7" t="n">
        <v>28</v>
      </c>
      <c r="M7995" s="20" t="s">
        <v>3</v>
      </c>
      <c r="N7995" s="45" t="n">
        <v>74</v>
      </c>
      <c r="O7995" s="7" t="n">
        <v>65</v>
      </c>
      <c r="P7995" s="20" t="s">
        <v>3</v>
      </c>
      <c r="Q7995" s="7" t="n">
        <v>0</v>
      </c>
      <c r="R7995" s="7" t="n">
        <v>1</v>
      </c>
      <c r="S7995" s="7" t="n">
        <v>3</v>
      </c>
      <c r="T7995" s="7" t="n">
        <v>9</v>
      </c>
      <c r="U7995" s="7" t="n">
        <v>28</v>
      </c>
      <c r="V7995" s="20" t="s">
        <v>3</v>
      </c>
      <c r="W7995" s="45" t="n">
        <v>74</v>
      </c>
      <c r="X7995" s="7" t="n">
        <v>65</v>
      </c>
      <c r="Y7995" s="20" t="s">
        <v>3</v>
      </c>
      <c r="Z7995" s="7" t="n">
        <v>0</v>
      </c>
      <c r="AA7995" s="7" t="n">
        <v>2</v>
      </c>
      <c r="AB7995" s="7" t="n">
        <v>3</v>
      </c>
      <c r="AC7995" s="7" t="n">
        <v>9</v>
      </c>
      <c r="AD7995" s="7" t="n">
        <v>1</v>
      </c>
      <c r="AE7995" s="11" t="n">
        <f t="normal" ca="1">A7999</f>
        <v>0</v>
      </c>
    </row>
    <row r="7996" spans="1:8">
      <c r="A7996" t="s">
        <v>4</v>
      </c>
      <c r="B7996" s="4" t="s">
        <v>5</v>
      </c>
      <c r="C7996" s="4" t="s">
        <v>11</v>
      </c>
      <c r="D7996" s="4" t="s">
        <v>7</v>
      </c>
      <c r="E7996" s="4" t="s">
        <v>7</v>
      </c>
      <c r="F7996" s="4" t="s">
        <v>8</v>
      </c>
    </row>
    <row r="7997" spans="1:8">
      <c r="A7997" t="n">
        <v>74131</v>
      </c>
      <c r="B7997" s="41" t="n">
        <v>47</v>
      </c>
      <c r="C7997" s="7" t="n">
        <v>61456</v>
      </c>
      <c r="D7997" s="7" t="n">
        <v>0</v>
      </c>
      <c r="E7997" s="7" t="n">
        <v>0</v>
      </c>
      <c r="F7997" s="7" t="s">
        <v>106</v>
      </c>
    </row>
    <row r="7998" spans="1:8">
      <c r="A7998" t="s">
        <v>4</v>
      </c>
      <c r="B7998" s="4" t="s">
        <v>5</v>
      </c>
      <c r="C7998" s="4" t="s">
        <v>7</v>
      </c>
      <c r="D7998" s="4" t="s">
        <v>11</v>
      </c>
      <c r="E7998" s="4" t="s">
        <v>13</v>
      </c>
    </row>
    <row r="7999" spans="1:8">
      <c r="A7999" t="n">
        <v>74144</v>
      </c>
      <c r="B7999" s="23" t="n">
        <v>58</v>
      </c>
      <c r="C7999" s="7" t="n">
        <v>0</v>
      </c>
      <c r="D7999" s="7" t="n">
        <v>300</v>
      </c>
      <c r="E7999" s="7" t="n">
        <v>1</v>
      </c>
    </row>
    <row r="8000" spans="1:8">
      <c r="A8000" t="s">
        <v>4</v>
      </c>
      <c r="B8000" s="4" t="s">
        <v>5</v>
      </c>
      <c r="C8000" s="4" t="s">
        <v>7</v>
      </c>
      <c r="D8000" s="4" t="s">
        <v>11</v>
      </c>
    </row>
    <row r="8001" spans="1:31">
      <c r="A8001" t="n">
        <v>74152</v>
      </c>
      <c r="B8001" s="23" t="n">
        <v>58</v>
      </c>
      <c r="C8001" s="7" t="n">
        <v>255</v>
      </c>
      <c r="D8001" s="7" t="n">
        <v>0</v>
      </c>
    </row>
    <row r="8002" spans="1:31">
      <c r="A8002" t="s">
        <v>4</v>
      </c>
      <c r="B8002" s="4" t="s">
        <v>5</v>
      </c>
      <c r="C8002" s="4" t="s">
        <v>7</v>
      </c>
      <c r="D8002" s="4" t="s">
        <v>7</v>
      </c>
      <c r="E8002" s="4" t="s">
        <v>7</v>
      </c>
      <c r="F8002" s="4" t="s">
        <v>7</v>
      </c>
    </row>
    <row r="8003" spans="1:31">
      <c r="A8003" t="n">
        <v>74156</v>
      </c>
      <c r="B8003" s="9" t="n">
        <v>14</v>
      </c>
      <c r="C8003" s="7" t="n">
        <v>0</v>
      </c>
      <c r="D8003" s="7" t="n">
        <v>0</v>
      </c>
      <c r="E8003" s="7" t="n">
        <v>0</v>
      </c>
      <c r="F8003" s="7" t="n">
        <v>64</v>
      </c>
    </row>
    <row r="8004" spans="1:31">
      <c r="A8004" t="s">
        <v>4</v>
      </c>
      <c r="B8004" s="4" t="s">
        <v>5</v>
      </c>
      <c r="C8004" s="4" t="s">
        <v>7</v>
      </c>
      <c r="D8004" s="4" t="s">
        <v>11</v>
      </c>
    </row>
    <row r="8005" spans="1:31">
      <c r="A8005" t="n">
        <v>74161</v>
      </c>
      <c r="B8005" s="22" t="n">
        <v>22</v>
      </c>
      <c r="C8005" s="7" t="n">
        <v>0</v>
      </c>
      <c r="D8005" s="7" t="n">
        <v>32911</v>
      </c>
    </row>
    <row r="8006" spans="1:31">
      <c r="A8006" t="s">
        <v>4</v>
      </c>
      <c r="B8006" s="4" t="s">
        <v>5</v>
      </c>
      <c r="C8006" s="4" t="s">
        <v>7</v>
      </c>
      <c r="D8006" s="4" t="s">
        <v>11</v>
      </c>
    </row>
    <row r="8007" spans="1:31">
      <c r="A8007" t="n">
        <v>74165</v>
      </c>
      <c r="B8007" s="23" t="n">
        <v>58</v>
      </c>
      <c r="C8007" s="7" t="n">
        <v>5</v>
      </c>
      <c r="D8007" s="7" t="n">
        <v>300</v>
      </c>
    </row>
    <row r="8008" spans="1:31">
      <c r="A8008" t="s">
        <v>4</v>
      </c>
      <c r="B8008" s="4" t="s">
        <v>5</v>
      </c>
      <c r="C8008" s="4" t="s">
        <v>13</v>
      </c>
      <c r="D8008" s="4" t="s">
        <v>11</v>
      </c>
    </row>
    <row r="8009" spans="1:31">
      <c r="A8009" t="n">
        <v>74169</v>
      </c>
      <c r="B8009" s="46" t="n">
        <v>103</v>
      </c>
      <c r="C8009" s="7" t="n">
        <v>0</v>
      </c>
      <c r="D8009" s="7" t="n">
        <v>300</v>
      </c>
    </row>
    <row r="8010" spans="1:31">
      <c r="A8010" t="s">
        <v>4</v>
      </c>
      <c r="B8010" s="4" t="s">
        <v>5</v>
      </c>
      <c r="C8010" s="4" t="s">
        <v>7</v>
      </c>
    </row>
    <row r="8011" spans="1:31">
      <c r="A8011" t="n">
        <v>74176</v>
      </c>
      <c r="B8011" s="47" t="n">
        <v>64</v>
      </c>
      <c r="C8011" s="7" t="n">
        <v>7</v>
      </c>
    </row>
    <row r="8012" spans="1:31">
      <c r="A8012" t="s">
        <v>4</v>
      </c>
      <c r="B8012" s="4" t="s">
        <v>5</v>
      </c>
      <c r="C8012" s="4" t="s">
        <v>7</v>
      </c>
      <c r="D8012" s="4" t="s">
        <v>11</v>
      </c>
    </row>
    <row r="8013" spans="1:31">
      <c r="A8013" t="n">
        <v>74178</v>
      </c>
      <c r="B8013" s="48" t="n">
        <v>72</v>
      </c>
      <c r="C8013" s="7" t="n">
        <v>5</v>
      </c>
      <c r="D8013" s="7" t="n">
        <v>0</v>
      </c>
    </row>
    <row r="8014" spans="1:31">
      <c r="A8014" t="s">
        <v>4</v>
      </c>
      <c r="B8014" s="4" t="s">
        <v>5</v>
      </c>
      <c r="C8014" s="4" t="s">
        <v>7</v>
      </c>
      <c r="D8014" s="20" t="s">
        <v>35</v>
      </c>
      <c r="E8014" s="4" t="s">
        <v>5</v>
      </c>
      <c r="F8014" s="4" t="s">
        <v>7</v>
      </c>
      <c r="G8014" s="4" t="s">
        <v>11</v>
      </c>
      <c r="H8014" s="20" t="s">
        <v>36</v>
      </c>
      <c r="I8014" s="4" t="s">
        <v>7</v>
      </c>
      <c r="J8014" s="4" t="s">
        <v>15</v>
      </c>
      <c r="K8014" s="4" t="s">
        <v>7</v>
      </c>
      <c r="L8014" s="4" t="s">
        <v>7</v>
      </c>
      <c r="M8014" s="4" t="s">
        <v>12</v>
      </c>
    </row>
    <row r="8015" spans="1:31">
      <c r="A8015" t="n">
        <v>74182</v>
      </c>
      <c r="B8015" s="10" t="n">
        <v>5</v>
      </c>
      <c r="C8015" s="7" t="n">
        <v>28</v>
      </c>
      <c r="D8015" s="20" t="s">
        <v>3</v>
      </c>
      <c r="E8015" s="8" t="n">
        <v>162</v>
      </c>
      <c r="F8015" s="7" t="n">
        <v>4</v>
      </c>
      <c r="G8015" s="7" t="n">
        <v>32911</v>
      </c>
      <c r="H8015" s="20" t="s">
        <v>3</v>
      </c>
      <c r="I8015" s="7" t="n">
        <v>0</v>
      </c>
      <c r="J8015" s="7" t="n">
        <v>1</v>
      </c>
      <c r="K8015" s="7" t="n">
        <v>2</v>
      </c>
      <c r="L8015" s="7" t="n">
        <v>1</v>
      </c>
      <c r="M8015" s="11" t="n">
        <f t="normal" ca="1">A8021</f>
        <v>0</v>
      </c>
    </row>
    <row r="8016" spans="1:31">
      <c r="A8016" t="s">
        <v>4</v>
      </c>
      <c r="B8016" s="4" t="s">
        <v>5</v>
      </c>
      <c r="C8016" s="4" t="s">
        <v>7</v>
      </c>
      <c r="D8016" s="4" t="s">
        <v>8</v>
      </c>
    </row>
    <row r="8017" spans="1:13">
      <c r="A8017" t="n">
        <v>74199</v>
      </c>
      <c r="B8017" s="6" t="n">
        <v>2</v>
      </c>
      <c r="C8017" s="7" t="n">
        <v>10</v>
      </c>
      <c r="D8017" s="7" t="s">
        <v>107</v>
      </c>
    </row>
    <row r="8018" spans="1:13">
      <c r="A8018" t="s">
        <v>4</v>
      </c>
      <c r="B8018" s="4" t="s">
        <v>5</v>
      </c>
      <c r="C8018" s="4" t="s">
        <v>11</v>
      </c>
    </row>
    <row r="8019" spans="1:13">
      <c r="A8019" t="n">
        <v>74216</v>
      </c>
      <c r="B8019" s="29" t="n">
        <v>16</v>
      </c>
      <c r="C8019" s="7" t="n">
        <v>0</v>
      </c>
    </row>
    <row r="8020" spans="1:13">
      <c r="A8020" t="s">
        <v>4</v>
      </c>
      <c r="B8020" s="4" t="s">
        <v>5</v>
      </c>
      <c r="C8020" s="4" t="s">
        <v>7</v>
      </c>
      <c r="D8020" s="4" t="s">
        <v>11</v>
      </c>
      <c r="E8020" s="4" t="s">
        <v>11</v>
      </c>
      <c r="F8020" s="4" t="s">
        <v>11</v>
      </c>
      <c r="G8020" s="4" t="s">
        <v>11</v>
      </c>
      <c r="H8020" s="4" t="s">
        <v>11</v>
      </c>
      <c r="I8020" s="4" t="s">
        <v>11</v>
      </c>
      <c r="J8020" s="4" t="s">
        <v>11</v>
      </c>
      <c r="K8020" s="4" t="s">
        <v>11</v>
      </c>
      <c r="L8020" s="4" t="s">
        <v>11</v>
      </c>
      <c r="M8020" s="4" t="s">
        <v>11</v>
      </c>
      <c r="N8020" s="4" t="s">
        <v>15</v>
      </c>
      <c r="O8020" s="4" t="s">
        <v>15</v>
      </c>
      <c r="P8020" s="4" t="s">
        <v>15</v>
      </c>
      <c r="Q8020" s="4" t="s">
        <v>15</v>
      </c>
      <c r="R8020" s="4" t="s">
        <v>7</v>
      </c>
      <c r="S8020" s="4" t="s">
        <v>8</v>
      </c>
    </row>
    <row r="8021" spans="1:13">
      <c r="A8021" t="n">
        <v>74219</v>
      </c>
      <c r="B8021" s="24" t="n">
        <v>75</v>
      </c>
      <c r="C8021" s="7" t="n">
        <v>0</v>
      </c>
      <c r="D8021" s="7" t="n">
        <v>484</v>
      </c>
      <c r="E8021" s="7" t="n">
        <v>328</v>
      </c>
      <c r="F8021" s="7" t="n">
        <v>996</v>
      </c>
      <c r="G8021" s="7" t="n">
        <v>392</v>
      </c>
      <c r="H8021" s="7" t="n">
        <v>0</v>
      </c>
      <c r="I8021" s="7" t="n">
        <v>0</v>
      </c>
      <c r="J8021" s="7" t="n">
        <v>0</v>
      </c>
      <c r="K8021" s="7" t="n">
        <v>448</v>
      </c>
      <c r="L8021" s="7" t="n">
        <v>512</v>
      </c>
      <c r="M8021" s="7" t="n">
        <v>512</v>
      </c>
      <c r="N8021" s="7" t="n">
        <v>1065353216</v>
      </c>
      <c r="O8021" s="7" t="n">
        <v>1065353216</v>
      </c>
      <c r="P8021" s="7" t="n">
        <v>1065353216</v>
      </c>
      <c r="Q8021" s="7" t="n">
        <v>0</v>
      </c>
      <c r="R8021" s="7" t="n">
        <v>0</v>
      </c>
      <c r="S8021" s="7" t="s">
        <v>271</v>
      </c>
    </row>
    <row r="8022" spans="1:13">
      <c r="A8022" t="s">
        <v>4</v>
      </c>
      <c r="B8022" s="4" t="s">
        <v>5</v>
      </c>
      <c r="C8022" s="4" t="s">
        <v>7</v>
      </c>
      <c r="D8022" s="4" t="s">
        <v>11</v>
      </c>
      <c r="E8022" s="4" t="s">
        <v>11</v>
      </c>
      <c r="F8022" s="4" t="s">
        <v>11</v>
      </c>
      <c r="G8022" s="4" t="s">
        <v>11</v>
      </c>
      <c r="H8022" s="4" t="s">
        <v>11</v>
      </c>
      <c r="I8022" s="4" t="s">
        <v>11</v>
      </c>
      <c r="J8022" s="4" t="s">
        <v>11</v>
      </c>
      <c r="K8022" s="4" t="s">
        <v>11</v>
      </c>
      <c r="L8022" s="4" t="s">
        <v>11</v>
      </c>
      <c r="M8022" s="4" t="s">
        <v>11</v>
      </c>
      <c r="N8022" s="4" t="s">
        <v>15</v>
      </c>
      <c r="O8022" s="4" t="s">
        <v>15</v>
      </c>
      <c r="P8022" s="4" t="s">
        <v>15</v>
      </c>
      <c r="Q8022" s="4" t="s">
        <v>15</v>
      </c>
      <c r="R8022" s="4" t="s">
        <v>7</v>
      </c>
      <c r="S8022" s="4" t="s">
        <v>8</v>
      </c>
    </row>
    <row r="8023" spans="1:13">
      <c r="A8023" t="n">
        <v>74268</v>
      </c>
      <c r="B8023" s="24" t="n">
        <v>75</v>
      </c>
      <c r="C8023" s="7" t="n">
        <v>1</v>
      </c>
      <c r="D8023" s="7" t="n">
        <v>0</v>
      </c>
      <c r="E8023" s="7" t="n">
        <v>0</v>
      </c>
      <c r="F8023" s="7" t="n">
        <v>1024</v>
      </c>
      <c r="G8023" s="7" t="n">
        <v>720</v>
      </c>
      <c r="H8023" s="7" t="n">
        <v>0</v>
      </c>
      <c r="I8023" s="7" t="n">
        <v>0</v>
      </c>
      <c r="J8023" s="7" t="n">
        <v>0</v>
      </c>
      <c r="K8023" s="7" t="n">
        <v>0</v>
      </c>
      <c r="L8023" s="7" t="n">
        <v>1024</v>
      </c>
      <c r="M8023" s="7" t="n">
        <v>720</v>
      </c>
      <c r="N8023" s="7" t="n">
        <v>1065353216</v>
      </c>
      <c r="O8023" s="7" t="n">
        <v>1065353216</v>
      </c>
      <c r="P8023" s="7" t="n">
        <v>1065353216</v>
      </c>
      <c r="Q8023" s="7" t="n">
        <v>0</v>
      </c>
      <c r="R8023" s="7" t="n">
        <v>0</v>
      </c>
      <c r="S8023" s="7" t="s">
        <v>699</v>
      </c>
    </row>
    <row r="8024" spans="1:13">
      <c r="A8024" t="s">
        <v>4</v>
      </c>
      <c r="B8024" s="4" t="s">
        <v>5</v>
      </c>
      <c r="C8024" s="4" t="s">
        <v>7</v>
      </c>
      <c r="D8024" s="4" t="s">
        <v>7</v>
      </c>
      <c r="E8024" s="4" t="s">
        <v>7</v>
      </c>
      <c r="F8024" s="4" t="s">
        <v>13</v>
      </c>
      <c r="G8024" s="4" t="s">
        <v>13</v>
      </c>
      <c r="H8024" s="4" t="s">
        <v>13</v>
      </c>
      <c r="I8024" s="4" t="s">
        <v>13</v>
      </c>
      <c r="J8024" s="4" t="s">
        <v>13</v>
      </c>
    </row>
    <row r="8025" spans="1:13">
      <c r="A8025" t="n">
        <v>74317</v>
      </c>
      <c r="B8025" s="25" t="n">
        <v>76</v>
      </c>
      <c r="C8025" s="7" t="n">
        <v>1</v>
      </c>
      <c r="D8025" s="7" t="n">
        <v>9</v>
      </c>
      <c r="E8025" s="7" t="n">
        <v>2</v>
      </c>
      <c r="F8025" s="7" t="n">
        <v>0</v>
      </c>
      <c r="G8025" s="7" t="n">
        <v>0</v>
      </c>
      <c r="H8025" s="7" t="n">
        <v>0</v>
      </c>
      <c r="I8025" s="7" t="n">
        <v>0</v>
      </c>
      <c r="J8025" s="7" t="n">
        <v>0</v>
      </c>
    </row>
    <row r="8026" spans="1:13">
      <c r="A8026" t="s">
        <v>4</v>
      </c>
      <c r="B8026" s="4" t="s">
        <v>5</v>
      </c>
      <c r="C8026" s="4" t="s">
        <v>11</v>
      </c>
      <c r="D8026" s="4" t="s">
        <v>8</v>
      </c>
      <c r="E8026" s="4" t="s">
        <v>8</v>
      </c>
      <c r="F8026" s="4" t="s">
        <v>8</v>
      </c>
      <c r="G8026" s="4" t="s">
        <v>7</v>
      </c>
      <c r="H8026" s="4" t="s">
        <v>15</v>
      </c>
      <c r="I8026" s="4" t="s">
        <v>13</v>
      </c>
      <c r="J8026" s="4" t="s">
        <v>13</v>
      </c>
      <c r="K8026" s="4" t="s">
        <v>13</v>
      </c>
      <c r="L8026" s="4" t="s">
        <v>13</v>
      </c>
      <c r="M8026" s="4" t="s">
        <v>13</v>
      </c>
      <c r="N8026" s="4" t="s">
        <v>13</v>
      </c>
      <c r="O8026" s="4" t="s">
        <v>13</v>
      </c>
      <c r="P8026" s="4" t="s">
        <v>8</v>
      </c>
      <c r="Q8026" s="4" t="s">
        <v>8</v>
      </c>
      <c r="R8026" s="4" t="s">
        <v>15</v>
      </c>
      <c r="S8026" s="4" t="s">
        <v>7</v>
      </c>
      <c r="T8026" s="4" t="s">
        <v>15</v>
      </c>
      <c r="U8026" s="4" t="s">
        <v>15</v>
      </c>
      <c r="V8026" s="4" t="s">
        <v>11</v>
      </c>
    </row>
    <row r="8027" spans="1:13">
      <c r="A8027" t="n">
        <v>74341</v>
      </c>
      <c r="B8027" s="62" t="n">
        <v>19</v>
      </c>
      <c r="C8027" s="7" t="n">
        <v>11</v>
      </c>
      <c r="D8027" s="7" t="s">
        <v>228</v>
      </c>
      <c r="E8027" s="7" t="s">
        <v>229</v>
      </c>
      <c r="F8027" s="7" t="s">
        <v>16</v>
      </c>
      <c r="G8027" s="7" t="n">
        <v>0</v>
      </c>
      <c r="H8027" s="7" t="n">
        <v>1</v>
      </c>
      <c r="I8027" s="7" t="n">
        <v>0</v>
      </c>
      <c r="J8027" s="7" t="n">
        <v>0</v>
      </c>
      <c r="K8027" s="7" t="n">
        <v>0</v>
      </c>
      <c r="L8027" s="7" t="n">
        <v>0</v>
      </c>
      <c r="M8027" s="7" t="n">
        <v>1</v>
      </c>
      <c r="N8027" s="7" t="n">
        <v>1.60000002384186</v>
      </c>
      <c r="O8027" s="7" t="n">
        <v>0.0900000035762787</v>
      </c>
      <c r="P8027" s="7" t="s">
        <v>16</v>
      </c>
      <c r="Q8027" s="7" t="s">
        <v>16</v>
      </c>
      <c r="R8027" s="7" t="n">
        <v>-1</v>
      </c>
      <c r="S8027" s="7" t="n">
        <v>0</v>
      </c>
      <c r="T8027" s="7" t="n">
        <v>0</v>
      </c>
      <c r="U8027" s="7" t="n">
        <v>0</v>
      </c>
      <c r="V8027" s="7" t="n">
        <v>0</v>
      </c>
    </row>
    <row r="8028" spans="1:13">
      <c r="A8028" t="s">
        <v>4</v>
      </c>
      <c r="B8028" s="4" t="s">
        <v>5</v>
      </c>
      <c r="C8028" s="4" t="s">
        <v>11</v>
      </c>
      <c r="D8028" s="4" t="s">
        <v>7</v>
      </c>
      <c r="E8028" s="4" t="s">
        <v>7</v>
      </c>
      <c r="F8028" s="4" t="s">
        <v>8</v>
      </c>
    </row>
    <row r="8029" spans="1:13">
      <c r="A8029" t="n">
        <v>74420</v>
      </c>
      <c r="B8029" s="50" t="n">
        <v>20</v>
      </c>
      <c r="C8029" s="7" t="n">
        <v>0</v>
      </c>
      <c r="D8029" s="7" t="n">
        <v>3</v>
      </c>
      <c r="E8029" s="7" t="n">
        <v>10</v>
      </c>
      <c r="F8029" s="7" t="s">
        <v>108</v>
      </c>
    </row>
    <row r="8030" spans="1:13">
      <c r="A8030" t="s">
        <v>4</v>
      </c>
      <c r="B8030" s="4" t="s">
        <v>5</v>
      </c>
      <c r="C8030" s="4" t="s">
        <v>11</v>
      </c>
    </row>
    <row r="8031" spans="1:13">
      <c r="A8031" t="n">
        <v>74438</v>
      </c>
      <c r="B8031" s="29" t="n">
        <v>16</v>
      </c>
      <c r="C8031" s="7" t="n">
        <v>0</v>
      </c>
    </row>
    <row r="8032" spans="1:13">
      <c r="A8032" t="s">
        <v>4</v>
      </c>
      <c r="B8032" s="4" t="s">
        <v>5</v>
      </c>
      <c r="C8032" s="4" t="s">
        <v>11</v>
      </c>
      <c r="D8032" s="4" t="s">
        <v>7</v>
      </c>
      <c r="E8032" s="4" t="s">
        <v>7</v>
      </c>
      <c r="F8032" s="4" t="s">
        <v>8</v>
      </c>
    </row>
    <row r="8033" spans="1:22">
      <c r="A8033" t="n">
        <v>74441</v>
      </c>
      <c r="B8033" s="50" t="n">
        <v>20</v>
      </c>
      <c r="C8033" s="7" t="n">
        <v>11</v>
      </c>
      <c r="D8033" s="7" t="n">
        <v>3</v>
      </c>
      <c r="E8033" s="7" t="n">
        <v>10</v>
      </c>
      <c r="F8033" s="7" t="s">
        <v>108</v>
      </c>
    </row>
    <row r="8034" spans="1:22">
      <c r="A8034" t="s">
        <v>4</v>
      </c>
      <c r="B8034" s="4" t="s">
        <v>5</v>
      </c>
      <c r="C8034" s="4" t="s">
        <v>11</v>
      </c>
    </row>
    <row r="8035" spans="1:22">
      <c r="A8035" t="n">
        <v>74459</v>
      </c>
      <c r="B8035" s="29" t="n">
        <v>16</v>
      </c>
      <c r="C8035" s="7" t="n">
        <v>0</v>
      </c>
    </row>
    <row r="8036" spans="1:22">
      <c r="A8036" t="s">
        <v>4</v>
      </c>
      <c r="B8036" s="4" t="s">
        <v>5</v>
      </c>
      <c r="C8036" s="4" t="s">
        <v>11</v>
      </c>
      <c r="D8036" s="4" t="s">
        <v>15</v>
      </c>
    </row>
    <row r="8037" spans="1:22">
      <c r="A8037" t="n">
        <v>74462</v>
      </c>
      <c r="B8037" s="39" t="n">
        <v>43</v>
      </c>
      <c r="C8037" s="7" t="n">
        <v>11</v>
      </c>
      <c r="D8037" s="7" t="n">
        <v>1</v>
      </c>
    </row>
    <row r="8038" spans="1:22">
      <c r="A8038" t="s">
        <v>4</v>
      </c>
      <c r="B8038" s="4" t="s">
        <v>5</v>
      </c>
      <c r="C8038" s="4" t="s">
        <v>7</v>
      </c>
    </row>
    <row r="8039" spans="1:22">
      <c r="A8039" t="n">
        <v>74469</v>
      </c>
      <c r="B8039" s="49" t="n">
        <v>116</v>
      </c>
      <c r="C8039" s="7" t="n">
        <v>0</v>
      </c>
    </row>
    <row r="8040" spans="1:22">
      <c r="A8040" t="s">
        <v>4</v>
      </c>
      <c r="B8040" s="4" t="s">
        <v>5</v>
      </c>
      <c r="C8040" s="4" t="s">
        <v>7</v>
      </c>
      <c r="D8040" s="4" t="s">
        <v>11</v>
      </c>
    </row>
    <row r="8041" spans="1:22">
      <c r="A8041" t="n">
        <v>74471</v>
      </c>
      <c r="B8041" s="49" t="n">
        <v>116</v>
      </c>
      <c r="C8041" s="7" t="n">
        <v>2</v>
      </c>
      <c r="D8041" s="7" t="n">
        <v>1</v>
      </c>
    </row>
    <row r="8042" spans="1:22">
      <c r="A8042" t="s">
        <v>4</v>
      </c>
      <c r="B8042" s="4" t="s">
        <v>5</v>
      </c>
      <c r="C8042" s="4" t="s">
        <v>7</v>
      </c>
      <c r="D8042" s="4" t="s">
        <v>15</v>
      </c>
    </row>
    <row r="8043" spans="1:22">
      <c r="A8043" t="n">
        <v>74475</v>
      </c>
      <c r="B8043" s="49" t="n">
        <v>116</v>
      </c>
      <c r="C8043" s="7" t="n">
        <v>5</v>
      </c>
      <c r="D8043" s="7" t="n">
        <v>1106247680</v>
      </c>
    </row>
    <row r="8044" spans="1:22">
      <c r="A8044" t="s">
        <v>4</v>
      </c>
      <c r="B8044" s="4" t="s">
        <v>5</v>
      </c>
      <c r="C8044" s="4" t="s">
        <v>7</v>
      </c>
      <c r="D8044" s="4" t="s">
        <v>11</v>
      </c>
    </row>
    <row r="8045" spans="1:22">
      <c r="A8045" t="n">
        <v>74481</v>
      </c>
      <c r="B8045" s="49" t="n">
        <v>116</v>
      </c>
      <c r="C8045" s="7" t="n">
        <v>6</v>
      </c>
      <c r="D8045" s="7" t="n">
        <v>1</v>
      </c>
    </row>
    <row r="8046" spans="1:22">
      <c r="A8046" t="s">
        <v>4</v>
      </c>
      <c r="B8046" s="4" t="s">
        <v>5</v>
      </c>
      <c r="C8046" s="4" t="s">
        <v>7</v>
      </c>
      <c r="D8046" s="4" t="s">
        <v>11</v>
      </c>
      <c r="E8046" s="4" t="s">
        <v>11</v>
      </c>
      <c r="F8046" s="4" t="s">
        <v>15</v>
      </c>
    </row>
    <row r="8047" spans="1:22">
      <c r="A8047" t="n">
        <v>74485</v>
      </c>
      <c r="B8047" s="76" t="n">
        <v>84</v>
      </c>
      <c r="C8047" s="7" t="n">
        <v>0</v>
      </c>
      <c r="D8047" s="7" t="n">
        <v>0</v>
      </c>
      <c r="E8047" s="7" t="n">
        <v>0</v>
      </c>
      <c r="F8047" s="7" t="n">
        <v>1045220557</v>
      </c>
    </row>
    <row r="8048" spans="1:22">
      <c r="A8048" t="s">
        <v>4</v>
      </c>
      <c r="B8048" s="4" t="s">
        <v>5</v>
      </c>
      <c r="C8048" s="4" t="s">
        <v>11</v>
      </c>
      <c r="D8048" s="4" t="s">
        <v>13</v>
      </c>
      <c r="E8048" s="4" t="s">
        <v>13</v>
      </c>
      <c r="F8048" s="4" t="s">
        <v>13</v>
      </c>
      <c r="G8048" s="4" t="s">
        <v>13</v>
      </c>
    </row>
    <row r="8049" spans="1:7">
      <c r="A8049" t="n">
        <v>74495</v>
      </c>
      <c r="B8049" s="36" t="n">
        <v>46</v>
      </c>
      <c r="C8049" s="7" t="n">
        <v>11</v>
      </c>
      <c r="D8049" s="7" t="n">
        <v>7.6100001335144</v>
      </c>
      <c r="E8049" s="7" t="n">
        <v>0</v>
      </c>
      <c r="F8049" s="7" t="n">
        <v>46.0200004577637</v>
      </c>
      <c r="G8049" s="7" t="n">
        <v>272.200012207031</v>
      </c>
    </row>
    <row r="8050" spans="1:7">
      <c r="A8050" t="s">
        <v>4</v>
      </c>
      <c r="B8050" s="4" t="s">
        <v>5</v>
      </c>
      <c r="C8050" s="4" t="s">
        <v>11</v>
      </c>
      <c r="D8050" s="4" t="s">
        <v>13</v>
      </c>
      <c r="E8050" s="4" t="s">
        <v>13</v>
      </c>
      <c r="F8050" s="4" t="s">
        <v>13</v>
      </c>
      <c r="G8050" s="4" t="s">
        <v>13</v>
      </c>
    </row>
    <row r="8051" spans="1:7">
      <c r="A8051" t="n">
        <v>74514</v>
      </c>
      <c r="B8051" s="36" t="n">
        <v>46</v>
      </c>
      <c r="C8051" s="7" t="n">
        <v>0</v>
      </c>
      <c r="D8051" s="7" t="n">
        <v>4.78000020980835</v>
      </c>
      <c r="E8051" s="7" t="n">
        <v>0</v>
      </c>
      <c r="F8051" s="7" t="n">
        <v>45.3300018310547</v>
      </c>
      <c r="G8051" s="7" t="n">
        <v>-102.300003051758</v>
      </c>
    </row>
    <row r="8052" spans="1:7">
      <c r="A8052" t="s">
        <v>4</v>
      </c>
      <c r="B8052" s="4" t="s">
        <v>5</v>
      </c>
      <c r="C8052" s="4" t="s">
        <v>11</v>
      </c>
      <c r="D8052" s="4" t="s">
        <v>7</v>
      </c>
      <c r="E8052" s="4" t="s">
        <v>8</v>
      </c>
      <c r="F8052" s="4" t="s">
        <v>13</v>
      </c>
      <c r="G8052" s="4" t="s">
        <v>13</v>
      </c>
      <c r="H8052" s="4" t="s">
        <v>13</v>
      </c>
    </row>
    <row r="8053" spans="1:7">
      <c r="A8053" t="n">
        <v>74533</v>
      </c>
      <c r="B8053" s="42" t="n">
        <v>48</v>
      </c>
      <c r="C8053" s="7" t="n">
        <v>0</v>
      </c>
      <c r="D8053" s="7" t="n">
        <v>0</v>
      </c>
      <c r="E8053" s="7" t="s">
        <v>275</v>
      </c>
      <c r="F8053" s="7" t="n">
        <v>0</v>
      </c>
      <c r="G8053" s="7" t="n">
        <v>1</v>
      </c>
      <c r="H8053" s="7" t="n">
        <v>0</v>
      </c>
    </row>
    <row r="8054" spans="1:7">
      <c r="A8054" t="s">
        <v>4</v>
      </c>
      <c r="B8054" s="4" t="s">
        <v>5</v>
      </c>
      <c r="C8054" s="4" t="s">
        <v>7</v>
      </c>
      <c r="D8054" s="4" t="s">
        <v>11</v>
      </c>
      <c r="E8054" s="4" t="s">
        <v>8</v>
      </c>
      <c r="F8054" s="4" t="s">
        <v>8</v>
      </c>
      <c r="G8054" s="4" t="s">
        <v>8</v>
      </c>
      <c r="H8054" s="4" t="s">
        <v>8</v>
      </c>
    </row>
    <row r="8055" spans="1:7">
      <c r="A8055" t="n">
        <v>74558</v>
      </c>
      <c r="B8055" s="38" t="n">
        <v>51</v>
      </c>
      <c r="C8055" s="7" t="n">
        <v>3</v>
      </c>
      <c r="D8055" s="7" t="n">
        <v>0</v>
      </c>
      <c r="E8055" s="7" t="s">
        <v>101</v>
      </c>
      <c r="F8055" s="7" t="s">
        <v>99</v>
      </c>
      <c r="G8055" s="7" t="s">
        <v>78</v>
      </c>
      <c r="H8055" s="7" t="s">
        <v>79</v>
      </c>
    </row>
    <row r="8056" spans="1:7">
      <c r="A8056" t="s">
        <v>4</v>
      </c>
      <c r="B8056" s="4" t="s">
        <v>5</v>
      </c>
      <c r="C8056" s="4" t="s">
        <v>7</v>
      </c>
      <c r="D8056" s="4" t="s">
        <v>11</v>
      </c>
      <c r="E8056" s="4" t="s">
        <v>8</v>
      </c>
      <c r="F8056" s="4" t="s">
        <v>8</v>
      </c>
      <c r="G8056" s="4" t="s">
        <v>8</v>
      </c>
      <c r="H8056" s="4" t="s">
        <v>8</v>
      </c>
    </row>
    <row r="8057" spans="1:7">
      <c r="A8057" t="n">
        <v>74579</v>
      </c>
      <c r="B8057" s="38" t="n">
        <v>51</v>
      </c>
      <c r="C8057" s="7" t="n">
        <v>3</v>
      </c>
      <c r="D8057" s="7" t="n">
        <v>11</v>
      </c>
      <c r="E8057" s="7" t="s">
        <v>101</v>
      </c>
      <c r="F8057" s="7" t="s">
        <v>232</v>
      </c>
      <c r="G8057" s="7" t="s">
        <v>78</v>
      </c>
      <c r="H8057" s="7" t="s">
        <v>79</v>
      </c>
    </row>
    <row r="8058" spans="1:7">
      <c r="A8058" t="s">
        <v>4</v>
      </c>
      <c r="B8058" s="4" t="s">
        <v>5</v>
      </c>
      <c r="C8058" s="4" t="s">
        <v>7</v>
      </c>
      <c r="D8058" s="4" t="s">
        <v>11</v>
      </c>
      <c r="E8058" s="4" t="s">
        <v>7</v>
      </c>
      <c r="F8058" s="4" t="s">
        <v>8</v>
      </c>
      <c r="G8058" s="4" t="s">
        <v>8</v>
      </c>
      <c r="H8058" s="4" t="s">
        <v>8</v>
      </c>
      <c r="I8058" s="4" t="s">
        <v>8</v>
      </c>
      <c r="J8058" s="4" t="s">
        <v>8</v>
      </c>
      <c r="K8058" s="4" t="s">
        <v>8</v>
      </c>
      <c r="L8058" s="4" t="s">
        <v>8</v>
      </c>
      <c r="M8058" s="4" t="s">
        <v>8</v>
      </c>
      <c r="N8058" s="4" t="s">
        <v>8</v>
      </c>
      <c r="O8058" s="4" t="s">
        <v>8</v>
      </c>
      <c r="P8058" s="4" t="s">
        <v>8</v>
      </c>
      <c r="Q8058" s="4" t="s">
        <v>8</v>
      </c>
      <c r="R8058" s="4" t="s">
        <v>8</v>
      </c>
      <c r="S8058" s="4" t="s">
        <v>8</v>
      </c>
      <c r="T8058" s="4" t="s">
        <v>8</v>
      </c>
      <c r="U8058" s="4" t="s">
        <v>8</v>
      </c>
    </row>
    <row r="8059" spans="1:7">
      <c r="A8059" t="n">
        <v>74600</v>
      </c>
      <c r="B8059" s="40" t="n">
        <v>36</v>
      </c>
      <c r="C8059" s="7" t="n">
        <v>8</v>
      </c>
      <c r="D8059" s="7" t="n">
        <v>0</v>
      </c>
      <c r="E8059" s="7" t="n">
        <v>0</v>
      </c>
      <c r="F8059" s="7" t="s">
        <v>700</v>
      </c>
      <c r="G8059" s="7" t="s">
        <v>701</v>
      </c>
      <c r="H8059" s="7" t="s">
        <v>16</v>
      </c>
      <c r="I8059" s="7" t="s">
        <v>16</v>
      </c>
      <c r="J8059" s="7" t="s">
        <v>16</v>
      </c>
      <c r="K8059" s="7" t="s">
        <v>16</v>
      </c>
      <c r="L8059" s="7" t="s">
        <v>16</v>
      </c>
      <c r="M8059" s="7" t="s">
        <v>16</v>
      </c>
      <c r="N8059" s="7" t="s">
        <v>16</v>
      </c>
      <c r="O8059" s="7" t="s">
        <v>16</v>
      </c>
      <c r="P8059" s="7" t="s">
        <v>16</v>
      </c>
      <c r="Q8059" s="7" t="s">
        <v>16</v>
      </c>
      <c r="R8059" s="7" t="s">
        <v>16</v>
      </c>
      <c r="S8059" s="7" t="s">
        <v>16</v>
      </c>
      <c r="T8059" s="7" t="s">
        <v>16</v>
      </c>
      <c r="U8059" s="7" t="s">
        <v>16</v>
      </c>
    </row>
    <row r="8060" spans="1:7">
      <c r="A8060" t="s">
        <v>4</v>
      </c>
      <c r="B8060" s="4" t="s">
        <v>5</v>
      </c>
      <c r="C8060" s="4" t="s">
        <v>7</v>
      </c>
      <c r="D8060" s="4" t="s">
        <v>11</v>
      </c>
      <c r="E8060" s="4" t="s">
        <v>7</v>
      </c>
      <c r="F8060" s="4" t="s">
        <v>8</v>
      </c>
      <c r="G8060" s="4" t="s">
        <v>8</v>
      </c>
      <c r="H8060" s="4" t="s">
        <v>8</v>
      </c>
      <c r="I8060" s="4" t="s">
        <v>8</v>
      </c>
      <c r="J8060" s="4" t="s">
        <v>8</v>
      </c>
      <c r="K8060" s="4" t="s">
        <v>8</v>
      </c>
      <c r="L8060" s="4" t="s">
        <v>8</v>
      </c>
      <c r="M8060" s="4" t="s">
        <v>8</v>
      </c>
      <c r="N8060" s="4" t="s">
        <v>8</v>
      </c>
      <c r="O8060" s="4" t="s">
        <v>8</v>
      </c>
      <c r="P8060" s="4" t="s">
        <v>8</v>
      </c>
      <c r="Q8060" s="4" t="s">
        <v>8</v>
      </c>
      <c r="R8060" s="4" t="s">
        <v>8</v>
      </c>
      <c r="S8060" s="4" t="s">
        <v>8</v>
      </c>
      <c r="T8060" s="4" t="s">
        <v>8</v>
      </c>
      <c r="U8060" s="4" t="s">
        <v>8</v>
      </c>
    </row>
    <row r="8061" spans="1:7">
      <c r="A8061" t="n">
        <v>74643</v>
      </c>
      <c r="B8061" s="40" t="n">
        <v>36</v>
      </c>
      <c r="C8061" s="7" t="n">
        <v>8</v>
      </c>
      <c r="D8061" s="7" t="n">
        <v>11</v>
      </c>
      <c r="E8061" s="7" t="n">
        <v>0</v>
      </c>
      <c r="F8061" s="7" t="s">
        <v>702</v>
      </c>
      <c r="G8061" s="7" t="s">
        <v>700</v>
      </c>
      <c r="H8061" s="7" t="s">
        <v>703</v>
      </c>
      <c r="I8061" s="7" t="s">
        <v>230</v>
      </c>
      <c r="J8061" s="7" t="s">
        <v>391</v>
      </c>
      <c r="K8061" s="7" t="s">
        <v>16</v>
      </c>
      <c r="L8061" s="7" t="s">
        <v>16</v>
      </c>
      <c r="M8061" s="7" t="s">
        <v>16</v>
      </c>
      <c r="N8061" s="7" t="s">
        <v>16</v>
      </c>
      <c r="O8061" s="7" t="s">
        <v>16</v>
      </c>
      <c r="P8061" s="7" t="s">
        <v>16</v>
      </c>
      <c r="Q8061" s="7" t="s">
        <v>16</v>
      </c>
      <c r="R8061" s="7" t="s">
        <v>16</v>
      </c>
      <c r="S8061" s="7" t="s">
        <v>16</v>
      </c>
      <c r="T8061" s="7" t="s">
        <v>16</v>
      </c>
      <c r="U8061" s="7" t="s">
        <v>16</v>
      </c>
    </row>
    <row r="8062" spans="1:7">
      <c r="A8062" t="s">
        <v>4</v>
      </c>
      <c r="B8062" s="4" t="s">
        <v>5</v>
      </c>
      <c r="C8062" s="4" t="s">
        <v>7</v>
      </c>
      <c r="D8062" s="4" t="s">
        <v>7</v>
      </c>
      <c r="E8062" s="4" t="s">
        <v>13</v>
      </c>
      <c r="F8062" s="4" t="s">
        <v>13</v>
      </c>
      <c r="G8062" s="4" t="s">
        <v>13</v>
      </c>
      <c r="H8062" s="4" t="s">
        <v>11</v>
      </c>
    </row>
    <row r="8063" spans="1:7">
      <c r="A8063" t="n">
        <v>74720</v>
      </c>
      <c r="B8063" s="51" t="n">
        <v>45</v>
      </c>
      <c r="C8063" s="7" t="n">
        <v>2</v>
      </c>
      <c r="D8063" s="7" t="n">
        <v>3</v>
      </c>
      <c r="E8063" s="7" t="n">
        <v>-3</v>
      </c>
      <c r="F8063" s="7" t="n">
        <v>2.89000010490417</v>
      </c>
      <c r="G8063" s="7" t="n">
        <v>41.3699989318848</v>
      </c>
      <c r="H8063" s="7" t="n">
        <v>0</v>
      </c>
    </row>
    <row r="8064" spans="1:7">
      <c r="A8064" t="s">
        <v>4</v>
      </c>
      <c r="B8064" s="4" t="s">
        <v>5</v>
      </c>
      <c r="C8064" s="4" t="s">
        <v>7</v>
      </c>
      <c r="D8064" s="4" t="s">
        <v>7</v>
      </c>
      <c r="E8064" s="4" t="s">
        <v>13</v>
      </c>
      <c r="F8064" s="4" t="s">
        <v>13</v>
      </c>
      <c r="G8064" s="4" t="s">
        <v>13</v>
      </c>
      <c r="H8064" s="4" t="s">
        <v>11</v>
      </c>
      <c r="I8064" s="4" t="s">
        <v>7</v>
      </c>
    </row>
    <row r="8065" spans="1:21">
      <c r="A8065" t="n">
        <v>74737</v>
      </c>
      <c r="B8065" s="51" t="n">
        <v>45</v>
      </c>
      <c r="C8065" s="7" t="n">
        <v>4</v>
      </c>
      <c r="D8065" s="7" t="n">
        <v>3</v>
      </c>
      <c r="E8065" s="7" t="n">
        <v>0.649999976158142</v>
      </c>
      <c r="F8065" s="7" t="n">
        <v>105.529998779297</v>
      </c>
      <c r="G8065" s="7" t="n">
        <v>0</v>
      </c>
      <c r="H8065" s="7" t="n">
        <v>0</v>
      </c>
      <c r="I8065" s="7" t="n">
        <v>0</v>
      </c>
    </row>
    <row r="8066" spans="1:21">
      <c r="A8066" t="s">
        <v>4</v>
      </c>
      <c r="B8066" s="4" t="s">
        <v>5</v>
      </c>
      <c r="C8066" s="4" t="s">
        <v>7</v>
      </c>
      <c r="D8066" s="4" t="s">
        <v>7</v>
      </c>
      <c r="E8066" s="4" t="s">
        <v>13</v>
      </c>
      <c r="F8066" s="4" t="s">
        <v>11</v>
      </c>
    </row>
    <row r="8067" spans="1:21">
      <c r="A8067" t="n">
        <v>74755</v>
      </c>
      <c r="B8067" s="51" t="n">
        <v>45</v>
      </c>
      <c r="C8067" s="7" t="n">
        <v>5</v>
      </c>
      <c r="D8067" s="7" t="n">
        <v>3</v>
      </c>
      <c r="E8067" s="7" t="n">
        <v>2.40000009536743</v>
      </c>
      <c r="F8067" s="7" t="n">
        <v>0</v>
      </c>
    </row>
    <row r="8068" spans="1:21">
      <c r="A8068" t="s">
        <v>4</v>
      </c>
      <c r="B8068" s="4" t="s">
        <v>5</v>
      </c>
      <c r="C8068" s="4" t="s">
        <v>7</v>
      </c>
      <c r="D8068" s="4" t="s">
        <v>7</v>
      </c>
      <c r="E8068" s="4" t="s">
        <v>13</v>
      </c>
      <c r="F8068" s="4" t="s">
        <v>11</v>
      </c>
    </row>
    <row r="8069" spans="1:21">
      <c r="A8069" t="n">
        <v>74764</v>
      </c>
      <c r="B8069" s="51" t="n">
        <v>45</v>
      </c>
      <c r="C8069" s="7" t="n">
        <v>11</v>
      </c>
      <c r="D8069" s="7" t="n">
        <v>3</v>
      </c>
      <c r="E8069" s="7" t="n">
        <v>33.4000015258789</v>
      </c>
      <c r="F8069" s="7" t="n">
        <v>0</v>
      </c>
    </row>
    <row r="8070" spans="1:21">
      <c r="A8070" t="s">
        <v>4</v>
      </c>
      <c r="B8070" s="4" t="s">
        <v>5</v>
      </c>
      <c r="C8070" s="4" t="s">
        <v>11</v>
      </c>
      <c r="D8070" s="4" t="s">
        <v>13</v>
      </c>
      <c r="E8070" s="4" t="s">
        <v>13</v>
      </c>
      <c r="F8070" s="4" t="s">
        <v>13</v>
      </c>
      <c r="G8070" s="4" t="s">
        <v>11</v>
      </c>
      <c r="H8070" s="4" t="s">
        <v>11</v>
      </c>
    </row>
    <row r="8071" spans="1:21">
      <c r="A8071" t="n">
        <v>74773</v>
      </c>
      <c r="B8071" s="37" t="n">
        <v>60</v>
      </c>
      <c r="C8071" s="7" t="n">
        <v>0</v>
      </c>
      <c r="D8071" s="7" t="n">
        <v>0</v>
      </c>
      <c r="E8071" s="7" t="n">
        <v>20</v>
      </c>
      <c r="F8071" s="7" t="n">
        <v>0</v>
      </c>
      <c r="G8071" s="7" t="n">
        <v>0</v>
      </c>
      <c r="H8071" s="7" t="n">
        <v>0</v>
      </c>
    </row>
    <row r="8072" spans="1:21">
      <c r="A8072" t="s">
        <v>4</v>
      </c>
      <c r="B8072" s="4" t="s">
        <v>5</v>
      </c>
      <c r="C8072" s="4" t="s">
        <v>7</v>
      </c>
      <c r="D8072" s="4" t="s">
        <v>7</v>
      </c>
      <c r="E8072" s="4" t="s">
        <v>7</v>
      </c>
      <c r="F8072" s="4" t="s">
        <v>13</v>
      </c>
      <c r="G8072" s="4" t="s">
        <v>13</v>
      </c>
      <c r="H8072" s="4" t="s">
        <v>13</v>
      </c>
      <c r="I8072" s="4" t="s">
        <v>13</v>
      </c>
      <c r="J8072" s="4" t="s">
        <v>13</v>
      </c>
    </row>
    <row r="8073" spans="1:21">
      <c r="A8073" t="n">
        <v>74792</v>
      </c>
      <c r="B8073" s="25" t="n">
        <v>76</v>
      </c>
      <c r="C8073" s="7" t="n">
        <v>0</v>
      </c>
      <c r="D8073" s="7" t="n">
        <v>3</v>
      </c>
      <c r="E8073" s="7" t="n">
        <v>2</v>
      </c>
      <c r="F8073" s="7" t="n">
        <v>1</v>
      </c>
      <c r="G8073" s="7" t="n">
        <v>1</v>
      </c>
      <c r="H8073" s="7" t="n">
        <v>1</v>
      </c>
      <c r="I8073" s="7" t="n">
        <v>1</v>
      </c>
      <c r="J8073" s="7" t="n">
        <v>2000</v>
      </c>
    </row>
    <row r="8074" spans="1:21">
      <c r="A8074" t="s">
        <v>4</v>
      </c>
      <c r="B8074" s="4" t="s">
        <v>5</v>
      </c>
      <c r="C8074" s="4" t="s">
        <v>7</v>
      </c>
      <c r="D8074" s="4" t="s">
        <v>7</v>
      </c>
      <c r="E8074" s="4" t="s">
        <v>7</v>
      </c>
      <c r="F8074" s="4" t="s">
        <v>13</v>
      </c>
      <c r="G8074" s="4" t="s">
        <v>13</v>
      </c>
      <c r="H8074" s="4" t="s">
        <v>13</v>
      </c>
      <c r="I8074" s="4" t="s">
        <v>13</v>
      </c>
      <c r="J8074" s="4" t="s">
        <v>13</v>
      </c>
    </row>
    <row r="8075" spans="1:21">
      <c r="A8075" t="n">
        <v>74816</v>
      </c>
      <c r="B8075" s="25" t="n">
        <v>76</v>
      </c>
      <c r="C8075" s="7" t="n">
        <v>0</v>
      </c>
      <c r="D8075" s="7" t="n">
        <v>0</v>
      </c>
      <c r="E8075" s="7" t="n">
        <v>2</v>
      </c>
      <c r="F8075" s="7" t="n">
        <v>64</v>
      </c>
      <c r="G8075" s="7" t="n">
        <v>0</v>
      </c>
      <c r="H8075" s="7" t="n">
        <v>2000</v>
      </c>
      <c r="I8075" s="7" t="n">
        <v>0</v>
      </c>
      <c r="J8075" s="7" t="n">
        <v>0</v>
      </c>
    </row>
    <row r="8076" spans="1:21">
      <c r="A8076" t="s">
        <v>4</v>
      </c>
      <c r="B8076" s="4" t="s">
        <v>5</v>
      </c>
      <c r="C8076" s="4" t="s">
        <v>7</v>
      </c>
      <c r="D8076" s="4" t="s">
        <v>7</v>
      </c>
    </row>
    <row r="8077" spans="1:21">
      <c r="A8077" t="n">
        <v>74840</v>
      </c>
      <c r="B8077" s="26" t="n">
        <v>77</v>
      </c>
      <c r="C8077" s="7" t="n">
        <v>0</v>
      </c>
      <c r="D8077" s="7" t="n">
        <v>3</v>
      </c>
    </row>
    <row r="8078" spans="1:21">
      <c r="A8078" t="s">
        <v>4</v>
      </c>
      <c r="B8078" s="4" t="s">
        <v>5</v>
      </c>
      <c r="C8078" s="4" t="s">
        <v>7</v>
      </c>
      <c r="D8078" s="4" t="s">
        <v>7</v>
      </c>
    </row>
    <row r="8079" spans="1:21">
      <c r="A8079" t="n">
        <v>74843</v>
      </c>
      <c r="B8079" s="26" t="n">
        <v>77</v>
      </c>
      <c r="C8079" s="7" t="n">
        <v>0</v>
      </c>
      <c r="D8079" s="7" t="n">
        <v>0</v>
      </c>
    </row>
    <row r="8080" spans="1:21">
      <c r="A8080" t="s">
        <v>4</v>
      </c>
      <c r="B8080" s="4" t="s">
        <v>5</v>
      </c>
      <c r="C8080" s="4" t="s">
        <v>11</v>
      </c>
    </row>
    <row r="8081" spans="1:10">
      <c r="A8081" t="n">
        <v>74846</v>
      </c>
      <c r="B8081" s="29" t="n">
        <v>16</v>
      </c>
      <c r="C8081" s="7" t="n">
        <v>2000</v>
      </c>
    </row>
    <row r="8082" spans="1:10">
      <c r="A8082" t="s">
        <v>4</v>
      </c>
      <c r="B8082" s="4" t="s">
        <v>5</v>
      </c>
      <c r="C8082" s="4" t="s">
        <v>7</v>
      </c>
      <c r="D8082" s="4" t="s">
        <v>11</v>
      </c>
      <c r="E8082" s="4" t="s">
        <v>15</v>
      </c>
      <c r="F8082" s="4" t="s">
        <v>11</v>
      </c>
      <c r="G8082" s="4" t="s">
        <v>15</v>
      </c>
      <c r="H8082" s="4" t="s">
        <v>7</v>
      </c>
    </row>
    <row r="8083" spans="1:10">
      <c r="A8083" t="n">
        <v>74849</v>
      </c>
      <c r="B8083" s="13" t="n">
        <v>49</v>
      </c>
      <c r="C8083" s="7" t="n">
        <v>0</v>
      </c>
      <c r="D8083" s="7" t="n">
        <v>514</v>
      </c>
      <c r="E8083" s="7" t="n">
        <v>1065353216</v>
      </c>
      <c r="F8083" s="7" t="n">
        <v>0</v>
      </c>
      <c r="G8083" s="7" t="n">
        <v>0</v>
      </c>
      <c r="H8083" s="7" t="n">
        <v>0</v>
      </c>
    </row>
    <row r="8084" spans="1:10">
      <c r="A8084" t="s">
        <v>4</v>
      </c>
      <c r="B8084" s="4" t="s">
        <v>5</v>
      </c>
      <c r="C8084" s="4" t="s">
        <v>7</v>
      </c>
      <c r="D8084" s="4" t="s">
        <v>7</v>
      </c>
      <c r="E8084" s="4" t="s">
        <v>7</v>
      </c>
      <c r="F8084" s="4" t="s">
        <v>13</v>
      </c>
      <c r="G8084" s="4" t="s">
        <v>13</v>
      </c>
      <c r="H8084" s="4" t="s">
        <v>13</v>
      </c>
      <c r="I8084" s="4" t="s">
        <v>13</v>
      </c>
      <c r="J8084" s="4" t="s">
        <v>13</v>
      </c>
    </row>
    <row r="8085" spans="1:10">
      <c r="A8085" t="n">
        <v>74864</v>
      </c>
      <c r="B8085" s="25" t="n">
        <v>76</v>
      </c>
      <c r="C8085" s="7" t="n">
        <v>0</v>
      </c>
      <c r="D8085" s="7" t="n">
        <v>3</v>
      </c>
      <c r="E8085" s="7" t="n">
        <v>1</v>
      </c>
      <c r="F8085" s="7" t="n">
        <v>1</v>
      </c>
      <c r="G8085" s="7" t="n">
        <v>1</v>
      </c>
      <c r="H8085" s="7" t="n">
        <v>1</v>
      </c>
      <c r="I8085" s="7" t="n">
        <v>0</v>
      </c>
      <c r="J8085" s="7" t="n">
        <v>2000</v>
      </c>
    </row>
    <row r="8086" spans="1:10">
      <c r="A8086" t="s">
        <v>4</v>
      </c>
      <c r="B8086" s="4" t="s">
        <v>5</v>
      </c>
      <c r="C8086" s="4" t="s">
        <v>7</v>
      </c>
      <c r="D8086" s="4" t="s">
        <v>7</v>
      </c>
      <c r="E8086" s="4" t="s">
        <v>7</v>
      </c>
      <c r="F8086" s="4" t="s">
        <v>13</v>
      </c>
      <c r="G8086" s="4" t="s">
        <v>13</v>
      </c>
      <c r="H8086" s="4" t="s">
        <v>13</v>
      </c>
      <c r="I8086" s="4" t="s">
        <v>13</v>
      </c>
      <c r="J8086" s="4" t="s">
        <v>13</v>
      </c>
    </row>
    <row r="8087" spans="1:10">
      <c r="A8087" t="n">
        <v>74888</v>
      </c>
      <c r="B8087" s="25" t="n">
        <v>76</v>
      </c>
      <c r="C8087" s="7" t="n">
        <v>0</v>
      </c>
      <c r="D8087" s="7" t="n">
        <v>0</v>
      </c>
      <c r="E8087" s="7" t="n">
        <v>1</v>
      </c>
      <c r="F8087" s="7" t="n">
        <v>128</v>
      </c>
      <c r="G8087" s="7" t="n">
        <v>0</v>
      </c>
      <c r="H8087" s="7" t="n">
        <v>2000</v>
      </c>
      <c r="I8087" s="7" t="n">
        <v>0</v>
      </c>
      <c r="J8087" s="7" t="n">
        <v>0</v>
      </c>
    </row>
    <row r="8088" spans="1:10">
      <c r="A8088" t="s">
        <v>4</v>
      </c>
      <c r="B8088" s="4" t="s">
        <v>5</v>
      </c>
      <c r="C8088" s="4" t="s">
        <v>7</v>
      </c>
      <c r="D8088" s="4" t="s">
        <v>7</v>
      </c>
    </row>
    <row r="8089" spans="1:10">
      <c r="A8089" t="n">
        <v>74912</v>
      </c>
      <c r="B8089" s="26" t="n">
        <v>77</v>
      </c>
      <c r="C8089" s="7" t="n">
        <v>0</v>
      </c>
      <c r="D8089" s="7" t="n">
        <v>3</v>
      </c>
    </row>
    <row r="8090" spans="1:10">
      <c r="A8090" t="s">
        <v>4</v>
      </c>
      <c r="B8090" s="4" t="s">
        <v>5</v>
      </c>
      <c r="C8090" s="4" t="s">
        <v>7</v>
      </c>
      <c r="D8090" s="4" t="s">
        <v>7</v>
      </c>
    </row>
    <row r="8091" spans="1:10">
      <c r="A8091" t="n">
        <v>74915</v>
      </c>
      <c r="B8091" s="26" t="n">
        <v>77</v>
      </c>
      <c r="C8091" s="7" t="n">
        <v>0</v>
      </c>
      <c r="D8091" s="7" t="n">
        <v>0</v>
      </c>
    </row>
    <row r="8092" spans="1:10">
      <c r="A8092" t="s">
        <v>4</v>
      </c>
      <c r="B8092" s="4" t="s">
        <v>5</v>
      </c>
      <c r="C8092" s="4" t="s">
        <v>7</v>
      </c>
      <c r="D8092" s="4" t="s">
        <v>7</v>
      </c>
      <c r="E8092" s="4" t="s">
        <v>13</v>
      </c>
      <c r="F8092" s="4" t="s">
        <v>13</v>
      </c>
      <c r="G8092" s="4" t="s">
        <v>13</v>
      </c>
      <c r="H8092" s="4" t="s">
        <v>11</v>
      </c>
    </row>
    <row r="8093" spans="1:10">
      <c r="A8093" t="n">
        <v>74918</v>
      </c>
      <c r="B8093" s="51" t="n">
        <v>45</v>
      </c>
      <c r="C8093" s="7" t="n">
        <v>2</v>
      </c>
      <c r="D8093" s="7" t="n">
        <v>3</v>
      </c>
      <c r="E8093" s="7" t="n">
        <v>5.23999977111816</v>
      </c>
      <c r="F8093" s="7" t="n">
        <v>2.15000009536743</v>
      </c>
      <c r="G8093" s="7" t="n">
        <v>43.8600006103516</v>
      </c>
      <c r="H8093" s="7" t="n">
        <v>8000</v>
      </c>
    </row>
    <row r="8094" spans="1:10">
      <c r="A8094" t="s">
        <v>4</v>
      </c>
      <c r="B8094" s="4" t="s">
        <v>5</v>
      </c>
      <c r="C8094" s="4" t="s">
        <v>7</v>
      </c>
      <c r="D8094" s="4" t="s">
        <v>7</v>
      </c>
      <c r="E8094" s="4" t="s">
        <v>13</v>
      </c>
      <c r="F8094" s="4" t="s">
        <v>13</v>
      </c>
      <c r="G8094" s="4" t="s">
        <v>13</v>
      </c>
      <c r="H8094" s="4" t="s">
        <v>11</v>
      </c>
      <c r="I8094" s="4" t="s">
        <v>7</v>
      </c>
    </row>
    <row r="8095" spans="1:10">
      <c r="A8095" t="n">
        <v>74935</v>
      </c>
      <c r="B8095" s="51" t="n">
        <v>45</v>
      </c>
      <c r="C8095" s="7" t="n">
        <v>4</v>
      </c>
      <c r="D8095" s="7" t="n">
        <v>3</v>
      </c>
      <c r="E8095" s="7" t="n">
        <v>12.4799995422363</v>
      </c>
      <c r="F8095" s="7" t="n">
        <v>144.25</v>
      </c>
      <c r="G8095" s="7" t="n">
        <v>0</v>
      </c>
      <c r="H8095" s="7" t="n">
        <v>8000</v>
      </c>
      <c r="I8095" s="7" t="n">
        <v>0</v>
      </c>
    </row>
    <row r="8096" spans="1:10">
      <c r="A8096" t="s">
        <v>4</v>
      </c>
      <c r="B8096" s="4" t="s">
        <v>5</v>
      </c>
      <c r="C8096" s="4" t="s">
        <v>7</v>
      </c>
      <c r="D8096" s="4" t="s">
        <v>7</v>
      </c>
      <c r="E8096" s="4" t="s">
        <v>13</v>
      </c>
      <c r="F8096" s="4" t="s">
        <v>11</v>
      </c>
    </row>
    <row r="8097" spans="1:10">
      <c r="A8097" t="n">
        <v>74953</v>
      </c>
      <c r="B8097" s="51" t="n">
        <v>45</v>
      </c>
      <c r="C8097" s="7" t="n">
        <v>5</v>
      </c>
      <c r="D8097" s="7" t="n">
        <v>3</v>
      </c>
      <c r="E8097" s="7" t="n">
        <v>2.40000009536743</v>
      </c>
      <c r="F8097" s="7" t="n">
        <v>8000</v>
      </c>
    </row>
    <row r="8098" spans="1:10">
      <c r="A8098" t="s">
        <v>4</v>
      </c>
      <c r="B8098" s="4" t="s">
        <v>5</v>
      </c>
      <c r="C8098" s="4" t="s">
        <v>7</v>
      </c>
      <c r="D8098" s="4" t="s">
        <v>7</v>
      </c>
      <c r="E8098" s="4" t="s">
        <v>13</v>
      </c>
      <c r="F8098" s="4" t="s">
        <v>11</v>
      </c>
    </row>
    <row r="8099" spans="1:10">
      <c r="A8099" t="n">
        <v>74962</v>
      </c>
      <c r="B8099" s="51" t="n">
        <v>45</v>
      </c>
      <c r="C8099" s="7" t="n">
        <v>11</v>
      </c>
      <c r="D8099" s="7" t="n">
        <v>3</v>
      </c>
      <c r="E8099" s="7" t="n">
        <v>33.4000015258789</v>
      </c>
      <c r="F8099" s="7" t="n">
        <v>8000</v>
      </c>
    </row>
    <row r="8100" spans="1:10">
      <c r="A8100" t="s">
        <v>4</v>
      </c>
      <c r="B8100" s="4" t="s">
        <v>5</v>
      </c>
      <c r="C8100" s="4" t="s">
        <v>7</v>
      </c>
      <c r="D8100" s="4" t="s">
        <v>11</v>
      </c>
      <c r="E8100" s="4" t="s">
        <v>13</v>
      </c>
    </row>
    <row r="8101" spans="1:10">
      <c r="A8101" t="n">
        <v>74971</v>
      </c>
      <c r="B8101" s="23" t="n">
        <v>58</v>
      </c>
      <c r="C8101" s="7" t="n">
        <v>100</v>
      </c>
      <c r="D8101" s="7" t="n">
        <v>1000</v>
      </c>
      <c r="E8101" s="7" t="n">
        <v>1</v>
      </c>
    </row>
    <row r="8102" spans="1:10">
      <c r="A8102" t="s">
        <v>4</v>
      </c>
      <c r="B8102" s="4" t="s">
        <v>5</v>
      </c>
      <c r="C8102" s="4" t="s">
        <v>7</v>
      </c>
      <c r="D8102" s="4" t="s">
        <v>11</v>
      </c>
    </row>
    <row r="8103" spans="1:10">
      <c r="A8103" t="n">
        <v>74979</v>
      </c>
      <c r="B8103" s="23" t="n">
        <v>58</v>
      </c>
      <c r="C8103" s="7" t="n">
        <v>255</v>
      </c>
      <c r="D8103" s="7" t="n">
        <v>0</v>
      </c>
    </row>
    <row r="8104" spans="1:10">
      <c r="A8104" t="s">
        <v>4</v>
      </c>
      <c r="B8104" s="4" t="s">
        <v>5</v>
      </c>
      <c r="C8104" s="4" t="s">
        <v>7</v>
      </c>
      <c r="D8104" s="4" t="s">
        <v>11</v>
      </c>
    </row>
    <row r="8105" spans="1:10">
      <c r="A8105" t="n">
        <v>74983</v>
      </c>
      <c r="B8105" s="51" t="n">
        <v>45</v>
      </c>
      <c r="C8105" s="7" t="n">
        <v>7</v>
      </c>
      <c r="D8105" s="7" t="n">
        <v>255</v>
      </c>
    </row>
    <row r="8106" spans="1:10">
      <c r="A8106" t="s">
        <v>4</v>
      </c>
      <c r="B8106" s="4" t="s">
        <v>5</v>
      </c>
      <c r="C8106" s="4" t="s">
        <v>7</v>
      </c>
      <c r="D8106" s="4" t="s">
        <v>11</v>
      </c>
      <c r="E8106" s="4" t="s">
        <v>13</v>
      </c>
    </row>
    <row r="8107" spans="1:10">
      <c r="A8107" t="n">
        <v>74987</v>
      </c>
      <c r="B8107" s="23" t="n">
        <v>58</v>
      </c>
      <c r="C8107" s="7" t="n">
        <v>101</v>
      </c>
      <c r="D8107" s="7" t="n">
        <v>800</v>
      </c>
      <c r="E8107" s="7" t="n">
        <v>1</v>
      </c>
    </row>
    <row r="8108" spans="1:10">
      <c r="A8108" t="s">
        <v>4</v>
      </c>
      <c r="B8108" s="4" t="s">
        <v>5</v>
      </c>
      <c r="C8108" s="4" t="s">
        <v>7</v>
      </c>
      <c r="D8108" s="4" t="s">
        <v>11</v>
      </c>
    </row>
    <row r="8109" spans="1:10">
      <c r="A8109" t="n">
        <v>74995</v>
      </c>
      <c r="B8109" s="23" t="n">
        <v>58</v>
      </c>
      <c r="C8109" s="7" t="n">
        <v>254</v>
      </c>
      <c r="D8109" s="7" t="n">
        <v>0</v>
      </c>
    </row>
    <row r="8110" spans="1:10">
      <c r="A8110" t="s">
        <v>4</v>
      </c>
      <c r="B8110" s="4" t="s">
        <v>5</v>
      </c>
      <c r="C8110" s="4" t="s">
        <v>7</v>
      </c>
      <c r="D8110" s="4" t="s">
        <v>7</v>
      </c>
      <c r="E8110" s="4" t="s">
        <v>13</v>
      </c>
      <c r="F8110" s="4" t="s">
        <v>13</v>
      </c>
      <c r="G8110" s="4" t="s">
        <v>13</v>
      </c>
      <c r="H8110" s="4" t="s">
        <v>11</v>
      </c>
    </row>
    <row r="8111" spans="1:10">
      <c r="A8111" t="n">
        <v>74999</v>
      </c>
      <c r="B8111" s="51" t="n">
        <v>45</v>
      </c>
      <c r="C8111" s="7" t="n">
        <v>2</v>
      </c>
      <c r="D8111" s="7" t="n">
        <v>3</v>
      </c>
      <c r="E8111" s="7" t="n">
        <v>4.26999998092651</v>
      </c>
      <c r="F8111" s="7" t="n">
        <v>2.44000005722046</v>
      </c>
      <c r="G8111" s="7" t="n">
        <v>44.1500015258789</v>
      </c>
      <c r="H8111" s="7" t="n">
        <v>0</v>
      </c>
    </row>
    <row r="8112" spans="1:10">
      <c r="A8112" t="s">
        <v>4</v>
      </c>
      <c r="B8112" s="4" t="s">
        <v>5</v>
      </c>
      <c r="C8112" s="4" t="s">
        <v>7</v>
      </c>
      <c r="D8112" s="4" t="s">
        <v>7</v>
      </c>
      <c r="E8112" s="4" t="s">
        <v>13</v>
      </c>
      <c r="F8112" s="4" t="s">
        <v>13</v>
      </c>
      <c r="G8112" s="4" t="s">
        <v>13</v>
      </c>
      <c r="H8112" s="4" t="s">
        <v>11</v>
      </c>
      <c r="I8112" s="4" t="s">
        <v>7</v>
      </c>
    </row>
    <row r="8113" spans="1:9">
      <c r="A8113" t="n">
        <v>75016</v>
      </c>
      <c r="B8113" s="51" t="n">
        <v>45</v>
      </c>
      <c r="C8113" s="7" t="n">
        <v>4</v>
      </c>
      <c r="D8113" s="7" t="n">
        <v>3</v>
      </c>
      <c r="E8113" s="7" t="n">
        <v>357.880004882813</v>
      </c>
      <c r="F8113" s="7" t="n">
        <v>321.779998779297</v>
      </c>
      <c r="G8113" s="7" t="n">
        <v>0</v>
      </c>
      <c r="H8113" s="7" t="n">
        <v>0</v>
      </c>
      <c r="I8113" s="7" t="n">
        <v>0</v>
      </c>
    </row>
    <row r="8114" spans="1:9">
      <c r="A8114" t="s">
        <v>4</v>
      </c>
      <c r="B8114" s="4" t="s">
        <v>5</v>
      </c>
      <c r="C8114" s="4" t="s">
        <v>7</v>
      </c>
      <c r="D8114" s="4" t="s">
        <v>7</v>
      </c>
      <c r="E8114" s="4" t="s">
        <v>13</v>
      </c>
      <c r="F8114" s="4" t="s">
        <v>11</v>
      </c>
    </row>
    <row r="8115" spans="1:9">
      <c r="A8115" t="n">
        <v>75034</v>
      </c>
      <c r="B8115" s="51" t="n">
        <v>45</v>
      </c>
      <c r="C8115" s="7" t="n">
        <v>5</v>
      </c>
      <c r="D8115" s="7" t="n">
        <v>3</v>
      </c>
      <c r="E8115" s="7" t="n">
        <v>2.40000009536743</v>
      </c>
      <c r="F8115" s="7" t="n">
        <v>0</v>
      </c>
    </row>
    <row r="8116" spans="1:9">
      <c r="A8116" t="s">
        <v>4</v>
      </c>
      <c r="B8116" s="4" t="s">
        <v>5</v>
      </c>
      <c r="C8116" s="4" t="s">
        <v>7</v>
      </c>
      <c r="D8116" s="4" t="s">
        <v>7</v>
      </c>
      <c r="E8116" s="4" t="s">
        <v>13</v>
      </c>
      <c r="F8116" s="4" t="s">
        <v>11</v>
      </c>
    </row>
    <row r="8117" spans="1:9">
      <c r="A8117" t="n">
        <v>75043</v>
      </c>
      <c r="B8117" s="51" t="n">
        <v>45</v>
      </c>
      <c r="C8117" s="7" t="n">
        <v>11</v>
      </c>
      <c r="D8117" s="7" t="n">
        <v>3</v>
      </c>
      <c r="E8117" s="7" t="n">
        <v>33.4000015258789</v>
      </c>
      <c r="F8117" s="7" t="n">
        <v>0</v>
      </c>
    </row>
    <row r="8118" spans="1:9">
      <c r="A8118" t="s">
        <v>4</v>
      </c>
      <c r="B8118" s="4" t="s">
        <v>5</v>
      </c>
      <c r="C8118" s="4" t="s">
        <v>7</v>
      </c>
      <c r="D8118" s="4" t="s">
        <v>7</v>
      </c>
      <c r="E8118" s="4" t="s">
        <v>13</v>
      </c>
      <c r="F8118" s="4" t="s">
        <v>13</v>
      </c>
      <c r="G8118" s="4" t="s">
        <v>13</v>
      </c>
      <c r="H8118" s="4" t="s">
        <v>11</v>
      </c>
    </row>
    <row r="8119" spans="1:9">
      <c r="A8119" t="n">
        <v>75052</v>
      </c>
      <c r="B8119" s="51" t="n">
        <v>45</v>
      </c>
      <c r="C8119" s="7" t="n">
        <v>2</v>
      </c>
      <c r="D8119" s="7" t="n">
        <v>3</v>
      </c>
      <c r="E8119" s="7" t="n">
        <v>4.76999998092651</v>
      </c>
      <c r="F8119" s="7" t="n">
        <v>1.45000004768372</v>
      </c>
      <c r="G8119" s="7" t="n">
        <v>45.2599983215332</v>
      </c>
      <c r="H8119" s="7" t="n">
        <v>8000</v>
      </c>
    </row>
    <row r="8120" spans="1:9">
      <c r="A8120" t="s">
        <v>4</v>
      </c>
      <c r="B8120" s="4" t="s">
        <v>5</v>
      </c>
      <c r="C8120" s="4" t="s">
        <v>7</v>
      </c>
      <c r="D8120" s="4" t="s">
        <v>7</v>
      </c>
      <c r="E8120" s="4" t="s">
        <v>13</v>
      </c>
      <c r="F8120" s="4" t="s">
        <v>13</v>
      </c>
      <c r="G8120" s="4" t="s">
        <v>13</v>
      </c>
      <c r="H8120" s="4" t="s">
        <v>11</v>
      </c>
      <c r="I8120" s="4" t="s">
        <v>7</v>
      </c>
    </row>
    <row r="8121" spans="1:9">
      <c r="A8121" t="n">
        <v>75069</v>
      </c>
      <c r="B8121" s="51" t="n">
        <v>45</v>
      </c>
      <c r="C8121" s="7" t="n">
        <v>4</v>
      </c>
      <c r="D8121" s="7" t="n">
        <v>3</v>
      </c>
      <c r="E8121" s="7" t="n">
        <v>358.660003662109</v>
      </c>
      <c r="F8121" s="7" t="n">
        <v>283.079986572266</v>
      </c>
      <c r="G8121" s="7" t="n">
        <v>0</v>
      </c>
      <c r="H8121" s="7" t="n">
        <v>8000</v>
      </c>
      <c r="I8121" s="7" t="n">
        <v>0</v>
      </c>
    </row>
    <row r="8122" spans="1:9">
      <c r="A8122" t="s">
        <v>4</v>
      </c>
      <c r="B8122" s="4" t="s">
        <v>5</v>
      </c>
      <c r="C8122" s="4" t="s">
        <v>7</v>
      </c>
      <c r="D8122" s="4" t="s">
        <v>7</v>
      </c>
      <c r="E8122" s="4" t="s">
        <v>13</v>
      </c>
      <c r="F8122" s="4" t="s">
        <v>11</v>
      </c>
    </row>
    <row r="8123" spans="1:9">
      <c r="A8123" t="n">
        <v>75087</v>
      </c>
      <c r="B8123" s="51" t="n">
        <v>45</v>
      </c>
      <c r="C8123" s="7" t="n">
        <v>5</v>
      </c>
      <c r="D8123" s="7" t="n">
        <v>3</v>
      </c>
      <c r="E8123" s="7" t="n">
        <v>2</v>
      </c>
      <c r="F8123" s="7" t="n">
        <v>8000</v>
      </c>
    </row>
    <row r="8124" spans="1:9">
      <c r="A8124" t="s">
        <v>4</v>
      </c>
      <c r="B8124" s="4" t="s">
        <v>5</v>
      </c>
      <c r="C8124" s="4" t="s">
        <v>7</v>
      </c>
      <c r="D8124" s="4" t="s">
        <v>11</v>
      </c>
    </row>
    <row r="8125" spans="1:9">
      <c r="A8125" t="n">
        <v>75096</v>
      </c>
      <c r="B8125" s="23" t="n">
        <v>58</v>
      </c>
      <c r="C8125" s="7" t="n">
        <v>255</v>
      </c>
      <c r="D8125" s="7" t="n">
        <v>0</v>
      </c>
    </row>
    <row r="8126" spans="1:9">
      <c r="A8126" t="s">
        <v>4</v>
      </c>
      <c r="B8126" s="4" t="s">
        <v>5</v>
      </c>
      <c r="C8126" s="4" t="s">
        <v>7</v>
      </c>
      <c r="D8126" s="4" t="s">
        <v>11</v>
      </c>
    </row>
    <row r="8127" spans="1:9">
      <c r="A8127" t="n">
        <v>75100</v>
      </c>
      <c r="B8127" s="51" t="n">
        <v>45</v>
      </c>
      <c r="C8127" s="7" t="n">
        <v>7</v>
      </c>
      <c r="D8127" s="7" t="n">
        <v>255</v>
      </c>
    </row>
    <row r="8128" spans="1:9">
      <c r="A8128" t="s">
        <v>4</v>
      </c>
      <c r="B8128" s="4" t="s">
        <v>5</v>
      </c>
      <c r="C8128" s="4" t="s">
        <v>7</v>
      </c>
      <c r="D8128" s="4" t="s">
        <v>11</v>
      </c>
      <c r="E8128" s="4" t="s">
        <v>13</v>
      </c>
    </row>
    <row r="8129" spans="1:9">
      <c r="A8129" t="n">
        <v>75104</v>
      </c>
      <c r="B8129" s="23" t="n">
        <v>58</v>
      </c>
      <c r="C8129" s="7" t="n">
        <v>101</v>
      </c>
      <c r="D8129" s="7" t="n">
        <v>800</v>
      </c>
      <c r="E8129" s="7" t="n">
        <v>1</v>
      </c>
    </row>
    <row r="8130" spans="1:9">
      <c r="A8130" t="s">
        <v>4</v>
      </c>
      <c r="B8130" s="4" t="s">
        <v>5</v>
      </c>
      <c r="C8130" s="4" t="s">
        <v>7</v>
      </c>
      <c r="D8130" s="4" t="s">
        <v>11</v>
      </c>
    </row>
    <row r="8131" spans="1:9">
      <c r="A8131" t="n">
        <v>75112</v>
      </c>
      <c r="B8131" s="23" t="n">
        <v>58</v>
      </c>
      <c r="C8131" s="7" t="n">
        <v>254</v>
      </c>
      <c r="D8131" s="7" t="n">
        <v>0</v>
      </c>
    </row>
    <row r="8132" spans="1:9">
      <c r="A8132" t="s">
        <v>4</v>
      </c>
      <c r="B8132" s="4" t="s">
        <v>5</v>
      </c>
      <c r="C8132" s="4" t="s">
        <v>7</v>
      </c>
      <c r="D8132" s="4" t="s">
        <v>7</v>
      </c>
      <c r="E8132" s="4" t="s">
        <v>13</v>
      </c>
      <c r="F8132" s="4" t="s">
        <v>13</v>
      </c>
      <c r="G8132" s="4" t="s">
        <v>13</v>
      </c>
      <c r="H8132" s="4" t="s">
        <v>11</v>
      </c>
    </row>
    <row r="8133" spans="1:9">
      <c r="A8133" t="n">
        <v>75116</v>
      </c>
      <c r="B8133" s="51" t="n">
        <v>45</v>
      </c>
      <c r="C8133" s="7" t="n">
        <v>2</v>
      </c>
      <c r="D8133" s="7" t="n">
        <v>3</v>
      </c>
      <c r="E8133" s="7" t="n">
        <v>4.73999977111816</v>
      </c>
      <c r="F8133" s="7" t="n">
        <v>1.37000000476837</v>
      </c>
      <c r="G8133" s="7" t="n">
        <v>45.310001373291</v>
      </c>
      <c r="H8133" s="7" t="n">
        <v>0</v>
      </c>
    </row>
    <row r="8134" spans="1:9">
      <c r="A8134" t="s">
        <v>4</v>
      </c>
      <c r="B8134" s="4" t="s">
        <v>5</v>
      </c>
      <c r="C8134" s="4" t="s">
        <v>7</v>
      </c>
      <c r="D8134" s="4" t="s">
        <v>7</v>
      </c>
      <c r="E8134" s="4" t="s">
        <v>13</v>
      </c>
      <c r="F8134" s="4" t="s">
        <v>13</v>
      </c>
      <c r="G8134" s="4" t="s">
        <v>13</v>
      </c>
      <c r="H8134" s="4" t="s">
        <v>11</v>
      </c>
      <c r="I8134" s="4" t="s">
        <v>7</v>
      </c>
    </row>
    <row r="8135" spans="1:9">
      <c r="A8135" t="n">
        <v>75133</v>
      </c>
      <c r="B8135" s="51" t="n">
        <v>45</v>
      </c>
      <c r="C8135" s="7" t="n">
        <v>4</v>
      </c>
      <c r="D8135" s="7" t="n">
        <v>3</v>
      </c>
      <c r="E8135" s="7" t="n">
        <v>4.3899998664856</v>
      </c>
      <c r="F8135" s="7" t="n">
        <v>107.779998779297</v>
      </c>
      <c r="G8135" s="7" t="n">
        <v>0</v>
      </c>
      <c r="H8135" s="7" t="n">
        <v>0</v>
      </c>
      <c r="I8135" s="7" t="n">
        <v>0</v>
      </c>
    </row>
    <row r="8136" spans="1:9">
      <c r="A8136" t="s">
        <v>4</v>
      </c>
      <c r="B8136" s="4" t="s">
        <v>5</v>
      </c>
      <c r="C8136" s="4" t="s">
        <v>7</v>
      </c>
      <c r="D8136" s="4" t="s">
        <v>7</v>
      </c>
      <c r="E8136" s="4" t="s">
        <v>13</v>
      </c>
      <c r="F8136" s="4" t="s">
        <v>11</v>
      </c>
    </row>
    <row r="8137" spans="1:9">
      <c r="A8137" t="n">
        <v>75151</v>
      </c>
      <c r="B8137" s="51" t="n">
        <v>45</v>
      </c>
      <c r="C8137" s="7" t="n">
        <v>5</v>
      </c>
      <c r="D8137" s="7" t="n">
        <v>3</v>
      </c>
      <c r="E8137" s="7" t="n">
        <v>2</v>
      </c>
      <c r="F8137" s="7" t="n">
        <v>0</v>
      </c>
    </row>
    <row r="8138" spans="1:9">
      <c r="A8138" t="s">
        <v>4</v>
      </c>
      <c r="B8138" s="4" t="s">
        <v>5</v>
      </c>
      <c r="C8138" s="4" t="s">
        <v>7</v>
      </c>
      <c r="D8138" s="4" t="s">
        <v>7</v>
      </c>
      <c r="E8138" s="4" t="s">
        <v>13</v>
      </c>
      <c r="F8138" s="4" t="s">
        <v>11</v>
      </c>
    </row>
    <row r="8139" spans="1:9">
      <c r="A8139" t="n">
        <v>75160</v>
      </c>
      <c r="B8139" s="51" t="n">
        <v>45</v>
      </c>
      <c r="C8139" s="7" t="n">
        <v>11</v>
      </c>
      <c r="D8139" s="7" t="n">
        <v>3</v>
      </c>
      <c r="E8139" s="7" t="n">
        <v>33.4000015258789</v>
      </c>
      <c r="F8139" s="7" t="n">
        <v>0</v>
      </c>
    </row>
    <row r="8140" spans="1:9">
      <c r="A8140" t="s">
        <v>4</v>
      </c>
      <c r="B8140" s="4" t="s">
        <v>5</v>
      </c>
      <c r="C8140" s="4" t="s">
        <v>11</v>
      </c>
      <c r="D8140" s="4" t="s">
        <v>15</v>
      </c>
    </row>
    <row r="8141" spans="1:9">
      <c r="A8141" t="n">
        <v>75169</v>
      </c>
      <c r="B8141" s="63" t="n">
        <v>44</v>
      </c>
      <c r="C8141" s="7" t="n">
        <v>11</v>
      </c>
      <c r="D8141" s="7" t="n">
        <v>1</v>
      </c>
    </row>
    <row r="8142" spans="1:9">
      <c r="A8142" t="s">
        <v>4</v>
      </c>
      <c r="B8142" s="4" t="s">
        <v>5</v>
      </c>
      <c r="C8142" s="4" t="s">
        <v>7</v>
      </c>
      <c r="D8142" s="4" t="s">
        <v>11</v>
      </c>
    </row>
    <row r="8143" spans="1:9">
      <c r="A8143" t="n">
        <v>75176</v>
      </c>
      <c r="B8143" s="23" t="n">
        <v>58</v>
      </c>
      <c r="C8143" s="7" t="n">
        <v>255</v>
      </c>
      <c r="D8143" s="7" t="n">
        <v>0</v>
      </c>
    </row>
    <row r="8144" spans="1:9">
      <c r="A8144" t="s">
        <v>4</v>
      </c>
      <c r="B8144" s="4" t="s">
        <v>5</v>
      </c>
      <c r="C8144" s="4" t="s">
        <v>8</v>
      </c>
      <c r="D8144" s="4" t="s">
        <v>8</v>
      </c>
    </row>
    <row r="8145" spans="1:9">
      <c r="A8145" t="n">
        <v>75180</v>
      </c>
      <c r="B8145" s="52" t="n">
        <v>70</v>
      </c>
      <c r="C8145" s="7" t="s">
        <v>279</v>
      </c>
      <c r="D8145" s="7" t="s">
        <v>280</v>
      </c>
    </row>
    <row r="8146" spans="1:9">
      <c r="A8146" t="s">
        <v>4</v>
      </c>
      <c r="B8146" s="4" t="s">
        <v>5</v>
      </c>
      <c r="C8146" s="4" t="s">
        <v>11</v>
      </c>
    </row>
    <row r="8147" spans="1:9">
      <c r="A8147" t="n">
        <v>75197</v>
      </c>
      <c r="B8147" s="29" t="n">
        <v>16</v>
      </c>
      <c r="C8147" s="7" t="n">
        <v>1000</v>
      </c>
    </row>
    <row r="8148" spans="1:9">
      <c r="A8148" t="s">
        <v>4</v>
      </c>
      <c r="B8148" s="4" t="s">
        <v>5</v>
      </c>
      <c r="C8148" s="4" t="s">
        <v>7</v>
      </c>
      <c r="D8148" s="4" t="s">
        <v>11</v>
      </c>
      <c r="E8148" s="4" t="s">
        <v>11</v>
      </c>
      <c r="F8148" s="4" t="s">
        <v>7</v>
      </c>
    </row>
    <row r="8149" spans="1:9">
      <c r="A8149" t="n">
        <v>75200</v>
      </c>
      <c r="B8149" s="31" t="n">
        <v>25</v>
      </c>
      <c r="C8149" s="7" t="n">
        <v>1</v>
      </c>
      <c r="D8149" s="7" t="n">
        <v>100</v>
      </c>
      <c r="E8149" s="7" t="n">
        <v>500</v>
      </c>
      <c r="F8149" s="7" t="n">
        <v>5</v>
      </c>
    </row>
    <row r="8150" spans="1:9">
      <c r="A8150" t="s">
        <v>4</v>
      </c>
      <c r="B8150" s="4" t="s">
        <v>5</v>
      </c>
      <c r="C8150" s="4" t="s">
        <v>8</v>
      </c>
      <c r="D8150" s="4" t="s">
        <v>11</v>
      </c>
    </row>
    <row r="8151" spans="1:9">
      <c r="A8151" t="n">
        <v>75207</v>
      </c>
      <c r="B8151" s="67" t="n">
        <v>29</v>
      </c>
      <c r="C8151" s="7" t="s">
        <v>281</v>
      </c>
      <c r="D8151" s="7" t="n">
        <v>65533</v>
      </c>
    </row>
    <row r="8152" spans="1:9">
      <c r="A8152" t="s">
        <v>4</v>
      </c>
      <c r="B8152" s="4" t="s">
        <v>5</v>
      </c>
      <c r="C8152" s="4" t="s">
        <v>7</v>
      </c>
      <c r="D8152" s="4" t="s">
        <v>11</v>
      </c>
      <c r="E8152" s="4" t="s">
        <v>8</v>
      </c>
    </row>
    <row r="8153" spans="1:9">
      <c r="A8153" t="n">
        <v>75216</v>
      </c>
      <c r="B8153" s="38" t="n">
        <v>51</v>
      </c>
      <c r="C8153" s="7" t="n">
        <v>4</v>
      </c>
      <c r="D8153" s="7" t="n">
        <v>11</v>
      </c>
      <c r="E8153" s="7" t="s">
        <v>16</v>
      </c>
    </row>
    <row r="8154" spans="1:9">
      <c r="A8154" t="s">
        <v>4</v>
      </c>
      <c r="B8154" s="4" t="s">
        <v>5</v>
      </c>
      <c r="C8154" s="4" t="s">
        <v>11</v>
      </c>
    </row>
    <row r="8155" spans="1:9">
      <c r="A8155" t="n">
        <v>75221</v>
      </c>
      <c r="B8155" s="29" t="n">
        <v>16</v>
      </c>
      <c r="C8155" s="7" t="n">
        <v>0</v>
      </c>
    </row>
    <row r="8156" spans="1:9">
      <c r="A8156" t="s">
        <v>4</v>
      </c>
      <c r="B8156" s="4" t="s">
        <v>5</v>
      </c>
      <c r="C8156" s="4" t="s">
        <v>11</v>
      </c>
      <c r="D8156" s="4" t="s">
        <v>7</v>
      </c>
      <c r="E8156" s="4" t="s">
        <v>15</v>
      </c>
      <c r="F8156" s="4" t="s">
        <v>55</v>
      </c>
      <c r="G8156" s="4" t="s">
        <v>7</v>
      </c>
      <c r="H8156" s="4" t="s">
        <v>7</v>
      </c>
    </row>
    <row r="8157" spans="1:9">
      <c r="A8157" t="n">
        <v>75224</v>
      </c>
      <c r="B8157" s="55" t="n">
        <v>26</v>
      </c>
      <c r="C8157" s="7" t="n">
        <v>11</v>
      </c>
      <c r="D8157" s="7" t="n">
        <v>17</v>
      </c>
      <c r="E8157" s="7" t="n">
        <v>63983</v>
      </c>
      <c r="F8157" s="7" t="s">
        <v>704</v>
      </c>
      <c r="G8157" s="7" t="n">
        <v>2</v>
      </c>
      <c r="H8157" s="7" t="n">
        <v>0</v>
      </c>
    </row>
    <row r="8158" spans="1:9">
      <c r="A8158" t="s">
        <v>4</v>
      </c>
      <c r="B8158" s="4" t="s">
        <v>5</v>
      </c>
    </row>
    <row r="8159" spans="1:9">
      <c r="A8159" t="n">
        <v>75274</v>
      </c>
      <c r="B8159" s="27" t="n">
        <v>28</v>
      </c>
    </row>
    <row r="8160" spans="1:9">
      <c r="A8160" t="s">
        <v>4</v>
      </c>
      <c r="B8160" s="4" t="s">
        <v>5</v>
      </c>
      <c r="C8160" s="4" t="s">
        <v>11</v>
      </c>
      <c r="D8160" s="4" t="s">
        <v>7</v>
      </c>
    </row>
    <row r="8161" spans="1:8">
      <c r="A8161" t="n">
        <v>75275</v>
      </c>
      <c r="B8161" s="68" t="n">
        <v>89</v>
      </c>
      <c r="C8161" s="7" t="n">
        <v>65533</v>
      </c>
      <c r="D8161" s="7" t="n">
        <v>1</v>
      </c>
    </row>
    <row r="8162" spans="1:8">
      <c r="A8162" t="s">
        <v>4</v>
      </c>
      <c r="B8162" s="4" t="s">
        <v>5</v>
      </c>
      <c r="C8162" s="4" t="s">
        <v>7</v>
      </c>
      <c r="D8162" s="4" t="s">
        <v>11</v>
      </c>
      <c r="E8162" s="4" t="s">
        <v>11</v>
      </c>
      <c r="F8162" s="4" t="s">
        <v>7</v>
      </c>
    </row>
    <row r="8163" spans="1:8">
      <c r="A8163" t="n">
        <v>75279</v>
      </c>
      <c r="B8163" s="31" t="n">
        <v>25</v>
      </c>
      <c r="C8163" s="7" t="n">
        <v>1</v>
      </c>
      <c r="D8163" s="7" t="n">
        <v>65535</v>
      </c>
      <c r="E8163" s="7" t="n">
        <v>65535</v>
      </c>
      <c r="F8163" s="7" t="n">
        <v>0</v>
      </c>
    </row>
    <row r="8164" spans="1:8">
      <c r="A8164" t="s">
        <v>4</v>
      </c>
      <c r="B8164" s="4" t="s">
        <v>5</v>
      </c>
      <c r="C8164" s="4" t="s">
        <v>8</v>
      </c>
      <c r="D8164" s="4" t="s">
        <v>11</v>
      </c>
    </row>
    <row r="8165" spans="1:8">
      <c r="A8165" t="n">
        <v>75286</v>
      </c>
      <c r="B8165" s="67" t="n">
        <v>29</v>
      </c>
      <c r="C8165" s="7" t="s">
        <v>16</v>
      </c>
      <c r="D8165" s="7" t="n">
        <v>65533</v>
      </c>
    </row>
    <row r="8166" spans="1:8">
      <c r="A8166" t="s">
        <v>4</v>
      </c>
      <c r="B8166" s="4" t="s">
        <v>5</v>
      </c>
      <c r="C8166" s="4" t="s">
        <v>11</v>
      </c>
      <c r="D8166" s="4" t="s">
        <v>7</v>
      </c>
      <c r="E8166" s="4" t="s">
        <v>13</v>
      </c>
      <c r="F8166" s="4" t="s">
        <v>11</v>
      </c>
    </row>
    <row r="8167" spans="1:8">
      <c r="A8167" t="n">
        <v>75290</v>
      </c>
      <c r="B8167" s="56" t="n">
        <v>59</v>
      </c>
      <c r="C8167" s="7" t="n">
        <v>0</v>
      </c>
      <c r="D8167" s="7" t="n">
        <v>13</v>
      </c>
      <c r="E8167" s="7" t="n">
        <v>0.150000005960464</v>
      </c>
      <c r="F8167" s="7" t="n">
        <v>0</v>
      </c>
    </row>
    <row r="8168" spans="1:8">
      <c r="A8168" t="s">
        <v>4</v>
      </c>
      <c r="B8168" s="4" t="s">
        <v>5</v>
      </c>
      <c r="C8168" s="4" t="s">
        <v>11</v>
      </c>
    </row>
    <row r="8169" spans="1:8">
      <c r="A8169" t="n">
        <v>75300</v>
      </c>
      <c r="B8169" s="29" t="n">
        <v>16</v>
      </c>
      <c r="C8169" s="7" t="n">
        <v>1000</v>
      </c>
    </row>
    <row r="8170" spans="1:8">
      <c r="A8170" t="s">
        <v>4</v>
      </c>
      <c r="B8170" s="4" t="s">
        <v>5</v>
      </c>
      <c r="C8170" s="4" t="s">
        <v>11</v>
      </c>
      <c r="D8170" s="4" t="s">
        <v>13</v>
      </c>
      <c r="E8170" s="4" t="s">
        <v>13</v>
      </c>
      <c r="F8170" s="4" t="s">
        <v>13</v>
      </c>
      <c r="G8170" s="4" t="s">
        <v>11</v>
      </c>
      <c r="H8170" s="4" t="s">
        <v>11</v>
      </c>
    </row>
    <row r="8171" spans="1:8">
      <c r="A8171" t="n">
        <v>75303</v>
      </c>
      <c r="B8171" s="37" t="n">
        <v>60</v>
      </c>
      <c r="C8171" s="7" t="n">
        <v>0</v>
      </c>
      <c r="D8171" s="7" t="n">
        <v>0</v>
      </c>
      <c r="E8171" s="7" t="n">
        <v>0</v>
      </c>
      <c r="F8171" s="7" t="n">
        <v>0</v>
      </c>
      <c r="G8171" s="7" t="n">
        <v>1000</v>
      </c>
      <c r="H8171" s="7" t="n">
        <v>0</v>
      </c>
    </row>
    <row r="8172" spans="1:8">
      <c r="A8172" t="s">
        <v>4</v>
      </c>
      <c r="B8172" s="4" t="s">
        <v>5</v>
      </c>
      <c r="C8172" s="4" t="s">
        <v>11</v>
      </c>
      <c r="D8172" s="4" t="s">
        <v>11</v>
      </c>
      <c r="E8172" s="4" t="s">
        <v>11</v>
      </c>
    </row>
    <row r="8173" spans="1:8">
      <c r="A8173" t="n">
        <v>75322</v>
      </c>
      <c r="B8173" s="72" t="n">
        <v>61</v>
      </c>
      <c r="C8173" s="7" t="n">
        <v>0</v>
      </c>
      <c r="D8173" s="7" t="n">
        <v>11</v>
      </c>
      <c r="E8173" s="7" t="n">
        <v>1000</v>
      </c>
    </row>
    <row r="8174" spans="1:8">
      <c r="A8174" t="s">
        <v>4</v>
      </c>
      <c r="B8174" s="4" t="s">
        <v>5</v>
      </c>
      <c r="C8174" s="4" t="s">
        <v>11</v>
      </c>
      <c r="D8174" s="4" t="s">
        <v>11</v>
      </c>
      <c r="E8174" s="4" t="s">
        <v>11</v>
      </c>
    </row>
    <row r="8175" spans="1:8">
      <c r="A8175" t="n">
        <v>75329</v>
      </c>
      <c r="B8175" s="72" t="n">
        <v>61</v>
      </c>
      <c r="C8175" s="7" t="n">
        <v>11</v>
      </c>
      <c r="D8175" s="7" t="n">
        <v>0</v>
      </c>
      <c r="E8175" s="7" t="n">
        <v>1000</v>
      </c>
    </row>
    <row r="8176" spans="1:8">
      <c r="A8176" t="s">
        <v>4</v>
      </c>
      <c r="B8176" s="4" t="s">
        <v>5</v>
      </c>
      <c r="C8176" s="4" t="s">
        <v>11</v>
      </c>
      <c r="D8176" s="4" t="s">
        <v>13</v>
      </c>
      <c r="E8176" s="4" t="s">
        <v>13</v>
      </c>
      <c r="F8176" s="4" t="s">
        <v>7</v>
      </c>
    </row>
    <row r="8177" spans="1:8">
      <c r="A8177" t="n">
        <v>75336</v>
      </c>
      <c r="B8177" s="65" t="n">
        <v>52</v>
      </c>
      <c r="C8177" s="7" t="n">
        <v>0</v>
      </c>
      <c r="D8177" s="7" t="n">
        <v>332.399993896484</v>
      </c>
      <c r="E8177" s="7" t="n">
        <v>5</v>
      </c>
      <c r="F8177" s="7" t="n">
        <v>0</v>
      </c>
    </row>
    <row r="8178" spans="1:8">
      <c r="A8178" t="s">
        <v>4</v>
      </c>
      <c r="B8178" s="4" t="s">
        <v>5</v>
      </c>
      <c r="C8178" s="4" t="s">
        <v>11</v>
      </c>
    </row>
    <row r="8179" spans="1:8">
      <c r="A8179" t="n">
        <v>75348</v>
      </c>
      <c r="B8179" s="66" t="n">
        <v>54</v>
      </c>
      <c r="C8179" s="7" t="n">
        <v>0</v>
      </c>
    </row>
    <row r="8180" spans="1:8">
      <c r="A8180" t="s">
        <v>4</v>
      </c>
      <c r="B8180" s="4" t="s">
        <v>5</v>
      </c>
      <c r="C8180" s="4" t="s">
        <v>7</v>
      </c>
      <c r="D8180" s="4" t="s">
        <v>11</v>
      </c>
      <c r="E8180" s="4" t="s">
        <v>13</v>
      </c>
    </row>
    <row r="8181" spans="1:8">
      <c r="A8181" t="n">
        <v>75351</v>
      </c>
      <c r="B8181" s="23" t="n">
        <v>58</v>
      </c>
      <c r="C8181" s="7" t="n">
        <v>101</v>
      </c>
      <c r="D8181" s="7" t="n">
        <v>500</v>
      </c>
      <c r="E8181" s="7" t="n">
        <v>1</v>
      </c>
    </row>
    <row r="8182" spans="1:8">
      <c r="A8182" t="s">
        <v>4</v>
      </c>
      <c r="B8182" s="4" t="s">
        <v>5</v>
      </c>
      <c r="C8182" s="4" t="s">
        <v>7</v>
      </c>
      <c r="D8182" s="4" t="s">
        <v>11</v>
      </c>
    </row>
    <row r="8183" spans="1:8">
      <c r="A8183" t="n">
        <v>75359</v>
      </c>
      <c r="B8183" s="23" t="n">
        <v>58</v>
      </c>
      <c r="C8183" s="7" t="n">
        <v>254</v>
      </c>
      <c r="D8183" s="7" t="n">
        <v>0</v>
      </c>
    </row>
    <row r="8184" spans="1:8">
      <c r="A8184" t="s">
        <v>4</v>
      </c>
      <c r="B8184" s="4" t="s">
        <v>5</v>
      </c>
      <c r="C8184" s="4" t="s">
        <v>7</v>
      </c>
      <c r="D8184" s="4" t="s">
        <v>7</v>
      </c>
      <c r="E8184" s="4" t="s">
        <v>13</v>
      </c>
      <c r="F8184" s="4" t="s">
        <v>13</v>
      </c>
      <c r="G8184" s="4" t="s">
        <v>13</v>
      </c>
      <c r="H8184" s="4" t="s">
        <v>11</v>
      </c>
    </row>
    <row r="8185" spans="1:8">
      <c r="A8185" t="n">
        <v>75363</v>
      </c>
      <c r="B8185" s="51" t="n">
        <v>45</v>
      </c>
      <c r="C8185" s="7" t="n">
        <v>2</v>
      </c>
      <c r="D8185" s="7" t="n">
        <v>3</v>
      </c>
      <c r="E8185" s="7" t="n">
        <v>4.92999982833862</v>
      </c>
      <c r="F8185" s="7" t="n">
        <v>1.46000003814697</v>
      </c>
      <c r="G8185" s="7" t="n">
        <v>45.6699981689453</v>
      </c>
      <c r="H8185" s="7" t="n">
        <v>0</v>
      </c>
    </row>
    <row r="8186" spans="1:8">
      <c r="A8186" t="s">
        <v>4</v>
      </c>
      <c r="B8186" s="4" t="s">
        <v>5</v>
      </c>
      <c r="C8186" s="4" t="s">
        <v>7</v>
      </c>
      <c r="D8186" s="4" t="s">
        <v>7</v>
      </c>
      <c r="E8186" s="4" t="s">
        <v>13</v>
      </c>
      <c r="F8186" s="4" t="s">
        <v>13</v>
      </c>
      <c r="G8186" s="4" t="s">
        <v>13</v>
      </c>
      <c r="H8186" s="4" t="s">
        <v>11</v>
      </c>
      <c r="I8186" s="4" t="s">
        <v>7</v>
      </c>
    </row>
    <row r="8187" spans="1:8">
      <c r="A8187" t="n">
        <v>75380</v>
      </c>
      <c r="B8187" s="51" t="n">
        <v>45</v>
      </c>
      <c r="C8187" s="7" t="n">
        <v>4</v>
      </c>
      <c r="D8187" s="7" t="n">
        <v>3</v>
      </c>
      <c r="E8187" s="7" t="n">
        <v>5.69000005722046</v>
      </c>
      <c r="F8187" s="7" t="n">
        <v>260.239990234375</v>
      </c>
      <c r="G8187" s="7" t="n">
        <v>0</v>
      </c>
      <c r="H8187" s="7" t="n">
        <v>0</v>
      </c>
      <c r="I8187" s="7" t="n">
        <v>0</v>
      </c>
    </row>
    <row r="8188" spans="1:8">
      <c r="A8188" t="s">
        <v>4</v>
      </c>
      <c r="B8188" s="4" t="s">
        <v>5</v>
      </c>
      <c r="C8188" s="4" t="s">
        <v>7</v>
      </c>
      <c r="D8188" s="4" t="s">
        <v>7</v>
      </c>
      <c r="E8188" s="4" t="s">
        <v>13</v>
      </c>
      <c r="F8188" s="4" t="s">
        <v>11</v>
      </c>
    </row>
    <row r="8189" spans="1:8">
      <c r="A8189" t="n">
        <v>75398</v>
      </c>
      <c r="B8189" s="51" t="n">
        <v>45</v>
      </c>
      <c r="C8189" s="7" t="n">
        <v>5</v>
      </c>
      <c r="D8189" s="7" t="n">
        <v>3</v>
      </c>
      <c r="E8189" s="7" t="n">
        <v>1.70000004768372</v>
      </c>
      <c r="F8189" s="7" t="n">
        <v>0</v>
      </c>
    </row>
    <row r="8190" spans="1:8">
      <c r="A8190" t="s">
        <v>4</v>
      </c>
      <c r="B8190" s="4" t="s">
        <v>5</v>
      </c>
      <c r="C8190" s="4" t="s">
        <v>7</v>
      </c>
      <c r="D8190" s="4" t="s">
        <v>7</v>
      </c>
      <c r="E8190" s="4" t="s">
        <v>13</v>
      </c>
      <c r="F8190" s="4" t="s">
        <v>11</v>
      </c>
    </row>
    <row r="8191" spans="1:8">
      <c r="A8191" t="n">
        <v>75407</v>
      </c>
      <c r="B8191" s="51" t="n">
        <v>45</v>
      </c>
      <c r="C8191" s="7" t="n">
        <v>11</v>
      </c>
      <c r="D8191" s="7" t="n">
        <v>3</v>
      </c>
      <c r="E8191" s="7" t="n">
        <v>34</v>
      </c>
      <c r="F8191" s="7" t="n">
        <v>0</v>
      </c>
    </row>
    <row r="8192" spans="1:8">
      <c r="A8192" t="s">
        <v>4</v>
      </c>
      <c r="B8192" s="4" t="s">
        <v>5</v>
      </c>
      <c r="C8192" s="4" t="s">
        <v>7</v>
      </c>
      <c r="D8192" s="4" t="s">
        <v>7</v>
      </c>
      <c r="E8192" s="4" t="s">
        <v>13</v>
      </c>
      <c r="F8192" s="4" t="s">
        <v>13</v>
      </c>
      <c r="G8192" s="4" t="s">
        <v>13</v>
      </c>
      <c r="H8192" s="4" t="s">
        <v>11</v>
      </c>
    </row>
    <row r="8193" spans="1:9">
      <c r="A8193" t="n">
        <v>75416</v>
      </c>
      <c r="B8193" s="51" t="n">
        <v>45</v>
      </c>
      <c r="C8193" s="7" t="n">
        <v>2</v>
      </c>
      <c r="D8193" s="7" t="n">
        <v>3</v>
      </c>
      <c r="E8193" s="7" t="n">
        <v>4.84999990463257</v>
      </c>
      <c r="F8193" s="7" t="n">
        <v>1.4099999666214</v>
      </c>
      <c r="G8193" s="7" t="n">
        <v>45.7999992370605</v>
      </c>
      <c r="H8193" s="7" t="n">
        <v>5500</v>
      </c>
    </row>
    <row r="8194" spans="1:9">
      <c r="A8194" t="s">
        <v>4</v>
      </c>
      <c r="B8194" s="4" t="s">
        <v>5</v>
      </c>
      <c r="C8194" s="4" t="s">
        <v>7</v>
      </c>
      <c r="D8194" s="4" t="s">
        <v>7</v>
      </c>
      <c r="E8194" s="4" t="s">
        <v>13</v>
      </c>
      <c r="F8194" s="4" t="s">
        <v>13</v>
      </c>
      <c r="G8194" s="4" t="s">
        <v>13</v>
      </c>
      <c r="H8194" s="4" t="s">
        <v>11</v>
      </c>
      <c r="I8194" s="4" t="s">
        <v>7</v>
      </c>
    </row>
    <row r="8195" spans="1:9">
      <c r="A8195" t="n">
        <v>75433</v>
      </c>
      <c r="B8195" s="51" t="n">
        <v>45</v>
      </c>
      <c r="C8195" s="7" t="n">
        <v>4</v>
      </c>
      <c r="D8195" s="7" t="n">
        <v>3</v>
      </c>
      <c r="E8195" s="7" t="n">
        <v>5.46999979019165</v>
      </c>
      <c r="F8195" s="7" t="n">
        <v>232.490005493164</v>
      </c>
      <c r="G8195" s="7" t="n">
        <v>0</v>
      </c>
      <c r="H8195" s="7" t="n">
        <v>5500</v>
      </c>
      <c r="I8195" s="7" t="n">
        <v>0</v>
      </c>
    </row>
    <row r="8196" spans="1:9">
      <c r="A8196" t="s">
        <v>4</v>
      </c>
      <c r="B8196" s="4" t="s">
        <v>5</v>
      </c>
      <c r="C8196" s="4" t="s">
        <v>11</v>
      </c>
      <c r="D8196" s="4" t="s">
        <v>7</v>
      </c>
      <c r="E8196" s="4" t="s">
        <v>7</v>
      </c>
      <c r="F8196" s="4" t="s">
        <v>8</v>
      </c>
    </row>
    <row r="8197" spans="1:9">
      <c r="A8197" t="n">
        <v>75451</v>
      </c>
      <c r="B8197" s="50" t="n">
        <v>20</v>
      </c>
      <c r="C8197" s="7" t="n">
        <v>11</v>
      </c>
      <c r="D8197" s="7" t="n">
        <v>2</v>
      </c>
      <c r="E8197" s="7" t="n">
        <v>11</v>
      </c>
      <c r="F8197" s="7" t="s">
        <v>283</v>
      </c>
    </row>
    <row r="8198" spans="1:9">
      <c r="A8198" t="s">
        <v>4</v>
      </c>
      <c r="B8198" s="4" t="s">
        <v>5</v>
      </c>
      <c r="C8198" s="4" t="s">
        <v>7</v>
      </c>
    </row>
    <row r="8199" spans="1:9">
      <c r="A8199" t="n">
        <v>75478</v>
      </c>
      <c r="B8199" s="49" t="n">
        <v>116</v>
      </c>
      <c r="C8199" s="7" t="n">
        <v>0</v>
      </c>
    </row>
    <row r="8200" spans="1:9">
      <c r="A8200" t="s">
        <v>4</v>
      </c>
      <c r="B8200" s="4" t="s">
        <v>5</v>
      </c>
      <c r="C8200" s="4" t="s">
        <v>7</v>
      </c>
      <c r="D8200" s="4" t="s">
        <v>11</v>
      </c>
    </row>
    <row r="8201" spans="1:9">
      <c r="A8201" t="n">
        <v>75480</v>
      </c>
      <c r="B8201" s="49" t="n">
        <v>116</v>
      </c>
      <c r="C8201" s="7" t="n">
        <v>2</v>
      </c>
      <c r="D8201" s="7" t="n">
        <v>1</v>
      </c>
    </row>
    <row r="8202" spans="1:9">
      <c r="A8202" t="s">
        <v>4</v>
      </c>
      <c r="B8202" s="4" t="s">
        <v>5</v>
      </c>
      <c r="C8202" s="4" t="s">
        <v>7</v>
      </c>
      <c r="D8202" s="4" t="s">
        <v>15</v>
      </c>
    </row>
    <row r="8203" spans="1:9">
      <c r="A8203" t="n">
        <v>75484</v>
      </c>
      <c r="B8203" s="49" t="n">
        <v>116</v>
      </c>
      <c r="C8203" s="7" t="n">
        <v>5</v>
      </c>
      <c r="D8203" s="7" t="n">
        <v>1084227584</v>
      </c>
    </row>
    <row r="8204" spans="1:9">
      <c r="A8204" t="s">
        <v>4</v>
      </c>
      <c r="B8204" s="4" t="s">
        <v>5</v>
      </c>
      <c r="C8204" s="4" t="s">
        <v>7</v>
      </c>
      <c r="D8204" s="4" t="s">
        <v>11</v>
      </c>
    </row>
    <row r="8205" spans="1:9">
      <c r="A8205" t="n">
        <v>75490</v>
      </c>
      <c r="B8205" s="49" t="n">
        <v>116</v>
      </c>
      <c r="C8205" s="7" t="n">
        <v>6</v>
      </c>
      <c r="D8205" s="7" t="n">
        <v>1</v>
      </c>
    </row>
    <row r="8206" spans="1:9">
      <c r="A8206" t="s">
        <v>4</v>
      </c>
      <c r="B8206" s="4" t="s">
        <v>5</v>
      </c>
      <c r="C8206" s="4" t="s">
        <v>7</v>
      </c>
      <c r="D8206" s="4" t="s">
        <v>11</v>
      </c>
    </row>
    <row r="8207" spans="1:9">
      <c r="A8207" t="n">
        <v>75494</v>
      </c>
      <c r="B8207" s="23" t="n">
        <v>58</v>
      </c>
      <c r="C8207" s="7" t="n">
        <v>255</v>
      </c>
      <c r="D8207" s="7" t="n">
        <v>0</v>
      </c>
    </row>
    <row r="8208" spans="1:9">
      <c r="A8208" t="s">
        <v>4</v>
      </c>
      <c r="B8208" s="4" t="s">
        <v>5</v>
      </c>
      <c r="C8208" s="4" t="s">
        <v>11</v>
      </c>
    </row>
    <row r="8209" spans="1:9">
      <c r="A8209" t="n">
        <v>75498</v>
      </c>
      <c r="B8209" s="29" t="n">
        <v>16</v>
      </c>
      <c r="C8209" s="7" t="n">
        <v>800</v>
      </c>
    </row>
    <row r="8210" spans="1:9">
      <c r="A8210" t="s">
        <v>4</v>
      </c>
      <c r="B8210" s="4" t="s">
        <v>5</v>
      </c>
      <c r="C8210" s="4" t="s">
        <v>8</v>
      </c>
      <c r="D8210" s="4" t="s">
        <v>8</v>
      </c>
    </row>
    <row r="8211" spans="1:9">
      <c r="A8211" t="n">
        <v>75501</v>
      </c>
      <c r="B8211" s="52" t="n">
        <v>70</v>
      </c>
      <c r="C8211" s="7" t="s">
        <v>279</v>
      </c>
      <c r="D8211" s="7" t="s">
        <v>284</v>
      </c>
    </row>
    <row r="8212" spans="1:9">
      <c r="A8212" t="s">
        <v>4</v>
      </c>
      <c r="B8212" s="4" t="s">
        <v>5</v>
      </c>
      <c r="C8212" s="4" t="s">
        <v>7</v>
      </c>
      <c r="D8212" s="4" t="s">
        <v>11</v>
      </c>
    </row>
    <row r="8213" spans="1:9">
      <c r="A8213" t="n">
        <v>75519</v>
      </c>
      <c r="B8213" s="51" t="n">
        <v>45</v>
      </c>
      <c r="C8213" s="7" t="n">
        <v>7</v>
      </c>
      <c r="D8213" s="7" t="n">
        <v>255</v>
      </c>
    </row>
    <row r="8214" spans="1:9">
      <c r="A8214" t="s">
        <v>4</v>
      </c>
      <c r="B8214" s="4" t="s">
        <v>5</v>
      </c>
      <c r="C8214" s="4" t="s">
        <v>7</v>
      </c>
      <c r="D8214" s="4" t="s">
        <v>11</v>
      </c>
      <c r="E8214" s="4" t="s">
        <v>8</v>
      </c>
    </row>
    <row r="8215" spans="1:9">
      <c r="A8215" t="n">
        <v>75523</v>
      </c>
      <c r="B8215" s="38" t="n">
        <v>51</v>
      </c>
      <c r="C8215" s="7" t="n">
        <v>4</v>
      </c>
      <c r="D8215" s="7" t="n">
        <v>0</v>
      </c>
      <c r="E8215" s="7" t="s">
        <v>173</v>
      </c>
    </row>
    <row r="8216" spans="1:9">
      <c r="A8216" t="s">
        <v>4</v>
      </c>
      <c r="B8216" s="4" t="s">
        <v>5</v>
      </c>
      <c r="C8216" s="4" t="s">
        <v>11</v>
      </c>
    </row>
    <row r="8217" spans="1:9">
      <c r="A8217" t="n">
        <v>75536</v>
      </c>
      <c r="B8217" s="29" t="n">
        <v>16</v>
      </c>
      <c r="C8217" s="7" t="n">
        <v>0</v>
      </c>
    </row>
    <row r="8218" spans="1:9">
      <c r="A8218" t="s">
        <v>4</v>
      </c>
      <c r="B8218" s="4" t="s">
        <v>5</v>
      </c>
      <c r="C8218" s="4" t="s">
        <v>11</v>
      </c>
      <c r="D8218" s="4" t="s">
        <v>7</v>
      </c>
      <c r="E8218" s="4" t="s">
        <v>15</v>
      </c>
      <c r="F8218" s="4" t="s">
        <v>55</v>
      </c>
      <c r="G8218" s="4" t="s">
        <v>7</v>
      </c>
      <c r="H8218" s="4" t="s">
        <v>7</v>
      </c>
      <c r="I8218" s="4" t="s">
        <v>7</v>
      </c>
      <c r="J8218" s="4" t="s">
        <v>15</v>
      </c>
      <c r="K8218" s="4" t="s">
        <v>55</v>
      </c>
      <c r="L8218" s="4" t="s">
        <v>7</v>
      </c>
      <c r="M8218" s="4" t="s">
        <v>7</v>
      </c>
    </row>
    <row r="8219" spans="1:9">
      <c r="A8219" t="n">
        <v>75539</v>
      </c>
      <c r="B8219" s="55" t="n">
        <v>26</v>
      </c>
      <c r="C8219" s="7" t="n">
        <v>0</v>
      </c>
      <c r="D8219" s="7" t="n">
        <v>17</v>
      </c>
      <c r="E8219" s="7" t="n">
        <v>63984</v>
      </c>
      <c r="F8219" s="7" t="s">
        <v>705</v>
      </c>
      <c r="G8219" s="7" t="n">
        <v>2</v>
      </c>
      <c r="H8219" s="7" t="n">
        <v>3</v>
      </c>
      <c r="I8219" s="7" t="n">
        <v>17</v>
      </c>
      <c r="J8219" s="7" t="n">
        <v>63985</v>
      </c>
      <c r="K8219" s="7" t="s">
        <v>706</v>
      </c>
      <c r="L8219" s="7" t="n">
        <v>2</v>
      </c>
      <c r="M8219" s="7" t="n">
        <v>0</v>
      </c>
    </row>
    <row r="8220" spans="1:9">
      <c r="A8220" t="s">
        <v>4</v>
      </c>
      <c r="B8220" s="4" t="s">
        <v>5</v>
      </c>
    </row>
    <row r="8221" spans="1:9">
      <c r="A8221" t="n">
        <v>75673</v>
      </c>
      <c r="B8221" s="27" t="n">
        <v>28</v>
      </c>
    </row>
    <row r="8222" spans="1:9">
      <c r="A8222" t="s">
        <v>4</v>
      </c>
      <c r="B8222" s="4" t="s">
        <v>5</v>
      </c>
      <c r="C8222" s="4" t="s">
        <v>7</v>
      </c>
      <c r="D8222" s="4" t="s">
        <v>11</v>
      </c>
      <c r="E8222" s="4" t="s">
        <v>13</v>
      </c>
    </row>
    <row r="8223" spans="1:9">
      <c r="A8223" t="n">
        <v>75674</v>
      </c>
      <c r="B8223" s="23" t="n">
        <v>58</v>
      </c>
      <c r="C8223" s="7" t="n">
        <v>101</v>
      </c>
      <c r="D8223" s="7" t="n">
        <v>500</v>
      </c>
      <c r="E8223" s="7" t="n">
        <v>1</v>
      </c>
    </row>
    <row r="8224" spans="1:9">
      <c r="A8224" t="s">
        <v>4</v>
      </c>
      <c r="B8224" s="4" t="s">
        <v>5</v>
      </c>
      <c r="C8224" s="4" t="s">
        <v>7</v>
      </c>
      <c r="D8224" s="4" t="s">
        <v>11</v>
      </c>
    </row>
    <row r="8225" spans="1:13">
      <c r="A8225" t="n">
        <v>75682</v>
      </c>
      <c r="B8225" s="23" t="n">
        <v>58</v>
      </c>
      <c r="C8225" s="7" t="n">
        <v>254</v>
      </c>
      <c r="D8225" s="7" t="n">
        <v>0</v>
      </c>
    </row>
    <row r="8226" spans="1:13">
      <c r="A8226" t="s">
        <v>4</v>
      </c>
      <c r="B8226" s="4" t="s">
        <v>5</v>
      </c>
      <c r="C8226" s="4" t="s">
        <v>7</v>
      </c>
      <c r="D8226" s="4" t="s">
        <v>7</v>
      </c>
      <c r="E8226" s="4" t="s">
        <v>13</v>
      </c>
      <c r="F8226" s="4" t="s">
        <v>13</v>
      </c>
      <c r="G8226" s="4" t="s">
        <v>13</v>
      </c>
      <c r="H8226" s="4" t="s">
        <v>11</v>
      </c>
    </row>
    <row r="8227" spans="1:13">
      <c r="A8227" t="n">
        <v>75686</v>
      </c>
      <c r="B8227" s="51" t="n">
        <v>45</v>
      </c>
      <c r="C8227" s="7" t="n">
        <v>2</v>
      </c>
      <c r="D8227" s="7" t="n">
        <v>3</v>
      </c>
      <c r="E8227" s="7" t="n">
        <v>4.96999979019165</v>
      </c>
      <c r="F8227" s="7" t="n">
        <v>1.45000004768372</v>
      </c>
      <c r="G8227" s="7" t="n">
        <v>46.3800010681152</v>
      </c>
      <c r="H8227" s="7" t="n">
        <v>0</v>
      </c>
    </row>
    <row r="8228" spans="1:13">
      <c r="A8228" t="s">
        <v>4</v>
      </c>
      <c r="B8228" s="4" t="s">
        <v>5</v>
      </c>
      <c r="C8228" s="4" t="s">
        <v>7</v>
      </c>
      <c r="D8228" s="4" t="s">
        <v>7</v>
      </c>
      <c r="E8228" s="4" t="s">
        <v>13</v>
      </c>
      <c r="F8228" s="4" t="s">
        <v>13</v>
      </c>
      <c r="G8228" s="4" t="s">
        <v>13</v>
      </c>
      <c r="H8228" s="4" t="s">
        <v>11</v>
      </c>
      <c r="I8228" s="4" t="s">
        <v>7</v>
      </c>
    </row>
    <row r="8229" spans="1:13">
      <c r="A8229" t="n">
        <v>75703</v>
      </c>
      <c r="B8229" s="51" t="n">
        <v>45</v>
      </c>
      <c r="C8229" s="7" t="n">
        <v>4</v>
      </c>
      <c r="D8229" s="7" t="n">
        <v>3</v>
      </c>
      <c r="E8229" s="7" t="n">
        <v>8.30000019073486</v>
      </c>
      <c r="F8229" s="7" t="n">
        <v>213.210006713867</v>
      </c>
      <c r="G8229" s="7" t="n">
        <v>0</v>
      </c>
      <c r="H8229" s="7" t="n">
        <v>0</v>
      </c>
      <c r="I8229" s="7" t="n">
        <v>0</v>
      </c>
    </row>
    <row r="8230" spans="1:13">
      <c r="A8230" t="s">
        <v>4</v>
      </c>
      <c r="B8230" s="4" t="s">
        <v>5</v>
      </c>
      <c r="C8230" s="4" t="s">
        <v>7</v>
      </c>
      <c r="D8230" s="4" t="s">
        <v>7</v>
      </c>
      <c r="E8230" s="4" t="s">
        <v>13</v>
      </c>
      <c r="F8230" s="4" t="s">
        <v>11</v>
      </c>
    </row>
    <row r="8231" spans="1:13">
      <c r="A8231" t="n">
        <v>75721</v>
      </c>
      <c r="B8231" s="51" t="n">
        <v>45</v>
      </c>
      <c r="C8231" s="7" t="n">
        <v>5</v>
      </c>
      <c r="D8231" s="7" t="n">
        <v>3</v>
      </c>
      <c r="E8231" s="7" t="n">
        <v>1</v>
      </c>
      <c r="F8231" s="7" t="n">
        <v>0</v>
      </c>
    </row>
    <row r="8232" spans="1:13">
      <c r="A8232" t="s">
        <v>4</v>
      </c>
      <c r="B8232" s="4" t="s">
        <v>5</v>
      </c>
      <c r="C8232" s="4" t="s">
        <v>7</v>
      </c>
      <c r="D8232" s="4" t="s">
        <v>7</v>
      </c>
      <c r="E8232" s="4" t="s">
        <v>13</v>
      </c>
      <c r="F8232" s="4" t="s">
        <v>11</v>
      </c>
    </row>
    <row r="8233" spans="1:13">
      <c r="A8233" t="n">
        <v>75730</v>
      </c>
      <c r="B8233" s="51" t="n">
        <v>45</v>
      </c>
      <c r="C8233" s="7" t="n">
        <v>11</v>
      </c>
      <c r="D8233" s="7" t="n">
        <v>3</v>
      </c>
      <c r="E8233" s="7" t="n">
        <v>34</v>
      </c>
      <c r="F8233" s="7" t="n">
        <v>0</v>
      </c>
    </row>
    <row r="8234" spans="1:13">
      <c r="A8234" t="s">
        <v>4</v>
      </c>
      <c r="B8234" s="4" t="s">
        <v>5</v>
      </c>
      <c r="C8234" s="4" t="s">
        <v>7</v>
      </c>
      <c r="D8234" s="4" t="s">
        <v>11</v>
      </c>
    </row>
    <row r="8235" spans="1:13">
      <c r="A8235" t="n">
        <v>75739</v>
      </c>
      <c r="B8235" s="23" t="n">
        <v>58</v>
      </c>
      <c r="C8235" s="7" t="n">
        <v>255</v>
      </c>
      <c r="D8235" s="7" t="n">
        <v>0</v>
      </c>
    </row>
    <row r="8236" spans="1:13">
      <c r="A8236" t="s">
        <v>4</v>
      </c>
      <c r="B8236" s="4" t="s">
        <v>5</v>
      </c>
      <c r="C8236" s="4" t="s">
        <v>7</v>
      </c>
      <c r="D8236" s="4" t="s">
        <v>11</v>
      </c>
      <c r="E8236" s="4" t="s">
        <v>8</v>
      </c>
    </row>
    <row r="8237" spans="1:13">
      <c r="A8237" t="n">
        <v>75743</v>
      </c>
      <c r="B8237" s="38" t="n">
        <v>51</v>
      </c>
      <c r="C8237" s="7" t="n">
        <v>4</v>
      </c>
      <c r="D8237" s="7" t="n">
        <v>11</v>
      </c>
      <c r="E8237" s="7" t="s">
        <v>192</v>
      </c>
    </row>
    <row r="8238" spans="1:13">
      <c r="A8238" t="s">
        <v>4</v>
      </c>
      <c r="B8238" s="4" t="s">
        <v>5</v>
      </c>
      <c r="C8238" s="4" t="s">
        <v>11</v>
      </c>
    </row>
    <row r="8239" spans="1:13">
      <c r="A8239" t="n">
        <v>75756</v>
      </c>
      <c r="B8239" s="29" t="n">
        <v>16</v>
      </c>
      <c r="C8239" s="7" t="n">
        <v>0</v>
      </c>
    </row>
    <row r="8240" spans="1:13">
      <c r="A8240" t="s">
        <v>4</v>
      </c>
      <c r="B8240" s="4" t="s">
        <v>5</v>
      </c>
      <c r="C8240" s="4" t="s">
        <v>11</v>
      </c>
      <c r="D8240" s="4" t="s">
        <v>7</v>
      </c>
      <c r="E8240" s="4" t="s">
        <v>15</v>
      </c>
      <c r="F8240" s="4" t="s">
        <v>55</v>
      </c>
      <c r="G8240" s="4" t="s">
        <v>7</v>
      </c>
      <c r="H8240" s="4" t="s">
        <v>7</v>
      </c>
      <c r="I8240" s="4" t="s">
        <v>7</v>
      </c>
      <c r="J8240" s="4" t="s">
        <v>15</v>
      </c>
      <c r="K8240" s="4" t="s">
        <v>55</v>
      </c>
      <c r="L8240" s="4" t="s">
        <v>7</v>
      </c>
      <c r="M8240" s="4" t="s">
        <v>7</v>
      </c>
    </row>
    <row r="8241" spans="1:13">
      <c r="A8241" t="n">
        <v>75759</v>
      </c>
      <c r="B8241" s="55" t="n">
        <v>26</v>
      </c>
      <c r="C8241" s="7" t="n">
        <v>11</v>
      </c>
      <c r="D8241" s="7" t="n">
        <v>17</v>
      </c>
      <c r="E8241" s="7" t="n">
        <v>63986</v>
      </c>
      <c r="F8241" s="7" t="s">
        <v>707</v>
      </c>
      <c r="G8241" s="7" t="n">
        <v>2</v>
      </c>
      <c r="H8241" s="7" t="n">
        <v>3</v>
      </c>
      <c r="I8241" s="7" t="n">
        <v>17</v>
      </c>
      <c r="J8241" s="7" t="n">
        <v>63987</v>
      </c>
      <c r="K8241" s="7" t="s">
        <v>708</v>
      </c>
      <c r="L8241" s="7" t="n">
        <v>2</v>
      </c>
      <c r="M8241" s="7" t="n">
        <v>0</v>
      </c>
    </row>
    <row r="8242" spans="1:13">
      <c r="A8242" t="s">
        <v>4</v>
      </c>
      <c r="B8242" s="4" t="s">
        <v>5</v>
      </c>
    </row>
    <row r="8243" spans="1:13">
      <c r="A8243" t="n">
        <v>75925</v>
      </c>
      <c r="B8243" s="27" t="n">
        <v>28</v>
      </c>
    </row>
    <row r="8244" spans="1:13">
      <c r="A8244" t="s">
        <v>4</v>
      </c>
      <c r="B8244" s="4" t="s">
        <v>5</v>
      </c>
      <c r="C8244" s="4" t="s">
        <v>7</v>
      </c>
      <c r="D8244" s="4" t="s">
        <v>11</v>
      </c>
      <c r="E8244" s="4" t="s">
        <v>8</v>
      </c>
      <c r="F8244" s="4" t="s">
        <v>8</v>
      </c>
      <c r="G8244" s="4" t="s">
        <v>8</v>
      </c>
      <c r="H8244" s="4" t="s">
        <v>8</v>
      </c>
    </row>
    <row r="8245" spans="1:13">
      <c r="A8245" t="n">
        <v>75926</v>
      </c>
      <c r="B8245" s="38" t="n">
        <v>51</v>
      </c>
      <c r="C8245" s="7" t="n">
        <v>3</v>
      </c>
      <c r="D8245" s="7" t="n">
        <v>11</v>
      </c>
      <c r="E8245" s="7" t="s">
        <v>295</v>
      </c>
      <c r="F8245" s="7" t="s">
        <v>79</v>
      </c>
      <c r="G8245" s="7" t="s">
        <v>78</v>
      </c>
      <c r="H8245" s="7" t="s">
        <v>79</v>
      </c>
    </row>
    <row r="8246" spans="1:13">
      <c r="A8246" t="s">
        <v>4</v>
      </c>
      <c r="B8246" s="4" t="s">
        <v>5</v>
      </c>
      <c r="C8246" s="4" t="s">
        <v>11</v>
      </c>
      <c r="D8246" s="4" t="s">
        <v>13</v>
      </c>
      <c r="E8246" s="4" t="s">
        <v>13</v>
      </c>
      <c r="F8246" s="4" t="s">
        <v>13</v>
      </c>
      <c r="G8246" s="4" t="s">
        <v>11</v>
      </c>
      <c r="H8246" s="4" t="s">
        <v>11</v>
      </c>
    </row>
    <row r="8247" spans="1:13">
      <c r="A8247" t="n">
        <v>75939</v>
      </c>
      <c r="B8247" s="37" t="n">
        <v>60</v>
      </c>
      <c r="C8247" s="7" t="n">
        <v>11</v>
      </c>
      <c r="D8247" s="7" t="n">
        <v>-45</v>
      </c>
      <c r="E8247" s="7" t="n">
        <v>0</v>
      </c>
      <c r="F8247" s="7" t="n">
        <v>0</v>
      </c>
      <c r="G8247" s="7" t="n">
        <v>1000</v>
      </c>
      <c r="H8247" s="7" t="n">
        <v>0</v>
      </c>
    </row>
    <row r="8248" spans="1:13">
      <c r="A8248" t="s">
        <v>4</v>
      </c>
      <c r="B8248" s="4" t="s">
        <v>5</v>
      </c>
      <c r="C8248" s="4" t="s">
        <v>11</v>
      </c>
    </row>
    <row r="8249" spans="1:13">
      <c r="A8249" t="n">
        <v>75958</v>
      </c>
      <c r="B8249" s="29" t="n">
        <v>16</v>
      </c>
      <c r="C8249" s="7" t="n">
        <v>1000</v>
      </c>
    </row>
    <row r="8250" spans="1:13">
      <c r="A8250" t="s">
        <v>4</v>
      </c>
      <c r="B8250" s="4" t="s">
        <v>5</v>
      </c>
      <c r="C8250" s="4" t="s">
        <v>7</v>
      </c>
      <c r="D8250" s="4" t="s">
        <v>11</v>
      </c>
      <c r="E8250" s="4" t="s">
        <v>8</v>
      </c>
      <c r="F8250" s="4" t="s">
        <v>8</v>
      </c>
      <c r="G8250" s="4" t="s">
        <v>8</v>
      </c>
      <c r="H8250" s="4" t="s">
        <v>8</v>
      </c>
    </row>
    <row r="8251" spans="1:13">
      <c r="A8251" t="n">
        <v>75961</v>
      </c>
      <c r="B8251" s="38" t="n">
        <v>51</v>
      </c>
      <c r="C8251" s="7" t="n">
        <v>3</v>
      </c>
      <c r="D8251" s="7" t="n">
        <v>11</v>
      </c>
      <c r="E8251" s="7" t="s">
        <v>296</v>
      </c>
      <c r="F8251" s="7" t="s">
        <v>79</v>
      </c>
      <c r="G8251" s="7" t="s">
        <v>78</v>
      </c>
      <c r="H8251" s="7" t="s">
        <v>79</v>
      </c>
    </row>
    <row r="8252" spans="1:13">
      <c r="A8252" t="s">
        <v>4</v>
      </c>
      <c r="B8252" s="4" t="s">
        <v>5</v>
      </c>
      <c r="C8252" s="4" t="s">
        <v>11</v>
      </c>
      <c r="D8252" s="4" t="s">
        <v>13</v>
      </c>
      <c r="E8252" s="4" t="s">
        <v>13</v>
      </c>
      <c r="F8252" s="4" t="s">
        <v>13</v>
      </c>
      <c r="G8252" s="4" t="s">
        <v>11</v>
      </c>
      <c r="H8252" s="4" t="s">
        <v>11</v>
      </c>
    </row>
    <row r="8253" spans="1:13">
      <c r="A8253" t="n">
        <v>75975</v>
      </c>
      <c r="B8253" s="37" t="n">
        <v>60</v>
      </c>
      <c r="C8253" s="7" t="n">
        <v>11</v>
      </c>
      <c r="D8253" s="7" t="n">
        <v>45</v>
      </c>
      <c r="E8253" s="7" t="n">
        <v>0</v>
      </c>
      <c r="F8253" s="7" t="n">
        <v>0</v>
      </c>
      <c r="G8253" s="7" t="n">
        <v>1000</v>
      </c>
      <c r="H8253" s="7" t="n">
        <v>0</v>
      </c>
    </row>
    <row r="8254" spans="1:13">
      <c r="A8254" t="s">
        <v>4</v>
      </c>
      <c r="B8254" s="4" t="s">
        <v>5</v>
      </c>
      <c r="C8254" s="4" t="s">
        <v>11</v>
      </c>
    </row>
    <row r="8255" spans="1:13">
      <c r="A8255" t="n">
        <v>75994</v>
      </c>
      <c r="B8255" s="29" t="n">
        <v>16</v>
      </c>
      <c r="C8255" s="7" t="n">
        <v>1200</v>
      </c>
    </row>
    <row r="8256" spans="1:13">
      <c r="A8256" t="s">
        <v>4</v>
      </c>
      <c r="B8256" s="4" t="s">
        <v>5</v>
      </c>
      <c r="C8256" s="4" t="s">
        <v>7</v>
      </c>
      <c r="D8256" s="4" t="s">
        <v>11</v>
      </c>
      <c r="E8256" s="4" t="s">
        <v>8</v>
      </c>
      <c r="F8256" s="4" t="s">
        <v>8</v>
      </c>
      <c r="G8256" s="4" t="s">
        <v>8</v>
      </c>
      <c r="H8256" s="4" t="s">
        <v>8</v>
      </c>
    </row>
    <row r="8257" spans="1:13">
      <c r="A8257" t="n">
        <v>75997</v>
      </c>
      <c r="B8257" s="38" t="n">
        <v>51</v>
      </c>
      <c r="C8257" s="7" t="n">
        <v>3</v>
      </c>
      <c r="D8257" s="7" t="n">
        <v>11</v>
      </c>
      <c r="E8257" s="7" t="s">
        <v>319</v>
      </c>
      <c r="F8257" s="7" t="s">
        <v>79</v>
      </c>
      <c r="G8257" s="7" t="s">
        <v>78</v>
      </c>
      <c r="H8257" s="7" t="s">
        <v>79</v>
      </c>
    </row>
    <row r="8258" spans="1:13">
      <c r="A8258" t="s">
        <v>4</v>
      </c>
      <c r="B8258" s="4" t="s">
        <v>5</v>
      </c>
      <c r="C8258" s="4" t="s">
        <v>11</v>
      </c>
      <c r="D8258" s="4" t="s">
        <v>13</v>
      </c>
      <c r="E8258" s="4" t="s">
        <v>13</v>
      </c>
      <c r="F8258" s="4" t="s">
        <v>13</v>
      </c>
      <c r="G8258" s="4" t="s">
        <v>11</v>
      </c>
      <c r="H8258" s="4" t="s">
        <v>11</v>
      </c>
    </row>
    <row r="8259" spans="1:13">
      <c r="A8259" t="n">
        <v>76010</v>
      </c>
      <c r="B8259" s="37" t="n">
        <v>60</v>
      </c>
      <c r="C8259" s="7" t="n">
        <v>11</v>
      </c>
      <c r="D8259" s="7" t="n">
        <v>0</v>
      </c>
      <c r="E8259" s="7" t="n">
        <v>0</v>
      </c>
      <c r="F8259" s="7" t="n">
        <v>0</v>
      </c>
      <c r="G8259" s="7" t="n">
        <v>1000</v>
      </c>
      <c r="H8259" s="7" t="n">
        <v>0</v>
      </c>
    </row>
    <row r="8260" spans="1:13">
      <c r="A8260" t="s">
        <v>4</v>
      </c>
      <c r="B8260" s="4" t="s">
        <v>5</v>
      </c>
      <c r="C8260" s="4" t="s">
        <v>11</v>
      </c>
    </row>
    <row r="8261" spans="1:13">
      <c r="A8261" t="n">
        <v>76029</v>
      </c>
      <c r="B8261" s="29" t="n">
        <v>16</v>
      </c>
      <c r="C8261" s="7" t="n">
        <v>1000</v>
      </c>
    </row>
    <row r="8262" spans="1:13">
      <c r="A8262" t="s">
        <v>4</v>
      </c>
      <c r="B8262" s="4" t="s">
        <v>5</v>
      </c>
      <c r="C8262" s="4" t="s">
        <v>7</v>
      </c>
      <c r="D8262" s="4" t="s">
        <v>11</v>
      </c>
      <c r="E8262" s="4" t="s">
        <v>8</v>
      </c>
    </row>
    <row r="8263" spans="1:13">
      <c r="A8263" t="n">
        <v>76032</v>
      </c>
      <c r="B8263" s="38" t="n">
        <v>51</v>
      </c>
      <c r="C8263" s="7" t="n">
        <v>4</v>
      </c>
      <c r="D8263" s="7" t="n">
        <v>11</v>
      </c>
      <c r="E8263" s="7" t="s">
        <v>709</v>
      </c>
    </row>
    <row r="8264" spans="1:13">
      <c r="A8264" t="s">
        <v>4</v>
      </c>
      <c r="B8264" s="4" t="s">
        <v>5</v>
      </c>
      <c r="C8264" s="4" t="s">
        <v>11</v>
      </c>
    </row>
    <row r="8265" spans="1:13">
      <c r="A8265" t="n">
        <v>76046</v>
      </c>
      <c r="B8265" s="29" t="n">
        <v>16</v>
      </c>
      <c r="C8265" s="7" t="n">
        <v>0</v>
      </c>
    </row>
    <row r="8266" spans="1:13">
      <c r="A8266" t="s">
        <v>4</v>
      </c>
      <c r="B8266" s="4" t="s">
        <v>5</v>
      </c>
      <c r="C8266" s="4" t="s">
        <v>11</v>
      </c>
      <c r="D8266" s="4" t="s">
        <v>7</v>
      </c>
      <c r="E8266" s="4" t="s">
        <v>15</v>
      </c>
      <c r="F8266" s="4" t="s">
        <v>55</v>
      </c>
      <c r="G8266" s="4" t="s">
        <v>7</v>
      </c>
      <c r="H8266" s="4" t="s">
        <v>7</v>
      </c>
      <c r="I8266" s="4" t="s">
        <v>7</v>
      </c>
      <c r="J8266" s="4" t="s">
        <v>15</v>
      </c>
      <c r="K8266" s="4" t="s">
        <v>55</v>
      </c>
      <c r="L8266" s="4" t="s">
        <v>7</v>
      </c>
      <c r="M8266" s="4" t="s">
        <v>7</v>
      </c>
      <c r="N8266" s="4" t="s">
        <v>7</v>
      </c>
      <c r="O8266" s="4" t="s">
        <v>15</v>
      </c>
      <c r="P8266" s="4" t="s">
        <v>55</v>
      </c>
      <c r="Q8266" s="4" t="s">
        <v>7</v>
      </c>
      <c r="R8266" s="4" t="s">
        <v>7</v>
      </c>
    </row>
    <row r="8267" spans="1:13">
      <c r="A8267" t="n">
        <v>76049</v>
      </c>
      <c r="B8267" s="55" t="n">
        <v>26</v>
      </c>
      <c r="C8267" s="7" t="n">
        <v>11</v>
      </c>
      <c r="D8267" s="7" t="n">
        <v>17</v>
      </c>
      <c r="E8267" s="7" t="n">
        <v>63988</v>
      </c>
      <c r="F8267" s="7" t="s">
        <v>710</v>
      </c>
      <c r="G8267" s="7" t="n">
        <v>2</v>
      </c>
      <c r="H8267" s="7" t="n">
        <v>3</v>
      </c>
      <c r="I8267" s="7" t="n">
        <v>17</v>
      </c>
      <c r="J8267" s="7" t="n">
        <v>63989</v>
      </c>
      <c r="K8267" s="7" t="s">
        <v>711</v>
      </c>
      <c r="L8267" s="7" t="n">
        <v>2</v>
      </c>
      <c r="M8267" s="7" t="n">
        <v>3</v>
      </c>
      <c r="N8267" s="7" t="n">
        <v>17</v>
      </c>
      <c r="O8267" s="7" t="n">
        <v>63990</v>
      </c>
      <c r="P8267" s="7" t="s">
        <v>712</v>
      </c>
      <c r="Q8267" s="7" t="n">
        <v>2</v>
      </c>
      <c r="R8267" s="7" t="n">
        <v>0</v>
      </c>
    </row>
    <row r="8268" spans="1:13">
      <c r="A8268" t="s">
        <v>4</v>
      </c>
      <c r="B8268" s="4" t="s">
        <v>5</v>
      </c>
    </row>
    <row r="8269" spans="1:13">
      <c r="A8269" t="n">
        <v>76318</v>
      </c>
      <c r="B8269" s="27" t="n">
        <v>28</v>
      </c>
    </row>
    <row r="8270" spans="1:13">
      <c r="A8270" t="s">
        <v>4</v>
      </c>
      <c r="B8270" s="4" t="s">
        <v>5</v>
      </c>
      <c r="C8270" s="4" t="s">
        <v>7</v>
      </c>
      <c r="D8270" s="4" t="s">
        <v>11</v>
      </c>
      <c r="E8270" s="4" t="s">
        <v>8</v>
      </c>
    </row>
    <row r="8271" spans="1:13">
      <c r="A8271" t="n">
        <v>76319</v>
      </c>
      <c r="B8271" s="38" t="n">
        <v>51</v>
      </c>
      <c r="C8271" s="7" t="n">
        <v>4</v>
      </c>
      <c r="D8271" s="7" t="n">
        <v>0</v>
      </c>
      <c r="E8271" s="7" t="s">
        <v>173</v>
      </c>
    </row>
    <row r="8272" spans="1:13">
      <c r="A8272" t="s">
        <v>4</v>
      </c>
      <c r="B8272" s="4" t="s">
        <v>5</v>
      </c>
      <c r="C8272" s="4" t="s">
        <v>11</v>
      </c>
    </row>
    <row r="8273" spans="1:18">
      <c r="A8273" t="n">
        <v>76332</v>
      </c>
      <c r="B8273" s="29" t="n">
        <v>16</v>
      </c>
      <c r="C8273" s="7" t="n">
        <v>0</v>
      </c>
    </row>
    <row r="8274" spans="1:18">
      <c r="A8274" t="s">
        <v>4</v>
      </c>
      <c r="B8274" s="4" t="s">
        <v>5</v>
      </c>
      <c r="C8274" s="4" t="s">
        <v>11</v>
      </c>
      <c r="D8274" s="4" t="s">
        <v>7</v>
      </c>
      <c r="E8274" s="4" t="s">
        <v>15</v>
      </c>
      <c r="F8274" s="4" t="s">
        <v>55</v>
      </c>
      <c r="G8274" s="4" t="s">
        <v>7</v>
      </c>
      <c r="H8274" s="4" t="s">
        <v>7</v>
      </c>
      <c r="I8274" s="4" t="s">
        <v>7</v>
      </c>
      <c r="J8274" s="4" t="s">
        <v>15</v>
      </c>
      <c r="K8274" s="4" t="s">
        <v>55</v>
      </c>
      <c r="L8274" s="4" t="s">
        <v>7</v>
      </c>
      <c r="M8274" s="4" t="s">
        <v>7</v>
      </c>
      <c r="N8274" s="4" t="s">
        <v>7</v>
      </c>
      <c r="O8274" s="4" t="s">
        <v>15</v>
      </c>
      <c r="P8274" s="4" t="s">
        <v>55</v>
      </c>
      <c r="Q8274" s="4" t="s">
        <v>7</v>
      </c>
      <c r="R8274" s="4" t="s">
        <v>7</v>
      </c>
    </row>
    <row r="8275" spans="1:18">
      <c r="A8275" t="n">
        <v>76335</v>
      </c>
      <c r="B8275" s="55" t="n">
        <v>26</v>
      </c>
      <c r="C8275" s="7" t="n">
        <v>0</v>
      </c>
      <c r="D8275" s="7" t="n">
        <v>17</v>
      </c>
      <c r="E8275" s="7" t="n">
        <v>63991</v>
      </c>
      <c r="F8275" s="7" t="s">
        <v>713</v>
      </c>
      <c r="G8275" s="7" t="n">
        <v>2</v>
      </c>
      <c r="H8275" s="7" t="n">
        <v>3</v>
      </c>
      <c r="I8275" s="7" t="n">
        <v>17</v>
      </c>
      <c r="J8275" s="7" t="n">
        <v>63992</v>
      </c>
      <c r="K8275" s="7" t="s">
        <v>714</v>
      </c>
      <c r="L8275" s="7" t="n">
        <v>2</v>
      </c>
      <c r="M8275" s="7" t="n">
        <v>3</v>
      </c>
      <c r="N8275" s="7" t="n">
        <v>17</v>
      </c>
      <c r="O8275" s="7" t="n">
        <v>63993</v>
      </c>
      <c r="P8275" s="7" t="s">
        <v>715</v>
      </c>
      <c r="Q8275" s="7" t="n">
        <v>2</v>
      </c>
      <c r="R8275" s="7" t="n">
        <v>0</v>
      </c>
    </row>
    <row r="8276" spans="1:18">
      <c r="A8276" t="s">
        <v>4</v>
      </c>
      <c r="B8276" s="4" t="s">
        <v>5</v>
      </c>
    </row>
    <row r="8277" spans="1:18">
      <c r="A8277" t="n">
        <v>76580</v>
      </c>
      <c r="B8277" s="27" t="n">
        <v>28</v>
      </c>
    </row>
    <row r="8278" spans="1:18">
      <c r="A8278" t="s">
        <v>4</v>
      </c>
      <c r="B8278" s="4" t="s">
        <v>5</v>
      </c>
      <c r="C8278" s="4" t="s">
        <v>7</v>
      </c>
      <c r="D8278" s="4" t="s">
        <v>11</v>
      </c>
      <c r="E8278" s="4" t="s">
        <v>8</v>
      </c>
    </row>
    <row r="8279" spans="1:18">
      <c r="A8279" t="n">
        <v>76581</v>
      </c>
      <c r="B8279" s="38" t="n">
        <v>51</v>
      </c>
      <c r="C8279" s="7" t="n">
        <v>4</v>
      </c>
      <c r="D8279" s="7" t="n">
        <v>11</v>
      </c>
      <c r="E8279" s="7" t="s">
        <v>716</v>
      </c>
    </row>
    <row r="8280" spans="1:18">
      <c r="A8280" t="s">
        <v>4</v>
      </c>
      <c r="B8280" s="4" t="s">
        <v>5</v>
      </c>
      <c r="C8280" s="4" t="s">
        <v>11</v>
      </c>
    </row>
    <row r="8281" spans="1:18">
      <c r="A8281" t="n">
        <v>76600</v>
      </c>
      <c r="B8281" s="29" t="n">
        <v>16</v>
      </c>
      <c r="C8281" s="7" t="n">
        <v>0</v>
      </c>
    </row>
    <row r="8282" spans="1:18">
      <c r="A8282" t="s">
        <v>4</v>
      </c>
      <c r="B8282" s="4" t="s">
        <v>5</v>
      </c>
      <c r="C8282" s="4" t="s">
        <v>11</v>
      </c>
      <c r="D8282" s="4" t="s">
        <v>7</v>
      </c>
      <c r="E8282" s="4" t="s">
        <v>15</v>
      </c>
      <c r="F8282" s="4" t="s">
        <v>55</v>
      </c>
      <c r="G8282" s="4" t="s">
        <v>7</v>
      </c>
      <c r="H8282" s="4" t="s">
        <v>7</v>
      </c>
    </row>
    <row r="8283" spans="1:18">
      <c r="A8283" t="n">
        <v>76603</v>
      </c>
      <c r="B8283" s="55" t="n">
        <v>26</v>
      </c>
      <c r="C8283" s="7" t="n">
        <v>11</v>
      </c>
      <c r="D8283" s="7" t="n">
        <v>17</v>
      </c>
      <c r="E8283" s="7" t="n">
        <v>63994</v>
      </c>
      <c r="F8283" s="7" t="s">
        <v>717</v>
      </c>
      <c r="G8283" s="7" t="n">
        <v>2</v>
      </c>
      <c r="H8283" s="7" t="n">
        <v>0</v>
      </c>
    </row>
    <row r="8284" spans="1:18">
      <c r="A8284" t="s">
        <v>4</v>
      </c>
      <c r="B8284" s="4" t="s">
        <v>5</v>
      </c>
    </row>
    <row r="8285" spans="1:18">
      <c r="A8285" t="n">
        <v>76625</v>
      </c>
      <c r="B8285" s="27" t="n">
        <v>28</v>
      </c>
    </row>
    <row r="8286" spans="1:18">
      <c r="A8286" t="s">
        <v>4</v>
      </c>
      <c r="B8286" s="4" t="s">
        <v>5</v>
      </c>
      <c r="C8286" s="4" t="s">
        <v>11</v>
      </c>
      <c r="D8286" s="4" t="s">
        <v>7</v>
      </c>
    </row>
    <row r="8287" spans="1:18">
      <c r="A8287" t="n">
        <v>76626</v>
      </c>
      <c r="B8287" s="68" t="n">
        <v>89</v>
      </c>
      <c r="C8287" s="7" t="n">
        <v>65533</v>
      </c>
      <c r="D8287" s="7" t="n">
        <v>1</v>
      </c>
    </row>
    <row r="8288" spans="1:18">
      <c r="A8288" t="s">
        <v>4</v>
      </c>
      <c r="B8288" s="4" t="s">
        <v>5</v>
      </c>
      <c r="C8288" s="4" t="s">
        <v>7</v>
      </c>
      <c r="D8288" s="4" t="s">
        <v>11</v>
      </c>
      <c r="E8288" s="4" t="s">
        <v>13</v>
      </c>
    </row>
    <row r="8289" spans="1:18">
      <c r="A8289" t="n">
        <v>76630</v>
      </c>
      <c r="B8289" s="23" t="n">
        <v>58</v>
      </c>
      <c r="C8289" s="7" t="n">
        <v>101</v>
      </c>
      <c r="D8289" s="7" t="n">
        <v>500</v>
      </c>
      <c r="E8289" s="7" t="n">
        <v>1</v>
      </c>
    </row>
    <row r="8290" spans="1:18">
      <c r="A8290" t="s">
        <v>4</v>
      </c>
      <c r="B8290" s="4" t="s">
        <v>5</v>
      </c>
      <c r="C8290" s="4" t="s">
        <v>7</v>
      </c>
      <c r="D8290" s="4" t="s">
        <v>11</v>
      </c>
    </row>
    <row r="8291" spans="1:18">
      <c r="A8291" t="n">
        <v>76638</v>
      </c>
      <c r="B8291" s="23" t="n">
        <v>58</v>
      </c>
      <c r="C8291" s="7" t="n">
        <v>254</v>
      </c>
      <c r="D8291" s="7" t="n">
        <v>0</v>
      </c>
    </row>
    <row r="8292" spans="1:18">
      <c r="A8292" t="s">
        <v>4</v>
      </c>
      <c r="B8292" s="4" t="s">
        <v>5</v>
      </c>
      <c r="C8292" s="4" t="s">
        <v>7</v>
      </c>
      <c r="D8292" s="4" t="s">
        <v>11</v>
      </c>
      <c r="E8292" s="4" t="s">
        <v>8</v>
      </c>
      <c r="F8292" s="4" t="s">
        <v>8</v>
      </c>
      <c r="G8292" s="4" t="s">
        <v>8</v>
      </c>
      <c r="H8292" s="4" t="s">
        <v>8</v>
      </c>
    </row>
    <row r="8293" spans="1:18">
      <c r="A8293" t="n">
        <v>76642</v>
      </c>
      <c r="B8293" s="38" t="n">
        <v>51</v>
      </c>
      <c r="C8293" s="7" t="n">
        <v>3</v>
      </c>
      <c r="D8293" s="7" t="n">
        <v>0</v>
      </c>
      <c r="E8293" s="7" t="s">
        <v>65</v>
      </c>
      <c r="F8293" s="7" t="s">
        <v>99</v>
      </c>
      <c r="G8293" s="7" t="s">
        <v>78</v>
      </c>
      <c r="H8293" s="7" t="s">
        <v>79</v>
      </c>
    </row>
    <row r="8294" spans="1:18">
      <c r="A8294" t="s">
        <v>4</v>
      </c>
      <c r="B8294" s="4" t="s">
        <v>5</v>
      </c>
      <c r="C8294" s="4" t="s">
        <v>7</v>
      </c>
      <c r="D8294" s="4" t="s">
        <v>11</v>
      </c>
      <c r="E8294" s="4" t="s">
        <v>8</v>
      </c>
      <c r="F8294" s="4" t="s">
        <v>8</v>
      </c>
      <c r="G8294" s="4" t="s">
        <v>8</v>
      </c>
      <c r="H8294" s="4" t="s">
        <v>8</v>
      </c>
    </row>
    <row r="8295" spans="1:18">
      <c r="A8295" t="n">
        <v>76663</v>
      </c>
      <c r="B8295" s="38" t="n">
        <v>51</v>
      </c>
      <c r="C8295" s="7" t="n">
        <v>3</v>
      </c>
      <c r="D8295" s="7" t="n">
        <v>11</v>
      </c>
      <c r="E8295" s="7" t="s">
        <v>65</v>
      </c>
      <c r="F8295" s="7" t="s">
        <v>232</v>
      </c>
      <c r="G8295" s="7" t="s">
        <v>78</v>
      </c>
      <c r="H8295" s="7" t="s">
        <v>79</v>
      </c>
    </row>
    <row r="8296" spans="1:18">
      <c r="A8296" t="s">
        <v>4</v>
      </c>
      <c r="B8296" s="4" t="s">
        <v>5</v>
      </c>
      <c r="C8296" s="4" t="s">
        <v>11</v>
      </c>
      <c r="D8296" s="4" t="s">
        <v>11</v>
      </c>
      <c r="E8296" s="4" t="s">
        <v>11</v>
      </c>
    </row>
    <row r="8297" spans="1:18">
      <c r="A8297" t="n">
        <v>76684</v>
      </c>
      <c r="B8297" s="72" t="n">
        <v>61</v>
      </c>
      <c r="C8297" s="7" t="n">
        <v>0</v>
      </c>
      <c r="D8297" s="7" t="n">
        <v>65533</v>
      </c>
      <c r="E8297" s="7" t="n">
        <v>0</v>
      </c>
    </row>
    <row r="8298" spans="1:18">
      <c r="A8298" t="s">
        <v>4</v>
      </c>
      <c r="B8298" s="4" t="s">
        <v>5</v>
      </c>
      <c r="C8298" s="4" t="s">
        <v>11</v>
      </c>
      <c r="D8298" s="4" t="s">
        <v>11</v>
      </c>
      <c r="E8298" s="4" t="s">
        <v>11</v>
      </c>
    </row>
    <row r="8299" spans="1:18">
      <c r="A8299" t="n">
        <v>76691</v>
      </c>
      <c r="B8299" s="72" t="n">
        <v>61</v>
      </c>
      <c r="C8299" s="7" t="n">
        <v>11</v>
      </c>
      <c r="D8299" s="7" t="n">
        <v>65533</v>
      </c>
      <c r="E8299" s="7" t="n">
        <v>0</v>
      </c>
    </row>
    <row r="8300" spans="1:18">
      <c r="A8300" t="s">
        <v>4</v>
      </c>
      <c r="B8300" s="4" t="s">
        <v>5</v>
      </c>
      <c r="C8300" s="4" t="s">
        <v>7</v>
      </c>
    </row>
    <row r="8301" spans="1:18">
      <c r="A8301" t="n">
        <v>76698</v>
      </c>
      <c r="B8301" s="49" t="n">
        <v>116</v>
      </c>
      <c r="C8301" s="7" t="n">
        <v>0</v>
      </c>
    </row>
    <row r="8302" spans="1:18">
      <c r="A8302" t="s">
        <v>4</v>
      </c>
      <c r="B8302" s="4" t="s">
        <v>5</v>
      </c>
      <c r="C8302" s="4" t="s">
        <v>7</v>
      </c>
      <c r="D8302" s="4" t="s">
        <v>11</v>
      </c>
    </row>
    <row r="8303" spans="1:18">
      <c r="A8303" t="n">
        <v>76700</v>
      </c>
      <c r="B8303" s="49" t="n">
        <v>116</v>
      </c>
      <c r="C8303" s="7" t="n">
        <v>2</v>
      </c>
      <c r="D8303" s="7" t="n">
        <v>1</v>
      </c>
    </row>
    <row r="8304" spans="1:18">
      <c r="A8304" t="s">
        <v>4</v>
      </c>
      <c r="B8304" s="4" t="s">
        <v>5</v>
      </c>
      <c r="C8304" s="4" t="s">
        <v>7</v>
      </c>
      <c r="D8304" s="4" t="s">
        <v>15</v>
      </c>
    </row>
    <row r="8305" spans="1:8">
      <c r="A8305" t="n">
        <v>76704</v>
      </c>
      <c r="B8305" s="49" t="n">
        <v>116</v>
      </c>
      <c r="C8305" s="7" t="n">
        <v>5</v>
      </c>
      <c r="D8305" s="7" t="n">
        <v>1106247680</v>
      </c>
    </row>
    <row r="8306" spans="1:8">
      <c r="A8306" t="s">
        <v>4</v>
      </c>
      <c r="B8306" s="4" t="s">
        <v>5</v>
      </c>
      <c r="C8306" s="4" t="s">
        <v>7</v>
      </c>
      <c r="D8306" s="4" t="s">
        <v>11</v>
      </c>
    </row>
    <row r="8307" spans="1:8">
      <c r="A8307" t="n">
        <v>76710</v>
      </c>
      <c r="B8307" s="49" t="n">
        <v>116</v>
      </c>
      <c r="C8307" s="7" t="n">
        <v>6</v>
      </c>
      <c r="D8307" s="7" t="n">
        <v>1</v>
      </c>
    </row>
    <row r="8308" spans="1:8">
      <c r="A8308" t="s">
        <v>4</v>
      </c>
      <c r="B8308" s="4" t="s">
        <v>5</v>
      </c>
      <c r="C8308" s="4" t="s">
        <v>7</v>
      </c>
      <c r="D8308" s="4" t="s">
        <v>7</v>
      </c>
      <c r="E8308" s="4" t="s">
        <v>13</v>
      </c>
      <c r="F8308" s="4" t="s">
        <v>13</v>
      </c>
      <c r="G8308" s="4" t="s">
        <v>13</v>
      </c>
      <c r="H8308" s="4" t="s">
        <v>11</v>
      </c>
    </row>
    <row r="8309" spans="1:8">
      <c r="A8309" t="n">
        <v>76714</v>
      </c>
      <c r="B8309" s="51" t="n">
        <v>45</v>
      </c>
      <c r="C8309" s="7" t="n">
        <v>2</v>
      </c>
      <c r="D8309" s="7" t="n">
        <v>3</v>
      </c>
      <c r="E8309" s="7" t="n">
        <v>4.53000020980835</v>
      </c>
      <c r="F8309" s="7" t="n">
        <v>1.30999994277954</v>
      </c>
      <c r="G8309" s="7" t="n">
        <v>46.2700004577637</v>
      </c>
      <c r="H8309" s="7" t="n">
        <v>0</v>
      </c>
    </row>
    <row r="8310" spans="1:8">
      <c r="A8310" t="s">
        <v>4</v>
      </c>
      <c r="B8310" s="4" t="s">
        <v>5</v>
      </c>
      <c r="C8310" s="4" t="s">
        <v>7</v>
      </c>
      <c r="D8310" s="4" t="s">
        <v>7</v>
      </c>
      <c r="E8310" s="4" t="s">
        <v>13</v>
      </c>
      <c r="F8310" s="4" t="s">
        <v>13</v>
      </c>
      <c r="G8310" s="4" t="s">
        <v>13</v>
      </c>
      <c r="H8310" s="4" t="s">
        <v>11</v>
      </c>
      <c r="I8310" s="4" t="s">
        <v>7</v>
      </c>
    </row>
    <row r="8311" spans="1:8">
      <c r="A8311" t="n">
        <v>76731</v>
      </c>
      <c r="B8311" s="51" t="n">
        <v>45</v>
      </c>
      <c r="C8311" s="7" t="n">
        <v>4</v>
      </c>
      <c r="D8311" s="7" t="n">
        <v>3</v>
      </c>
      <c r="E8311" s="7" t="n">
        <v>12.8699998855591</v>
      </c>
      <c r="F8311" s="7" t="n">
        <v>80.0199966430664</v>
      </c>
      <c r="G8311" s="7" t="n">
        <v>0</v>
      </c>
      <c r="H8311" s="7" t="n">
        <v>0</v>
      </c>
      <c r="I8311" s="7" t="n">
        <v>0</v>
      </c>
    </row>
    <row r="8312" spans="1:8">
      <c r="A8312" t="s">
        <v>4</v>
      </c>
      <c r="B8312" s="4" t="s">
        <v>5</v>
      </c>
      <c r="C8312" s="4" t="s">
        <v>7</v>
      </c>
      <c r="D8312" s="4" t="s">
        <v>7</v>
      </c>
      <c r="E8312" s="4" t="s">
        <v>13</v>
      </c>
      <c r="F8312" s="4" t="s">
        <v>11</v>
      </c>
    </row>
    <row r="8313" spans="1:8">
      <c r="A8313" t="n">
        <v>76749</v>
      </c>
      <c r="B8313" s="51" t="n">
        <v>45</v>
      </c>
      <c r="C8313" s="7" t="n">
        <v>5</v>
      </c>
      <c r="D8313" s="7" t="n">
        <v>3</v>
      </c>
      <c r="E8313" s="7" t="n">
        <v>3</v>
      </c>
      <c r="F8313" s="7" t="n">
        <v>0</v>
      </c>
    </row>
    <row r="8314" spans="1:8">
      <c r="A8314" t="s">
        <v>4</v>
      </c>
      <c r="B8314" s="4" t="s">
        <v>5</v>
      </c>
      <c r="C8314" s="4" t="s">
        <v>7</v>
      </c>
      <c r="D8314" s="4" t="s">
        <v>7</v>
      </c>
      <c r="E8314" s="4" t="s">
        <v>13</v>
      </c>
      <c r="F8314" s="4" t="s">
        <v>11</v>
      </c>
    </row>
    <row r="8315" spans="1:8">
      <c r="A8315" t="n">
        <v>76758</v>
      </c>
      <c r="B8315" s="51" t="n">
        <v>45</v>
      </c>
      <c r="C8315" s="7" t="n">
        <v>11</v>
      </c>
      <c r="D8315" s="7" t="n">
        <v>3</v>
      </c>
      <c r="E8315" s="7" t="n">
        <v>34</v>
      </c>
      <c r="F8315" s="7" t="n">
        <v>0</v>
      </c>
    </row>
    <row r="8316" spans="1:8">
      <c r="A8316" t="s">
        <v>4</v>
      </c>
      <c r="B8316" s="4" t="s">
        <v>5</v>
      </c>
      <c r="C8316" s="4" t="s">
        <v>7</v>
      </c>
      <c r="D8316" s="4" t="s">
        <v>7</v>
      </c>
      <c r="E8316" s="4" t="s">
        <v>13</v>
      </c>
      <c r="F8316" s="4" t="s">
        <v>13</v>
      </c>
      <c r="G8316" s="4" t="s">
        <v>13</v>
      </c>
      <c r="H8316" s="4" t="s">
        <v>11</v>
      </c>
    </row>
    <row r="8317" spans="1:8">
      <c r="A8317" t="n">
        <v>76767</v>
      </c>
      <c r="B8317" s="51" t="n">
        <v>45</v>
      </c>
      <c r="C8317" s="7" t="n">
        <v>2</v>
      </c>
      <c r="D8317" s="7" t="n">
        <v>3</v>
      </c>
      <c r="E8317" s="7" t="n">
        <v>4.53000020980835</v>
      </c>
      <c r="F8317" s="7" t="n">
        <v>2.30999994277954</v>
      </c>
      <c r="G8317" s="7" t="n">
        <v>46.2700004577637</v>
      </c>
      <c r="H8317" s="7" t="n">
        <v>5000</v>
      </c>
    </row>
    <row r="8318" spans="1:8">
      <c r="A8318" t="s">
        <v>4</v>
      </c>
      <c r="B8318" s="4" t="s">
        <v>5</v>
      </c>
      <c r="C8318" s="4" t="s">
        <v>7</v>
      </c>
      <c r="D8318" s="4" t="s">
        <v>11</v>
      </c>
    </row>
    <row r="8319" spans="1:8">
      <c r="A8319" t="n">
        <v>76784</v>
      </c>
      <c r="B8319" s="23" t="n">
        <v>58</v>
      </c>
      <c r="C8319" s="7" t="n">
        <v>255</v>
      </c>
      <c r="D8319" s="7" t="n">
        <v>0</v>
      </c>
    </row>
    <row r="8320" spans="1:8">
      <c r="A8320" t="s">
        <v>4</v>
      </c>
      <c r="B8320" s="4" t="s">
        <v>5</v>
      </c>
      <c r="C8320" s="4" t="s">
        <v>11</v>
      </c>
      <c r="D8320" s="4" t="s">
        <v>13</v>
      </c>
      <c r="E8320" s="4" t="s">
        <v>13</v>
      </c>
      <c r="F8320" s="4" t="s">
        <v>7</v>
      </c>
    </row>
    <row r="8321" spans="1:9">
      <c r="A8321" t="n">
        <v>76788</v>
      </c>
      <c r="B8321" s="65" t="n">
        <v>52</v>
      </c>
      <c r="C8321" s="7" t="n">
        <v>0</v>
      </c>
      <c r="D8321" s="7" t="n">
        <v>255</v>
      </c>
      <c r="E8321" s="7" t="n">
        <v>5</v>
      </c>
      <c r="F8321" s="7" t="n">
        <v>0</v>
      </c>
    </row>
    <row r="8322" spans="1:9">
      <c r="A8322" t="s">
        <v>4</v>
      </c>
      <c r="B8322" s="4" t="s">
        <v>5</v>
      </c>
      <c r="C8322" s="4" t="s">
        <v>11</v>
      </c>
    </row>
    <row r="8323" spans="1:9">
      <c r="A8323" t="n">
        <v>76800</v>
      </c>
      <c r="B8323" s="29" t="n">
        <v>16</v>
      </c>
      <c r="C8323" s="7" t="n">
        <v>100</v>
      </c>
    </row>
    <row r="8324" spans="1:9">
      <c r="A8324" t="s">
        <v>4</v>
      </c>
      <c r="B8324" s="4" t="s">
        <v>5</v>
      </c>
      <c r="C8324" s="4" t="s">
        <v>11</v>
      </c>
      <c r="D8324" s="4" t="s">
        <v>13</v>
      </c>
      <c r="E8324" s="4" t="s">
        <v>13</v>
      </c>
      <c r="F8324" s="4" t="s">
        <v>7</v>
      </c>
    </row>
    <row r="8325" spans="1:9">
      <c r="A8325" t="n">
        <v>76803</v>
      </c>
      <c r="B8325" s="65" t="n">
        <v>52</v>
      </c>
      <c r="C8325" s="7" t="n">
        <v>11</v>
      </c>
      <c r="D8325" s="7" t="n">
        <v>255</v>
      </c>
      <c r="E8325" s="7" t="n">
        <v>5</v>
      </c>
      <c r="F8325" s="7" t="n">
        <v>0</v>
      </c>
    </row>
    <row r="8326" spans="1:9">
      <c r="A8326" t="s">
        <v>4</v>
      </c>
      <c r="B8326" s="4" t="s">
        <v>5</v>
      </c>
      <c r="C8326" s="4" t="s">
        <v>11</v>
      </c>
    </row>
    <row r="8327" spans="1:9">
      <c r="A8327" t="n">
        <v>76815</v>
      </c>
      <c r="B8327" s="66" t="n">
        <v>54</v>
      </c>
      <c r="C8327" s="7" t="n">
        <v>0</v>
      </c>
    </row>
    <row r="8328" spans="1:9">
      <c r="A8328" t="s">
        <v>4</v>
      </c>
      <c r="B8328" s="4" t="s">
        <v>5</v>
      </c>
      <c r="C8328" s="4" t="s">
        <v>11</v>
      </c>
      <c r="D8328" s="4" t="s">
        <v>11</v>
      </c>
      <c r="E8328" s="4" t="s">
        <v>13</v>
      </c>
      <c r="F8328" s="4" t="s">
        <v>13</v>
      </c>
      <c r="G8328" s="4" t="s">
        <v>13</v>
      </c>
      <c r="H8328" s="4" t="s">
        <v>13</v>
      </c>
      <c r="I8328" s="4" t="s">
        <v>7</v>
      </c>
      <c r="J8328" s="4" t="s">
        <v>11</v>
      </c>
    </row>
    <row r="8329" spans="1:9">
      <c r="A8329" t="n">
        <v>76818</v>
      </c>
      <c r="B8329" s="53" t="n">
        <v>55</v>
      </c>
      <c r="C8329" s="7" t="n">
        <v>0</v>
      </c>
      <c r="D8329" s="7" t="n">
        <v>65024</v>
      </c>
      <c r="E8329" s="7" t="n">
        <v>0</v>
      </c>
      <c r="F8329" s="7" t="n">
        <v>0</v>
      </c>
      <c r="G8329" s="7" t="n">
        <v>6</v>
      </c>
      <c r="H8329" s="7" t="n">
        <v>1.20000004768372</v>
      </c>
      <c r="I8329" s="7" t="n">
        <v>1</v>
      </c>
      <c r="J8329" s="7" t="n">
        <v>0</v>
      </c>
    </row>
    <row r="8330" spans="1:9">
      <c r="A8330" t="s">
        <v>4</v>
      </c>
      <c r="B8330" s="4" t="s">
        <v>5</v>
      </c>
      <c r="C8330" s="4" t="s">
        <v>11</v>
      </c>
    </row>
    <row r="8331" spans="1:9">
      <c r="A8331" t="n">
        <v>76842</v>
      </c>
      <c r="B8331" s="66" t="n">
        <v>54</v>
      </c>
      <c r="C8331" s="7" t="n">
        <v>11</v>
      </c>
    </row>
    <row r="8332" spans="1:9">
      <c r="A8332" t="s">
        <v>4</v>
      </c>
      <c r="B8332" s="4" t="s">
        <v>5</v>
      </c>
      <c r="C8332" s="4" t="s">
        <v>11</v>
      </c>
    </row>
    <row r="8333" spans="1:9">
      <c r="A8333" t="n">
        <v>76845</v>
      </c>
      <c r="B8333" s="29" t="n">
        <v>16</v>
      </c>
      <c r="C8333" s="7" t="n">
        <v>200</v>
      </c>
    </row>
    <row r="8334" spans="1:9">
      <c r="A8334" t="s">
        <v>4</v>
      </c>
      <c r="B8334" s="4" t="s">
        <v>5</v>
      </c>
      <c r="C8334" s="4" t="s">
        <v>11</v>
      </c>
      <c r="D8334" s="4" t="s">
        <v>11</v>
      </c>
      <c r="E8334" s="4" t="s">
        <v>13</v>
      </c>
      <c r="F8334" s="4" t="s">
        <v>13</v>
      </c>
      <c r="G8334" s="4" t="s">
        <v>13</v>
      </c>
      <c r="H8334" s="4" t="s">
        <v>13</v>
      </c>
      <c r="I8334" s="4" t="s">
        <v>7</v>
      </c>
      <c r="J8334" s="4" t="s">
        <v>11</v>
      </c>
    </row>
    <row r="8335" spans="1:9">
      <c r="A8335" t="n">
        <v>76848</v>
      </c>
      <c r="B8335" s="53" t="n">
        <v>55</v>
      </c>
      <c r="C8335" s="7" t="n">
        <v>11</v>
      </c>
      <c r="D8335" s="7" t="n">
        <v>65024</v>
      </c>
      <c r="E8335" s="7" t="n">
        <v>0</v>
      </c>
      <c r="F8335" s="7" t="n">
        <v>0</v>
      </c>
      <c r="G8335" s="7" t="n">
        <v>6</v>
      </c>
      <c r="H8335" s="7" t="n">
        <v>1.20000004768372</v>
      </c>
      <c r="I8335" s="7" t="n">
        <v>1</v>
      </c>
      <c r="J8335" s="7" t="n">
        <v>0</v>
      </c>
    </row>
    <row r="8336" spans="1:9">
      <c r="A8336" t="s">
        <v>4</v>
      </c>
      <c r="B8336" s="4" t="s">
        <v>5</v>
      </c>
      <c r="C8336" s="4" t="s">
        <v>11</v>
      </c>
    </row>
    <row r="8337" spans="1:10">
      <c r="A8337" t="n">
        <v>76872</v>
      </c>
      <c r="B8337" s="29" t="n">
        <v>16</v>
      </c>
      <c r="C8337" s="7" t="n">
        <v>2000</v>
      </c>
    </row>
    <row r="8338" spans="1:10">
      <c r="A8338" t="s">
        <v>4</v>
      </c>
      <c r="B8338" s="4" t="s">
        <v>5</v>
      </c>
      <c r="C8338" s="4" t="s">
        <v>7</v>
      </c>
      <c r="D8338" s="4" t="s">
        <v>11</v>
      </c>
      <c r="E8338" s="4" t="s">
        <v>13</v>
      </c>
    </row>
    <row r="8339" spans="1:10">
      <c r="A8339" t="n">
        <v>76875</v>
      </c>
      <c r="B8339" s="23" t="n">
        <v>58</v>
      </c>
      <c r="C8339" s="7" t="n">
        <v>0</v>
      </c>
      <c r="D8339" s="7" t="n">
        <v>1000</v>
      </c>
      <c r="E8339" s="7" t="n">
        <v>1</v>
      </c>
    </row>
    <row r="8340" spans="1:10">
      <c r="A8340" t="s">
        <v>4</v>
      </c>
      <c r="B8340" s="4" t="s">
        <v>5</v>
      </c>
      <c r="C8340" s="4" t="s">
        <v>7</v>
      </c>
      <c r="D8340" s="4" t="s">
        <v>11</v>
      </c>
    </row>
    <row r="8341" spans="1:10">
      <c r="A8341" t="n">
        <v>76883</v>
      </c>
      <c r="B8341" s="23" t="n">
        <v>58</v>
      </c>
      <c r="C8341" s="7" t="n">
        <v>255</v>
      </c>
      <c r="D8341" s="7" t="n">
        <v>0</v>
      </c>
    </row>
    <row r="8342" spans="1:10">
      <c r="A8342" t="s">
        <v>4</v>
      </c>
      <c r="B8342" s="4" t="s">
        <v>5</v>
      </c>
      <c r="C8342" s="4" t="s">
        <v>11</v>
      </c>
      <c r="D8342" s="4" t="s">
        <v>7</v>
      </c>
    </row>
    <row r="8343" spans="1:10">
      <c r="A8343" t="n">
        <v>76887</v>
      </c>
      <c r="B8343" s="54" t="n">
        <v>56</v>
      </c>
      <c r="C8343" s="7" t="n">
        <v>0</v>
      </c>
      <c r="D8343" s="7" t="n">
        <v>1</v>
      </c>
    </row>
    <row r="8344" spans="1:10">
      <c r="A8344" t="s">
        <v>4</v>
      </c>
      <c r="B8344" s="4" t="s">
        <v>5</v>
      </c>
      <c r="C8344" s="4" t="s">
        <v>11</v>
      </c>
      <c r="D8344" s="4" t="s">
        <v>7</v>
      </c>
    </row>
    <row r="8345" spans="1:10">
      <c r="A8345" t="n">
        <v>76891</v>
      </c>
      <c r="B8345" s="54" t="n">
        <v>56</v>
      </c>
      <c r="C8345" s="7" t="n">
        <v>11</v>
      </c>
      <c r="D8345" s="7" t="n">
        <v>1</v>
      </c>
    </row>
    <row r="8346" spans="1:10">
      <c r="A8346" t="s">
        <v>4</v>
      </c>
      <c r="B8346" s="4" t="s">
        <v>5</v>
      </c>
      <c r="C8346" s="4" t="s">
        <v>11</v>
      </c>
      <c r="D8346" s="4" t="s">
        <v>13</v>
      </c>
      <c r="E8346" s="4" t="s">
        <v>13</v>
      </c>
      <c r="F8346" s="4" t="s">
        <v>13</v>
      </c>
      <c r="G8346" s="4" t="s">
        <v>13</v>
      </c>
    </row>
    <row r="8347" spans="1:10">
      <c r="A8347" t="n">
        <v>76895</v>
      </c>
      <c r="B8347" s="36" t="n">
        <v>46</v>
      </c>
      <c r="C8347" s="7" t="n">
        <v>0</v>
      </c>
      <c r="D8347" s="7" t="n">
        <v>-2.84999990463257</v>
      </c>
      <c r="E8347" s="7" t="n">
        <v>10.0100002288818</v>
      </c>
      <c r="F8347" s="7" t="n">
        <v>31.7299995422363</v>
      </c>
      <c r="G8347" s="7" t="n">
        <v>95.0999984741211</v>
      </c>
    </row>
    <row r="8348" spans="1:10">
      <c r="A8348" t="s">
        <v>4</v>
      </c>
      <c r="B8348" s="4" t="s">
        <v>5</v>
      </c>
      <c r="C8348" s="4" t="s">
        <v>11</v>
      </c>
      <c r="D8348" s="4" t="s">
        <v>13</v>
      </c>
      <c r="E8348" s="4" t="s">
        <v>13</v>
      </c>
      <c r="F8348" s="4" t="s">
        <v>13</v>
      </c>
      <c r="G8348" s="4" t="s">
        <v>13</v>
      </c>
    </row>
    <row r="8349" spans="1:10">
      <c r="A8349" t="n">
        <v>76914</v>
      </c>
      <c r="B8349" s="36" t="n">
        <v>46</v>
      </c>
      <c r="C8349" s="7" t="n">
        <v>11</v>
      </c>
      <c r="D8349" s="7" t="n">
        <v>-2.07999992370605</v>
      </c>
      <c r="E8349" s="7" t="n">
        <v>10.0100002288818</v>
      </c>
      <c r="F8349" s="7" t="n">
        <v>32.310001373291</v>
      </c>
      <c r="G8349" s="7" t="n">
        <v>86.4000015258789</v>
      </c>
    </row>
    <row r="8350" spans="1:10">
      <c r="A8350" t="s">
        <v>4</v>
      </c>
      <c r="B8350" s="4" t="s">
        <v>5</v>
      </c>
      <c r="C8350" s="4" t="s">
        <v>11</v>
      </c>
      <c r="D8350" s="4" t="s">
        <v>11</v>
      </c>
      <c r="E8350" s="4" t="s">
        <v>11</v>
      </c>
    </row>
    <row r="8351" spans="1:10">
      <c r="A8351" t="n">
        <v>76933</v>
      </c>
      <c r="B8351" s="72" t="n">
        <v>61</v>
      </c>
      <c r="C8351" s="7" t="n">
        <v>0</v>
      </c>
      <c r="D8351" s="7" t="n">
        <v>65533</v>
      </c>
      <c r="E8351" s="7" t="n">
        <v>0</v>
      </c>
    </row>
    <row r="8352" spans="1:10">
      <c r="A8352" t="s">
        <v>4</v>
      </c>
      <c r="B8352" s="4" t="s">
        <v>5</v>
      </c>
      <c r="C8352" s="4" t="s">
        <v>11</v>
      </c>
      <c r="D8352" s="4" t="s">
        <v>11</v>
      </c>
      <c r="E8352" s="4" t="s">
        <v>11</v>
      </c>
    </row>
    <row r="8353" spans="1:7">
      <c r="A8353" t="n">
        <v>76940</v>
      </c>
      <c r="B8353" s="72" t="n">
        <v>61</v>
      </c>
      <c r="C8353" s="7" t="n">
        <v>11</v>
      </c>
      <c r="D8353" s="7" t="n">
        <v>65533</v>
      </c>
      <c r="E8353" s="7" t="n">
        <v>0</v>
      </c>
    </row>
    <row r="8354" spans="1:7">
      <c r="A8354" t="s">
        <v>4</v>
      </c>
      <c r="B8354" s="4" t="s">
        <v>5</v>
      </c>
      <c r="C8354" s="4" t="s">
        <v>7</v>
      </c>
      <c r="D8354" s="4" t="s">
        <v>7</v>
      </c>
      <c r="E8354" s="4" t="s">
        <v>13</v>
      </c>
      <c r="F8354" s="4" t="s">
        <v>13</v>
      </c>
      <c r="G8354" s="4" t="s">
        <v>13</v>
      </c>
      <c r="H8354" s="4" t="s">
        <v>11</v>
      </c>
    </row>
    <row r="8355" spans="1:7">
      <c r="A8355" t="n">
        <v>76947</v>
      </c>
      <c r="B8355" s="51" t="n">
        <v>45</v>
      </c>
      <c r="C8355" s="7" t="n">
        <v>2</v>
      </c>
      <c r="D8355" s="7" t="n">
        <v>3</v>
      </c>
      <c r="E8355" s="7" t="n">
        <v>1.37000000476837</v>
      </c>
      <c r="F8355" s="7" t="n">
        <v>11.2700004577637</v>
      </c>
      <c r="G8355" s="7" t="n">
        <v>33.4000015258789</v>
      </c>
      <c r="H8355" s="7" t="n">
        <v>0</v>
      </c>
    </row>
    <row r="8356" spans="1:7">
      <c r="A8356" t="s">
        <v>4</v>
      </c>
      <c r="B8356" s="4" t="s">
        <v>5</v>
      </c>
      <c r="C8356" s="4" t="s">
        <v>7</v>
      </c>
      <c r="D8356" s="4" t="s">
        <v>7</v>
      </c>
      <c r="E8356" s="4" t="s">
        <v>13</v>
      </c>
      <c r="F8356" s="4" t="s">
        <v>13</v>
      </c>
      <c r="G8356" s="4" t="s">
        <v>13</v>
      </c>
      <c r="H8356" s="4" t="s">
        <v>11</v>
      </c>
      <c r="I8356" s="4" t="s">
        <v>7</v>
      </c>
    </row>
    <row r="8357" spans="1:7">
      <c r="A8357" t="n">
        <v>76964</v>
      </c>
      <c r="B8357" s="51" t="n">
        <v>45</v>
      </c>
      <c r="C8357" s="7" t="n">
        <v>4</v>
      </c>
      <c r="D8357" s="7" t="n">
        <v>3</v>
      </c>
      <c r="E8357" s="7" t="n">
        <v>0.850000023841858</v>
      </c>
      <c r="F8357" s="7" t="n">
        <v>286.75</v>
      </c>
      <c r="G8357" s="7" t="n">
        <v>0</v>
      </c>
      <c r="H8357" s="7" t="n">
        <v>0</v>
      </c>
      <c r="I8357" s="7" t="n">
        <v>0</v>
      </c>
    </row>
    <row r="8358" spans="1:7">
      <c r="A8358" t="s">
        <v>4</v>
      </c>
      <c r="B8358" s="4" t="s">
        <v>5</v>
      </c>
      <c r="C8358" s="4" t="s">
        <v>7</v>
      </c>
      <c r="D8358" s="4" t="s">
        <v>7</v>
      </c>
      <c r="E8358" s="4" t="s">
        <v>13</v>
      </c>
      <c r="F8358" s="4" t="s">
        <v>11</v>
      </c>
    </row>
    <row r="8359" spans="1:7">
      <c r="A8359" t="n">
        <v>76982</v>
      </c>
      <c r="B8359" s="51" t="n">
        <v>45</v>
      </c>
      <c r="C8359" s="7" t="n">
        <v>5</v>
      </c>
      <c r="D8359" s="7" t="n">
        <v>3</v>
      </c>
      <c r="E8359" s="7" t="n">
        <v>3</v>
      </c>
      <c r="F8359" s="7" t="n">
        <v>0</v>
      </c>
    </row>
    <row r="8360" spans="1:7">
      <c r="A8360" t="s">
        <v>4</v>
      </c>
      <c r="B8360" s="4" t="s">
        <v>5</v>
      </c>
      <c r="C8360" s="4" t="s">
        <v>7</v>
      </c>
      <c r="D8360" s="4" t="s">
        <v>7</v>
      </c>
      <c r="E8360" s="4" t="s">
        <v>13</v>
      </c>
      <c r="F8360" s="4" t="s">
        <v>11</v>
      </c>
    </row>
    <row r="8361" spans="1:7">
      <c r="A8361" t="n">
        <v>76991</v>
      </c>
      <c r="B8361" s="51" t="n">
        <v>45</v>
      </c>
      <c r="C8361" s="7" t="n">
        <v>11</v>
      </c>
      <c r="D8361" s="7" t="n">
        <v>3</v>
      </c>
      <c r="E8361" s="7" t="n">
        <v>34</v>
      </c>
      <c r="F8361" s="7" t="n">
        <v>0</v>
      </c>
    </row>
    <row r="8362" spans="1:7">
      <c r="A8362" t="s">
        <v>4</v>
      </c>
      <c r="B8362" s="4" t="s">
        <v>5</v>
      </c>
      <c r="C8362" s="4" t="s">
        <v>7</v>
      </c>
      <c r="D8362" s="4" t="s">
        <v>7</v>
      </c>
      <c r="E8362" s="4" t="s">
        <v>13</v>
      </c>
      <c r="F8362" s="4" t="s">
        <v>13</v>
      </c>
      <c r="G8362" s="4" t="s">
        <v>13</v>
      </c>
      <c r="H8362" s="4" t="s">
        <v>11</v>
      </c>
    </row>
    <row r="8363" spans="1:7">
      <c r="A8363" t="n">
        <v>77000</v>
      </c>
      <c r="B8363" s="51" t="n">
        <v>45</v>
      </c>
      <c r="C8363" s="7" t="n">
        <v>2</v>
      </c>
      <c r="D8363" s="7" t="n">
        <v>3</v>
      </c>
      <c r="E8363" s="7" t="n">
        <v>-1.86000001430511</v>
      </c>
      <c r="F8363" s="7" t="n">
        <v>11.2700004577637</v>
      </c>
      <c r="G8363" s="7" t="n">
        <v>32.439998626709</v>
      </c>
      <c r="H8363" s="7" t="n">
        <v>6000</v>
      </c>
    </row>
    <row r="8364" spans="1:7">
      <c r="A8364" t="s">
        <v>4</v>
      </c>
      <c r="B8364" s="4" t="s">
        <v>5</v>
      </c>
      <c r="C8364" s="4" t="s">
        <v>7</v>
      </c>
      <c r="D8364" s="4" t="s">
        <v>7</v>
      </c>
      <c r="E8364" s="4" t="s">
        <v>13</v>
      </c>
      <c r="F8364" s="4" t="s">
        <v>13</v>
      </c>
      <c r="G8364" s="4" t="s">
        <v>13</v>
      </c>
      <c r="H8364" s="4" t="s">
        <v>11</v>
      </c>
      <c r="I8364" s="4" t="s">
        <v>7</v>
      </c>
    </row>
    <row r="8365" spans="1:7">
      <c r="A8365" t="n">
        <v>77017</v>
      </c>
      <c r="B8365" s="51" t="n">
        <v>45</v>
      </c>
      <c r="C8365" s="7" t="n">
        <v>4</v>
      </c>
      <c r="D8365" s="7" t="n">
        <v>3</v>
      </c>
      <c r="E8365" s="7" t="n">
        <v>0.850000023841858</v>
      </c>
      <c r="F8365" s="7" t="n">
        <v>331.820007324219</v>
      </c>
      <c r="G8365" s="7" t="n">
        <v>0</v>
      </c>
      <c r="H8365" s="7" t="n">
        <v>6000</v>
      </c>
      <c r="I8365" s="7" t="n">
        <v>1</v>
      </c>
    </row>
    <row r="8366" spans="1:7">
      <c r="A8366" t="s">
        <v>4</v>
      </c>
      <c r="B8366" s="4" t="s">
        <v>5</v>
      </c>
      <c r="C8366" s="4" t="s">
        <v>7</v>
      </c>
      <c r="D8366" s="4" t="s">
        <v>7</v>
      </c>
      <c r="E8366" s="4" t="s">
        <v>13</v>
      </c>
      <c r="F8366" s="4" t="s">
        <v>11</v>
      </c>
    </row>
    <row r="8367" spans="1:7">
      <c r="A8367" t="n">
        <v>77035</v>
      </c>
      <c r="B8367" s="51" t="n">
        <v>45</v>
      </c>
      <c r="C8367" s="7" t="n">
        <v>5</v>
      </c>
      <c r="D8367" s="7" t="n">
        <v>3</v>
      </c>
      <c r="E8367" s="7" t="n">
        <v>2.5</v>
      </c>
      <c r="F8367" s="7" t="n">
        <v>6000</v>
      </c>
    </row>
    <row r="8368" spans="1:7">
      <c r="A8368" t="s">
        <v>4</v>
      </c>
      <c r="B8368" s="4" t="s">
        <v>5</v>
      </c>
      <c r="C8368" s="4" t="s">
        <v>7</v>
      </c>
      <c r="D8368" s="4" t="s">
        <v>11</v>
      </c>
      <c r="E8368" s="4" t="s">
        <v>13</v>
      </c>
    </row>
    <row r="8369" spans="1:9">
      <c r="A8369" t="n">
        <v>77044</v>
      </c>
      <c r="B8369" s="23" t="n">
        <v>58</v>
      </c>
      <c r="C8369" s="7" t="n">
        <v>100</v>
      </c>
      <c r="D8369" s="7" t="n">
        <v>1000</v>
      </c>
      <c r="E8369" s="7" t="n">
        <v>1</v>
      </c>
    </row>
    <row r="8370" spans="1:9">
      <c r="A8370" t="s">
        <v>4</v>
      </c>
      <c r="B8370" s="4" t="s">
        <v>5</v>
      </c>
      <c r="C8370" s="4" t="s">
        <v>7</v>
      </c>
      <c r="D8370" s="4" t="s">
        <v>11</v>
      </c>
    </row>
    <row r="8371" spans="1:9">
      <c r="A8371" t="n">
        <v>77052</v>
      </c>
      <c r="B8371" s="23" t="n">
        <v>58</v>
      </c>
      <c r="C8371" s="7" t="n">
        <v>255</v>
      </c>
      <c r="D8371" s="7" t="n">
        <v>0</v>
      </c>
    </row>
    <row r="8372" spans="1:9">
      <c r="A8372" t="s">
        <v>4</v>
      </c>
      <c r="B8372" s="4" t="s">
        <v>5</v>
      </c>
      <c r="C8372" s="4" t="s">
        <v>8</v>
      </c>
      <c r="D8372" s="4" t="s">
        <v>8</v>
      </c>
    </row>
    <row r="8373" spans="1:9">
      <c r="A8373" t="n">
        <v>77056</v>
      </c>
      <c r="B8373" s="52" t="n">
        <v>70</v>
      </c>
      <c r="C8373" s="7" t="s">
        <v>718</v>
      </c>
      <c r="D8373" s="7" t="s">
        <v>109</v>
      </c>
    </row>
    <row r="8374" spans="1:9">
      <c r="A8374" t="s">
        <v>4</v>
      </c>
      <c r="B8374" s="4" t="s">
        <v>5</v>
      </c>
      <c r="C8374" s="4" t="s">
        <v>11</v>
      </c>
    </row>
    <row r="8375" spans="1:9">
      <c r="A8375" t="n">
        <v>77073</v>
      </c>
      <c r="B8375" s="29" t="n">
        <v>16</v>
      </c>
      <c r="C8375" s="7" t="n">
        <v>3000</v>
      </c>
    </row>
    <row r="8376" spans="1:9">
      <c r="A8376" t="s">
        <v>4</v>
      </c>
      <c r="B8376" s="4" t="s">
        <v>5</v>
      </c>
      <c r="C8376" s="4" t="s">
        <v>11</v>
      </c>
      <c r="D8376" s="4" t="s">
        <v>7</v>
      </c>
      <c r="E8376" s="4" t="s">
        <v>13</v>
      </c>
      <c r="F8376" s="4" t="s">
        <v>11</v>
      </c>
    </row>
    <row r="8377" spans="1:9">
      <c r="A8377" t="n">
        <v>77076</v>
      </c>
      <c r="B8377" s="56" t="n">
        <v>59</v>
      </c>
      <c r="C8377" s="7" t="n">
        <v>11</v>
      </c>
      <c r="D8377" s="7" t="n">
        <v>9</v>
      </c>
      <c r="E8377" s="7" t="n">
        <v>0.150000005960464</v>
      </c>
      <c r="F8377" s="7" t="n">
        <v>0</v>
      </c>
    </row>
    <row r="8378" spans="1:9">
      <c r="A8378" t="s">
        <v>4</v>
      </c>
      <c r="B8378" s="4" t="s">
        <v>5</v>
      </c>
      <c r="C8378" s="4" t="s">
        <v>11</v>
      </c>
      <c r="D8378" s="4" t="s">
        <v>13</v>
      </c>
      <c r="E8378" s="4" t="s">
        <v>13</v>
      </c>
      <c r="F8378" s="4" t="s">
        <v>13</v>
      </c>
      <c r="G8378" s="4" t="s">
        <v>11</v>
      </c>
      <c r="H8378" s="4" t="s">
        <v>11</v>
      </c>
    </row>
    <row r="8379" spans="1:9">
      <c r="A8379" t="n">
        <v>77086</v>
      </c>
      <c r="B8379" s="37" t="n">
        <v>60</v>
      </c>
      <c r="C8379" s="7" t="n">
        <v>11</v>
      </c>
      <c r="D8379" s="7" t="n">
        <v>-45</v>
      </c>
      <c r="E8379" s="7" t="n">
        <v>0</v>
      </c>
      <c r="F8379" s="7" t="n">
        <v>0</v>
      </c>
      <c r="G8379" s="7" t="n">
        <v>1000</v>
      </c>
      <c r="H8379" s="7" t="n">
        <v>0</v>
      </c>
    </row>
    <row r="8380" spans="1:9">
      <c r="A8380" t="s">
        <v>4</v>
      </c>
      <c r="B8380" s="4" t="s">
        <v>5</v>
      </c>
      <c r="C8380" s="4" t="s">
        <v>11</v>
      </c>
    </row>
    <row r="8381" spans="1:9">
      <c r="A8381" t="n">
        <v>77105</v>
      </c>
      <c r="B8381" s="29" t="n">
        <v>16</v>
      </c>
      <c r="C8381" s="7" t="n">
        <v>1000</v>
      </c>
    </row>
    <row r="8382" spans="1:9">
      <c r="A8382" t="s">
        <v>4</v>
      </c>
      <c r="B8382" s="4" t="s">
        <v>5</v>
      </c>
      <c r="C8382" s="4" t="s">
        <v>11</v>
      </c>
      <c r="D8382" s="4" t="s">
        <v>13</v>
      </c>
      <c r="E8382" s="4" t="s">
        <v>13</v>
      </c>
      <c r="F8382" s="4" t="s">
        <v>13</v>
      </c>
      <c r="G8382" s="4" t="s">
        <v>11</v>
      </c>
      <c r="H8382" s="4" t="s">
        <v>11</v>
      </c>
    </row>
    <row r="8383" spans="1:9">
      <c r="A8383" t="n">
        <v>77108</v>
      </c>
      <c r="B8383" s="37" t="n">
        <v>60</v>
      </c>
      <c r="C8383" s="7" t="n">
        <v>11</v>
      </c>
      <c r="D8383" s="7" t="n">
        <v>45</v>
      </c>
      <c r="E8383" s="7" t="n">
        <v>0</v>
      </c>
      <c r="F8383" s="7" t="n">
        <v>0</v>
      </c>
      <c r="G8383" s="7" t="n">
        <v>1000</v>
      </c>
      <c r="H8383" s="7" t="n">
        <v>0</v>
      </c>
    </row>
    <row r="8384" spans="1:9">
      <c r="A8384" t="s">
        <v>4</v>
      </c>
      <c r="B8384" s="4" t="s">
        <v>5</v>
      </c>
      <c r="C8384" s="4" t="s">
        <v>11</v>
      </c>
    </row>
    <row r="8385" spans="1:8">
      <c r="A8385" t="n">
        <v>77127</v>
      </c>
      <c r="B8385" s="29" t="n">
        <v>16</v>
      </c>
      <c r="C8385" s="7" t="n">
        <v>1000</v>
      </c>
    </row>
    <row r="8386" spans="1:8">
      <c r="A8386" t="s">
        <v>4</v>
      </c>
      <c r="B8386" s="4" t="s">
        <v>5</v>
      </c>
      <c r="C8386" s="4" t="s">
        <v>11</v>
      </c>
      <c r="D8386" s="4" t="s">
        <v>13</v>
      </c>
      <c r="E8386" s="4" t="s">
        <v>13</v>
      </c>
      <c r="F8386" s="4" t="s">
        <v>13</v>
      </c>
      <c r="G8386" s="4" t="s">
        <v>11</v>
      </c>
      <c r="H8386" s="4" t="s">
        <v>11</v>
      </c>
    </row>
    <row r="8387" spans="1:8">
      <c r="A8387" t="n">
        <v>77130</v>
      </c>
      <c r="B8387" s="37" t="n">
        <v>60</v>
      </c>
      <c r="C8387" s="7" t="n">
        <v>11</v>
      </c>
      <c r="D8387" s="7" t="n">
        <v>0</v>
      </c>
      <c r="E8387" s="7" t="n">
        <v>0</v>
      </c>
      <c r="F8387" s="7" t="n">
        <v>0</v>
      </c>
      <c r="G8387" s="7" t="n">
        <v>500</v>
      </c>
      <c r="H8387" s="7" t="n">
        <v>0</v>
      </c>
    </row>
    <row r="8388" spans="1:8">
      <c r="A8388" t="s">
        <v>4</v>
      </c>
      <c r="B8388" s="4" t="s">
        <v>5</v>
      </c>
      <c r="C8388" s="4" t="s">
        <v>11</v>
      </c>
    </row>
    <row r="8389" spans="1:8">
      <c r="A8389" t="n">
        <v>77149</v>
      </c>
      <c r="B8389" s="29" t="n">
        <v>16</v>
      </c>
      <c r="C8389" s="7" t="n">
        <v>1000</v>
      </c>
    </row>
    <row r="8390" spans="1:8">
      <c r="A8390" t="s">
        <v>4</v>
      </c>
      <c r="B8390" s="4" t="s">
        <v>5</v>
      </c>
      <c r="C8390" s="4" t="s">
        <v>7</v>
      </c>
      <c r="D8390" s="4" t="s">
        <v>11</v>
      </c>
    </row>
    <row r="8391" spans="1:8">
      <c r="A8391" t="n">
        <v>77152</v>
      </c>
      <c r="B8391" s="51" t="n">
        <v>45</v>
      </c>
      <c r="C8391" s="7" t="n">
        <v>7</v>
      </c>
      <c r="D8391" s="7" t="n">
        <v>255</v>
      </c>
    </row>
    <row r="8392" spans="1:8">
      <c r="A8392" t="s">
        <v>4</v>
      </c>
      <c r="B8392" s="4" t="s">
        <v>5</v>
      </c>
      <c r="C8392" s="4" t="s">
        <v>7</v>
      </c>
      <c r="D8392" s="4" t="s">
        <v>11</v>
      </c>
      <c r="E8392" s="4" t="s">
        <v>13</v>
      </c>
    </row>
    <row r="8393" spans="1:8">
      <c r="A8393" t="n">
        <v>77156</v>
      </c>
      <c r="B8393" s="23" t="n">
        <v>58</v>
      </c>
      <c r="C8393" s="7" t="n">
        <v>0</v>
      </c>
      <c r="D8393" s="7" t="n">
        <v>1000</v>
      </c>
      <c r="E8393" s="7" t="n">
        <v>1</v>
      </c>
    </row>
    <row r="8394" spans="1:8">
      <c r="A8394" t="s">
        <v>4</v>
      </c>
      <c r="B8394" s="4" t="s">
        <v>5</v>
      </c>
      <c r="C8394" s="4" t="s">
        <v>7</v>
      </c>
      <c r="D8394" s="4" t="s">
        <v>11</v>
      </c>
    </row>
    <row r="8395" spans="1:8">
      <c r="A8395" t="n">
        <v>77164</v>
      </c>
      <c r="B8395" s="23" t="n">
        <v>58</v>
      </c>
      <c r="C8395" s="7" t="n">
        <v>255</v>
      </c>
      <c r="D8395" s="7" t="n">
        <v>0</v>
      </c>
    </row>
    <row r="8396" spans="1:8">
      <c r="A8396" t="s">
        <v>4</v>
      </c>
      <c r="B8396" s="4" t="s">
        <v>5</v>
      </c>
      <c r="C8396" s="4" t="s">
        <v>11</v>
      </c>
      <c r="D8396" s="4" t="s">
        <v>11</v>
      </c>
      <c r="E8396" s="4" t="s">
        <v>11</v>
      </c>
    </row>
    <row r="8397" spans="1:8">
      <c r="A8397" t="n">
        <v>77168</v>
      </c>
      <c r="B8397" s="72" t="n">
        <v>61</v>
      </c>
      <c r="C8397" s="7" t="n">
        <v>0</v>
      </c>
      <c r="D8397" s="7" t="n">
        <v>65533</v>
      </c>
      <c r="E8397" s="7" t="n">
        <v>1000</v>
      </c>
    </row>
    <row r="8398" spans="1:8">
      <c r="A8398" t="s">
        <v>4</v>
      </c>
      <c r="B8398" s="4" t="s">
        <v>5</v>
      </c>
      <c r="C8398" s="4" t="s">
        <v>11</v>
      </c>
      <c r="D8398" s="4" t="s">
        <v>11</v>
      </c>
      <c r="E8398" s="4" t="s">
        <v>11</v>
      </c>
    </row>
    <row r="8399" spans="1:8">
      <c r="A8399" t="n">
        <v>77175</v>
      </c>
      <c r="B8399" s="72" t="n">
        <v>61</v>
      </c>
      <c r="C8399" s="7" t="n">
        <v>11</v>
      </c>
      <c r="D8399" s="7" t="n">
        <v>65533</v>
      </c>
      <c r="E8399" s="7" t="n">
        <v>1000</v>
      </c>
    </row>
    <row r="8400" spans="1:8">
      <c r="A8400" t="s">
        <v>4</v>
      </c>
      <c r="B8400" s="4" t="s">
        <v>5</v>
      </c>
      <c r="C8400" s="4" t="s">
        <v>11</v>
      </c>
      <c r="D8400" s="4" t="s">
        <v>13</v>
      </c>
      <c r="E8400" s="4" t="s">
        <v>13</v>
      </c>
      <c r="F8400" s="4" t="s">
        <v>13</v>
      </c>
      <c r="G8400" s="4" t="s">
        <v>13</v>
      </c>
    </row>
    <row r="8401" spans="1:8">
      <c r="A8401" t="n">
        <v>77182</v>
      </c>
      <c r="B8401" s="36" t="n">
        <v>46</v>
      </c>
      <c r="C8401" s="7" t="n">
        <v>0</v>
      </c>
      <c r="D8401" s="7" t="n">
        <v>-2.66000008583069</v>
      </c>
      <c r="E8401" s="7" t="n">
        <v>5.01000022888184</v>
      </c>
      <c r="F8401" s="7" t="n">
        <v>32.189998626709</v>
      </c>
      <c r="G8401" s="7" t="n">
        <v>90</v>
      </c>
    </row>
    <row r="8402" spans="1:8">
      <c r="A8402" t="s">
        <v>4</v>
      </c>
      <c r="B8402" s="4" t="s">
        <v>5</v>
      </c>
      <c r="C8402" s="4" t="s">
        <v>11</v>
      </c>
      <c r="D8402" s="4" t="s">
        <v>13</v>
      </c>
      <c r="E8402" s="4" t="s">
        <v>13</v>
      </c>
      <c r="F8402" s="4" t="s">
        <v>13</v>
      </c>
      <c r="G8402" s="4" t="s">
        <v>13</v>
      </c>
    </row>
    <row r="8403" spans="1:8">
      <c r="A8403" t="n">
        <v>77201</v>
      </c>
      <c r="B8403" s="36" t="n">
        <v>46</v>
      </c>
      <c r="C8403" s="7" t="n">
        <v>11</v>
      </c>
      <c r="D8403" s="7" t="n">
        <v>-3.16000008583069</v>
      </c>
      <c r="E8403" s="7" t="n">
        <v>5.01000022888184</v>
      </c>
      <c r="F8403" s="7" t="n">
        <v>31.7900009155273</v>
      </c>
      <c r="G8403" s="7" t="n">
        <v>90</v>
      </c>
    </row>
    <row r="8404" spans="1:8">
      <c r="A8404" t="s">
        <v>4</v>
      </c>
      <c r="B8404" s="4" t="s">
        <v>5</v>
      </c>
      <c r="C8404" s="4" t="s">
        <v>7</v>
      </c>
      <c r="D8404" s="4" t="s">
        <v>7</v>
      </c>
      <c r="E8404" s="4" t="s">
        <v>13</v>
      </c>
      <c r="F8404" s="4" t="s">
        <v>13</v>
      </c>
      <c r="G8404" s="4" t="s">
        <v>13</v>
      </c>
      <c r="H8404" s="4" t="s">
        <v>11</v>
      </c>
    </row>
    <row r="8405" spans="1:8">
      <c r="A8405" t="n">
        <v>77220</v>
      </c>
      <c r="B8405" s="51" t="n">
        <v>45</v>
      </c>
      <c r="C8405" s="7" t="n">
        <v>2</v>
      </c>
      <c r="D8405" s="7" t="n">
        <v>3</v>
      </c>
      <c r="E8405" s="7" t="n">
        <v>6.82000017166138</v>
      </c>
      <c r="F8405" s="7" t="n">
        <v>6.17999982833862</v>
      </c>
      <c r="G8405" s="7" t="n">
        <v>32.2799987792969</v>
      </c>
      <c r="H8405" s="7" t="n">
        <v>0</v>
      </c>
    </row>
    <row r="8406" spans="1:8">
      <c r="A8406" t="s">
        <v>4</v>
      </c>
      <c r="B8406" s="4" t="s">
        <v>5</v>
      </c>
      <c r="C8406" s="4" t="s">
        <v>7</v>
      </c>
      <c r="D8406" s="4" t="s">
        <v>7</v>
      </c>
      <c r="E8406" s="4" t="s">
        <v>13</v>
      </c>
      <c r="F8406" s="4" t="s">
        <v>13</v>
      </c>
      <c r="G8406" s="4" t="s">
        <v>13</v>
      </c>
      <c r="H8406" s="4" t="s">
        <v>11</v>
      </c>
      <c r="I8406" s="4" t="s">
        <v>7</v>
      </c>
    </row>
    <row r="8407" spans="1:8">
      <c r="A8407" t="n">
        <v>77237</v>
      </c>
      <c r="B8407" s="51" t="n">
        <v>45</v>
      </c>
      <c r="C8407" s="7" t="n">
        <v>4</v>
      </c>
      <c r="D8407" s="7" t="n">
        <v>3</v>
      </c>
      <c r="E8407" s="7" t="n">
        <v>358.239990234375</v>
      </c>
      <c r="F8407" s="7" t="n">
        <v>344.200012207031</v>
      </c>
      <c r="G8407" s="7" t="n">
        <v>0</v>
      </c>
      <c r="H8407" s="7" t="n">
        <v>0</v>
      </c>
      <c r="I8407" s="7" t="n">
        <v>0</v>
      </c>
    </row>
    <row r="8408" spans="1:8">
      <c r="A8408" t="s">
        <v>4</v>
      </c>
      <c r="B8408" s="4" t="s">
        <v>5</v>
      </c>
      <c r="C8408" s="4" t="s">
        <v>7</v>
      </c>
      <c r="D8408" s="4" t="s">
        <v>7</v>
      </c>
      <c r="E8408" s="4" t="s">
        <v>13</v>
      </c>
      <c r="F8408" s="4" t="s">
        <v>11</v>
      </c>
    </row>
    <row r="8409" spans="1:8">
      <c r="A8409" t="n">
        <v>77255</v>
      </c>
      <c r="B8409" s="51" t="n">
        <v>45</v>
      </c>
      <c r="C8409" s="7" t="n">
        <v>5</v>
      </c>
      <c r="D8409" s="7" t="n">
        <v>3</v>
      </c>
      <c r="E8409" s="7" t="n">
        <v>3.40000009536743</v>
      </c>
      <c r="F8409" s="7" t="n">
        <v>0</v>
      </c>
    </row>
    <row r="8410" spans="1:8">
      <c r="A8410" t="s">
        <v>4</v>
      </c>
      <c r="B8410" s="4" t="s">
        <v>5</v>
      </c>
      <c r="C8410" s="4" t="s">
        <v>7</v>
      </c>
      <c r="D8410" s="4" t="s">
        <v>7</v>
      </c>
      <c r="E8410" s="4" t="s">
        <v>13</v>
      </c>
      <c r="F8410" s="4" t="s">
        <v>11</v>
      </c>
    </row>
    <row r="8411" spans="1:8">
      <c r="A8411" t="n">
        <v>77264</v>
      </c>
      <c r="B8411" s="51" t="n">
        <v>45</v>
      </c>
      <c r="C8411" s="7" t="n">
        <v>11</v>
      </c>
      <c r="D8411" s="7" t="n">
        <v>3</v>
      </c>
      <c r="E8411" s="7" t="n">
        <v>40.2999992370605</v>
      </c>
      <c r="F8411" s="7" t="n">
        <v>0</v>
      </c>
    </row>
    <row r="8412" spans="1:8">
      <c r="A8412" t="s">
        <v>4</v>
      </c>
      <c r="B8412" s="4" t="s">
        <v>5</v>
      </c>
      <c r="C8412" s="4" t="s">
        <v>7</v>
      </c>
      <c r="D8412" s="4" t="s">
        <v>7</v>
      </c>
      <c r="E8412" s="4" t="s">
        <v>13</v>
      </c>
      <c r="F8412" s="4" t="s">
        <v>13</v>
      </c>
      <c r="G8412" s="4" t="s">
        <v>13</v>
      </c>
      <c r="H8412" s="4" t="s">
        <v>11</v>
      </c>
    </row>
    <row r="8413" spans="1:8">
      <c r="A8413" t="n">
        <v>77273</v>
      </c>
      <c r="B8413" s="51" t="n">
        <v>45</v>
      </c>
      <c r="C8413" s="7" t="n">
        <v>2</v>
      </c>
      <c r="D8413" s="7" t="n">
        <v>3</v>
      </c>
      <c r="E8413" s="7" t="n">
        <v>-2.55999994277954</v>
      </c>
      <c r="F8413" s="7" t="n">
        <v>6.17999982833862</v>
      </c>
      <c r="G8413" s="7" t="n">
        <v>32.1800003051758</v>
      </c>
      <c r="H8413" s="7" t="n">
        <v>6000</v>
      </c>
    </row>
    <row r="8414" spans="1:8">
      <c r="A8414" t="s">
        <v>4</v>
      </c>
      <c r="B8414" s="4" t="s">
        <v>5</v>
      </c>
      <c r="C8414" s="4" t="s">
        <v>7</v>
      </c>
      <c r="D8414" s="4" t="s">
        <v>7</v>
      </c>
      <c r="E8414" s="4" t="s">
        <v>13</v>
      </c>
      <c r="F8414" s="4" t="s">
        <v>13</v>
      </c>
      <c r="G8414" s="4" t="s">
        <v>13</v>
      </c>
      <c r="H8414" s="4" t="s">
        <v>11</v>
      </c>
      <c r="I8414" s="4" t="s">
        <v>7</v>
      </c>
    </row>
    <row r="8415" spans="1:8">
      <c r="A8415" t="n">
        <v>77290</v>
      </c>
      <c r="B8415" s="51" t="n">
        <v>45</v>
      </c>
      <c r="C8415" s="7" t="n">
        <v>4</v>
      </c>
      <c r="D8415" s="7" t="n">
        <v>3</v>
      </c>
      <c r="E8415" s="7" t="n">
        <v>12.2700004577637</v>
      </c>
      <c r="F8415" s="7" t="n">
        <v>75.7099990844727</v>
      </c>
      <c r="G8415" s="7" t="n">
        <v>0</v>
      </c>
      <c r="H8415" s="7" t="n">
        <v>6000</v>
      </c>
      <c r="I8415" s="7" t="n">
        <v>1</v>
      </c>
    </row>
    <row r="8416" spans="1:8">
      <c r="A8416" t="s">
        <v>4</v>
      </c>
      <c r="B8416" s="4" t="s">
        <v>5</v>
      </c>
      <c r="C8416" s="4" t="s">
        <v>7</v>
      </c>
      <c r="D8416" s="4" t="s">
        <v>7</v>
      </c>
      <c r="E8416" s="4" t="s">
        <v>13</v>
      </c>
      <c r="F8416" s="4" t="s">
        <v>11</v>
      </c>
    </row>
    <row r="8417" spans="1:9">
      <c r="A8417" t="n">
        <v>77308</v>
      </c>
      <c r="B8417" s="51" t="n">
        <v>45</v>
      </c>
      <c r="C8417" s="7" t="n">
        <v>5</v>
      </c>
      <c r="D8417" s="7" t="n">
        <v>3</v>
      </c>
      <c r="E8417" s="7" t="n">
        <v>2.70000004768372</v>
      </c>
      <c r="F8417" s="7" t="n">
        <v>6000</v>
      </c>
    </row>
    <row r="8418" spans="1:9">
      <c r="A8418" t="s">
        <v>4</v>
      </c>
      <c r="B8418" s="4" t="s">
        <v>5</v>
      </c>
      <c r="C8418" s="4" t="s">
        <v>7</v>
      </c>
      <c r="D8418" s="4" t="s">
        <v>11</v>
      </c>
      <c r="E8418" s="4" t="s">
        <v>13</v>
      </c>
    </row>
    <row r="8419" spans="1:9">
      <c r="A8419" t="n">
        <v>77317</v>
      </c>
      <c r="B8419" s="23" t="n">
        <v>58</v>
      </c>
      <c r="C8419" s="7" t="n">
        <v>100</v>
      </c>
      <c r="D8419" s="7" t="n">
        <v>1000</v>
      </c>
      <c r="E8419" s="7" t="n">
        <v>1</v>
      </c>
    </row>
    <row r="8420" spans="1:9">
      <c r="A8420" t="s">
        <v>4</v>
      </c>
      <c r="B8420" s="4" t="s">
        <v>5</v>
      </c>
      <c r="C8420" s="4" t="s">
        <v>7</v>
      </c>
      <c r="D8420" s="4" t="s">
        <v>11</v>
      </c>
    </row>
    <row r="8421" spans="1:9">
      <c r="A8421" t="n">
        <v>77325</v>
      </c>
      <c r="B8421" s="23" t="n">
        <v>58</v>
      </c>
      <c r="C8421" s="7" t="n">
        <v>255</v>
      </c>
      <c r="D8421" s="7" t="n">
        <v>0</v>
      </c>
    </row>
    <row r="8422" spans="1:9">
      <c r="A8422" t="s">
        <v>4</v>
      </c>
      <c r="B8422" s="4" t="s">
        <v>5</v>
      </c>
      <c r="C8422" s="4" t="s">
        <v>8</v>
      </c>
      <c r="D8422" s="4" t="s">
        <v>8</v>
      </c>
    </row>
    <row r="8423" spans="1:9">
      <c r="A8423" t="n">
        <v>77329</v>
      </c>
      <c r="B8423" s="52" t="n">
        <v>70</v>
      </c>
      <c r="C8423" s="7" t="s">
        <v>24</v>
      </c>
      <c r="D8423" s="7" t="s">
        <v>109</v>
      </c>
    </row>
    <row r="8424" spans="1:9">
      <c r="A8424" t="s">
        <v>4</v>
      </c>
      <c r="B8424" s="4" t="s">
        <v>5</v>
      </c>
      <c r="C8424" s="4" t="s">
        <v>11</v>
      </c>
    </row>
    <row r="8425" spans="1:9">
      <c r="A8425" t="n">
        <v>77346</v>
      </c>
      <c r="B8425" s="29" t="n">
        <v>16</v>
      </c>
      <c r="C8425" s="7" t="n">
        <v>4000</v>
      </c>
    </row>
    <row r="8426" spans="1:9">
      <c r="A8426" t="s">
        <v>4</v>
      </c>
      <c r="B8426" s="4" t="s">
        <v>5</v>
      </c>
      <c r="C8426" s="4" t="s">
        <v>11</v>
      </c>
      <c r="D8426" s="4" t="s">
        <v>7</v>
      </c>
      <c r="E8426" s="4" t="s">
        <v>13</v>
      </c>
      <c r="F8426" s="4" t="s">
        <v>11</v>
      </c>
    </row>
    <row r="8427" spans="1:9">
      <c r="A8427" t="n">
        <v>77349</v>
      </c>
      <c r="B8427" s="56" t="n">
        <v>59</v>
      </c>
      <c r="C8427" s="7" t="n">
        <v>0</v>
      </c>
      <c r="D8427" s="7" t="n">
        <v>9</v>
      </c>
      <c r="E8427" s="7" t="n">
        <v>0.150000005960464</v>
      </c>
      <c r="F8427" s="7" t="n">
        <v>0</v>
      </c>
    </row>
    <row r="8428" spans="1:9">
      <c r="A8428" t="s">
        <v>4</v>
      </c>
      <c r="B8428" s="4" t="s">
        <v>5</v>
      </c>
      <c r="C8428" s="4" t="s">
        <v>11</v>
      </c>
    </row>
    <row r="8429" spans="1:9">
      <c r="A8429" t="n">
        <v>77359</v>
      </c>
      <c r="B8429" s="29" t="n">
        <v>16</v>
      </c>
      <c r="C8429" s="7" t="n">
        <v>1800</v>
      </c>
    </row>
    <row r="8430" spans="1:9">
      <c r="A8430" t="s">
        <v>4</v>
      </c>
      <c r="B8430" s="4" t="s">
        <v>5</v>
      </c>
      <c r="C8430" s="4" t="s">
        <v>7</v>
      </c>
      <c r="D8430" s="4" t="s">
        <v>11</v>
      </c>
    </row>
    <row r="8431" spans="1:9">
      <c r="A8431" t="n">
        <v>77362</v>
      </c>
      <c r="B8431" s="51" t="n">
        <v>45</v>
      </c>
      <c r="C8431" s="7" t="n">
        <v>7</v>
      </c>
      <c r="D8431" s="7" t="n">
        <v>255</v>
      </c>
    </row>
    <row r="8432" spans="1:9">
      <c r="A8432" t="s">
        <v>4</v>
      </c>
      <c r="B8432" s="4" t="s">
        <v>5</v>
      </c>
      <c r="C8432" s="4" t="s">
        <v>7</v>
      </c>
      <c r="D8432" s="4" t="s">
        <v>11</v>
      </c>
      <c r="E8432" s="4" t="s">
        <v>13</v>
      </c>
    </row>
    <row r="8433" spans="1:6">
      <c r="A8433" t="n">
        <v>77366</v>
      </c>
      <c r="B8433" s="23" t="n">
        <v>58</v>
      </c>
      <c r="C8433" s="7" t="n">
        <v>0</v>
      </c>
      <c r="D8433" s="7" t="n">
        <v>1000</v>
      </c>
      <c r="E8433" s="7" t="n">
        <v>1</v>
      </c>
    </row>
    <row r="8434" spans="1:6">
      <c r="A8434" t="s">
        <v>4</v>
      </c>
      <c r="B8434" s="4" t="s">
        <v>5</v>
      </c>
      <c r="C8434" s="4" t="s">
        <v>7</v>
      </c>
      <c r="D8434" s="4" t="s">
        <v>11</v>
      </c>
    </row>
    <row r="8435" spans="1:6">
      <c r="A8435" t="n">
        <v>77374</v>
      </c>
      <c r="B8435" s="23" t="n">
        <v>58</v>
      </c>
      <c r="C8435" s="7" t="n">
        <v>255</v>
      </c>
      <c r="D8435" s="7" t="n">
        <v>0</v>
      </c>
    </row>
    <row r="8436" spans="1:6">
      <c r="A8436" t="s">
        <v>4</v>
      </c>
      <c r="B8436" s="4" t="s">
        <v>5</v>
      </c>
      <c r="C8436" s="4" t="s">
        <v>8</v>
      </c>
      <c r="D8436" s="4" t="s">
        <v>8</v>
      </c>
    </row>
    <row r="8437" spans="1:6">
      <c r="A8437" t="n">
        <v>77378</v>
      </c>
      <c r="B8437" s="52" t="n">
        <v>70</v>
      </c>
      <c r="C8437" s="7" t="s">
        <v>24</v>
      </c>
      <c r="D8437" s="7" t="s">
        <v>118</v>
      </c>
    </row>
    <row r="8438" spans="1:6">
      <c r="A8438" t="s">
        <v>4</v>
      </c>
      <c r="B8438" s="4" t="s">
        <v>5</v>
      </c>
      <c r="C8438" s="4" t="s">
        <v>11</v>
      </c>
      <c r="D8438" s="4" t="s">
        <v>13</v>
      </c>
      <c r="E8438" s="4" t="s">
        <v>13</v>
      </c>
      <c r="F8438" s="4" t="s">
        <v>13</v>
      </c>
      <c r="G8438" s="4" t="s">
        <v>13</v>
      </c>
    </row>
    <row r="8439" spans="1:6">
      <c r="A8439" t="n">
        <v>77394</v>
      </c>
      <c r="B8439" s="36" t="n">
        <v>46</v>
      </c>
      <c r="C8439" s="7" t="n">
        <v>0</v>
      </c>
      <c r="D8439" s="7" t="n">
        <v>-10.9899997711182</v>
      </c>
      <c r="E8439" s="7" t="n">
        <v>5.01000022888184</v>
      </c>
      <c r="F8439" s="7" t="n">
        <v>32.4300003051758</v>
      </c>
      <c r="G8439" s="7" t="n">
        <v>270</v>
      </c>
    </row>
    <row r="8440" spans="1:6">
      <c r="A8440" t="s">
        <v>4</v>
      </c>
      <c r="B8440" s="4" t="s">
        <v>5</v>
      </c>
      <c r="C8440" s="4" t="s">
        <v>11</v>
      </c>
      <c r="D8440" s="4" t="s">
        <v>13</v>
      </c>
      <c r="E8440" s="4" t="s">
        <v>13</v>
      </c>
      <c r="F8440" s="4" t="s">
        <v>13</v>
      </c>
      <c r="G8440" s="4" t="s">
        <v>13</v>
      </c>
    </row>
    <row r="8441" spans="1:6">
      <c r="A8441" t="n">
        <v>77413</v>
      </c>
      <c r="B8441" s="36" t="n">
        <v>46</v>
      </c>
      <c r="C8441" s="7" t="n">
        <v>11</v>
      </c>
      <c r="D8441" s="7" t="n">
        <v>-10.5500001907349</v>
      </c>
      <c r="E8441" s="7" t="n">
        <v>5.01000022888184</v>
      </c>
      <c r="F8441" s="7" t="n">
        <v>31.5499992370605</v>
      </c>
      <c r="G8441" s="7" t="n">
        <v>270</v>
      </c>
    </row>
    <row r="8442" spans="1:6">
      <c r="A8442" t="s">
        <v>4</v>
      </c>
      <c r="B8442" s="4" t="s">
        <v>5</v>
      </c>
      <c r="C8442" s="4" t="s">
        <v>7</v>
      </c>
      <c r="D8442" s="4" t="s">
        <v>7</v>
      </c>
      <c r="E8442" s="4" t="s">
        <v>13</v>
      </c>
      <c r="F8442" s="4" t="s">
        <v>13</v>
      </c>
      <c r="G8442" s="4" t="s">
        <v>13</v>
      </c>
      <c r="H8442" s="4" t="s">
        <v>11</v>
      </c>
    </row>
    <row r="8443" spans="1:6">
      <c r="A8443" t="n">
        <v>77432</v>
      </c>
      <c r="B8443" s="51" t="n">
        <v>45</v>
      </c>
      <c r="C8443" s="7" t="n">
        <v>2</v>
      </c>
      <c r="D8443" s="7" t="n">
        <v>3</v>
      </c>
      <c r="E8443" s="7" t="n">
        <v>-14.1199998855591</v>
      </c>
      <c r="F8443" s="7" t="n">
        <v>6.75</v>
      </c>
      <c r="G8443" s="7" t="n">
        <v>31.9300003051758</v>
      </c>
      <c r="H8443" s="7" t="n">
        <v>0</v>
      </c>
    </row>
    <row r="8444" spans="1:6">
      <c r="A8444" t="s">
        <v>4</v>
      </c>
      <c r="B8444" s="4" t="s">
        <v>5</v>
      </c>
      <c r="C8444" s="4" t="s">
        <v>7</v>
      </c>
      <c r="D8444" s="4" t="s">
        <v>7</v>
      </c>
      <c r="E8444" s="4" t="s">
        <v>13</v>
      </c>
      <c r="F8444" s="4" t="s">
        <v>13</v>
      </c>
      <c r="G8444" s="4" t="s">
        <v>13</v>
      </c>
      <c r="H8444" s="4" t="s">
        <v>11</v>
      </c>
      <c r="I8444" s="4" t="s">
        <v>7</v>
      </c>
    </row>
    <row r="8445" spans="1:6">
      <c r="A8445" t="n">
        <v>77449</v>
      </c>
      <c r="B8445" s="51" t="n">
        <v>45</v>
      </c>
      <c r="C8445" s="7" t="n">
        <v>4</v>
      </c>
      <c r="D8445" s="7" t="n">
        <v>3</v>
      </c>
      <c r="E8445" s="7" t="n">
        <v>7.63000011444092</v>
      </c>
      <c r="F8445" s="7" t="n">
        <v>90</v>
      </c>
      <c r="G8445" s="7" t="n">
        <v>0</v>
      </c>
      <c r="H8445" s="7" t="n">
        <v>0</v>
      </c>
      <c r="I8445" s="7" t="n">
        <v>0</v>
      </c>
    </row>
    <row r="8446" spans="1:6">
      <c r="A8446" t="s">
        <v>4</v>
      </c>
      <c r="B8446" s="4" t="s">
        <v>5</v>
      </c>
      <c r="C8446" s="4" t="s">
        <v>7</v>
      </c>
      <c r="D8446" s="4" t="s">
        <v>7</v>
      </c>
      <c r="E8446" s="4" t="s">
        <v>13</v>
      </c>
      <c r="F8446" s="4" t="s">
        <v>11</v>
      </c>
    </row>
    <row r="8447" spans="1:6">
      <c r="A8447" t="n">
        <v>77467</v>
      </c>
      <c r="B8447" s="51" t="n">
        <v>45</v>
      </c>
      <c r="C8447" s="7" t="n">
        <v>5</v>
      </c>
      <c r="D8447" s="7" t="n">
        <v>3</v>
      </c>
      <c r="E8447" s="7" t="n">
        <v>2.09999990463257</v>
      </c>
      <c r="F8447" s="7" t="n">
        <v>0</v>
      </c>
    </row>
    <row r="8448" spans="1:6">
      <c r="A8448" t="s">
        <v>4</v>
      </c>
      <c r="B8448" s="4" t="s">
        <v>5</v>
      </c>
      <c r="C8448" s="4" t="s">
        <v>7</v>
      </c>
      <c r="D8448" s="4" t="s">
        <v>7</v>
      </c>
      <c r="E8448" s="4" t="s">
        <v>13</v>
      </c>
      <c r="F8448" s="4" t="s">
        <v>11</v>
      </c>
    </row>
    <row r="8449" spans="1:9">
      <c r="A8449" t="n">
        <v>77476</v>
      </c>
      <c r="B8449" s="51" t="n">
        <v>45</v>
      </c>
      <c r="C8449" s="7" t="n">
        <v>11</v>
      </c>
      <c r="D8449" s="7" t="n">
        <v>3</v>
      </c>
      <c r="E8449" s="7" t="n">
        <v>40.2999992370605</v>
      </c>
      <c r="F8449" s="7" t="n">
        <v>0</v>
      </c>
    </row>
    <row r="8450" spans="1:9">
      <c r="A8450" t="s">
        <v>4</v>
      </c>
      <c r="B8450" s="4" t="s">
        <v>5</v>
      </c>
      <c r="C8450" s="4" t="s">
        <v>7</v>
      </c>
      <c r="D8450" s="4" t="s">
        <v>7</v>
      </c>
      <c r="E8450" s="4" t="s">
        <v>13</v>
      </c>
      <c r="F8450" s="4" t="s">
        <v>13</v>
      </c>
      <c r="G8450" s="4" t="s">
        <v>13</v>
      </c>
      <c r="H8450" s="4" t="s">
        <v>11</v>
      </c>
    </row>
    <row r="8451" spans="1:9">
      <c r="A8451" t="n">
        <v>77485</v>
      </c>
      <c r="B8451" s="51" t="n">
        <v>45</v>
      </c>
      <c r="C8451" s="7" t="n">
        <v>2</v>
      </c>
      <c r="D8451" s="7" t="n">
        <v>3</v>
      </c>
      <c r="E8451" s="7" t="n">
        <v>-9.10000038146973</v>
      </c>
      <c r="F8451" s="7" t="n">
        <v>6.75</v>
      </c>
      <c r="G8451" s="7" t="n">
        <v>31.9699993133545</v>
      </c>
      <c r="H8451" s="7" t="n">
        <v>6000</v>
      </c>
    </row>
    <row r="8452" spans="1:9">
      <c r="A8452" t="s">
        <v>4</v>
      </c>
      <c r="B8452" s="4" t="s">
        <v>5</v>
      </c>
      <c r="C8452" s="4" t="s">
        <v>7</v>
      </c>
      <c r="D8452" s="4" t="s">
        <v>7</v>
      </c>
      <c r="E8452" s="4" t="s">
        <v>13</v>
      </c>
      <c r="F8452" s="4" t="s">
        <v>13</v>
      </c>
      <c r="G8452" s="4" t="s">
        <v>13</v>
      </c>
      <c r="H8452" s="4" t="s">
        <v>11</v>
      </c>
      <c r="I8452" s="4" t="s">
        <v>7</v>
      </c>
    </row>
    <row r="8453" spans="1:9">
      <c r="A8453" t="n">
        <v>77502</v>
      </c>
      <c r="B8453" s="51" t="n">
        <v>45</v>
      </c>
      <c r="C8453" s="7" t="n">
        <v>4</v>
      </c>
      <c r="D8453" s="7" t="n">
        <v>3</v>
      </c>
      <c r="E8453" s="7" t="n">
        <v>0.0299999993294477</v>
      </c>
      <c r="F8453" s="7" t="n">
        <v>90</v>
      </c>
      <c r="G8453" s="7" t="n">
        <v>0</v>
      </c>
      <c r="H8453" s="7" t="n">
        <v>6000</v>
      </c>
      <c r="I8453" s="7" t="n">
        <v>0</v>
      </c>
    </row>
    <row r="8454" spans="1:9">
      <c r="A8454" t="s">
        <v>4</v>
      </c>
      <c r="B8454" s="4" t="s">
        <v>5</v>
      </c>
      <c r="C8454" s="4" t="s">
        <v>7</v>
      </c>
      <c r="D8454" s="4" t="s">
        <v>7</v>
      </c>
      <c r="E8454" s="4" t="s">
        <v>13</v>
      </c>
      <c r="F8454" s="4" t="s">
        <v>11</v>
      </c>
    </row>
    <row r="8455" spans="1:9">
      <c r="A8455" t="n">
        <v>77520</v>
      </c>
      <c r="B8455" s="51" t="n">
        <v>45</v>
      </c>
      <c r="C8455" s="7" t="n">
        <v>5</v>
      </c>
      <c r="D8455" s="7" t="n">
        <v>3</v>
      </c>
      <c r="E8455" s="7" t="n">
        <v>1.79999995231628</v>
      </c>
      <c r="F8455" s="7" t="n">
        <v>6000</v>
      </c>
    </row>
    <row r="8456" spans="1:9">
      <c r="A8456" t="s">
        <v>4</v>
      </c>
      <c r="B8456" s="4" t="s">
        <v>5</v>
      </c>
      <c r="C8456" s="4" t="s">
        <v>8</v>
      </c>
      <c r="D8456" s="4" t="s">
        <v>8</v>
      </c>
    </row>
    <row r="8457" spans="1:9">
      <c r="A8457" t="n">
        <v>77529</v>
      </c>
      <c r="B8457" s="52" t="n">
        <v>70</v>
      </c>
      <c r="C8457" s="7" t="s">
        <v>25</v>
      </c>
      <c r="D8457" s="7" t="s">
        <v>109</v>
      </c>
    </row>
    <row r="8458" spans="1:9">
      <c r="A8458" t="s">
        <v>4</v>
      </c>
      <c r="B8458" s="4" t="s">
        <v>5</v>
      </c>
      <c r="C8458" s="4" t="s">
        <v>7</v>
      </c>
      <c r="D8458" s="4" t="s">
        <v>11</v>
      </c>
      <c r="E8458" s="4" t="s">
        <v>13</v>
      </c>
    </row>
    <row r="8459" spans="1:9">
      <c r="A8459" t="n">
        <v>77546</v>
      </c>
      <c r="B8459" s="23" t="n">
        <v>58</v>
      </c>
      <c r="C8459" s="7" t="n">
        <v>100</v>
      </c>
      <c r="D8459" s="7" t="n">
        <v>1000</v>
      </c>
      <c r="E8459" s="7" t="n">
        <v>1</v>
      </c>
    </row>
    <row r="8460" spans="1:9">
      <c r="A8460" t="s">
        <v>4</v>
      </c>
      <c r="B8460" s="4" t="s">
        <v>5</v>
      </c>
      <c r="C8460" s="4" t="s">
        <v>7</v>
      </c>
      <c r="D8460" s="4" t="s">
        <v>11</v>
      </c>
    </row>
    <row r="8461" spans="1:9">
      <c r="A8461" t="n">
        <v>77554</v>
      </c>
      <c r="B8461" s="23" t="n">
        <v>58</v>
      </c>
      <c r="C8461" s="7" t="n">
        <v>255</v>
      </c>
      <c r="D8461" s="7" t="n">
        <v>0</v>
      </c>
    </row>
    <row r="8462" spans="1:9">
      <c r="A8462" t="s">
        <v>4</v>
      </c>
      <c r="B8462" s="4" t="s">
        <v>5</v>
      </c>
      <c r="C8462" s="4" t="s">
        <v>7</v>
      </c>
      <c r="D8462" s="4" t="s">
        <v>8</v>
      </c>
      <c r="E8462" s="4" t="s">
        <v>11</v>
      </c>
    </row>
    <row r="8463" spans="1:9">
      <c r="A8463" t="n">
        <v>77558</v>
      </c>
      <c r="B8463" s="15" t="n">
        <v>94</v>
      </c>
      <c r="C8463" s="7" t="n">
        <v>1</v>
      </c>
      <c r="D8463" s="7" t="s">
        <v>25</v>
      </c>
      <c r="E8463" s="7" t="n">
        <v>512</v>
      </c>
    </row>
    <row r="8464" spans="1:9">
      <c r="A8464" t="s">
        <v>4</v>
      </c>
      <c r="B8464" s="4" t="s">
        <v>5</v>
      </c>
      <c r="C8464" s="4" t="s">
        <v>11</v>
      </c>
    </row>
    <row r="8465" spans="1:9">
      <c r="A8465" t="n">
        <v>77572</v>
      </c>
      <c r="B8465" s="29" t="n">
        <v>16</v>
      </c>
      <c r="C8465" s="7" t="n">
        <v>4000</v>
      </c>
    </row>
    <row r="8466" spans="1:9">
      <c r="A8466" t="s">
        <v>4</v>
      </c>
      <c r="B8466" s="4" t="s">
        <v>5</v>
      </c>
      <c r="C8466" s="4" t="s">
        <v>11</v>
      </c>
      <c r="D8466" s="4" t="s">
        <v>7</v>
      </c>
      <c r="E8466" s="4" t="s">
        <v>13</v>
      </c>
      <c r="F8466" s="4" t="s">
        <v>11</v>
      </c>
    </row>
    <row r="8467" spans="1:9">
      <c r="A8467" t="n">
        <v>77575</v>
      </c>
      <c r="B8467" s="56" t="n">
        <v>59</v>
      </c>
      <c r="C8467" s="7" t="n">
        <v>0</v>
      </c>
      <c r="D8467" s="7" t="n">
        <v>9</v>
      </c>
      <c r="E8467" s="7" t="n">
        <v>0.150000005960464</v>
      </c>
      <c r="F8467" s="7" t="n">
        <v>0</v>
      </c>
    </row>
    <row r="8468" spans="1:9">
      <c r="A8468" t="s">
        <v>4</v>
      </c>
      <c r="B8468" s="4" t="s">
        <v>5</v>
      </c>
      <c r="C8468" s="4" t="s">
        <v>11</v>
      </c>
      <c r="D8468" s="4" t="s">
        <v>7</v>
      </c>
      <c r="E8468" s="4" t="s">
        <v>13</v>
      </c>
      <c r="F8468" s="4" t="s">
        <v>11</v>
      </c>
    </row>
    <row r="8469" spans="1:9">
      <c r="A8469" t="n">
        <v>77585</v>
      </c>
      <c r="B8469" s="56" t="n">
        <v>59</v>
      </c>
      <c r="C8469" s="7" t="n">
        <v>11</v>
      </c>
      <c r="D8469" s="7" t="n">
        <v>9</v>
      </c>
      <c r="E8469" s="7" t="n">
        <v>0.150000005960464</v>
      </c>
      <c r="F8469" s="7" t="n">
        <v>0</v>
      </c>
    </row>
    <row r="8470" spans="1:9">
      <c r="A8470" t="s">
        <v>4</v>
      </c>
      <c r="B8470" s="4" t="s">
        <v>5</v>
      </c>
      <c r="C8470" s="4" t="s">
        <v>11</v>
      </c>
    </row>
    <row r="8471" spans="1:9">
      <c r="A8471" t="n">
        <v>77595</v>
      </c>
      <c r="B8471" s="29" t="n">
        <v>16</v>
      </c>
      <c r="C8471" s="7" t="n">
        <v>1500</v>
      </c>
    </row>
    <row r="8472" spans="1:9">
      <c r="A8472" t="s">
        <v>4</v>
      </c>
      <c r="B8472" s="4" t="s">
        <v>5</v>
      </c>
      <c r="C8472" s="4" t="s">
        <v>7</v>
      </c>
      <c r="D8472" s="4" t="s">
        <v>11</v>
      </c>
    </row>
    <row r="8473" spans="1:9">
      <c r="A8473" t="n">
        <v>77598</v>
      </c>
      <c r="B8473" s="51" t="n">
        <v>45</v>
      </c>
      <c r="C8473" s="7" t="n">
        <v>7</v>
      </c>
      <c r="D8473" s="7" t="n">
        <v>255</v>
      </c>
    </row>
    <row r="8474" spans="1:9">
      <c r="A8474" t="s">
        <v>4</v>
      </c>
      <c r="B8474" s="4" t="s">
        <v>5</v>
      </c>
      <c r="C8474" s="4" t="s">
        <v>7</v>
      </c>
      <c r="D8474" s="4" t="s">
        <v>11</v>
      </c>
      <c r="E8474" s="4" t="s">
        <v>13</v>
      </c>
    </row>
    <row r="8475" spans="1:9">
      <c r="A8475" t="n">
        <v>77602</v>
      </c>
      <c r="B8475" s="23" t="n">
        <v>58</v>
      </c>
      <c r="C8475" s="7" t="n">
        <v>0</v>
      </c>
      <c r="D8475" s="7" t="n">
        <v>2000</v>
      </c>
      <c r="E8475" s="7" t="n">
        <v>1</v>
      </c>
    </row>
    <row r="8476" spans="1:9">
      <c r="A8476" t="s">
        <v>4</v>
      </c>
      <c r="B8476" s="4" t="s">
        <v>5</v>
      </c>
      <c r="C8476" s="4" t="s">
        <v>7</v>
      </c>
      <c r="D8476" s="4" t="s">
        <v>11</v>
      </c>
    </row>
    <row r="8477" spans="1:9">
      <c r="A8477" t="n">
        <v>77610</v>
      </c>
      <c r="B8477" s="23" t="n">
        <v>58</v>
      </c>
      <c r="C8477" s="7" t="n">
        <v>255</v>
      </c>
      <c r="D8477" s="7" t="n">
        <v>0</v>
      </c>
    </row>
    <row r="8478" spans="1:9">
      <c r="A8478" t="s">
        <v>4</v>
      </c>
      <c r="B8478" s="4" t="s">
        <v>5</v>
      </c>
      <c r="C8478" s="4" t="s">
        <v>7</v>
      </c>
      <c r="D8478" s="4" t="s">
        <v>7</v>
      </c>
      <c r="E8478" s="4" t="s">
        <v>13</v>
      </c>
      <c r="F8478" s="4" t="s">
        <v>13</v>
      </c>
      <c r="G8478" s="4" t="s">
        <v>13</v>
      </c>
      <c r="H8478" s="4" t="s">
        <v>11</v>
      </c>
    </row>
    <row r="8479" spans="1:9">
      <c r="A8479" t="n">
        <v>77614</v>
      </c>
      <c r="B8479" s="51" t="n">
        <v>45</v>
      </c>
      <c r="C8479" s="7" t="n">
        <v>2</v>
      </c>
      <c r="D8479" s="7" t="n">
        <v>3</v>
      </c>
      <c r="E8479" s="7" t="n">
        <v>-7.84000015258789</v>
      </c>
      <c r="F8479" s="7" t="n">
        <v>7.17000007629395</v>
      </c>
      <c r="G8479" s="7" t="n">
        <v>31.6599998474121</v>
      </c>
      <c r="H8479" s="7" t="n">
        <v>0</v>
      </c>
    </row>
    <row r="8480" spans="1:9">
      <c r="A8480" t="s">
        <v>4</v>
      </c>
      <c r="B8480" s="4" t="s">
        <v>5</v>
      </c>
      <c r="C8480" s="4" t="s">
        <v>7</v>
      </c>
      <c r="D8480" s="4" t="s">
        <v>7</v>
      </c>
      <c r="E8480" s="4" t="s">
        <v>13</v>
      </c>
      <c r="F8480" s="4" t="s">
        <v>13</v>
      </c>
      <c r="G8480" s="4" t="s">
        <v>13</v>
      </c>
      <c r="H8480" s="4" t="s">
        <v>11</v>
      </c>
      <c r="I8480" s="4" t="s">
        <v>7</v>
      </c>
    </row>
    <row r="8481" spans="1:9">
      <c r="A8481" t="n">
        <v>77631</v>
      </c>
      <c r="B8481" s="51" t="n">
        <v>45</v>
      </c>
      <c r="C8481" s="7" t="n">
        <v>4</v>
      </c>
      <c r="D8481" s="7" t="n">
        <v>3</v>
      </c>
      <c r="E8481" s="7" t="n">
        <v>9.01000022888184</v>
      </c>
      <c r="F8481" s="7" t="n">
        <v>55.7900009155273</v>
      </c>
      <c r="G8481" s="7" t="n">
        <v>0</v>
      </c>
      <c r="H8481" s="7" t="n">
        <v>0</v>
      </c>
      <c r="I8481" s="7" t="n">
        <v>0</v>
      </c>
    </row>
    <row r="8482" spans="1:9">
      <c r="A8482" t="s">
        <v>4</v>
      </c>
      <c r="B8482" s="4" t="s">
        <v>5</v>
      </c>
      <c r="C8482" s="4" t="s">
        <v>7</v>
      </c>
      <c r="D8482" s="4" t="s">
        <v>7</v>
      </c>
      <c r="E8482" s="4" t="s">
        <v>13</v>
      </c>
      <c r="F8482" s="4" t="s">
        <v>11</v>
      </c>
    </row>
    <row r="8483" spans="1:9">
      <c r="A8483" t="n">
        <v>77649</v>
      </c>
      <c r="B8483" s="51" t="n">
        <v>45</v>
      </c>
      <c r="C8483" s="7" t="n">
        <v>5</v>
      </c>
      <c r="D8483" s="7" t="n">
        <v>3</v>
      </c>
      <c r="E8483" s="7" t="n">
        <v>2.40000009536743</v>
      </c>
      <c r="F8483" s="7" t="n">
        <v>0</v>
      </c>
    </row>
    <row r="8484" spans="1:9">
      <c r="A8484" t="s">
        <v>4</v>
      </c>
      <c r="B8484" s="4" t="s">
        <v>5</v>
      </c>
      <c r="C8484" s="4" t="s">
        <v>7</v>
      </c>
      <c r="D8484" s="4" t="s">
        <v>7</v>
      </c>
      <c r="E8484" s="4" t="s">
        <v>13</v>
      </c>
      <c r="F8484" s="4" t="s">
        <v>11</v>
      </c>
    </row>
    <row r="8485" spans="1:9">
      <c r="A8485" t="n">
        <v>77658</v>
      </c>
      <c r="B8485" s="51" t="n">
        <v>45</v>
      </c>
      <c r="C8485" s="7" t="n">
        <v>11</v>
      </c>
      <c r="D8485" s="7" t="n">
        <v>3</v>
      </c>
      <c r="E8485" s="7" t="n">
        <v>40.2999992370605</v>
      </c>
      <c r="F8485" s="7" t="n">
        <v>0</v>
      </c>
    </row>
    <row r="8486" spans="1:9">
      <c r="A8486" t="s">
        <v>4</v>
      </c>
      <c r="B8486" s="4" t="s">
        <v>5</v>
      </c>
      <c r="C8486" s="4" t="s">
        <v>7</v>
      </c>
      <c r="D8486" s="4" t="s">
        <v>7</v>
      </c>
      <c r="E8486" s="4" t="s">
        <v>13</v>
      </c>
      <c r="F8486" s="4" t="s">
        <v>13</v>
      </c>
      <c r="G8486" s="4" t="s">
        <v>13</v>
      </c>
      <c r="H8486" s="4" t="s">
        <v>11</v>
      </c>
    </row>
    <row r="8487" spans="1:9">
      <c r="A8487" t="n">
        <v>77667</v>
      </c>
      <c r="B8487" s="51" t="n">
        <v>45</v>
      </c>
      <c r="C8487" s="7" t="n">
        <v>2</v>
      </c>
      <c r="D8487" s="7" t="n">
        <v>3</v>
      </c>
      <c r="E8487" s="7" t="n">
        <v>-6.8899998664856</v>
      </c>
      <c r="F8487" s="7" t="n">
        <v>6.26999998092651</v>
      </c>
      <c r="G8487" s="7" t="n">
        <v>30.0599994659424</v>
      </c>
      <c r="H8487" s="7" t="n">
        <v>6000</v>
      </c>
    </row>
    <row r="8488" spans="1:9">
      <c r="A8488" t="s">
        <v>4</v>
      </c>
      <c r="B8488" s="4" t="s">
        <v>5</v>
      </c>
      <c r="C8488" s="4" t="s">
        <v>7</v>
      </c>
      <c r="D8488" s="4" t="s">
        <v>7</v>
      </c>
      <c r="E8488" s="4" t="s">
        <v>13</v>
      </c>
      <c r="F8488" s="4" t="s">
        <v>13</v>
      </c>
      <c r="G8488" s="4" t="s">
        <v>13</v>
      </c>
      <c r="H8488" s="4" t="s">
        <v>11</v>
      </c>
      <c r="I8488" s="4" t="s">
        <v>7</v>
      </c>
    </row>
    <row r="8489" spans="1:9">
      <c r="A8489" t="n">
        <v>77684</v>
      </c>
      <c r="B8489" s="51" t="n">
        <v>45</v>
      </c>
      <c r="C8489" s="7" t="n">
        <v>4</v>
      </c>
      <c r="D8489" s="7" t="n">
        <v>3</v>
      </c>
      <c r="E8489" s="7" t="n">
        <v>6.73999977111816</v>
      </c>
      <c r="F8489" s="7" t="n">
        <v>13.6199998855591</v>
      </c>
      <c r="G8489" s="7" t="n">
        <v>0</v>
      </c>
      <c r="H8489" s="7" t="n">
        <v>6000</v>
      </c>
      <c r="I8489" s="7" t="n">
        <v>1</v>
      </c>
    </row>
    <row r="8490" spans="1:9">
      <c r="A8490" t="s">
        <v>4</v>
      </c>
      <c r="B8490" s="4" t="s">
        <v>5</v>
      </c>
      <c r="C8490" s="4" t="s">
        <v>11</v>
      </c>
      <c r="D8490" s="4" t="s">
        <v>13</v>
      </c>
      <c r="E8490" s="4" t="s">
        <v>13</v>
      </c>
      <c r="F8490" s="4" t="s">
        <v>13</v>
      </c>
      <c r="G8490" s="4" t="s">
        <v>13</v>
      </c>
    </row>
    <row r="8491" spans="1:9">
      <c r="A8491" t="n">
        <v>77702</v>
      </c>
      <c r="B8491" s="36" t="n">
        <v>46</v>
      </c>
      <c r="C8491" s="7" t="n">
        <v>0</v>
      </c>
      <c r="D8491" s="7" t="n">
        <v>-6.51000022888184</v>
      </c>
      <c r="E8491" s="7" t="n">
        <v>5</v>
      </c>
      <c r="F8491" s="7" t="n">
        <v>29.8999996185303</v>
      </c>
      <c r="G8491" s="7" t="n">
        <v>208</v>
      </c>
    </row>
    <row r="8492" spans="1:9">
      <c r="A8492" t="s">
        <v>4</v>
      </c>
      <c r="B8492" s="4" t="s">
        <v>5</v>
      </c>
      <c r="C8492" s="4" t="s">
        <v>11</v>
      </c>
      <c r="D8492" s="4" t="s">
        <v>13</v>
      </c>
      <c r="E8492" s="4" t="s">
        <v>13</v>
      </c>
      <c r="F8492" s="4" t="s">
        <v>13</v>
      </c>
      <c r="G8492" s="4" t="s">
        <v>13</v>
      </c>
    </row>
    <row r="8493" spans="1:9">
      <c r="A8493" t="n">
        <v>77721</v>
      </c>
      <c r="B8493" s="36" t="n">
        <v>46</v>
      </c>
      <c r="C8493" s="7" t="n">
        <v>11</v>
      </c>
      <c r="D8493" s="7" t="n">
        <v>-7.44999980926514</v>
      </c>
      <c r="E8493" s="7" t="n">
        <v>5</v>
      </c>
      <c r="F8493" s="7" t="n">
        <v>29.7999992370605</v>
      </c>
      <c r="G8493" s="7" t="n">
        <v>151.199996948242</v>
      </c>
    </row>
    <row r="8494" spans="1:9">
      <c r="A8494" t="s">
        <v>4</v>
      </c>
      <c r="B8494" s="4" t="s">
        <v>5</v>
      </c>
      <c r="C8494" s="4" t="s">
        <v>8</v>
      </c>
      <c r="D8494" s="4" t="s">
        <v>8</v>
      </c>
    </row>
    <row r="8495" spans="1:9">
      <c r="A8495" t="n">
        <v>77740</v>
      </c>
      <c r="B8495" s="52" t="n">
        <v>70</v>
      </c>
      <c r="C8495" s="7" t="s">
        <v>25</v>
      </c>
      <c r="D8495" s="7" t="s">
        <v>118</v>
      </c>
    </row>
    <row r="8496" spans="1:9">
      <c r="A8496" t="s">
        <v>4</v>
      </c>
      <c r="B8496" s="4" t="s">
        <v>5</v>
      </c>
      <c r="C8496" s="4" t="s">
        <v>11</v>
      </c>
      <c r="D8496" s="4" t="s">
        <v>11</v>
      </c>
      <c r="E8496" s="4" t="s">
        <v>11</v>
      </c>
    </row>
    <row r="8497" spans="1:9">
      <c r="A8497" t="n">
        <v>77756</v>
      </c>
      <c r="B8497" s="72" t="n">
        <v>61</v>
      </c>
      <c r="C8497" s="7" t="n">
        <v>0</v>
      </c>
      <c r="D8497" s="7" t="n">
        <v>11</v>
      </c>
      <c r="E8497" s="7" t="n">
        <v>0</v>
      </c>
    </row>
    <row r="8498" spans="1:9">
      <c r="A8498" t="s">
        <v>4</v>
      </c>
      <c r="B8498" s="4" t="s">
        <v>5</v>
      </c>
      <c r="C8498" s="4" t="s">
        <v>11</v>
      </c>
      <c r="D8498" s="4" t="s">
        <v>11</v>
      </c>
      <c r="E8498" s="4" t="s">
        <v>11</v>
      </c>
    </row>
    <row r="8499" spans="1:9">
      <c r="A8499" t="n">
        <v>77763</v>
      </c>
      <c r="B8499" s="72" t="n">
        <v>61</v>
      </c>
      <c r="C8499" s="7" t="n">
        <v>11</v>
      </c>
      <c r="D8499" s="7" t="n">
        <v>0</v>
      </c>
      <c r="E8499" s="7" t="n">
        <v>0</v>
      </c>
    </row>
    <row r="8500" spans="1:9">
      <c r="A8500" t="s">
        <v>4</v>
      </c>
      <c r="B8500" s="4" t="s">
        <v>5</v>
      </c>
      <c r="C8500" s="4" t="s">
        <v>7</v>
      </c>
      <c r="D8500" s="4" t="s">
        <v>11</v>
      </c>
      <c r="E8500" s="4" t="s">
        <v>13</v>
      </c>
    </row>
    <row r="8501" spans="1:9">
      <c r="A8501" t="n">
        <v>77770</v>
      </c>
      <c r="B8501" s="23" t="n">
        <v>58</v>
      </c>
      <c r="C8501" s="7" t="n">
        <v>100</v>
      </c>
      <c r="D8501" s="7" t="n">
        <v>1000</v>
      </c>
      <c r="E8501" s="7" t="n">
        <v>1</v>
      </c>
    </row>
    <row r="8502" spans="1:9">
      <c r="A8502" t="s">
        <v>4</v>
      </c>
      <c r="B8502" s="4" t="s">
        <v>5</v>
      </c>
      <c r="C8502" s="4" t="s">
        <v>7</v>
      </c>
      <c r="D8502" s="4" t="s">
        <v>11</v>
      </c>
    </row>
    <row r="8503" spans="1:9">
      <c r="A8503" t="n">
        <v>77778</v>
      </c>
      <c r="B8503" s="23" t="n">
        <v>58</v>
      </c>
      <c r="C8503" s="7" t="n">
        <v>255</v>
      </c>
      <c r="D8503" s="7" t="n">
        <v>0</v>
      </c>
    </row>
    <row r="8504" spans="1:9">
      <c r="A8504" t="s">
        <v>4</v>
      </c>
      <c r="B8504" s="4" t="s">
        <v>5</v>
      </c>
      <c r="C8504" s="4" t="s">
        <v>11</v>
      </c>
    </row>
    <row r="8505" spans="1:9">
      <c r="A8505" t="n">
        <v>77782</v>
      </c>
      <c r="B8505" s="29" t="n">
        <v>16</v>
      </c>
      <c r="C8505" s="7" t="n">
        <v>1000</v>
      </c>
    </row>
    <row r="8506" spans="1:9">
      <c r="A8506" t="s">
        <v>4</v>
      </c>
      <c r="B8506" s="4" t="s">
        <v>5</v>
      </c>
      <c r="C8506" s="4" t="s">
        <v>7</v>
      </c>
      <c r="D8506" s="4" t="s">
        <v>11</v>
      </c>
    </row>
    <row r="8507" spans="1:9">
      <c r="A8507" t="n">
        <v>77785</v>
      </c>
      <c r="B8507" s="51" t="n">
        <v>45</v>
      </c>
      <c r="C8507" s="7" t="n">
        <v>7</v>
      </c>
      <c r="D8507" s="7" t="n">
        <v>255</v>
      </c>
    </row>
    <row r="8508" spans="1:9">
      <c r="A8508" t="s">
        <v>4</v>
      </c>
      <c r="B8508" s="4" t="s">
        <v>5</v>
      </c>
      <c r="C8508" s="4" t="s">
        <v>7</v>
      </c>
      <c r="D8508" s="4" t="s">
        <v>11</v>
      </c>
      <c r="E8508" s="4" t="s">
        <v>13</v>
      </c>
    </row>
    <row r="8509" spans="1:9">
      <c r="A8509" t="n">
        <v>77789</v>
      </c>
      <c r="B8509" s="23" t="n">
        <v>58</v>
      </c>
      <c r="C8509" s="7" t="n">
        <v>101</v>
      </c>
      <c r="D8509" s="7" t="n">
        <v>500</v>
      </c>
      <c r="E8509" s="7" t="n">
        <v>1</v>
      </c>
    </row>
    <row r="8510" spans="1:9">
      <c r="A8510" t="s">
        <v>4</v>
      </c>
      <c r="B8510" s="4" t="s">
        <v>5</v>
      </c>
      <c r="C8510" s="4" t="s">
        <v>7</v>
      </c>
      <c r="D8510" s="4" t="s">
        <v>11</v>
      </c>
    </row>
    <row r="8511" spans="1:9">
      <c r="A8511" t="n">
        <v>77797</v>
      </c>
      <c r="B8511" s="23" t="n">
        <v>58</v>
      </c>
      <c r="C8511" s="7" t="n">
        <v>254</v>
      </c>
      <c r="D8511" s="7" t="n">
        <v>0</v>
      </c>
    </row>
    <row r="8512" spans="1:9">
      <c r="A8512" t="s">
        <v>4</v>
      </c>
      <c r="B8512" s="4" t="s">
        <v>5</v>
      </c>
      <c r="C8512" s="4" t="s">
        <v>7</v>
      </c>
      <c r="D8512" s="4" t="s">
        <v>11</v>
      </c>
      <c r="E8512" s="4" t="s">
        <v>8</v>
      </c>
      <c r="F8512" s="4" t="s">
        <v>8</v>
      </c>
      <c r="G8512" s="4" t="s">
        <v>8</v>
      </c>
      <c r="H8512" s="4" t="s">
        <v>8</v>
      </c>
    </row>
    <row r="8513" spans="1:8">
      <c r="A8513" t="n">
        <v>77801</v>
      </c>
      <c r="B8513" s="38" t="n">
        <v>51</v>
      </c>
      <c r="C8513" s="7" t="n">
        <v>3</v>
      </c>
      <c r="D8513" s="7" t="n">
        <v>11</v>
      </c>
      <c r="E8513" s="7" t="s">
        <v>79</v>
      </c>
      <c r="F8513" s="7" t="s">
        <v>79</v>
      </c>
      <c r="G8513" s="7" t="s">
        <v>78</v>
      </c>
      <c r="H8513" s="7" t="s">
        <v>79</v>
      </c>
    </row>
    <row r="8514" spans="1:8">
      <c r="A8514" t="s">
        <v>4</v>
      </c>
      <c r="B8514" s="4" t="s">
        <v>5</v>
      </c>
      <c r="C8514" s="4" t="s">
        <v>7</v>
      </c>
      <c r="D8514" s="4" t="s">
        <v>11</v>
      </c>
      <c r="E8514" s="4" t="s">
        <v>11</v>
      </c>
      <c r="F8514" s="4" t="s">
        <v>15</v>
      </c>
      <c r="G8514" s="4" t="s">
        <v>15</v>
      </c>
      <c r="H8514" s="4" t="s">
        <v>15</v>
      </c>
    </row>
    <row r="8515" spans="1:8">
      <c r="A8515" t="n">
        <v>77814</v>
      </c>
      <c r="B8515" s="77" t="n">
        <v>97</v>
      </c>
      <c r="C8515" s="7" t="n">
        <v>6</v>
      </c>
      <c r="D8515" s="7" t="n">
        <v>0</v>
      </c>
      <c r="E8515" s="7" t="n">
        <v>0</v>
      </c>
      <c r="F8515" s="7" t="n">
        <v>-1065143501</v>
      </c>
      <c r="G8515" s="7" t="n">
        <v>1101004800</v>
      </c>
      <c r="H8515" s="7" t="n">
        <v>1101004800</v>
      </c>
    </row>
    <row r="8516" spans="1:8">
      <c r="A8516" t="s">
        <v>4</v>
      </c>
      <c r="B8516" s="4" t="s">
        <v>5</v>
      </c>
      <c r="C8516" s="4" t="s">
        <v>7</v>
      </c>
      <c r="D8516" s="4" t="s">
        <v>7</v>
      </c>
      <c r="E8516" s="4" t="s">
        <v>13</v>
      </c>
      <c r="F8516" s="4" t="s">
        <v>13</v>
      </c>
      <c r="G8516" s="4" t="s">
        <v>13</v>
      </c>
      <c r="H8516" s="4" t="s">
        <v>11</v>
      </c>
    </row>
    <row r="8517" spans="1:8">
      <c r="A8517" t="n">
        <v>77832</v>
      </c>
      <c r="B8517" s="51" t="n">
        <v>45</v>
      </c>
      <c r="C8517" s="7" t="n">
        <v>2</v>
      </c>
      <c r="D8517" s="7" t="n">
        <v>3</v>
      </c>
      <c r="E8517" s="7" t="n">
        <v>-6.86999988555908</v>
      </c>
      <c r="F8517" s="7" t="n">
        <v>6.42999982833862</v>
      </c>
      <c r="G8517" s="7" t="n">
        <v>29.8400001525879</v>
      </c>
      <c r="H8517" s="7" t="n">
        <v>0</v>
      </c>
    </row>
    <row r="8518" spans="1:8">
      <c r="A8518" t="s">
        <v>4</v>
      </c>
      <c r="B8518" s="4" t="s">
        <v>5</v>
      </c>
      <c r="C8518" s="4" t="s">
        <v>7</v>
      </c>
      <c r="D8518" s="4" t="s">
        <v>7</v>
      </c>
      <c r="E8518" s="4" t="s">
        <v>13</v>
      </c>
      <c r="F8518" s="4" t="s">
        <v>13</v>
      </c>
      <c r="G8518" s="4" t="s">
        <v>13</v>
      </c>
      <c r="H8518" s="4" t="s">
        <v>11</v>
      </c>
      <c r="I8518" s="4" t="s">
        <v>7</v>
      </c>
    </row>
    <row r="8519" spans="1:8">
      <c r="A8519" t="n">
        <v>77849</v>
      </c>
      <c r="B8519" s="51" t="n">
        <v>45</v>
      </c>
      <c r="C8519" s="7" t="n">
        <v>4</v>
      </c>
      <c r="D8519" s="7" t="n">
        <v>3</v>
      </c>
      <c r="E8519" s="7" t="n">
        <v>13.3000001907349</v>
      </c>
      <c r="F8519" s="7" t="n">
        <v>135.5</v>
      </c>
      <c r="G8519" s="7" t="n">
        <v>0</v>
      </c>
      <c r="H8519" s="7" t="n">
        <v>0</v>
      </c>
      <c r="I8519" s="7" t="n">
        <v>0</v>
      </c>
    </row>
    <row r="8520" spans="1:8">
      <c r="A8520" t="s">
        <v>4</v>
      </c>
      <c r="B8520" s="4" t="s">
        <v>5</v>
      </c>
      <c r="C8520" s="4" t="s">
        <v>7</v>
      </c>
      <c r="D8520" s="4" t="s">
        <v>7</v>
      </c>
      <c r="E8520" s="4" t="s">
        <v>13</v>
      </c>
      <c r="F8520" s="4" t="s">
        <v>11</v>
      </c>
    </row>
    <row r="8521" spans="1:8">
      <c r="A8521" t="n">
        <v>77867</v>
      </c>
      <c r="B8521" s="51" t="n">
        <v>45</v>
      </c>
      <c r="C8521" s="7" t="n">
        <v>5</v>
      </c>
      <c r="D8521" s="7" t="n">
        <v>3</v>
      </c>
      <c r="E8521" s="7" t="n">
        <v>1.29999995231628</v>
      </c>
      <c r="F8521" s="7" t="n">
        <v>0</v>
      </c>
    </row>
    <row r="8522" spans="1:8">
      <c r="A8522" t="s">
        <v>4</v>
      </c>
      <c r="B8522" s="4" t="s">
        <v>5</v>
      </c>
      <c r="C8522" s="4" t="s">
        <v>7</v>
      </c>
      <c r="D8522" s="4" t="s">
        <v>7</v>
      </c>
      <c r="E8522" s="4" t="s">
        <v>13</v>
      </c>
      <c r="F8522" s="4" t="s">
        <v>11</v>
      </c>
    </row>
    <row r="8523" spans="1:8">
      <c r="A8523" t="n">
        <v>77876</v>
      </c>
      <c r="B8523" s="51" t="n">
        <v>45</v>
      </c>
      <c r="C8523" s="7" t="n">
        <v>11</v>
      </c>
      <c r="D8523" s="7" t="n">
        <v>3</v>
      </c>
      <c r="E8523" s="7" t="n">
        <v>40.2999992370605</v>
      </c>
      <c r="F8523" s="7" t="n">
        <v>0</v>
      </c>
    </row>
    <row r="8524" spans="1:8">
      <c r="A8524" t="s">
        <v>4</v>
      </c>
      <c r="B8524" s="4" t="s">
        <v>5</v>
      </c>
      <c r="C8524" s="4" t="s">
        <v>7</v>
      </c>
      <c r="D8524" s="4" t="s">
        <v>11</v>
      </c>
    </row>
    <row r="8525" spans="1:8">
      <c r="A8525" t="n">
        <v>77885</v>
      </c>
      <c r="B8525" s="23" t="n">
        <v>58</v>
      </c>
      <c r="C8525" s="7" t="n">
        <v>255</v>
      </c>
      <c r="D8525" s="7" t="n">
        <v>0</v>
      </c>
    </row>
    <row r="8526" spans="1:8">
      <c r="A8526" t="s">
        <v>4</v>
      </c>
      <c r="B8526" s="4" t="s">
        <v>5</v>
      </c>
      <c r="C8526" s="4" t="s">
        <v>7</v>
      </c>
      <c r="D8526" s="4" t="s">
        <v>11</v>
      </c>
      <c r="E8526" s="4" t="s">
        <v>8</v>
      </c>
    </row>
    <row r="8527" spans="1:8">
      <c r="A8527" t="n">
        <v>77889</v>
      </c>
      <c r="B8527" s="38" t="n">
        <v>51</v>
      </c>
      <c r="C8527" s="7" t="n">
        <v>4</v>
      </c>
      <c r="D8527" s="7" t="n">
        <v>11</v>
      </c>
      <c r="E8527" s="7" t="s">
        <v>658</v>
      </c>
    </row>
    <row r="8528" spans="1:8">
      <c r="A8528" t="s">
        <v>4</v>
      </c>
      <c r="B8528" s="4" t="s">
        <v>5</v>
      </c>
      <c r="C8528" s="4" t="s">
        <v>11</v>
      </c>
    </row>
    <row r="8529" spans="1:9">
      <c r="A8529" t="n">
        <v>77903</v>
      </c>
      <c r="B8529" s="29" t="n">
        <v>16</v>
      </c>
      <c r="C8529" s="7" t="n">
        <v>0</v>
      </c>
    </row>
    <row r="8530" spans="1:9">
      <c r="A8530" t="s">
        <v>4</v>
      </c>
      <c r="B8530" s="4" t="s">
        <v>5</v>
      </c>
      <c r="C8530" s="4" t="s">
        <v>11</v>
      </c>
      <c r="D8530" s="4" t="s">
        <v>7</v>
      </c>
      <c r="E8530" s="4" t="s">
        <v>15</v>
      </c>
      <c r="F8530" s="4" t="s">
        <v>55</v>
      </c>
      <c r="G8530" s="4" t="s">
        <v>7</v>
      </c>
      <c r="H8530" s="4" t="s">
        <v>7</v>
      </c>
      <c r="I8530" s="4" t="s">
        <v>7</v>
      </c>
      <c r="J8530" s="4" t="s">
        <v>15</v>
      </c>
      <c r="K8530" s="4" t="s">
        <v>55</v>
      </c>
      <c r="L8530" s="4" t="s">
        <v>7</v>
      </c>
      <c r="M8530" s="4" t="s">
        <v>7</v>
      </c>
    </row>
    <row r="8531" spans="1:9">
      <c r="A8531" t="n">
        <v>77906</v>
      </c>
      <c r="B8531" s="55" t="n">
        <v>26</v>
      </c>
      <c r="C8531" s="7" t="n">
        <v>11</v>
      </c>
      <c r="D8531" s="7" t="n">
        <v>17</v>
      </c>
      <c r="E8531" s="7" t="n">
        <v>63995</v>
      </c>
      <c r="F8531" s="7" t="s">
        <v>719</v>
      </c>
      <c r="G8531" s="7" t="n">
        <v>2</v>
      </c>
      <c r="H8531" s="7" t="n">
        <v>3</v>
      </c>
      <c r="I8531" s="7" t="n">
        <v>17</v>
      </c>
      <c r="J8531" s="7" t="n">
        <v>63996</v>
      </c>
      <c r="K8531" s="7" t="s">
        <v>720</v>
      </c>
      <c r="L8531" s="7" t="n">
        <v>2</v>
      </c>
      <c r="M8531" s="7" t="n">
        <v>0</v>
      </c>
    </row>
    <row r="8532" spans="1:9">
      <c r="A8532" t="s">
        <v>4</v>
      </c>
      <c r="B8532" s="4" t="s">
        <v>5</v>
      </c>
    </row>
    <row r="8533" spans="1:9">
      <c r="A8533" t="n">
        <v>78083</v>
      </c>
      <c r="B8533" s="27" t="n">
        <v>28</v>
      </c>
    </row>
    <row r="8534" spans="1:9">
      <c r="A8534" t="s">
        <v>4</v>
      </c>
      <c r="B8534" s="4" t="s">
        <v>5</v>
      </c>
      <c r="C8534" s="4" t="s">
        <v>7</v>
      </c>
      <c r="D8534" s="4" t="s">
        <v>11</v>
      </c>
      <c r="E8534" s="4" t="s">
        <v>8</v>
      </c>
    </row>
    <row r="8535" spans="1:9">
      <c r="A8535" t="n">
        <v>78084</v>
      </c>
      <c r="B8535" s="38" t="n">
        <v>51</v>
      </c>
      <c r="C8535" s="7" t="n">
        <v>4</v>
      </c>
      <c r="D8535" s="7" t="n">
        <v>0</v>
      </c>
      <c r="E8535" s="7" t="s">
        <v>147</v>
      </c>
    </row>
    <row r="8536" spans="1:9">
      <c r="A8536" t="s">
        <v>4</v>
      </c>
      <c r="B8536" s="4" t="s">
        <v>5</v>
      </c>
      <c r="C8536" s="4" t="s">
        <v>11</v>
      </c>
    </row>
    <row r="8537" spans="1:9">
      <c r="A8537" t="n">
        <v>78098</v>
      </c>
      <c r="B8537" s="29" t="n">
        <v>16</v>
      </c>
      <c r="C8537" s="7" t="n">
        <v>0</v>
      </c>
    </row>
    <row r="8538" spans="1:9">
      <c r="A8538" t="s">
        <v>4</v>
      </c>
      <c r="B8538" s="4" t="s">
        <v>5</v>
      </c>
      <c r="C8538" s="4" t="s">
        <v>11</v>
      </c>
      <c r="D8538" s="4" t="s">
        <v>7</v>
      </c>
      <c r="E8538" s="4" t="s">
        <v>15</v>
      </c>
      <c r="F8538" s="4" t="s">
        <v>55</v>
      </c>
      <c r="G8538" s="4" t="s">
        <v>7</v>
      </c>
      <c r="H8538" s="4" t="s">
        <v>7</v>
      </c>
    </row>
    <row r="8539" spans="1:9">
      <c r="A8539" t="n">
        <v>78101</v>
      </c>
      <c r="B8539" s="55" t="n">
        <v>26</v>
      </c>
      <c r="C8539" s="7" t="n">
        <v>0</v>
      </c>
      <c r="D8539" s="7" t="n">
        <v>17</v>
      </c>
      <c r="E8539" s="7" t="n">
        <v>63997</v>
      </c>
      <c r="F8539" s="7" t="s">
        <v>721</v>
      </c>
      <c r="G8539" s="7" t="n">
        <v>2</v>
      </c>
      <c r="H8539" s="7" t="n">
        <v>0</v>
      </c>
    </row>
    <row r="8540" spans="1:9">
      <c r="A8540" t="s">
        <v>4</v>
      </c>
      <c r="B8540" s="4" t="s">
        <v>5</v>
      </c>
    </row>
    <row r="8541" spans="1:9">
      <c r="A8541" t="n">
        <v>78196</v>
      </c>
      <c r="B8541" s="27" t="n">
        <v>28</v>
      </c>
    </row>
    <row r="8542" spans="1:9">
      <c r="A8542" t="s">
        <v>4</v>
      </c>
      <c r="B8542" s="4" t="s">
        <v>5</v>
      </c>
      <c r="C8542" s="4" t="s">
        <v>7</v>
      </c>
      <c r="D8542" s="4" t="s">
        <v>11</v>
      </c>
      <c r="E8542" s="4" t="s">
        <v>8</v>
      </c>
    </row>
    <row r="8543" spans="1:9">
      <c r="A8543" t="n">
        <v>78197</v>
      </c>
      <c r="B8543" s="38" t="n">
        <v>51</v>
      </c>
      <c r="C8543" s="7" t="n">
        <v>4</v>
      </c>
      <c r="D8543" s="7" t="n">
        <v>11</v>
      </c>
      <c r="E8543" s="7" t="s">
        <v>242</v>
      </c>
    </row>
    <row r="8544" spans="1:9">
      <c r="A8544" t="s">
        <v>4</v>
      </c>
      <c r="B8544" s="4" t="s">
        <v>5</v>
      </c>
      <c r="C8544" s="4" t="s">
        <v>11</v>
      </c>
    </row>
    <row r="8545" spans="1:13">
      <c r="A8545" t="n">
        <v>78211</v>
      </c>
      <c r="B8545" s="29" t="n">
        <v>16</v>
      </c>
      <c r="C8545" s="7" t="n">
        <v>0</v>
      </c>
    </row>
    <row r="8546" spans="1:13">
      <c r="A8546" t="s">
        <v>4</v>
      </c>
      <c r="B8546" s="4" t="s">
        <v>5</v>
      </c>
      <c r="C8546" s="4" t="s">
        <v>11</v>
      </c>
      <c r="D8546" s="4" t="s">
        <v>7</v>
      </c>
      <c r="E8546" s="4" t="s">
        <v>15</v>
      </c>
      <c r="F8546" s="4" t="s">
        <v>55</v>
      </c>
      <c r="G8546" s="4" t="s">
        <v>7</v>
      </c>
      <c r="H8546" s="4" t="s">
        <v>7</v>
      </c>
      <c r="I8546" s="4" t="s">
        <v>7</v>
      </c>
      <c r="J8546" s="4" t="s">
        <v>15</v>
      </c>
      <c r="K8546" s="4" t="s">
        <v>55</v>
      </c>
      <c r="L8546" s="4" t="s">
        <v>7</v>
      </c>
      <c r="M8546" s="4" t="s">
        <v>7</v>
      </c>
      <c r="N8546" s="4" t="s">
        <v>7</v>
      </c>
      <c r="O8546" s="4" t="s">
        <v>15</v>
      </c>
      <c r="P8546" s="4" t="s">
        <v>55</v>
      </c>
      <c r="Q8546" s="4" t="s">
        <v>7</v>
      </c>
      <c r="R8546" s="4" t="s">
        <v>7</v>
      </c>
    </row>
    <row r="8547" spans="1:13">
      <c r="A8547" t="n">
        <v>78214</v>
      </c>
      <c r="B8547" s="55" t="n">
        <v>26</v>
      </c>
      <c r="C8547" s="7" t="n">
        <v>11</v>
      </c>
      <c r="D8547" s="7" t="n">
        <v>17</v>
      </c>
      <c r="E8547" s="7" t="n">
        <v>63998</v>
      </c>
      <c r="F8547" s="7" t="s">
        <v>722</v>
      </c>
      <c r="G8547" s="7" t="n">
        <v>2</v>
      </c>
      <c r="H8547" s="7" t="n">
        <v>3</v>
      </c>
      <c r="I8547" s="7" t="n">
        <v>17</v>
      </c>
      <c r="J8547" s="7" t="n">
        <v>63999</v>
      </c>
      <c r="K8547" s="7" t="s">
        <v>723</v>
      </c>
      <c r="L8547" s="7" t="n">
        <v>2</v>
      </c>
      <c r="M8547" s="7" t="n">
        <v>3</v>
      </c>
      <c r="N8547" s="7" t="n">
        <v>17</v>
      </c>
      <c r="O8547" s="7" t="n">
        <v>64000</v>
      </c>
      <c r="P8547" s="7" t="s">
        <v>724</v>
      </c>
      <c r="Q8547" s="7" t="n">
        <v>2</v>
      </c>
      <c r="R8547" s="7" t="n">
        <v>0</v>
      </c>
    </row>
    <row r="8548" spans="1:13">
      <c r="A8548" t="s">
        <v>4</v>
      </c>
      <c r="B8548" s="4" t="s">
        <v>5</v>
      </c>
    </row>
    <row r="8549" spans="1:13">
      <c r="A8549" t="n">
        <v>78631</v>
      </c>
      <c r="B8549" s="27" t="n">
        <v>28</v>
      </c>
    </row>
    <row r="8550" spans="1:13">
      <c r="A8550" t="s">
        <v>4</v>
      </c>
      <c r="B8550" s="4" t="s">
        <v>5</v>
      </c>
      <c r="C8550" s="4" t="s">
        <v>7</v>
      </c>
      <c r="D8550" s="4" t="s">
        <v>11</v>
      </c>
      <c r="E8550" s="4" t="s">
        <v>8</v>
      </c>
    </row>
    <row r="8551" spans="1:13">
      <c r="A8551" t="n">
        <v>78632</v>
      </c>
      <c r="B8551" s="38" t="n">
        <v>51</v>
      </c>
      <c r="C8551" s="7" t="n">
        <v>4</v>
      </c>
      <c r="D8551" s="7" t="n">
        <v>0</v>
      </c>
      <c r="E8551" s="7" t="s">
        <v>242</v>
      </c>
    </row>
    <row r="8552" spans="1:13">
      <c r="A8552" t="s">
        <v>4</v>
      </c>
      <c r="B8552" s="4" t="s">
        <v>5</v>
      </c>
      <c r="C8552" s="4" t="s">
        <v>11</v>
      </c>
    </row>
    <row r="8553" spans="1:13">
      <c r="A8553" t="n">
        <v>78646</v>
      </c>
      <c r="B8553" s="29" t="n">
        <v>16</v>
      </c>
      <c r="C8553" s="7" t="n">
        <v>0</v>
      </c>
    </row>
    <row r="8554" spans="1:13">
      <c r="A8554" t="s">
        <v>4</v>
      </c>
      <c r="B8554" s="4" t="s">
        <v>5</v>
      </c>
      <c r="C8554" s="4" t="s">
        <v>11</v>
      </c>
      <c r="D8554" s="4" t="s">
        <v>7</v>
      </c>
      <c r="E8554" s="4" t="s">
        <v>15</v>
      </c>
      <c r="F8554" s="4" t="s">
        <v>55</v>
      </c>
      <c r="G8554" s="4" t="s">
        <v>7</v>
      </c>
      <c r="H8554" s="4" t="s">
        <v>7</v>
      </c>
      <c r="I8554" s="4" t="s">
        <v>7</v>
      </c>
      <c r="J8554" s="4" t="s">
        <v>15</v>
      </c>
      <c r="K8554" s="4" t="s">
        <v>55</v>
      </c>
      <c r="L8554" s="4" t="s">
        <v>7</v>
      </c>
      <c r="M8554" s="4" t="s">
        <v>7</v>
      </c>
      <c r="N8554" s="4" t="s">
        <v>7</v>
      </c>
      <c r="O8554" s="4" t="s">
        <v>15</v>
      </c>
      <c r="P8554" s="4" t="s">
        <v>55</v>
      </c>
      <c r="Q8554" s="4" t="s">
        <v>7</v>
      </c>
      <c r="R8554" s="4" t="s">
        <v>7</v>
      </c>
    </row>
    <row r="8555" spans="1:13">
      <c r="A8555" t="n">
        <v>78649</v>
      </c>
      <c r="B8555" s="55" t="n">
        <v>26</v>
      </c>
      <c r="C8555" s="7" t="n">
        <v>0</v>
      </c>
      <c r="D8555" s="7" t="n">
        <v>17</v>
      </c>
      <c r="E8555" s="7" t="n">
        <v>64001</v>
      </c>
      <c r="F8555" s="7" t="s">
        <v>725</v>
      </c>
      <c r="G8555" s="7" t="n">
        <v>2</v>
      </c>
      <c r="H8555" s="7" t="n">
        <v>3</v>
      </c>
      <c r="I8555" s="7" t="n">
        <v>17</v>
      </c>
      <c r="J8555" s="7" t="n">
        <v>64002</v>
      </c>
      <c r="K8555" s="7" t="s">
        <v>726</v>
      </c>
      <c r="L8555" s="7" t="n">
        <v>2</v>
      </c>
      <c r="M8555" s="7" t="n">
        <v>3</v>
      </c>
      <c r="N8555" s="7" t="n">
        <v>17</v>
      </c>
      <c r="O8555" s="7" t="n">
        <v>64003</v>
      </c>
      <c r="P8555" s="7" t="s">
        <v>727</v>
      </c>
      <c r="Q8555" s="7" t="n">
        <v>2</v>
      </c>
      <c r="R8555" s="7" t="n">
        <v>0</v>
      </c>
    </row>
    <row r="8556" spans="1:13">
      <c r="A8556" t="s">
        <v>4</v>
      </c>
      <c r="B8556" s="4" t="s">
        <v>5</v>
      </c>
    </row>
    <row r="8557" spans="1:13">
      <c r="A8557" t="n">
        <v>79019</v>
      </c>
      <c r="B8557" s="27" t="n">
        <v>28</v>
      </c>
    </row>
    <row r="8558" spans="1:13">
      <c r="A8558" t="s">
        <v>4</v>
      </c>
      <c r="B8558" s="4" t="s">
        <v>5</v>
      </c>
      <c r="C8558" s="4" t="s">
        <v>7</v>
      </c>
      <c r="D8558" s="4" t="s">
        <v>11</v>
      </c>
      <c r="E8558" s="4" t="s">
        <v>8</v>
      </c>
    </row>
    <row r="8559" spans="1:13">
      <c r="A8559" t="n">
        <v>79020</v>
      </c>
      <c r="B8559" s="38" t="n">
        <v>51</v>
      </c>
      <c r="C8559" s="7" t="n">
        <v>4</v>
      </c>
      <c r="D8559" s="7" t="n">
        <v>11</v>
      </c>
      <c r="E8559" s="7" t="s">
        <v>245</v>
      </c>
    </row>
    <row r="8560" spans="1:13">
      <c r="A8560" t="s">
        <v>4</v>
      </c>
      <c r="B8560" s="4" t="s">
        <v>5</v>
      </c>
      <c r="C8560" s="4" t="s">
        <v>11</v>
      </c>
    </row>
    <row r="8561" spans="1:18">
      <c r="A8561" t="n">
        <v>79034</v>
      </c>
      <c r="B8561" s="29" t="n">
        <v>16</v>
      </c>
      <c r="C8561" s="7" t="n">
        <v>0</v>
      </c>
    </row>
    <row r="8562" spans="1:18">
      <c r="A8562" t="s">
        <v>4</v>
      </c>
      <c r="B8562" s="4" t="s">
        <v>5</v>
      </c>
      <c r="C8562" s="4" t="s">
        <v>11</v>
      </c>
      <c r="D8562" s="4" t="s">
        <v>7</v>
      </c>
      <c r="E8562" s="4" t="s">
        <v>15</v>
      </c>
      <c r="F8562" s="4" t="s">
        <v>55</v>
      </c>
      <c r="G8562" s="4" t="s">
        <v>7</v>
      </c>
      <c r="H8562" s="4" t="s">
        <v>7</v>
      </c>
      <c r="I8562" s="4" t="s">
        <v>7</v>
      </c>
      <c r="J8562" s="4" t="s">
        <v>15</v>
      </c>
      <c r="K8562" s="4" t="s">
        <v>55</v>
      </c>
      <c r="L8562" s="4" t="s">
        <v>7</v>
      </c>
      <c r="M8562" s="4" t="s">
        <v>7</v>
      </c>
    </row>
    <row r="8563" spans="1:18">
      <c r="A8563" t="n">
        <v>79037</v>
      </c>
      <c r="B8563" s="55" t="n">
        <v>26</v>
      </c>
      <c r="C8563" s="7" t="n">
        <v>11</v>
      </c>
      <c r="D8563" s="7" t="n">
        <v>17</v>
      </c>
      <c r="E8563" s="7" t="n">
        <v>64004</v>
      </c>
      <c r="F8563" s="7" t="s">
        <v>728</v>
      </c>
      <c r="G8563" s="7" t="n">
        <v>2</v>
      </c>
      <c r="H8563" s="7" t="n">
        <v>3</v>
      </c>
      <c r="I8563" s="7" t="n">
        <v>17</v>
      </c>
      <c r="J8563" s="7" t="n">
        <v>64005</v>
      </c>
      <c r="K8563" s="7" t="s">
        <v>729</v>
      </c>
      <c r="L8563" s="7" t="n">
        <v>2</v>
      </c>
      <c r="M8563" s="7" t="n">
        <v>0</v>
      </c>
    </row>
    <row r="8564" spans="1:18">
      <c r="A8564" t="s">
        <v>4</v>
      </c>
      <c r="B8564" s="4" t="s">
        <v>5</v>
      </c>
    </row>
    <row r="8565" spans="1:18">
      <c r="A8565" t="n">
        <v>79158</v>
      </c>
      <c r="B8565" s="27" t="n">
        <v>28</v>
      </c>
    </row>
    <row r="8566" spans="1:18">
      <c r="A8566" t="s">
        <v>4</v>
      </c>
      <c r="B8566" s="4" t="s">
        <v>5</v>
      </c>
      <c r="C8566" s="4" t="s">
        <v>7</v>
      </c>
      <c r="D8566" s="4" t="s">
        <v>11</v>
      </c>
      <c r="E8566" s="4" t="s">
        <v>7</v>
      </c>
    </row>
    <row r="8567" spans="1:18">
      <c r="A8567" t="n">
        <v>79159</v>
      </c>
      <c r="B8567" s="13" t="n">
        <v>49</v>
      </c>
      <c r="C8567" s="7" t="n">
        <v>1</v>
      </c>
      <c r="D8567" s="7" t="n">
        <v>3000</v>
      </c>
      <c r="E8567" s="7" t="n">
        <v>0</v>
      </c>
    </row>
    <row r="8568" spans="1:18">
      <c r="A8568" t="s">
        <v>4</v>
      </c>
      <c r="B8568" s="4" t="s">
        <v>5</v>
      </c>
      <c r="C8568" s="4" t="s">
        <v>7</v>
      </c>
      <c r="D8568" s="4" t="s">
        <v>11</v>
      </c>
      <c r="E8568" s="4" t="s">
        <v>8</v>
      </c>
      <c r="F8568" s="4" t="s">
        <v>8</v>
      </c>
      <c r="G8568" s="4" t="s">
        <v>8</v>
      </c>
      <c r="H8568" s="4" t="s">
        <v>8</v>
      </c>
    </row>
    <row r="8569" spans="1:18">
      <c r="A8569" t="n">
        <v>79164</v>
      </c>
      <c r="B8569" s="38" t="n">
        <v>51</v>
      </c>
      <c r="C8569" s="7" t="n">
        <v>3</v>
      </c>
      <c r="D8569" s="7" t="n">
        <v>11</v>
      </c>
      <c r="E8569" s="7" t="s">
        <v>319</v>
      </c>
      <c r="F8569" s="7" t="s">
        <v>79</v>
      </c>
      <c r="G8569" s="7" t="s">
        <v>78</v>
      </c>
      <c r="H8569" s="7" t="s">
        <v>79</v>
      </c>
    </row>
    <row r="8570" spans="1:18">
      <c r="A8570" t="s">
        <v>4</v>
      </c>
      <c r="B8570" s="4" t="s">
        <v>5</v>
      </c>
      <c r="C8570" s="4" t="s">
        <v>11</v>
      </c>
      <c r="D8570" s="4" t="s">
        <v>7</v>
      </c>
      <c r="E8570" s="4" t="s">
        <v>13</v>
      </c>
      <c r="F8570" s="4" t="s">
        <v>11</v>
      </c>
    </row>
    <row r="8571" spans="1:18">
      <c r="A8571" t="n">
        <v>79177</v>
      </c>
      <c r="B8571" s="56" t="n">
        <v>59</v>
      </c>
      <c r="C8571" s="7" t="n">
        <v>11</v>
      </c>
      <c r="D8571" s="7" t="n">
        <v>9</v>
      </c>
      <c r="E8571" s="7" t="n">
        <v>0.150000005960464</v>
      </c>
      <c r="F8571" s="7" t="n">
        <v>0</v>
      </c>
    </row>
    <row r="8572" spans="1:18">
      <c r="A8572" t="s">
        <v>4</v>
      </c>
      <c r="B8572" s="4" t="s">
        <v>5</v>
      </c>
      <c r="C8572" s="4" t="s">
        <v>11</v>
      </c>
    </row>
    <row r="8573" spans="1:18">
      <c r="A8573" t="n">
        <v>79187</v>
      </c>
      <c r="B8573" s="29" t="n">
        <v>16</v>
      </c>
      <c r="C8573" s="7" t="n">
        <v>1800</v>
      </c>
    </row>
    <row r="8574" spans="1:18">
      <c r="A8574" t="s">
        <v>4</v>
      </c>
      <c r="B8574" s="4" t="s">
        <v>5</v>
      </c>
      <c r="C8574" s="4" t="s">
        <v>7</v>
      </c>
      <c r="D8574" s="4" t="s">
        <v>11</v>
      </c>
      <c r="E8574" s="4" t="s">
        <v>13</v>
      </c>
    </row>
    <row r="8575" spans="1:18">
      <c r="A8575" t="n">
        <v>79190</v>
      </c>
      <c r="B8575" s="23" t="n">
        <v>58</v>
      </c>
      <c r="C8575" s="7" t="n">
        <v>101</v>
      </c>
      <c r="D8575" s="7" t="n">
        <v>800</v>
      </c>
      <c r="E8575" s="7" t="n">
        <v>1</v>
      </c>
    </row>
    <row r="8576" spans="1:18">
      <c r="A8576" t="s">
        <v>4</v>
      </c>
      <c r="B8576" s="4" t="s">
        <v>5</v>
      </c>
      <c r="C8576" s="4" t="s">
        <v>7</v>
      </c>
      <c r="D8576" s="4" t="s">
        <v>11</v>
      </c>
    </row>
    <row r="8577" spans="1:13">
      <c r="A8577" t="n">
        <v>79198</v>
      </c>
      <c r="B8577" s="23" t="n">
        <v>58</v>
      </c>
      <c r="C8577" s="7" t="n">
        <v>254</v>
      </c>
      <c r="D8577" s="7" t="n">
        <v>0</v>
      </c>
    </row>
    <row r="8578" spans="1:13">
      <c r="A8578" t="s">
        <v>4</v>
      </c>
      <c r="B8578" s="4" t="s">
        <v>5</v>
      </c>
      <c r="C8578" s="4" t="s">
        <v>7</v>
      </c>
      <c r="D8578" s="4" t="s">
        <v>7</v>
      </c>
      <c r="E8578" s="4" t="s">
        <v>13</v>
      </c>
      <c r="F8578" s="4" t="s">
        <v>13</v>
      </c>
      <c r="G8578" s="4" t="s">
        <v>13</v>
      </c>
      <c r="H8578" s="4" t="s">
        <v>11</v>
      </c>
    </row>
    <row r="8579" spans="1:13">
      <c r="A8579" t="n">
        <v>79202</v>
      </c>
      <c r="B8579" s="51" t="n">
        <v>45</v>
      </c>
      <c r="C8579" s="7" t="n">
        <v>2</v>
      </c>
      <c r="D8579" s="7" t="n">
        <v>3</v>
      </c>
      <c r="E8579" s="7" t="n">
        <v>-7.36999988555908</v>
      </c>
      <c r="F8579" s="7" t="n">
        <v>6.46000003814697</v>
      </c>
      <c r="G8579" s="7" t="n">
        <v>29.8199996948242</v>
      </c>
      <c r="H8579" s="7" t="n">
        <v>0</v>
      </c>
    </row>
    <row r="8580" spans="1:13">
      <c r="A8580" t="s">
        <v>4</v>
      </c>
      <c r="B8580" s="4" t="s">
        <v>5</v>
      </c>
      <c r="C8580" s="4" t="s">
        <v>7</v>
      </c>
      <c r="D8580" s="4" t="s">
        <v>7</v>
      </c>
      <c r="E8580" s="4" t="s">
        <v>13</v>
      </c>
      <c r="F8580" s="4" t="s">
        <v>13</v>
      </c>
      <c r="G8580" s="4" t="s">
        <v>13</v>
      </c>
      <c r="H8580" s="4" t="s">
        <v>11</v>
      </c>
      <c r="I8580" s="4" t="s">
        <v>7</v>
      </c>
    </row>
    <row r="8581" spans="1:13">
      <c r="A8581" t="n">
        <v>79219</v>
      </c>
      <c r="B8581" s="51" t="n">
        <v>45</v>
      </c>
      <c r="C8581" s="7" t="n">
        <v>4</v>
      </c>
      <c r="D8581" s="7" t="n">
        <v>3</v>
      </c>
      <c r="E8581" s="7" t="n">
        <v>10.3299999237061</v>
      </c>
      <c r="F8581" s="7" t="n">
        <v>61.2000007629395</v>
      </c>
      <c r="G8581" s="7" t="n">
        <v>356</v>
      </c>
      <c r="H8581" s="7" t="n">
        <v>0</v>
      </c>
      <c r="I8581" s="7" t="n">
        <v>0</v>
      </c>
    </row>
    <row r="8582" spans="1:13">
      <c r="A8582" t="s">
        <v>4</v>
      </c>
      <c r="B8582" s="4" t="s">
        <v>5</v>
      </c>
      <c r="C8582" s="4" t="s">
        <v>7</v>
      </c>
      <c r="D8582" s="4" t="s">
        <v>7</v>
      </c>
      <c r="E8582" s="4" t="s">
        <v>13</v>
      </c>
      <c r="F8582" s="4" t="s">
        <v>11</v>
      </c>
    </row>
    <row r="8583" spans="1:13">
      <c r="A8583" t="n">
        <v>79237</v>
      </c>
      <c r="B8583" s="51" t="n">
        <v>45</v>
      </c>
      <c r="C8583" s="7" t="n">
        <v>5</v>
      </c>
      <c r="D8583" s="7" t="n">
        <v>3</v>
      </c>
      <c r="E8583" s="7" t="n">
        <v>0.800000011920929</v>
      </c>
      <c r="F8583" s="7" t="n">
        <v>0</v>
      </c>
    </row>
    <row r="8584" spans="1:13">
      <c r="A8584" t="s">
        <v>4</v>
      </c>
      <c r="B8584" s="4" t="s">
        <v>5</v>
      </c>
      <c r="C8584" s="4" t="s">
        <v>7</v>
      </c>
      <c r="D8584" s="4" t="s">
        <v>7</v>
      </c>
      <c r="E8584" s="4" t="s">
        <v>13</v>
      </c>
      <c r="F8584" s="4" t="s">
        <v>11</v>
      </c>
    </row>
    <row r="8585" spans="1:13">
      <c r="A8585" t="n">
        <v>79246</v>
      </c>
      <c r="B8585" s="51" t="n">
        <v>45</v>
      </c>
      <c r="C8585" s="7" t="n">
        <v>11</v>
      </c>
      <c r="D8585" s="7" t="n">
        <v>3</v>
      </c>
      <c r="E8585" s="7" t="n">
        <v>40.2999992370605</v>
      </c>
      <c r="F8585" s="7" t="n">
        <v>0</v>
      </c>
    </row>
    <row r="8586" spans="1:13">
      <c r="A8586" t="s">
        <v>4</v>
      </c>
      <c r="B8586" s="4" t="s">
        <v>5</v>
      </c>
      <c r="C8586" s="4" t="s">
        <v>7</v>
      </c>
    </row>
    <row r="8587" spans="1:13">
      <c r="A8587" t="n">
        <v>79255</v>
      </c>
      <c r="B8587" s="49" t="n">
        <v>116</v>
      </c>
      <c r="C8587" s="7" t="n">
        <v>0</v>
      </c>
    </row>
    <row r="8588" spans="1:13">
      <c r="A8588" t="s">
        <v>4</v>
      </c>
      <c r="B8588" s="4" t="s">
        <v>5</v>
      </c>
      <c r="C8588" s="4" t="s">
        <v>7</v>
      </c>
      <c r="D8588" s="4" t="s">
        <v>11</v>
      </c>
    </row>
    <row r="8589" spans="1:13">
      <c r="A8589" t="n">
        <v>79257</v>
      </c>
      <c r="B8589" s="49" t="n">
        <v>116</v>
      </c>
      <c r="C8589" s="7" t="n">
        <v>2</v>
      </c>
      <c r="D8589" s="7" t="n">
        <v>1</v>
      </c>
    </row>
    <row r="8590" spans="1:13">
      <c r="A8590" t="s">
        <v>4</v>
      </c>
      <c r="B8590" s="4" t="s">
        <v>5</v>
      </c>
      <c r="C8590" s="4" t="s">
        <v>7</v>
      </c>
      <c r="D8590" s="4" t="s">
        <v>15</v>
      </c>
    </row>
    <row r="8591" spans="1:13">
      <c r="A8591" t="n">
        <v>79261</v>
      </c>
      <c r="B8591" s="49" t="n">
        <v>116</v>
      </c>
      <c r="C8591" s="7" t="n">
        <v>5</v>
      </c>
      <c r="D8591" s="7" t="n">
        <v>1077936128</v>
      </c>
    </row>
    <row r="8592" spans="1:13">
      <c r="A8592" t="s">
        <v>4</v>
      </c>
      <c r="B8592" s="4" t="s">
        <v>5</v>
      </c>
      <c r="C8592" s="4" t="s">
        <v>7</v>
      </c>
      <c r="D8592" s="4" t="s">
        <v>11</v>
      </c>
    </row>
    <row r="8593" spans="1:9">
      <c r="A8593" t="n">
        <v>79267</v>
      </c>
      <c r="B8593" s="49" t="n">
        <v>116</v>
      </c>
      <c r="C8593" s="7" t="n">
        <v>6</v>
      </c>
      <c r="D8593" s="7" t="n">
        <v>1</v>
      </c>
    </row>
    <row r="8594" spans="1:9">
      <c r="A8594" t="s">
        <v>4</v>
      </c>
      <c r="B8594" s="4" t="s">
        <v>5</v>
      </c>
      <c r="C8594" s="4" t="s">
        <v>11</v>
      </c>
      <c r="D8594" s="4" t="s">
        <v>11</v>
      </c>
      <c r="E8594" s="4" t="s">
        <v>13</v>
      </c>
      <c r="F8594" s="4" t="s">
        <v>7</v>
      </c>
    </row>
    <row r="8595" spans="1:9">
      <c r="A8595" t="n">
        <v>79271</v>
      </c>
      <c r="B8595" s="73" t="n">
        <v>53</v>
      </c>
      <c r="C8595" s="7" t="n">
        <v>0</v>
      </c>
      <c r="D8595" s="7" t="n">
        <v>11</v>
      </c>
      <c r="E8595" s="7" t="n">
        <v>0</v>
      </c>
      <c r="F8595" s="7" t="n">
        <v>0</v>
      </c>
    </row>
    <row r="8596" spans="1:9">
      <c r="A8596" t="s">
        <v>4</v>
      </c>
      <c r="B8596" s="4" t="s">
        <v>5</v>
      </c>
      <c r="C8596" s="4" t="s">
        <v>7</v>
      </c>
      <c r="D8596" s="4" t="s">
        <v>11</v>
      </c>
    </row>
    <row r="8597" spans="1:9">
      <c r="A8597" t="n">
        <v>79281</v>
      </c>
      <c r="B8597" s="23" t="n">
        <v>58</v>
      </c>
      <c r="C8597" s="7" t="n">
        <v>255</v>
      </c>
      <c r="D8597" s="7" t="n">
        <v>0</v>
      </c>
    </row>
    <row r="8598" spans="1:9">
      <c r="A8598" t="s">
        <v>4</v>
      </c>
      <c r="B8598" s="4" t="s">
        <v>5</v>
      </c>
      <c r="C8598" s="4" t="s">
        <v>11</v>
      </c>
      <c r="D8598" s="4" t="s">
        <v>11</v>
      </c>
      <c r="E8598" s="4" t="s">
        <v>13</v>
      </c>
      <c r="F8598" s="4" t="s">
        <v>7</v>
      </c>
    </row>
    <row r="8599" spans="1:9">
      <c r="A8599" t="n">
        <v>79285</v>
      </c>
      <c r="B8599" s="73" t="n">
        <v>53</v>
      </c>
      <c r="C8599" s="7" t="n">
        <v>11</v>
      </c>
      <c r="D8599" s="7" t="n">
        <v>0</v>
      </c>
      <c r="E8599" s="7" t="n">
        <v>5</v>
      </c>
      <c r="F8599" s="7" t="n">
        <v>0</v>
      </c>
    </row>
    <row r="8600" spans="1:9">
      <c r="A8600" t="s">
        <v>4</v>
      </c>
      <c r="B8600" s="4" t="s">
        <v>5</v>
      </c>
      <c r="C8600" s="4" t="s">
        <v>11</v>
      </c>
    </row>
    <row r="8601" spans="1:9">
      <c r="A8601" t="n">
        <v>79295</v>
      </c>
      <c r="B8601" s="66" t="n">
        <v>54</v>
      </c>
      <c r="C8601" s="7" t="n">
        <v>11</v>
      </c>
    </row>
    <row r="8602" spans="1:9">
      <c r="A8602" t="s">
        <v>4</v>
      </c>
      <c r="B8602" s="4" t="s">
        <v>5</v>
      </c>
      <c r="C8602" s="4" t="s">
        <v>7</v>
      </c>
      <c r="D8602" s="4" t="s">
        <v>7</v>
      </c>
    </row>
    <row r="8603" spans="1:9">
      <c r="A8603" t="n">
        <v>79298</v>
      </c>
      <c r="B8603" s="13" t="n">
        <v>49</v>
      </c>
      <c r="C8603" s="7" t="n">
        <v>2</v>
      </c>
      <c r="D8603" s="7" t="n">
        <v>0</v>
      </c>
    </row>
    <row r="8604" spans="1:9">
      <c r="A8604" t="s">
        <v>4</v>
      </c>
      <c r="B8604" s="4" t="s">
        <v>5</v>
      </c>
      <c r="C8604" s="4" t="s">
        <v>7</v>
      </c>
      <c r="D8604" s="4" t="s">
        <v>11</v>
      </c>
      <c r="E8604" s="4" t="s">
        <v>15</v>
      </c>
      <c r="F8604" s="4" t="s">
        <v>11</v>
      </c>
      <c r="G8604" s="4" t="s">
        <v>15</v>
      </c>
      <c r="H8604" s="4" t="s">
        <v>7</v>
      </c>
    </row>
    <row r="8605" spans="1:9">
      <c r="A8605" t="n">
        <v>79301</v>
      </c>
      <c r="B8605" s="13" t="n">
        <v>49</v>
      </c>
      <c r="C8605" s="7" t="n">
        <v>0</v>
      </c>
      <c r="D8605" s="7" t="n">
        <v>551</v>
      </c>
      <c r="E8605" s="7" t="n">
        <v>1061997773</v>
      </c>
      <c r="F8605" s="7" t="n">
        <v>0</v>
      </c>
      <c r="G8605" s="7" t="n">
        <v>0</v>
      </c>
      <c r="H8605" s="7" t="n">
        <v>0</v>
      </c>
    </row>
    <row r="8606" spans="1:9">
      <c r="A8606" t="s">
        <v>4</v>
      </c>
      <c r="B8606" s="4" t="s">
        <v>5</v>
      </c>
      <c r="C8606" s="4" t="s">
        <v>7</v>
      </c>
      <c r="D8606" s="4" t="s">
        <v>11</v>
      </c>
    </row>
    <row r="8607" spans="1:9">
      <c r="A8607" t="n">
        <v>79316</v>
      </c>
      <c r="B8607" s="13" t="n">
        <v>49</v>
      </c>
      <c r="C8607" s="7" t="n">
        <v>6</v>
      </c>
      <c r="D8607" s="7" t="n">
        <v>551</v>
      </c>
    </row>
    <row r="8608" spans="1:9">
      <c r="A8608" t="s">
        <v>4</v>
      </c>
      <c r="B8608" s="4" t="s">
        <v>5</v>
      </c>
      <c r="C8608" s="4" t="s">
        <v>11</v>
      </c>
    </row>
    <row r="8609" spans="1:8">
      <c r="A8609" t="n">
        <v>79320</v>
      </c>
      <c r="B8609" s="29" t="n">
        <v>16</v>
      </c>
      <c r="C8609" s="7" t="n">
        <v>500</v>
      </c>
    </row>
    <row r="8610" spans="1:8">
      <c r="A8610" t="s">
        <v>4</v>
      </c>
      <c r="B8610" s="4" t="s">
        <v>5</v>
      </c>
      <c r="C8610" s="4" t="s">
        <v>7</v>
      </c>
      <c r="D8610" s="4" t="s">
        <v>11</v>
      </c>
      <c r="E8610" s="4" t="s">
        <v>8</v>
      </c>
    </row>
    <row r="8611" spans="1:8">
      <c r="A8611" t="n">
        <v>79323</v>
      </c>
      <c r="B8611" s="38" t="n">
        <v>51</v>
      </c>
      <c r="C8611" s="7" t="n">
        <v>4</v>
      </c>
      <c r="D8611" s="7" t="n">
        <v>11</v>
      </c>
      <c r="E8611" s="7" t="s">
        <v>709</v>
      </c>
    </row>
    <row r="8612" spans="1:8">
      <c r="A8612" t="s">
        <v>4</v>
      </c>
      <c r="B8612" s="4" t="s">
        <v>5</v>
      </c>
      <c r="C8612" s="4" t="s">
        <v>11</v>
      </c>
    </row>
    <row r="8613" spans="1:8">
      <c r="A8613" t="n">
        <v>79337</v>
      </c>
      <c r="B8613" s="29" t="n">
        <v>16</v>
      </c>
      <c r="C8613" s="7" t="n">
        <v>0</v>
      </c>
    </row>
    <row r="8614" spans="1:8">
      <c r="A8614" t="s">
        <v>4</v>
      </c>
      <c r="B8614" s="4" t="s">
        <v>5</v>
      </c>
      <c r="C8614" s="4" t="s">
        <v>11</v>
      </c>
      <c r="D8614" s="4" t="s">
        <v>7</v>
      </c>
      <c r="E8614" s="4" t="s">
        <v>15</v>
      </c>
      <c r="F8614" s="4" t="s">
        <v>55</v>
      </c>
      <c r="G8614" s="4" t="s">
        <v>7</v>
      </c>
      <c r="H8614" s="4" t="s">
        <v>7</v>
      </c>
      <c r="I8614" s="4" t="s">
        <v>7</v>
      </c>
      <c r="J8614" s="4" t="s">
        <v>15</v>
      </c>
      <c r="K8614" s="4" t="s">
        <v>55</v>
      </c>
      <c r="L8614" s="4" t="s">
        <v>7</v>
      </c>
      <c r="M8614" s="4" t="s">
        <v>7</v>
      </c>
    </row>
    <row r="8615" spans="1:8">
      <c r="A8615" t="n">
        <v>79340</v>
      </c>
      <c r="B8615" s="55" t="n">
        <v>26</v>
      </c>
      <c r="C8615" s="7" t="n">
        <v>11</v>
      </c>
      <c r="D8615" s="7" t="n">
        <v>17</v>
      </c>
      <c r="E8615" s="7" t="n">
        <v>10800</v>
      </c>
      <c r="F8615" s="7" t="s">
        <v>730</v>
      </c>
      <c r="G8615" s="7" t="n">
        <v>2</v>
      </c>
      <c r="H8615" s="7" t="n">
        <v>3</v>
      </c>
      <c r="I8615" s="7" t="n">
        <v>17</v>
      </c>
      <c r="J8615" s="7" t="n">
        <v>10801</v>
      </c>
      <c r="K8615" s="7" t="s">
        <v>731</v>
      </c>
      <c r="L8615" s="7" t="n">
        <v>2</v>
      </c>
      <c r="M8615" s="7" t="n">
        <v>0</v>
      </c>
    </row>
    <row r="8616" spans="1:8">
      <c r="A8616" t="s">
        <v>4</v>
      </c>
      <c r="B8616" s="4" t="s">
        <v>5</v>
      </c>
    </row>
    <row r="8617" spans="1:8">
      <c r="A8617" t="n">
        <v>79524</v>
      </c>
      <c r="B8617" s="27" t="n">
        <v>28</v>
      </c>
    </row>
    <row r="8618" spans="1:8">
      <c r="A8618" t="s">
        <v>4</v>
      </c>
      <c r="B8618" s="4" t="s">
        <v>5</v>
      </c>
      <c r="C8618" s="4" t="s">
        <v>11</v>
      </c>
      <c r="D8618" s="4" t="s">
        <v>7</v>
      </c>
    </row>
    <row r="8619" spans="1:8">
      <c r="A8619" t="n">
        <v>79525</v>
      </c>
      <c r="B8619" s="68" t="n">
        <v>89</v>
      </c>
      <c r="C8619" s="7" t="n">
        <v>65533</v>
      </c>
      <c r="D8619" s="7" t="n">
        <v>1</v>
      </c>
    </row>
    <row r="8620" spans="1:8">
      <c r="A8620" t="s">
        <v>4</v>
      </c>
      <c r="B8620" s="4" t="s">
        <v>5</v>
      </c>
      <c r="C8620" s="4" t="s">
        <v>7</v>
      </c>
      <c r="D8620" s="4" t="s">
        <v>13</v>
      </c>
      <c r="E8620" s="4" t="s">
        <v>11</v>
      </c>
      <c r="F8620" s="4" t="s">
        <v>7</v>
      </c>
    </row>
    <row r="8621" spans="1:8">
      <c r="A8621" t="n">
        <v>79529</v>
      </c>
      <c r="B8621" s="13" t="n">
        <v>49</v>
      </c>
      <c r="C8621" s="7" t="n">
        <v>3</v>
      </c>
      <c r="D8621" s="7" t="n">
        <v>0.600000023841858</v>
      </c>
      <c r="E8621" s="7" t="n">
        <v>500</v>
      </c>
      <c r="F8621" s="7" t="n">
        <v>0</v>
      </c>
    </row>
    <row r="8622" spans="1:8">
      <c r="A8622" t="s">
        <v>4</v>
      </c>
      <c r="B8622" s="4" t="s">
        <v>5</v>
      </c>
      <c r="C8622" s="4" t="s">
        <v>7</v>
      </c>
      <c r="D8622" s="4" t="s">
        <v>7</v>
      </c>
      <c r="E8622" s="4" t="s">
        <v>7</v>
      </c>
      <c r="F8622" s="4" t="s">
        <v>13</v>
      </c>
      <c r="G8622" s="4" t="s">
        <v>13</v>
      </c>
      <c r="H8622" s="4" t="s">
        <v>13</v>
      </c>
      <c r="I8622" s="4" t="s">
        <v>13</v>
      </c>
      <c r="J8622" s="4" t="s">
        <v>13</v>
      </c>
    </row>
    <row r="8623" spans="1:8">
      <c r="A8623" t="n">
        <v>79538</v>
      </c>
      <c r="B8623" s="25" t="n">
        <v>76</v>
      </c>
      <c r="C8623" s="7" t="n">
        <v>1</v>
      </c>
      <c r="D8623" s="7" t="n">
        <v>3</v>
      </c>
      <c r="E8623" s="7" t="n">
        <v>0</v>
      </c>
      <c r="F8623" s="7" t="n">
        <v>1</v>
      </c>
      <c r="G8623" s="7" t="n">
        <v>1</v>
      </c>
      <c r="H8623" s="7" t="n">
        <v>1</v>
      </c>
      <c r="I8623" s="7" t="n">
        <v>1</v>
      </c>
      <c r="J8623" s="7" t="n">
        <v>1000</v>
      </c>
    </row>
    <row r="8624" spans="1:8">
      <c r="A8624" t="s">
        <v>4</v>
      </c>
      <c r="B8624" s="4" t="s">
        <v>5</v>
      </c>
      <c r="C8624" s="4" t="s">
        <v>7</v>
      </c>
      <c r="D8624" s="4" t="s">
        <v>7</v>
      </c>
    </row>
    <row r="8625" spans="1:13">
      <c r="A8625" t="n">
        <v>79562</v>
      </c>
      <c r="B8625" s="26" t="n">
        <v>77</v>
      </c>
      <c r="C8625" s="7" t="n">
        <v>1</v>
      </c>
      <c r="D8625" s="7" t="n">
        <v>3</v>
      </c>
    </row>
    <row r="8626" spans="1:13">
      <c r="A8626" t="s">
        <v>4</v>
      </c>
      <c r="B8626" s="4" t="s">
        <v>5</v>
      </c>
      <c r="C8626" s="4" t="s">
        <v>11</v>
      </c>
    </row>
    <row r="8627" spans="1:13">
      <c r="A8627" t="n">
        <v>79565</v>
      </c>
      <c r="B8627" s="29" t="n">
        <v>16</v>
      </c>
      <c r="C8627" s="7" t="n">
        <v>2000</v>
      </c>
    </row>
    <row r="8628" spans="1:13">
      <c r="A8628" t="s">
        <v>4</v>
      </c>
      <c r="B8628" s="4" t="s">
        <v>5</v>
      </c>
      <c r="C8628" s="4" t="s">
        <v>7</v>
      </c>
      <c r="D8628" s="4" t="s">
        <v>13</v>
      </c>
      <c r="E8628" s="4" t="s">
        <v>11</v>
      </c>
      <c r="F8628" s="4" t="s">
        <v>7</v>
      </c>
    </row>
    <row r="8629" spans="1:13">
      <c r="A8629" t="n">
        <v>79568</v>
      </c>
      <c r="B8629" s="13" t="n">
        <v>49</v>
      </c>
      <c r="C8629" s="7" t="n">
        <v>3</v>
      </c>
      <c r="D8629" s="7" t="n">
        <v>0.800000011920929</v>
      </c>
      <c r="E8629" s="7" t="n">
        <v>1000</v>
      </c>
      <c r="F8629" s="7" t="n">
        <v>0</v>
      </c>
    </row>
    <row r="8630" spans="1:13">
      <c r="A8630" t="s">
        <v>4</v>
      </c>
      <c r="B8630" s="4" t="s">
        <v>5</v>
      </c>
      <c r="C8630" s="4" t="s">
        <v>7</v>
      </c>
      <c r="D8630" s="4" t="s">
        <v>7</v>
      </c>
      <c r="E8630" s="4" t="s">
        <v>7</v>
      </c>
      <c r="F8630" s="4" t="s">
        <v>13</v>
      </c>
      <c r="G8630" s="4" t="s">
        <v>13</v>
      </c>
      <c r="H8630" s="4" t="s">
        <v>13</v>
      </c>
      <c r="I8630" s="4" t="s">
        <v>13</v>
      </c>
      <c r="J8630" s="4" t="s">
        <v>13</v>
      </c>
    </row>
    <row r="8631" spans="1:13">
      <c r="A8631" t="n">
        <v>79577</v>
      </c>
      <c r="B8631" s="25" t="n">
        <v>76</v>
      </c>
      <c r="C8631" s="7" t="n">
        <v>1</v>
      </c>
      <c r="D8631" s="7" t="n">
        <v>3</v>
      </c>
      <c r="E8631" s="7" t="n">
        <v>0</v>
      </c>
      <c r="F8631" s="7" t="n">
        <v>1</v>
      </c>
      <c r="G8631" s="7" t="n">
        <v>1</v>
      </c>
      <c r="H8631" s="7" t="n">
        <v>1</v>
      </c>
      <c r="I8631" s="7" t="n">
        <v>0</v>
      </c>
      <c r="J8631" s="7" t="n">
        <v>1000</v>
      </c>
    </row>
    <row r="8632" spans="1:13">
      <c r="A8632" t="s">
        <v>4</v>
      </c>
      <c r="B8632" s="4" t="s">
        <v>5</v>
      </c>
      <c r="C8632" s="4" t="s">
        <v>7</v>
      </c>
      <c r="D8632" s="4" t="s">
        <v>7</v>
      </c>
    </row>
    <row r="8633" spans="1:13">
      <c r="A8633" t="n">
        <v>79601</v>
      </c>
      <c r="B8633" s="26" t="n">
        <v>77</v>
      </c>
      <c r="C8633" s="7" t="n">
        <v>1</v>
      </c>
      <c r="D8633" s="7" t="n">
        <v>3</v>
      </c>
    </row>
    <row r="8634" spans="1:13">
      <c r="A8634" t="s">
        <v>4</v>
      </c>
      <c r="B8634" s="4" t="s">
        <v>5</v>
      </c>
      <c r="C8634" s="4" t="s">
        <v>7</v>
      </c>
      <c r="D8634" s="4" t="s">
        <v>11</v>
      </c>
      <c r="E8634" s="4" t="s">
        <v>8</v>
      </c>
    </row>
    <row r="8635" spans="1:13">
      <c r="A8635" t="n">
        <v>79604</v>
      </c>
      <c r="B8635" s="38" t="n">
        <v>51</v>
      </c>
      <c r="C8635" s="7" t="n">
        <v>4</v>
      </c>
      <c r="D8635" s="7" t="n">
        <v>0</v>
      </c>
      <c r="E8635" s="7" t="s">
        <v>285</v>
      </c>
    </row>
    <row r="8636" spans="1:13">
      <c r="A8636" t="s">
        <v>4</v>
      </c>
      <c r="B8636" s="4" t="s">
        <v>5</v>
      </c>
      <c r="C8636" s="4" t="s">
        <v>11</v>
      </c>
    </row>
    <row r="8637" spans="1:13">
      <c r="A8637" t="n">
        <v>79617</v>
      </c>
      <c r="B8637" s="29" t="n">
        <v>16</v>
      </c>
      <c r="C8637" s="7" t="n">
        <v>0</v>
      </c>
    </row>
    <row r="8638" spans="1:13">
      <c r="A8638" t="s">
        <v>4</v>
      </c>
      <c r="B8638" s="4" t="s">
        <v>5</v>
      </c>
      <c r="C8638" s="4" t="s">
        <v>11</v>
      </c>
      <c r="D8638" s="4" t="s">
        <v>7</v>
      </c>
      <c r="E8638" s="4" t="s">
        <v>15</v>
      </c>
      <c r="F8638" s="4" t="s">
        <v>55</v>
      </c>
      <c r="G8638" s="4" t="s">
        <v>7</v>
      </c>
      <c r="H8638" s="4" t="s">
        <v>7</v>
      </c>
      <c r="I8638" s="4" t="s">
        <v>7</v>
      </c>
      <c r="J8638" s="4" t="s">
        <v>15</v>
      </c>
      <c r="K8638" s="4" t="s">
        <v>55</v>
      </c>
      <c r="L8638" s="4" t="s">
        <v>7</v>
      </c>
      <c r="M8638" s="4" t="s">
        <v>7</v>
      </c>
    </row>
    <row r="8639" spans="1:13">
      <c r="A8639" t="n">
        <v>79620</v>
      </c>
      <c r="B8639" s="55" t="n">
        <v>26</v>
      </c>
      <c r="C8639" s="7" t="n">
        <v>0</v>
      </c>
      <c r="D8639" s="7" t="n">
        <v>17</v>
      </c>
      <c r="E8639" s="7" t="n">
        <v>64006</v>
      </c>
      <c r="F8639" s="7" t="s">
        <v>732</v>
      </c>
      <c r="G8639" s="7" t="n">
        <v>2</v>
      </c>
      <c r="H8639" s="7" t="n">
        <v>3</v>
      </c>
      <c r="I8639" s="7" t="n">
        <v>17</v>
      </c>
      <c r="J8639" s="7" t="n">
        <v>64007</v>
      </c>
      <c r="K8639" s="7" t="s">
        <v>733</v>
      </c>
      <c r="L8639" s="7" t="n">
        <v>2</v>
      </c>
      <c r="M8639" s="7" t="n">
        <v>0</v>
      </c>
    </row>
    <row r="8640" spans="1:13">
      <c r="A8640" t="s">
        <v>4</v>
      </c>
      <c r="B8640" s="4" t="s">
        <v>5</v>
      </c>
    </row>
    <row r="8641" spans="1:13">
      <c r="A8641" t="n">
        <v>79835</v>
      </c>
      <c r="B8641" s="27" t="n">
        <v>28</v>
      </c>
    </row>
    <row r="8642" spans="1:13">
      <c r="A8642" t="s">
        <v>4</v>
      </c>
      <c r="B8642" s="4" t="s">
        <v>5</v>
      </c>
      <c r="C8642" s="4" t="s">
        <v>7</v>
      </c>
      <c r="D8642" s="4" t="s">
        <v>11</v>
      </c>
      <c r="E8642" s="4" t="s">
        <v>8</v>
      </c>
    </row>
    <row r="8643" spans="1:13">
      <c r="A8643" t="n">
        <v>79836</v>
      </c>
      <c r="B8643" s="38" t="n">
        <v>51</v>
      </c>
      <c r="C8643" s="7" t="n">
        <v>4</v>
      </c>
      <c r="D8643" s="7" t="n">
        <v>11</v>
      </c>
      <c r="E8643" s="7" t="s">
        <v>192</v>
      </c>
    </row>
    <row r="8644" spans="1:13">
      <c r="A8644" t="s">
        <v>4</v>
      </c>
      <c r="B8644" s="4" t="s">
        <v>5</v>
      </c>
      <c r="C8644" s="4" t="s">
        <v>11</v>
      </c>
    </row>
    <row r="8645" spans="1:13">
      <c r="A8645" t="n">
        <v>79849</v>
      </c>
      <c r="B8645" s="29" t="n">
        <v>16</v>
      </c>
      <c r="C8645" s="7" t="n">
        <v>0</v>
      </c>
    </row>
    <row r="8646" spans="1:13">
      <c r="A8646" t="s">
        <v>4</v>
      </c>
      <c r="B8646" s="4" t="s">
        <v>5</v>
      </c>
      <c r="C8646" s="4" t="s">
        <v>11</v>
      </c>
      <c r="D8646" s="4" t="s">
        <v>7</v>
      </c>
      <c r="E8646" s="4" t="s">
        <v>15</v>
      </c>
      <c r="F8646" s="4" t="s">
        <v>55</v>
      </c>
      <c r="G8646" s="4" t="s">
        <v>7</v>
      </c>
      <c r="H8646" s="4" t="s">
        <v>7</v>
      </c>
      <c r="I8646" s="4" t="s">
        <v>7</v>
      </c>
      <c r="J8646" s="4" t="s">
        <v>15</v>
      </c>
      <c r="K8646" s="4" t="s">
        <v>55</v>
      </c>
      <c r="L8646" s="4" t="s">
        <v>7</v>
      </c>
      <c r="M8646" s="4" t="s">
        <v>7</v>
      </c>
      <c r="N8646" s="4" t="s">
        <v>7</v>
      </c>
      <c r="O8646" s="4" t="s">
        <v>15</v>
      </c>
      <c r="P8646" s="4" t="s">
        <v>55</v>
      </c>
      <c r="Q8646" s="4" t="s">
        <v>7</v>
      </c>
      <c r="R8646" s="4" t="s">
        <v>7</v>
      </c>
      <c r="S8646" s="4" t="s">
        <v>7</v>
      </c>
      <c r="T8646" s="4" t="s">
        <v>15</v>
      </c>
      <c r="U8646" s="4" t="s">
        <v>55</v>
      </c>
      <c r="V8646" s="4" t="s">
        <v>7</v>
      </c>
      <c r="W8646" s="4" t="s">
        <v>7</v>
      </c>
    </row>
    <row r="8647" spans="1:13">
      <c r="A8647" t="n">
        <v>79852</v>
      </c>
      <c r="B8647" s="55" t="n">
        <v>26</v>
      </c>
      <c r="C8647" s="7" t="n">
        <v>11</v>
      </c>
      <c r="D8647" s="7" t="n">
        <v>17</v>
      </c>
      <c r="E8647" s="7" t="n">
        <v>10802</v>
      </c>
      <c r="F8647" s="7" t="s">
        <v>734</v>
      </c>
      <c r="G8647" s="7" t="n">
        <v>2</v>
      </c>
      <c r="H8647" s="7" t="n">
        <v>3</v>
      </c>
      <c r="I8647" s="7" t="n">
        <v>17</v>
      </c>
      <c r="J8647" s="7" t="n">
        <v>10803</v>
      </c>
      <c r="K8647" s="7" t="s">
        <v>735</v>
      </c>
      <c r="L8647" s="7" t="n">
        <v>2</v>
      </c>
      <c r="M8647" s="7" t="n">
        <v>3</v>
      </c>
      <c r="N8647" s="7" t="n">
        <v>17</v>
      </c>
      <c r="O8647" s="7" t="n">
        <v>10804</v>
      </c>
      <c r="P8647" s="7" t="s">
        <v>736</v>
      </c>
      <c r="Q8647" s="7" t="n">
        <v>2</v>
      </c>
      <c r="R8647" s="7" t="n">
        <v>3</v>
      </c>
      <c r="S8647" s="7" t="n">
        <v>17</v>
      </c>
      <c r="T8647" s="7" t="n">
        <v>10805</v>
      </c>
      <c r="U8647" s="7" t="s">
        <v>737</v>
      </c>
      <c r="V8647" s="7" t="n">
        <v>2</v>
      </c>
      <c r="W8647" s="7" t="n">
        <v>0</v>
      </c>
    </row>
    <row r="8648" spans="1:13">
      <c r="A8648" t="s">
        <v>4</v>
      </c>
      <c r="B8648" s="4" t="s">
        <v>5</v>
      </c>
    </row>
    <row r="8649" spans="1:13">
      <c r="A8649" t="n">
        <v>80276</v>
      </c>
      <c r="B8649" s="27" t="n">
        <v>28</v>
      </c>
    </row>
    <row r="8650" spans="1:13">
      <c r="A8650" t="s">
        <v>4</v>
      </c>
      <c r="B8650" s="4" t="s">
        <v>5</v>
      </c>
      <c r="C8650" s="4" t="s">
        <v>7</v>
      </c>
      <c r="D8650" s="4" t="s">
        <v>11</v>
      </c>
      <c r="E8650" s="4" t="s">
        <v>8</v>
      </c>
    </row>
    <row r="8651" spans="1:13">
      <c r="A8651" t="n">
        <v>80277</v>
      </c>
      <c r="B8651" s="38" t="n">
        <v>51</v>
      </c>
      <c r="C8651" s="7" t="n">
        <v>4</v>
      </c>
      <c r="D8651" s="7" t="n">
        <v>0</v>
      </c>
      <c r="E8651" s="7" t="s">
        <v>147</v>
      </c>
    </row>
    <row r="8652" spans="1:13">
      <c r="A8652" t="s">
        <v>4</v>
      </c>
      <c r="B8652" s="4" t="s">
        <v>5</v>
      </c>
      <c r="C8652" s="4" t="s">
        <v>11</v>
      </c>
    </row>
    <row r="8653" spans="1:13">
      <c r="A8653" t="n">
        <v>80291</v>
      </c>
      <c r="B8653" s="29" t="n">
        <v>16</v>
      </c>
      <c r="C8653" s="7" t="n">
        <v>500</v>
      </c>
    </row>
    <row r="8654" spans="1:13">
      <c r="A8654" t="s">
        <v>4</v>
      </c>
      <c r="B8654" s="4" t="s">
        <v>5</v>
      </c>
      <c r="C8654" s="4" t="s">
        <v>11</v>
      </c>
      <c r="D8654" s="4" t="s">
        <v>7</v>
      </c>
      <c r="E8654" s="4" t="s">
        <v>15</v>
      </c>
      <c r="F8654" s="4" t="s">
        <v>55</v>
      </c>
      <c r="G8654" s="4" t="s">
        <v>7</v>
      </c>
      <c r="H8654" s="4" t="s">
        <v>7</v>
      </c>
    </row>
    <row r="8655" spans="1:13">
      <c r="A8655" t="n">
        <v>80294</v>
      </c>
      <c r="B8655" s="55" t="n">
        <v>26</v>
      </c>
      <c r="C8655" s="7" t="n">
        <v>0</v>
      </c>
      <c r="D8655" s="7" t="n">
        <v>17</v>
      </c>
      <c r="E8655" s="7" t="n">
        <v>64008</v>
      </c>
      <c r="F8655" s="7" t="s">
        <v>738</v>
      </c>
      <c r="G8655" s="7" t="n">
        <v>2</v>
      </c>
      <c r="H8655" s="7" t="n">
        <v>0</v>
      </c>
    </row>
    <row r="8656" spans="1:13">
      <c r="A8656" t="s">
        <v>4</v>
      </c>
      <c r="B8656" s="4" t="s">
        <v>5</v>
      </c>
    </row>
    <row r="8657" spans="1:23">
      <c r="A8657" t="n">
        <v>80367</v>
      </c>
      <c r="B8657" s="27" t="n">
        <v>28</v>
      </c>
    </row>
    <row r="8658" spans="1:23">
      <c r="A8658" t="s">
        <v>4</v>
      </c>
      <c r="B8658" s="4" t="s">
        <v>5</v>
      </c>
      <c r="C8658" s="4" t="s">
        <v>11</v>
      </c>
      <c r="D8658" s="4" t="s">
        <v>7</v>
      </c>
      <c r="E8658" s="4" t="s">
        <v>8</v>
      </c>
      <c r="F8658" s="4" t="s">
        <v>13</v>
      </c>
      <c r="G8658" s="4" t="s">
        <v>13</v>
      </c>
      <c r="H8658" s="4" t="s">
        <v>13</v>
      </c>
    </row>
    <row r="8659" spans="1:23">
      <c r="A8659" t="n">
        <v>80368</v>
      </c>
      <c r="B8659" s="42" t="n">
        <v>48</v>
      </c>
      <c r="C8659" s="7" t="n">
        <v>11</v>
      </c>
      <c r="D8659" s="7" t="n">
        <v>0</v>
      </c>
      <c r="E8659" s="7" t="s">
        <v>391</v>
      </c>
      <c r="F8659" s="7" t="n">
        <v>-1</v>
      </c>
      <c r="G8659" s="7" t="n">
        <v>1</v>
      </c>
      <c r="H8659" s="7" t="n">
        <v>0</v>
      </c>
    </row>
    <row r="8660" spans="1:23">
      <c r="A8660" t="s">
        <v>4</v>
      </c>
      <c r="B8660" s="4" t="s">
        <v>5</v>
      </c>
      <c r="C8660" s="4" t="s">
        <v>11</v>
      </c>
    </row>
    <row r="8661" spans="1:23">
      <c r="A8661" t="n">
        <v>80398</v>
      </c>
      <c r="B8661" s="29" t="n">
        <v>16</v>
      </c>
      <c r="C8661" s="7" t="n">
        <v>500</v>
      </c>
    </row>
    <row r="8662" spans="1:23">
      <c r="A8662" t="s">
        <v>4</v>
      </c>
      <c r="B8662" s="4" t="s">
        <v>5</v>
      </c>
      <c r="C8662" s="4" t="s">
        <v>7</v>
      </c>
      <c r="D8662" s="4" t="s">
        <v>11</v>
      </c>
      <c r="E8662" s="4" t="s">
        <v>8</v>
      </c>
    </row>
    <row r="8663" spans="1:23">
      <c r="A8663" t="n">
        <v>80401</v>
      </c>
      <c r="B8663" s="38" t="n">
        <v>51</v>
      </c>
      <c r="C8663" s="7" t="n">
        <v>4</v>
      </c>
      <c r="D8663" s="7" t="n">
        <v>11</v>
      </c>
      <c r="E8663" s="7" t="s">
        <v>235</v>
      </c>
    </row>
    <row r="8664" spans="1:23">
      <c r="A8664" t="s">
        <v>4</v>
      </c>
      <c r="B8664" s="4" t="s">
        <v>5</v>
      </c>
      <c r="C8664" s="4" t="s">
        <v>11</v>
      </c>
    </row>
    <row r="8665" spans="1:23">
      <c r="A8665" t="n">
        <v>80415</v>
      </c>
      <c r="B8665" s="29" t="n">
        <v>16</v>
      </c>
      <c r="C8665" s="7" t="n">
        <v>0</v>
      </c>
    </row>
    <row r="8666" spans="1:23">
      <c r="A8666" t="s">
        <v>4</v>
      </c>
      <c r="B8666" s="4" t="s">
        <v>5</v>
      </c>
      <c r="C8666" s="4" t="s">
        <v>11</v>
      </c>
      <c r="D8666" s="4" t="s">
        <v>7</v>
      </c>
      <c r="E8666" s="4" t="s">
        <v>15</v>
      </c>
      <c r="F8666" s="4" t="s">
        <v>55</v>
      </c>
      <c r="G8666" s="4" t="s">
        <v>7</v>
      </c>
      <c r="H8666" s="4" t="s">
        <v>7</v>
      </c>
      <c r="I8666" s="4" t="s">
        <v>7</v>
      </c>
      <c r="J8666" s="4" t="s">
        <v>15</v>
      </c>
      <c r="K8666" s="4" t="s">
        <v>55</v>
      </c>
      <c r="L8666" s="4" t="s">
        <v>7</v>
      </c>
      <c r="M8666" s="4" t="s">
        <v>7</v>
      </c>
      <c r="N8666" s="4" t="s">
        <v>7</v>
      </c>
      <c r="O8666" s="4" t="s">
        <v>15</v>
      </c>
      <c r="P8666" s="4" t="s">
        <v>55</v>
      </c>
      <c r="Q8666" s="4" t="s">
        <v>7</v>
      </c>
      <c r="R8666" s="4" t="s">
        <v>7</v>
      </c>
      <c r="S8666" s="4" t="s">
        <v>7</v>
      </c>
      <c r="T8666" s="4" t="s">
        <v>15</v>
      </c>
      <c r="U8666" s="4" t="s">
        <v>55</v>
      </c>
      <c r="V8666" s="4" t="s">
        <v>7</v>
      </c>
      <c r="W8666" s="4" t="s">
        <v>7</v>
      </c>
      <c r="X8666" s="4" t="s">
        <v>7</v>
      </c>
      <c r="Y8666" s="4" t="s">
        <v>15</v>
      </c>
      <c r="Z8666" s="4" t="s">
        <v>55</v>
      </c>
      <c r="AA8666" s="4" t="s">
        <v>7</v>
      </c>
      <c r="AB8666" s="4" t="s">
        <v>7</v>
      </c>
    </row>
    <row r="8667" spans="1:23">
      <c r="A8667" t="n">
        <v>80418</v>
      </c>
      <c r="B8667" s="55" t="n">
        <v>26</v>
      </c>
      <c r="C8667" s="7" t="n">
        <v>11</v>
      </c>
      <c r="D8667" s="7" t="n">
        <v>17</v>
      </c>
      <c r="E8667" s="7" t="n">
        <v>10806</v>
      </c>
      <c r="F8667" s="7" t="s">
        <v>739</v>
      </c>
      <c r="G8667" s="7" t="n">
        <v>2</v>
      </c>
      <c r="H8667" s="7" t="n">
        <v>3</v>
      </c>
      <c r="I8667" s="7" t="n">
        <v>17</v>
      </c>
      <c r="J8667" s="7" t="n">
        <v>10807</v>
      </c>
      <c r="K8667" s="7" t="s">
        <v>740</v>
      </c>
      <c r="L8667" s="7" t="n">
        <v>2</v>
      </c>
      <c r="M8667" s="7" t="n">
        <v>3</v>
      </c>
      <c r="N8667" s="7" t="n">
        <v>17</v>
      </c>
      <c r="O8667" s="7" t="n">
        <v>10808</v>
      </c>
      <c r="P8667" s="7" t="s">
        <v>741</v>
      </c>
      <c r="Q8667" s="7" t="n">
        <v>2</v>
      </c>
      <c r="R8667" s="7" t="n">
        <v>3</v>
      </c>
      <c r="S8667" s="7" t="n">
        <v>17</v>
      </c>
      <c r="T8667" s="7" t="n">
        <v>10809</v>
      </c>
      <c r="U8667" s="7" t="s">
        <v>742</v>
      </c>
      <c r="V8667" s="7" t="n">
        <v>2</v>
      </c>
      <c r="W8667" s="7" t="n">
        <v>3</v>
      </c>
      <c r="X8667" s="7" t="n">
        <v>17</v>
      </c>
      <c r="Y8667" s="7" t="n">
        <v>10810</v>
      </c>
      <c r="Z8667" s="7" t="s">
        <v>743</v>
      </c>
      <c r="AA8667" s="7" t="n">
        <v>2</v>
      </c>
      <c r="AB8667" s="7" t="n">
        <v>0</v>
      </c>
    </row>
    <row r="8668" spans="1:23">
      <c r="A8668" t="s">
        <v>4</v>
      </c>
      <c r="B8668" s="4" t="s">
        <v>5</v>
      </c>
    </row>
    <row r="8669" spans="1:23">
      <c r="A8669" t="n">
        <v>80991</v>
      </c>
      <c r="B8669" s="27" t="n">
        <v>28</v>
      </c>
    </row>
    <row r="8670" spans="1:23">
      <c r="A8670" t="s">
        <v>4</v>
      </c>
      <c r="B8670" s="4" t="s">
        <v>5</v>
      </c>
      <c r="C8670" s="4" t="s">
        <v>7</v>
      </c>
      <c r="D8670" s="4" t="s">
        <v>11</v>
      </c>
      <c r="E8670" s="4" t="s">
        <v>8</v>
      </c>
    </row>
    <row r="8671" spans="1:23">
      <c r="A8671" t="n">
        <v>80992</v>
      </c>
      <c r="B8671" s="38" t="n">
        <v>51</v>
      </c>
      <c r="C8671" s="7" t="n">
        <v>4</v>
      </c>
      <c r="D8671" s="7" t="n">
        <v>0</v>
      </c>
      <c r="E8671" s="7" t="s">
        <v>179</v>
      </c>
    </row>
    <row r="8672" spans="1:23">
      <c r="A8672" t="s">
        <v>4</v>
      </c>
      <c r="B8672" s="4" t="s">
        <v>5</v>
      </c>
      <c r="C8672" s="4" t="s">
        <v>11</v>
      </c>
    </row>
    <row r="8673" spans="1:28">
      <c r="A8673" t="n">
        <v>81006</v>
      </c>
      <c r="B8673" s="29" t="n">
        <v>16</v>
      </c>
      <c r="C8673" s="7" t="n">
        <v>0</v>
      </c>
    </row>
    <row r="8674" spans="1:28">
      <c r="A8674" t="s">
        <v>4</v>
      </c>
      <c r="B8674" s="4" t="s">
        <v>5</v>
      </c>
      <c r="C8674" s="4" t="s">
        <v>11</v>
      </c>
      <c r="D8674" s="4" t="s">
        <v>7</v>
      </c>
      <c r="E8674" s="4" t="s">
        <v>15</v>
      </c>
      <c r="F8674" s="4" t="s">
        <v>55</v>
      </c>
      <c r="G8674" s="4" t="s">
        <v>7</v>
      </c>
      <c r="H8674" s="4" t="s">
        <v>7</v>
      </c>
      <c r="I8674" s="4" t="s">
        <v>7</v>
      </c>
      <c r="J8674" s="4" t="s">
        <v>15</v>
      </c>
      <c r="K8674" s="4" t="s">
        <v>55</v>
      </c>
      <c r="L8674" s="4" t="s">
        <v>7</v>
      </c>
      <c r="M8674" s="4" t="s">
        <v>7</v>
      </c>
      <c r="N8674" s="4" t="s">
        <v>7</v>
      </c>
      <c r="O8674" s="4" t="s">
        <v>15</v>
      </c>
      <c r="P8674" s="4" t="s">
        <v>55</v>
      </c>
      <c r="Q8674" s="4" t="s">
        <v>7</v>
      </c>
      <c r="R8674" s="4" t="s">
        <v>7</v>
      </c>
    </row>
    <row r="8675" spans="1:28">
      <c r="A8675" t="n">
        <v>81009</v>
      </c>
      <c r="B8675" s="55" t="n">
        <v>26</v>
      </c>
      <c r="C8675" s="7" t="n">
        <v>0</v>
      </c>
      <c r="D8675" s="7" t="n">
        <v>17</v>
      </c>
      <c r="E8675" s="7" t="n">
        <v>64009</v>
      </c>
      <c r="F8675" s="7" t="s">
        <v>744</v>
      </c>
      <c r="G8675" s="7" t="n">
        <v>2</v>
      </c>
      <c r="H8675" s="7" t="n">
        <v>3</v>
      </c>
      <c r="I8675" s="7" t="n">
        <v>17</v>
      </c>
      <c r="J8675" s="7" t="n">
        <v>64010</v>
      </c>
      <c r="K8675" s="7" t="s">
        <v>745</v>
      </c>
      <c r="L8675" s="7" t="n">
        <v>2</v>
      </c>
      <c r="M8675" s="7" t="n">
        <v>3</v>
      </c>
      <c r="N8675" s="7" t="n">
        <v>17</v>
      </c>
      <c r="O8675" s="7" t="n">
        <v>64011</v>
      </c>
      <c r="P8675" s="7" t="s">
        <v>746</v>
      </c>
      <c r="Q8675" s="7" t="n">
        <v>2</v>
      </c>
      <c r="R8675" s="7" t="n">
        <v>0</v>
      </c>
    </row>
    <row r="8676" spans="1:28">
      <c r="A8676" t="s">
        <v>4</v>
      </c>
      <c r="B8676" s="4" t="s">
        <v>5</v>
      </c>
    </row>
    <row r="8677" spans="1:28">
      <c r="A8677" t="n">
        <v>81267</v>
      </c>
      <c r="B8677" s="27" t="n">
        <v>28</v>
      </c>
    </row>
    <row r="8678" spans="1:28">
      <c r="A8678" t="s">
        <v>4</v>
      </c>
      <c r="B8678" s="4" t="s">
        <v>5</v>
      </c>
      <c r="C8678" s="4" t="s">
        <v>7</v>
      </c>
      <c r="D8678" s="4" t="s">
        <v>11</v>
      </c>
      <c r="E8678" s="4" t="s">
        <v>8</v>
      </c>
    </row>
    <row r="8679" spans="1:28">
      <c r="A8679" t="n">
        <v>81268</v>
      </c>
      <c r="B8679" s="38" t="n">
        <v>51</v>
      </c>
      <c r="C8679" s="7" t="n">
        <v>4</v>
      </c>
      <c r="D8679" s="7" t="n">
        <v>11</v>
      </c>
      <c r="E8679" s="7" t="s">
        <v>245</v>
      </c>
    </row>
    <row r="8680" spans="1:28">
      <c r="A8680" t="s">
        <v>4</v>
      </c>
      <c r="B8680" s="4" t="s">
        <v>5</v>
      </c>
      <c r="C8680" s="4" t="s">
        <v>11</v>
      </c>
    </row>
    <row r="8681" spans="1:28">
      <c r="A8681" t="n">
        <v>81282</v>
      </c>
      <c r="B8681" s="29" t="n">
        <v>16</v>
      </c>
      <c r="C8681" s="7" t="n">
        <v>0</v>
      </c>
    </row>
    <row r="8682" spans="1:28">
      <c r="A8682" t="s">
        <v>4</v>
      </c>
      <c r="B8682" s="4" t="s">
        <v>5</v>
      </c>
      <c r="C8682" s="4" t="s">
        <v>11</v>
      </c>
      <c r="D8682" s="4" t="s">
        <v>7</v>
      </c>
      <c r="E8682" s="4" t="s">
        <v>15</v>
      </c>
      <c r="F8682" s="4" t="s">
        <v>55</v>
      </c>
      <c r="G8682" s="4" t="s">
        <v>7</v>
      </c>
      <c r="H8682" s="4" t="s">
        <v>7</v>
      </c>
    </row>
    <row r="8683" spans="1:28">
      <c r="A8683" t="n">
        <v>81285</v>
      </c>
      <c r="B8683" s="55" t="n">
        <v>26</v>
      </c>
      <c r="C8683" s="7" t="n">
        <v>11</v>
      </c>
      <c r="D8683" s="7" t="n">
        <v>17</v>
      </c>
      <c r="E8683" s="7" t="n">
        <v>10811</v>
      </c>
      <c r="F8683" s="7" t="s">
        <v>747</v>
      </c>
      <c r="G8683" s="7" t="n">
        <v>2</v>
      </c>
      <c r="H8683" s="7" t="n">
        <v>0</v>
      </c>
    </row>
    <row r="8684" spans="1:28">
      <c r="A8684" t="s">
        <v>4</v>
      </c>
      <c r="B8684" s="4" t="s">
        <v>5</v>
      </c>
    </row>
    <row r="8685" spans="1:28">
      <c r="A8685" t="n">
        <v>81312</v>
      </c>
      <c r="B8685" s="27" t="n">
        <v>28</v>
      </c>
    </row>
    <row r="8686" spans="1:28">
      <c r="A8686" t="s">
        <v>4</v>
      </c>
      <c r="B8686" s="4" t="s">
        <v>5</v>
      </c>
      <c r="C8686" s="4" t="s">
        <v>11</v>
      </c>
      <c r="D8686" s="4" t="s">
        <v>7</v>
      </c>
    </row>
    <row r="8687" spans="1:28">
      <c r="A8687" t="n">
        <v>81313</v>
      </c>
      <c r="B8687" s="68" t="n">
        <v>89</v>
      </c>
      <c r="C8687" s="7" t="n">
        <v>65533</v>
      </c>
      <c r="D8687" s="7" t="n">
        <v>1</v>
      </c>
    </row>
    <row r="8688" spans="1:28">
      <c r="A8688" t="s">
        <v>4</v>
      </c>
      <c r="B8688" s="4" t="s">
        <v>5</v>
      </c>
      <c r="C8688" s="4" t="s">
        <v>7</v>
      </c>
      <c r="D8688" s="4" t="s">
        <v>11</v>
      </c>
      <c r="E8688" s="4" t="s">
        <v>13</v>
      </c>
    </row>
    <row r="8689" spans="1:18">
      <c r="A8689" t="n">
        <v>81317</v>
      </c>
      <c r="B8689" s="23" t="n">
        <v>58</v>
      </c>
      <c r="C8689" s="7" t="n">
        <v>101</v>
      </c>
      <c r="D8689" s="7" t="n">
        <v>500</v>
      </c>
      <c r="E8689" s="7" t="n">
        <v>1</v>
      </c>
    </row>
    <row r="8690" spans="1:18">
      <c r="A8690" t="s">
        <v>4</v>
      </c>
      <c r="B8690" s="4" t="s">
        <v>5</v>
      </c>
      <c r="C8690" s="4" t="s">
        <v>7</v>
      </c>
      <c r="D8690" s="4" t="s">
        <v>11</v>
      </c>
    </row>
    <row r="8691" spans="1:18">
      <c r="A8691" t="n">
        <v>81325</v>
      </c>
      <c r="B8691" s="23" t="n">
        <v>58</v>
      </c>
      <c r="C8691" s="7" t="n">
        <v>254</v>
      </c>
      <c r="D8691" s="7" t="n">
        <v>0</v>
      </c>
    </row>
    <row r="8692" spans="1:18">
      <c r="A8692" t="s">
        <v>4</v>
      </c>
      <c r="B8692" s="4" t="s">
        <v>5</v>
      </c>
      <c r="C8692" s="4" t="s">
        <v>7</v>
      </c>
      <c r="D8692" s="4" t="s">
        <v>7</v>
      </c>
      <c r="E8692" s="4" t="s">
        <v>13</v>
      </c>
      <c r="F8692" s="4" t="s">
        <v>13</v>
      </c>
      <c r="G8692" s="4" t="s">
        <v>13</v>
      </c>
      <c r="H8692" s="4" t="s">
        <v>11</v>
      </c>
    </row>
    <row r="8693" spans="1:18">
      <c r="A8693" t="n">
        <v>81329</v>
      </c>
      <c r="B8693" s="51" t="n">
        <v>45</v>
      </c>
      <c r="C8693" s="7" t="n">
        <v>2</v>
      </c>
      <c r="D8693" s="7" t="n">
        <v>3</v>
      </c>
      <c r="E8693" s="7" t="n">
        <v>-6.86999988555908</v>
      </c>
      <c r="F8693" s="7" t="n">
        <v>6.46000003814697</v>
      </c>
      <c r="G8693" s="7" t="n">
        <v>29.9200000762939</v>
      </c>
      <c r="H8693" s="7" t="n">
        <v>0</v>
      </c>
    </row>
    <row r="8694" spans="1:18">
      <c r="A8694" t="s">
        <v>4</v>
      </c>
      <c r="B8694" s="4" t="s">
        <v>5</v>
      </c>
      <c r="C8694" s="4" t="s">
        <v>7</v>
      </c>
      <c r="D8694" s="4" t="s">
        <v>7</v>
      </c>
      <c r="E8694" s="4" t="s">
        <v>13</v>
      </c>
      <c r="F8694" s="4" t="s">
        <v>13</v>
      </c>
      <c r="G8694" s="4" t="s">
        <v>13</v>
      </c>
      <c r="H8694" s="4" t="s">
        <v>11</v>
      </c>
      <c r="I8694" s="4" t="s">
        <v>7</v>
      </c>
    </row>
    <row r="8695" spans="1:18">
      <c r="A8695" t="n">
        <v>81346</v>
      </c>
      <c r="B8695" s="51" t="n">
        <v>45</v>
      </c>
      <c r="C8695" s="7" t="n">
        <v>4</v>
      </c>
      <c r="D8695" s="7" t="n">
        <v>3</v>
      </c>
      <c r="E8695" s="7" t="n">
        <v>9.21000003814697</v>
      </c>
      <c r="F8695" s="7" t="n">
        <v>50.6699981689453</v>
      </c>
      <c r="G8695" s="7" t="n">
        <v>8</v>
      </c>
      <c r="H8695" s="7" t="n">
        <v>0</v>
      </c>
      <c r="I8695" s="7" t="n">
        <v>0</v>
      </c>
    </row>
    <row r="8696" spans="1:18">
      <c r="A8696" t="s">
        <v>4</v>
      </c>
      <c r="B8696" s="4" t="s">
        <v>5</v>
      </c>
      <c r="C8696" s="4" t="s">
        <v>7</v>
      </c>
      <c r="D8696" s="4" t="s">
        <v>7</v>
      </c>
      <c r="E8696" s="4" t="s">
        <v>13</v>
      </c>
      <c r="F8696" s="4" t="s">
        <v>11</v>
      </c>
    </row>
    <row r="8697" spans="1:18">
      <c r="A8697" t="n">
        <v>81364</v>
      </c>
      <c r="B8697" s="51" t="n">
        <v>45</v>
      </c>
      <c r="C8697" s="7" t="n">
        <v>5</v>
      </c>
      <c r="D8697" s="7" t="n">
        <v>3</v>
      </c>
      <c r="E8697" s="7" t="n">
        <v>1.10000002384186</v>
      </c>
      <c r="F8697" s="7" t="n">
        <v>0</v>
      </c>
    </row>
    <row r="8698" spans="1:18">
      <c r="A8698" t="s">
        <v>4</v>
      </c>
      <c r="B8698" s="4" t="s">
        <v>5</v>
      </c>
      <c r="C8698" s="4" t="s">
        <v>7</v>
      </c>
      <c r="D8698" s="4" t="s">
        <v>7</v>
      </c>
      <c r="E8698" s="4" t="s">
        <v>13</v>
      </c>
      <c r="F8698" s="4" t="s">
        <v>11</v>
      </c>
    </row>
    <row r="8699" spans="1:18">
      <c r="A8699" t="n">
        <v>81373</v>
      </c>
      <c r="B8699" s="51" t="n">
        <v>45</v>
      </c>
      <c r="C8699" s="7" t="n">
        <v>11</v>
      </c>
      <c r="D8699" s="7" t="n">
        <v>3</v>
      </c>
      <c r="E8699" s="7" t="n">
        <v>40.2999992370605</v>
      </c>
      <c r="F8699" s="7" t="n">
        <v>0</v>
      </c>
    </row>
    <row r="8700" spans="1:18">
      <c r="A8700" t="s">
        <v>4</v>
      </c>
      <c r="B8700" s="4" t="s">
        <v>5</v>
      </c>
      <c r="C8700" s="4" t="s">
        <v>7</v>
      </c>
      <c r="D8700" s="4" t="s">
        <v>11</v>
      </c>
    </row>
    <row r="8701" spans="1:18">
      <c r="A8701" t="n">
        <v>81382</v>
      </c>
      <c r="B8701" s="23" t="n">
        <v>58</v>
      </c>
      <c r="C8701" s="7" t="n">
        <v>255</v>
      </c>
      <c r="D8701" s="7" t="n">
        <v>0</v>
      </c>
    </row>
    <row r="8702" spans="1:18">
      <c r="A8702" t="s">
        <v>4</v>
      </c>
      <c r="B8702" s="4" t="s">
        <v>5</v>
      </c>
      <c r="C8702" s="4" t="s">
        <v>7</v>
      </c>
      <c r="D8702" s="4" t="s">
        <v>11</v>
      </c>
      <c r="E8702" s="4" t="s">
        <v>8</v>
      </c>
    </row>
    <row r="8703" spans="1:18">
      <c r="A8703" t="n">
        <v>81386</v>
      </c>
      <c r="B8703" s="38" t="n">
        <v>51</v>
      </c>
      <c r="C8703" s="7" t="n">
        <v>4</v>
      </c>
      <c r="D8703" s="7" t="n">
        <v>0</v>
      </c>
      <c r="E8703" s="7" t="s">
        <v>162</v>
      </c>
    </row>
    <row r="8704" spans="1:18">
      <c r="A8704" t="s">
        <v>4</v>
      </c>
      <c r="B8704" s="4" t="s">
        <v>5</v>
      </c>
      <c r="C8704" s="4" t="s">
        <v>11</v>
      </c>
    </row>
    <row r="8705" spans="1:9">
      <c r="A8705" t="n">
        <v>81399</v>
      </c>
      <c r="B8705" s="29" t="n">
        <v>16</v>
      </c>
      <c r="C8705" s="7" t="n">
        <v>0</v>
      </c>
    </row>
    <row r="8706" spans="1:9">
      <c r="A8706" t="s">
        <v>4</v>
      </c>
      <c r="B8706" s="4" t="s">
        <v>5</v>
      </c>
      <c r="C8706" s="4" t="s">
        <v>11</v>
      </c>
      <c r="D8706" s="4" t="s">
        <v>7</v>
      </c>
      <c r="E8706" s="4" t="s">
        <v>15</v>
      </c>
      <c r="F8706" s="4" t="s">
        <v>55</v>
      </c>
      <c r="G8706" s="4" t="s">
        <v>7</v>
      </c>
      <c r="H8706" s="4" t="s">
        <v>7</v>
      </c>
      <c r="I8706" s="4" t="s">
        <v>7</v>
      </c>
      <c r="J8706" s="4" t="s">
        <v>15</v>
      </c>
      <c r="K8706" s="4" t="s">
        <v>55</v>
      </c>
      <c r="L8706" s="4" t="s">
        <v>7</v>
      </c>
      <c r="M8706" s="4" t="s">
        <v>7</v>
      </c>
      <c r="N8706" s="4" t="s">
        <v>7</v>
      </c>
      <c r="O8706" s="4" t="s">
        <v>15</v>
      </c>
      <c r="P8706" s="4" t="s">
        <v>55</v>
      </c>
      <c r="Q8706" s="4" t="s">
        <v>7</v>
      </c>
      <c r="R8706" s="4" t="s">
        <v>7</v>
      </c>
      <c r="S8706" s="4" t="s">
        <v>7</v>
      </c>
      <c r="T8706" s="4" t="s">
        <v>15</v>
      </c>
      <c r="U8706" s="4" t="s">
        <v>55</v>
      </c>
      <c r="V8706" s="4" t="s">
        <v>7</v>
      </c>
      <c r="W8706" s="4" t="s">
        <v>7</v>
      </c>
    </row>
    <row r="8707" spans="1:9">
      <c r="A8707" t="n">
        <v>81402</v>
      </c>
      <c r="B8707" s="55" t="n">
        <v>26</v>
      </c>
      <c r="C8707" s="7" t="n">
        <v>0</v>
      </c>
      <c r="D8707" s="7" t="n">
        <v>17</v>
      </c>
      <c r="E8707" s="7" t="n">
        <v>64012</v>
      </c>
      <c r="F8707" s="7" t="s">
        <v>748</v>
      </c>
      <c r="G8707" s="7" t="n">
        <v>2</v>
      </c>
      <c r="H8707" s="7" t="n">
        <v>3</v>
      </c>
      <c r="I8707" s="7" t="n">
        <v>17</v>
      </c>
      <c r="J8707" s="7" t="n">
        <v>64013</v>
      </c>
      <c r="K8707" s="7" t="s">
        <v>749</v>
      </c>
      <c r="L8707" s="7" t="n">
        <v>2</v>
      </c>
      <c r="M8707" s="7" t="n">
        <v>3</v>
      </c>
      <c r="N8707" s="7" t="n">
        <v>17</v>
      </c>
      <c r="O8707" s="7" t="n">
        <v>64014</v>
      </c>
      <c r="P8707" s="7" t="s">
        <v>750</v>
      </c>
      <c r="Q8707" s="7" t="n">
        <v>2</v>
      </c>
      <c r="R8707" s="7" t="n">
        <v>3</v>
      </c>
      <c r="S8707" s="7" t="n">
        <v>17</v>
      </c>
      <c r="T8707" s="7" t="n">
        <v>64015</v>
      </c>
      <c r="U8707" s="7" t="s">
        <v>751</v>
      </c>
      <c r="V8707" s="7" t="n">
        <v>2</v>
      </c>
      <c r="W8707" s="7" t="n">
        <v>0</v>
      </c>
    </row>
    <row r="8708" spans="1:9">
      <c r="A8708" t="s">
        <v>4</v>
      </c>
      <c r="B8708" s="4" t="s">
        <v>5</v>
      </c>
    </row>
    <row r="8709" spans="1:9">
      <c r="A8709" t="n">
        <v>81872</v>
      </c>
      <c r="B8709" s="27" t="n">
        <v>28</v>
      </c>
    </row>
    <row r="8710" spans="1:9">
      <c r="A8710" t="s">
        <v>4</v>
      </c>
      <c r="B8710" s="4" t="s">
        <v>5</v>
      </c>
      <c r="C8710" s="4" t="s">
        <v>7</v>
      </c>
      <c r="D8710" s="4" t="s">
        <v>11</v>
      </c>
      <c r="E8710" s="4" t="s">
        <v>8</v>
      </c>
    </row>
    <row r="8711" spans="1:9">
      <c r="A8711" t="n">
        <v>81873</v>
      </c>
      <c r="B8711" s="38" t="n">
        <v>51</v>
      </c>
      <c r="C8711" s="7" t="n">
        <v>4</v>
      </c>
      <c r="D8711" s="7" t="n">
        <v>11</v>
      </c>
      <c r="E8711" s="7" t="s">
        <v>206</v>
      </c>
    </row>
    <row r="8712" spans="1:9">
      <c r="A8712" t="s">
        <v>4</v>
      </c>
      <c r="B8712" s="4" t="s">
        <v>5</v>
      </c>
      <c r="C8712" s="4" t="s">
        <v>11</v>
      </c>
    </row>
    <row r="8713" spans="1:9">
      <c r="A8713" t="n">
        <v>81888</v>
      </c>
      <c r="B8713" s="29" t="n">
        <v>16</v>
      </c>
      <c r="C8713" s="7" t="n">
        <v>0</v>
      </c>
    </row>
    <row r="8714" spans="1:9">
      <c r="A8714" t="s">
        <v>4</v>
      </c>
      <c r="B8714" s="4" t="s">
        <v>5</v>
      </c>
      <c r="C8714" s="4" t="s">
        <v>11</v>
      </c>
      <c r="D8714" s="4" t="s">
        <v>7</v>
      </c>
      <c r="E8714" s="4" t="s">
        <v>15</v>
      </c>
      <c r="F8714" s="4" t="s">
        <v>55</v>
      </c>
      <c r="G8714" s="4" t="s">
        <v>7</v>
      </c>
      <c r="H8714" s="4" t="s">
        <v>7</v>
      </c>
    </row>
    <row r="8715" spans="1:9">
      <c r="A8715" t="n">
        <v>81891</v>
      </c>
      <c r="B8715" s="55" t="n">
        <v>26</v>
      </c>
      <c r="C8715" s="7" t="n">
        <v>11</v>
      </c>
      <c r="D8715" s="7" t="n">
        <v>17</v>
      </c>
      <c r="E8715" s="7" t="n">
        <v>10812</v>
      </c>
      <c r="F8715" s="7" t="s">
        <v>462</v>
      </c>
      <c r="G8715" s="7" t="n">
        <v>2</v>
      </c>
      <c r="H8715" s="7" t="n">
        <v>0</v>
      </c>
    </row>
    <row r="8716" spans="1:9">
      <c r="A8716" t="s">
        <v>4</v>
      </c>
      <c r="B8716" s="4" t="s">
        <v>5</v>
      </c>
    </row>
    <row r="8717" spans="1:9">
      <c r="A8717" t="n">
        <v>81910</v>
      </c>
      <c r="B8717" s="27" t="n">
        <v>28</v>
      </c>
    </row>
    <row r="8718" spans="1:9">
      <c r="A8718" t="s">
        <v>4</v>
      </c>
      <c r="B8718" s="4" t="s">
        <v>5</v>
      </c>
      <c r="C8718" s="4" t="s">
        <v>7</v>
      </c>
      <c r="D8718" s="4" t="s">
        <v>11</v>
      </c>
      <c r="E8718" s="4" t="s">
        <v>8</v>
      </c>
    </row>
    <row r="8719" spans="1:9">
      <c r="A8719" t="n">
        <v>81911</v>
      </c>
      <c r="B8719" s="38" t="n">
        <v>51</v>
      </c>
      <c r="C8719" s="7" t="n">
        <v>4</v>
      </c>
      <c r="D8719" s="7" t="n">
        <v>0</v>
      </c>
      <c r="E8719" s="7" t="s">
        <v>752</v>
      </c>
    </row>
    <row r="8720" spans="1:9">
      <c r="A8720" t="s">
        <v>4</v>
      </c>
      <c r="B8720" s="4" t="s">
        <v>5</v>
      </c>
      <c r="C8720" s="4" t="s">
        <v>11</v>
      </c>
    </row>
    <row r="8721" spans="1:23">
      <c r="A8721" t="n">
        <v>81925</v>
      </c>
      <c r="B8721" s="29" t="n">
        <v>16</v>
      </c>
      <c r="C8721" s="7" t="n">
        <v>0</v>
      </c>
    </row>
    <row r="8722" spans="1:23">
      <c r="A8722" t="s">
        <v>4</v>
      </c>
      <c r="B8722" s="4" t="s">
        <v>5</v>
      </c>
      <c r="C8722" s="4" t="s">
        <v>11</v>
      </c>
      <c r="D8722" s="4" t="s">
        <v>7</v>
      </c>
      <c r="E8722" s="4" t="s">
        <v>15</v>
      </c>
      <c r="F8722" s="4" t="s">
        <v>55</v>
      </c>
      <c r="G8722" s="4" t="s">
        <v>7</v>
      </c>
      <c r="H8722" s="4" t="s">
        <v>7</v>
      </c>
      <c r="I8722" s="4" t="s">
        <v>7</v>
      </c>
      <c r="J8722" s="4" t="s">
        <v>15</v>
      </c>
      <c r="K8722" s="4" t="s">
        <v>55</v>
      </c>
      <c r="L8722" s="4" t="s">
        <v>7</v>
      </c>
      <c r="M8722" s="4" t="s">
        <v>7</v>
      </c>
      <c r="N8722" s="4" t="s">
        <v>7</v>
      </c>
      <c r="O8722" s="4" t="s">
        <v>15</v>
      </c>
      <c r="P8722" s="4" t="s">
        <v>55</v>
      </c>
      <c r="Q8722" s="4" t="s">
        <v>7</v>
      </c>
      <c r="R8722" s="4" t="s">
        <v>7</v>
      </c>
      <c r="S8722" s="4" t="s">
        <v>7</v>
      </c>
      <c r="T8722" s="4" t="s">
        <v>15</v>
      </c>
      <c r="U8722" s="4" t="s">
        <v>55</v>
      </c>
      <c r="V8722" s="4" t="s">
        <v>7</v>
      </c>
      <c r="W8722" s="4" t="s">
        <v>7</v>
      </c>
    </row>
    <row r="8723" spans="1:23">
      <c r="A8723" t="n">
        <v>81928</v>
      </c>
      <c r="B8723" s="55" t="n">
        <v>26</v>
      </c>
      <c r="C8723" s="7" t="n">
        <v>0</v>
      </c>
      <c r="D8723" s="7" t="n">
        <v>17</v>
      </c>
      <c r="E8723" s="7" t="n">
        <v>64016</v>
      </c>
      <c r="F8723" s="7" t="s">
        <v>753</v>
      </c>
      <c r="G8723" s="7" t="n">
        <v>2</v>
      </c>
      <c r="H8723" s="7" t="n">
        <v>3</v>
      </c>
      <c r="I8723" s="7" t="n">
        <v>17</v>
      </c>
      <c r="J8723" s="7" t="n">
        <v>64017</v>
      </c>
      <c r="K8723" s="7" t="s">
        <v>754</v>
      </c>
      <c r="L8723" s="7" t="n">
        <v>2</v>
      </c>
      <c r="M8723" s="7" t="n">
        <v>3</v>
      </c>
      <c r="N8723" s="7" t="n">
        <v>17</v>
      </c>
      <c r="O8723" s="7" t="n">
        <v>64018</v>
      </c>
      <c r="P8723" s="7" t="s">
        <v>755</v>
      </c>
      <c r="Q8723" s="7" t="n">
        <v>2</v>
      </c>
      <c r="R8723" s="7" t="n">
        <v>3</v>
      </c>
      <c r="S8723" s="7" t="n">
        <v>17</v>
      </c>
      <c r="T8723" s="7" t="n">
        <v>64019</v>
      </c>
      <c r="U8723" s="7" t="s">
        <v>756</v>
      </c>
      <c r="V8723" s="7" t="n">
        <v>2</v>
      </c>
      <c r="W8723" s="7" t="n">
        <v>0</v>
      </c>
    </row>
    <row r="8724" spans="1:23">
      <c r="A8724" t="s">
        <v>4</v>
      </c>
      <c r="B8724" s="4" t="s">
        <v>5</v>
      </c>
    </row>
    <row r="8725" spans="1:23">
      <c r="A8725" t="n">
        <v>82288</v>
      </c>
      <c r="B8725" s="27" t="n">
        <v>28</v>
      </c>
    </row>
    <row r="8726" spans="1:23">
      <c r="A8726" t="s">
        <v>4</v>
      </c>
      <c r="B8726" s="4" t="s">
        <v>5</v>
      </c>
      <c r="C8726" s="4" t="s">
        <v>7</v>
      </c>
      <c r="D8726" s="4" t="s">
        <v>11</v>
      </c>
      <c r="E8726" s="4" t="s">
        <v>8</v>
      </c>
    </row>
    <row r="8727" spans="1:23">
      <c r="A8727" t="n">
        <v>82289</v>
      </c>
      <c r="B8727" s="38" t="n">
        <v>51</v>
      </c>
      <c r="C8727" s="7" t="n">
        <v>4</v>
      </c>
      <c r="D8727" s="7" t="n">
        <v>11</v>
      </c>
      <c r="E8727" s="7" t="s">
        <v>757</v>
      </c>
    </row>
    <row r="8728" spans="1:23">
      <c r="A8728" t="s">
        <v>4</v>
      </c>
      <c r="B8728" s="4" t="s">
        <v>5</v>
      </c>
      <c r="C8728" s="4" t="s">
        <v>11</v>
      </c>
    </row>
    <row r="8729" spans="1:23">
      <c r="A8729" t="n">
        <v>82308</v>
      </c>
      <c r="B8729" s="29" t="n">
        <v>16</v>
      </c>
      <c r="C8729" s="7" t="n">
        <v>0</v>
      </c>
    </row>
    <row r="8730" spans="1:23">
      <c r="A8730" t="s">
        <v>4</v>
      </c>
      <c r="B8730" s="4" t="s">
        <v>5</v>
      </c>
      <c r="C8730" s="4" t="s">
        <v>11</v>
      </c>
      <c r="D8730" s="4" t="s">
        <v>7</v>
      </c>
      <c r="E8730" s="4" t="s">
        <v>15</v>
      </c>
      <c r="F8730" s="4" t="s">
        <v>55</v>
      </c>
      <c r="G8730" s="4" t="s">
        <v>7</v>
      </c>
      <c r="H8730" s="4" t="s">
        <v>7</v>
      </c>
      <c r="I8730" s="4" t="s">
        <v>7</v>
      </c>
      <c r="J8730" s="4" t="s">
        <v>15</v>
      </c>
      <c r="K8730" s="4" t="s">
        <v>55</v>
      </c>
      <c r="L8730" s="4" t="s">
        <v>7</v>
      </c>
      <c r="M8730" s="4" t="s">
        <v>7</v>
      </c>
      <c r="N8730" s="4" t="s">
        <v>7</v>
      </c>
      <c r="O8730" s="4" t="s">
        <v>15</v>
      </c>
      <c r="P8730" s="4" t="s">
        <v>55</v>
      </c>
      <c r="Q8730" s="4" t="s">
        <v>7</v>
      </c>
      <c r="R8730" s="4" t="s">
        <v>7</v>
      </c>
    </row>
    <row r="8731" spans="1:23">
      <c r="A8731" t="n">
        <v>82311</v>
      </c>
      <c r="B8731" s="55" t="n">
        <v>26</v>
      </c>
      <c r="C8731" s="7" t="n">
        <v>11</v>
      </c>
      <c r="D8731" s="7" t="n">
        <v>17</v>
      </c>
      <c r="E8731" s="7" t="n">
        <v>10813</v>
      </c>
      <c r="F8731" s="7" t="s">
        <v>758</v>
      </c>
      <c r="G8731" s="7" t="n">
        <v>2</v>
      </c>
      <c r="H8731" s="7" t="n">
        <v>3</v>
      </c>
      <c r="I8731" s="7" t="n">
        <v>17</v>
      </c>
      <c r="J8731" s="7" t="n">
        <v>10814</v>
      </c>
      <c r="K8731" s="7" t="s">
        <v>759</v>
      </c>
      <c r="L8731" s="7" t="n">
        <v>2</v>
      </c>
      <c r="M8731" s="7" t="n">
        <v>3</v>
      </c>
      <c r="N8731" s="7" t="n">
        <v>17</v>
      </c>
      <c r="O8731" s="7" t="n">
        <v>10815</v>
      </c>
      <c r="P8731" s="7" t="s">
        <v>760</v>
      </c>
      <c r="Q8731" s="7" t="n">
        <v>2</v>
      </c>
      <c r="R8731" s="7" t="n">
        <v>0</v>
      </c>
    </row>
    <row r="8732" spans="1:23">
      <c r="A8732" t="s">
        <v>4</v>
      </c>
      <c r="B8732" s="4" t="s">
        <v>5</v>
      </c>
    </row>
    <row r="8733" spans="1:23">
      <c r="A8733" t="n">
        <v>82503</v>
      </c>
      <c r="B8733" s="27" t="n">
        <v>28</v>
      </c>
    </row>
    <row r="8734" spans="1:23">
      <c r="A8734" t="s">
        <v>4</v>
      </c>
      <c r="B8734" s="4" t="s">
        <v>5</v>
      </c>
      <c r="C8734" s="4" t="s">
        <v>11</v>
      </c>
      <c r="D8734" s="4" t="s">
        <v>7</v>
      </c>
      <c r="E8734" s="4" t="s">
        <v>8</v>
      </c>
      <c r="F8734" s="4" t="s">
        <v>13</v>
      </c>
      <c r="G8734" s="4" t="s">
        <v>13</v>
      </c>
      <c r="H8734" s="4" t="s">
        <v>13</v>
      </c>
    </row>
    <row r="8735" spans="1:23">
      <c r="A8735" t="n">
        <v>82504</v>
      </c>
      <c r="B8735" s="42" t="n">
        <v>48</v>
      </c>
      <c r="C8735" s="7" t="n">
        <v>11</v>
      </c>
      <c r="D8735" s="7" t="n">
        <v>0</v>
      </c>
      <c r="E8735" s="7" t="s">
        <v>230</v>
      </c>
      <c r="F8735" s="7" t="n">
        <v>-1</v>
      </c>
      <c r="G8735" s="7" t="n">
        <v>1</v>
      </c>
      <c r="H8735" s="7" t="n">
        <v>0</v>
      </c>
    </row>
    <row r="8736" spans="1:23">
      <c r="A8736" t="s">
        <v>4</v>
      </c>
      <c r="B8736" s="4" t="s">
        <v>5</v>
      </c>
      <c r="C8736" s="4" t="s">
        <v>11</v>
      </c>
    </row>
    <row r="8737" spans="1:23">
      <c r="A8737" t="n">
        <v>82535</v>
      </c>
      <c r="B8737" s="29" t="n">
        <v>16</v>
      </c>
      <c r="C8737" s="7" t="n">
        <v>500</v>
      </c>
    </row>
    <row r="8738" spans="1:23">
      <c r="A8738" t="s">
        <v>4</v>
      </c>
      <c r="B8738" s="4" t="s">
        <v>5</v>
      </c>
      <c r="C8738" s="4" t="s">
        <v>7</v>
      </c>
      <c r="D8738" s="4" t="s">
        <v>11</v>
      </c>
      <c r="E8738" s="4" t="s">
        <v>8</v>
      </c>
    </row>
    <row r="8739" spans="1:23">
      <c r="A8739" t="n">
        <v>82538</v>
      </c>
      <c r="B8739" s="38" t="n">
        <v>51</v>
      </c>
      <c r="C8739" s="7" t="n">
        <v>4</v>
      </c>
      <c r="D8739" s="7" t="n">
        <v>11</v>
      </c>
      <c r="E8739" s="7" t="s">
        <v>761</v>
      </c>
    </row>
    <row r="8740" spans="1:23">
      <c r="A8740" t="s">
        <v>4</v>
      </c>
      <c r="B8740" s="4" t="s">
        <v>5</v>
      </c>
      <c r="C8740" s="4" t="s">
        <v>11</v>
      </c>
    </row>
    <row r="8741" spans="1:23">
      <c r="A8741" t="n">
        <v>82557</v>
      </c>
      <c r="B8741" s="29" t="n">
        <v>16</v>
      </c>
      <c r="C8741" s="7" t="n">
        <v>0</v>
      </c>
    </row>
    <row r="8742" spans="1:23">
      <c r="A8742" t="s">
        <v>4</v>
      </c>
      <c r="B8742" s="4" t="s">
        <v>5</v>
      </c>
      <c r="C8742" s="4" t="s">
        <v>11</v>
      </c>
      <c r="D8742" s="4" t="s">
        <v>7</v>
      </c>
      <c r="E8742" s="4" t="s">
        <v>15</v>
      </c>
      <c r="F8742" s="4" t="s">
        <v>55</v>
      </c>
      <c r="G8742" s="4" t="s">
        <v>7</v>
      </c>
      <c r="H8742" s="4" t="s">
        <v>7</v>
      </c>
      <c r="I8742" s="4" t="s">
        <v>7</v>
      </c>
      <c r="J8742" s="4" t="s">
        <v>15</v>
      </c>
      <c r="K8742" s="4" t="s">
        <v>55</v>
      </c>
      <c r="L8742" s="4" t="s">
        <v>7</v>
      </c>
      <c r="M8742" s="4" t="s">
        <v>7</v>
      </c>
    </row>
    <row r="8743" spans="1:23">
      <c r="A8743" t="n">
        <v>82560</v>
      </c>
      <c r="B8743" s="55" t="n">
        <v>26</v>
      </c>
      <c r="C8743" s="7" t="n">
        <v>11</v>
      </c>
      <c r="D8743" s="7" t="n">
        <v>17</v>
      </c>
      <c r="E8743" s="7" t="n">
        <v>10816</v>
      </c>
      <c r="F8743" s="7" t="s">
        <v>762</v>
      </c>
      <c r="G8743" s="7" t="n">
        <v>2</v>
      </c>
      <c r="H8743" s="7" t="n">
        <v>3</v>
      </c>
      <c r="I8743" s="7" t="n">
        <v>17</v>
      </c>
      <c r="J8743" s="7" t="n">
        <v>10817</v>
      </c>
      <c r="K8743" s="7" t="s">
        <v>763</v>
      </c>
      <c r="L8743" s="7" t="n">
        <v>2</v>
      </c>
      <c r="M8743" s="7" t="n">
        <v>0</v>
      </c>
    </row>
    <row r="8744" spans="1:23">
      <c r="A8744" t="s">
        <v>4</v>
      </c>
      <c r="B8744" s="4" t="s">
        <v>5</v>
      </c>
    </row>
    <row r="8745" spans="1:23">
      <c r="A8745" t="n">
        <v>82736</v>
      </c>
      <c r="B8745" s="27" t="n">
        <v>28</v>
      </c>
    </row>
    <row r="8746" spans="1:23">
      <c r="A8746" t="s">
        <v>4</v>
      </c>
      <c r="B8746" s="4" t="s">
        <v>5</v>
      </c>
      <c r="C8746" s="4" t="s">
        <v>7</v>
      </c>
      <c r="D8746" s="4" t="s">
        <v>11</v>
      </c>
      <c r="E8746" s="4" t="s">
        <v>8</v>
      </c>
    </row>
    <row r="8747" spans="1:23">
      <c r="A8747" t="n">
        <v>82737</v>
      </c>
      <c r="B8747" s="38" t="n">
        <v>51</v>
      </c>
      <c r="C8747" s="7" t="n">
        <v>4</v>
      </c>
      <c r="D8747" s="7" t="n">
        <v>0</v>
      </c>
      <c r="E8747" s="7" t="s">
        <v>353</v>
      </c>
    </row>
    <row r="8748" spans="1:23">
      <c r="A8748" t="s">
        <v>4</v>
      </c>
      <c r="B8748" s="4" t="s">
        <v>5</v>
      </c>
      <c r="C8748" s="4" t="s">
        <v>11</v>
      </c>
    </row>
    <row r="8749" spans="1:23">
      <c r="A8749" t="n">
        <v>82756</v>
      </c>
      <c r="B8749" s="29" t="n">
        <v>16</v>
      </c>
      <c r="C8749" s="7" t="n">
        <v>0</v>
      </c>
    </row>
    <row r="8750" spans="1:23">
      <c r="A8750" t="s">
        <v>4</v>
      </c>
      <c r="B8750" s="4" t="s">
        <v>5</v>
      </c>
      <c r="C8750" s="4" t="s">
        <v>11</v>
      </c>
      <c r="D8750" s="4" t="s">
        <v>7</v>
      </c>
      <c r="E8750" s="4" t="s">
        <v>15</v>
      </c>
      <c r="F8750" s="4" t="s">
        <v>55</v>
      </c>
      <c r="G8750" s="4" t="s">
        <v>7</v>
      </c>
      <c r="H8750" s="4" t="s">
        <v>7</v>
      </c>
    </row>
    <row r="8751" spans="1:23">
      <c r="A8751" t="n">
        <v>82759</v>
      </c>
      <c r="B8751" s="55" t="n">
        <v>26</v>
      </c>
      <c r="C8751" s="7" t="n">
        <v>0</v>
      </c>
      <c r="D8751" s="7" t="n">
        <v>17</v>
      </c>
      <c r="E8751" s="7" t="n">
        <v>64020</v>
      </c>
      <c r="F8751" s="7" t="s">
        <v>764</v>
      </c>
      <c r="G8751" s="7" t="n">
        <v>2</v>
      </c>
      <c r="H8751" s="7" t="n">
        <v>0</v>
      </c>
    </row>
    <row r="8752" spans="1:23">
      <c r="A8752" t="s">
        <v>4</v>
      </c>
      <c r="B8752" s="4" t="s">
        <v>5</v>
      </c>
    </row>
    <row r="8753" spans="1:13">
      <c r="A8753" t="n">
        <v>82823</v>
      </c>
      <c r="B8753" s="27" t="n">
        <v>28</v>
      </c>
    </row>
    <row r="8754" spans="1:13">
      <c r="A8754" t="s">
        <v>4</v>
      </c>
      <c r="B8754" s="4" t="s">
        <v>5</v>
      </c>
      <c r="C8754" s="4" t="s">
        <v>11</v>
      </c>
      <c r="D8754" s="4" t="s">
        <v>7</v>
      </c>
      <c r="E8754" s="4" t="s">
        <v>13</v>
      </c>
      <c r="F8754" s="4" t="s">
        <v>11</v>
      </c>
    </row>
    <row r="8755" spans="1:13">
      <c r="A8755" t="n">
        <v>82824</v>
      </c>
      <c r="B8755" s="56" t="n">
        <v>59</v>
      </c>
      <c r="C8755" s="7" t="n">
        <v>0</v>
      </c>
      <c r="D8755" s="7" t="n">
        <v>9</v>
      </c>
      <c r="E8755" s="7" t="n">
        <v>0.150000005960464</v>
      </c>
      <c r="F8755" s="7" t="n">
        <v>0</v>
      </c>
    </row>
    <row r="8756" spans="1:13">
      <c r="A8756" t="s">
        <v>4</v>
      </c>
      <c r="B8756" s="4" t="s">
        <v>5</v>
      </c>
      <c r="C8756" s="4" t="s">
        <v>11</v>
      </c>
    </row>
    <row r="8757" spans="1:13">
      <c r="A8757" t="n">
        <v>82834</v>
      </c>
      <c r="B8757" s="29" t="n">
        <v>16</v>
      </c>
      <c r="C8757" s="7" t="n">
        <v>1800</v>
      </c>
    </row>
    <row r="8758" spans="1:13">
      <c r="A8758" t="s">
        <v>4</v>
      </c>
      <c r="B8758" s="4" t="s">
        <v>5</v>
      </c>
      <c r="C8758" s="4" t="s">
        <v>7</v>
      </c>
      <c r="D8758" s="4" t="s">
        <v>11</v>
      </c>
      <c r="E8758" s="4" t="s">
        <v>13</v>
      </c>
    </row>
    <row r="8759" spans="1:13">
      <c r="A8759" t="n">
        <v>82837</v>
      </c>
      <c r="B8759" s="23" t="n">
        <v>58</v>
      </c>
      <c r="C8759" s="7" t="n">
        <v>101</v>
      </c>
      <c r="D8759" s="7" t="n">
        <v>500</v>
      </c>
      <c r="E8759" s="7" t="n">
        <v>1</v>
      </c>
    </row>
    <row r="8760" spans="1:13">
      <c r="A8760" t="s">
        <v>4</v>
      </c>
      <c r="B8760" s="4" t="s">
        <v>5</v>
      </c>
      <c r="C8760" s="4" t="s">
        <v>7</v>
      </c>
      <c r="D8760" s="4" t="s">
        <v>11</v>
      </c>
    </row>
    <row r="8761" spans="1:13">
      <c r="A8761" t="n">
        <v>82845</v>
      </c>
      <c r="B8761" s="23" t="n">
        <v>58</v>
      </c>
      <c r="C8761" s="7" t="n">
        <v>254</v>
      </c>
      <c r="D8761" s="7" t="n">
        <v>0</v>
      </c>
    </row>
    <row r="8762" spans="1:13">
      <c r="A8762" t="s">
        <v>4</v>
      </c>
      <c r="B8762" s="4" t="s">
        <v>5</v>
      </c>
      <c r="C8762" s="4" t="s">
        <v>7</v>
      </c>
      <c r="D8762" s="4" t="s">
        <v>7</v>
      </c>
      <c r="E8762" s="4" t="s">
        <v>13</v>
      </c>
      <c r="F8762" s="4" t="s">
        <v>13</v>
      </c>
      <c r="G8762" s="4" t="s">
        <v>13</v>
      </c>
      <c r="H8762" s="4" t="s">
        <v>11</v>
      </c>
    </row>
    <row r="8763" spans="1:13">
      <c r="A8763" t="n">
        <v>82849</v>
      </c>
      <c r="B8763" s="51" t="n">
        <v>45</v>
      </c>
      <c r="C8763" s="7" t="n">
        <v>2</v>
      </c>
      <c r="D8763" s="7" t="n">
        <v>3</v>
      </c>
      <c r="E8763" s="7" t="n">
        <v>-6.63000011444092</v>
      </c>
      <c r="F8763" s="7" t="n">
        <v>6.44000005722046</v>
      </c>
      <c r="G8763" s="7" t="n">
        <v>29.8600006103516</v>
      </c>
      <c r="H8763" s="7" t="n">
        <v>0</v>
      </c>
    </row>
    <row r="8764" spans="1:13">
      <c r="A8764" t="s">
        <v>4</v>
      </c>
      <c r="B8764" s="4" t="s">
        <v>5</v>
      </c>
      <c r="C8764" s="4" t="s">
        <v>7</v>
      </c>
      <c r="D8764" s="4" t="s">
        <v>7</v>
      </c>
      <c r="E8764" s="4" t="s">
        <v>13</v>
      </c>
      <c r="F8764" s="4" t="s">
        <v>13</v>
      </c>
      <c r="G8764" s="4" t="s">
        <v>13</v>
      </c>
      <c r="H8764" s="4" t="s">
        <v>11</v>
      </c>
      <c r="I8764" s="4" t="s">
        <v>7</v>
      </c>
    </row>
    <row r="8765" spans="1:13">
      <c r="A8765" t="n">
        <v>82866</v>
      </c>
      <c r="B8765" s="51" t="n">
        <v>45</v>
      </c>
      <c r="C8765" s="7" t="n">
        <v>4</v>
      </c>
      <c r="D8765" s="7" t="n">
        <v>3</v>
      </c>
      <c r="E8765" s="7" t="n">
        <v>357</v>
      </c>
      <c r="F8765" s="7" t="n">
        <v>284.700012207031</v>
      </c>
      <c r="G8765" s="7" t="n">
        <v>4</v>
      </c>
      <c r="H8765" s="7" t="n">
        <v>0</v>
      </c>
      <c r="I8765" s="7" t="n">
        <v>0</v>
      </c>
    </row>
    <row r="8766" spans="1:13">
      <c r="A8766" t="s">
        <v>4</v>
      </c>
      <c r="B8766" s="4" t="s">
        <v>5</v>
      </c>
      <c r="C8766" s="4" t="s">
        <v>7</v>
      </c>
      <c r="D8766" s="4" t="s">
        <v>7</v>
      </c>
      <c r="E8766" s="4" t="s">
        <v>13</v>
      </c>
      <c r="F8766" s="4" t="s">
        <v>11</v>
      </c>
    </row>
    <row r="8767" spans="1:13">
      <c r="A8767" t="n">
        <v>82884</v>
      </c>
      <c r="B8767" s="51" t="n">
        <v>45</v>
      </c>
      <c r="C8767" s="7" t="n">
        <v>5</v>
      </c>
      <c r="D8767" s="7" t="n">
        <v>3</v>
      </c>
      <c r="E8767" s="7" t="n">
        <v>1</v>
      </c>
      <c r="F8767" s="7" t="n">
        <v>0</v>
      </c>
    </row>
    <row r="8768" spans="1:13">
      <c r="A8768" t="s">
        <v>4</v>
      </c>
      <c r="B8768" s="4" t="s">
        <v>5</v>
      </c>
      <c r="C8768" s="4" t="s">
        <v>7</v>
      </c>
      <c r="D8768" s="4" t="s">
        <v>7</v>
      </c>
      <c r="E8768" s="4" t="s">
        <v>13</v>
      </c>
      <c r="F8768" s="4" t="s">
        <v>11</v>
      </c>
    </row>
    <row r="8769" spans="1:9">
      <c r="A8769" t="n">
        <v>82893</v>
      </c>
      <c r="B8769" s="51" t="n">
        <v>45</v>
      </c>
      <c r="C8769" s="7" t="n">
        <v>11</v>
      </c>
      <c r="D8769" s="7" t="n">
        <v>3</v>
      </c>
      <c r="E8769" s="7" t="n">
        <v>40.2999992370605</v>
      </c>
      <c r="F8769" s="7" t="n">
        <v>0</v>
      </c>
    </row>
    <row r="8770" spans="1:9">
      <c r="A8770" t="s">
        <v>4</v>
      </c>
      <c r="B8770" s="4" t="s">
        <v>5</v>
      </c>
      <c r="C8770" s="4" t="s">
        <v>7</v>
      </c>
      <c r="D8770" s="4" t="s">
        <v>11</v>
      </c>
      <c r="E8770" s="4" t="s">
        <v>8</v>
      </c>
      <c r="F8770" s="4" t="s">
        <v>8</v>
      </c>
      <c r="G8770" s="4" t="s">
        <v>8</v>
      </c>
      <c r="H8770" s="4" t="s">
        <v>8</v>
      </c>
    </row>
    <row r="8771" spans="1:9">
      <c r="A8771" t="n">
        <v>82902</v>
      </c>
      <c r="B8771" s="38" t="n">
        <v>51</v>
      </c>
      <c r="C8771" s="7" t="n">
        <v>3</v>
      </c>
      <c r="D8771" s="7" t="n">
        <v>0</v>
      </c>
      <c r="E8771" s="7" t="s">
        <v>86</v>
      </c>
      <c r="F8771" s="7" t="s">
        <v>79</v>
      </c>
      <c r="G8771" s="7" t="s">
        <v>16</v>
      </c>
      <c r="H8771" s="7" t="s">
        <v>68</v>
      </c>
    </row>
    <row r="8772" spans="1:9">
      <c r="A8772" t="s">
        <v>4</v>
      </c>
      <c r="B8772" s="4" t="s">
        <v>5</v>
      </c>
      <c r="C8772" s="4" t="s">
        <v>7</v>
      </c>
      <c r="D8772" s="4" t="s">
        <v>11</v>
      </c>
    </row>
    <row r="8773" spans="1:9">
      <c r="A8773" t="n">
        <v>82913</v>
      </c>
      <c r="B8773" s="23" t="n">
        <v>58</v>
      </c>
      <c r="C8773" s="7" t="n">
        <v>255</v>
      </c>
      <c r="D8773" s="7" t="n">
        <v>0</v>
      </c>
    </row>
    <row r="8774" spans="1:9">
      <c r="A8774" t="s">
        <v>4</v>
      </c>
      <c r="B8774" s="4" t="s">
        <v>5</v>
      </c>
      <c r="C8774" s="4" t="s">
        <v>11</v>
      </c>
      <c r="D8774" s="4" t="s">
        <v>7</v>
      </c>
      <c r="E8774" s="4" t="s">
        <v>8</v>
      </c>
      <c r="F8774" s="4" t="s">
        <v>13</v>
      </c>
      <c r="G8774" s="4" t="s">
        <v>13</v>
      </c>
      <c r="H8774" s="4" t="s">
        <v>13</v>
      </c>
    </row>
    <row r="8775" spans="1:9">
      <c r="A8775" t="n">
        <v>82917</v>
      </c>
      <c r="B8775" s="42" t="n">
        <v>48</v>
      </c>
      <c r="C8775" s="7" t="n">
        <v>0</v>
      </c>
      <c r="D8775" s="7" t="n">
        <v>0</v>
      </c>
      <c r="E8775" s="7" t="s">
        <v>701</v>
      </c>
      <c r="F8775" s="7" t="n">
        <v>-1</v>
      </c>
      <c r="G8775" s="7" t="n">
        <v>1</v>
      </c>
      <c r="H8775" s="7" t="n">
        <v>0</v>
      </c>
    </row>
    <row r="8776" spans="1:9">
      <c r="A8776" t="s">
        <v>4</v>
      </c>
      <c r="B8776" s="4" t="s">
        <v>5</v>
      </c>
      <c r="C8776" s="4" t="s">
        <v>11</v>
      </c>
    </row>
    <row r="8777" spans="1:9">
      <c r="A8777" t="n">
        <v>82946</v>
      </c>
      <c r="B8777" s="29" t="n">
        <v>16</v>
      </c>
      <c r="C8777" s="7" t="n">
        <v>700</v>
      </c>
    </row>
    <row r="8778" spans="1:9">
      <c r="A8778" t="s">
        <v>4</v>
      </c>
      <c r="B8778" s="4" t="s">
        <v>5</v>
      </c>
      <c r="C8778" s="4" t="s">
        <v>7</v>
      </c>
      <c r="D8778" s="4" t="s">
        <v>11</v>
      </c>
      <c r="E8778" s="4" t="s">
        <v>8</v>
      </c>
      <c r="F8778" s="4" t="s">
        <v>8</v>
      </c>
      <c r="G8778" s="4" t="s">
        <v>8</v>
      </c>
      <c r="H8778" s="4" t="s">
        <v>8</v>
      </c>
    </row>
    <row r="8779" spans="1:9">
      <c r="A8779" t="n">
        <v>82949</v>
      </c>
      <c r="B8779" s="38" t="n">
        <v>51</v>
      </c>
      <c r="C8779" s="7" t="n">
        <v>3</v>
      </c>
      <c r="D8779" s="7" t="n">
        <v>0</v>
      </c>
      <c r="E8779" s="7" t="s">
        <v>86</v>
      </c>
      <c r="F8779" s="7" t="s">
        <v>79</v>
      </c>
      <c r="G8779" s="7" t="s">
        <v>16</v>
      </c>
      <c r="H8779" s="7" t="s">
        <v>79</v>
      </c>
    </row>
    <row r="8780" spans="1:9">
      <c r="A8780" t="s">
        <v>4</v>
      </c>
      <c r="B8780" s="4" t="s">
        <v>5</v>
      </c>
      <c r="C8780" s="4" t="s">
        <v>11</v>
      </c>
    </row>
    <row r="8781" spans="1:9">
      <c r="A8781" t="n">
        <v>82960</v>
      </c>
      <c r="B8781" s="29" t="n">
        <v>16</v>
      </c>
      <c r="C8781" s="7" t="n">
        <v>300</v>
      </c>
    </row>
    <row r="8782" spans="1:9">
      <c r="A8782" t="s">
        <v>4</v>
      </c>
      <c r="B8782" s="4" t="s">
        <v>5</v>
      </c>
      <c r="C8782" s="4" t="s">
        <v>7</v>
      </c>
      <c r="D8782" s="4" t="s">
        <v>11</v>
      </c>
      <c r="E8782" s="4" t="s">
        <v>8</v>
      </c>
    </row>
    <row r="8783" spans="1:9">
      <c r="A8783" t="n">
        <v>82963</v>
      </c>
      <c r="B8783" s="38" t="n">
        <v>51</v>
      </c>
      <c r="C8783" s="7" t="n">
        <v>4</v>
      </c>
      <c r="D8783" s="7" t="n">
        <v>0</v>
      </c>
      <c r="E8783" s="7" t="s">
        <v>765</v>
      </c>
    </row>
    <row r="8784" spans="1:9">
      <c r="A8784" t="s">
        <v>4</v>
      </c>
      <c r="B8784" s="4" t="s">
        <v>5</v>
      </c>
      <c r="C8784" s="4" t="s">
        <v>11</v>
      </c>
    </row>
    <row r="8785" spans="1:8">
      <c r="A8785" t="n">
        <v>82982</v>
      </c>
      <c r="B8785" s="29" t="n">
        <v>16</v>
      </c>
      <c r="C8785" s="7" t="n">
        <v>0</v>
      </c>
    </row>
    <row r="8786" spans="1:8">
      <c r="A8786" t="s">
        <v>4</v>
      </c>
      <c r="B8786" s="4" t="s">
        <v>5</v>
      </c>
      <c r="C8786" s="4" t="s">
        <v>11</v>
      </c>
      <c r="D8786" s="4" t="s">
        <v>7</v>
      </c>
      <c r="E8786" s="4" t="s">
        <v>15</v>
      </c>
      <c r="F8786" s="4" t="s">
        <v>55</v>
      </c>
      <c r="G8786" s="4" t="s">
        <v>7</v>
      </c>
      <c r="H8786" s="4" t="s">
        <v>7</v>
      </c>
      <c r="I8786" s="4" t="s">
        <v>7</v>
      </c>
      <c r="J8786" s="4" t="s">
        <v>15</v>
      </c>
      <c r="K8786" s="4" t="s">
        <v>55</v>
      </c>
      <c r="L8786" s="4" t="s">
        <v>7</v>
      </c>
      <c r="M8786" s="4" t="s">
        <v>7</v>
      </c>
    </row>
    <row r="8787" spans="1:8">
      <c r="A8787" t="n">
        <v>82985</v>
      </c>
      <c r="B8787" s="55" t="n">
        <v>26</v>
      </c>
      <c r="C8787" s="7" t="n">
        <v>0</v>
      </c>
      <c r="D8787" s="7" t="n">
        <v>17</v>
      </c>
      <c r="E8787" s="7" t="n">
        <v>64021</v>
      </c>
      <c r="F8787" s="7" t="s">
        <v>766</v>
      </c>
      <c r="G8787" s="7" t="n">
        <v>2</v>
      </c>
      <c r="H8787" s="7" t="n">
        <v>3</v>
      </c>
      <c r="I8787" s="7" t="n">
        <v>17</v>
      </c>
      <c r="J8787" s="7" t="n">
        <v>64022</v>
      </c>
      <c r="K8787" s="7" t="s">
        <v>767</v>
      </c>
      <c r="L8787" s="7" t="n">
        <v>2</v>
      </c>
      <c r="M8787" s="7" t="n">
        <v>0</v>
      </c>
    </row>
    <row r="8788" spans="1:8">
      <c r="A8788" t="s">
        <v>4</v>
      </c>
      <c r="B8788" s="4" t="s">
        <v>5</v>
      </c>
    </row>
    <row r="8789" spans="1:8">
      <c r="A8789" t="n">
        <v>83155</v>
      </c>
      <c r="B8789" s="27" t="n">
        <v>28</v>
      </c>
    </row>
    <row r="8790" spans="1:8">
      <c r="A8790" t="s">
        <v>4</v>
      </c>
      <c r="B8790" s="4" t="s">
        <v>5</v>
      </c>
      <c r="C8790" s="4" t="s">
        <v>11</v>
      </c>
      <c r="D8790" s="4" t="s">
        <v>7</v>
      </c>
    </row>
    <row r="8791" spans="1:8">
      <c r="A8791" t="n">
        <v>83156</v>
      </c>
      <c r="B8791" s="68" t="n">
        <v>89</v>
      </c>
      <c r="C8791" s="7" t="n">
        <v>65533</v>
      </c>
      <c r="D8791" s="7" t="n">
        <v>1</v>
      </c>
    </row>
    <row r="8792" spans="1:8">
      <c r="A8792" t="s">
        <v>4</v>
      </c>
      <c r="B8792" s="4" t="s">
        <v>5</v>
      </c>
      <c r="C8792" s="4" t="s">
        <v>7</v>
      </c>
      <c r="D8792" s="4" t="s">
        <v>11</v>
      </c>
      <c r="E8792" s="4" t="s">
        <v>13</v>
      </c>
    </row>
    <row r="8793" spans="1:8">
      <c r="A8793" t="n">
        <v>83160</v>
      </c>
      <c r="B8793" s="23" t="n">
        <v>58</v>
      </c>
      <c r="C8793" s="7" t="n">
        <v>101</v>
      </c>
      <c r="D8793" s="7" t="n">
        <v>500</v>
      </c>
      <c r="E8793" s="7" t="n">
        <v>1</v>
      </c>
    </row>
    <row r="8794" spans="1:8">
      <c r="A8794" t="s">
        <v>4</v>
      </c>
      <c r="B8794" s="4" t="s">
        <v>5</v>
      </c>
      <c r="C8794" s="4" t="s">
        <v>7</v>
      </c>
      <c r="D8794" s="4" t="s">
        <v>11</v>
      </c>
    </row>
    <row r="8795" spans="1:8">
      <c r="A8795" t="n">
        <v>83168</v>
      </c>
      <c r="B8795" s="23" t="n">
        <v>58</v>
      </c>
      <c r="C8795" s="7" t="n">
        <v>254</v>
      </c>
      <c r="D8795" s="7" t="n">
        <v>0</v>
      </c>
    </row>
    <row r="8796" spans="1:8">
      <c r="A8796" t="s">
        <v>4</v>
      </c>
      <c r="B8796" s="4" t="s">
        <v>5</v>
      </c>
      <c r="C8796" s="4" t="s">
        <v>7</v>
      </c>
      <c r="D8796" s="4" t="s">
        <v>7</v>
      </c>
      <c r="E8796" s="4" t="s">
        <v>13</v>
      </c>
      <c r="F8796" s="4" t="s">
        <v>13</v>
      </c>
      <c r="G8796" s="4" t="s">
        <v>13</v>
      </c>
      <c r="H8796" s="4" t="s">
        <v>11</v>
      </c>
    </row>
    <row r="8797" spans="1:8">
      <c r="A8797" t="n">
        <v>83172</v>
      </c>
      <c r="B8797" s="51" t="n">
        <v>45</v>
      </c>
      <c r="C8797" s="7" t="n">
        <v>2</v>
      </c>
      <c r="D8797" s="7" t="n">
        <v>3</v>
      </c>
      <c r="E8797" s="7" t="n">
        <v>-7.3600001335144</v>
      </c>
      <c r="F8797" s="7" t="n">
        <v>6.44999980926514</v>
      </c>
      <c r="G8797" s="7" t="n">
        <v>29.8199996948242</v>
      </c>
      <c r="H8797" s="7" t="n">
        <v>0</v>
      </c>
    </row>
    <row r="8798" spans="1:8">
      <c r="A8798" t="s">
        <v>4</v>
      </c>
      <c r="B8798" s="4" t="s">
        <v>5</v>
      </c>
      <c r="C8798" s="4" t="s">
        <v>7</v>
      </c>
      <c r="D8798" s="4" t="s">
        <v>7</v>
      </c>
      <c r="E8798" s="4" t="s">
        <v>13</v>
      </c>
      <c r="F8798" s="4" t="s">
        <v>13</v>
      </c>
      <c r="G8798" s="4" t="s">
        <v>13</v>
      </c>
      <c r="H8798" s="4" t="s">
        <v>11</v>
      </c>
      <c r="I8798" s="4" t="s">
        <v>7</v>
      </c>
    </row>
    <row r="8799" spans="1:8">
      <c r="A8799" t="n">
        <v>83189</v>
      </c>
      <c r="B8799" s="51" t="n">
        <v>45</v>
      </c>
      <c r="C8799" s="7" t="n">
        <v>4</v>
      </c>
      <c r="D8799" s="7" t="n">
        <v>3</v>
      </c>
      <c r="E8799" s="7" t="n">
        <v>8.11999988555908</v>
      </c>
      <c r="F8799" s="7" t="n">
        <v>60.310001373291</v>
      </c>
      <c r="G8799" s="7" t="n">
        <v>354</v>
      </c>
      <c r="H8799" s="7" t="n">
        <v>0</v>
      </c>
      <c r="I8799" s="7" t="n">
        <v>0</v>
      </c>
    </row>
    <row r="8800" spans="1:8">
      <c r="A8800" t="s">
        <v>4</v>
      </c>
      <c r="B8800" s="4" t="s">
        <v>5</v>
      </c>
      <c r="C8800" s="4" t="s">
        <v>7</v>
      </c>
      <c r="D8800" s="4" t="s">
        <v>7</v>
      </c>
      <c r="E8800" s="4" t="s">
        <v>13</v>
      </c>
      <c r="F8800" s="4" t="s">
        <v>11</v>
      </c>
    </row>
    <row r="8801" spans="1:13">
      <c r="A8801" t="n">
        <v>83207</v>
      </c>
      <c r="B8801" s="51" t="n">
        <v>45</v>
      </c>
      <c r="C8801" s="7" t="n">
        <v>5</v>
      </c>
      <c r="D8801" s="7" t="n">
        <v>3</v>
      </c>
      <c r="E8801" s="7" t="n">
        <v>0.800000011920929</v>
      </c>
      <c r="F8801" s="7" t="n">
        <v>0</v>
      </c>
    </row>
    <row r="8802" spans="1:13">
      <c r="A8802" t="s">
        <v>4</v>
      </c>
      <c r="B8802" s="4" t="s">
        <v>5</v>
      </c>
      <c r="C8802" s="4" t="s">
        <v>7</v>
      </c>
      <c r="D8802" s="4" t="s">
        <v>7</v>
      </c>
      <c r="E8802" s="4" t="s">
        <v>13</v>
      </c>
      <c r="F8802" s="4" t="s">
        <v>11</v>
      </c>
    </row>
    <row r="8803" spans="1:13">
      <c r="A8803" t="n">
        <v>83216</v>
      </c>
      <c r="B8803" s="51" t="n">
        <v>45</v>
      </c>
      <c r="C8803" s="7" t="n">
        <v>11</v>
      </c>
      <c r="D8803" s="7" t="n">
        <v>3</v>
      </c>
      <c r="E8803" s="7" t="n">
        <v>40.2999992370605</v>
      </c>
      <c r="F8803" s="7" t="n">
        <v>0</v>
      </c>
    </row>
    <row r="8804" spans="1:13">
      <c r="A8804" t="s">
        <v>4</v>
      </c>
      <c r="B8804" s="4" t="s">
        <v>5</v>
      </c>
      <c r="C8804" s="4" t="s">
        <v>7</v>
      </c>
      <c r="D8804" s="4" t="s">
        <v>11</v>
      </c>
      <c r="E8804" s="4" t="s">
        <v>8</v>
      </c>
      <c r="F8804" s="4" t="s">
        <v>8</v>
      </c>
      <c r="G8804" s="4" t="s">
        <v>8</v>
      </c>
      <c r="H8804" s="4" t="s">
        <v>8</v>
      </c>
    </row>
    <row r="8805" spans="1:13">
      <c r="A8805" t="n">
        <v>83225</v>
      </c>
      <c r="B8805" s="38" t="n">
        <v>51</v>
      </c>
      <c r="C8805" s="7" t="n">
        <v>3</v>
      </c>
      <c r="D8805" s="7" t="n">
        <v>0</v>
      </c>
      <c r="E8805" s="7" t="s">
        <v>154</v>
      </c>
      <c r="F8805" s="7" t="s">
        <v>155</v>
      </c>
      <c r="G8805" s="7" t="s">
        <v>78</v>
      </c>
      <c r="H8805" s="7" t="s">
        <v>79</v>
      </c>
    </row>
    <row r="8806" spans="1:13">
      <c r="A8806" t="s">
        <v>4</v>
      </c>
      <c r="B8806" s="4" t="s">
        <v>5</v>
      </c>
      <c r="C8806" s="4" t="s">
        <v>7</v>
      </c>
      <c r="D8806" s="4" t="s">
        <v>11</v>
      </c>
    </row>
    <row r="8807" spans="1:13">
      <c r="A8807" t="n">
        <v>83238</v>
      </c>
      <c r="B8807" s="23" t="n">
        <v>58</v>
      </c>
      <c r="C8807" s="7" t="n">
        <v>255</v>
      </c>
      <c r="D8807" s="7" t="n">
        <v>0</v>
      </c>
    </row>
    <row r="8808" spans="1:13">
      <c r="A8808" t="s">
        <v>4</v>
      </c>
      <c r="B8808" s="4" t="s">
        <v>5</v>
      </c>
      <c r="C8808" s="4" t="s">
        <v>7</v>
      </c>
      <c r="D8808" s="4" t="s">
        <v>11</v>
      </c>
      <c r="E8808" s="4" t="s">
        <v>8</v>
      </c>
    </row>
    <row r="8809" spans="1:13">
      <c r="A8809" t="n">
        <v>83242</v>
      </c>
      <c r="B8809" s="38" t="n">
        <v>51</v>
      </c>
      <c r="C8809" s="7" t="n">
        <v>4</v>
      </c>
      <c r="D8809" s="7" t="n">
        <v>11</v>
      </c>
      <c r="E8809" s="7" t="s">
        <v>461</v>
      </c>
    </row>
    <row r="8810" spans="1:13">
      <c r="A8810" t="s">
        <v>4</v>
      </c>
      <c r="B8810" s="4" t="s">
        <v>5</v>
      </c>
      <c r="C8810" s="4" t="s">
        <v>11</v>
      </c>
    </row>
    <row r="8811" spans="1:13">
      <c r="A8811" t="n">
        <v>83262</v>
      </c>
      <c r="B8811" s="29" t="n">
        <v>16</v>
      </c>
      <c r="C8811" s="7" t="n">
        <v>0</v>
      </c>
    </row>
    <row r="8812" spans="1:13">
      <c r="A8812" t="s">
        <v>4</v>
      </c>
      <c r="B8812" s="4" t="s">
        <v>5</v>
      </c>
      <c r="C8812" s="4" t="s">
        <v>11</v>
      </c>
      <c r="D8812" s="4" t="s">
        <v>7</v>
      </c>
      <c r="E8812" s="4" t="s">
        <v>15</v>
      </c>
      <c r="F8812" s="4" t="s">
        <v>55</v>
      </c>
      <c r="G8812" s="4" t="s">
        <v>7</v>
      </c>
      <c r="H8812" s="4" t="s">
        <v>7</v>
      </c>
      <c r="I8812" s="4" t="s">
        <v>7</v>
      </c>
      <c r="J8812" s="4" t="s">
        <v>15</v>
      </c>
      <c r="K8812" s="4" t="s">
        <v>55</v>
      </c>
      <c r="L8812" s="4" t="s">
        <v>7</v>
      </c>
      <c r="M8812" s="4" t="s">
        <v>7</v>
      </c>
    </row>
    <row r="8813" spans="1:13">
      <c r="A8813" t="n">
        <v>83265</v>
      </c>
      <c r="B8813" s="55" t="n">
        <v>26</v>
      </c>
      <c r="C8813" s="7" t="n">
        <v>11</v>
      </c>
      <c r="D8813" s="7" t="n">
        <v>17</v>
      </c>
      <c r="E8813" s="7" t="n">
        <v>10818</v>
      </c>
      <c r="F8813" s="7" t="s">
        <v>362</v>
      </c>
      <c r="G8813" s="7" t="n">
        <v>2</v>
      </c>
      <c r="H8813" s="7" t="n">
        <v>3</v>
      </c>
      <c r="I8813" s="7" t="n">
        <v>17</v>
      </c>
      <c r="J8813" s="7" t="n">
        <v>10819</v>
      </c>
      <c r="K8813" s="7" t="s">
        <v>768</v>
      </c>
      <c r="L8813" s="7" t="n">
        <v>2</v>
      </c>
      <c r="M8813" s="7" t="n">
        <v>0</v>
      </c>
    </row>
    <row r="8814" spans="1:13">
      <c r="A8814" t="s">
        <v>4</v>
      </c>
      <c r="B8814" s="4" t="s">
        <v>5</v>
      </c>
    </row>
    <row r="8815" spans="1:13">
      <c r="A8815" t="n">
        <v>83321</v>
      </c>
      <c r="B8815" s="27" t="n">
        <v>28</v>
      </c>
    </row>
    <row r="8816" spans="1:13">
      <c r="A8816" t="s">
        <v>4</v>
      </c>
      <c r="B8816" s="4" t="s">
        <v>5</v>
      </c>
      <c r="C8816" s="4" t="s">
        <v>7</v>
      </c>
      <c r="D8816" s="4" t="s">
        <v>11</v>
      </c>
      <c r="E8816" s="4" t="s">
        <v>8</v>
      </c>
      <c r="F8816" s="4" t="s">
        <v>8</v>
      </c>
      <c r="G8816" s="4" t="s">
        <v>8</v>
      </c>
      <c r="H8816" s="4" t="s">
        <v>8</v>
      </c>
    </row>
    <row r="8817" spans="1:13">
      <c r="A8817" t="n">
        <v>83322</v>
      </c>
      <c r="B8817" s="38" t="n">
        <v>51</v>
      </c>
      <c r="C8817" s="7" t="n">
        <v>3</v>
      </c>
      <c r="D8817" s="7" t="n">
        <v>11</v>
      </c>
      <c r="E8817" s="7" t="s">
        <v>769</v>
      </c>
      <c r="F8817" s="7" t="s">
        <v>218</v>
      </c>
      <c r="G8817" s="7" t="s">
        <v>16</v>
      </c>
      <c r="H8817" s="7" t="s">
        <v>68</v>
      </c>
    </row>
    <row r="8818" spans="1:13">
      <c r="A8818" t="s">
        <v>4</v>
      </c>
      <c r="B8818" s="4" t="s">
        <v>5</v>
      </c>
      <c r="C8818" s="4" t="s">
        <v>11</v>
      </c>
      <c r="D8818" s="4" t="s">
        <v>7</v>
      </c>
      <c r="E8818" s="4" t="s">
        <v>13</v>
      </c>
      <c r="F8818" s="4" t="s">
        <v>11</v>
      </c>
    </row>
    <row r="8819" spans="1:13">
      <c r="A8819" t="n">
        <v>83333</v>
      </c>
      <c r="B8819" s="56" t="n">
        <v>59</v>
      </c>
      <c r="C8819" s="7" t="n">
        <v>11</v>
      </c>
      <c r="D8819" s="7" t="n">
        <v>9</v>
      </c>
      <c r="E8819" s="7" t="n">
        <v>0.150000005960464</v>
      </c>
      <c r="F8819" s="7" t="n">
        <v>0</v>
      </c>
    </row>
    <row r="8820" spans="1:13">
      <c r="A8820" t="s">
        <v>4</v>
      </c>
      <c r="B8820" s="4" t="s">
        <v>5</v>
      </c>
      <c r="C8820" s="4" t="s">
        <v>11</v>
      </c>
      <c r="D8820" s="4" t="s">
        <v>7</v>
      </c>
      <c r="E8820" s="4" t="s">
        <v>8</v>
      </c>
      <c r="F8820" s="4" t="s">
        <v>13</v>
      </c>
      <c r="G8820" s="4" t="s">
        <v>13</v>
      </c>
      <c r="H8820" s="4" t="s">
        <v>13</v>
      </c>
    </row>
    <row r="8821" spans="1:13">
      <c r="A8821" t="n">
        <v>83343</v>
      </c>
      <c r="B8821" s="42" t="n">
        <v>48</v>
      </c>
      <c r="C8821" s="7" t="n">
        <v>11</v>
      </c>
      <c r="D8821" s="7" t="n">
        <v>0</v>
      </c>
      <c r="E8821" s="7" t="s">
        <v>703</v>
      </c>
      <c r="F8821" s="7" t="n">
        <v>-1</v>
      </c>
      <c r="G8821" s="7" t="n">
        <v>1</v>
      </c>
      <c r="H8821" s="7" t="n">
        <v>0</v>
      </c>
    </row>
    <row r="8822" spans="1:13">
      <c r="A8822" t="s">
        <v>4</v>
      </c>
      <c r="B8822" s="4" t="s">
        <v>5</v>
      </c>
      <c r="C8822" s="4" t="s">
        <v>11</v>
      </c>
    </row>
    <row r="8823" spans="1:13">
      <c r="A8823" t="n">
        <v>83369</v>
      </c>
      <c r="B8823" s="29" t="n">
        <v>16</v>
      </c>
      <c r="C8823" s="7" t="n">
        <v>2000</v>
      </c>
    </row>
    <row r="8824" spans="1:13">
      <c r="A8824" t="s">
        <v>4</v>
      </c>
      <c r="B8824" s="4" t="s">
        <v>5</v>
      </c>
      <c r="C8824" s="4" t="s">
        <v>7</v>
      </c>
      <c r="D8824" s="4" t="s">
        <v>11</v>
      </c>
      <c r="E8824" s="4" t="s">
        <v>8</v>
      </c>
    </row>
    <row r="8825" spans="1:13">
      <c r="A8825" t="n">
        <v>83372</v>
      </c>
      <c r="B8825" s="38" t="n">
        <v>51</v>
      </c>
      <c r="C8825" s="7" t="n">
        <v>4</v>
      </c>
      <c r="D8825" s="7" t="n">
        <v>11</v>
      </c>
      <c r="E8825" s="7" t="s">
        <v>770</v>
      </c>
    </row>
    <row r="8826" spans="1:13">
      <c r="A8826" t="s">
        <v>4</v>
      </c>
      <c r="B8826" s="4" t="s">
        <v>5</v>
      </c>
      <c r="C8826" s="4" t="s">
        <v>11</v>
      </c>
    </row>
    <row r="8827" spans="1:13">
      <c r="A8827" t="n">
        <v>83391</v>
      </c>
      <c r="B8827" s="29" t="n">
        <v>16</v>
      </c>
      <c r="C8827" s="7" t="n">
        <v>0</v>
      </c>
    </row>
    <row r="8828" spans="1:13">
      <c r="A8828" t="s">
        <v>4</v>
      </c>
      <c r="B8828" s="4" t="s">
        <v>5</v>
      </c>
      <c r="C8828" s="4" t="s">
        <v>11</v>
      </c>
      <c r="D8828" s="4" t="s">
        <v>7</v>
      </c>
      <c r="E8828" s="4" t="s">
        <v>15</v>
      </c>
      <c r="F8828" s="4" t="s">
        <v>55</v>
      </c>
      <c r="G8828" s="4" t="s">
        <v>7</v>
      </c>
      <c r="H8828" s="4" t="s">
        <v>7</v>
      </c>
      <c r="I8828" s="4" t="s">
        <v>7</v>
      </c>
      <c r="J8828" s="4" t="s">
        <v>15</v>
      </c>
      <c r="K8828" s="4" t="s">
        <v>55</v>
      </c>
      <c r="L8828" s="4" t="s">
        <v>7</v>
      </c>
      <c r="M8828" s="4" t="s">
        <v>7</v>
      </c>
    </row>
    <row r="8829" spans="1:13">
      <c r="A8829" t="n">
        <v>83394</v>
      </c>
      <c r="B8829" s="55" t="n">
        <v>26</v>
      </c>
      <c r="C8829" s="7" t="n">
        <v>11</v>
      </c>
      <c r="D8829" s="7" t="n">
        <v>17</v>
      </c>
      <c r="E8829" s="7" t="n">
        <v>10820</v>
      </c>
      <c r="F8829" s="7" t="s">
        <v>771</v>
      </c>
      <c r="G8829" s="7" t="n">
        <v>2</v>
      </c>
      <c r="H8829" s="7" t="n">
        <v>3</v>
      </c>
      <c r="I8829" s="7" t="n">
        <v>17</v>
      </c>
      <c r="J8829" s="7" t="n">
        <v>10821</v>
      </c>
      <c r="K8829" s="7" t="s">
        <v>772</v>
      </c>
      <c r="L8829" s="7" t="n">
        <v>2</v>
      </c>
      <c r="M8829" s="7" t="n">
        <v>0</v>
      </c>
    </row>
    <row r="8830" spans="1:13">
      <c r="A8830" t="s">
        <v>4</v>
      </c>
      <c r="B8830" s="4" t="s">
        <v>5</v>
      </c>
    </row>
    <row r="8831" spans="1:13">
      <c r="A8831" t="n">
        <v>83504</v>
      </c>
      <c r="B8831" s="27" t="n">
        <v>28</v>
      </c>
    </row>
    <row r="8832" spans="1:13">
      <c r="A8832" t="s">
        <v>4</v>
      </c>
      <c r="B8832" s="4" t="s">
        <v>5</v>
      </c>
      <c r="C8832" s="4" t="s">
        <v>7</v>
      </c>
      <c r="D8832" s="4" t="s">
        <v>11</v>
      </c>
      <c r="E8832" s="4" t="s">
        <v>8</v>
      </c>
    </row>
    <row r="8833" spans="1:13">
      <c r="A8833" t="n">
        <v>83505</v>
      </c>
      <c r="B8833" s="38" t="n">
        <v>51</v>
      </c>
      <c r="C8833" s="7" t="n">
        <v>4</v>
      </c>
      <c r="D8833" s="7" t="n">
        <v>0</v>
      </c>
      <c r="E8833" s="7" t="s">
        <v>773</v>
      </c>
    </row>
    <row r="8834" spans="1:13">
      <c r="A8834" t="s">
        <v>4</v>
      </c>
      <c r="B8834" s="4" t="s">
        <v>5</v>
      </c>
      <c r="C8834" s="4" t="s">
        <v>11</v>
      </c>
    </row>
    <row r="8835" spans="1:13">
      <c r="A8835" t="n">
        <v>83524</v>
      </c>
      <c r="B8835" s="29" t="n">
        <v>16</v>
      </c>
      <c r="C8835" s="7" t="n">
        <v>0</v>
      </c>
    </row>
    <row r="8836" spans="1:13">
      <c r="A8836" t="s">
        <v>4</v>
      </c>
      <c r="B8836" s="4" t="s">
        <v>5</v>
      </c>
      <c r="C8836" s="4" t="s">
        <v>11</v>
      </c>
      <c r="D8836" s="4" t="s">
        <v>7</v>
      </c>
      <c r="E8836" s="4" t="s">
        <v>15</v>
      </c>
      <c r="F8836" s="4" t="s">
        <v>55</v>
      </c>
      <c r="G8836" s="4" t="s">
        <v>7</v>
      </c>
      <c r="H8836" s="4" t="s">
        <v>7</v>
      </c>
    </row>
    <row r="8837" spans="1:13">
      <c r="A8837" t="n">
        <v>83527</v>
      </c>
      <c r="B8837" s="55" t="n">
        <v>26</v>
      </c>
      <c r="C8837" s="7" t="n">
        <v>0</v>
      </c>
      <c r="D8837" s="7" t="n">
        <v>17</v>
      </c>
      <c r="E8837" s="7" t="n">
        <v>64023</v>
      </c>
      <c r="F8837" s="7" t="s">
        <v>774</v>
      </c>
      <c r="G8837" s="7" t="n">
        <v>2</v>
      </c>
      <c r="H8837" s="7" t="n">
        <v>0</v>
      </c>
    </row>
    <row r="8838" spans="1:13">
      <c r="A8838" t="s">
        <v>4</v>
      </c>
      <c r="B8838" s="4" t="s">
        <v>5</v>
      </c>
    </row>
    <row r="8839" spans="1:13">
      <c r="A8839" t="n">
        <v>83550</v>
      </c>
      <c r="B8839" s="27" t="n">
        <v>28</v>
      </c>
    </row>
    <row r="8840" spans="1:13">
      <c r="A8840" t="s">
        <v>4</v>
      </c>
      <c r="B8840" s="4" t="s">
        <v>5</v>
      </c>
      <c r="C8840" s="4" t="s">
        <v>7</v>
      </c>
      <c r="D8840" s="4" t="s">
        <v>11</v>
      </c>
      <c r="E8840" s="4" t="s">
        <v>8</v>
      </c>
    </row>
    <row r="8841" spans="1:13">
      <c r="A8841" t="n">
        <v>83551</v>
      </c>
      <c r="B8841" s="38" t="n">
        <v>51</v>
      </c>
      <c r="C8841" s="7" t="n">
        <v>4</v>
      </c>
      <c r="D8841" s="7" t="n">
        <v>11</v>
      </c>
      <c r="E8841" s="7" t="s">
        <v>775</v>
      </c>
    </row>
    <row r="8842" spans="1:13">
      <c r="A8842" t="s">
        <v>4</v>
      </c>
      <c r="B8842" s="4" t="s">
        <v>5</v>
      </c>
      <c r="C8842" s="4" t="s">
        <v>11</v>
      </c>
    </row>
    <row r="8843" spans="1:13">
      <c r="A8843" t="n">
        <v>83565</v>
      </c>
      <c r="B8843" s="29" t="n">
        <v>16</v>
      </c>
      <c r="C8843" s="7" t="n">
        <v>0</v>
      </c>
    </row>
    <row r="8844" spans="1:13">
      <c r="A8844" t="s">
        <v>4</v>
      </c>
      <c r="B8844" s="4" t="s">
        <v>5</v>
      </c>
      <c r="C8844" s="4" t="s">
        <v>11</v>
      </c>
      <c r="D8844" s="4" t="s">
        <v>7</v>
      </c>
      <c r="E8844" s="4" t="s">
        <v>15</v>
      </c>
      <c r="F8844" s="4" t="s">
        <v>55</v>
      </c>
      <c r="G8844" s="4" t="s">
        <v>7</v>
      </c>
      <c r="H8844" s="4" t="s">
        <v>7</v>
      </c>
    </row>
    <row r="8845" spans="1:13">
      <c r="A8845" t="n">
        <v>83568</v>
      </c>
      <c r="B8845" s="55" t="n">
        <v>26</v>
      </c>
      <c r="C8845" s="7" t="n">
        <v>11</v>
      </c>
      <c r="D8845" s="7" t="n">
        <v>17</v>
      </c>
      <c r="E8845" s="7" t="n">
        <v>10822</v>
      </c>
      <c r="F8845" s="7" t="s">
        <v>776</v>
      </c>
      <c r="G8845" s="7" t="n">
        <v>2</v>
      </c>
      <c r="H8845" s="7" t="n">
        <v>0</v>
      </c>
    </row>
    <row r="8846" spans="1:13">
      <c r="A8846" t="s">
        <v>4</v>
      </c>
      <c r="B8846" s="4" t="s">
        <v>5</v>
      </c>
    </row>
    <row r="8847" spans="1:13">
      <c r="A8847" t="n">
        <v>83653</v>
      </c>
      <c r="B8847" s="27" t="n">
        <v>28</v>
      </c>
    </row>
    <row r="8848" spans="1:13">
      <c r="A8848" t="s">
        <v>4</v>
      </c>
      <c r="B8848" s="4" t="s">
        <v>5</v>
      </c>
      <c r="C8848" s="4" t="s">
        <v>7</v>
      </c>
      <c r="D8848" s="4" t="s">
        <v>11</v>
      </c>
      <c r="E8848" s="4" t="s">
        <v>8</v>
      </c>
    </row>
    <row r="8849" spans="1:8">
      <c r="A8849" t="n">
        <v>83654</v>
      </c>
      <c r="B8849" s="38" t="n">
        <v>51</v>
      </c>
      <c r="C8849" s="7" t="n">
        <v>4</v>
      </c>
      <c r="D8849" s="7" t="n">
        <v>0</v>
      </c>
      <c r="E8849" s="7" t="s">
        <v>470</v>
      </c>
    </row>
    <row r="8850" spans="1:8">
      <c r="A8850" t="s">
        <v>4</v>
      </c>
      <c r="B8850" s="4" t="s">
        <v>5</v>
      </c>
      <c r="C8850" s="4" t="s">
        <v>11</v>
      </c>
    </row>
    <row r="8851" spans="1:8">
      <c r="A8851" t="n">
        <v>83668</v>
      </c>
      <c r="B8851" s="29" t="n">
        <v>16</v>
      </c>
      <c r="C8851" s="7" t="n">
        <v>0</v>
      </c>
    </row>
    <row r="8852" spans="1:8">
      <c r="A8852" t="s">
        <v>4</v>
      </c>
      <c r="B8852" s="4" t="s">
        <v>5</v>
      </c>
      <c r="C8852" s="4" t="s">
        <v>11</v>
      </c>
      <c r="D8852" s="4" t="s">
        <v>7</v>
      </c>
      <c r="E8852" s="4" t="s">
        <v>15</v>
      </c>
      <c r="F8852" s="4" t="s">
        <v>55</v>
      </c>
      <c r="G8852" s="4" t="s">
        <v>7</v>
      </c>
      <c r="H8852" s="4" t="s">
        <v>7</v>
      </c>
    </row>
    <row r="8853" spans="1:8">
      <c r="A8853" t="n">
        <v>83671</v>
      </c>
      <c r="B8853" s="55" t="n">
        <v>26</v>
      </c>
      <c r="C8853" s="7" t="n">
        <v>0</v>
      </c>
      <c r="D8853" s="7" t="n">
        <v>17</v>
      </c>
      <c r="E8853" s="7" t="n">
        <v>64024</v>
      </c>
      <c r="F8853" s="7" t="s">
        <v>777</v>
      </c>
      <c r="G8853" s="7" t="n">
        <v>2</v>
      </c>
      <c r="H8853" s="7" t="n">
        <v>0</v>
      </c>
    </row>
    <row r="8854" spans="1:8">
      <c r="A8854" t="s">
        <v>4</v>
      </c>
      <c r="B8854" s="4" t="s">
        <v>5</v>
      </c>
    </row>
    <row r="8855" spans="1:8">
      <c r="A8855" t="n">
        <v>83706</v>
      </c>
      <c r="B8855" s="27" t="n">
        <v>28</v>
      </c>
    </row>
    <row r="8856" spans="1:8">
      <c r="A8856" t="s">
        <v>4</v>
      </c>
      <c r="B8856" s="4" t="s">
        <v>5</v>
      </c>
      <c r="C8856" s="4" t="s">
        <v>11</v>
      </c>
      <c r="D8856" s="4" t="s">
        <v>7</v>
      </c>
    </row>
    <row r="8857" spans="1:8">
      <c r="A8857" t="n">
        <v>83707</v>
      </c>
      <c r="B8857" s="68" t="n">
        <v>89</v>
      </c>
      <c r="C8857" s="7" t="n">
        <v>65533</v>
      </c>
      <c r="D8857" s="7" t="n">
        <v>1</v>
      </c>
    </row>
    <row r="8858" spans="1:8">
      <c r="A8858" t="s">
        <v>4</v>
      </c>
      <c r="B8858" s="4" t="s">
        <v>5</v>
      </c>
      <c r="C8858" s="4" t="s">
        <v>7</v>
      </c>
      <c r="D8858" s="4" t="s">
        <v>11</v>
      </c>
      <c r="E8858" s="4" t="s">
        <v>13</v>
      </c>
    </row>
    <row r="8859" spans="1:8">
      <c r="A8859" t="n">
        <v>83711</v>
      </c>
      <c r="B8859" s="23" t="n">
        <v>58</v>
      </c>
      <c r="C8859" s="7" t="n">
        <v>101</v>
      </c>
      <c r="D8859" s="7" t="n">
        <v>500</v>
      </c>
      <c r="E8859" s="7" t="n">
        <v>1</v>
      </c>
    </row>
    <row r="8860" spans="1:8">
      <c r="A8860" t="s">
        <v>4</v>
      </c>
      <c r="B8860" s="4" t="s">
        <v>5</v>
      </c>
      <c r="C8860" s="4" t="s">
        <v>7</v>
      </c>
      <c r="D8860" s="4" t="s">
        <v>11</v>
      </c>
    </row>
    <row r="8861" spans="1:8">
      <c r="A8861" t="n">
        <v>83719</v>
      </c>
      <c r="B8861" s="23" t="n">
        <v>58</v>
      </c>
      <c r="C8861" s="7" t="n">
        <v>254</v>
      </c>
      <c r="D8861" s="7" t="n">
        <v>0</v>
      </c>
    </row>
    <row r="8862" spans="1:8">
      <c r="A8862" t="s">
        <v>4</v>
      </c>
      <c r="B8862" s="4" t="s">
        <v>5</v>
      </c>
      <c r="C8862" s="4" t="s">
        <v>11</v>
      </c>
      <c r="D8862" s="4" t="s">
        <v>13</v>
      </c>
      <c r="E8862" s="4" t="s">
        <v>13</v>
      </c>
      <c r="F8862" s="4" t="s">
        <v>13</v>
      </c>
      <c r="G8862" s="4" t="s">
        <v>11</v>
      </c>
      <c r="H8862" s="4" t="s">
        <v>11</v>
      </c>
    </row>
    <row r="8863" spans="1:8">
      <c r="A8863" t="n">
        <v>83723</v>
      </c>
      <c r="B8863" s="37" t="n">
        <v>60</v>
      </c>
      <c r="C8863" s="7" t="n">
        <v>0</v>
      </c>
      <c r="D8863" s="7" t="n">
        <v>0</v>
      </c>
      <c r="E8863" s="7" t="n">
        <v>0</v>
      </c>
      <c r="F8863" s="7" t="n">
        <v>0</v>
      </c>
      <c r="G8863" s="7" t="n">
        <v>0</v>
      </c>
      <c r="H8863" s="7" t="n">
        <v>1</v>
      </c>
    </row>
    <row r="8864" spans="1:8">
      <c r="A8864" t="s">
        <v>4</v>
      </c>
      <c r="B8864" s="4" t="s">
        <v>5</v>
      </c>
      <c r="C8864" s="4" t="s">
        <v>11</v>
      </c>
      <c r="D8864" s="4" t="s">
        <v>13</v>
      </c>
      <c r="E8864" s="4" t="s">
        <v>13</v>
      </c>
      <c r="F8864" s="4" t="s">
        <v>13</v>
      </c>
      <c r="G8864" s="4" t="s">
        <v>11</v>
      </c>
      <c r="H8864" s="4" t="s">
        <v>11</v>
      </c>
    </row>
    <row r="8865" spans="1:8">
      <c r="A8865" t="n">
        <v>83742</v>
      </c>
      <c r="B8865" s="37" t="n">
        <v>60</v>
      </c>
      <c r="C8865" s="7" t="n">
        <v>0</v>
      </c>
      <c r="D8865" s="7" t="n">
        <v>0</v>
      </c>
      <c r="E8865" s="7" t="n">
        <v>0</v>
      </c>
      <c r="F8865" s="7" t="n">
        <v>0</v>
      </c>
      <c r="G8865" s="7" t="n">
        <v>0</v>
      </c>
      <c r="H8865" s="7" t="n">
        <v>0</v>
      </c>
    </row>
    <row r="8866" spans="1:8">
      <c r="A8866" t="s">
        <v>4</v>
      </c>
      <c r="B8866" s="4" t="s">
        <v>5</v>
      </c>
      <c r="C8866" s="4" t="s">
        <v>11</v>
      </c>
      <c r="D8866" s="4" t="s">
        <v>11</v>
      </c>
      <c r="E8866" s="4" t="s">
        <v>11</v>
      </c>
    </row>
    <row r="8867" spans="1:8">
      <c r="A8867" t="n">
        <v>83761</v>
      </c>
      <c r="B8867" s="72" t="n">
        <v>61</v>
      </c>
      <c r="C8867" s="7" t="n">
        <v>0</v>
      </c>
      <c r="D8867" s="7" t="n">
        <v>65533</v>
      </c>
      <c r="E8867" s="7" t="n">
        <v>0</v>
      </c>
    </row>
    <row r="8868" spans="1:8">
      <c r="A8868" t="s">
        <v>4</v>
      </c>
      <c r="B8868" s="4" t="s">
        <v>5</v>
      </c>
      <c r="C8868" s="4" t="s">
        <v>11</v>
      </c>
      <c r="D8868" s="4" t="s">
        <v>13</v>
      </c>
      <c r="E8868" s="4" t="s">
        <v>13</v>
      </c>
      <c r="F8868" s="4" t="s">
        <v>13</v>
      </c>
      <c r="G8868" s="4" t="s">
        <v>11</v>
      </c>
      <c r="H8868" s="4" t="s">
        <v>11</v>
      </c>
    </row>
    <row r="8869" spans="1:8">
      <c r="A8869" t="n">
        <v>83768</v>
      </c>
      <c r="B8869" s="37" t="n">
        <v>60</v>
      </c>
      <c r="C8869" s="7" t="n">
        <v>11</v>
      </c>
      <c r="D8869" s="7" t="n">
        <v>0</v>
      </c>
      <c r="E8869" s="7" t="n">
        <v>0</v>
      </c>
      <c r="F8869" s="7" t="n">
        <v>0</v>
      </c>
      <c r="G8869" s="7" t="n">
        <v>0</v>
      </c>
      <c r="H8869" s="7" t="n">
        <v>1</v>
      </c>
    </row>
    <row r="8870" spans="1:8">
      <c r="A8870" t="s">
        <v>4</v>
      </c>
      <c r="B8870" s="4" t="s">
        <v>5</v>
      </c>
      <c r="C8870" s="4" t="s">
        <v>11</v>
      </c>
      <c r="D8870" s="4" t="s">
        <v>13</v>
      </c>
      <c r="E8870" s="4" t="s">
        <v>13</v>
      </c>
      <c r="F8870" s="4" t="s">
        <v>13</v>
      </c>
      <c r="G8870" s="4" t="s">
        <v>11</v>
      </c>
      <c r="H8870" s="4" t="s">
        <v>11</v>
      </c>
    </row>
    <row r="8871" spans="1:8">
      <c r="A8871" t="n">
        <v>83787</v>
      </c>
      <c r="B8871" s="37" t="n">
        <v>60</v>
      </c>
      <c r="C8871" s="7" t="n">
        <v>11</v>
      </c>
      <c r="D8871" s="7" t="n">
        <v>0</v>
      </c>
      <c r="E8871" s="7" t="n">
        <v>0</v>
      </c>
      <c r="F8871" s="7" t="n">
        <v>0</v>
      </c>
      <c r="G8871" s="7" t="n">
        <v>0</v>
      </c>
      <c r="H8871" s="7" t="n">
        <v>0</v>
      </c>
    </row>
    <row r="8872" spans="1:8">
      <c r="A8872" t="s">
        <v>4</v>
      </c>
      <c r="B8872" s="4" t="s">
        <v>5</v>
      </c>
      <c r="C8872" s="4" t="s">
        <v>11</v>
      </c>
      <c r="D8872" s="4" t="s">
        <v>11</v>
      </c>
      <c r="E8872" s="4" t="s">
        <v>11</v>
      </c>
    </row>
    <row r="8873" spans="1:8">
      <c r="A8873" t="n">
        <v>83806</v>
      </c>
      <c r="B8873" s="72" t="n">
        <v>61</v>
      </c>
      <c r="C8873" s="7" t="n">
        <v>11</v>
      </c>
      <c r="D8873" s="7" t="n">
        <v>65533</v>
      </c>
      <c r="E8873" s="7" t="n">
        <v>0</v>
      </c>
    </row>
    <row r="8874" spans="1:8">
      <c r="A8874" t="s">
        <v>4</v>
      </c>
      <c r="B8874" s="4" t="s">
        <v>5</v>
      </c>
      <c r="C8874" s="4" t="s">
        <v>7</v>
      </c>
      <c r="D8874" s="4" t="s">
        <v>7</v>
      </c>
      <c r="E8874" s="4" t="s">
        <v>13</v>
      </c>
      <c r="F8874" s="4" t="s">
        <v>13</v>
      </c>
      <c r="G8874" s="4" t="s">
        <v>13</v>
      </c>
      <c r="H8874" s="4" t="s">
        <v>11</v>
      </c>
    </row>
    <row r="8875" spans="1:8">
      <c r="A8875" t="n">
        <v>83813</v>
      </c>
      <c r="B8875" s="51" t="n">
        <v>45</v>
      </c>
      <c r="C8875" s="7" t="n">
        <v>2</v>
      </c>
      <c r="D8875" s="7" t="n">
        <v>3</v>
      </c>
      <c r="E8875" s="7" t="n">
        <v>-6.88000011444092</v>
      </c>
      <c r="F8875" s="7" t="n">
        <v>6.40000009536743</v>
      </c>
      <c r="G8875" s="7" t="n">
        <v>29.7700004577637</v>
      </c>
      <c r="H8875" s="7" t="n">
        <v>0</v>
      </c>
    </row>
    <row r="8876" spans="1:8">
      <c r="A8876" t="s">
        <v>4</v>
      </c>
      <c r="B8876" s="4" t="s">
        <v>5</v>
      </c>
      <c r="C8876" s="4" t="s">
        <v>7</v>
      </c>
      <c r="D8876" s="4" t="s">
        <v>7</v>
      </c>
      <c r="E8876" s="4" t="s">
        <v>13</v>
      </c>
      <c r="F8876" s="4" t="s">
        <v>13</v>
      </c>
      <c r="G8876" s="4" t="s">
        <v>13</v>
      </c>
      <c r="H8876" s="4" t="s">
        <v>11</v>
      </c>
      <c r="I8876" s="4" t="s">
        <v>7</v>
      </c>
    </row>
    <row r="8877" spans="1:8">
      <c r="A8877" t="n">
        <v>83830</v>
      </c>
      <c r="B8877" s="51" t="n">
        <v>45</v>
      </c>
      <c r="C8877" s="7" t="n">
        <v>4</v>
      </c>
      <c r="D8877" s="7" t="n">
        <v>3</v>
      </c>
      <c r="E8877" s="7" t="n">
        <v>11.8400001525879</v>
      </c>
      <c r="F8877" s="7" t="n">
        <v>154.470001220703</v>
      </c>
      <c r="G8877" s="7" t="n">
        <v>354</v>
      </c>
      <c r="H8877" s="7" t="n">
        <v>0</v>
      </c>
      <c r="I8877" s="7" t="n">
        <v>0</v>
      </c>
    </row>
    <row r="8878" spans="1:8">
      <c r="A8878" t="s">
        <v>4</v>
      </c>
      <c r="B8878" s="4" t="s">
        <v>5</v>
      </c>
      <c r="C8878" s="4" t="s">
        <v>7</v>
      </c>
      <c r="D8878" s="4" t="s">
        <v>7</v>
      </c>
      <c r="E8878" s="4" t="s">
        <v>13</v>
      </c>
      <c r="F8878" s="4" t="s">
        <v>11</v>
      </c>
    </row>
    <row r="8879" spans="1:8">
      <c r="A8879" t="n">
        <v>83848</v>
      </c>
      <c r="B8879" s="51" t="n">
        <v>45</v>
      </c>
      <c r="C8879" s="7" t="n">
        <v>5</v>
      </c>
      <c r="D8879" s="7" t="n">
        <v>3</v>
      </c>
      <c r="E8879" s="7" t="n">
        <v>1</v>
      </c>
      <c r="F8879" s="7" t="n">
        <v>0</v>
      </c>
    </row>
    <row r="8880" spans="1:8">
      <c r="A8880" t="s">
        <v>4</v>
      </c>
      <c r="B8880" s="4" t="s">
        <v>5</v>
      </c>
      <c r="C8880" s="4" t="s">
        <v>7</v>
      </c>
      <c r="D8880" s="4" t="s">
        <v>7</v>
      </c>
      <c r="E8880" s="4" t="s">
        <v>13</v>
      </c>
      <c r="F8880" s="4" t="s">
        <v>11</v>
      </c>
    </row>
    <row r="8881" spans="1:9">
      <c r="A8881" t="n">
        <v>83857</v>
      </c>
      <c r="B8881" s="51" t="n">
        <v>45</v>
      </c>
      <c r="C8881" s="7" t="n">
        <v>11</v>
      </c>
      <c r="D8881" s="7" t="n">
        <v>3</v>
      </c>
      <c r="E8881" s="7" t="n">
        <v>40.2999992370605</v>
      </c>
      <c r="F8881" s="7" t="n">
        <v>0</v>
      </c>
    </row>
    <row r="8882" spans="1:9">
      <c r="A8882" t="s">
        <v>4</v>
      </c>
      <c r="B8882" s="4" t="s">
        <v>5</v>
      </c>
      <c r="C8882" s="4" t="s">
        <v>7</v>
      </c>
      <c r="D8882" s="4" t="s">
        <v>7</v>
      </c>
      <c r="E8882" s="4" t="s">
        <v>13</v>
      </c>
      <c r="F8882" s="4" t="s">
        <v>13</v>
      </c>
      <c r="G8882" s="4" t="s">
        <v>13</v>
      </c>
      <c r="H8882" s="4" t="s">
        <v>11</v>
      </c>
    </row>
    <row r="8883" spans="1:9">
      <c r="A8883" t="n">
        <v>83866</v>
      </c>
      <c r="B8883" s="51" t="n">
        <v>45</v>
      </c>
      <c r="C8883" s="7" t="n">
        <v>2</v>
      </c>
      <c r="D8883" s="7" t="n">
        <v>3</v>
      </c>
      <c r="E8883" s="7" t="n">
        <v>-6.55999994277954</v>
      </c>
      <c r="F8883" s="7" t="n">
        <v>6.48000001907349</v>
      </c>
      <c r="G8883" s="7" t="n">
        <v>30.0900001525879</v>
      </c>
      <c r="H8883" s="7" t="n">
        <v>3000</v>
      </c>
    </row>
    <row r="8884" spans="1:9">
      <c r="A8884" t="s">
        <v>4</v>
      </c>
      <c r="B8884" s="4" t="s">
        <v>5</v>
      </c>
      <c r="C8884" s="4" t="s">
        <v>7</v>
      </c>
      <c r="D8884" s="4" t="s">
        <v>7</v>
      </c>
      <c r="E8884" s="4" t="s">
        <v>13</v>
      </c>
      <c r="F8884" s="4" t="s">
        <v>13</v>
      </c>
      <c r="G8884" s="4" t="s">
        <v>13</v>
      </c>
      <c r="H8884" s="4" t="s">
        <v>11</v>
      </c>
      <c r="I8884" s="4" t="s">
        <v>7</v>
      </c>
    </row>
    <row r="8885" spans="1:9">
      <c r="A8885" t="n">
        <v>83883</v>
      </c>
      <c r="B8885" s="51" t="n">
        <v>45</v>
      </c>
      <c r="C8885" s="7" t="n">
        <v>4</v>
      </c>
      <c r="D8885" s="7" t="n">
        <v>3</v>
      </c>
      <c r="E8885" s="7" t="n">
        <v>6.5</v>
      </c>
      <c r="F8885" s="7" t="n">
        <v>219.229995727539</v>
      </c>
      <c r="G8885" s="7" t="n">
        <v>354</v>
      </c>
      <c r="H8885" s="7" t="n">
        <v>3000</v>
      </c>
      <c r="I8885" s="7" t="n">
        <v>1</v>
      </c>
    </row>
    <row r="8886" spans="1:9">
      <c r="A8886" t="s">
        <v>4</v>
      </c>
      <c r="B8886" s="4" t="s">
        <v>5</v>
      </c>
      <c r="C8886" s="4" t="s">
        <v>11</v>
      </c>
      <c r="D8886" s="4" t="s">
        <v>7</v>
      </c>
      <c r="E8886" s="4" t="s">
        <v>8</v>
      </c>
      <c r="F8886" s="4" t="s">
        <v>13</v>
      </c>
      <c r="G8886" s="4" t="s">
        <v>13</v>
      </c>
      <c r="H8886" s="4" t="s">
        <v>13</v>
      </c>
    </row>
    <row r="8887" spans="1:9">
      <c r="A8887" t="n">
        <v>83901</v>
      </c>
      <c r="B8887" s="42" t="n">
        <v>48</v>
      </c>
      <c r="C8887" s="7" t="n">
        <v>0</v>
      </c>
      <c r="D8887" s="7" t="n">
        <v>0</v>
      </c>
      <c r="E8887" s="7" t="s">
        <v>210</v>
      </c>
      <c r="F8887" s="7" t="n">
        <v>0</v>
      </c>
      <c r="G8887" s="7" t="n">
        <v>1</v>
      </c>
      <c r="H8887" s="7" t="n">
        <v>0</v>
      </c>
    </row>
    <row r="8888" spans="1:9">
      <c r="A8888" t="s">
        <v>4</v>
      </c>
      <c r="B8888" s="4" t="s">
        <v>5</v>
      </c>
      <c r="C8888" s="4" t="s">
        <v>11</v>
      </c>
      <c r="D8888" s="4" t="s">
        <v>7</v>
      </c>
      <c r="E8888" s="4" t="s">
        <v>8</v>
      </c>
      <c r="F8888" s="4" t="s">
        <v>13</v>
      </c>
      <c r="G8888" s="4" t="s">
        <v>13</v>
      </c>
      <c r="H8888" s="4" t="s">
        <v>13</v>
      </c>
    </row>
    <row r="8889" spans="1:9">
      <c r="A8889" t="n">
        <v>83926</v>
      </c>
      <c r="B8889" s="42" t="n">
        <v>48</v>
      </c>
      <c r="C8889" s="7" t="n">
        <v>11</v>
      </c>
      <c r="D8889" s="7" t="n">
        <v>0</v>
      </c>
      <c r="E8889" s="7" t="s">
        <v>210</v>
      </c>
      <c r="F8889" s="7" t="n">
        <v>0</v>
      </c>
      <c r="G8889" s="7" t="n">
        <v>1</v>
      </c>
      <c r="H8889" s="7" t="n">
        <v>0</v>
      </c>
    </row>
    <row r="8890" spans="1:9">
      <c r="A8890" t="s">
        <v>4</v>
      </c>
      <c r="B8890" s="4" t="s">
        <v>5</v>
      </c>
      <c r="C8890" s="4" t="s">
        <v>7</v>
      </c>
      <c r="D8890" s="4" t="s">
        <v>11</v>
      </c>
      <c r="E8890" s="4" t="s">
        <v>8</v>
      </c>
      <c r="F8890" s="4" t="s">
        <v>8</v>
      </c>
      <c r="G8890" s="4" t="s">
        <v>8</v>
      </c>
      <c r="H8890" s="4" t="s">
        <v>8</v>
      </c>
    </row>
    <row r="8891" spans="1:9">
      <c r="A8891" t="n">
        <v>83951</v>
      </c>
      <c r="B8891" s="38" t="n">
        <v>51</v>
      </c>
      <c r="C8891" s="7" t="n">
        <v>3</v>
      </c>
      <c r="D8891" s="7" t="n">
        <v>11</v>
      </c>
      <c r="E8891" s="7" t="s">
        <v>371</v>
      </c>
      <c r="F8891" s="7" t="s">
        <v>79</v>
      </c>
      <c r="G8891" s="7" t="s">
        <v>16</v>
      </c>
      <c r="H8891" s="7" t="s">
        <v>68</v>
      </c>
    </row>
    <row r="8892" spans="1:9">
      <c r="A8892" t="s">
        <v>4</v>
      </c>
      <c r="B8892" s="4" t="s">
        <v>5</v>
      </c>
      <c r="C8892" s="4" t="s">
        <v>7</v>
      </c>
      <c r="D8892" s="4" t="s">
        <v>11</v>
      </c>
    </row>
    <row r="8893" spans="1:9">
      <c r="A8893" t="n">
        <v>83962</v>
      </c>
      <c r="B8893" s="23" t="n">
        <v>58</v>
      </c>
      <c r="C8893" s="7" t="n">
        <v>255</v>
      </c>
      <c r="D8893" s="7" t="n">
        <v>0</v>
      </c>
    </row>
    <row r="8894" spans="1:9">
      <c r="A8894" t="s">
        <v>4</v>
      </c>
      <c r="B8894" s="4" t="s">
        <v>5</v>
      </c>
      <c r="C8894" s="4" t="s">
        <v>11</v>
      </c>
      <c r="D8894" s="4" t="s">
        <v>11</v>
      </c>
      <c r="E8894" s="4" t="s">
        <v>13</v>
      </c>
      <c r="F8894" s="4" t="s">
        <v>13</v>
      </c>
      <c r="G8894" s="4" t="s">
        <v>13</v>
      </c>
      <c r="H8894" s="4" t="s">
        <v>13</v>
      </c>
      <c r="I8894" s="4" t="s">
        <v>7</v>
      </c>
      <c r="J8894" s="4" t="s">
        <v>11</v>
      </c>
    </row>
    <row r="8895" spans="1:9">
      <c r="A8895" t="n">
        <v>83966</v>
      </c>
      <c r="B8895" s="53" t="n">
        <v>55</v>
      </c>
      <c r="C8895" s="7" t="n">
        <v>11</v>
      </c>
      <c r="D8895" s="7" t="n">
        <v>65533</v>
      </c>
      <c r="E8895" s="7" t="n">
        <v>-7.01999998092651</v>
      </c>
      <c r="F8895" s="7" t="n">
        <v>5</v>
      </c>
      <c r="G8895" s="7" t="n">
        <v>29.8400001525879</v>
      </c>
      <c r="H8895" s="7" t="n">
        <v>1.20000004768372</v>
      </c>
      <c r="I8895" s="7" t="n">
        <v>1</v>
      </c>
      <c r="J8895" s="7" t="n">
        <v>0</v>
      </c>
    </row>
    <row r="8896" spans="1:9">
      <c r="A8896" t="s">
        <v>4</v>
      </c>
      <c r="B8896" s="4" t="s">
        <v>5</v>
      </c>
      <c r="C8896" s="4" t="s">
        <v>11</v>
      </c>
      <c r="D8896" s="4" t="s">
        <v>7</v>
      </c>
    </row>
    <row r="8897" spans="1:10">
      <c r="A8897" t="n">
        <v>83990</v>
      </c>
      <c r="B8897" s="54" t="n">
        <v>56</v>
      </c>
      <c r="C8897" s="7" t="n">
        <v>11</v>
      </c>
      <c r="D8897" s="7" t="n">
        <v>0</v>
      </c>
    </row>
    <row r="8898" spans="1:10">
      <c r="A8898" t="s">
        <v>4</v>
      </c>
      <c r="B8898" s="4" t="s">
        <v>5</v>
      </c>
      <c r="C8898" s="4" t="s">
        <v>13</v>
      </c>
    </row>
    <row r="8899" spans="1:10">
      <c r="A8899" t="n">
        <v>83994</v>
      </c>
      <c r="B8899" s="80" t="n">
        <v>68</v>
      </c>
      <c r="C8899" s="7" t="n">
        <v>0.800000011920929</v>
      </c>
    </row>
    <row r="8900" spans="1:10">
      <c r="A8900" t="s">
        <v>4</v>
      </c>
      <c r="B8900" s="4" t="s">
        <v>5</v>
      </c>
      <c r="C8900" s="4" t="s">
        <v>11</v>
      </c>
      <c r="D8900" s="4" t="s">
        <v>7</v>
      </c>
      <c r="E8900" s="4" t="s">
        <v>8</v>
      </c>
      <c r="F8900" s="4" t="s">
        <v>13</v>
      </c>
      <c r="G8900" s="4" t="s">
        <v>13</v>
      </c>
      <c r="H8900" s="4" t="s">
        <v>13</v>
      </c>
    </row>
    <row r="8901" spans="1:10">
      <c r="A8901" t="n">
        <v>83999</v>
      </c>
      <c r="B8901" s="42" t="n">
        <v>48</v>
      </c>
      <c r="C8901" s="7" t="n">
        <v>11</v>
      </c>
      <c r="D8901" s="7" t="n">
        <v>0</v>
      </c>
      <c r="E8901" s="7" t="s">
        <v>702</v>
      </c>
      <c r="F8901" s="7" t="n">
        <v>-1</v>
      </c>
      <c r="G8901" s="7" t="n">
        <v>1</v>
      </c>
      <c r="H8901" s="7" t="n">
        <v>0</v>
      </c>
    </row>
    <row r="8902" spans="1:10">
      <c r="A8902" t="s">
        <v>4</v>
      </c>
      <c r="B8902" s="4" t="s">
        <v>5</v>
      </c>
      <c r="C8902" s="4" t="s">
        <v>11</v>
      </c>
    </row>
    <row r="8903" spans="1:10">
      <c r="A8903" t="n">
        <v>84026</v>
      </c>
      <c r="B8903" s="29" t="n">
        <v>16</v>
      </c>
      <c r="C8903" s="7" t="n">
        <v>200</v>
      </c>
    </row>
    <row r="8904" spans="1:10">
      <c r="A8904" t="s">
        <v>4</v>
      </c>
      <c r="B8904" s="4" t="s">
        <v>5</v>
      </c>
      <c r="C8904" s="4" t="s">
        <v>7</v>
      </c>
      <c r="D8904" s="4" t="s">
        <v>11</v>
      </c>
      <c r="E8904" s="4" t="s">
        <v>13</v>
      </c>
      <c r="F8904" s="4" t="s">
        <v>11</v>
      </c>
      <c r="G8904" s="4" t="s">
        <v>15</v>
      </c>
      <c r="H8904" s="4" t="s">
        <v>15</v>
      </c>
      <c r="I8904" s="4" t="s">
        <v>11</v>
      </c>
      <c r="J8904" s="4" t="s">
        <v>11</v>
      </c>
      <c r="K8904" s="4" t="s">
        <v>15</v>
      </c>
      <c r="L8904" s="4" t="s">
        <v>15</v>
      </c>
      <c r="M8904" s="4" t="s">
        <v>15</v>
      </c>
      <c r="N8904" s="4" t="s">
        <v>15</v>
      </c>
      <c r="O8904" s="4" t="s">
        <v>8</v>
      </c>
    </row>
    <row r="8905" spans="1:10">
      <c r="A8905" t="n">
        <v>84029</v>
      </c>
      <c r="B8905" s="57" t="n">
        <v>50</v>
      </c>
      <c r="C8905" s="7" t="n">
        <v>0</v>
      </c>
      <c r="D8905" s="7" t="n">
        <v>2000</v>
      </c>
      <c r="E8905" s="7" t="n">
        <v>0.300000011920929</v>
      </c>
      <c r="F8905" s="7" t="n">
        <v>100</v>
      </c>
      <c r="G8905" s="7" t="n">
        <v>0</v>
      </c>
      <c r="H8905" s="7" t="n">
        <v>0</v>
      </c>
      <c r="I8905" s="7" t="n">
        <v>0</v>
      </c>
      <c r="J8905" s="7" t="n">
        <v>65533</v>
      </c>
      <c r="K8905" s="7" t="n">
        <v>0</v>
      </c>
      <c r="L8905" s="7" t="n">
        <v>0</v>
      </c>
      <c r="M8905" s="7" t="n">
        <v>0</v>
      </c>
      <c r="N8905" s="7" t="n">
        <v>0</v>
      </c>
      <c r="O8905" s="7" t="s">
        <v>16</v>
      </c>
    </row>
    <row r="8906" spans="1:10">
      <c r="A8906" t="s">
        <v>4</v>
      </c>
      <c r="B8906" s="4" t="s">
        <v>5</v>
      </c>
      <c r="C8906" s="4" t="s">
        <v>11</v>
      </c>
    </row>
    <row r="8907" spans="1:10">
      <c r="A8907" t="n">
        <v>84068</v>
      </c>
      <c r="B8907" s="29" t="n">
        <v>16</v>
      </c>
      <c r="C8907" s="7" t="n">
        <v>1200</v>
      </c>
    </row>
    <row r="8908" spans="1:10">
      <c r="A8908" t="s">
        <v>4</v>
      </c>
      <c r="B8908" s="4" t="s">
        <v>5</v>
      </c>
      <c r="C8908" s="4" t="s">
        <v>7</v>
      </c>
      <c r="D8908" s="4" t="s">
        <v>11</v>
      </c>
      <c r="E8908" s="4" t="s">
        <v>8</v>
      </c>
      <c r="F8908" s="4" t="s">
        <v>8</v>
      </c>
      <c r="G8908" s="4" t="s">
        <v>8</v>
      </c>
      <c r="H8908" s="4" t="s">
        <v>8</v>
      </c>
    </row>
    <row r="8909" spans="1:10">
      <c r="A8909" t="n">
        <v>84071</v>
      </c>
      <c r="B8909" s="38" t="n">
        <v>51</v>
      </c>
      <c r="C8909" s="7" t="n">
        <v>3</v>
      </c>
      <c r="D8909" s="7" t="n">
        <v>11</v>
      </c>
      <c r="E8909" s="7" t="s">
        <v>319</v>
      </c>
      <c r="F8909" s="7" t="s">
        <v>155</v>
      </c>
      <c r="G8909" s="7" t="s">
        <v>16</v>
      </c>
      <c r="H8909" s="7" t="s">
        <v>68</v>
      </c>
    </row>
    <row r="8910" spans="1:10">
      <c r="A8910" t="s">
        <v>4</v>
      </c>
      <c r="B8910" s="4" t="s">
        <v>5</v>
      </c>
      <c r="C8910" s="4" t="s">
        <v>7</v>
      </c>
      <c r="D8910" s="4" t="s">
        <v>11</v>
      </c>
      <c r="E8910" s="4" t="s">
        <v>8</v>
      </c>
    </row>
    <row r="8911" spans="1:10">
      <c r="A8911" t="n">
        <v>84082</v>
      </c>
      <c r="B8911" s="38" t="n">
        <v>51</v>
      </c>
      <c r="C8911" s="7" t="n">
        <v>4</v>
      </c>
      <c r="D8911" s="7" t="n">
        <v>11</v>
      </c>
      <c r="E8911" s="7" t="s">
        <v>778</v>
      </c>
    </row>
    <row r="8912" spans="1:10">
      <c r="A8912" t="s">
        <v>4</v>
      </c>
      <c r="B8912" s="4" t="s">
        <v>5</v>
      </c>
      <c r="C8912" s="4" t="s">
        <v>11</v>
      </c>
    </row>
    <row r="8913" spans="1:15">
      <c r="A8913" t="n">
        <v>84102</v>
      </c>
      <c r="B8913" s="29" t="n">
        <v>16</v>
      </c>
      <c r="C8913" s="7" t="n">
        <v>0</v>
      </c>
    </row>
    <row r="8914" spans="1:15">
      <c r="A8914" t="s">
        <v>4</v>
      </c>
      <c r="B8914" s="4" t="s">
        <v>5</v>
      </c>
      <c r="C8914" s="4" t="s">
        <v>11</v>
      </c>
      <c r="D8914" s="4" t="s">
        <v>7</v>
      </c>
      <c r="E8914" s="4" t="s">
        <v>15</v>
      </c>
      <c r="F8914" s="4" t="s">
        <v>55</v>
      </c>
      <c r="G8914" s="4" t="s">
        <v>7</v>
      </c>
      <c r="H8914" s="4" t="s">
        <v>7</v>
      </c>
      <c r="I8914" s="4" t="s">
        <v>7</v>
      </c>
    </row>
    <row r="8915" spans="1:15">
      <c r="A8915" t="n">
        <v>84105</v>
      </c>
      <c r="B8915" s="55" t="n">
        <v>26</v>
      </c>
      <c r="C8915" s="7" t="n">
        <v>11</v>
      </c>
      <c r="D8915" s="7" t="n">
        <v>17</v>
      </c>
      <c r="E8915" s="7" t="n">
        <v>10823</v>
      </c>
      <c r="F8915" s="7" t="s">
        <v>779</v>
      </c>
      <c r="G8915" s="7" t="n">
        <v>8</v>
      </c>
      <c r="H8915" s="7" t="n">
        <v>2</v>
      </c>
      <c r="I8915" s="7" t="n">
        <v>0</v>
      </c>
    </row>
    <row r="8916" spans="1:15">
      <c r="A8916" t="s">
        <v>4</v>
      </c>
      <c r="B8916" s="4" t="s">
        <v>5</v>
      </c>
      <c r="C8916" s="4" t="s">
        <v>11</v>
      </c>
    </row>
    <row r="8917" spans="1:15">
      <c r="A8917" t="n">
        <v>84122</v>
      </c>
      <c r="B8917" s="29" t="n">
        <v>16</v>
      </c>
      <c r="C8917" s="7" t="n">
        <v>1</v>
      </c>
    </row>
    <row r="8918" spans="1:15">
      <c r="A8918" t="s">
        <v>4</v>
      </c>
      <c r="B8918" s="4" t="s">
        <v>5</v>
      </c>
      <c r="C8918" s="4" t="s">
        <v>7</v>
      </c>
      <c r="D8918" s="4" t="s">
        <v>11</v>
      </c>
    </row>
    <row r="8919" spans="1:15">
      <c r="A8919" t="n">
        <v>84125</v>
      </c>
      <c r="B8919" s="57" t="n">
        <v>50</v>
      </c>
      <c r="C8919" s="7" t="n">
        <v>52</v>
      </c>
      <c r="D8919" s="7" t="n">
        <v>10823</v>
      </c>
    </row>
    <row r="8920" spans="1:15">
      <c r="A8920" t="s">
        <v>4</v>
      </c>
      <c r="B8920" s="4" t="s">
        <v>5</v>
      </c>
      <c r="C8920" s="4" t="s">
        <v>11</v>
      </c>
      <c r="D8920" s="4" t="s">
        <v>7</v>
      </c>
    </row>
    <row r="8921" spans="1:15">
      <c r="A8921" t="n">
        <v>84129</v>
      </c>
      <c r="B8921" s="68" t="n">
        <v>89</v>
      </c>
      <c r="C8921" s="7" t="n">
        <v>65533</v>
      </c>
      <c r="D8921" s="7" t="n">
        <v>0</v>
      </c>
    </row>
    <row r="8922" spans="1:15">
      <c r="A8922" t="s">
        <v>4</v>
      </c>
      <c r="B8922" s="4" t="s">
        <v>5</v>
      </c>
      <c r="C8922" s="4" t="s">
        <v>7</v>
      </c>
      <c r="D8922" s="4" t="s">
        <v>11</v>
      </c>
      <c r="E8922" s="4" t="s">
        <v>8</v>
      </c>
      <c r="F8922" s="4" t="s">
        <v>8</v>
      </c>
      <c r="G8922" s="4" t="s">
        <v>8</v>
      </c>
      <c r="H8922" s="4" t="s">
        <v>8</v>
      </c>
    </row>
    <row r="8923" spans="1:15">
      <c r="A8923" t="n">
        <v>84133</v>
      </c>
      <c r="B8923" s="38" t="n">
        <v>51</v>
      </c>
      <c r="C8923" s="7" t="n">
        <v>3</v>
      </c>
      <c r="D8923" s="7" t="n">
        <v>11</v>
      </c>
      <c r="E8923" s="7" t="s">
        <v>232</v>
      </c>
      <c r="F8923" s="7" t="s">
        <v>99</v>
      </c>
      <c r="G8923" s="7" t="s">
        <v>16</v>
      </c>
      <c r="H8923" s="7" t="s">
        <v>68</v>
      </c>
    </row>
    <row r="8924" spans="1:15">
      <c r="A8924" t="s">
        <v>4</v>
      </c>
      <c r="B8924" s="4" t="s">
        <v>5</v>
      </c>
      <c r="C8924" s="4" t="s">
        <v>11</v>
      </c>
      <c r="D8924" s="4" t="s">
        <v>15</v>
      </c>
      <c r="E8924" s="4" t="s">
        <v>7</v>
      </c>
    </row>
    <row r="8925" spans="1:15">
      <c r="A8925" t="n">
        <v>84144</v>
      </c>
      <c r="B8925" s="78" t="n">
        <v>35</v>
      </c>
      <c r="C8925" s="7" t="n">
        <v>11</v>
      </c>
      <c r="D8925" s="7" t="n">
        <v>0</v>
      </c>
      <c r="E8925" s="7" t="n">
        <v>0</v>
      </c>
    </row>
    <row r="8926" spans="1:15">
      <c r="A8926" t="s">
        <v>4</v>
      </c>
      <c r="B8926" s="4" t="s">
        <v>5</v>
      </c>
      <c r="C8926" s="4" t="s">
        <v>13</v>
      </c>
    </row>
    <row r="8927" spans="1:15">
      <c r="A8927" t="n">
        <v>84152</v>
      </c>
      <c r="B8927" s="80" t="n">
        <v>68</v>
      </c>
      <c r="C8927" s="7" t="n">
        <v>1</v>
      </c>
    </row>
    <row r="8928" spans="1:15">
      <c r="A8928" t="s">
        <v>4</v>
      </c>
      <c r="B8928" s="4" t="s">
        <v>5</v>
      </c>
      <c r="C8928" s="4" t="s">
        <v>7</v>
      </c>
      <c r="D8928" s="4" t="s">
        <v>11</v>
      </c>
      <c r="E8928" s="4" t="s">
        <v>8</v>
      </c>
      <c r="F8928" s="4" t="s">
        <v>8</v>
      </c>
      <c r="G8928" s="4" t="s">
        <v>8</v>
      </c>
      <c r="H8928" s="4" t="s">
        <v>8</v>
      </c>
    </row>
    <row r="8929" spans="1:9">
      <c r="A8929" t="n">
        <v>84157</v>
      </c>
      <c r="B8929" s="38" t="n">
        <v>51</v>
      </c>
      <c r="C8929" s="7" t="n">
        <v>3</v>
      </c>
      <c r="D8929" s="7" t="n">
        <v>0</v>
      </c>
      <c r="E8929" s="7" t="s">
        <v>154</v>
      </c>
      <c r="F8929" s="7" t="s">
        <v>155</v>
      </c>
      <c r="G8929" s="7" t="s">
        <v>78</v>
      </c>
      <c r="H8929" s="7" t="s">
        <v>79</v>
      </c>
    </row>
    <row r="8930" spans="1:9">
      <c r="A8930" t="s">
        <v>4</v>
      </c>
      <c r="B8930" s="4" t="s">
        <v>5</v>
      </c>
      <c r="C8930" s="4" t="s">
        <v>11</v>
      </c>
      <c r="D8930" s="4" t="s">
        <v>7</v>
      </c>
      <c r="E8930" s="4" t="s">
        <v>13</v>
      </c>
      <c r="F8930" s="4" t="s">
        <v>11</v>
      </c>
    </row>
    <row r="8931" spans="1:9">
      <c r="A8931" t="n">
        <v>84170</v>
      </c>
      <c r="B8931" s="56" t="n">
        <v>59</v>
      </c>
      <c r="C8931" s="7" t="n">
        <v>0</v>
      </c>
      <c r="D8931" s="7" t="n">
        <v>1</v>
      </c>
      <c r="E8931" s="7" t="n">
        <v>0.150000005960464</v>
      </c>
      <c r="F8931" s="7" t="n">
        <v>0</v>
      </c>
    </row>
    <row r="8932" spans="1:9">
      <c r="A8932" t="s">
        <v>4</v>
      </c>
      <c r="B8932" s="4" t="s">
        <v>5</v>
      </c>
      <c r="C8932" s="4" t="s">
        <v>11</v>
      </c>
    </row>
    <row r="8933" spans="1:9">
      <c r="A8933" t="n">
        <v>84180</v>
      </c>
      <c r="B8933" s="29" t="n">
        <v>16</v>
      </c>
      <c r="C8933" s="7" t="n">
        <v>1500</v>
      </c>
    </row>
    <row r="8934" spans="1:9">
      <c r="A8934" t="s">
        <v>4</v>
      </c>
      <c r="B8934" s="4" t="s">
        <v>5</v>
      </c>
      <c r="C8934" s="4" t="s">
        <v>11</v>
      </c>
      <c r="D8934" s="4" t="s">
        <v>7</v>
      </c>
      <c r="E8934" s="4" t="s">
        <v>8</v>
      </c>
      <c r="F8934" s="4" t="s">
        <v>13</v>
      </c>
      <c r="G8934" s="4" t="s">
        <v>13</v>
      </c>
      <c r="H8934" s="4" t="s">
        <v>13</v>
      </c>
    </row>
    <row r="8935" spans="1:9">
      <c r="A8935" t="n">
        <v>84183</v>
      </c>
      <c r="B8935" s="42" t="n">
        <v>48</v>
      </c>
      <c r="C8935" s="7" t="n">
        <v>11</v>
      </c>
      <c r="D8935" s="7" t="n">
        <v>0</v>
      </c>
      <c r="E8935" s="7" t="s">
        <v>700</v>
      </c>
      <c r="F8935" s="7" t="n">
        <v>-1</v>
      </c>
      <c r="G8935" s="7" t="n">
        <v>1</v>
      </c>
      <c r="H8935" s="7" t="n">
        <v>0</v>
      </c>
    </row>
    <row r="8936" spans="1:9">
      <c r="A8936" t="s">
        <v>4</v>
      </c>
      <c r="B8936" s="4" t="s">
        <v>5</v>
      </c>
      <c r="C8936" s="4" t="s">
        <v>11</v>
      </c>
      <c r="D8936" s="4" t="s">
        <v>7</v>
      </c>
      <c r="E8936" s="4" t="s">
        <v>8</v>
      </c>
      <c r="F8936" s="4" t="s">
        <v>13</v>
      </c>
      <c r="G8936" s="4" t="s">
        <v>13</v>
      </c>
      <c r="H8936" s="4" t="s">
        <v>13</v>
      </c>
    </row>
    <row r="8937" spans="1:9">
      <c r="A8937" t="n">
        <v>84210</v>
      </c>
      <c r="B8937" s="42" t="n">
        <v>48</v>
      </c>
      <c r="C8937" s="7" t="n">
        <v>0</v>
      </c>
      <c r="D8937" s="7" t="n">
        <v>0</v>
      </c>
      <c r="E8937" s="7" t="s">
        <v>700</v>
      </c>
      <c r="F8937" s="7" t="n">
        <v>-1</v>
      </c>
      <c r="G8937" s="7" t="n">
        <v>1</v>
      </c>
      <c r="H8937" s="7" t="n">
        <v>0</v>
      </c>
    </row>
    <row r="8938" spans="1:9">
      <c r="A8938" t="s">
        <v>4</v>
      </c>
      <c r="B8938" s="4" t="s">
        <v>5</v>
      </c>
      <c r="C8938" s="4" t="s">
        <v>11</v>
      </c>
      <c r="D8938" s="4" t="s">
        <v>15</v>
      </c>
      <c r="E8938" s="4" t="s">
        <v>7</v>
      </c>
    </row>
    <row r="8939" spans="1:9">
      <c r="A8939" t="n">
        <v>84237</v>
      </c>
      <c r="B8939" s="78" t="n">
        <v>35</v>
      </c>
      <c r="C8939" s="7" t="n">
        <v>11</v>
      </c>
      <c r="D8939" s="7" t="n">
        <v>0</v>
      </c>
      <c r="E8939" s="7" t="n">
        <v>0</v>
      </c>
    </row>
    <row r="8940" spans="1:9">
      <c r="A8940" t="s">
        <v>4</v>
      </c>
      <c r="B8940" s="4" t="s">
        <v>5</v>
      </c>
      <c r="C8940" s="4" t="s">
        <v>7</v>
      </c>
      <c r="D8940" s="4" t="s">
        <v>11</v>
      </c>
      <c r="E8940" s="4" t="s">
        <v>8</v>
      </c>
    </row>
    <row r="8941" spans="1:9">
      <c r="A8941" t="n">
        <v>84245</v>
      </c>
      <c r="B8941" s="38" t="n">
        <v>51</v>
      </c>
      <c r="C8941" s="7" t="n">
        <v>4</v>
      </c>
      <c r="D8941" s="7" t="n">
        <v>0</v>
      </c>
      <c r="E8941" s="7" t="s">
        <v>757</v>
      </c>
    </row>
    <row r="8942" spans="1:9">
      <c r="A8942" t="s">
        <v>4</v>
      </c>
      <c r="B8942" s="4" t="s">
        <v>5</v>
      </c>
      <c r="C8942" s="4" t="s">
        <v>11</v>
      </c>
    </row>
    <row r="8943" spans="1:9">
      <c r="A8943" t="n">
        <v>84264</v>
      </c>
      <c r="B8943" s="29" t="n">
        <v>16</v>
      </c>
      <c r="C8943" s="7" t="n">
        <v>0</v>
      </c>
    </row>
    <row r="8944" spans="1:9">
      <c r="A8944" t="s">
        <v>4</v>
      </c>
      <c r="B8944" s="4" t="s">
        <v>5</v>
      </c>
      <c r="C8944" s="4" t="s">
        <v>11</v>
      </c>
      <c r="D8944" s="4" t="s">
        <v>7</v>
      </c>
      <c r="E8944" s="4" t="s">
        <v>15</v>
      </c>
      <c r="F8944" s="4" t="s">
        <v>55</v>
      </c>
      <c r="G8944" s="4" t="s">
        <v>7</v>
      </c>
      <c r="H8944" s="4" t="s">
        <v>7</v>
      </c>
    </row>
    <row r="8945" spans="1:8">
      <c r="A8945" t="n">
        <v>84267</v>
      </c>
      <c r="B8945" s="55" t="n">
        <v>26</v>
      </c>
      <c r="C8945" s="7" t="n">
        <v>0</v>
      </c>
      <c r="D8945" s="7" t="n">
        <v>17</v>
      </c>
      <c r="E8945" s="7" t="n">
        <v>65271</v>
      </c>
      <c r="F8945" s="7" t="s">
        <v>362</v>
      </c>
      <c r="G8945" s="7" t="n">
        <v>2</v>
      </c>
      <c r="H8945" s="7" t="n">
        <v>0</v>
      </c>
    </row>
    <row r="8946" spans="1:8">
      <c r="A8946" t="s">
        <v>4</v>
      </c>
      <c r="B8946" s="4" t="s">
        <v>5</v>
      </c>
    </row>
    <row r="8947" spans="1:8">
      <c r="A8947" t="n">
        <v>84281</v>
      </c>
      <c r="B8947" s="27" t="n">
        <v>28</v>
      </c>
    </row>
    <row r="8948" spans="1:8">
      <c r="A8948" t="s">
        <v>4</v>
      </c>
      <c r="B8948" s="4" t="s">
        <v>5</v>
      </c>
      <c r="C8948" s="4" t="s">
        <v>11</v>
      </c>
      <c r="D8948" s="4" t="s">
        <v>7</v>
      </c>
    </row>
    <row r="8949" spans="1:8">
      <c r="A8949" t="n">
        <v>84282</v>
      </c>
      <c r="B8949" s="68" t="n">
        <v>89</v>
      </c>
      <c r="C8949" s="7" t="n">
        <v>65533</v>
      </c>
      <c r="D8949" s="7" t="n">
        <v>1</v>
      </c>
    </row>
    <row r="8950" spans="1:8">
      <c r="A8950" t="s">
        <v>4</v>
      </c>
      <c r="B8950" s="4" t="s">
        <v>5</v>
      </c>
      <c r="C8950" s="4" t="s">
        <v>7</v>
      </c>
      <c r="D8950" s="4" t="s">
        <v>11</v>
      </c>
      <c r="E8950" s="4" t="s">
        <v>13</v>
      </c>
    </row>
    <row r="8951" spans="1:8">
      <c r="A8951" t="n">
        <v>84286</v>
      </c>
      <c r="B8951" s="23" t="n">
        <v>58</v>
      </c>
      <c r="C8951" s="7" t="n">
        <v>101</v>
      </c>
      <c r="D8951" s="7" t="n">
        <v>500</v>
      </c>
      <c r="E8951" s="7" t="n">
        <v>1</v>
      </c>
    </row>
    <row r="8952" spans="1:8">
      <c r="A8952" t="s">
        <v>4</v>
      </c>
      <c r="B8952" s="4" t="s">
        <v>5</v>
      </c>
      <c r="C8952" s="4" t="s">
        <v>7</v>
      </c>
      <c r="D8952" s="4" t="s">
        <v>11</v>
      </c>
    </row>
    <row r="8953" spans="1:8">
      <c r="A8953" t="n">
        <v>84294</v>
      </c>
      <c r="B8953" s="23" t="n">
        <v>58</v>
      </c>
      <c r="C8953" s="7" t="n">
        <v>254</v>
      </c>
      <c r="D8953" s="7" t="n">
        <v>0</v>
      </c>
    </row>
    <row r="8954" spans="1:8">
      <c r="A8954" t="s">
        <v>4</v>
      </c>
      <c r="B8954" s="4" t="s">
        <v>5</v>
      </c>
      <c r="C8954" s="4" t="s">
        <v>7</v>
      </c>
      <c r="D8954" s="4" t="s">
        <v>7</v>
      </c>
      <c r="E8954" s="4" t="s">
        <v>13</v>
      </c>
      <c r="F8954" s="4" t="s">
        <v>13</v>
      </c>
      <c r="G8954" s="4" t="s">
        <v>13</v>
      </c>
      <c r="H8954" s="4" t="s">
        <v>11</v>
      </c>
    </row>
    <row r="8955" spans="1:8">
      <c r="A8955" t="n">
        <v>84298</v>
      </c>
      <c r="B8955" s="51" t="n">
        <v>45</v>
      </c>
      <c r="C8955" s="7" t="n">
        <v>2</v>
      </c>
      <c r="D8955" s="7" t="n">
        <v>3</v>
      </c>
      <c r="E8955" s="7" t="n">
        <v>-6.69999980926514</v>
      </c>
      <c r="F8955" s="7" t="n">
        <v>6.46000003814697</v>
      </c>
      <c r="G8955" s="7" t="n">
        <v>30.2000007629395</v>
      </c>
      <c r="H8955" s="7" t="n">
        <v>0</v>
      </c>
    </row>
    <row r="8956" spans="1:8">
      <c r="A8956" t="s">
        <v>4</v>
      </c>
      <c r="B8956" s="4" t="s">
        <v>5</v>
      </c>
      <c r="C8956" s="4" t="s">
        <v>7</v>
      </c>
      <c r="D8956" s="4" t="s">
        <v>7</v>
      </c>
      <c r="E8956" s="4" t="s">
        <v>13</v>
      </c>
      <c r="F8956" s="4" t="s">
        <v>13</v>
      </c>
      <c r="G8956" s="4" t="s">
        <v>13</v>
      </c>
      <c r="H8956" s="4" t="s">
        <v>11</v>
      </c>
    </row>
    <row r="8957" spans="1:8">
      <c r="A8957" t="n">
        <v>84315</v>
      </c>
      <c r="B8957" s="51" t="n">
        <v>45</v>
      </c>
      <c r="C8957" s="7" t="n">
        <v>2</v>
      </c>
      <c r="D8957" s="7" t="n">
        <v>3</v>
      </c>
      <c r="E8957" s="7" t="n">
        <v>-6.69999980926514</v>
      </c>
      <c r="F8957" s="7" t="n">
        <v>6.46000003814697</v>
      </c>
      <c r="G8957" s="7" t="n">
        <v>30.2000007629395</v>
      </c>
      <c r="H8957" s="7" t="n">
        <v>0</v>
      </c>
    </row>
    <row r="8958" spans="1:8">
      <c r="A8958" t="s">
        <v>4</v>
      </c>
      <c r="B8958" s="4" t="s">
        <v>5</v>
      </c>
      <c r="C8958" s="4" t="s">
        <v>7</v>
      </c>
      <c r="D8958" s="4" t="s">
        <v>7</v>
      </c>
      <c r="E8958" s="4" t="s">
        <v>13</v>
      </c>
      <c r="F8958" s="4" t="s">
        <v>13</v>
      </c>
      <c r="G8958" s="4" t="s">
        <v>13</v>
      </c>
      <c r="H8958" s="4" t="s">
        <v>11</v>
      </c>
      <c r="I8958" s="4" t="s">
        <v>7</v>
      </c>
    </row>
    <row r="8959" spans="1:8">
      <c r="A8959" t="n">
        <v>84332</v>
      </c>
      <c r="B8959" s="51" t="n">
        <v>45</v>
      </c>
      <c r="C8959" s="7" t="n">
        <v>4</v>
      </c>
      <c r="D8959" s="7" t="n">
        <v>3</v>
      </c>
      <c r="E8959" s="7" t="n">
        <v>353.309997558594</v>
      </c>
      <c r="F8959" s="7" t="n">
        <v>173.699996948242</v>
      </c>
      <c r="G8959" s="7" t="n">
        <v>354</v>
      </c>
      <c r="H8959" s="7" t="n">
        <v>0</v>
      </c>
      <c r="I8959" s="7" t="n">
        <v>0</v>
      </c>
    </row>
    <row r="8960" spans="1:8">
      <c r="A8960" t="s">
        <v>4</v>
      </c>
      <c r="B8960" s="4" t="s">
        <v>5</v>
      </c>
      <c r="C8960" s="4" t="s">
        <v>7</v>
      </c>
      <c r="D8960" s="4" t="s">
        <v>7</v>
      </c>
      <c r="E8960" s="4" t="s">
        <v>13</v>
      </c>
      <c r="F8960" s="4" t="s">
        <v>11</v>
      </c>
    </row>
    <row r="8961" spans="1:9">
      <c r="A8961" t="n">
        <v>84350</v>
      </c>
      <c r="B8961" s="51" t="n">
        <v>45</v>
      </c>
      <c r="C8961" s="7" t="n">
        <v>5</v>
      </c>
      <c r="D8961" s="7" t="n">
        <v>3</v>
      </c>
      <c r="E8961" s="7" t="n">
        <v>0.800000011920929</v>
      </c>
      <c r="F8961" s="7" t="n">
        <v>0</v>
      </c>
    </row>
    <row r="8962" spans="1:9">
      <c r="A8962" t="s">
        <v>4</v>
      </c>
      <c r="B8962" s="4" t="s">
        <v>5</v>
      </c>
      <c r="C8962" s="4" t="s">
        <v>7</v>
      </c>
      <c r="D8962" s="4" t="s">
        <v>7</v>
      </c>
      <c r="E8962" s="4" t="s">
        <v>13</v>
      </c>
      <c r="F8962" s="4" t="s">
        <v>11</v>
      </c>
    </row>
    <row r="8963" spans="1:9">
      <c r="A8963" t="n">
        <v>84359</v>
      </c>
      <c r="B8963" s="51" t="n">
        <v>45</v>
      </c>
      <c r="C8963" s="7" t="n">
        <v>11</v>
      </c>
      <c r="D8963" s="7" t="n">
        <v>3</v>
      </c>
      <c r="E8963" s="7" t="n">
        <v>40.2999992370605</v>
      </c>
      <c r="F8963" s="7" t="n">
        <v>0</v>
      </c>
    </row>
    <row r="8964" spans="1:9">
      <c r="A8964" t="s">
        <v>4</v>
      </c>
      <c r="B8964" s="4" t="s">
        <v>5</v>
      </c>
      <c r="C8964" s="4" t="s">
        <v>7</v>
      </c>
      <c r="D8964" s="4" t="s">
        <v>7</v>
      </c>
      <c r="E8964" s="4" t="s">
        <v>13</v>
      </c>
      <c r="F8964" s="4" t="s">
        <v>13</v>
      </c>
      <c r="G8964" s="4" t="s">
        <v>13</v>
      </c>
      <c r="H8964" s="4" t="s">
        <v>11</v>
      </c>
      <c r="I8964" s="4" t="s">
        <v>7</v>
      </c>
    </row>
    <row r="8965" spans="1:9">
      <c r="A8965" t="n">
        <v>84368</v>
      </c>
      <c r="B8965" s="51" t="n">
        <v>45</v>
      </c>
      <c r="C8965" s="7" t="n">
        <v>4</v>
      </c>
      <c r="D8965" s="7" t="n">
        <v>3</v>
      </c>
      <c r="E8965" s="7" t="n">
        <v>5.61999988555908</v>
      </c>
      <c r="F8965" s="7" t="n">
        <v>159.740005493164</v>
      </c>
      <c r="G8965" s="7" t="n">
        <v>354</v>
      </c>
      <c r="H8965" s="7" t="n">
        <v>20000</v>
      </c>
      <c r="I8965" s="7" t="n">
        <v>1</v>
      </c>
    </row>
    <row r="8966" spans="1:9">
      <c r="A8966" t="s">
        <v>4</v>
      </c>
      <c r="B8966" s="4" t="s">
        <v>5</v>
      </c>
      <c r="C8966" s="4" t="s">
        <v>7</v>
      </c>
      <c r="D8966" s="4" t="s">
        <v>7</v>
      </c>
      <c r="E8966" s="4" t="s">
        <v>13</v>
      </c>
      <c r="F8966" s="4" t="s">
        <v>11</v>
      </c>
    </row>
    <row r="8967" spans="1:9">
      <c r="A8967" t="n">
        <v>84386</v>
      </c>
      <c r="B8967" s="51" t="n">
        <v>45</v>
      </c>
      <c r="C8967" s="7" t="n">
        <v>5</v>
      </c>
      <c r="D8967" s="7" t="n">
        <v>3</v>
      </c>
      <c r="E8967" s="7" t="n">
        <v>0.800000011920929</v>
      </c>
      <c r="F8967" s="7" t="n">
        <v>0</v>
      </c>
    </row>
    <row r="8968" spans="1:9">
      <c r="A8968" t="s">
        <v>4</v>
      </c>
      <c r="B8968" s="4" t="s">
        <v>5</v>
      </c>
      <c r="C8968" s="4" t="s">
        <v>7</v>
      </c>
      <c r="D8968" s="4" t="s">
        <v>7</v>
      </c>
      <c r="E8968" s="4" t="s">
        <v>13</v>
      </c>
      <c r="F8968" s="4" t="s">
        <v>11</v>
      </c>
    </row>
    <row r="8969" spans="1:9">
      <c r="A8969" t="n">
        <v>84395</v>
      </c>
      <c r="B8969" s="51" t="n">
        <v>45</v>
      </c>
      <c r="C8969" s="7" t="n">
        <v>11</v>
      </c>
      <c r="D8969" s="7" t="n">
        <v>3</v>
      </c>
      <c r="E8969" s="7" t="n">
        <v>40.2999992370605</v>
      </c>
      <c r="F8969" s="7" t="n">
        <v>0</v>
      </c>
    </row>
    <row r="8970" spans="1:9">
      <c r="A8970" t="s">
        <v>4</v>
      </c>
      <c r="B8970" s="4" t="s">
        <v>5</v>
      </c>
      <c r="C8970" s="4" t="s">
        <v>11</v>
      </c>
      <c r="D8970" s="4" t="s">
        <v>15</v>
      </c>
    </row>
    <row r="8971" spans="1:9">
      <c r="A8971" t="n">
        <v>84404</v>
      </c>
      <c r="B8971" s="39" t="n">
        <v>43</v>
      </c>
      <c r="C8971" s="7" t="n">
        <v>0</v>
      </c>
      <c r="D8971" s="7" t="n">
        <v>1</v>
      </c>
    </row>
    <row r="8972" spans="1:9">
      <c r="A8972" t="s">
        <v>4</v>
      </c>
      <c r="B8972" s="4" t="s">
        <v>5</v>
      </c>
      <c r="C8972" s="4" t="s">
        <v>11</v>
      </c>
      <c r="D8972" s="4" t="s">
        <v>15</v>
      </c>
    </row>
    <row r="8973" spans="1:9">
      <c r="A8973" t="n">
        <v>84411</v>
      </c>
      <c r="B8973" s="63" t="n">
        <v>44</v>
      </c>
      <c r="C8973" s="7" t="n">
        <v>0</v>
      </c>
      <c r="D8973" s="7" t="n">
        <v>1</v>
      </c>
    </row>
    <row r="8974" spans="1:9">
      <c r="A8974" t="s">
        <v>4</v>
      </c>
      <c r="B8974" s="4" t="s">
        <v>5</v>
      </c>
      <c r="C8974" s="4" t="s">
        <v>7</v>
      </c>
      <c r="D8974" s="4" t="s">
        <v>11</v>
      </c>
    </row>
    <row r="8975" spans="1:9">
      <c r="A8975" t="n">
        <v>84418</v>
      </c>
      <c r="B8975" s="23" t="n">
        <v>58</v>
      </c>
      <c r="C8975" s="7" t="n">
        <v>255</v>
      </c>
      <c r="D8975" s="7" t="n">
        <v>0</v>
      </c>
    </row>
    <row r="8976" spans="1:9">
      <c r="A8976" t="s">
        <v>4</v>
      </c>
      <c r="B8976" s="4" t="s">
        <v>5</v>
      </c>
      <c r="C8976" s="4" t="s">
        <v>7</v>
      </c>
      <c r="D8976" s="4" t="s">
        <v>11</v>
      </c>
      <c r="E8976" s="4" t="s">
        <v>8</v>
      </c>
    </row>
    <row r="8977" spans="1:9">
      <c r="A8977" t="n">
        <v>84422</v>
      </c>
      <c r="B8977" s="38" t="n">
        <v>51</v>
      </c>
      <c r="C8977" s="7" t="n">
        <v>4</v>
      </c>
      <c r="D8977" s="7" t="n">
        <v>11</v>
      </c>
      <c r="E8977" s="7" t="s">
        <v>293</v>
      </c>
    </row>
    <row r="8978" spans="1:9">
      <c r="A8978" t="s">
        <v>4</v>
      </c>
      <c r="B8978" s="4" t="s">
        <v>5</v>
      </c>
      <c r="C8978" s="4" t="s">
        <v>11</v>
      </c>
    </row>
    <row r="8979" spans="1:9">
      <c r="A8979" t="n">
        <v>84441</v>
      </c>
      <c r="B8979" s="29" t="n">
        <v>16</v>
      </c>
      <c r="C8979" s="7" t="n">
        <v>0</v>
      </c>
    </row>
    <row r="8980" spans="1:9">
      <c r="A8980" t="s">
        <v>4</v>
      </c>
      <c r="B8980" s="4" t="s">
        <v>5</v>
      </c>
      <c r="C8980" s="4" t="s">
        <v>11</v>
      </c>
      <c r="D8980" s="4" t="s">
        <v>7</v>
      </c>
      <c r="E8980" s="4" t="s">
        <v>15</v>
      </c>
      <c r="F8980" s="4" t="s">
        <v>55</v>
      </c>
      <c r="G8980" s="4" t="s">
        <v>7</v>
      </c>
      <c r="H8980" s="4" t="s">
        <v>7</v>
      </c>
      <c r="I8980" s="4" t="s">
        <v>7</v>
      </c>
      <c r="J8980" s="4" t="s">
        <v>15</v>
      </c>
      <c r="K8980" s="4" t="s">
        <v>55</v>
      </c>
      <c r="L8980" s="4" t="s">
        <v>7</v>
      </c>
      <c r="M8980" s="4" t="s">
        <v>7</v>
      </c>
      <c r="N8980" s="4" t="s">
        <v>7</v>
      </c>
      <c r="O8980" s="4" t="s">
        <v>15</v>
      </c>
      <c r="P8980" s="4" t="s">
        <v>55</v>
      </c>
      <c r="Q8980" s="4" t="s">
        <v>7</v>
      </c>
      <c r="R8980" s="4" t="s">
        <v>7</v>
      </c>
    </row>
    <row r="8981" spans="1:9">
      <c r="A8981" t="n">
        <v>84444</v>
      </c>
      <c r="B8981" s="55" t="n">
        <v>26</v>
      </c>
      <c r="C8981" s="7" t="n">
        <v>11</v>
      </c>
      <c r="D8981" s="7" t="n">
        <v>17</v>
      </c>
      <c r="E8981" s="7" t="n">
        <v>10824</v>
      </c>
      <c r="F8981" s="7" t="s">
        <v>780</v>
      </c>
      <c r="G8981" s="7" t="n">
        <v>2</v>
      </c>
      <c r="H8981" s="7" t="n">
        <v>3</v>
      </c>
      <c r="I8981" s="7" t="n">
        <v>17</v>
      </c>
      <c r="J8981" s="7" t="n">
        <v>10825</v>
      </c>
      <c r="K8981" s="7" t="s">
        <v>781</v>
      </c>
      <c r="L8981" s="7" t="n">
        <v>2</v>
      </c>
      <c r="M8981" s="7" t="n">
        <v>3</v>
      </c>
      <c r="N8981" s="7" t="n">
        <v>17</v>
      </c>
      <c r="O8981" s="7" t="n">
        <v>10826</v>
      </c>
      <c r="P8981" s="7" t="s">
        <v>782</v>
      </c>
      <c r="Q8981" s="7" t="n">
        <v>2</v>
      </c>
      <c r="R8981" s="7" t="n">
        <v>0</v>
      </c>
    </row>
    <row r="8982" spans="1:9">
      <c r="A8982" t="s">
        <v>4</v>
      </c>
      <c r="B8982" s="4" t="s">
        <v>5</v>
      </c>
    </row>
    <row r="8983" spans="1:9">
      <c r="A8983" t="n">
        <v>84725</v>
      </c>
      <c r="B8983" s="27" t="n">
        <v>28</v>
      </c>
    </row>
    <row r="8984" spans="1:9">
      <c r="A8984" t="s">
        <v>4</v>
      </c>
      <c r="B8984" s="4" t="s">
        <v>5</v>
      </c>
      <c r="C8984" s="4" t="s">
        <v>7</v>
      </c>
      <c r="D8984" s="4" t="s">
        <v>11</v>
      </c>
      <c r="E8984" s="4" t="s">
        <v>8</v>
      </c>
    </row>
    <row r="8985" spans="1:9">
      <c r="A8985" t="n">
        <v>84726</v>
      </c>
      <c r="B8985" s="38" t="n">
        <v>51</v>
      </c>
      <c r="C8985" s="7" t="n">
        <v>4</v>
      </c>
      <c r="D8985" s="7" t="n">
        <v>0</v>
      </c>
      <c r="E8985" s="7" t="s">
        <v>783</v>
      </c>
    </row>
    <row r="8986" spans="1:9">
      <c r="A8986" t="s">
        <v>4</v>
      </c>
      <c r="B8986" s="4" t="s">
        <v>5</v>
      </c>
      <c r="C8986" s="4" t="s">
        <v>11</v>
      </c>
    </row>
    <row r="8987" spans="1:9">
      <c r="A8987" t="n">
        <v>84744</v>
      </c>
      <c r="B8987" s="29" t="n">
        <v>16</v>
      </c>
      <c r="C8987" s="7" t="n">
        <v>0</v>
      </c>
    </row>
    <row r="8988" spans="1:9">
      <c r="A8988" t="s">
        <v>4</v>
      </c>
      <c r="B8988" s="4" t="s">
        <v>5</v>
      </c>
      <c r="C8988" s="4" t="s">
        <v>11</v>
      </c>
      <c r="D8988" s="4" t="s">
        <v>7</v>
      </c>
      <c r="E8988" s="4" t="s">
        <v>15</v>
      </c>
      <c r="F8988" s="4" t="s">
        <v>55</v>
      </c>
      <c r="G8988" s="4" t="s">
        <v>7</v>
      </c>
      <c r="H8988" s="4" t="s">
        <v>7</v>
      </c>
    </row>
    <row r="8989" spans="1:9">
      <c r="A8989" t="n">
        <v>84747</v>
      </c>
      <c r="B8989" s="55" t="n">
        <v>26</v>
      </c>
      <c r="C8989" s="7" t="n">
        <v>0</v>
      </c>
      <c r="D8989" s="7" t="n">
        <v>17</v>
      </c>
      <c r="E8989" s="7" t="n">
        <v>64025</v>
      </c>
      <c r="F8989" s="7" t="s">
        <v>784</v>
      </c>
      <c r="G8989" s="7" t="n">
        <v>2</v>
      </c>
      <c r="H8989" s="7" t="n">
        <v>0</v>
      </c>
    </row>
    <row r="8990" spans="1:9">
      <c r="A8990" t="s">
        <v>4</v>
      </c>
      <c r="B8990" s="4" t="s">
        <v>5</v>
      </c>
    </row>
    <row r="8991" spans="1:9">
      <c r="A8991" t="n">
        <v>84767</v>
      </c>
      <c r="B8991" s="27" t="n">
        <v>28</v>
      </c>
    </row>
    <row r="8992" spans="1:9">
      <c r="A8992" t="s">
        <v>4</v>
      </c>
      <c r="B8992" s="4" t="s">
        <v>5</v>
      </c>
      <c r="C8992" s="4" t="s">
        <v>11</v>
      </c>
    </row>
    <row r="8993" spans="1:18">
      <c r="A8993" t="n">
        <v>84768</v>
      </c>
      <c r="B8993" s="29" t="n">
        <v>16</v>
      </c>
      <c r="C8993" s="7" t="n">
        <v>1000</v>
      </c>
    </row>
    <row r="8994" spans="1:18">
      <c r="A8994" t="s">
        <v>4</v>
      </c>
      <c r="B8994" s="4" t="s">
        <v>5</v>
      </c>
      <c r="C8994" s="4" t="s">
        <v>7</v>
      </c>
      <c r="D8994" s="4" t="s">
        <v>13</v>
      </c>
      <c r="E8994" s="4" t="s">
        <v>11</v>
      </c>
      <c r="F8994" s="4" t="s">
        <v>7</v>
      </c>
    </row>
    <row r="8995" spans="1:18">
      <c r="A8995" t="n">
        <v>84771</v>
      </c>
      <c r="B8995" s="13" t="n">
        <v>49</v>
      </c>
      <c r="C8995" s="7" t="n">
        <v>3</v>
      </c>
      <c r="D8995" s="7" t="n">
        <v>1</v>
      </c>
      <c r="E8995" s="7" t="n">
        <v>1000</v>
      </c>
      <c r="F8995" s="7" t="n">
        <v>0</v>
      </c>
    </row>
    <row r="8996" spans="1:18">
      <c r="A8996" t="s">
        <v>4</v>
      </c>
      <c r="B8996" s="4" t="s">
        <v>5</v>
      </c>
      <c r="C8996" s="4" t="s">
        <v>7</v>
      </c>
      <c r="D8996" s="4" t="s">
        <v>11</v>
      </c>
      <c r="E8996" s="4" t="s">
        <v>13</v>
      </c>
    </row>
    <row r="8997" spans="1:18">
      <c r="A8997" t="n">
        <v>84780</v>
      </c>
      <c r="B8997" s="23" t="n">
        <v>58</v>
      </c>
      <c r="C8997" s="7" t="n">
        <v>101</v>
      </c>
      <c r="D8997" s="7" t="n">
        <v>1000</v>
      </c>
      <c r="E8997" s="7" t="n">
        <v>1</v>
      </c>
    </row>
    <row r="8998" spans="1:18">
      <c r="A8998" t="s">
        <v>4</v>
      </c>
      <c r="B8998" s="4" t="s">
        <v>5</v>
      </c>
      <c r="C8998" s="4" t="s">
        <v>7</v>
      </c>
      <c r="D8998" s="4" t="s">
        <v>11</v>
      </c>
    </row>
    <row r="8999" spans="1:18">
      <c r="A8999" t="n">
        <v>84788</v>
      </c>
      <c r="B8999" s="23" t="n">
        <v>58</v>
      </c>
      <c r="C8999" s="7" t="n">
        <v>254</v>
      </c>
      <c r="D8999" s="7" t="n">
        <v>0</v>
      </c>
    </row>
    <row r="9000" spans="1:18">
      <c r="A9000" t="s">
        <v>4</v>
      </c>
      <c r="B9000" s="4" t="s">
        <v>5</v>
      </c>
      <c r="C9000" s="4" t="s">
        <v>7</v>
      </c>
      <c r="D9000" s="4" t="s">
        <v>11</v>
      </c>
      <c r="E9000" s="4" t="s">
        <v>8</v>
      </c>
      <c r="F9000" s="4" t="s">
        <v>8</v>
      </c>
      <c r="G9000" s="4" t="s">
        <v>8</v>
      </c>
      <c r="H9000" s="4" t="s">
        <v>8</v>
      </c>
    </row>
    <row r="9001" spans="1:18">
      <c r="A9001" t="n">
        <v>84792</v>
      </c>
      <c r="B9001" s="38" t="n">
        <v>51</v>
      </c>
      <c r="C9001" s="7" t="n">
        <v>3</v>
      </c>
      <c r="D9001" s="7" t="n">
        <v>11</v>
      </c>
      <c r="E9001" s="7" t="s">
        <v>98</v>
      </c>
      <c r="F9001" s="7" t="s">
        <v>79</v>
      </c>
      <c r="G9001" s="7" t="s">
        <v>16</v>
      </c>
      <c r="H9001" s="7" t="s">
        <v>68</v>
      </c>
    </row>
    <row r="9002" spans="1:18">
      <c r="A9002" t="s">
        <v>4</v>
      </c>
      <c r="B9002" s="4" t="s">
        <v>5</v>
      </c>
      <c r="C9002" s="4" t="s">
        <v>11</v>
      </c>
      <c r="D9002" s="4" t="s">
        <v>7</v>
      </c>
      <c r="E9002" s="4" t="s">
        <v>8</v>
      </c>
      <c r="F9002" s="4" t="s">
        <v>13</v>
      </c>
      <c r="G9002" s="4" t="s">
        <v>13</v>
      </c>
      <c r="H9002" s="4" t="s">
        <v>13</v>
      </c>
    </row>
    <row r="9003" spans="1:18">
      <c r="A9003" t="n">
        <v>84803</v>
      </c>
      <c r="B9003" s="42" t="n">
        <v>48</v>
      </c>
      <c r="C9003" s="7" t="n">
        <v>0</v>
      </c>
      <c r="D9003" s="7" t="n">
        <v>0</v>
      </c>
      <c r="E9003" s="7" t="s">
        <v>583</v>
      </c>
      <c r="F9003" s="7" t="n">
        <v>0</v>
      </c>
      <c r="G9003" s="7" t="n">
        <v>1</v>
      </c>
      <c r="H9003" s="7" t="n">
        <v>0</v>
      </c>
    </row>
    <row r="9004" spans="1:18">
      <c r="A9004" t="s">
        <v>4</v>
      </c>
      <c r="B9004" s="4" t="s">
        <v>5</v>
      </c>
      <c r="C9004" s="4" t="s">
        <v>11</v>
      </c>
      <c r="D9004" s="4" t="s">
        <v>11</v>
      </c>
      <c r="E9004" s="4" t="s">
        <v>11</v>
      </c>
    </row>
    <row r="9005" spans="1:18">
      <c r="A9005" t="n">
        <v>84829</v>
      </c>
      <c r="B9005" s="72" t="n">
        <v>61</v>
      </c>
      <c r="C9005" s="7" t="n">
        <v>0</v>
      </c>
      <c r="D9005" s="7" t="n">
        <v>11</v>
      </c>
      <c r="E9005" s="7" t="n">
        <v>0</v>
      </c>
    </row>
    <row r="9006" spans="1:18">
      <c r="A9006" t="s">
        <v>4</v>
      </c>
      <c r="B9006" s="4" t="s">
        <v>5</v>
      </c>
      <c r="C9006" s="4" t="s">
        <v>7</v>
      </c>
    </row>
    <row r="9007" spans="1:18">
      <c r="A9007" t="n">
        <v>84836</v>
      </c>
      <c r="B9007" s="49" t="n">
        <v>116</v>
      </c>
      <c r="C9007" s="7" t="n">
        <v>0</v>
      </c>
    </row>
    <row r="9008" spans="1:18">
      <c r="A9008" t="s">
        <v>4</v>
      </c>
      <c r="B9008" s="4" t="s">
        <v>5</v>
      </c>
      <c r="C9008" s="4" t="s">
        <v>7</v>
      </c>
      <c r="D9008" s="4" t="s">
        <v>11</v>
      </c>
    </row>
    <row r="9009" spans="1:8">
      <c r="A9009" t="n">
        <v>84838</v>
      </c>
      <c r="B9009" s="49" t="n">
        <v>116</v>
      </c>
      <c r="C9009" s="7" t="n">
        <v>2</v>
      </c>
      <c r="D9009" s="7" t="n">
        <v>1</v>
      </c>
    </row>
    <row r="9010" spans="1:8">
      <c r="A9010" t="s">
        <v>4</v>
      </c>
      <c r="B9010" s="4" t="s">
        <v>5</v>
      </c>
      <c r="C9010" s="4" t="s">
        <v>7</v>
      </c>
      <c r="D9010" s="4" t="s">
        <v>15</v>
      </c>
    </row>
    <row r="9011" spans="1:8">
      <c r="A9011" t="n">
        <v>84842</v>
      </c>
      <c r="B9011" s="49" t="n">
        <v>116</v>
      </c>
      <c r="C9011" s="7" t="n">
        <v>5</v>
      </c>
      <c r="D9011" s="7" t="n">
        <v>1092616192</v>
      </c>
    </row>
    <row r="9012" spans="1:8">
      <c r="A9012" t="s">
        <v>4</v>
      </c>
      <c r="B9012" s="4" t="s">
        <v>5</v>
      </c>
      <c r="C9012" s="4" t="s">
        <v>7</v>
      </c>
      <c r="D9012" s="4" t="s">
        <v>11</v>
      </c>
    </row>
    <row r="9013" spans="1:8">
      <c r="A9013" t="n">
        <v>84848</v>
      </c>
      <c r="B9013" s="49" t="n">
        <v>116</v>
      </c>
      <c r="C9013" s="7" t="n">
        <v>6</v>
      </c>
      <c r="D9013" s="7" t="n">
        <v>1</v>
      </c>
    </row>
    <row r="9014" spans="1:8">
      <c r="A9014" t="s">
        <v>4</v>
      </c>
      <c r="B9014" s="4" t="s">
        <v>5</v>
      </c>
      <c r="C9014" s="4" t="s">
        <v>7</v>
      </c>
      <c r="D9014" s="4" t="s">
        <v>7</v>
      </c>
      <c r="E9014" s="4" t="s">
        <v>13</v>
      </c>
      <c r="F9014" s="4" t="s">
        <v>13</v>
      </c>
      <c r="G9014" s="4" t="s">
        <v>13</v>
      </c>
      <c r="H9014" s="4" t="s">
        <v>11</v>
      </c>
    </row>
    <row r="9015" spans="1:8">
      <c r="A9015" t="n">
        <v>84852</v>
      </c>
      <c r="B9015" s="51" t="n">
        <v>45</v>
      </c>
      <c r="C9015" s="7" t="n">
        <v>2</v>
      </c>
      <c r="D9015" s="7" t="n">
        <v>3</v>
      </c>
      <c r="E9015" s="7" t="n">
        <v>-6.67000007629395</v>
      </c>
      <c r="F9015" s="7" t="n">
        <v>6.42000007629395</v>
      </c>
      <c r="G9015" s="7" t="n">
        <v>29.8899993896484</v>
      </c>
      <c r="H9015" s="7" t="n">
        <v>0</v>
      </c>
    </row>
    <row r="9016" spans="1:8">
      <c r="A9016" t="s">
        <v>4</v>
      </c>
      <c r="B9016" s="4" t="s">
        <v>5</v>
      </c>
      <c r="C9016" s="4" t="s">
        <v>7</v>
      </c>
      <c r="D9016" s="4" t="s">
        <v>7</v>
      </c>
      <c r="E9016" s="4" t="s">
        <v>13</v>
      </c>
      <c r="F9016" s="4" t="s">
        <v>13</v>
      </c>
      <c r="G9016" s="4" t="s">
        <v>13</v>
      </c>
      <c r="H9016" s="4" t="s">
        <v>11</v>
      </c>
      <c r="I9016" s="4" t="s">
        <v>7</v>
      </c>
    </row>
    <row r="9017" spans="1:8">
      <c r="A9017" t="n">
        <v>84869</v>
      </c>
      <c r="B9017" s="51" t="n">
        <v>45</v>
      </c>
      <c r="C9017" s="7" t="n">
        <v>4</v>
      </c>
      <c r="D9017" s="7" t="n">
        <v>3</v>
      </c>
      <c r="E9017" s="7" t="n">
        <v>15.4700002670288</v>
      </c>
      <c r="F9017" s="7" t="n">
        <v>56.1100006103516</v>
      </c>
      <c r="G9017" s="7" t="n">
        <v>354</v>
      </c>
      <c r="H9017" s="7" t="n">
        <v>0</v>
      </c>
      <c r="I9017" s="7" t="n">
        <v>0</v>
      </c>
    </row>
    <row r="9018" spans="1:8">
      <c r="A9018" t="s">
        <v>4</v>
      </c>
      <c r="B9018" s="4" t="s">
        <v>5</v>
      </c>
      <c r="C9018" s="4" t="s">
        <v>7</v>
      </c>
      <c r="D9018" s="4" t="s">
        <v>7</v>
      </c>
      <c r="E9018" s="4" t="s">
        <v>13</v>
      </c>
      <c r="F9018" s="4" t="s">
        <v>11</v>
      </c>
    </row>
    <row r="9019" spans="1:8">
      <c r="A9019" t="n">
        <v>84887</v>
      </c>
      <c r="B9019" s="51" t="n">
        <v>45</v>
      </c>
      <c r="C9019" s="7" t="n">
        <v>5</v>
      </c>
      <c r="D9019" s="7" t="n">
        <v>3</v>
      </c>
      <c r="E9019" s="7" t="n">
        <v>1.5</v>
      </c>
      <c r="F9019" s="7" t="n">
        <v>0</v>
      </c>
    </row>
    <row r="9020" spans="1:8">
      <c r="A9020" t="s">
        <v>4</v>
      </c>
      <c r="B9020" s="4" t="s">
        <v>5</v>
      </c>
      <c r="C9020" s="4" t="s">
        <v>7</v>
      </c>
      <c r="D9020" s="4" t="s">
        <v>7</v>
      </c>
      <c r="E9020" s="4" t="s">
        <v>13</v>
      </c>
      <c r="F9020" s="4" t="s">
        <v>11</v>
      </c>
    </row>
    <row r="9021" spans="1:8">
      <c r="A9021" t="n">
        <v>84896</v>
      </c>
      <c r="B9021" s="51" t="n">
        <v>45</v>
      </c>
      <c r="C9021" s="7" t="n">
        <v>11</v>
      </c>
      <c r="D9021" s="7" t="n">
        <v>3</v>
      </c>
      <c r="E9021" s="7" t="n">
        <v>40.2999992370605</v>
      </c>
      <c r="F9021" s="7" t="n">
        <v>0</v>
      </c>
    </row>
    <row r="9022" spans="1:8">
      <c r="A9022" t="s">
        <v>4</v>
      </c>
      <c r="B9022" s="4" t="s">
        <v>5</v>
      </c>
      <c r="C9022" s="4" t="s">
        <v>7</v>
      </c>
      <c r="D9022" s="4" t="s">
        <v>7</v>
      </c>
      <c r="E9022" s="4" t="s">
        <v>13</v>
      </c>
      <c r="F9022" s="4" t="s">
        <v>13</v>
      </c>
      <c r="G9022" s="4" t="s">
        <v>13</v>
      </c>
      <c r="H9022" s="4" t="s">
        <v>11</v>
      </c>
    </row>
    <row r="9023" spans="1:8">
      <c r="A9023" t="n">
        <v>84905</v>
      </c>
      <c r="B9023" s="51" t="n">
        <v>45</v>
      </c>
      <c r="C9023" s="7" t="n">
        <v>2</v>
      </c>
      <c r="D9023" s="7" t="n">
        <v>3</v>
      </c>
      <c r="E9023" s="7" t="n">
        <v>-6.34000015258789</v>
      </c>
      <c r="F9023" s="7" t="n">
        <v>6.59000015258789</v>
      </c>
      <c r="G9023" s="7" t="n">
        <v>28.8899993896484</v>
      </c>
      <c r="H9023" s="7" t="n">
        <v>6000</v>
      </c>
    </row>
    <row r="9024" spans="1:8">
      <c r="A9024" t="s">
        <v>4</v>
      </c>
      <c r="B9024" s="4" t="s">
        <v>5</v>
      </c>
      <c r="C9024" s="4" t="s">
        <v>7</v>
      </c>
      <c r="D9024" s="4" t="s">
        <v>7</v>
      </c>
      <c r="E9024" s="4" t="s">
        <v>13</v>
      </c>
      <c r="F9024" s="4" t="s">
        <v>13</v>
      </c>
      <c r="G9024" s="4" t="s">
        <v>13</v>
      </c>
      <c r="H9024" s="4" t="s">
        <v>11</v>
      </c>
      <c r="I9024" s="4" t="s">
        <v>7</v>
      </c>
    </row>
    <row r="9025" spans="1:9">
      <c r="A9025" t="n">
        <v>84922</v>
      </c>
      <c r="B9025" s="51" t="n">
        <v>45</v>
      </c>
      <c r="C9025" s="7" t="n">
        <v>4</v>
      </c>
      <c r="D9025" s="7" t="n">
        <v>3</v>
      </c>
      <c r="E9025" s="7" t="n">
        <v>10.7700004577637</v>
      </c>
      <c r="F9025" s="7" t="n">
        <v>43.6100006103516</v>
      </c>
      <c r="G9025" s="7" t="n">
        <v>360</v>
      </c>
      <c r="H9025" s="7" t="n">
        <v>6000</v>
      </c>
      <c r="I9025" s="7" t="n">
        <v>1</v>
      </c>
    </row>
    <row r="9026" spans="1:9">
      <c r="A9026" t="s">
        <v>4</v>
      </c>
      <c r="B9026" s="4" t="s">
        <v>5</v>
      </c>
      <c r="C9026" s="4" t="s">
        <v>7</v>
      </c>
      <c r="D9026" s="4" t="s">
        <v>11</v>
      </c>
    </row>
    <row r="9027" spans="1:9">
      <c r="A9027" t="n">
        <v>84940</v>
      </c>
      <c r="B9027" s="23" t="n">
        <v>58</v>
      </c>
      <c r="C9027" s="7" t="n">
        <v>255</v>
      </c>
      <c r="D9027" s="7" t="n">
        <v>0</v>
      </c>
    </row>
    <row r="9028" spans="1:9">
      <c r="A9028" t="s">
        <v>4</v>
      </c>
      <c r="B9028" s="4" t="s">
        <v>5</v>
      </c>
      <c r="C9028" s="4" t="s">
        <v>7</v>
      </c>
      <c r="D9028" s="4" t="s">
        <v>11</v>
      </c>
    </row>
    <row r="9029" spans="1:9">
      <c r="A9029" t="n">
        <v>84944</v>
      </c>
      <c r="B9029" s="51" t="n">
        <v>45</v>
      </c>
      <c r="C9029" s="7" t="n">
        <v>7</v>
      </c>
      <c r="D9029" s="7" t="n">
        <v>255</v>
      </c>
    </row>
    <row r="9030" spans="1:9">
      <c r="A9030" t="s">
        <v>4</v>
      </c>
      <c r="B9030" s="4" t="s">
        <v>5</v>
      </c>
      <c r="C9030" s="4" t="s">
        <v>7</v>
      </c>
      <c r="D9030" s="4" t="s">
        <v>11</v>
      </c>
      <c r="E9030" s="4" t="s">
        <v>13</v>
      </c>
    </row>
    <row r="9031" spans="1:9">
      <c r="A9031" t="n">
        <v>84948</v>
      </c>
      <c r="B9031" s="23" t="n">
        <v>58</v>
      </c>
      <c r="C9031" s="7" t="n">
        <v>0</v>
      </c>
      <c r="D9031" s="7" t="n">
        <v>2000</v>
      </c>
      <c r="E9031" s="7" t="n">
        <v>1</v>
      </c>
    </row>
    <row r="9032" spans="1:9">
      <c r="A9032" t="s">
        <v>4</v>
      </c>
      <c r="B9032" s="4" t="s">
        <v>5</v>
      </c>
      <c r="C9032" s="4" t="s">
        <v>7</v>
      </c>
      <c r="D9032" s="4" t="s">
        <v>11</v>
      </c>
    </row>
    <row r="9033" spans="1:9">
      <c r="A9033" t="n">
        <v>84956</v>
      </c>
      <c r="B9033" s="23" t="n">
        <v>58</v>
      </c>
      <c r="C9033" s="7" t="n">
        <v>255</v>
      </c>
      <c r="D9033" s="7" t="n">
        <v>0</v>
      </c>
    </row>
    <row r="9034" spans="1:9">
      <c r="A9034" t="s">
        <v>4</v>
      </c>
      <c r="B9034" s="4" t="s">
        <v>5</v>
      </c>
      <c r="C9034" s="4" t="s">
        <v>7</v>
      </c>
      <c r="D9034" s="4" t="s">
        <v>11</v>
      </c>
      <c r="E9034" s="4" t="s">
        <v>11</v>
      </c>
      <c r="F9034" s="4" t="s">
        <v>15</v>
      </c>
    </row>
    <row r="9035" spans="1:9">
      <c r="A9035" t="n">
        <v>84960</v>
      </c>
      <c r="B9035" s="76" t="n">
        <v>84</v>
      </c>
      <c r="C9035" s="7" t="n">
        <v>1</v>
      </c>
      <c r="D9035" s="7" t="n">
        <v>0</v>
      </c>
      <c r="E9035" s="7" t="n">
        <v>0</v>
      </c>
      <c r="F9035" s="7" t="n">
        <v>0</v>
      </c>
    </row>
    <row r="9036" spans="1:9">
      <c r="A9036" t="s">
        <v>4</v>
      </c>
      <c r="B9036" s="4" t="s">
        <v>5</v>
      </c>
      <c r="C9036" s="4" t="s">
        <v>7</v>
      </c>
    </row>
    <row r="9037" spans="1:9">
      <c r="A9037" t="n">
        <v>84970</v>
      </c>
      <c r="B9037" s="28" t="n">
        <v>78</v>
      </c>
      <c r="C9037" s="7" t="n">
        <v>255</v>
      </c>
    </row>
    <row r="9038" spans="1:9">
      <c r="A9038" t="s">
        <v>4</v>
      </c>
      <c r="B9038" s="4" t="s">
        <v>5</v>
      </c>
      <c r="C9038" s="4" t="s">
        <v>7</v>
      </c>
      <c r="D9038" s="4" t="s">
        <v>11</v>
      </c>
      <c r="E9038" s="4" t="s">
        <v>7</v>
      </c>
    </row>
    <row r="9039" spans="1:9">
      <c r="A9039" t="n">
        <v>84972</v>
      </c>
      <c r="B9039" s="40" t="n">
        <v>36</v>
      </c>
      <c r="C9039" s="7" t="n">
        <v>9</v>
      </c>
      <c r="D9039" s="7" t="n">
        <v>0</v>
      </c>
      <c r="E9039" s="7" t="n">
        <v>0</v>
      </c>
    </row>
    <row r="9040" spans="1:9">
      <c r="A9040" t="s">
        <v>4</v>
      </c>
      <c r="B9040" s="4" t="s">
        <v>5</v>
      </c>
      <c r="C9040" s="4" t="s">
        <v>7</v>
      </c>
      <c r="D9040" s="4" t="s">
        <v>11</v>
      </c>
      <c r="E9040" s="4" t="s">
        <v>7</v>
      </c>
    </row>
    <row r="9041" spans="1:9">
      <c r="A9041" t="n">
        <v>84977</v>
      </c>
      <c r="B9041" s="40" t="n">
        <v>36</v>
      </c>
      <c r="C9041" s="7" t="n">
        <v>9</v>
      </c>
      <c r="D9041" s="7" t="n">
        <v>11</v>
      </c>
      <c r="E9041" s="7" t="n">
        <v>0</v>
      </c>
    </row>
    <row r="9042" spans="1:9">
      <c r="A9042" t="s">
        <v>4</v>
      </c>
      <c r="B9042" s="4" t="s">
        <v>5</v>
      </c>
      <c r="C9042" s="4" t="s">
        <v>11</v>
      </c>
    </row>
    <row r="9043" spans="1:9">
      <c r="A9043" t="n">
        <v>84982</v>
      </c>
      <c r="B9043" s="43" t="n">
        <v>12</v>
      </c>
      <c r="C9043" s="7" t="n">
        <v>10859</v>
      </c>
    </row>
    <row r="9044" spans="1:9">
      <c r="A9044" t="s">
        <v>4</v>
      </c>
      <c r="B9044" s="4" t="s">
        <v>5</v>
      </c>
      <c r="C9044" s="4" t="s">
        <v>11</v>
      </c>
    </row>
    <row r="9045" spans="1:9">
      <c r="A9045" t="n">
        <v>84985</v>
      </c>
      <c r="B9045" s="43" t="n">
        <v>12</v>
      </c>
      <c r="C9045" s="7" t="n">
        <v>6585</v>
      </c>
    </row>
    <row r="9046" spans="1:9">
      <c r="A9046" t="s">
        <v>4</v>
      </c>
      <c r="B9046" s="4" t="s">
        <v>5</v>
      </c>
      <c r="C9046" s="4" t="s">
        <v>7</v>
      </c>
      <c r="D9046" s="4" t="s">
        <v>15</v>
      </c>
    </row>
    <row r="9047" spans="1:9">
      <c r="A9047" t="n">
        <v>84988</v>
      </c>
      <c r="B9047" s="79" t="n">
        <v>137</v>
      </c>
      <c r="C9047" s="7" t="n">
        <v>6</v>
      </c>
      <c r="D9047" s="7" t="n">
        <v>1048576</v>
      </c>
    </row>
    <row r="9048" spans="1:9">
      <c r="A9048" t="s">
        <v>4</v>
      </c>
      <c r="B9048" s="4" t="s">
        <v>5</v>
      </c>
      <c r="C9048" s="4" t="s">
        <v>11</v>
      </c>
      <c r="D9048" s="4" t="s">
        <v>7</v>
      </c>
      <c r="E9048" s="4" t="s">
        <v>11</v>
      </c>
    </row>
    <row r="9049" spans="1:9">
      <c r="A9049" t="n">
        <v>84994</v>
      </c>
      <c r="B9049" s="58" t="n">
        <v>104</v>
      </c>
      <c r="C9049" s="7" t="n">
        <v>127</v>
      </c>
      <c r="D9049" s="7" t="n">
        <v>1</v>
      </c>
      <c r="E9049" s="7" t="n">
        <v>12</v>
      </c>
    </row>
    <row r="9050" spans="1:9">
      <c r="A9050" t="s">
        <v>4</v>
      </c>
      <c r="B9050" s="4" t="s">
        <v>5</v>
      </c>
    </row>
    <row r="9051" spans="1:9">
      <c r="A9051" t="n">
        <v>85000</v>
      </c>
      <c r="B9051" s="5" t="n">
        <v>1</v>
      </c>
    </row>
    <row r="9052" spans="1:9">
      <c r="A9052" t="s">
        <v>4</v>
      </c>
      <c r="B9052" s="4" t="s">
        <v>5</v>
      </c>
      <c r="C9052" s="4" t="s">
        <v>7</v>
      </c>
      <c r="D9052" s="4" t="s">
        <v>11</v>
      </c>
      <c r="E9052" s="4" t="s">
        <v>11</v>
      </c>
      <c r="F9052" s="4" t="s">
        <v>15</v>
      </c>
      <c r="G9052" s="4" t="s">
        <v>15</v>
      </c>
      <c r="H9052" s="4" t="s">
        <v>15</v>
      </c>
    </row>
    <row r="9053" spans="1:9">
      <c r="A9053" t="n">
        <v>85001</v>
      </c>
      <c r="B9053" s="77" t="n">
        <v>97</v>
      </c>
      <c r="C9053" s="7" t="n">
        <v>7</v>
      </c>
      <c r="D9053" s="7" t="n">
        <v>0</v>
      </c>
      <c r="E9053" s="7" t="n">
        <v>0</v>
      </c>
      <c r="F9053" s="7" t="n">
        <v>0</v>
      </c>
      <c r="G9053" s="7" t="n">
        <v>0</v>
      </c>
      <c r="H9053" s="7" t="n">
        <v>0</v>
      </c>
    </row>
    <row r="9054" spans="1:9">
      <c r="A9054" t="s">
        <v>4</v>
      </c>
      <c r="B9054" s="4" t="s">
        <v>5</v>
      </c>
      <c r="C9054" s="4" t="s">
        <v>11</v>
      </c>
      <c r="D9054" s="4" t="s">
        <v>13</v>
      </c>
      <c r="E9054" s="4" t="s">
        <v>13</v>
      </c>
      <c r="F9054" s="4" t="s">
        <v>13</v>
      </c>
      <c r="G9054" s="4" t="s">
        <v>13</v>
      </c>
    </row>
    <row r="9055" spans="1:9">
      <c r="A9055" t="n">
        <v>85019</v>
      </c>
      <c r="B9055" s="36" t="n">
        <v>46</v>
      </c>
      <c r="C9055" s="7" t="n">
        <v>61456</v>
      </c>
      <c r="D9055" s="7" t="n">
        <v>0</v>
      </c>
      <c r="E9055" s="7" t="n">
        <v>0</v>
      </c>
      <c r="F9055" s="7" t="n">
        <v>0</v>
      </c>
      <c r="G9055" s="7" t="n">
        <v>0</v>
      </c>
    </row>
    <row r="9056" spans="1:9">
      <c r="A9056" t="s">
        <v>4</v>
      </c>
      <c r="B9056" s="4" t="s">
        <v>5</v>
      </c>
      <c r="C9056" s="4" t="s">
        <v>7</v>
      </c>
      <c r="D9056" s="4" t="s">
        <v>11</v>
      </c>
    </row>
    <row r="9057" spans="1:8">
      <c r="A9057" t="n">
        <v>85038</v>
      </c>
      <c r="B9057" s="8" t="n">
        <v>162</v>
      </c>
      <c r="C9057" s="7" t="n">
        <v>1</v>
      </c>
      <c r="D9057" s="7" t="n">
        <v>0</v>
      </c>
    </row>
    <row r="9058" spans="1:8">
      <c r="A9058" t="s">
        <v>4</v>
      </c>
      <c r="B9058" s="4" t="s">
        <v>5</v>
      </c>
    </row>
    <row r="9059" spans="1:8">
      <c r="A9059" t="n">
        <v>85042</v>
      </c>
      <c r="B9059" s="5" t="n">
        <v>1</v>
      </c>
    </row>
    <row r="9060" spans="1:8" s="3" customFormat="1" customHeight="0">
      <c r="A9060" s="3" t="s">
        <v>2</v>
      </c>
      <c r="B9060" s="3" t="s">
        <v>785</v>
      </c>
    </row>
    <row r="9061" spans="1:8">
      <c r="A9061" t="s">
        <v>4</v>
      </c>
      <c r="B9061" s="4" t="s">
        <v>5</v>
      </c>
      <c r="C9061" s="4" t="s">
        <v>7</v>
      </c>
      <c r="D9061" s="4" t="s">
        <v>7</v>
      </c>
      <c r="E9061" s="4" t="s">
        <v>7</v>
      </c>
      <c r="F9061" s="4" t="s">
        <v>7</v>
      </c>
    </row>
    <row r="9062" spans="1:8">
      <c r="A9062" t="n">
        <v>85044</v>
      </c>
      <c r="B9062" s="9" t="n">
        <v>14</v>
      </c>
      <c r="C9062" s="7" t="n">
        <v>2</v>
      </c>
      <c r="D9062" s="7" t="n">
        <v>0</v>
      </c>
      <c r="E9062" s="7" t="n">
        <v>0</v>
      </c>
      <c r="F9062" s="7" t="n">
        <v>0</v>
      </c>
    </row>
    <row r="9063" spans="1:8">
      <c r="A9063" t="s">
        <v>4</v>
      </c>
      <c r="B9063" s="4" t="s">
        <v>5</v>
      </c>
      <c r="C9063" s="4" t="s">
        <v>7</v>
      </c>
      <c r="D9063" s="20" t="s">
        <v>35</v>
      </c>
      <c r="E9063" s="4" t="s">
        <v>5</v>
      </c>
      <c r="F9063" s="4" t="s">
        <v>7</v>
      </c>
      <c r="G9063" s="4" t="s">
        <v>11</v>
      </c>
      <c r="H9063" s="20" t="s">
        <v>36</v>
      </c>
      <c r="I9063" s="4" t="s">
        <v>7</v>
      </c>
      <c r="J9063" s="4" t="s">
        <v>15</v>
      </c>
      <c r="K9063" s="4" t="s">
        <v>7</v>
      </c>
      <c r="L9063" s="4" t="s">
        <v>7</v>
      </c>
      <c r="M9063" s="20" t="s">
        <v>35</v>
      </c>
      <c r="N9063" s="4" t="s">
        <v>5</v>
      </c>
      <c r="O9063" s="4" t="s">
        <v>7</v>
      </c>
      <c r="P9063" s="4" t="s">
        <v>11</v>
      </c>
      <c r="Q9063" s="20" t="s">
        <v>36</v>
      </c>
      <c r="R9063" s="4" t="s">
        <v>7</v>
      </c>
      <c r="S9063" s="4" t="s">
        <v>15</v>
      </c>
      <c r="T9063" s="4" t="s">
        <v>7</v>
      </c>
      <c r="U9063" s="4" t="s">
        <v>7</v>
      </c>
      <c r="V9063" s="4" t="s">
        <v>7</v>
      </c>
      <c r="W9063" s="4" t="s">
        <v>12</v>
      </c>
    </row>
    <row r="9064" spans="1:8">
      <c r="A9064" t="n">
        <v>85049</v>
      </c>
      <c r="B9064" s="10" t="n">
        <v>5</v>
      </c>
      <c r="C9064" s="7" t="n">
        <v>28</v>
      </c>
      <c r="D9064" s="20" t="s">
        <v>3</v>
      </c>
      <c r="E9064" s="8" t="n">
        <v>162</v>
      </c>
      <c r="F9064" s="7" t="n">
        <v>3</v>
      </c>
      <c r="G9064" s="7" t="n">
        <v>32915</v>
      </c>
      <c r="H9064" s="20" t="s">
        <v>3</v>
      </c>
      <c r="I9064" s="7" t="n">
        <v>0</v>
      </c>
      <c r="J9064" s="7" t="n">
        <v>1</v>
      </c>
      <c r="K9064" s="7" t="n">
        <v>2</v>
      </c>
      <c r="L9064" s="7" t="n">
        <v>28</v>
      </c>
      <c r="M9064" s="20" t="s">
        <v>3</v>
      </c>
      <c r="N9064" s="8" t="n">
        <v>162</v>
      </c>
      <c r="O9064" s="7" t="n">
        <v>3</v>
      </c>
      <c r="P9064" s="7" t="n">
        <v>32915</v>
      </c>
      <c r="Q9064" s="20" t="s">
        <v>3</v>
      </c>
      <c r="R9064" s="7" t="n">
        <v>0</v>
      </c>
      <c r="S9064" s="7" t="n">
        <v>2</v>
      </c>
      <c r="T9064" s="7" t="n">
        <v>2</v>
      </c>
      <c r="U9064" s="7" t="n">
        <v>11</v>
      </c>
      <c r="V9064" s="7" t="n">
        <v>1</v>
      </c>
      <c r="W9064" s="11" t="n">
        <f t="normal" ca="1">A9068</f>
        <v>0</v>
      </c>
    </row>
    <row r="9065" spans="1:8">
      <c r="A9065" t="s">
        <v>4</v>
      </c>
      <c r="B9065" s="4" t="s">
        <v>5</v>
      </c>
      <c r="C9065" s="4" t="s">
        <v>7</v>
      </c>
      <c r="D9065" s="4" t="s">
        <v>11</v>
      </c>
      <c r="E9065" s="4" t="s">
        <v>13</v>
      </c>
    </row>
    <row r="9066" spans="1:8">
      <c r="A9066" t="n">
        <v>85078</v>
      </c>
      <c r="B9066" s="23" t="n">
        <v>58</v>
      </c>
      <c r="C9066" s="7" t="n">
        <v>0</v>
      </c>
      <c r="D9066" s="7" t="n">
        <v>0</v>
      </c>
      <c r="E9066" s="7" t="n">
        <v>1</v>
      </c>
    </row>
    <row r="9067" spans="1:8">
      <c r="A9067" t="s">
        <v>4</v>
      </c>
      <c r="B9067" s="4" t="s">
        <v>5</v>
      </c>
      <c r="C9067" s="4" t="s">
        <v>7</v>
      </c>
      <c r="D9067" s="20" t="s">
        <v>35</v>
      </c>
      <c r="E9067" s="4" t="s">
        <v>5</v>
      </c>
      <c r="F9067" s="4" t="s">
        <v>7</v>
      </c>
      <c r="G9067" s="4" t="s">
        <v>11</v>
      </c>
      <c r="H9067" s="20" t="s">
        <v>36</v>
      </c>
      <c r="I9067" s="4" t="s">
        <v>7</v>
      </c>
      <c r="J9067" s="4" t="s">
        <v>15</v>
      </c>
      <c r="K9067" s="4" t="s">
        <v>7</v>
      </c>
      <c r="L9067" s="4" t="s">
        <v>7</v>
      </c>
      <c r="M9067" s="20" t="s">
        <v>35</v>
      </c>
      <c r="N9067" s="4" t="s">
        <v>5</v>
      </c>
      <c r="O9067" s="4" t="s">
        <v>7</v>
      </c>
      <c r="P9067" s="4" t="s">
        <v>11</v>
      </c>
      <c r="Q9067" s="20" t="s">
        <v>36</v>
      </c>
      <c r="R9067" s="4" t="s">
        <v>7</v>
      </c>
      <c r="S9067" s="4" t="s">
        <v>15</v>
      </c>
      <c r="T9067" s="4" t="s">
        <v>7</v>
      </c>
      <c r="U9067" s="4" t="s">
        <v>7</v>
      </c>
      <c r="V9067" s="4" t="s">
        <v>7</v>
      </c>
      <c r="W9067" s="4" t="s">
        <v>12</v>
      </c>
    </row>
    <row r="9068" spans="1:8">
      <c r="A9068" t="n">
        <v>85086</v>
      </c>
      <c r="B9068" s="10" t="n">
        <v>5</v>
      </c>
      <c r="C9068" s="7" t="n">
        <v>28</v>
      </c>
      <c r="D9068" s="20" t="s">
        <v>3</v>
      </c>
      <c r="E9068" s="8" t="n">
        <v>162</v>
      </c>
      <c r="F9068" s="7" t="n">
        <v>3</v>
      </c>
      <c r="G9068" s="7" t="n">
        <v>32915</v>
      </c>
      <c r="H9068" s="20" t="s">
        <v>3</v>
      </c>
      <c r="I9068" s="7" t="n">
        <v>0</v>
      </c>
      <c r="J9068" s="7" t="n">
        <v>1</v>
      </c>
      <c r="K9068" s="7" t="n">
        <v>3</v>
      </c>
      <c r="L9068" s="7" t="n">
        <v>28</v>
      </c>
      <c r="M9068" s="20" t="s">
        <v>3</v>
      </c>
      <c r="N9068" s="8" t="n">
        <v>162</v>
      </c>
      <c r="O9068" s="7" t="n">
        <v>3</v>
      </c>
      <c r="P9068" s="7" t="n">
        <v>32915</v>
      </c>
      <c r="Q9068" s="20" t="s">
        <v>3</v>
      </c>
      <c r="R9068" s="7" t="n">
        <v>0</v>
      </c>
      <c r="S9068" s="7" t="n">
        <v>2</v>
      </c>
      <c r="T9068" s="7" t="n">
        <v>3</v>
      </c>
      <c r="U9068" s="7" t="n">
        <v>9</v>
      </c>
      <c r="V9068" s="7" t="n">
        <v>1</v>
      </c>
      <c r="W9068" s="11" t="n">
        <f t="normal" ca="1">A9078</f>
        <v>0</v>
      </c>
    </row>
    <row r="9069" spans="1:8">
      <c r="A9069" t="s">
        <v>4</v>
      </c>
      <c r="B9069" s="4" t="s">
        <v>5</v>
      </c>
      <c r="C9069" s="4" t="s">
        <v>7</v>
      </c>
      <c r="D9069" s="20" t="s">
        <v>35</v>
      </c>
      <c r="E9069" s="4" t="s">
        <v>5</v>
      </c>
      <c r="F9069" s="4" t="s">
        <v>11</v>
      </c>
      <c r="G9069" s="4" t="s">
        <v>7</v>
      </c>
      <c r="H9069" s="4" t="s">
        <v>7</v>
      </c>
      <c r="I9069" s="4" t="s">
        <v>8</v>
      </c>
      <c r="J9069" s="20" t="s">
        <v>36</v>
      </c>
      <c r="K9069" s="4" t="s">
        <v>7</v>
      </c>
      <c r="L9069" s="4" t="s">
        <v>7</v>
      </c>
      <c r="M9069" s="20" t="s">
        <v>35</v>
      </c>
      <c r="N9069" s="4" t="s">
        <v>5</v>
      </c>
      <c r="O9069" s="4" t="s">
        <v>7</v>
      </c>
      <c r="P9069" s="20" t="s">
        <v>36</v>
      </c>
      <c r="Q9069" s="4" t="s">
        <v>7</v>
      </c>
      <c r="R9069" s="4" t="s">
        <v>15</v>
      </c>
      <c r="S9069" s="4" t="s">
        <v>7</v>
      </c>
      <c r="T9069" s="4" t="s">
        <v>7</v>
      </c>
      <c r="U9069" s="4" t="s">
        <v>7</v>
      </c>
      <c r="V9069" s="20" t="s">
        <v>35</v>
      </c>
      <c r="W9069" s="4" t="s">
        <v>5</v>
      </c>
      <c r="X9069" s="4" t="s">
        <v>7</v>
      </c>
      <c r="Y9069" s="20" t="s">
        <v>36</v>
      </c>
      <c r="Z9069" s="4" t="s">
        <v>7</v>
      </c>
      <c r="AA9069" s="4" t="s">
        <v>15</v>
      </c>
      <c r="AB9069" s="4" t="s">
        <v>7</v>
      </c>
      <c r="AC9069" s="4" t="s">
        <v>7</v>
      </c>
      <c r="AD9069" s="4" t="s">
        <v>7</v>
      </c>
      <c r="AE9069" s="4" t="s">
        <v>12</v>
      </c>
    </row>
    <row r="9070" spans="1:8">
      <c r="A9070" t="n">
        <v>85115</v>
      </c>
      <c r="B9070" s="10" t="n">
        <v>5</v>
      </c>
      <c r="C9070" s="7" t="n">
        <v>28</v>
      </c>
      <c r="D9070" s="20" t="s">
        <v>3</v>
      </c>
      <c r="E9070" s="41" t="n">
        <v>47</v>
      </c>
      <c r="F9070" s="7" t="n">
        <v>61456</v>
      </c>
      <c r="G9070" s="7" t="n">
        <v>2</v>
      </c>
      <c r="H9070" s="7" t="n">
        <v>0</v>
      </c>
      <c r="I9070" s="7" t="s">
        <v>105</v>
      </c>
      <c r="J9070" s="20" t="s">
        <v>3</v>
      </c>
      <c r="K9070" s="7" t="n">
        <v>8</v>
      </c>
      <c r="L9070" s="7" t="n">
        <v>28</v>
      </c>
      <c r="M9070" s="20" t="s">
        <v>3</v>
      </c>
      <c r="N9070" s="45" t="n">
        <v>74</v>
      </c>
      <c r="O9070" s="7" t="n">
        <v>65</v>
      </c>
      <c r="P9070" s="20" t="s">
        <v>3</v>
      </c>
      <c r="Q9070" s="7" t="n">
        <v>0</v>
      </c>
      <c r="R9070" s="7" t="n">
        <v>1</v>
      </c>
      <c r="S9070" s="7" t="n">
        <v>3</v>
      </c>
      <c r="T9070" s="7" t="n">
        <v>9</v>
      </c>
      <c r="U9070" s="7" t="n">
        <v>28</v>
      </c>
      <c r="V9070" s="20" t="s">
        <v>3</v>
      </c>
      <c r="W9070" s="45" t="n">
        <v>74</v>
      </c>
      <c r="X9070" s="7" t="n">
        <v>65</v>
      </c>
      <c r="Y9070" s="20" t="s">
        <v>3</v>
      </c>
      <c r="Z9070" s="7" t="n">
        <v>0</v>
      </c>
      <c r="AA9070" s="7" t="n">
        <v>2</v>
      </c>
      <c r="AB9070" s="7" t="n">
        <v>3</v>
      </c>
      <c r="AC9070" s="7" t="n">
        <v>9</v>
      </c>
      <c r="AD9070" s="7" t="n">
        <v>1</v>
      </c>
      <c r="AE9070" s="11" t="n">
        <f t="normal" ca="1">A9074</f>
        <v>0</v>
      </c>
    </row>
    <row r="9071" spans="1:8">
      <c r="A9071" t="s">
        <v>4</v>
      </c>
      <c r="B9071" s="4" t="s">
        <v>5</v>
      </c>
      <c r="C9071" s="4" t="s">
        <v>11</v>
      </c>
      <c r="D9071" s="4" t="s">
        <v>7</v>
      </c>
      <c r="E9071" s="4" t="s">
        <v>7</v>
      </c>
      <c r="F9071" s="4" t="s">
        <v>8</v>
      </c>
    </row>
    <row r="9072" spans="1:8">
      <c r="A9072" t="n">
        <v>85163</v>
      </c>
      <c r="B9072" s="41" t="n">
        <v>47</v>
      </c>
      <c r="C9072" s="7" t="n">
        <v>61456</v>
      </c>
      <c r="D9072" s="7" t="n">
        <v>0</v>
      </c>
      <c r="E9072" s="7" t="n">
        <v>0</v>
      </c>
      <c r="F9072" s="7" t="s">
        <v>106</v>
      </c>
    </row>
    <row r="9073" spans="1:31">
      <c r="A9073" t="s">
        <v>4</v>
      </c>
      <c r="B9073" s="4" t="s">
        <v>5</v>
      </c>
      <c r="C9073" s="4" t="s">
        <v>7</v>
      </c>
      <c r="D9073" s="4" t="s">
        <v>11</v>
      </c>
      <c r="E9073" s="4" t="s">
        <v>13</v>
      </c>
    </row>
    <row r="9074" spans="1:31">
      <c r="A9074" t="n">
        <v>85176</v>
      </c>
      <c r="B9074" s="23" t="n">
        <v>58</v>
      </c>
      <c r="C9074" s="7" t="n">
        <v>0</v>
      </c>
      <c r="D9074" s="7" t="n">
        <v>300</v>
      </c>
      <c r="E9074" s="7" t="n">
        <v>1</v>
      </c>
    </row>
    <row r="9075" spans="1:31">
      <c r="A9075" t="s">
        <v>4</v>
      </c>
      <c r="B9075" s="4" t="s">
        <v>5</v>
      </c>
      <c r="C9075" s="4" t="s">
        <v>7</v>
      </c>
      <c r="D9075" s="4" t="s">
        <v>11</v>
      </c>
    </row>
    <row r="9076" spans="1:31">
      <c r="A9076" t="n">
        <v>85184</v>
      </c>
      <c r="B9076" s="23" t="n">
        <v>58</v>
      </c>
      <c r="C9076" s="7" t="n">
        <v>255</v>
      </c>
      <c r="D9076" s="7" t="n">
        <v>0</v>
      </c>
    </row>
    <row r="9077" spans="1:31">
      <c r="A9077" t="s">
        <v>4</v>
      </c>
      <c r="B9077" s="4" t="s">
        <v>5</v>
      </c>
      <c r="C9077" s="4" t="s">
        <v>7</v>
      </c>
      <c r="D9077" s="4" t="s">
        <v>7</v>
      </c>
      <c r="E9077" s="4" t="s">
        <v>7</v>
      </c>
      <c r="F9077" s="4" t="s">
        <v>7</v>
      </c>
    </row>
    <row r="9078" spans="1:31">
      <c r="A9078" t="n">
        <v>85188</v>
      </c>
      <c r="B9078" s="9" t="n">
        <v>14</v>
      </c>
      <c r="C9078" s="7" t="n">
        <v>0</v>
      </c>
      <c r="D9078" s="7" t="n">
        <v>0</v>
      </c>
      <c r="E9078" s="7" t="n">
        <v>0</v>
      </c>
      <c r="F9078" s="7" t="n">
        <v>64</v>
      </c>
    </row>
    <row r="9079" spans="1:31">
      <c r="A9079" t="s">
        <v>4</v>
      </c>
      <c r="B9079" s="4" t="s">
        <v>5</v>
      </c>
      <c r="C9079" s="4" t="s">
        <v>7</v>
      </c>
      <c r="D9079" s="4" t="s">
        <v>11</v>
      </c>
    </row>
    <row r="9080" spans="1:31">
      <c r="A9080" t="n">
        <v>85193</v>
      </c>
      <c r="B9080" s="22" t="n">
        <v>22</v>
      </c>
      <c r="C9080" s="7" t="n">
        <v>0</v>
      </c>
      <c r="D9080" s="7" t="n">
        <v>32915</v>
      </c>
    </row>
    <row r="9081" spans="1:31">
      <c r="A9081" t="s">
        <v>4</v>
      </c>
      <c r="B9081" s="4" t="s">
        <v>5</v>
      </c>
      <c r="C9081" s="4" t="s">
        <v>7</v>
      </c>
      <c r="D9081" s="4" t="s">
        <v>11</v>
      </c>
    </row>
    <row r="9082" spans="1:31">
      <c r="A9082" t="n">
        <v>85197</v>
      </c>
      <c r="B9082" s="23" t="n">
        <v>58</v>
      </c>
      <c r="C9082" s="7" t="n">
        <v>5</v>
      </c>
      <c r="D9082" s="7" t="n">
        <v>300</v>
      </c>
    </row>
    <row r="9083" spans="1:31">
      <c r="A9083" t="s">
        <v>4</v>
      </c>
      <c r="B9083" s="4" t="s">
        <v>5</v>
      </c>
      <c r="C9083" s="4" t="s">
        <v>13</v>
      </c>
      <c r="D9083" s="4" t="s">
        <v>11</v>
      </c>
    </row>
    <row r="9084" spans="1:31">
      <c r="A9084" t="n">
        <v>85201</v>
      </c>
      <c r="B9084" s="46" t="n">
        <v>103</v>
      </c>
      <c r="C9084" s="7" t="n">
        <v>0</v>
      </c>
      <c r="D9084" s="7" t="n">
        <v>300</v>
      </c>
    </row>
    <row r="9085" spans="1:31">
      <c r="A9085" t="s">
        <v>4</v>
      </c>
      <c r="B9085" s="4" t="s">
        <v>5</v>
      </c>
      <c r="C9085" s="4" t="s">
        <v>7</v>
      </c>
    </row>
    <row r="9086" spans="1:31">
      <c r="A9086" t="n">
        <v>85208</v>
      </c>
      <c r="B9086" s="47" t="n">
        <v>64</v>
      </c>
      <c r="C9086" s="7" t="n">
        <v>7</v>
      </c>
    </row>
    <row r="9087" spans="1:31">
      <c r="A9087" t="s">
        <v>4</v>
      </c>
      <c r="B9087" s="4" t="s">
        <v>5</v>
      </c>
      <c r="C9087" s="4" t="s">
        <v>7</v>
      </c>
      <c r="D9087" s="4" t="s">
        <v>11</v>
      </c>
    </row>
    <row r="9088" spans="1:31">
      <c r="A9088" t="n">
        <v>85210</v>
      </c>
      <c r="B9088" s="48" t="n">
        <v>72</v>
      </c>
      <c r="C9088" s="7" t="n">
        <v>5</v>
      </c>
      <c r="D9088" s="7" t="n">
        <v>0</v>
      </c>
    </row>
    <row r="9089" spans="1:6">
      <c r="A9089" t="s">
        <v>4</v>
      </c>
      <c r="B9089" s="4" t="s">
        <v>5</v>
      </c>
      <c r="C9089" s="4" t="s">
        <v>7</v>
      </c>
      <c r="D9089" s="20" t="s">
        <v>35</v>
      </c>
      <c r="E9089" s="4" t="s">
        <v>5</v>
      </c>
      <c r="F9089" s="4" t="s">
        <v>7</v>
      </c>
      <c r="G9089" s="4" t="s">
        <v>11</v>
      </c>
      <c r="H9089" s="20" t="s">
        <v>36</v>
      </c>
      <c r="I9089" s="4" t="s">
        <v>7</v>
      </c>
      <c r="J9089" s="4" t="s">
        <v>15</v>
      </c>
      <c r="K9089" s="4" t="s">
        <v>7</v>
      </c>
      <c r="L9089" s="4" t="s">
        <v>7</v>
      </c>
      <c r="M9089" s="4" t="s">
        <v>12</v>
      </c>
    </row>
    <row r="9090" spans="1:6">
      <c r="A9090" t="n">
        <v>85214</v>
      </c>
      <c r="B9090" s="10" t="n">
        <v>5</v>
      </c>
      <c r="C9090" s="7" t="n">
        <v>28</v>
      </c>
      <c r="D9090" s="20" t="s">
        <v>3</v>
      </c>
      <c r="E9090" s="8" t="n">
        <v>162</v>
      </c>
      <c r="F9090" s="7" t="n">
        <v>4</v>
      </c>
      <c r="G9090" s="7" t="n">
        <v>32915</v>
      </c>
      <c r="H9090" s="20" t="s">
        <v>3</v>
      </c>
      <c r="I9090" s="7" t="n">
        <v>0</v>
      </c>
      <c r="J9090" s="7" t="n">
        <v>1</v>
      </c>
      <c r="K9090" s="7" t="n">
        <v>2</v>
      </c>
      <c r="L9090" s="7" t="n">
        <v>1</v>
      </c>
      <c r="M9090" s="11" t="n">
        <f t="normal" ca="1">A9096</f>
        <v>0</v>
      </c>
    </row>
    <row r="9091" spans="1:6">
      <c r="A9091" t="s">
        <v>4</v>
      </c>
      <c r="B9091" s="4" t="s">
        <v>5</v>
      </c>
      <c r="C9091" s="4" t="s">
        <v>7</v>
      </c>
      <c r="D9091" s="4" t="s">
        <v>8</v>
      </c>
    </row>
    <row r="9092" spans="1:6">
      <c r="A9092" t="n">
        <v>85231</v>
      </c>
      <c r="B9092" s="6" t="n">
        <v>2</v>
      </c>
      <c r="C9092" s="7" t="n">
        <v>10</v>
      </c>
      <c r="D9092" s="7" t="s">
        <v>107</v>
      </c>
    </row>
    <row r="9093" spans="1:6">
      <c r="A9093" t="s">
        <v>4</v>
      </c>
      <c r="B9093" s="4" t="s">
        <v>5</v>
      </c>
      <c r="C9093" s="4" t="s">
        <v>11</v>
      </c>
    </row>
    <row r="9094" spans="1:6">
      <c r="A9094" t="n">
        <v>85248</v>
      </c>
      <c r="B9094" s="29" t="n">
        <v>16</v>
      </c>
      <c r="C9094" s="7" t="n">
        <v>0</v>
      </c>
    </row>
    <row r="9095" spans="1:6">
      <c r="A9095" t="s">
        <v>4</v>
      </c>
      <c r="B9095" s="4" t="s">
        <v>5</v>
      </c>
      <c r="C9095" s="4" t="s">
        <v>7</v>
      </c>
      <c r="D9095" s="4" t="s">
        <v>11</v>
      </c>
      <c r="E9095" s="4" t="s">
        <v>11</v>
      </c>
      <c r="F9095" s="4" t="s">
        <v>11</v>
      </c>
      <c r="G9095" s="4" t="s">
        <v>11</v>
      </c>
      <c r="H9095" s="4" t="s">
        <v>11</v>
      </c>
      <c r="I9095" s="4" t="s">
        <v>11</v>
      </c>
      <c r="J9095" s="4" t="s">
        <v>11</v>
      </c>
      <c r="K9095" s="4" t="s">
        <v>11</v>
      </c>
      <c r="L9095" s="4" t="s">
        <v>11</v>
      </c>
      <c r="M9095" s="4" t="s">
        <v>11</v>
      </c>
      <c r="N9095" s="4" t="s">
        <v>15</v>
      </c>
      <c r="O9095" s="4" t="s">
        <v>15</v>
      </c>
      <c r="P9095" s="4" t="s">
        <v>15</v>
      </c>
      <c r="Q9095" s="4" t="s">
        <v>15</v>
      </c>
      <c r="R9095" s="4" t="s">
        <v>7</v>
      </c>
      <c r="S9095" s="4" t="s">
        <v>8</v>
      </c>
    </row>
    <row r="9096" spans="1:6">
      <c r="A9096" t="n">
        <v>85251</v>
      </c>
      <c r="B9096" s="24" t="n">
        <v>75</v>
      </c>
      <c r="C9096" s="7" t="n">
        <v>0</v>
      </c>
      <c r="D9096" s="7" t="n">
        <v>484</v>
      </c>
      <c r="E9096" s="7" t="n">
        <v>328</v>
      </c>
      <c r="F9096" s="7" t="n">
        <v>996</v>
      </c>
      <c r="G9096" s="7" t="n">
        <v>392</v>
      </c>
      <c r="H9096" s="7" t="n">
        <v>0</v>
      </c>
      <c r="I9096" s="7" t="n">
        <v>0</v>
      </c>
      <c r="J9096" s="7" t="n">
        <v>0</v>
      </c>
      <c r="K9096" s="7" t="n">
        <v>448</v>
      </c>
      <c r="L9096" s="7" t="n">
        <v>512</v>
      </c>
      <c r="M9096" s="7" t="n">
        <v>512</v>
      </c>
      <c r="N9096" s="7" t="n">
        <v>1065353216</v>
      </c>
      <c r="O9096" s="7" t="n">
        <v>1065353216</v>
      </c>
      <c r="P9096" s="7" t="n">
        <v>1065353216</v>
      </c>
      <c r="Q9096" s="7" t="n">
        <v>0</v>
      </c>
      <c r="R9096" s="7" t="n">
        <v>0</v>
      </c>
      <c r="S9096" s="7" t="s">
        <v>271</v>
      </c>
    </row>
    <row r="9097" spans="1:6">
      <c r="A9097" t="s">
        <v>4</v>
      </c>
      <c r="B9097" s="4" t="s">
        <v>5</v>
      </c>
      <c r="C9097" s="4" t="s">
        <v>7</v>
      </c>
      <c r="D9097" s="4" t="s">
        <v>11</v>
      </c>
      <c r="E9097" s="4" t="s">
        <v>11</v>
      </c>
      <c r="F9097" s="4" t="s">
        <v>11</v>
      </c>
      <c r="G9097" s="4" t="s">
        <v>11</v>
      </c>
      <c r="H9097" s="4" t="s">
        <v>11</v>
      </c>
      <c r="I9097" s="4" t="s">
        <v>11</v>
      </c>
      <c r="J9097" s="4" t="s">
        <v>11</v>
      </c>
      <c r="K9097" s="4" t="s">
        <v>11</v>
      </c>
      <c r="L9097" s="4" t="s">
        <v>11</v>
      </c>
      <c r="M9097" s="4" t="s">
        <v>11</v>
      </c>
      <c r="N9097" s="4" t="s">
        <v>15</v>
      </c>
      <c r="O9097" s="4" t="s">
        <v>15</v>
      </c>
      <c r="P9097" s="4" t="s">
        <v>15</v>
      </c>
      <c r="Q9097" s="4" t="s">
        <v>15</v>
      </c>
      <c r="R9097" s="4" t="s">
        <v>7</v>
      </c>
      <c r="S9097" s="4" t="s">
        <v>8</v>
      </c>
    </row>
    <row r="9098" spans="1:6">
      <c r="A9098" t="n">
        <v>85300</v>
      </c>
      <c r="B9098" s="24" t="n">
        <v>75</v>
      </c>
      <c r="C9098" s="7" t="n">
        <v>1</v>
      </c>
      <c r="D9098" s="7" t="n">
        <v>0</v>
      </c>
      <c r="E9098" s="7" t="n">
        <v>0</v>
      </c>
      <c r="F9098" s="7" t="n">
        <v>1024</v>
      </c>
      <c r="G9098" s="7" t="n">
        <v>720</v>
      </c>
      <c r="H9098" s="7" t="n">
        <v>0</v>
      </c>
      <c r="I9098" s="7" t="n">
        <v>0</v>
      </c>
      <c r="J9098" s="7" t="n">
        <v>0</v>
      </c>
      <c r="K9098" s="7" t="n">
        <v>0</v>
      </c>
      <c r="L9098" s="7" t="n">
        <v>1024</v>
      </c>
      <c r="M9098" s="7" t="n">
        <v>720</v>
      </c>
      <c r="N9098" s="7" t="n">
        <v>1065353216</v>
      </c>
      <c r="O9098" s="7" t="n">
        <v>1065353216</v>
      </c>
      <c r="P9098" s="7" t="n">
        <v>1065353216</v>
      </c>
      <c r="Q9098" s="7" t="n">
        <v>0</v>
      </c>
      <c r="R9098" s="7" t="n">
        <v>0</v>
      </c>
      <c r="S9098" s="7" t="s">
        <v>786</v>
      </c>
    </row>
    <row r="9099" spans="1:6">
      <c r="A9099" t="s">
        <v>4</v>
      </c>
      <c r="B9099" s="4" t="s">
        <v>5</v>
      </c>
      <c r="C9099" s="4" t="s">
        <v>7</v>
      </c>
      <c r="D9099" s="4" t="s">
        <v>7</v>
      </c>
      <c r="E9099" s="4" t="s">
        <v>7</v>
      </c>
      <c r="F9099" s="4" t="s">
        <v>13</v>
      </c>
      <c r="G9099" s="4" t="s">
        <v>13</v>
      </c>
      <c r="H9099" s="4" t="s">
        <v>13</v>
      </c>
      <c r="I9099" s="4" t="s">
        <v>13</v>
      </c>
      <c r="J9099" s="4" t="s">
        <v>13</v>
      </c>
    </row>
    <row r="9100" spans="1:6">
      <c r="A9100" t="n">
        <v>85349</v>
      </c>
      <c r="B9100" s="25" t="n">
        <v>76</v>
      </c>
      <c r="C9100" s="7" t="n">
        <v>1</v>
      </c>
      <c r="D9100" s="7" t="n">
        <v>9</v>
      </c>
      <c r="E9100" s="7" t="n">
        <v>2</v>
      </c>
      <c r="F9100" s="7" t="n">
        <v>0</v>
      </c>
      <c r="G9100" s="7" t="n">
        <v>0</v>
      </c>
      <c r="H9100" s="7" t="n">
        <v>0</v>
      </c>
      <c r="I9100" s="7" t="n">
        <v>0</v>
      </c>
      <c r="J9100" s="7" t="n">
        <v>0</v>
      </c>
    </row>
    <row r="9101" spans="1:6">
      <c r="A9101" t="s">
        <v>4</v>
      </c>
      <c r="B9101" s="4" t="s">
        <v>5</v>
      </c>
      <c r="C9101" s="4" t="s">
        <v>11</v>
      </c>
      <c r="D9101" s="4" t="s">
        <v>8</v>
      </c>
      <c r="E9101" s="4" t="s">
        <v>8</v>
      </c>
      <c r="F9101" s="4" t="s">
        <v>8</v>
      </c>
      <c r="G9101" s="4" t="s">
        <v>7</v>
      </c>
      <c r="H9101" s="4" t="s">
        <v>15</v>
      </c>
      <c r="I9101" s="4" t="s">
        <v>13</v>
      </c>
      <c r="J9101" s="4" t="s">
        <v>13</v>
      </c>
      <c r="K9101" s="4" t="s">
        <v>13</v>
      </c>
      <c r="L9101" s="4" t="s">
        <v>13</v>
      </c>
      <c r="M9101" s="4" t="s">
        <v>13</v>
      </c>
      <c r="N9101" s="4" t="s">
        <v>13</v>
      </c>
      <c r="O9101" s="4" t="s">
        <v>13</v>
      </c>
      <c r="P9101" s="4" t="s">
        <v>8</v>
      </c>
      <c r="Q9101" s="4" t="s">
        <v>8</v>
      </c>
      <c r="R9101" s="4" t="s">
        <v>15</v>
      </c>
      <c r="S9101" s="4" t="s">
        <v>7</v>
      </c>
      <c r="T9101" s="4" t="s">
        <v>15</v>
      </c>
      <c r="U9101" s="4" t="s">
        <v>15</v>
      </c>
      <c r="V9101" s="4" t="s">
        <v>11</v>
      </c>
    </row>
    <row r="9102" spans="1:6">
      <c r="A9102" t="n">
        <v>85373</v>
      </c>
      <c r="B9102" s="62" t="n">
        <v>19</v>
      </c>
      <c r="C9102" s="7" t="n">
        <v>13</v>
      </c>
      <c r="D9102" s="7" t="s">
        <v>787</v>
      </c>
      <c r="E9102" s="7" t="s">
        <v>788</v>
      </c>
      <c r="F9102" s="7" t="s">
        <v>16</v>
      </c>
      <c r="G9102" s="7" t="n">
        <v>0</v>
      </c>
      <c r="H9102" s="7" t="n">
        <v>1</v>
      </c>
      <c r="I9102" s="7" t="n">
        <v>0</v>
      </c>
      <c r="J9102" s="7" t="n">
        <v>0</v>
      </c>
      <c r="K9102" s="7" t="n">
        <v>0</v>
      </c>
      <c r="L9102" s="7" t="n">
        <v>0</v>
      </c>
      <c r="M9102" s="7" t="n">
        <v>1</v>
      </c>
      <c r="N9102" s="7" t="n">
        <v>1.60000002384186</v>
      </c>
      <c r="O9102" s="7" t="n">
        <v>0.0900000035762787</v>
      </c>
      <c r="P9102" s="7" t="s">
        <v>16</v>
      </c>
      <c r="Q9102" s="7" t="s">
        <v>16</v>
      </c>
      <c r="R9102" s="7" t="n">
        <v>-1</v>
      </c>
      <c r="S9102" s="7" t="n">
        <v>0</v>
      </c>
      <c r="T9102" s="7" t="n">
        <v>0</v>
      </c>
      <c r="U9102" s="7" t="n">
        <v>0</v>
      </c>
      <c r="V9102" s="7" t="n">
        <v>0</v>
      </c>
    </row>
    <row r="9103" spans="1:6">
      <c r="A9103" t="s">
        <v>4</v>
      </c>
      <c r="B9103" s="4" t="s">
        <v>5</v>
      </c>
      <c r="C9103" s="4" t="s">
        <v>11</v>
      </c>
      <c r="D9103" s="4" t="s">
        <v>7</v>
      </c>
      <c r="E9103" s="4" t="s">
        <v>7</v>
      </c>
      <c r="F9103" s="4" t="s">
        <v>8</v>
      </c>
    </row>
    <row r="9104" spans="1:6">
      <c r="A9104" t="n">
        <v>85456</v>
      </c>
      <c r="B9104" s="50" t="n">
        <v>20</v>
      </c>
      <c r="C9104" s="7" t="n">
        <v>0</v>
      </c>
      <c r="D9104" s="7" t="n">
        <v>3</v>
      </c>
      <c r="E9104" s="7" t="n">
        <v>10</v>
      </c>
      <c r="F9104" s="7" t="s">
        <v>108</v>
      </c>
    </row>
    <row r="9105" spans="1:22">
      <c r="A9105" t="s">
        <v>4</v>
      </c>
      <c r="B9105" s="4" t="s">
        <v>5</v>
      </c>
      <c r="C9105" s="4" t="s">
        <v>11</v>
      </c>
    </row>
    <row r="9106" spans="1:22">
      <c r="A9106" t="n">
        <v>85474</v>
      </c>
      <c r="B9106" s="29" t="n">
        <v>16</v>
      </c>
      <c r="C9106" s="7" t="n">
        <v>0</v>
      </c>
    </row>
    <row r="9107" spans="1:22">
      <c r="A9107" t="s">
        <v>4</v>
      </c>
      <c r="B9107" s="4" t="s">
        <v>5</v>
      </c>
      <c r="C9107" s="4" t="s">
        <v>11</v>
      </c>
      <c r="D9107" s="4" t="s">
        <v>7</v>
      </c>
      <c r="E9107" s="4" t="s">
        <v>7</v>
      </c>
      <c r="F9107" s="4" t="s">
        <v>8</v>
      </c>
    </row>
    <row r="9108" spans="1:22">
      <c r="A9108" t="n">
        <v>85477</v>
      </c>
      <c r="B9108" s="50" t="n">
        <v>20</v>
      </c>
      <c r="C9108" s="7" t="n">
        <v>13</v>
      </c>
      <c r="D9108" s="7" t="n">
        <v>3</v>
      </c>
      <c r="E9108" s="7" t="n">
        <v>10</v>
      </c>
      <c r="F9108" s="7" t="s">
        <v>108</v>
      </c>
    </row>
    <row r="9109" spans="1:22">
      <c r="A9109" t="s">
        <v>4</v>
      </c>
      <c r="B9109" s="4" t="s">
        <v>5</v>
      </c>
      <c r="C9109" s="4" t="s">
        <v>11</v>
      </c>
    </row>
    <row r="9110" spans="1:22">
      <c r="A9110" t="n">
        <v>85495</v>
      </c>
      <c r="B9110" s="29" t="n">
        <v>16</v>
      </c>
      <c r="C9110" s="7" t="n">
        <v>0</v>
      </c>
    </row>
    <row r="9111" spans="1:22">
      <c r="A9111" t="s">
        <v>4</v>
      </c>
      <c r="B9111" s="4" t="s">
        <v>5</v>
      </c>
      <c r="C9111" s="4" t="s">
        <v>11</v>
      </c>
      <c r="D9111" s="4" t="s">
        <v>15</v>
      </c>
    </row>
    <row r="9112" spans="1:22">
      <c r="A9112" t="n">
        <v>85498</v>
      </c>
      <c r="B9112" s="39" t="n">
        <v>43</v>
      </c>
      <c r="C9112" s="7" t="n">
        <v>13</v>
      </c>
      <c r="D9112" s="7" t="n">
        <v>1</v>
      </c>
    </row>
    <row r="9113" spans="1:22">
      <c r="A9113" t="s">
        <v>4</v>
      </c>
      <c r="B9113" s="4" t="s">
        <v>5</v>
      </c>
      <c r="C9113" s="4" t="s">
        <v>7</v>
      </c>
    </row>
    <row r="9114" spans="1:22">
      <c r="A9114" t="n">
        <v>85505</v>
      </c>
      <c r="B9114" s="49" t="n">
        <v>116</v>
      </c>
      <c r="C9114" s="7" t="n">
        <v>0</v>
      </c>
    </row>
    <row r="9115" spans="1:22">
      <c r="A9115" t="s">
        <v>4</v>
      </c>
      <c r="B9115" s="4" t="s">
        <v>5</v>
      </c>
      <c r="C9115" s="4" t="s">
        <v>7</v>
      </c>
      <c r="D9115" s="4" t="s">
        <v>11</v>
      </c>
    </row>
    <row r="9116" spans="1:22">
      <c r="A9116" t="n">
        <v>85507</v>
      </c>
      <c r="B9116" s="49" t="n">
        <v>116</v>
      </c>
      <c r="C9116" s="7" t="n">
        <v>2</v>
      </c>
      <c r="D9116" s="7" t="n">
        <v>1</v>
      </c>
    </row>
    <row r="9117" spans="1:22">
      <c r="A9117" t="s">
        <v>4</v>
      </c>
      <c r="B9117" s="4" t="s">
        <v>5</v>
      </c>
      <c r="C9117" s="4" t="s">
        <v>7</v>
      </c>
      <c r="D9117" s="4" t="s">
        <v>15</v>
      </c>
    </row>
    <row r="9118" spans="1:22">
      <c r="A9118" t="n">
        <v>85511</v>
      </c>
      <c r="B9118" s="49" t="n">
        <v>116</v>
      </c>
      <c r="C9118" s="7" t="n">
        <v>5</v>
      </c>
      <c r="D9118" s="7" t="n">
        <v>1106247680</v>
      </c>
    </row>
    <row r="9119" spans="1:22">
      <c r="A9119" t="s">
        <v>4</v>
      </c>
      <c r="B9119" s="4" t="s">
        <v>5</v>
      </c>
      <c r="C9119" s="4" t="s">
        <v>7</v>
      </c>
      <c r="D9119" s="4" t="s">
        <v>11</v>
      </c>
    </row>
    <row r="9120" spans="1:22">
      <c r="A9120" t="n">
        <v>85517</v>
      </c>
      <c r="B9120" s="49" t="n">
        <v>116</v>
      </c>
      <c r="C9120" s="7" t="n">
        <v>6</v>
      </c>
      <c r="D9120" s="7" t="n">
        <v>1</v>
      </c>
    </row>
    <row r="9121" spans="1:6">
      <c r="A9121" t="s">
        <v>4</v>
      </c>
      <c r="B9121" s="4" t="s">
        <v>5</v>
      </c>
      <c r="C9121" s="4" t="s">
        <v>7</v>
      </c>
      <c r="D9121" s="4" t="s">
        <v>11</v>
      </c>
      <c r="E9121" s="4" t="s">
        <v>11</v>
      </c>
      <c r="F9121" s="4" t="s">
        <v>15</v>
      </c>
    </row>
    <row r="9122" spans="1:6">
      <c r="A9122" t="n">
        <v>85521</v>
      </c>
      <c r="B9122" s="76" t="n">
        <v>84</v>
      </c>
      <c r="C9122" s="7" t="n">
        <v>0</v>
      </c>
      <c r="D9122" s="7" t="n">
        <v>0</v>
      </c>
      <c r="E9122" s="7" t="n">
        <v>0</v>
      </c>
      <c r="F9122" s="7" t="n">
        <v>1045220557</v>
      </c>
    </row>
    <row r="9123" spans="1:6">
      <c r="A9123" t="s">
        <v>4</v>
      </c>
      <c r="B9123" s="4" t="s">
        <v>5</v>
      </c>
      <c r="C9123" s="4" t="s">
        <v>11</v>
      </c>
      <c r="D9123" s="4" t="s">
        <v>13</v>
      </c>
      <c r="E9123" s="4" t="s">
        <v>13</v>
      </c>
      <c r="F9123" s="4" t="s">
        <v>13</v>
      </c>
      <c r="G9123" s="4" t="s">
        <v>13</v>
      </c>
    </row>
    <row r="9124" spans="1:6">
      <c r="A9124" t="n">
        <v>85531</v>
      </c>
      <c r="B9124" s="36" t="n">
        <v>46</v>
      </c>
      <c r="C9124" s="7" t="n">
        <v>13</v>
      </c>
      <c r="D9124" s="7" t="n">
        <v>7.6100001335144</v>
      </c>
      <c r="E9124" s="7" t="n">
        <v>0</v>
      </c>
      <c r="F9124" s="7" t="n">
        <v>46.0200004577637</v>
      </c>
      <c r="G9124" s="7" t="n">
        <v>272.200012207031</v>
      </c>
    </row>
    <row r="9125" spans="1:6">
      <c r="A9125" t="s">
        <v>4</v>
      </c>
      <c r="B9125" s="4" t="s">
        <v>5</v>
      </c>
      <c r="C9125" s="4" t="s">
        <v>11</v>
      </c>
      <c r="D9125" s="4" t="s">
        <v>13</v>
      </c>
      <c r="E9125" s="4" t="s">
        <v>13</v>
      </c>
      <c r="F9125" s="4" t="s">
        <v>13</v>
      </c>
      <c r="G9125" s="4" t="s">
        <v>13</v>
      </c>
    </row>
    <row r="9126" spans="1:6">
      <c r="A9126" t="n">
        <v>85550</v>
      </c>
      <c r="B9126" s="36" t="n">
        <v>46</v>
      </c>
      <c r="C9126" s="7" t="n">
        <v>0</v>
      </c>
      <c r="D9126" s="7" t="n">
        <v>4.78000020980835</v>
      </c>
      <c r="E9126" s="7" t="n">
        <v>0</v>
      </c>
      <c r="F9126" s="7" t="n">
        <v>45.3300018310547</v>
      </c>
      <c r="G9126" s="7" t="n">
        <v>-102.300003051758</v>
      </c>
    </row>
    <row r="9127" spans="1:6">
      <c r="A9127" t="s">
        <v>4</v>
      </c>
      <c r="B9127" s="4" t="s">
        <v>5</v>
      </c>
      <c r="C9127" s="4" t="s">
        <v>11</v>
      </c>
      <c r="D9127" s="4" t="s">
        <v>7</v>
      </c>
      <c r="E9127" s="4" t="s">
        <v>8</v>
      </c>
      <c r="F9127" s="4" t="s">
        <v>13</v>
      </c>
      <c r="G9127" s="4" t="s">
        <v>13</v>
      </c>
      <c r="H9127" s="4" t="s">
        <v>13</v>
      </c>
    </row>
    <row r="9128" spans="1:6">
      <c r="A9128" t="n">
        <v>85569</v>
      </c>
      <c r="B9128" s="42" t="n">
        <v>48</v>
      </c>
      <c r="C9128" s="7" t="n">
        <v>0</v>
      </c>
      <c r="D9128" s="7" t="n">
        <v>0</v>
      </c>
      <c r="E9128" s="7" t="s">
        <v>275</v>
      </c>
      <c r="F9128" s="7" t="n">
        <v>0</v>
      </c>
      <c r="G9128" s="7" t="n">
        <v>1</v>
      </c>
      <c r="H9128" s="7" t="n">
        <v>0</v>
      </c>
    </row>
    <row r="9129" spans="1:6">
      <c r="A9129" t="s">
        <v>4</v>
      </c>
      <c r="B9129" s="4" t="s">
        <v>5</v>
      </c>
      <c r="C9129" s="4" t="s">
        <v>7</v>
      </c>
      <c r="D9129" s="4" t="s">
        <v>11</v>
      </c>
      <c r="E9129" s="4" t="s">
        <v>8</v>
      </c>
      <c r="F9129" s="4" t="s">
        <v>8</v>
      </c>
      <c r="G9129" s="4" t="s">
        <v>8</v>
      </c>
      <c r="H9129" s="4" t="s">
        <v>8</v>
      </c>
    </row>
    <row r="9130" spans="1:6">
      <c r="A9130" t="n">
        <v>85594</v>
      </c>
      <c r="B9130" s="38" t="n">
        <v>51</v>
      </c>
      <c r="C9130" s="7" t="n">
        <v>3</v>
      </c>
      <c r="D9130" s="7" t="n">
        <v>0</v>
      </c>
      <c r="E9130" s="7" t="s">
        <v>101</v>
      </c>
      <c r="F9130" s="7" t="s">
        <v>99</v>
      </c>
      <c r="G9130" s="7" t="s">
        <v>78</v>
      </c>
      <c r="H9130" s="7" t="s">
        <v>79</v>
      </c>
    </row>
    <row r="9131" spans="1:6">
      <c r="A9131" t="s">
        <v>4</v>
      </c>
      <c r="B9131" s="4" t="s">
        <v>5</v>
      </c>
      <c r="C9131" s="4" t="s">
        <v>7</v>
      </c>
      <c r="D9131" s="4" t="s">
        <v>11</v>
      </c>
      <c r="E9131" s="4" t="s">
        <v>8</v>
      </c>
      <c r="F9131" s="4" t="s">
        <v>8</v>
      </c>
      <c r="G9131" s="4" t="s">
        <v>8</v>
      </c>
      <c r="H9131" s="4" t="s">
        <v>8</v>
      </c>
    </row>
    <row r="9132" spans="1:6">
      <c r="A9132" t="n">
        <v>85615</v>
      </c>
      <c r="B9132" s="38" t="n">
        <v>51</v>
      </c>
      <c r="C9132" s="7" t="n">
        <v>3</v>
      </c>
      <c r="D9132" s="7" t="n">
        <v>13</v>
      </c>
      <c r="E9132" s="7" t="s">
        <v>101</v>
      </c>
      <c r="F9132" s="7" t="s">
        <v>79</v>
      </c>
      <c r="G9132" s="7" t="s">
        <v>78</v>
      </c>
      <c r="H9132" s="7" t="s">
        <v>79</v>
      </c>
    </row>
    <row r="9133" spans="1:6">
      <c r="A9133" t="s">
        <v>4</v>
      </c>
      <c r="B9133" s="4" t="s">
        <v>5</v>
      </c>
      <c r="C9133" s="4" t="s">
        <v>7</v>
      </c>
      <c r="D9133" s="4" t="s">
        <v>11</v>
      </c>
      <c r="E9133" s="4" t="s">
        <v>7</v>
      </c>
      <c r="F9133" s="4" t="s">
        <v>8</v>
      </c>
      <c r="G9133" s="4" t="s">
        <v>8</v>
      </c>
      <c r="H9133" s="4" t="s">
        <v>8</v>
      </c>
      <c r="I9133" s="4" t="s">
        <v>8</v>
      </c>
      <c r="J9133" s="4" t="s">
        <v>8</v>
      </c>
      <c r="K9133" s="4" t="s">
        <v>8</v>
      </c>
      <c r="L9133" s="4" t="s">
        <v>8</v>
      </c>
      <c r="M9133" s="4" t="s">
        <v>8</v>
      </c>
      <c r="N9133" s="4" t="s">
        <v>8</v>
      </c>
      <c r="O9133" s="4" t="s">
        <v>8</v>
      </c>
      <c r="P9133" s="4" t="s">
        <v>8</v>
      </c>
      <c r="Q9133" s="4" t="s">
        <v>8</v>
      </c>
      <c r="R9133" s="4" t="s">
        <v>8</v>
      </c>
      <c r="S9133" s="4" t="s">
        <v>8</v>
      </c>
      <c r="T9133" s="4" t="s">
        <v>8</v>
      </c>
      <c r="U9133" s="4" t="s">
        <v>8</v>
      </c>
    </row>
    <row r="9134" spans="1:6">
      <c r="A9134" t="n">
        <v>85636</v>
      </c>
      <c r="B9134" s="40" t="n">
        <v>36</v>
      </c>
      <c r="C9134" s="7" t="n">
        <v>8</v>
      </c>
      <c r="D9134" s="7" t="n">
        <v>0</v>
      </c>
      <c r="E9134" s="7" t="n">
        <v>0</v>
      </c>
      <c r="F9134" s="7" t="s">
        <v>789</v>
      </c>
      <c r="G9134" s="7" t="s">
        <v>16</v>
      </c>
      <c r="H9134" s="7" t="s">
        <v>16</v>
      </c>
      <c r="I9134" s="7" t="s">
        <v>16</v>
      </c>
      <c r="J9134" s="7" t="s">
        <v>16</v>
      </c>
      <c r="K9134" s="7" t="s">
        <v>16</v>
      </c>
      <c r="L9134" s="7" t="s">
        <v>16</v>
      </c>
      <c r="M9134" s="7" t="s">
        <v>16</v>
      </c>
      <c r="N9134" s="7" t="s">
        <v>16</v>
      </c>
      <c r="O9134" s="7" t="s">
        <v>16</v>
      </c>
      <c r="P9134" s="7" t="s">
        <v>16</v>
      </c>
      <c r="Q9134" s="7" t="s">
        <v>16</v>
      </c>
      <c r="R9134" s="7" t="s">
        <v>16</v>
      </c>
      <c r="S9134" s="7" t="s">
        <v>16</v>
      </c>
      <c r="T9134" s="7" t="s">
        <v>16</v>
      </c>
      <c r="U9134" s="7" t="s">
        <v>16</v>
      </c>
    </row>
    <row r="9135" spans="1:6">
      <c r="A9135" t="s">
        <v>4</v>
      </c>
      <c r="B9135" s="4" t="s">
        <v>5</v>
      </c>
      <c r="C9135" s="4" t="s">
        <v>7</v>
      </c>
      <c r="D9135" s="4" t="s">
        <v>11</v>
      </c>
      <c r="E9135" s="4" t="s">
        <v>7</v>
      </c>
      <c r="F9135" s="4" t="s">
        <v>8</v>
      </c>
      <c r="G9135" s="4" t="s">
        <v>8</v>
      </c>
      <c r="H9135" s="4" t="s">
        <v>8</v>
      </c>
      <c r="I9135" s="4" t="s">
        <v>8</v>
      </c>
      <c r="J9135" s="4" t="s">
        <v>8</v>
      </c>
      <c r="K9135" s="4" t="s">
        <v>8</v>
      </c>
      <c r="L9135" s="4" t="s">
        <v>8</v>
      </c>
      <c r="M9135" s="4" t="s">
        <v>8</v>
      </c>
      <c r="N9135" s="4" t="s">
        <v>8</v>
      </c>
      <c r="O9135" s="4" t="s">
        <v>8</v>
      </c>
      <c r="P9135" s="4" t="s">
        <v>8</v>
      </c>
      <c r="Q9135" s="4" t="s">
        <v>8</v>
      </c>
      <c r="R9135" s="4" t="s">
        <v>8</v>
      </c>
      <c r="S9135" s="4" t="s">
        <v>8</v>
      </c>
      <c r="T9135" s="4" t="s">
        <v>8</v>
      </c>
      <c r="U9135" s="4" t="s">
        <v>8</v>
      </c>
    </row>
    <row r="9136" spans="1:6">
      <c r="A9136" t="n">
        <v>85666</v>
      </c>
      <c r="B9136" s="40" t="n">
        <v>36</v>
      </c>
      <c r="C9136" s="7" t="n">
        <v>8</v>
      </c>
      <c r="D9136" s="7" t="n">
        <v>13</v>
      </c>
      <c r="E9136" s="7" t="n">
        <v>0</v>
      </c>
      <c r="F9136" s="7" t="s">
        <v>789</v>
      </c>
      <c r="G9136" s="7" t="s">
        <v>480</v>
      </c>
      <c r="H9136" s="7" t="s">
        <v>91</v>
      </c>
      <c r="I9136" s="7" t="s">
        <v>392</v>
      </c>
      <c r="J9136" s="7" t="s">
        <v>16</v>
      </c>
      <c r="K9136" s="7" t="s">
        <v>16</v>
      </c>
      <c r="L9136" s="7" t="s">
        <v>16</v>
      </c>
      <c r="M9136" s="7" t="s">
        <v>16</v>
      </c>
      <c r="N9136" s="7" t="s">
        <v>16</v>
      </c>
      <c r="O9136" s="7" t="s">
        <v>16</v>
      </c>
      <c r="P9136" s="7" t="s">
        <v>16</v>
      </c>
      <c r="Q9136" s="7" t="s">
        <v>16</v>
      </c>
      <c r="R9136" s="7" t="s">
        <v>16</v>
      </c>
      <c r="S9136" s="7" t="s">
        <v>16</v>
      </c>
      <c r="T9136" s="7" t="s">
        <v>16</v>
      </c>
      <c r="U9136" s="7" t="s">
        <v>16</v>
      </c>
    </row>
    <row r="9137" spans="1:21">
      <c r="A9137" t="s">
        <v>4</v>
      </c>
      <c r="B9137" s="4" t="s">
        <v>5</v>
      </c>
      <c r="C9137" s="4" t="s">
        <v>7</v>
      </c>
      <c r="D9137" s="4" t="s">
        <v>7</v>
      </c>
      <c r="E9137" s="4" t="s">
        <v>13</v>
      </c>
      <c r="F9137" s="4" t="s">
        <v>13</v>
      </c>
      <c r="G9137" s="4" t="s">
        <v>13</v>
      </c>
      <c r="H9137" s="4" t="s">
        <v>11</v>
      </c>
    </row>
    <row r="9138" spans="1:21">
      <c r="A9138" t="n">
        <v>85734</v>
      </c>
      <c r="B9138" s="51" t="n">
        <v>45</v>
      </c>
      <c r="C9138" s="7" t="n">
        <v>2</v>
      </c>
      <c r="D9138" s="7" t="n">
        <v>3</v>
      </c>
      <c r="E9138" s="7" t="n">
        <v>-3</v>
      </c>
      <c r="F9138" s="7" t="n">
        <v>2.89000010490417</v>
      </c>
      <c r="G9138" s="7" t="n">
        <v>41.3699989318848</v>
      </c>
      <c r="H9138" s="7" t="n">
        <v>0</v>
      </c>
    </row>
    <row r="9139" spans="1:21">
      <c r="A9139" t="s">
        <v>4</v>
      </c>
      <c r="B9139" s="4" t="s">
        <v>5</v>
      </c>
      <c r="C9139" s="4" t="s">
        <v>7</v>
      </c>
      <c r="D9139" s="4" t="s">
        <v>7</v>
      </c>
      <c r="E9139" s="4" t="s">
        <v>13</v>
      </c>
      <c r="F9139" s="4" t="s">
        <v>13</v>
      </c>
      <c r="G9139" s="4" t="s">
        <v>13</v>
      </c>
      <c r="H9139" s="4" t="s">
        <v>11</v>
      </c>
      <c r="I9139" s="4" t="s">
        <v>7</v>
      </c>
    </row>
    <row r="9140" spans="1:21">
      <c r="A9140" t="n">
        <v>85751</v>
      </c>
      <c r="B9140" s="51" t="n">
        <v>45</v>
      </c>
      <c r="C9140" s="7" t="n">
        <v>4</v>
      </c>
      <c r="D9140" s="7" t="n">
        <v>3</v>
      </c>
      <c r="E9140" s="7" t="n">
        <v>0.649999976158142</v>
      </c>
      <c r="F9140" s="7" t="n">
        <v>105.529998779297</v>
      </c>
      <c r="G9140" s="7" t="n">
        <v>0</v>
      </c>
      <c r="H9140" s="7" t="n">
        <v>0</v>
      </c>
      <c r="I9140" s="7" t="n">
        <v>0</v>
      </c>
    </row>
    <row r="9141" spans="1:21">
      <c r="A9141" t="s">
        <v>4</v>
      </c>
      <c r="B9141" s="4" t="s">
        <v>5</v>
      </c>
      <c r="C9141" s="4" t="s">
        <v>7</v>
      </c>
      <c r="D9141" s="4" t="s">
        <v>7</v>
      </c>
      <c r="E9141" s="4" t="s">
        <v>13</v>
      </c>
      <c r="F9141" s="4" t="s">
        <v>11</v>
      </c>
    </row>
    <row r="9142" spans="1:21">
      <c r="A9142" t="n">
        <v>85769</v>
      </c>
      <c r="B9142" s="51" t="n">
        <v>45</v>
      </c>
      <c r="C9142" s="7" t="n">
        <v>5</v>
      </c>
      <c r="D9142" s="7" t="n">
        <v>3</v>
      </c>
      <c r="E9142" s="7" t="n">
        <v>2.40000009536743</v>
      </c>
      <c r="F9142" s="7" t="n">
        <v>0</v>
      </c>
    </row>
    <row r="9143" spans="1:21">
      <c r="A9143" t="s">
        <v>4</v>
      </c>
      <c r="B9143" s="4" t="s">
        <v>5</v>
      </c>
      <c r="C9143" s="4" t="s">
        <v>7</v>
      </c>
      <c r="D9143" s="4" t="s">
        <v>7</v>
      </c>
      <c r="E9143" s="4" t="s">
        <v>13</v>
      </c>
      <c r="F9143" s="4" t="s">
        <v>11</v>
      </c>
    </row>
    <row r="9144" spans="1:21">
      <c r="A9144" t="n">
        <v>85778</v>
      </c>
      <c r="B9144" s="51" t="n">
        <v>45</v>
      </c>
      <c r="C9144" s="7" t="n">
        <v>11</v>
      </c>
      <c r="D9144" s="7" t="n">
        <v>3</v>
      </c>
      <c r="E9144" s="7" t="n">
        <v>33.4000015258789</v>
      </c>
      <c r="F9144" s="7" t="n">
        <v>0</v>
      </c>
    </row>
    <row r="9145" spans="1:21">
      <c r="A9145" t="s">
        <v>4</v>
      </c>
      <c r="B9145" s="4" t="s">
        <v>5</v>
      </c>
      <c r="C9145" s="4" t="s">
        <v>11</v>
      </c>
      <c r="D9145" s="4" t="s">
        <v>13</v>
      </c>
      <c r="E9145" s="4" t="s">
        <v>13</v>
      </c>
      <c r="F9145" s="4" t="s">
        <v>13</v>
      </c>
      <c r="G9145" s="4" t="s">
        <v>11</v>
      </c>
      <c r="H9145" s="4" t="s">
        <v>11</v>
      </c>
    </row>
    <row r="9146" spans="1:21">
      <c r="A9146" t="n">
        <v>85787</v>
      </c>
      <c r="B9146" s="37" t="n">
        <v>60</v>
      </c>
      <c r="C9146" s="7" t="n">
        <v>0</v>
      </c>
      <c r="D9146" s="7" t="n">
        <v>0</v>
      </c>
      <c r="E9146" s="7" t="n">
        <v>20</v>
      </c>
      <c r="F9146" s="7" t="n">
        <v>0</v>
      </c>
      <c r="G9146" s="7" t="n">
        <v>0</v>
      </c>
      <c r="H9146" s="7" t="n">
        <v>0</v>
      </c>
    </row>
    <row r="9147" spans="1:21">
      <c r="A9147" t="s">
        <v>4</v>
      </c>
      <c r="B9147" s="4" t="s">
        <v>5</v>
      </c>
      <c r="C9147" s="4" t="s">
        <v>7</v>
      </c>
      <c r="D9147" s="4" t="s">
        <v>7</v>
      </c>
      <c r="E9147" s="4" t="s">
        <v>7</v>
      </c>
      <c r="F9147" s="4" t="s">
        <v>13</v>
      </c>
      <c r="G9147" s="4" t="s">
        <v>13</v>
      </c>
      <c r="H9147" s="4" t="s">
        <v>13</v>
      </c>
      <c r="I9147" s="4" t="s">
        <v>13</v>
      </c>
      <c r="J9147" s="4" t="s">
        <v>13</v>
      </c>
    </row>
    <row r="9148" spans="1:21">
      <c r="A9148" t="n">
        <v>85806</v>
      </c>
      <c r="B9148" s="25" t="n">
        <v>76</v>
      </c>
      <c r="C9148" s="7" t="n">
        <v>0</v>
      </c>
      <c r="D9148" s="7" t="n">
        <v>3</v>
      </c>
      <c r="E9148" s="7" t="n">
        <v>2</v>
      </c>
      <c r="F9148" s="7" t="n">
        <v>1</v>
      </c>
      <c r="G9148" s="7" t="n">
        <v>1</v>
      </c>
      <c r="H9148" s="7" t="n">
        <v>1</v>
      </c>
      <c r="I9148" s="7" t="n">
        <v>1</v>
      </c>
      <c r="J9148" s="7" t="n">
        <v>2000</v>
      </c>
    </row>
    <row r="9149" spans="1:21">
      <c r="A9149" t="s">
        <v>4</v>
      </c>
      <c r="B9149" s="4" t="s">
        <v>5</v>
      </c>
      <c r="C9149" s="4" t="s">
        <v>7</v>
      </c>
      <c r="D9149" s="4" t="s">
        <v>7</v>
      </c>
      <c r="E9149" s="4" t="s">
        <v>7</v>
      </c>
      <c r="F9149" s="4" t="s">
        <v>13</v>
      </c>
      <c r="G9149" s="4" t="s">
        <v>13</v>
      </c>
      <c r="H9149" s="4" t="s">
        <v>13</v>
      </c>
      <c r="I9149" s="4" t="s">
        <v>13</v>
      </c>
      <c r="J9149" s="4" t="s">
        <v>13</v>
      </c>
    </row>
    <row r="9150" spans="1:21">
      <c r="A9150" t="n">
        <v>85830</v>
      </c>
      <c r="B9150" s="25" t="n">
        <v>76</v>
      </c>
      <c r="C9150" s="7" t="n">
        <v>0</v>
      </c>
      <c r="D9150" s="7" t="n">
        <v>0</v>
      </c>
      <c r="E9150" s="7" t="n">
        <v>2</v>
      </c>
      <c r="F9150" s="7" t="n">
        <v>64</v>
      </c>
      <c r="G9150" s="7" t="n">
        <v>0</v>
      </c>
      <c r="H9150" s="7" t="n">
        <v>2000</v>
      </c>
      <c r="I9150" s="7" t="n">
        <v>0</v>
      </c>
      <c r="J9150" s="7" t="n">
        <v>0</v>
      </c>
    </row>
    <row r="9151" spans="1:21">
      <c r="A9151" t="s">
        <v>4</v>
      </c>
      <c r="B9151" s="4" t="s">
        <v>5</v>
      </c>
      <c r="C9151" s="4" t="s">
        <v>7</v>
      </c>
      <c r="D9151" s="4" t="s">
        <v>7</v>
      </c>
    </row>
    <row r="9152" spans="1:21">
      <c r="A9152" t="n">
        <v>85854</v>
      </c>
      <c r="B9152" s="26" t="n">
        <v>77</v>
      </c>
      <c r="C9152" s="7" t="n">
        <v>0</v>
      </c>
      <c r="D9152" s="7" t="n">
        <v>3</v>
      </c>
    </row>
    <row r="9153" spans="1:10">
      <c r="A9153" t="s">
        <v>4</v>
      </c>
      <c r="B9153" s="4" t="s">
        <v>5</v>
      </c>
      <c r="C9153" s="4" t="s">
        <v>7</v>
      </c>
      <c r="D9153" s="4" t="s">
        <v>7</v>
      </c>
    </row>
    <row r="9154" spans="1:10">
      <c r="A9154" t="n">
        <v>85857</v>
      </c>
      <c r="B9154" s="26" t="n">
        <v>77</v>
      </c>
      <c r="C9154" s="7" t="n">
        <v>0</v>
      </c>
      <c r="D9154" s="7" t="n">
        <v>0</v>
      </c>
    </row>
    <row r="9155" spans="1:10">
      <c r="A9155" t="s">
        <v>4</v>
      </c>
      <c r="B9155" s="4" t="s">
        <v>5</v>
      </c>
      <c r="C9155" s="4" t="s">
        <v>11</v>
      </c>
    </row>
    <row r="9156" spans="1:10">
      <c r="A9156" t="n">
        <v>85860</v>
      </c>
      <c r="B9156" s="29" t="n">
        <v>16</v>
      </c>
      <c r="C9156" s="7" t="n">
        <v>2000</v>
      </c>
    </row>
    <row r="9157" spans="1:10">
      <c r="A9157" t="s">
        <v>4</v>
      </c>
      <c r="B9157" s="4" t="s">
        <v>5</v>
      </c>
      <c r="C9157" s="4" t="s">
        <v>7</v>
      </c>
      <c r="D9157" s="4" t="s">
        <v>11</v>
      </c>
      <c r="E9157" s="4" t="s">
        <v>15</v>
      </c>
      <c r="F9157" s="4" t="s">
        <v>11</v>
      </c>
      <c r="G9157" s="4" t="s">
        <v>15</v>
      </c>
      <c r="H9157" s="4" t="s">
        <v>7</v>
      </c>
    </row>
    <row r="9158" spans="1:10">
      <c r="A9158" t="n">
        <v>85863</v>
      </c>
      <c r="B9158" s="13" t="n">
        <v>49</v>
      </c>
      <c r="C9158" s="7" t="n">
        <v>0</v>
      </c>
      <c r="D9158" s="7" t="n">
        <v>514</v>
      </c>
      <c r="E9158" s="7" t="n">
        <v>1065353216</v>
      </c>
      <c r="F9158" s="7" t="n">
        <v>0</v>
      </c>
      <c r="G9158" s="7" t="n">
        <v>0</v>
      </c>
      <c r="H9158" s="7" t="n">
        <v>0</v>
      </c>
    </row>
    <row r="9159" spans="1:10">
      <c r="A9159" t="s">
        <v>4</v>
      </c>
      <c r="B9159" s="4" t="s">
        <v>5</v>
      </c>
      <c r="C9159" s="4" t="s">
        <v>7</v>
      </c>
      <c r="D9159" s="4" t="s">
        <v>7</v>
      </c>
      <c r="E9159" s="4" t="s">
        <v>7</v>
      </c>
      <c r="F9159" s="4" t="s">
        <v>13</v>
      </c>
      <c r="G9159" s="4" t="s">
        <v>13</v>
      </c>
      <c r="H9159" s="4" t="s">
        <v>13</v>
      </c>
      <c r="I9159" s="4" t="s">
        <v>13</v>
      </c>
      <c r="J9159" s="4" t="s">
        <v>13</v>
      </c>
    </row>
    <row r="9160" spans="1:10">
      <c r="A9160" t="n">
        <v>85878</v>
      </c>
      <c r="B9160" s="25" t="n">
        <v>76</v>
      </c>
      <c r="C9160" s="7" t="n">
        <v>0</v>
      </c>
      <c r="D9160" s="7" t="n">
        <v>3</v>
      </c>
      <c r="E9160" s="7" t="n">
        <v>1</v>
      </c>
      <c r="F9160" s="7" t="n">
        <v>1</v>
      </c>
      <c r="G9160" s="7" t="n">
        <v>1</v>
      </c>
      <c r="H9160" s="7" t="n">
        <v>1</v>
      </c>
      <c r="I9160" s="7" t="n">
        <v>0</v>
      </c>
      <c r="J9160" s="7" t="n">
        <v>2000</v>
      </c>
    </row>
    <row r="9161" spans="1:10">
      <c r="A9161" t="s">
        <v>4</v>
      </c>
      <c r="B9161" s="4" t="s">
        <v>5</v>
      </c>
      <c r="C9161" s="4" t="s">
        <v>7</v>
      </c>
      <c r="D9161" s="4" t="s">
        <v>7</v>
      </c>
      <c r="E9161" s="4" t="s">
        <v>7</v>
      </c>
      <c r="F9161" s="4" t="s">
        <v>13</v>
      </c>
      <c r="G9161" s="4" t="s">
        <v>13</v>
      </c>
      <c r="H9161" s="4" t="s">
        <v>13</v>
      </c>
      <c r="I9161" s="4" t="s">
        <v>13</v>
      </c>
      <c r="J9161" s="4" t="s">
        <v>13</v>
      </c>
    </row>
    <row r="9162" spans="1:10">
      <c r="A9162" t="n">
        <v>85902</v>
      </c>
      <c r="B9162" s="25" t="n">
        <v>76</v>
      </c>
      <c r="C9162" s="7" t="n">
        <v>0</v>
      </c>
      <c r="D9162" s="7" t="n">
        <v>0</v>
      </c>
      <c r="E9162" s="7" t="n">
        <v>1</v>
      </c>
      <c r="F9162" s="7" t="n">
        <v>128</v>
      </c>
      <c r="G9162" s="7" t="n">
        <v>0</v>
      </c>
      <c r="H9162" s="7" t="n">
        <v>2000</v>
      </c>
      <c r="I9162" s="7" t="n">
        <v>0</v>
      </c>
      <c r="J9162" s="7" t="n">
        <v>0</v>
      </c>
    </row>
    <row r="9163" spans="1:10">
      <c r="A9163" t="s">
        <v>4</v>
      </c>
      <c r="B9163" s="4" t="s">
        <v>5</v>
      </c>
      <c r="C9163" s="4" t="s">
        <v>7</v>
      </c>
      <c r="D9163" s="4" t="s">
        <v>7</v>
      </c>
    </row>
    <row r="9164" spans="1:10">
      <c r="A9164" t="n">
        <v>85926</v>
      </c>
      <c r="B9164" s="26" t="n">
        <v>77</v>
      </c>
      <c r="C9164" s="7" t="n">
        <v>0</v>
      </c>
      <c r="D9164" s="7" t="n">
        <v>3</v>
      </c>
    </row>
    <row r="9165" spans="1:10">
      <c r="A9165" t="s">
        <v>4</v>
      </c>
      <c r="B9165" s="4" t="s">
        <v>5</v>
      </c>
      <c r="C9165" s="4" t="s">
        <v>7</v>
      </c>
      <c r="D9165" s="4" t="s">
        <v>7</v>
      </c>
    </row>
    <row r="9166" spans="1:10">
      <c r="A9166" t="n">
        <v>85929</v>
      </c>
      <c r="B9166" s="26" t="n">
        <v>77</v>
      </c>
      <c r="C9166" s="7" t="n">
        <v>0</v>
      </c>
      <c r="D9166" s="7" t="n">
        <v>0</v>
      </c>
    </row>
    <row r="9167" spans="1:10">
      <c r="A9167" t="s">
        <v>4</v>
      </c>
      <c r="B9167" s="4" t="s">
        <v>5</v>
      </c>
      <c r="C9167" s="4" t="s">
        <v>7</v>
      </c>
      <c r="D9167" s="4" t="s">
        <v>7</v>
      </c>
      <c r="E9167" s="4" t="s">
        <v>13</v>
      </c>
      <c r="F9167" s="4" t="s">
        <v>13</v>
      </c>
      <c r="G9167" s="4" t="s">
        <v>13</v>
      </c>
      <c r="H9167" s="4" t="s">
        <v>11</v>
      </c>
    </row>
    <row r="9168" spans="1:10">
      <c r="A9168" t="n">
        <v>85932</v>
      </c>
      <c r="B9168" s="51" t="n">
        <v>45</v>
      </c>
      <c r="C9168" s="7" t="n">
        <v>2</v>
      </c>
      <c r="D9168" s="7" t="n">
        <v>3</v>
      </c>
      <c r="E9168" s="7" t="n">
        <v>5.23999977111816</v>
      </c>
      <c r="F9168" s="7" t="n">
        <v>2.15000009536743</v>
      </c>
      <c r="G9168" s="7" t="n">
        <v>43.8600006103516</v>
      </c>
      <c r="H9168" s="7" t="n">
        <v>8000</v>
      </c>
    </row>
    <row r="9169" spans="1:10">
      <c r="A9169" t="s">
        <v>4</v>
      </c>
      <c r="B9169" s="4" t="s">
        <v>5</v>
      </c>
      <c r="C9169" s="4" t="s">
        <v>7</v>
      </c>
      <c r="D9169" s="4" t="s">
        <v>7</v>
      </c>
      <c r="E9169" s="4" t="s">
        <v>13</v>
      </c>
      <c r="F9169" s="4" t="s">
        <v>13</v>
      </c>
      <c r="G9169" s="4" t="s">
        <v>13</v>
      </c>
      <c r="H9169" s="4" t="s">
        <v>11</v>
      </c>
      <c r="I9169" s="4" t="s">
        <v>7</v>
      </c>
    </row>
    <row r="9170" spans="1:10">
      <c r="A9170" t="n">
        <v>85949</v>
      </c>
      <c r="B9170" s="51" t="n">
        <v>45</v>
      </c>
      <c r="C9170" s="7" t="n">
        <v>4</v>
      </c>
      <c r="D9170" s="7" t="n">
        <v>3</v>
      </c>
      <c r="E9170" s="7" t="n">
        <v>12.4799995422363</v>
      </c>
      <c r="F9170" s="7" t="n">
        <v>144.25</v>
      </c>
      <c r="G9170" s="7" t="n">
        <v>0</v>
      </c>
      <c r="H9170" s="7" t="n">
        <v>8000</v>
      </c>
      <c r="I9170" s="7" t="n">
        <v>0</v>
      </c>
    </row>
    <row r="9171" spans="1:10">
      <c r="A9171" t="s">
        <v>4</v>
      </c>
      <c r="B9171" s="4" t="s">
        <v>5</v>
      </c>
      <c r="C9171" s="4" t="s">
        <v>7</v>
      </c>
      <c r="D9171" s="4" t="s">
        <v>7</v>
      </c>
      <c r="E9171" s="4" t="s">
        <v>13</v>
      </c>
      <c r="F9171" s="4" t="s">
        <v>11</v>
      </c>
    </row>
    <row r="9172" spans="1:10">
      <c r="A9172" t="n">
        <v>85967</v>
      </c>
      <c r="B9172" s="51" t="n">
        <v>45</v>
      </c>
      <c r="C9172" s="7" t="n">
        <v>5</v>
      </c>
      <c r="D9172" s="7" t="n">
        <v>3</v>
      </c>
      <c r="E9172" s="7" t="n">
        <v>2.40000009536743</v>
      </c>
      <c r="F9172" s="7" t="n">
        <v>8000</v>
      </c>
    </row>
    <row r="9173" spans="1:10">
      <c r="A9173" t="s">
        <v>4</v>
      </c>
      <c r="B9173" s="4" t="s">
        <v>5</v>
      </c>
      <c r="C9173" s="4" t="s">
        <v>7</v>
      </c>
      <c r="D9173" s="4" t="s">
        <v>7</v>
      </c>
      <c r="E9173" s="4" t="s">
        <v>13</v>
      </c>
      <c r="F9173" s="4" t="s">
        <v>11</v>
      </c>
    </row>
    <row r="9174" spans="1:10">
      <c r="A9174" t="n">
        <v>85976</v>
      </c>
      <c r="B9174" s="51" t="n">
        <v>45</v>
      </c>
      <c r="C9174" s="7" t="n">
        <v>11</v>
      </c>
      <c r="D9174" s="7" t="n">
        <v>3</v>
      </c>
      <c r="E9174" s="7" t="n">
        <v>33.4000015258789</v>
      </c>
      <c r="F9174" s="7" t="n">
        <v>8000</v>
      </c>
    </row>
    <row r="9175" spans="1:10">
      <c r="A9175" t="s">
        <v>4</v>
      </c>
      <c r="B9175" s="4" t="s">
        <v>5</v>
      </c>
      <c r="C9175" s="4" t="s">
        <v>7</v>
      </c>
      <c r="D9175" s="4" t="s">
        <v>11</v>
      </c>
      <c r="E9175" s="4" t="s">
        <v>13</v>
      </c>
    </row>
    <row r="9176" spans="1:10">
      <c r="A9176" t="n">
        <v>85985</v>
      </c>
      <c r="B9176" s="23" t="n">
        <v>58</v>
      </c>
      <c r="C9176" s="7" t="n">
        <v>100</v>
      </c>
      <c r="D9176" s="7" t="n">
        <v>1000</v>
      </c>
      <c r="E9176" s="7" t="n">
        <v>1</v>
      </c>
    </row>
    <row r="9177" spans="1:10">
      <c r="A9177" t="s">
        <v>4</v>
      </c>
      <c r="B9177" s="4" t="s">
        <v>5</v>
      </c>
      <c r="C9177" s="4" t="s">
        <v>7</v>
      </c>
      <c r="D9177" s="4" t="s">
        <v>11</v>
      </c>
    </row>
    <row r="9178" spans="1:10">
      <c r="A9178" t="n">
        <v>85993</v>
      </c>
      <c r="B9178" s="23" t="n">
        <v>58</v>
      </c>
      <c r="C9178" s="7" t="n">
        <v>255</v>
      </c>
      <c r="D9178" s="7" t="n">
        <v>0</v>
      </c>
    </row>
    <row r="9179" spans="1:10">
      <c r="A9179" t="s">
        <v>4</v>
      </c>
      <c r="B9179" s="4" t="s">
        <v>5</v>
      </c>
      <c r="C9179" s="4" t="s">
        <v>7</v>
      </c>
      <c r="D9179" s="4" t="s">
        <v>11</v>
      </c>
    </row>
    <row r="9180" spans="1:10">
      <c r="A9180" t="n">
        <v>85997</v>
      </c>
      <c r="B9180" s="51" t="n">
        <v>45</v>
      </c>
      <c r="C9180" s="7" t="n">
        <v>7</v>
      </c>
      <c r="D9180" s="7" t="n">
        <v>255</v>
      </c>
    </row>
    <row r="9181" spans="1:10">
      <c r="A9181" t="s">
        <v>4</v>
      </c>
      <c r="B9181" s="4" t="s">
        <v>5</v>
      </c>
      <c r="C9181" s="4" t="s">
        <v>7</v>
      </c>
      <c r="D9181" s="4" t="s">
        <v>11</v>
      </c>
      <c r="E9181" s="4" t="s">
        <v>13</v>
      </c>
    </row>
    <row r="9182" spans="1:10">
      <c r="A9182" t="n">
        <v>86001</v>
      </c>
      <c r="B9182" s="23" t="n">
        <v>58</v>
      </c>
      <c r="C9182" s="7" t="n">
        <v>101</v>
      </c>
      <c r="D9182" s="7" t="n">
        <v>800</v>
      </c>
      <c r="E9182" s="7" t="n">
        <v>1</v>
      </c>
    </row>
    <row r="9183" spans="1:10">
      <c r="A9183" t="s">
        <v>4</v>
      </c>
      <c r="B9183" s="4" t="s">
        <v>5</v>
      </c>
      <c r="C9183" s="4" t="s">
        <v>7</v>
      </c>
      <c r="D9183" s="4" t="s">
        <v>11</v>
      </c>
    </row>
    <row r="9184" spans="1:10">
      <c r="A9184" t="n">
        <v>86009</v>
      </c>
      <c r="B9184" s="23" t="n">
        <v>58</v>
      </c>
      <c r="C9184" s="7" t="n">
        <v>254</v>
      </c>
      <c r="D9184" s="7" t="n">
        <v>0</v>
      </c>
    </row>
    <row r="9185" spans="1:9">
      <c r="A9185" t="s">
        <v>4</v>
      </c>
      <c r="B9185" s="4" t="s">
        <v>5</v>
      </c>
      <c r="C9185" s="4" t="s">
        <v>7</v>
      </c>
      <c r="D9185" s="4" t="s">
        <v>7</v>
      </c>
      <c r="E9185" s="4" t="s">
        <v>13</v>
      </c>
      <c r="F9185" s="4" t="s">
        <v>13</v>
      </c>
      <c r="G9185" s="4" t="s">
        <v>13</v>
      </c>
      <c r="H9185" s="4" t="s">
        <v>11</v>
      </c>
    </row>
    <row r="9186" spans="1:9">
      <c r="A9186" t="n">
        <v>86013</v>
      </c>
      <c r="B9186" s="51" t="n">
        <v>45</v>
      </c>
      <c r="C9186" s="7" t="n">
        <v>2</v>
      </c>
      <c r="D9186" s="7" t="n">
        <v>3</v>
      </c>
      <c r="E9186" s="7" t="n">
        <v>4.26999998092651</v>
      </c>
      <c r="F9186" s="7" t="n">
        <v>2.44000005722046</v>
      </c>
      <c r="G9186" s="7" t="n">
        <v>44.1500015258789</v>
      </c>
      <c r="H9186" s="7" t="n">
        <v>0</v>
      </c>
    </row>
    <row r="9187" spans="1:9">
      <c r="A9187" t="s">
        <v>4</v>
      </c>
      <c r="B9187" s="4" t="s">
        <v>5</v>
      </c>
      <c r="C9187" s="4" t="s">
        <v>7</v>
      </c>
      <c r="D9187" s="4" t="s">
        <v>7</v>
      </c>
      <c r="E9187" s="4" t="s">
        <v>13</v>
      </c>
      <c r="F9187" s="4" t="s">
        <v>13</v>
      </c>
      <c r="G9187" s="4" t="s">
        <v>13</v>
      </c>
      <c r="H9187" s="4" t="s">
        <v>11</v>
      </c>
      <c r="I9187" s="4" t="s">
        <v>7</v>
      </c>
    </row>
    <row r="9188" spans="1:9">
      <c r="A9188" t="n">
        <v>86030</v>
      </c>
      <c r="B9188" s="51" t="n">
        <v>45</v>
      </c>
      <c r="C9188" s="7" t="n">
        <v>4</v>
      </c>
      <c r="D9188" s="7" t="n">
        <v>3</v>
      </c>
      <c r="E9188" s="7" t="n">
        <v>357.880004882813</v>
      </c>
      <c r="F9188" s="7" t="n">
        <v>321.779998779297</v>
      </c>
      <c r="G9188" s="7" t="n">
        <v>0</v>
      </c>
      <c r="H9188" s="7" t="n">
        <v>0</v>
      </c>
      <c r="I9188" s="7" t="n">
        <v>0</v>
      </c>
    </row>
    <row r="9189" spans="1:9">
      <c r="A9189" t="s">
        <v>4</v>
      </c>
      <c r="B9189" s="4" t="s">
        <v>5</v>
      </c>
      <c r="C9189" s="4" t="s">
        <v>7</v>
      </c>
      <c r="D9189" s="4" t="s">
        <v>7</v>
      </c>
      <c r="E9189" s="4" t="s">
        <v>13</v>
      </c>
      <c r="F9189" s="4" t="s">
        <v>11</v>
      </c>
    </row>
    <row r="9190" spans="1:9">
      <c r="A9190" t="n">
        <v>86048</v>
      </c>
      <c r="B9190" s="51" t="n">
        <v>45</v>
      </c>
      <c r="C9190" s="7" t="n">
        <v>5</v>
      </c>
      <c r="D9190" s="7" t="n">
        <v>3</v>
      </c>
      <c r="E9190" s="7" t="n">
        <v>2.40000009536743</v>
      </c>
      <c r="F9190" s="7" t="n">
        <v>0</v>
      </c>
    </row>
    <row r="9191" spans="1:9">
      <c r="A9191" t="s">
        <v>4</v>
      </c>
      <c r="B9191" s="4" t="s">
        <v>5</v>
      </c>
      <c r="C9191" s="4" t="s">
        <v>7</v>
      </c>
      <c r="D9191" s="4" t="s">
        <v>7</v>
      </c>
      <c r="E9191" s="4" t="s">
        <v>13</v>
      </c>
      <c r="F9191" s="4" t="s">
        <v>11</v>
      </c>
    </row>
    <row r="9192" spans="1:9">
      <c r="A9192" t="n">
        <v>86057</v>
      </c>
      <c r="B9192" s="51" t="n">
        <v>45</v>
      </c>
      <c r="C9192" s="7" t="n">
        <v>11</v>
      </c>
      <c r="D9192" s="7" t="n">
        <v>3</v>
      </c>
      <c r="E9192" s="7" t="n">
        <v>33.4000015258789</v>
      </c>
      <c r="F9192" s="7" t="n">
        <v>0</v>
      </c>
    </row>
    <row r="9193" spans="1:9">
      <c r="A9193" t="s">
        <v>4</v>
      </c>
      <c r="B9193" s="4" t="s">
        <v>5</v>
      </c>
      <c r="C9193" s="4" t="s">
        <v>7</v>
      </c>
      <c r="D9193" s="4" t="s">
        <v>7</v>
      </c>
      <c r="E9193" s="4" t="s">
        <v>13</v>
      </c>
      <c r="F9193" s="4" t="s">
        <v>13</v>
      </c>
      <c r="G9193" s="4" t="s">
        <v>13</v>
      </c>
      <c r="H9193" s="4" t="s">
        <v>11</v>
      </c>
    </row>
    <row r="9194" spans="1:9">
      <c r="A9194" t="n">
        <v>86066</v>
      </c>
      <c r="B9194" s="51" t="n">
        <v>45</v>
      </c>
      <c r="C9194" s="7" t="n">
        <v>2</v>
      </c>
      <c r="D9194" s="7" t="n">
        <v>3</v>
      </c>
      <c r="E9194" s="7" t="n">
        <v>4.76999998092651</v>
      </c>
      <c r="F9194" s="7" t="n">
        <v>1.45000004768372</v>
      </c>
      <c r="G9194" s="7" t="n">
        <v>45.2599983215332</v>
      </c>
      <c r="H9194" s="7" t="n">
        <v>8000</v>
      </c>
    </row>
    <row r="9195" spans="1:9">
      <c r="A9195" t="s">
        <v>4</v>
      </c>
      <c r="B9195" s="4" t="s">
        <v>5</v>
      </c>
      <c r="C9195" s="4" t="s">
        <v>7</v>
      </c>
      <c r="D9195" s="4" t="s">
        <v>7</v>
      </c>
      <c r="E9195" s="4" t="s">
        <v>13</v>
      </c>
      <c r="F9195" s="4" t="s">
        <v>13</v>
      </c>
      <c r="G9195" s="4" t="s">
        <v>13</v>
      </c>
      <c r="H9195" s="4" t="s">
        <v>11</v>
      </c>
      <c r="I9195" s="4" t="s">
        <v>7</v>
      </c>
    </row>
    <row r="9196" spans="1:9">
      <c r="A9196" t="n">
        <v>86083</v>
      </c>
      <c r="B9196" s="51" t="n">
        <v>45</v>
      </c>
      <c r="C9196" s="7" t="n">
        <v>4</v>
      </c>
      <c r="D9196" s="7" t="n">
        <v>3</v>
      </c>
      <c r="E9196" s="7" t="n">
        <v>358.660003662109</v>
      </c>
      <c r="F9196" s="7" t="n">
        <v>283.079986572266</v>
      </c>
      <c r="G9196" s="7" t="n">
        <v>0</v>
      </c>
      <c r="H9196" s="7" t="n">
        <v>8000</v>
      </c>
      <c r="I9196" s="7" t="n">
        <v>0</v>
      </c>
    </row>
    <row r="9197" spans="1:9">
      <c r="A9197" t="s">
        <v>4</v>
      </c>
      <c r="B9197" s="4" t="s">
        <v>5</v>
      </c>
      <c r="C9197" s="4" t="s">
        <v>7</v>
      </c>
      <c r="D9197" s="4" t="s">
        <v>7</v>
      </c>
      <c r="E9197" s="4" t="s">
        <v>13</v>
      </c>
      <c r="F9197" s="4" t="s">
        <v>11</v>
      </c>
    </row>
    <row r="9198" spans="1:9">
      <c r="A9198" t="n">
        <v>86101</v>
      </c>
      <c r="B9198" s="51" t="n">
        <v>45</v>
      </c>
      <c r="C9198" s="7" t="n">
        <v>5</v>
      </c>
      <c r="D9198" s="7" t="n">
        <v>3</v>
      </c>
      <c r="E9198" s="7" t="n">
        <v>2</v>
      </c>
      <c r="F9198" s="7" t="n">
        <v>8000</v>
      </c>
    </row>
    <row r="9199" spans="1:9">
      <c r="A9199" t="s">
        <v>4</v>
      </c>
      <c r="B9199" s="4" t="s">
        <v>5</v>
      </c>
      <c r="C9199" s="4" t="s">
        <v>7</v>
      </c>
      <c r="D9199" s="4" t="s">
        <v>11</v>
      </c>
    </row>
    <row r="9200" spans="1:9">
      <c r="A9200" t="n">
        <v>86110</v>
      </c>
      <c r="B9200" s="23" t="n">
        <v>58</v>
      </c>
      <c r="C9200" s="7" t="n">
        <v>255</v>
      </c>
      <c r="D9200" s="7" t="n">
        <v>0</v>
      </c>
    </row>
    <row r="9201" spans="1:9">
      <c r="A9201" t="s">
        <v>4</v>
      </c>
      <c r="B9201" s="4" t="s">
        <v>5</v>
      </c>
      <c r="C9201" s="4" t="s">
        <v>7</v>
      </c>
      <c r="D9201" s="4" t="s">
        <v>11</v>
      </c>
    </row>
    <row r="9202" spans="1:9">
      <c r="A9202" t="n">
        <v>86114</v>
      </c>
      <c r="B9202" s="51" t="n">
        <v>45</v>
      </c>
      <c r="C9202" s="7" t="n">
        <v>7</v>
      </c>
      <c r="D9202" s="7" t="n">
        <v>255</v>
      </c>
    </row>
    <row r="9203" spans="1:9">
      <c r="A9203" t="s">
        <v>4</v>
      </c>
      <c r="B9203" s="4" t="s">
        <v>5</v>
      </c>
      <c r="C9203" s="4" t="s">
        <v>7</v>
      </c>
      <c r="D9203" s="4" t="s">
        <v>11</v>
      </c>
      <c r="E9203" s="4" t="s">
        <v>13</v>
      </c>
    </row>
    <row r="9204" spans="1:9">
      <c r="A9204" t="n">
        <v>86118</v>
      </c>
      <c r="B9204" s="23" t="n">
        <v>58</v>
      </c>
      <c r="C9204" s="7" t="n">
        <v>101</v>
      </c>
      <c r="D9204" s="7" t="n">
        <v>800</v>
      </c>
      <c r="E9204" s="7" t="n">
        <v>1</v>
      </c>
    </row>
    <row r="9205" spans="1:9">
      <c r="A9205" t="s">
        <v>4</v>
      </c>
      <c r="B9205" s="4" t="s">
        <v>5</v>
      </c>
      <c r="C9205" s="4" t="s">
        <v>7</v>
      </c>
      <c r="D9205" s="4" t="s">
        <v>11</v>
      </c>
    </row>
    <row r="9206" spans="1:9">
      <c r="A9206" t="n">
        <v>86126</v>
      </c>
      <c r="B9206" s="23" t="n">
        <v>58</v>
      </c>
      <c r="C9206" s="7" t="n">
        <v>254</v>
      </c>
      <c r="D9206" s="7" t="n">
        <v>0</v>
      </c>
    </row>
    <row r="9207" spans="1:9">
      <c r="A9207" t="s">
        <v>4</v>
      </c>
      <c r="B9207" s="4" t="s">
        <v>5</v>
      </c>
      <c r="C9207" s="4" t="s">
        <v>7</v>
      </c>
      <c r="D9207" s="4" t="s">
        <v>7</v>
      </c>
      <c r="E9207" s="4" t="s">
        <v>13</v>
      </c>
      <c r="F9207" s="4" t="s">
        <v>13</v>
      </c>
      <c r="G9207" s="4" t="s">
        <v>13</v>
      </c>
      <c r="H9207" s="4" t="s">
        <v>11</v>
      </c>
    </row>
    <row r="9208" spans="1:9">
      <c r="A9208" t="n">
        <v>86130</v>
      </c>
      <c r="B9208" s="51" t="n">
        <v>45</v>
      </c>
      <c r="C9208" s="7" t="n">
        <v>2</v>
      </c>
      <c r="D9208" s="7" t="n">
        <v>3</v>
      </c>
      <c r="E9208" s="7" t="n">
        <v>4.73999977111816</v>
      </c>
      <c r="F9208" s="7" t="n">
        <v>1.37000000476837</v>
      </c>
      <c r="G9208" s="7" t="n">
        <v>45.310001373291</v>
      </c>
      <c r="H9208" s="7" t="n">
        <v>0</v>
      </c>
    </row>
    <row r="9209" spans="1:9">
      <c r="A9209" t="s">
        <v>4</v>
      </c>
      <c r="B9209" s="4" t="s">
        <v>5</v>
      </c>
      <c r="C9209" s="4" t="s">
        <v>7</v>
      </c>
      <c r="D9209" s="4" t="s">
        <v>7</v>
      </c>
      <c r="E9209" s="4" t="s">
        <v>13</v>
      </c>
      <c r="F9209" s="4" t="s">
        <v>13</v>
      </c>
      <c r="G9209" s="4" t="s">
        <v>13</v>
      </c>
      <c r="H9209" s="4" t="s">
        <v>11</v>
      </c>
      <c r="I9209" s="4" t="s">
        <v>7</v>
      </c>
    </row>
    <row r="9210" spans="1:9">
      <c r="A9210" t="n">
        <v>86147</v>
      </c>
      <c r="B9210" s="51" t="n">
        <v>45</v>
      </c>
      <c r="C9210" s="7" t="n">
        <v>4</v>
      </c>
      <c r="D9210" s="7" t="n">
        <v>3</v>
      </c>
      <c r="E9210" s="7" t="n">
        <v>4.3899998664856</v>
      </c>
      <c r="F9210" s="7" t="n">
        <v>107.779998779297</v>
      </c>
      <c r="G9210" s="7" t="n">
        <v>0</v>
      </c>
      <c r="H9210" s="7" t="n">
        <v>0</v>
      </c>
      <c r="I9210" s="7" t="n">
        <v>0</v>
      </c>
    </row>
    <row r="9211" spans="1:9">
      <c r="A9211" t="s">
        <v>4</v>
      </c>
      <c r="B9211" s="4" t="s">
        <v>5</v>
      </c>
      <c r="C9211" s="4" t="s">
        <v>7</v>
      </c>
      <c r="D9211" s="4" t="s">
        <v>7</v>
      </c>
      <c r="E9211" s="4" t="s">
        <v>13</v>
      </c>
      <c r="F9211" s="4" t="s">
        <v>11</v>
      </c>
    </row>
    <row r="9212" spans="1:9">
      <c r="A9212" t="n">
        <v>86165</v>
      </c>
      <c r="B9212" s="51" t="n">
        <v>45</v>
      </c>
      <c r="C9212" s="7" t="n">
        <v>5</v>
      </c>
      <c r="D9212" s="7" t="n">
        <v>3</v>
      </c>
      <c r="E9212" s="7" t="n">
        <v>2</v>
      </c>
      <c r="F9212" s="7" t="n">
        <v>0</v>
      </c>
    </row>
    <row r="9213" spans="1:9">
      <c r="A9213" t="s">
        <v>4</v>
      </c>
      <c r="B9213" s="4" t="s">
        <v>5</v>
      </c>
      <c r="C9213" s="4" t="s">
        <v>7</v>
      </c>
      <c r="D9213" s="4" t="s">
        <v>7</v>
      </c>
      <c r="E9213" s="4" t="s">
        <v>13</v>
      </c>
      <c r="F9213" s="4" t="s">
        <v>11</v>
      </c>
    </row>
    <row r="9214" spans="1:9">
      <c r="A9214" t="n">
        <v>86174</v>
      </c>
      <c r="B9214" s="51" t="n">
        <v>45</v>
      </c>
      <c r="C9214" s="7" t="n">
        <v>11</v>
      </c>
      <c r="D9214" s="7" t="n">
        <v>3</v>
      </c>
      <c r="E9214" s="7" t="n">
        <v>33.4000015258789</v>
      </c>
      <c r="F9214" s="7" t="n">
        <v>0</v>
      </c>
    </row>
    <row r="9215" spans="1:9">
      <c r="A9215" t="s">
        <v>4</v>
      </c>
      <c r="B9215" s="4" t="s">
        <v>5</v>
      </c>
      <c r="C9215" s="4" t="s">
        <v>11</v>
      </c>
      <c r="D9215" s="4" t="s">
        <v>15</v>
      </c>
    </row>
    <row r="9216" spans="1:9">
      <c r="A9216" t="n">
        <v>86183</v>
      </c>
      <c r="B9216" s="63" t="n">
        <v>44</v>
      </c>
      <c r="C9216" s="7" t="n">
        <v>13</v>
      </c>
      <c r="D9216" s="7" t="n">
        <v>1</v>
      </c>
    </row>
    <row r="9217" spans="1:9">
      <c r="A9217" t="s">
        <v>4</v>
      </c>
      <c r="B9217" s="4" t="s">
        <v>5</v>
      </c>
      <c r="C9217" s="4" t="s">
        <v>7</v>
      </c>
      <c r="D9217" s="4" t="s">
        <v>11</v>
      </c>
    </row>
    <row r="9218" spans="1:9">
      <c r="A9218" t="n">
        <v>86190</v>
      </c>
      <c r="B9218" s="23" t="n">
        <v>58</v>
      </c>
      <c r="C9218" s="7" t="n">
        <v>255</v>
      </c>
      <c r="D9218" s="7" t="n">
        <v>0</v>
      </c>
    </row>
    <row r="9219" spans="1:9">
      <c r="A9219" t="s">
        <v>4</v>
      </c>
      <c r="B9219" s="4" t="s">
        <v>5</v>
      </c>
      <c r="C9219" s="4" t="s">
        <v>8</v>
      </c>
      <c r="D9219" s="4" t="s">
        <v>8</v>
      </c>
    </row>
    <row r="9220" spans="1:9">
      <c r="A9220" t="n">
        <v>86194</v>
      </c>
      <c r="B9220" s="52" t="n">
        <v>70</v>
      </c>
      <c r="C9220" s="7" t="s">
        <v>279</v>
      </c>
      <c r="D9220" s="7" t="s">
        <v>280</v>
      </c>
    </row>
    <row r="9221" spans="1:9">
      <c r="A9221" t="s">
        <v>4</v>
      </c>
      <c r="B9221" s="4" t="s">
        <v>5</v>
      </c>
      <c r="C9221" s="4" t="s">
        <v>11</v>
      </c>
    </row>
    <row r="9222" spans="1:9">
      <c r="A9222" t="n">
        <v>86211</v>
      </c>
      <c r="B9222" s="29" t="n">
        <v>16</v>
      </c>
      <c r="C9222" s="7" t="n">
        <v>1000</v>
      </c>
    </row>
    <row r="9223" spans="1:9">
      <c r="A9223" t="s">
        <v>4</v>
      </c>
      <c r="B9223" s="4" t="s">
        <v>5</v>
      </c>
      <c r="C9223" s="4" t="s">
        <v>7</v>
      </c>
      <c r="D9223" s="4" t="s">
        <v>11</v>
      </c>
      <c r="E9223" s="4" t="s">
        <v>11</v>
      </c>
      <c r="F9223" s="4" t="s">
        <v>7</v>
      </c>
    </row>
    <row r="9224" spans="1:9">
      <c r="A9224" t="n">
        <v>86214</v>
      </c>
      <c r="B9224" s="31" t="n">
        <v>25</v>
      </c>
      <c r="C9224" s="7" t="n">
        <v>1</v>
      </c>
      <c r="D9224" s="7" t="n">
        <v>100</v>
      </c>
      <c r="E9224" s="7" t="n">
        <v>500</v>
      </c>
      <c r="F9224" s="7" t="n">
        <v>5</v>
      </c>
    </row>
    <row r="9225" spans="1:9">
      <c r="A9225" t="s">
        <v>4</v>
      </c>
      <c r="B9225" s="4" t="s">
        <v>5</v>
      </c>
      <c r="C9225" s="4" t="s">
        <v>8</v>
      </c>
      <c r="D9225" s="4" t="s">
        <v>11</v>
      </c>
    </row>
    <row r="9226" spans="1:9">
      <c r="A9226" t="n">
        <v>86221</v>
      </c>
      <c r="B9226" s="67" t="n">
        <v>29</v>
      </c>
      <c r="C9226" s="7" t="s">
        <v>281</v>
      </c>
      <c r="D9226" s="7" t="n">
        <v>65533</v>
      </c>
    </row>
    <row r="9227" spans="1:9">
      <c r="A9227" t="s">
        <v>4</v>
      </c>
      <c r="B9227" s="4" t="s">
        <v>5</v>
      </c>
      <c r="C9227" s="4" t="s">
        <v>7</v>
      </c>
      <c r="D9227" s="4" t="s">
        <v>11</v>
      </c>
      <c r="E9227" s="4" t="s">
        <v>8</v>
      </c>
    </row>
    <row r="9228" spans="1:9">
      <c r="A9228" t="n">
        <v>86230</v>
      </c>
      <c r="B9228" s="38" t="n">
        <v>51</v>
      </c>
      <c r="C9228" s="7" t="n">
        <v>4</v>
      </c>
      <c r="D9228" s="7" t="n">
        <v>13</v>
      </c>
      <c r="E9228" s="7" t="s">
        <v>16</v>
      </c>
    </row>
    <row r="9229" spans="1:9">
      <c r="A9229" t="s">
        <v>4</v>
      </c>
      <c r="B9229" s="4" t="s">
        <v>5</v>
      </c>
      <c r="C9229" s="4" t="s">
        <v>11</v>
      </c>
    </row>
    <row r="9230" spans="1:9">
      <c r="A9230" t="n">
        <v>86235</v>
      </c>
      <c r="B9230" s="29" t="n">
        <v>16</v>
      </c>
      <c r="C9230" s="7" t="n">
        <v>0</v>
      </c>
    </row>
    <row r="9231" spans="1:9">
      <c r="A9231" t="s">
        <v>4</v>
      </c>
      <c r="B9231" s="4" t="s">
        <v>5</v>
      </c>
      <c r="C9231" s="4" t="s">
        <v>11</v>
      </c>
      <c r="D9231" s="4" t="s">
        <v>7</v>
      </c>
      <c r="E9231" s="4" t="s">
        <v>15</v>
      </c>
      <c r="F9231" s="4" t="s">
        <v>55</v>
      </c>
      <c r="G9231" s="4" t="s">
        <v>7</v>
      </c>
      <c r="H9231" s="4" t="s">
        <v>7</v>
      </c>
    </row>
    <row r="9232" spans="1:9">
      <c r="A9232" t="n">
        <v>86238</v>
      </c>
      <c r="B9232" s="55" t="n">
        <v>26</v>
      </c>
      <c r="C9232" s="7" t="n">
        <v>13</v>
      </c>
      <c r="D9232" s="7" t="n">
        <v>17</v>
      </c>
      <c r="E9232" s="7" t="n">
        <v>64026</v>
      </c>
      <c r="F9232" s="7" t="s">
        <v>790</v>
      </c>
      <c r="G9232" s="7" t="n">
        <v>2</v>
      </c>
      <c r="H9232" s="7" t="n">
        <v>0</v>
      </c>
    </row>
    <row r="9233" spans="1:8">
      <c r="A9233" t="s">
        <v>4</v>
      </c>
      <c r="B9233" s="4" t="s">
        <v>5</v>
      </c>
    </row>
    <row r="9234" spans="1:8">
      <c r="A9234" t="n">
        <v>86293</v>
      </c>
      <c r="B9234" s="27" t="n">
        <v>28</v>
      </c>
    </row>
    <row r="9235" spans="1:8">
      <c r="A9235" t="s">
        <v>4</v>
      </c>
      <c r="B9235" s="4" t="s">
        <v>5</v>
      </c>
      <c r="C9235" s="4" t="s">
        <v>11</v>
      </c>
      <c r="D9235" s="4" t="s">
        <v>7</v>
      </c>
    </row>
    <row r="9236" spans="1:8">
      <c r="A9236" t="n">
        <v>86294</v>
      </c>
      <c r="B9236" s="68" t="n">
        <v>89</v>
      </c>
      <c r="C9236" s="7" t="n">
        <v>65533</v>
      </c>
      <c r="D9236" s="7" t="n">
        <v>1</v>
      </c>
    </row>
    <row r="9237" spans="1:8">
      <c r="A9237" t="s">
        <v>4</v>
      </c>
      <c r="B9237" s="4" t="s">
        <v>5</v>
      </c>
      <c r="C9237" s="4" t="s">
        <v>7</v>
      </c>
      <c r="D9237" s="4" t="s">
        <v>11</v>
      </c>
      <c r="E9237" s="4" t="s">
        <v>11</v>
      </c>
      <c r="F9237" s="4" t="s">
        <v>7</v>
      </c>
    </row>
    <row r="9238" spans="1:8">
      <c r="A9238" t="n">
        <v>86298</v>
      </c>
      <c r="B9238" s="31" t="n">
        <v>25</v>
      </c>
      <c r="C9238" s="7" t="n">
        <v>1</v>
      </c>
      <c r="D9238" s="7" t="n">
        <v>65535</v>
      </c>
      <c r="E9238" s="7" t="n">
        <v>65535</v>
      </c>
      <c r="F9238" s="7" t="n">
        <v>0</v>
      </c>
    </row>
    <row r="9239" spans="1:8">
      <c r="A9239" t="s">
        <v>4</v>
      </c>
      <c r="B9239" s="4" t="s">
        <v>5</v>
      </c>
      <c r="C9239" s="4" t="s">
        <v>8</v>
      </c>
      <c r="D9239" s="4" t="s">
        <v>11</v>
      </c>
    </row>
    <row r="9240" spans="1:8">
      <c r="A9240" t="n">
        <v>86305</v>
      </c>
      <c r="B9240" s="67" t="n">
        <v>29</v>
      </c>
      <c r="C9240" s="7" t="s">
        <v>16</v>
      </c>
      <c r="D9240" s="7" t="n">
        <v>65533</v>
      </c>
    </row>
    <row r="9241" spans="1:8">
      <c r="A9241" t="s">
        <v>4</v>
      </c>
      <c r="B9241" s="4" t="s">
        <v>5</v>
      </c>
      <c r="C9241" s="4" t="s">
        <v>11</v>
      </c>
      <c r="D9241" s="4" t="s">
        <v>7</v>
      </c>
      <c r="E9241" s="4" t="s">
        <v>13</v>
      </c>
      <c r="F9241" s="4" t="s">
        <v>11</v>
      </c>
    </row>
    <row r="9242" spans="1:8">
      <c r="A9242" t="n">
        <v>86309</v>
      </c>
      <c r="B9242" s="56" t="n">
        <v>59</v>
      </c>
      <c r="C9242" s="7" t="n">
        <v>0</v>
      </c>
      <c r="D9242" s="7" t="n">
        <v>13</v>
      </c>
      <c r="E9242" s="7" t="n">
        <v>0.150000005960464</v>
      </c>
      <c r="F9242" s="7" t="n">
        <v>0</v>
      </c>
    </row>
    <row r="9243" spans="1:8">
      <c r="A9243" t="s">
        <v>4</v>
      </c>
      <c r="B9243" s="4" t="s">
        <v>5</v>
      </c>
      <c r="C9243" s="4" t="s">
        <v>11</v>
      </c>
    </row>
    <row r="9244" spans="1:8">
      <c r="A9244" t="n">
        <v>86319</v>
      </c>
      <c r="B9244" s="29" t="n">
        <v>16</v>
      </c>
      <c r="C9244" s="7" t="n">
        <v>1000</v>
      </c>
    </row>
    <row r="9245" spans="1:8">
      <c r="A9245" t="s">
        <v>4</v>
      </c>
      <c r="B9245" s="4" t="s">
        <v>5</v>
      </c>
      <c r="C9245" s="4" t="s">
        <v>11</v>
      </c>
      <c r="D9245" s="4" t="s">
        <v>13</v>
      </c>
      <c r="E9245" s="4" t="s">
        <v>13</v>
      </c>
      <c r="F9245" s="4" t="s">
        <v>13</v>
      </c>
      <c r="G9245" s="4" t="s">
        <v>11</v>
      </c>
      <c r="H9245" s="4" t="s">
        <v>11</v>
      </c>
    </row>
    <row r="9246" spans="1:8">
      <c r="A9246" t="n">
        <v>86322</v>
      </c>
      <c r="B9246" s="37" t="n">
        <v>60</v>
      </c>
      <c r="C9246" s="7" t="n">
        <v>0</v>
      </c>
      <c r="D9246" s="7" t="n">
        <v>0</v>
      </c>
      <c r="E9246" s="7" t="n">
        <v>0</v>
      </c>
      <c r="F9246" s="7" t="n">
        <v>0</v>
      </c>
      <c r="G9246" s="7" t="n">
        <v>1000</v>
      </c>
      <c r="H9246" s="7" t="n">
        <v>0</v>
      </c>
    </row>
    <row r="9247" spans="1:8">
      <c r="A9247" t="s">
        <v>4</v>
      </c>
      <c r="B9247" s="4" t="s">
        <v>5</v>
      </c>
      <c r="C9247" s="4" t="s">
        <v>11</v>
      </c>
      <c r="D9247" s="4" t="s">
        <v>11</v>
      </c>
      <c r="E9247" s="4" t="s">
        <v>11</v>
      </c>
    </row>
    <row r="9248" spans="1:8">
      <c r="A9248" t="n">
        <v>86341</v>
      </c>
      <c r="B9248" s="72" t="n">
        <v>61</v>
      </c>
      <c r="C9248" s="7" t="n">
        <v>0</v>
      </c>
      <c r="D9248" s="7" t="n">
        <v>13</v>
      </c>
      <c r="E9248" s="7" t="n">
        <v>1000</v>
      </c>
    </row>
    <row r="9249" spans="1:8">
      <c r="A9249" t="s">
        <v>4</v>
      </c>
      <c r="B9249" s="4" t="s">
        <v>5</v>
      </c>
      <c r="C9249" s="4" t="s">
        <v>11</v>
      </c>
      <c r="D9249" s="4" t="s">
        <v>11</v>
      </c>
      <c r="E9249" s="4" t="s">
        <v>11</v>
      </c>
    </row>
    <row r="9250" spans="1:8">
      <c r="A9250" t="n">
        <v>86348</v>
      </c>
      <c r="B9250" s="72" t="n">
        <v>61</v>
      </c>
      <c r="C9250" s="7" t="n">
        <v>13</v>
      </c>
      <c r="D9250" s="7" t="n">
        <v>0</v>
      </c>
      <c r="E9250" s="7" t="n">
        <v>1000</v>
      </c>
    </row>
    <row r="9251" spans="1:8">
      <c r="A9251" t="s">
        <v>4</v>
      </c>
      <c r="B9251" s="4" t="s">
        <v>5</v>
      </c>
      <c r="C9251" s="4" t="s">
        <v>11</v>
      </c>
      <c r="D9251" s="4" t="s">
        <v>13</v>
      </c>
      <c r="E9251" s="4" t="s">
        <v>13</v>
      </c>
      <c r="F9251" s="4" t="s">
        <v>7</v>
      </c>
    </row>
    <row r="9252" spans="1:8">
      <c r="A9252" t="n">
        <v>86355</v>
      </c>
      <c r="B9252" s="65" t="n">
        <v>52</v>
      </c>
      <c r="C9252" s="7" t="n">
        <v>0</v>
      </c>
      <c r="D9252" s="7" t="n">
        <v>332.399993896484</v>
      </c>
      <c r="E9252" s="7" t="n">
        <v>5</v>
      </c>
      <c r="F9252" s="7" t="n">
        <v>0</v>
      </c>
    </row>
    <row r="9253" spans="1:8">
      <c r="A9253" t="s">
        <v>4</v>
      </c>
      <c r="B9253" s="4" t="s">
        <v>5</v>
      </c>
      <c r="C9253" s="4" t="s">
        <v>11</v>
      </c>
    </row>
    <row r="9254" spans="1:8">
      <c r="A9254" t="n">
        <v>86367</v>
      </c>
      <c r="B9254" s="66" t="n">
        <v>54</v>
      </c>
      <c r="C9254" s="7" t="n">
        <v>0</v>
      </c>
    </row>
    <row r="9255" spans="1:8">
      <c r="A9255" t="s">
        <v>4</v>
      </c>
      <c r="B9255" s="4" t="s">
        <v>5</v>
      </c>
      <c r="C9255" s="4" t="s">
        <v>7</v>
      </c>
      <c r="D9255" s="4" t="s">
        <v>11</v>
      </c>
      <c r="E9255" s="4" t="s">
        <v>13</v>
      </c>
    </row>
    <row r="9256" spans="1:8">
      <c r="A9256" t="n">
        <v>86370</v>
      </c>
      <c r="B9256" s="23" t="n">
        <v>58</v>
      </c>
      <c r="C9256" s="7" t="n">
        <v>101</v>
      </c>
      <c r="D9256" s="7" t="n">
        <v>500</v>
      </c>
      <c r="E9256" s="7" t="n">
        <v>1</v>
      </c>
    </row>
    <row r="9257" spans="1:8">
      <c r="A9257" t="s">
        <v>4</v>
      </c>
      <c r="B9257" s="4" t="s">
        <v>5</v>
      </c>
      <c r="C9257" s="4" t="s">
        <v>7</v>
      </c>
      <c r="D9257" s="4" t="s">
        <v>11</v>
      </c>
    </row>
    <row r="9258" spans="1:8">
      <c r="A9258" t="n">
        <v>86378</v>
      </c>
      <c r="B9258" s="23" t="n">
        <v>58</v>
      </c>
      <c r="C9258" s="7" t="n">
        <v>254</v>
      </c>
      <c r="D9258" s="7" t="n">
        <v>0</v>
      </c>
    </row>
    <row r="9259" spans="1:8">
      <c r="A9259" t="s">
        <v>4</v>
      </c>
      <c r="B9259" s="4" t="s">
        <v>5</v>
      </c>
      <c r="C9259" s="4" t="s">
        <v>7</v>
      </c>
      <c r="D9259" s="4" t="s">
        <v>7</v>
      </c>
      <c r="E9259" s="4" t="s">
        <v>13</v>
      </c>
      <c r="F9259" s="4" t="s">
        <v>13</v>
      </c>
      <c r="G9259" s="4" t="s">
        <v>13</v>
      </c>
      <c r="H9259" s="4" t="s">
        <v>11</v>
      </c>
    </row>
    <row r="9260" spans="1:8">
      <c r="A9260" t="n">
        <v>86382</v>
      </c>
      <c r="B9260" s="51" t="n">
        <v>45</v>
      </c>
      <c r="C9260" s="7" t="n">
        <v>2</v>
      </c>
      <c r="D9260" s="7" t="n">
        <v>3</v>
      </c>
      <c r="E9260" s="7" t="n">
        <v>4.92999982833862</v>
      </c>
      <c r="F9260" s="7" t="n">
        <v>1.46000003814697</v>
      </c>
      <c r="G9260" s="7" t="n">
        <v>45.6699981689453</v>
      </c>
      <c r="H9260" s="7" t="n">
        <v>0</v>
      </c>
    </row>
    <row r="9261" spans="1:8">
      <c r="A9261" t="s">
        <v>4</v>
      </c>
      <c r="B9261" s="4" t="s">
        <v>5</v>
      </c>
      <c r="C9261" s="4" t="s">
        <v>7</v>
      </c>
      <c r="D9261" s="4" t="s">
        <v>7</v>
      </c>
      <c r="E9261" s="4" t="s">
        <v>13</v>
      </c>
      <c r="F9261" s="4" t="s">
        <v>13</v>
      </c>
      <c r="G9261" s="4" t="s">
        <v>13</v>
      </c>
      <c r="H9261" s="4" t="s">
        <v>11</v>
      </c>
      <c r="I9261" s="4" t="s">
        <v>7</v>
      </c>
    </row>
    <row r="9262" spans="1:8">
      <c r="A9262" t="n">
        <v>86399</v>
      </c>
      <c r="B9262" s="51" t="n">
        <v>45</v>
      </c>
      <c r="C9262" s="7" t="n">
        <v>4</v>
      </c>
      <c r="D9262" s="7" t="n">
        <v>3</v>
      </c>
      <c r="E9262" s="7" t="n">
        <v>5.69000005722046</v>
      </c>
      <c r="F9262" s="7" t="n">
        <v>260.239990234375</v>
      </c>
      <c r="G9262" s="7" t="n">
        <v>0</v>
      </c>
      <c r="H9262" s="7" t="n">
        <v>0</v>
      </c>
      <c r="I9262" s="7" t="n">
        <v>0</v>
      </c>
    </row>
    <row r="9263" spans="1:8">
      <c r="A9263" t="s">
        <v>4</v>
      </c>
      <c r="B9263" s="4" t="s">
        <v>5</v>
      </c>
      <c r="C9263" s="4" t="s">
        <v>7</v>
      </c>
      <c r="D9263" s="4" t="s">
        <v>7</v>
      </c>
      <c r="E9263" s="4" t="s">
        <v>13</v>
      </c>
      <c r="F9263" s="4" t="s">
        <v>11</v>
      </c>
    </row>
    <row r="9264" spans="1:8">
      <c r="A9264" t="n">
        <v>86417</v>
      </c>
      <c r="B9264" s="51" t="n">
        <v>45</v>
      </c>
      <c r="C9264" s="7" t="n">
        <v>5</v>
      </c>
      <c r="D9264" s="7" t="n">
        <v>3</v>
      </c>
      <c r="E9264" s="7" t="n">
        <v>1.70000004768372</v>
      </c>
      <c r="F9264" s="7" t="n">
        <v>0</v>
      </c>
    </row>
    <row r="9265" spans="1:9">
      <c r="A9265" t="s">
        <v>4</v>
      </c>
      <c r="B9265" s="4" t="s">
        <v>5</v>
      </c>
      <c r="C9265" s="4" t="s">
        <v>7</v>
      </c>
      <c r="D9265" s="4" t="s">
        <v>7</v>
      </c>
      <c r="E9265" s="4" t="s">
        <v>13</v>
      </c>
      <c r="F9265" s="4" t="s">
        <v>11</v>
      </c>
    </row>
    <row r="9266" spans="1:9">
      <c r="A9266" t="n">
        <v>86426</v>
      </c>
      <c r="B9266" s="51" t="n">
        <v>45</v>
      </c>
      <c r="C9266" s="7" t="n">
        <v>11</v>
      </c>
      <c r="D9266" s="7" t="n">
        <v>3</v>
      </c>
      <c r="E9266" s="7" t="n">
        <v>34</v>
      </c>
      <c r="F9266" s="7" t="n">
        <v>0</v>
      </c>
    </row>
    <row r="9267" spans="1:9">
      <c r="A9267" t="s">
        <v>4</v>
      </c>
      <c r="B9267" s="4" t="s">
        <v>5</v>
      </c>
      <c r="C9267" s="4" t="s">
        <v>7</v>
      </c>
      <c r="D9267" s="4" t="s">
        <v>7</v>
      </c>
      <c r="E9267" s="4" t="s">
        <v>13</v>
      </c>
      <c r="F9267" s="4" t="s">
        <v>13</v>
      </c>
      <c r="G9267" s="4" t="s">
        <v>13</v>
      </c>
      <c r="H9267" s="4" t="s">
        <v>11</v>
      </c>
    </row>
    <row r="9268" spans="1:9">
      <c r="A9268" t="n">
        <v>86435</v>
      </c>
      <c r="B9268" s="51" t="n">
        <v>45</v>
      </c>
      <c r="C9268" s="7" t="n">
        <v>2</v>
      </c>
      <c r="D9268" s="7" t="n">
        <v>3</v>
      </c>
      <c r="E9268" s="7" t="n">
        <v>4.84999990463257</v>
      </c>
      <c r="F9268" s="7" t="n">
        <v>1.4099999666214</v>
      </c>
      <c r="G9268" s="7" t="n">
        <v>45.7999992370605</v>
      </c>
      <c r="H9268" s="7" t="n">
        <v>5500</v>
      </c>
    </row>
    <row r="9269" spans="1:9">
      <c r="A9269" t="s">
        <v>4</v>
      </c>
      <c r="B9269" s="4" t="s">
        <v>5</v>
      </c>
      <c r="C9269" s="4" t="s">
        <v>7</v>
      </c>
      <c r="D9269" s="4" t="s">
        <v>7</v>
      </c>
      <c r="E9269" s="4" t="s">
        <v>13</v>
      </c>
      <c r="F9269" s="4" t="s">
        <v>13</v>
      </c>
      <c r="G9269" s="4" t="s">
        <v>13</v>
      </c>
      <c r="H9269" s="4" t="s">
        <v>11</v>
      </c>
      <c r="I9269" s="4" t="s">
        <v>7</v>
      </c>
    </row>
    <row r="9270" spans="1:9">
      <c r="A9270" t="n">
        <v>86452</v>
      </c>
      <c r="B9270" s="51" t="n">
        <v>45</v>
      </c>
      <c r="C9270" s="7" t="n">
        <v>4</v>
      </c>
      <c r="D9270" s="7" t="n">
        <v>3</v>
      </c>
      <c r="E9270" s="7" t="n">
        <v>5.46999979019165</v>
      </c>
      <c r="F9270" s="7" t="n">
        <v>232.490005493164</v>
      </c>
      <c r="G9270" s="7" t="n">
        <v>0</v>
      </c>
      <c r="H9270" s="7" t="n">
        <v>5500</v>
      </c>
      <c r="I9270" s="7" t="n">
        <v>0</v>
      </c>
    </row>
    <row r="9271" spans="1:9">
      <c r="A9271" t="s">
        <v>4</v>
      </c>
      <c r="B9271" s="4" t="s">
        <v>5</v>
      </c>
      <c r="C9271" s="4" t="s">
        <v>11</v>
      </c>
      <c r="D9271" s="4" t="s">
        <v>7</v>
      </c>
      <c r="E9271" s="4" t="s">
        <v>7</v>
      </c>
      <c r="F9271" s="4" t="s">
        <v>8</v>
      </c>
    </row>
    <row r="9272" spans="1:9">
      <c r="A9272" t="n">
        <v>86470</v>
      </c>
      <c r="B9272" s="50" t="n">
        <v>20</v>
      </c>
      <c r="C9272" s="7" t="n">
        <v>13</v>
      </c>
      <c r="D9272" s="7" t="n">
        <v>2</v>
      </c>
      <c r="E9272" s="7" t="n">
        <v>11</v>
      </c>
      <c r="F9272" s="7" t="s">
        <v>283</v>
      </c>
    </row>
    <row r="9273" spans="1:9">
      <c r="A9273" t="s">
        <v>4</v>
      </c>
      <c r="B9273" s="4" t="s">
        <v>5</v>
      </c>
      <c r="C9273" s="4" t="s">
        <v>7</v>
      </c>
    </row>
    <row r="9274" spans="1:9">
      <c r="A9274" t="n">
        <v>86497</v>
      </c>
      <c r="B9274" s="49" t="n">
        <v>116</v>
      </c>
      <c r="C9274" s="7" t="n">
        <v>0</v>
      </c>
    </row>
    <row r="9275" spans="1:9">
      <c r="A9275" t="s">
        <v>4</v>
      </c>
      <c r="B9275" s="4" t="s">
        <v>5</v>
      </c>
      <c r="C9275" s="4" t="s">
        <v>7</v>
      </c>
      <c r="D9275" s="4" t="s">
        <v>11</v>
      </c>
    </row>
    <row r="9276" spans="1:9">
      <c r="A9276" t="n">
        <v>86499</v>
      </c>
      <c r="B9276" s="49" t="n">
        <v>116</v>
      </c>
      <c r="C9276" s="7" t="n">
        <v>2</v>
      </c>
      <c r="D9276" s="7" t="n">
        <v>1</v>
      </c>
    </row>
    <row r="9277" spans="1:9">
      <c r="A9277" t="s">
        <v>4</v>
      </c>
      <c r="B9277" s="4" t="s">
        <v>5</v>
      </c>
      <c r="C9277" s="4" t="s">
        <v>7</v>
      </c>
      <c r="D9277" s="4" t="s">
        <v>15</v>
      </c>
    </row>
    <row r="9278" spans="1:9">
      <c r="A9278" t="n">
        <v>86503</v>
      </c>
      <c r="B9278" s="49" t="n">
        <v>116</v>
      </c>
      <c r="C9278" s="7" t="n">
        <v>5</v>
      </c>
      <c r="D9278" s="7" t="n">
        <v>1084227584</v>
      </c>
    </row>
    <row r="9279" spans="1:9">
      <c r="A9279" t="s">
        <v>4</v>
      </c>
      <c r="B9279" s="4" t="s">
        <v>5</v>
      </c>
      <c r="C9279" s="4" t="s">
        <v>7</v>
      </c>
      <c r="D9279" s="4" t="s">
        <v>11</v>
      </c>
    </row>
    <row r="9280" spans="1:9">
      <c r="A9280" t="n">
        <v>86509</v>
      </c>
      <c r="B9280" s="49" t="n">
        <v>116</v>
      </c>
      <c r="C9280" s="7" t="n">
        <v>6</v>
      </c>
      <c r="D9280" s="7" t="n">
        <v>1</v>
      </c>
    </row>
    <row r="9281" spans="1:9">
      <c r="A9281" t="s">
        <v>4</v>
      </c>
      <c r="B9281" s="4" t="s">
        <v>5</v>
      </c>
      <c r="C9281" s="4" t="s">
        <v>7</v>
      </c>
      <c r="D9281" s="4" t="s">
        <v>11</v>
      </c>
    </row>
    <row r="9282" spans="1:9">
      <c r="A9282" t="n">
        <v>86513</v>
      </c>
      <c r="B9282" s="23" t="n">
        <v>58</v>
      </c>
      <c r="C9282" s="7" t="n">
        <v>255</v>
      </c>
      <c r="D9282" s="7" t="n">
        <v>0</v>
      </c>
    </row>
    <row r="9283" spans="1:9">
      <c r="A9283" t="s">
        <v>4</v>
      </c>
      <c r="B9283" s="4" t="s">
        <v>5</v>
      </c>
      <c r="C9283" s="4" t="s">
        <v>11</v>
      </c>
    </row>
    <row r="9284" spans="1:9">
      <c r="A9284" t="n">
        <v>86517</v>
      </c>
      <c r="B9284" s="29" t="n">
        <v>16</v>
      </c>
      <c r="C9284" s="7" t="n">
        <v>800</v>
      </c>
    </row>
    <row r="9285" spans="1:9">
      <c r="A9285" t="s">
        <v>4</v>
      </c>
      <c r="B9285" s="4" t="s">
        <v>5</v>
      </c>
      <c r="C9285" s="4" t="s">
        <v>8</v>
      </c>
      <c r="D9285" s="4" t="s">
        <v>8</v>
      </c>
    </row>
    <row r="9286" spans="1:9">
      <c r="A9286" t="n">
        <v>86520</v>
      </c>
      <c r="B9286" s="52" t="n">
        <v>70</v>
      </c>
      <c r="C9286" s="7" t="s">
        <v>279</v>
      </c>
      <c r="D9286" s="7" t="s">
        <v>284</v>
      </c>
    </row>
    <row r="9287" spans="1:9">
      <c r="A9287" t="s">
        <v>4</v>
      </c>
      <c r="B9287" s="4" t="s">
        <v>5</v>
      </c>
      <c r="C9287" s="4" t="s">
        <v>7</v>
      </c>
      <c r="D9287" s="4" t="s">
        <v>11</v>
      </c>
    </row>
    <row r="9288" spans="1:9">
      <c r="A9288" t="n">
        <v>86538</v>
      </c>
      <c r="B9288" s="51" t="n">
        <v>45</v>
      </c>
      <c r="C9288" s="7" t="n">
        <v>7</v>
      </c>
      <c r="D9288" s="7" t="n">
        <v>255</v>
      </c>
    </row>
    <row r="9289" spans="1:9">
      <c r="A9289" t="s">
        <v>4</v>
      </c>
      <c r="B9289" s="4" t="s">
        <v>5</v>
      </c>
      <c r="C9289" s="4" t="s">
        <v>7</v>
      </c>
      <c r="D9289" s="4" t="s">
        <v>11</v>
      </c>
      <c r="E9289" s="4" t="s">
        <v>8</v>
      </c>
    </row>
    <row r="9290" spans="1:9">
      <c r="A9290" t="n">
        <v>86542</v>
      </c>
      <c r="B9290" s="38" t="n">
        <v>51</v>
      </c>
      <c r="C9290" s="7" t="n">
        <v>4</v>
      </c>
      <c r="D9290" s="7" t="n">
        <v>0</v>
      </c>
      <c r="E9290" s="7" t="s">
        <v>179</v>
      </c>
    </row>
    <row r="9291" spans="1:9">
      <c r="A9291" t="s">
        <v>4</v>
      </c>
      <c r="B9291" s="4" t="s">
        <v>5</v>
      </c>
      <c r="C9291" s="4" t="s">
        <v>11</v>
      </c>
    </row>
    <row r="9292" spans="1:9">
      <c r="A9292" t="n">
        <v>86556</v>
      </c>
      <c r="B9292" s="29" t="n">
        <v>16</v>
      </c>
      <c r="C9292" s="7" t="n">
        <v>0</v>
      </c>
    </row>
    <row r="9293" spans="1:9">
      <c r="A9293" t="s">
        <v>4</v>
      </c>
      <c r="B9293" s="4" t="s">
        <v>5</v>
      </c>
      <c r="C9293" s="4" t="s">
        <v>11</v>
      </c>
      <c r="D9293" s="4" t="s">
        <v>7</v>
      </c>
      <c r="E9293" s="4" t="s">
        <v>15</v>
      </c>
      <c r="F9293" s="4" t="s">
        <v>55</v>
      </c>
      <c r="G9293" s="4" t="s">
        <v>7</v>
      </c>
      <c r="H9293" s="4" t="s">
        <v>7</v>
      </c>
      <c r="I9293" s="4" t="s">
        <v>7</v>
      </c>
      <c r="J9293" s="4" t="s">
        <v>15</v>
      </c>
      <c r="K9293" s="4" t="s">
        <v>55</v>
      </c>
      <c r="L9293" s="4" t="s">
        <v>7</v>
      </c>
      <c r="M9293" s="4" t="s">
        <v>7</v>
      </c>
    </row>
    <row r="9294" spans="1:9">
      <c r="A9294" t="n">
        <v>86559</v>
      </c>
      <c r="B9294" s="55" t="n">
        <v>26</v>
      </c>
      <c r="C9294" s="7" t="n">
        <v>0</v>
      </c>
      <c r="D9294" s="7" t="n">
        <v>17</v>
      </c>
      <c r="E9294" s="7" t="n">
        <v>64027</v>
      </c>
      <c r="F9294" s="7" t="s">
        <v>791</v>
      </c>
      <c r="G9294" s="7" t="n">
        <v>2</v>
      </c>
      <c r="H9294" s="7" t="n">
        <v>3</v>
      </c>
      <c r="I9294" s="7" t="n">
        <v>17</v>
      </c>
      <c r="J9294" s="7" t="n">
        <v>64028</v>
      </c>
      <c r="K9294" s="7" t="s">
        <v>792</v>
      </c>
      <c r="L9294" s="7" t="n">
        <v>2</v>
      </c>
      <c r="M9294" s="7" t="n">
        <v>0</v>
      </c>
    </row>
    <row r="9295" spans="1:9">
      <c r="A9295" t="s">
        <v>4</v>
      </c>
      <c r="B9295" s="4" t="s">
        <v>5</v>
      </c>
    </row>
    <row r="9296" spans="1:9">
      <c r="A9296" t="n">
        <v>86647</v>
      </c>
      <c r="B9296" s="27" t="n">
        <v>28</v>
      </c>
    </row>
    <row r="9297" spans="1:13">
      <c r="A9297" t="s">
        <v>4</v>
      </c>
      <c r="B9297" s="4" t="s">
        <v>5</v>
      </c>
      <c r="C9297" s="4" t="s">
        <v>7</v>
      </c>
      <c r="D9297" s="4" t="s">
        <v>11</v>
      </c>
      <c r="E9297" s="4" t="s">
        <v>13</v>
      </c>
    </row>
    <row r="9298" spans="1:13">
      <c r="A9298" t="n">
        <v>86648</v>
      </c>
      <c r="B9298" s="23" t="n">
        <v>58</v>
      </c>
      <c r="C9298" s="7" t="n">
        <v>101</v>
      </c>
      <c r="D9298" s="7" t="n">
        <v>500</v>
      </c>
      <c r="E9298" s="7" t="n">
        <v>1</v>
      </c>
    </row>
    <row r="9299" spans="1:13">
      <c r="A9299" t="s">
        <v>4</v>
      </c>
      <c r="B9299" s="4" t="s">
        <v>5</v>
      </c>
      <c r="C9299" s="4" t="s">
        <v>7</v>
      </c>
      <c r="D9299" s="4" t="s">
        <v>11</v>
      </c>
    </row>
    <row r="9300" spans="1:13">
      <c r="A9300" t="n">
        <v>86656</v>
      </c>
      <c r="B9300" s="23" t="n">
        <v>58</v>
      </c>
      <c r="C9300" s="7" t="n">
        <v>254</v>
      </c>
      <c r="D9300" s="7" t="n">
        <v>0</v>
      </c>
    </row>
    <row r="9301" spans="1:13">
      <c r="A9301" t="s">
        <v>4</v>
      </c>
      <c r="B9301" s="4" t="s">
        <v>5</v>
      </c>
      <c r="C9301" s="4" t="s">
        <v>7</v>
      </c>
      <c r="D9301" s="4" t="s">
        <v>7</v>
      </c>
      <c r="E9301" s="4" t="s">
        <v>13</v>
      </c>
      <c r="F9301" s="4" t="s">
        <v>13</v>
      </c>
      <c r="G9301" s="4" t="s">
        <v>13</v>
      </c>
      <c r="H9301" s="4" t="s">
        <v>11</v>
      </c>
    </row>
    <row r="9302" spans="1:13">
      <c r="A9302" t="n">
        <v>86660</v>
      </c>
      <c r="B9302" s="51" t="n">
        <v>45</v>
      </c>
      <c r="C9302" s="7" t="n">
        <v>2</v>
      </c>
      <c r="D9302" s="7" t="n">
        <v>3</v>
      </c>
      <c r="E9302" s="7" t="n">
        <v>4.96999979019165</v>
      </c>
      <c r="F9302" s="7" t="n">
        <v>1.29999995231628</v>
      </c>
      <c r="G9302" s="7" t="n">
        <v>46.3800010681152</v>
      </c>
      <c r="H9302" s="7" t="n">
        <v>0</v>
      </c>
    </row>
    <row r="9303" spans="1:13">
      <c r="A9303" t="s">
        <v>4</v>
      </c>
      <c r="B9303" s="4" t="s">
        <v>5</v>
      </c>
      <c r="C9303" s="4" t="s">
        <v>7</v>
      </c>
      <c r="D9303" s="4" t="s">
        <v>7</v>
      </c>
      <c r="E9303" s="4" t="s">
        <v>13</v>
      </c>
      <c r="F9303" s="4" t="s">
        <v>13</v>
      </c>
      <c r="G9303" s="4" t="s">
        <v>13</v>
      </c>
      <c r="H9303" s="4" t="s">
        <v>11</v>
      </c>
      <c r="I9303" s="4" t="s">
        <v>7</v>
      </c>
    </row>
    <row r="9304" spans="1:13">
      <c r="A9304" t="n">
        <v>86677</v>
      </c>
      <c r="B9304" s="51" t="n">
        <v>45</v>
      </c>
      <c r="C9304" s="7" t="n">
        <v>4</v>
      </c>
      <c r="D9304" s="7" t="n">
        <v>3</v>
      </c>
      <c r="E9304" s="7" t="n">
        <v>8.30000019073486</v>
      </c>
      <c r="F9304" s="7" t="n">
        <v>213.210006713867</v>
      </c>
      <c r="G9304" s="7" t="n">
        <v>0</v>
      </c>
      <c r="H9304" s="7" t="n">
        <v>0</v>
      </c>
      <c r="I9304" s="7" t="n">
        <v>0</v>
      </c>
    </row>
    <row r="9305" spans="1:13">
      <c r="A9305" t="s">
        <v>4</v>
      </c>
      <c r="B9305" s="4" t="s">
        <v>5</v>
      </c>
      <c r="C9305" s="4" t="s">
        <v>7</v>
      </c>
      <c r="D9305" s="4" t="s">
        <v>7</v>
      </c>
      <c r="E9305" s="4" t="s">
        <v>13</v>
      </c>
      <c r="F9305" s="4" t="s">
        <v>11</v>
      </c>
    </row>
    <row r="9306" spans="1:13">
      <c r="A9306" t="n">
        <v>86695</v>
      </c>
      <c r="B9306" s="51" t="n">
        <v>45</v>
      </c>
      <c r="C9306" s="7" t="n">
        <v>5</v>
      </c>
      <c r="D9306" s="7" t="n">
        <v>3</v>
      </c>
      <c r="E9306" s="7" t="n">
        <v>1</v>
      </c>
      <c r="F9306" s="7" t="n">
        <v>0</v>
      </c>
    </row>
    <row r="9307" spans="1:13">
      <c r="A9307" t="s">
        <v>4</v>
      </c>
      <c r="B9307" s="4" t="s">
        <v>5</v>
      </c>
      <c r="C9307" s="4" t="s">
        <v>7</v>
      </c>
      <c r="D9307" s="4" t="s">
        <v>7</v>
      </c>
      <c r="E9307" s="4" t="s">
        <v>13</v>
      </c>
      <c r="F9307" s="4" t="s">
        <v>11</v>
      </c>
    </row>
    <row r="9308" spans="1:13">
      <c r="A9308" t="n">
        <v>86704</v>
      </c>
      <c r="B9308" s="51" t="n">
        <v>45</v>
      </c>
      <c r="C9308" s="7" t="n">
        <v>11</v>
      </c>
      <c r="D9308" s="7" t="n">
        <v>3</v>
      </c>
      <c r="E9308" s="7" t="n">
        <v>34</v>
      </c>
      <c r="F9308" s="7" t="n">
        <v>0</v>
      </c>
    </row>
    <row r="9309" spans="1:13">
      <c r="A9309" t="s">
        <v>4</v>
      </c>
      <c r="B9309" s="4" t="s">
        <v>5</v>
      </c>
      <c r="C9309" s="4" t="s">
        <v>11</v>
      </c>
      <c r="D9309" s="4" t="s">
        <v>7</v>
      </c>
      <c r="E9309" s="4" t="s">
        <v>8</v>
      </c>
      <c r="F9309" s="4" t="s">
        <v>13</v>
      </c>
      <c r="G9309" s="4" t="s">
        <v>13</v>
      </c>
      <c r="H9309" s="4" t="s">
        <v>13</v>
      </c>
    </row>
    <row r="9310" spans="1:13">
      <c r="A9310" t="n">
        <v>86713</v>
      </c>
      <c r="B9310" s="42" t="n">
        <v>48</v>
      </c>
      <c r="C9310" s="7" t="n">
        <v>13</v>
      </c>
      <c r="D9310" s="7" t="n">
        <v>0</v>
      </c>
      <c r="E9310" s="7" t="s">
        <v>480</v>
      </c>
      <c r="F9310" s="7" t="n">
        <v>-1</v>
      </c>
      <c r="G9310" s="7" t="n">
        <v>1</v>
      </c>
      <c r="H9310" s="7" t="n">
        <v>0</v>
      </c>
    </row>
    <row r="9311" spans="1:13">
      <c r="A9311" t="s">
        <v>4</v>
      </c>
      <c r="B9311" s="4" t="s">
        <v>5</v>
      </c>
      <c r="C9311" s="4" t="s">
        <v>7</v>
      </c>
      <c r="D9311" s="4" t="s">
        <v>11</v>
      </c>
    </row>
    <row r="9312" spans="1:13">
      <c r="A9312" t="n">
        <v>86743</v>
      </c>
      <c r="B9312" s="23" t="n">
        <v>58</v>
      </c>
      <c r="C9312" s="7" t="n">
        <v>255</v>
      </c>
      <c r="D9312" s="7" t="n">
        <v>0</v>
      </c>
    </row>
    <row r="9313" spans="1:9">
      <c r="A9313" t="s">
        <v>4</v>
      </c>
      <c r="B9313" s="4" t="s">
        <v>5</v>
      </c>
      <c r="C9313" s="4" t="s">
        <v>7</v>
      </c>
      <c r="D9313" s="4" t="s">
        <v>11</v>
      </c>
      <c r="E9313" s="4" t="s">
        <v>8</v>
      </c>
    </row>
    <row r="9314" spans="1:9">
      <c r="A9314" t="n">
        <v>86747</v>
      </c>
      <c r="B9314" s="38" t="n">
        <v>51</v>
      </c>
      <c r="C9314" s="7" t="n">
        <v>4</v>
      </c>
      <c r="D9314" s="7" t="n">
        <v>13</v>
      </c>
      <c r="E9314" s="7" t="s">
        <v>242</v>
      </c>
    </row>
    <row r="9315" spans="1:9">
      <c r="A9315" t="s">
        <v>4</v>
      </c>
      <c r="B9315" s="4" t="s">
        <v>5</v>
      </c>
      <c r="C9315" s="4" t="s">
        <v>11</v>
      </c>
    </row>
    <row r="9316" spans="1:9">
      <c r="A9316" t="n">
        <v>86761</v>
      </c>
      <c r="B9316" s="29" t="n">
        <v>16</v>
      </c>
      <c r="C9316" s="7" t="n">
        <v>0</v>
      </c>
    </row>
    <row r="9317" spans="1:9">
      <c r="A9317" t="s">
        <v>4</v>
      </c>
      <c r="B9317" s="4" t="s">
        <v>5</v>
      </c>
      <c r="C9317" s="4" t="s">
        <v>11</v>
      </c>
      <c r="D9317" s="4" t="s">
        <v>7</v>
      </c>
      <c r="E9317" s="4" t="s">
        <v>15</v>
      </c>
      <c r="F9317" s="4" t="s">
        <v>55</v>
      </c>
      <c r="G9317" s="4" t="s">
        <v>7</v>
      </c>
      <c r="H9317" s="4" t="s">
        <v>7</v>
      </c>
      <c r="I9317" s="4" t="s">
        <v>7</v>
      </c>
      <c r="J9317" s="4" t="s">
        <v>15</v>
      </c>
      <c r="K9317" s="4" t="s">
        <v>55</v>
      </c>
      <c r="L9317" s="4" t="s">
        <v>7</v>
      </c>
      <c r="M9317" s="4" t="s">
        <v>7</v>
      </c>
    </row>
    <row r="9318" spans="1:9">
      <c r="A9318" t="n">
        <v>86764</v>
      </c>
      <c r="B9318" s="55" t="n">
        <v>26</v>
      </c>
      <c r="C9318" s="7" t="n">
        <v>13</v>
      </c>
      <c r="D9318" s="7" t="n">
        <v>17</v>
      </c>
      <c r="E9318" s="7" t="n">
        <v>64029</v>
      </c>
      <c r="F9318" s="7" t="s">
        <v>793</v>
      </c>
      <c r="G9318" s="7" t="n">
        <v>2</v>
      </c>
      <c r="H9318" s="7" t="n">
        <v>3</v>
      </c>
      <c r="I9318" s="7" t="n">
        <v>17</v>
      </c>
      <c r="J9318" s="7" t="n">
        <v>64030</v>
      </c>
      <c r="K9318" s="7" t="s">
        <v>794</v>
      </c>
      <c r="L9318" s="7" t="n">
        <v>2</v>
      </c>
      <c r="M9318" s="7" t="n">
        <v>0</v>
      </c>
    </row>
    <row r="9319" spans="1:9">
      <c r="A9319" t="s">
        <v>4</v>
      </c>
      <c r="B9319" s="4" t="s">
        <v>5</v>
      </c>
    </row>
    <row r="9320" spans="1:9">
      <c r="A9320" t="n">
        <v>87001</v>
      </c>
      <c r="B9320" s="27" t="n">
        <v>28</v>
      </c>
    </row>
    <row r="9321" spans="1:9">
      <c r="A9321" t="s">
        <v>4</v>
      </c>
      <c r="B9321" s="4" t="s">
        <v>5</v>
      </c>
      <c r="C9321" s="4" t="s">
        <v>7</v>
      </c>
      <c r="D9321" s="4" t="s">
        <v>11</v>
      </c>
      <c r="E9321" s="4" t="s">
        <v>8</v>
      </c>
    </row>
    <row r="9322" spans="1:9">
      <c r="A9322" t="n">
        <v>87002</v>
      </c>
      <c r="B9322" s="38" t="n">
        <v>51</v>
      </c>
      <c r="C9322" s="7" t="n">
        <v>4</v>
      </c>
      <c r="D9322" s="7" t="n">
        <v>0</v>
      </c>
      <c r="E9322" s="7" t="s">
        <v>173</v>
      </c>
    </row>
    <row r="9323" spans="1:9">
      <c r="A9323" t="s">
        <v>4</v>
      </c>
      <c r="B9323" s="4" t="s">
        <v>5</v>
      </c>
      <c r="C9323" s="4" t="s">
        <v>11</v>
      </c>
    </row>
    <row r="9324" spans="1:9">
      <c r="A9324" t="n">
        <v>87015</v>
      </c>
      <c r="B9324" s="29" t="n">
        <v>16</v>
      </c>
      <c r="C9324" s="7" t="n">
        <v>0</v>
      </c>
    </row>
    <row r="9325" spans="1:9">
      <c r="A9325" t="s">
        <v>4</v>
      </c>
      <c r="B9325" s="4" t="s">
        <v>5</v>
      </c>
      <c r="C9325" s="4" t="s">
        <v>11</v>
      </c>
      <c r="D9325" s="4" t="s">
        <v>7</v>
      </c>
      <c r="E9325" s="4" t="s">
        <v>15</v>
      </c>
      <c r="F9325" s="4" t="s">
        <v>55</v>
      </c>
      <c r="G9325" s="4" t="s">
        <v>7</v>
      </c>
      <c r="H9325" s="4" t="s">
        <v>7</v>
      </c>
    </row>
    <row r="9326" spans="1:9">
      <c r="A9326" t="n">
        <v>87018</v>
      </c>
      <c r="B9326" s="55" t="n">
        <v>26</v>
      </c>
      <c r="C9326" s="7" t="n">
        <v>0</v>
      </c>
      <c r="D9326" s="7" t="n">
        <v>17</v>
      </c>
      <c r="E9326" s="7" t="n">
        <v>64031</v>
      </c>
      <c r="F9326" s="7" t="s">
        <v>795</v>
      </c>
      <c r="G9326" s="7" t="n">
        <v>2</v>
      </c>
      <c r="H9326" s="7" t="n">
        <v>0</v>
      </c>
    </row>
    <row r="9327" spans="1:9">
      <c r="A9327" t="s">
        <v>4</v>
      </c>
      <c r="B9327" s="4" t="s">
        <v>5</v>
      </c>
    </row>
    <row r="9328" spans="1:9">
      <c r="A9328" t="n">
        <v>87093</v>
      </c>
      <c r="B9328" s="27" t="n">
        <v>28</v>
      </c>
    </row>
    <row r="9329" spans="1:13">
      <c r="A9329" t="s">
        <v>4</v>
      </c>
      <c r="B9329" s="4" t="s">
        <v>5</v>
      </c>
      <c r="C9329" s="4" t="s">
        <v>7</v>
      </c>
      <c r="D9329" s="4" t="s">
        <v>11</v>
      </c>
      <c r="E9329" s="4" t="s">
        <v>8</v>
      </c>
      <c r="F9329" s="4" t="s">
        <v>8</v>
      </c>
      <c r="G9329" s="4" t="s">
        <v>8</v>
      </c>
      <c r="H9329" s="4" t="s">
        <v>8</v>
      </c>
    </row>
    <row r="9330" spans="1:13">
      <c r="A9330" t="n">
        <v>87094</v>
      </c>
      <c r="B9330" s="38" t="n">
        <v>51</v>
      </c>
      <c r="C9330" s="7" t="n">
        <v>3</v>
      </c>
      <c r="D9330" s="7" t="n">
        <v>13</v>
      </c>
      <c r="E9330" s="7" t="s">
        <v>295</v>
      </c>
      <c r="F9330" s="7" t="s">
        <v>79</v>
      </c>
      <c r="G9330" s="7" t="s">
        <v>78</v>
      </c>
      <c r="H9330" s="7" t="s">
        <v>79</v>
      </c>
    </row>
    <row r="9331" spans="1:13">
      <c r="A9331" t="s">
        <v>4</v>
      </c>
      <c r="B9331" s="4" t="s">
        <v>5</v>
      </c>
      <c r="C9331" s="4" t="s">
        <v>11</v>
      </c>
      <c r="D9331" s="4" t="s">
        <v>13</v>
      </c>
      <c r="E9331" s="4" t="s">
        <v>13</v>
      </c>
      <c r="F9331" s="4" t="s">
        <v>13</v>
      </c>
      <c r="G9331" s="4" t="s">
        <v>11</v>
      </c>
      <c r="H9331" s="4" t="s">
        <v>11</v>
      </c>
    </row>
    <row r="9332" spans="1:13">
      <c r="A9332" t="n">
        <v>87107</v>
      </c>
      <c r="B9332" s="37" t="n">
        <v>60</v>
      </c>
      <c r="C9332" s="7" t="n">
        <v>13</v>
      </c>
      <c r="D9332" s="7" t="n">
        <v>-45</v>
      </c>
      <c r="E9332" s="7" t="n">
        <v>0</v>
      </c>
      <c r="F9332" s="7" t="n">
        <v>0</v>
      </c>
      <c r="G9332" s="7" t="n">
        <v>1000</v>
      </c>
      <c r="H9332" s="7" t="n">
        <v>0</v>
      </c>
    </row>
    <row r="9333" spans="1:13">
      <c r="A9333" t="s">
        <v>4</v>
      </c>
      <c r="B9333" s="4" t="s">
        <v>5</v>
      </c>
      <c r="C9333" s="4" t="s">
        <v>11</v>
      </c>
    </row>
    <row r="9334" spans="1:13">
      <c r="A9334" t="n">
        <v>87126</v>
      </c>
      <c r="B9334" s="29" t="n">
        <v>16</v>
      </c>
      <c r="C9334" s="7" t="n">
        <v>1000</v>
      </c>
    </row>
    <row r="9335" spans="1:13">
      <c r="A9335" t="s">
        <v>4</v>
      </c>
      <c r="B9335" s="4" t="s">
        <v>5</v>
      </c>
      <c r="C9335" s="4" t="s">
        <v>7</v>
      </c>
      <c r="D9335" s="4" t="s">
        <v>11</v>
      </c>
      <c r="E9335" s="4" t="s">
        <v>8</v>
      </c>
      <c r="F9335" s="4" t="s">
        <v>8</v>
      </c>
      <c r="G9335" s="4" t="s">
        <v>8</v>
      </c>
      <c r="H9335" s="4" t="s">
        <v>8</v>
      </c>
    </row>
    <row r="9336" spans="1:13">
      <c r="A9336" t="n">
        <v>87129</v>
      </c>
      <c r="B9336" s="38" t="n">
        <v>51</v>
      </c>
      <c r="C9336" s="7" t="n">
        <v>3</v>
      </c>
      <c r="D9336" s="7" t="n">
        <v>13</v>
      </c>
      <c r="E9336" s="7" t="s">
        <v>296</v>
      </c>
      <c r="F9336" s="7" t="s">
        <v>79</v>
      </c>
      <c r="G9336" s="7" t="s">
        <v>78</v>
      </c>
      <c r="H9336" s="7" t="s">
        <v>79</v>
      </c>
    </row>
    <row r="9337" spans="1:13">
      <c r="A9337" t="s">
        <v>4</v>
      </c>
      <c r="B9337" s="4" t="s">
        <v>5</v>
      </c>
      <c r="C9337" s="4" t="s">
        <v>11</v>
      </c>
      <c r="D9337" s="4" t="s">
        <v>13</v>
      </c>
      <c r="E9337" s="4" t="s">
        <v>13</v>
      </c>
      <c r="F9337" s="4" t="s">
        <v>13</v>
      </c>
      <c r="G9337" s="4" t="s">
        <v>11</v>
      </c>
      <c r="H9337" s="4" t="s">
        <v>11</v>
      </c>
    </row>
    <row r="9338" spans="1:13">
      <c r="A9338" t="n">
        <v>87143</v>
      </c>
      <c r="B9338" s="37" t="n">
        <v>60</v>
      </c>
      <c r="C9338" s="7" t="n">
        <v>13</v>
      </c>
      <c r="D9338" s="7" t="n">
        <v>45</v>
      </c>
      <c r="E9338" s="7" t="n">
        <v>0</v>
      </c>
      <c r="F9338" s="7" t="n">
        <v>0</v>
      </c>
      <c r="G9338" s="7" t="n">
        <v>1000</v>
      </c>
      <c r="H9338" s="7" t="n">
        <v>0</v>
      </c>
    </row>
    <row r="9339" spans="1:13">
      <c r="A9339" t="s">
        <v>4</v>
      </c>
      <c r="B9339" s="4" t="s">
        <v>5</v>
      </c>
      <c r="C9339" s="4" t="s">
        <v>11</v>
      </c>
    </row>
    <row r="9340" spans="1:13">
      <c r="A9340" t="n">
        <v>87162</v>
      </c>
      <c r="B9340" s="29" t="n">
        <v>16</v>
      </c>
      <c r="C9340" s="7" t="n">
        <v>1200</v>
      </c>
    </row>
    <row r="9341" spans="1:13">
      <c r="A9341" t="s">
        <v>4</v>
      </c>
      <c r="B9341" s="4" t="s">
        <v>5</v>
      </c>
      <c r="C9341" s="4" t="s">
        <v>7</v>
      </c>
      <c r="D9341" s="4" t="s">
        <v>11</v>
      </c>
      <c r="E9341" s="4" t="s">
        <v>8</v>
      </c>
      <c r="F9341" s="4" t="s">
        <v>8</v>
      </c>
      <c r="G9341" s="4" t="s">
        <v>8</v>
      </c>
      <c r="H9341" s="4" t="s">
        <v>8</v>
      </c>
    </row>
    <row r="9342" spans="1:13">
      <c r="A9342" t="n">
        <v>87165</v>
      </c>
      <c r="B9342" s="38" t="n">
        <v>51</v>
      </c>
      <c r="C9342" s="7" t="n">
        <v>3</v>
      </c>
      <c r="D9342" s="7" t="n">
        <v>13</v>
      </c>
      <c r="E9342" s="7" t="s">
        <v>86</v>
      </c>
      <c r="F9342" s="7" t="s">
        <v>79</v>
      </c>
      <c r="G9342" s="7" t="s">
        <v>78</v>
      </c>
      <c r="H9342" s="7" t="s">
        <v>79</v>
      </c>
    </row>
    <row r="9343" spans="1:13">
      <c r="A9343" t="s">
        <v>4</v>
      </c>
      <c r="B9343" s="4" t="s">
        <v>5</v>
      </c>
      <c r="C9343" s="4" t="s">
        <v>11</v>
      </c>
      <c r="D9343" s="4" t="s">
        <v>13</v>
      </c>
      <c r="E9343" s="4" t="s">
        <v>13</v>
      </c>
      <c r="F9343" s="4" t="s">
        <v>13</v>
      </c>
      <c r="G9343" s="4" t="s">
        <v>11</v>
      </c>
      <c r="H9343" s="4" t="s">
        <v>11</v>
      </c>
    </row>
    <row r="9344" spans="1:13">
      <c r="A9344" t="n">
        <v>87178</v>
      </c>
      <c r="B9344" s="37" t="n">
        <v>60</v>
      </c>
      <c r="C9344" s="7" t="n">
        <v>13</v>
      </c>
      <c r="D9344" s="7" t="n">
        <v>0</v>
      </c>
      <c r="E9344" s="7" t="n">
        <v>0</v>
      </c>
      <c r="F9344" s="7" t="n">
        <v>0</v>
      </c>
      <c r="G9344" s="7" t="n">
        <v>1000</v>
      </c>
      <c r="H9344" s="7" t="n">
        <v>0</v>
      </c>
    </row>
    <row r="9345" spans="1:8">
      <c r="A9345" t="s">
        <v>4</v>
      </c>
      <c r="B9345" s="4" t="s">
        <v>5</v>
      </c>
      <c r="C9345" s="4" t="s">
        <v>11</v>
      </c>
    </row>
    <row r="9346" spans="1:8">
      <c r="A9346" t="n">
        <v>87197</v>
      </c>
      <c r="B9346" s="29" t="n">
        <v>16</v>
      </c>
      <c r="C9346" s="7" t="n">
        <v>1000</v>
      </c>
    </row>
    <row r="9347" spans="1:8">
      <c r="A9347" t="s">
        <v>4</v>
      </c>
      <c r="B9347" s="4" t="s">
        <v>5</v>
      </c>
      <c r="C9347" s="4" t="s">
        <v>7</v>
      </c>
      <c r="D9347" s="4" t="s">
        <v>11</v>
      </c>
      <c r="E9347" s="4" t="s">
        <v>8</v>
      </c>
    </row>
    <row r="9348" spans="1:8">
      <c r="A9348" t="n">
        <v>87200</v>
      </c>
      <c r="B9348" s="38" t="n">
        <v>51</v>
      </c>
      <c r="C9348" s="7" t="n">
        <v>4</v>
      </c>
      <c r="D9348" s="7" t="n">
        <v>13</v>
      </c>
      <c r="E9348" s="7" t="s">
        <v>242</v>
      </c>
    </row>
    <row r="9349" spans="1:8">
      <c r="A9349" t="s">
        <v>4</v>
      </c>
      <c r="B9349" s="4" t="s">
        <v>5</v>
      </c>
      <c r="C9349" s="4" t="s">
        <v>11</v>
      </c>
    </row>
    <row r="9350" spans="1:8">
      <c r="A9350" t="n">
        <v>87214</v>
      </c>
      <c r="B9350" s="29" t="n">
        <v>16</v>
      </c>
      <c r="C9350" s="7" t="n">
        <v>0</v>
      </c>
    </row>
    <row r="9351" spans="1:8">
      <c r="A9351" t="s">
        <v>4</v>
      </c>
      <c r="B9351" s="4" t="s">
        <v>5</v>
      </c>
      <c r="C9351" s="4" t="s">
        <v>11</v>
      </c>
      <c r="D9351" s="4" t="s">
        <v>7</v>
      </c>
      <c r="E9351" s="4" t="s">
        <v>15</v>
      </c>
      <c r="F9351" s="4" t="s">
        <v>55</v>
      </c>
      <c r="G9351" s="4" t="s">
        <v>7</v>
      </c>
      <c r="H9351" s="4" t="s">
        <v>7</v>
      </c>
      <c r="I9351" s="4" t="s">
        <v>7</v>
      </c>
      <c r="J9351" s="4" t="s">
        <v>15</v>
      </c>
      <c r="K9351" s="4" t="s">
        <v>55</v>
      </c>
      <c r="L9351" s="4" t="s">
        <v>7</v>
      </c>
      <c r="M9351" s="4" t="s">
        <v>7</v>
      </c>
    </row>
    <row r="9352" spans="1:8">
      <c r="A9352" t="n">
        <v>87217</v>
      </c>
      <c r="B9352" s="55" t="n">
        <v>26</v>
      </c>
      <c r="C9352" s="7" t="n">
        <v>13</v>
      </c>
      <c r="D9352" s="7" t="n">
        <v>17</v>
      </c>
      <c r="E9352" s="7" t="n">
        <v>64032</v>
      </c>
      <c r="F9352" s="7" t="s">
        <v>796</v>
      </c>
      <c r="G9352" s="7" t="n">
        <v>2</v>
      </c>
      <c r="H9352" s="7" t="n">
        <v>3</v>
      </c>
      <c r="I9352" s="7" t="n">
        <v>17</v>
      </c>
      <c r="J9352" s="7" t="n">
        <v>64033</v>
      </c>
      <c r="K9352" s="7" t="s">
        <v>797</v>
      </c>
      <c r="L9352" s="7" t="n">
        <v>2</v>
      </c>
      <c r="M9352" s="7" t="n">
        <v>0</v>
      </c>
    </row>
    <row r="9353" spans="1:8">
      <c r="A9353" t="s">
        <v>4</v>
      </c>
      <c r="B9353" s="4" t="s">
        <v>5</v>
      </c>
    </row>
    <row r="9354" spans="1:8">
      <c r="A9354" t="n">
        <v>87385</v>
      </c>
      <c r="B9354" s="27" t="n">
        <v>28</v>
      </c>
    </row>
    <row r="9355" spans="1:8">
      <c r="A9355" t="s">
        <v>4</v>
      </c>
      <c r="B9355" s="4" t="s">
        <v>5</v>
      </c>
      <c r="C9355" s="4" t="s">
        <v>7</v>
      </c>
      <c r="D9355" s="4" t="s">
        <v>11</v>
      </c>
      <c r="E9355" s="4" t="s">
        <v>8</v>
      </c>
    </row>
    <row r="9356" spans="1:8">
      <c r="A9356" t="n">
        <v>87386</v>
      </c>
      <c r="B9356" s="38" t="n">
        <v>51</v>
      </c>
      <c r="C9356" s="7" t="n">
        <v>4</v>
      </c>
      <c r="D9356" s="7" t="n">
        <v>0</v>
      </c>
      <c r="E9356" s="7" t="s">
        <v>167</v>
      </c>
    </row>
    <row r="9357" spans="1:8">
      <c r="A9357" t="s">
        <v>4</v>
      </c>
      <c r="B9357" s="4" t="s">
        <v>5</v>
      </c>
      <c r="C9357" s="4" t="s">
        <v>11</v>
      </c>
    </row>
    <row r="9358" spans="1:8">
      <c r="A9358" t="n">
        <v>87400</v>
      </c>
      <c r="B9358" s="29" t="n">
        <v>16</v>
      </c>
      <c r="C9358" s="7" t="n">
        <v>0</v>
      </c>
    </row>
    <row r="9359" spans="1:8">
      <c r="A9359" t="s">
        <v>4</v>
      </c>
      <c r="B9359" s="4" t="s">
        <v>5</v>
      </c>
      <c r="C9359" s="4" t="s">
        <v>11</v>
      </c>
      <c r="D9359" s="4" t="s">
        <v>7</v>
      </c>
      <c r="E9359" s="4" t="s">
        <v>15</v>
      </c>
      <c r="F9359" s="4" t="s">
        <v>55</v>
      </c>
      <c r="G9359" s="4" t="s">
        <v>7</v>
      </c>
      <c r="H9359" s="4" t="s">
        <v>7</v>
      </c>
      <c r="I9359" s="4" t="s">
        <v>7</v>
      </c>
      <c r="J9359" s="4" t="s">
        <v>15</v>
      </c>
      <c r="K9359" s="4" t="s">
        <v>55</v>
      </c>
      <c r="L9359" s="4" t="s">
        <v>7</v>
      </c>
      <c r="M9359" s="4" t="s">
        <v>7</v>
      </c>
      <c r="N9359" s="4" t="s">
        <v>7</v>
      </c>
      <c r="O9359" s="4" t="s">
        <v>15</v>
      </c>
      <c r="P9359" s="4" t="s">
        <v>55</v>
      </c>
      <c r="Q9359" s="4" t="s">
        <v>7</v>
      </c>
      <c r="R9359" s="4" t="s">
        <v>7</v>
      </c>
    </row>
    <row r="9360" spans="1:8">
      <c r="A9360" t="n">
        <v>87403</v>
      </c>
      <c r="B9360" s="55" t="n">
        <v>26</v>
      </c>
      <c r="C9360" s="7" t="n">
        <v>0</v>
      </c>
      <c r="D9360" s="7" t="n">
        <v>17</v>
      </c>
      <c r="E9360" s="7" t="n">
        <v>64034</v>
      </c>
      <c r="F9360" s="7" t="s">
        <v>798</v>
      </c>
      <c r="G9360" s="7" t="n">
        <v>2</v>
      </c>
      <c r="H9360" s="7" t="n">
        <v>3</v>
      </c>
      <c r="I9360" s="7" t="n">
        <v>17</v>
      </c>
      <c r="J9360" s="7" t="n">
        <v>64035</v>
      </c>
      <c r="K9360" s="7" t="s">
        <v>799</v>
      </c>
      <c r="L9360" s="7" t="n">
        <v>2</v>
      </c>
      <c r="M9360" s="7" t="n">
        <v>3</v>
      </c>
      <c r="N9360" s="7" t="n">
        <v>17</v>
      </c>
      <c r="O9360" s="7" t="n">
        <v>63780</v>
      </c>
      <c r="P9360" s="7" t="s">
        <v>301</v>
      </c>
      <c r="Q9360" s="7" t="n">
        <v>2</v>
      </c>
      <c r="R9360" s="7" t="n">
        <v>0</v>
      </c>
    </row>
    <row r="9361" spans="1:18">
      <c r="A9361" t="s">
        <v>4</v>
      </c>
      <c r="B9361" s="4" t="s">
        <v>5</v>
      </c>
    </row>
    <row r="9362" spans="1:18">
      <c r="A9362" t="n">
        <v>87650</v>
      </c>
      <c r="B9362" s="27" t="n">
        <v>28</v>
      </c>
    </row>
    <row r="9363" spans="1:18">
      <c r="A9363" t="s">
        <v>4</v>
      </c>
      <c r="B9363" s="4" t="s">
        <v>5</v>
      </c>
      <c r="C9363" s="4" t="s">
        <v>7</v>
      </c>
      <c r="D9363" s="4" t="s">
        <v>11</v>
      </c>
      <c r="E9363" s="4" t="s">
        <v>8</v>
      </c>
    </row>
    <row r="9364" spans="1:18">
      <c r="A9364" t="n">
        <v>87651</v>
      </c>
      <c r="B9364" s="38" t="n">
        <v>51</v>
      </c>
      <c r="C9364" s="7" t="n">
        <v>4</v>
      </c>
      <c r="D9364" s="7" t="n">
        <v>13</v>
      </c>
      <c r="E9364" s="7" t="s">
        <v>238</v>
      </c>
    </row>
    <row r="9365" spans="1:18">
      <c r="A9365" t="s">
        <v>4</v>
      </c>
      <c r="B9365" s="4" t="s">
        <v>5</v>
      </c>
      <c r="C9365" s="4" t="s">
        <v>11</v>
      </c>
    </row>
    <row r="9366" spans="1:18">
      <c r="A9366" t="n">
        <v>87665</v>
      </c>
      <c r="B9366" s="29" t="n">
        <v>16</v>
      </c>
      <c r="C9366" s="7" t="n">
        <v>0</v>
      </c>
    </row>
    <row r="9367" spans="1:18">
      <c r="A9367" t="s">
        <v>4</v>
      </c>
      <c r="B9367" s="4" t="s">
        <v>5</v>
      </c>
      <c r="C9367" s="4" t="s">
        <v>11</v>
      </c>
      <c r="D9367" s="4" t="s">
        <v>7</v>
      </c>
      <c r="E9367" s="4" t="s">
        <v>15</v>
      </c>
      <c r="F9367" s="4" t="s">
        <v>55</v>
      </c>
      <c r="G9367" s="4" t="s">
        <v>7</v>
      </c>
      <c r="H9367" s="4" t="s">
        <v>7</v>
      </c>
    </row>
    <row r="9368" spans="1:18">
      <c r="A9368" t="n">
        <v>87668</v>
      </c>
      <c r="B9368" s="55" t="n">
        <v>26</v>
      </c>
      <c r="C9368" s="7" t="n">
        <v>13</v>
      </c>
      <c r="D9368" s="7" t="n">
        <v>17</v>
      </c>
      <c r="E9368" s="7" t="n">
        <v>64036</v>
      </c>
      <c r="F9368" s="7" t="s">
        <v>800</v>
      </c>
      <c r="G9368" s="7" t="n">
        <v>2</v>
      </c>
      <c r="H9368" s="7" t="n">
        <v>0</v>
      </c>
    </row>
    <row r="9369" spans="1:18">
      <c r="A9369" t="s">
        <v>4</v>
      </c>
      <c r="B9369" s="4" t="s">
        <v>5</v>
      </c>
    </row>
    <row r="9370" spans="1:18">
      <c r="A9370" t="n">
        <v>87694</v>
      </c>
      <c r="B9370" s="27" t="n">
        <v>28</v>
      </c>
    </row>
    <row r="9371" spans="1:18">
      <c r="A9371" t="s">
        <v>4</v>
      </c>
      <c r="B9371" s="4" t="s">
        <v>5</v>
      </c>
      <c r="C9371" s="4" t="s">
        <v>11</v>
      </c>
      <c r="D9371" s="4" t="s">
        <v>7</v>
      </c>
    </row>
    <row r="9372" spans="1:18">
      <c r="A9372" t="n">
        <v>87695</v>
      </c>
      <c r="B9372" s="68" t="n">
        <v>89</v>
      </c>
      <c r="C9372" s="7" t="n">
        <v>65533</v>
      </c>
      <c r="D9372" s="7" t="n">
        <v>1</v>
      </c>
    </row>
    <row r="9373" spans="1:18">
      <c r="A9373" t="s">
        <v>4</v>
      </c>
      <c r="B9373" s="4" t="s">
        <v>5</v>
      </c>
      <c r="C9373" s="4" t="s">
        <v>7</v>
      </c>
      <c r="D9373" s="4" t="s">
        <v>11</v>
      </c>
      <c r="E9373" s="4" t="s">
        <v>13</v>
      </c>
    </row>
    <row r="9374" spans="1:18">
      <c r="A9374" t="n">
        <v>87699</v>
      </c>
      <c r="B9374" s="23" t="n">
        <v>58</v>
      </c>
      <c r="C9374" s="7" t="n">
        <v>101</v>
      </c>
      <c r="D9374" s="7" t="n">
        <v>500</v>
      </c>
      <c r="E9374" s="7" t="n">
        <v>1</v>
      </c>
    </row>
    <row r="9375" spans="1:18">
      <c r="A9375" t="s">
        <v>4</v>
      </c>
      <c r="B9375" s="4" t="s">
        <v>5</v>
      </c>
      <c r="C9375" s="4" t="s">
        <v>7</v>
      </c>
      <c r="D9375" s="4" t="s">
        <v>11</v>
      </c>
    </row>
    <row r="9376" spans="1:18">
      <c r="A9376" t="n">
        <v>87707</v>
      </c>
      <c r="B9376" s="23" t="n">
        <v>58</v>
      </c>
      <c r="C9376" s="7" t="n">
        <v>254</v>
      </c>
      <c r="D9376" s="7" t="n">
        <v>0</v>
      </c>
    </row>
    <row r="9377" spans="1:8">
      <c r="A9377" t="s">
        <v>4</v>
      </c>
      <c r="B9377" s="4" t="s">
        <v>5</v>
      </c>
      <c r="C9377" s="4" t="s">
        <v>7</v>
      </c>
      <c r="D9377" s="4" t="s">
        <v>11</v>
      </c>
      <c r="E9377" s="4" t="s">
        <v>8</v>
      </c>
      <c r="F9377" s="4" t="s">
        <v>8</v>
      </c>
      <c r="G9377" s="4" t="s">
        <v>8</v>
      </c>
      <c r="H9377" s="4" t="s">
        <v>8</v>
      </c>
    </row>
    <row r="9378" spans="1:8">
      <c r="A9378" t="n">
        <v>87711</v>
      </c>
      <c r="B9378" s="38" t="n">
        <v>51</v>
      </c>
      <c r="C9378" s="7" t="n">
        <v>3</v>
      </c>
      <c r="D9378" s="7" t="n">
        <v>0</v>
      </c>
      <c r="E9378" s="7" t="s">
        <v>65</v>
      </c>
      <c r="F9378" s="7" t="s">
        <v>99</v>
      </c>
      <c r="G9378" s="7" t="s">
        <v>78</v>
      </c>
      <c r="H9378" s="7" t="s">
        <v>79</v>
      </c>
    </row>
    <row r="9379" spans="1:8">
      <c r="A9379" t="s">
        <v>4</v>
      </c>
      <c r="B9379" s="4" t="s">
        <v>5</v>
      </c>
      <c r="C9379" s="4" t="s">
        <v>7</v>
      </c>
      <c r="D9379" s="4" t="s">
        <v>11</v>
      </c>
      <c r="E9379" s="4" t="s">
        <v>8</v>
      </c>
      <c r="F9379" s="4" t="s">
        <v>8</v>
      </c>
      <c r="G9379" s="4" t="s">
        <v>8</v>
      </c>
      <c r="H9379" s="4" t="s">
        <v>8</v>
      </c>
    </row>
    <row r="9380" spans="1:8">
      <c r="A9380" t="n">
        <v>87732</v>
      </c>
      <c r="B9380" s="38" t="n">
        <v>51</v>
      </c>
      <c r="C9380" s="7" t="n">
        <v>3</v>
      </c>
      <c r="D9380" s="7" t="n">
        <v>13</v>
      </c>
      <c r="E9380" s="7" t="s">
        <v>101</v>
      </c>
      <c r="F9380" s="7" t="s">
        <v>79</v>
      </c>
      <c r="G9380" s="7" t="s">
        <v>78</v>
      </c>
      <c r="H9380" s="7" t="s">
        <v>79</v>
      </c>
    </row>
    <row r="9381" spans="1:8">
      <c r="A9381" t="s">
        <v>4</v>
      </c>
      <c r="B9381" s="4" t="s">
        <v>5</v>
      </c>
      <c r="C9381" s="4" t="s">
        <v>11</v>
      </c>
      <c r="D9381" s="4" t="s">
        <v>11</v>
      </c>
      <c r="E9381" s="4" t="s">
        <v>11</v>
      </c>
    </row>
    <row r="9382" spans="1:8">
      <c r="A9382" t="n">
        <v>87753</v>
      </c>
      <c r="B9382" s="72" t="n">
        <v>61</v>
      </c>
      <c r="C9382" s="7" t="n">
        <v>0</v>
      </c>
      <c r="D9382" s="7" t="n">
        <v>65533</v>
      </c>
      <c r="E9382" s="7" t="n">
        <v>0</v>
      </c>
    </row>
    <row r="9383" spans="1:8">
      <c r="A9383" t="s">
        <v>4</v>
      </c>
      <c r="B9383" s="4" t="s">
        <v>5</v>
      </c>
      <c r="C9383" s="4" t="s">
        <v>11</v>
      </c>
      <c r="D9383" s="4" t="s">
        <v>11</v>
      </c>
      <c r="E9383" s="4" t="s">
        <v>11</v>
      </c>
    </row>
    <row r="9384" spans="1:8">
      <c r="A9384" t="n">
        <v>87760</v>
      </c>
      <c r="B9384" s="72" t="n">
        <v>61</v>
      </c>
      <c r="C9384" s="7" t="n">
        <v>13</v>
      </c>
      <c r="D9384" s="7" t="n">
        <v>65533</v>
      </c>
      <c r="E9384" s="7" t="n">
        <v>0</v>
      </c>
    </row>
    <row r="9385" spans="1:8">
      <c r="A9385" t="s">
        <v>4</v>
      </c>
      <c r="B9385" s="4" t="s">
        <v>5</v>
      </c>
      <c r="C9385" s="4" t="s">
        <v>7</v>
      </c>
    </row>
    <row r="9386" spans="1:8">
      <c r="A9386" t="n">
        <v>87767</v>
      </c>
      <c r="B9386" s="49" t="n">
        <v>116</v>
      </c>
      <c r="C9386" s="7" t="n">
        <v>0</v>
      </c>
    </row>
    <row r="9387" spans="1:8">
      <c r="A9387" t="s">
        <v>4</v>
      </c>
      <c r="B9387" s="4" t="s">
        <v>5</v>
      </c>
      <c r="C9387" s="4" t="s">
        <v>7</v>
      </c>
      <c r="D9387" s="4" t="s">
        <v>11</v>
      </c>
    </row>
    <row r="9388" spans="1:8">
      <c r="A9388" t="n">
        <v>87769</v>
      </c>
      <c r="B9388" s="49" t="n">
        <v>116</v>
      </c>
      <c r="C9388" s="7" t="n">
        <v>2</v>
      </c>
      <c r="D9388" s="7" t="n">
        <v>1</v>
      </c>
    </row>
    <row r="9389" spans="1:8">
      <c r="A9389" t="s">
        <v>4</v>
      </c>
      <c r="B9389" s="4" t="s">
        <v>5</v>
      </c>
      <c r="C9389" s="4" t="s">
        <v>7</v>
      </c>
      <c r="D9389" s="4" t="s">
        <v>15</v>
      </c>
    </row>
    <row r="9390" spans="1:8">
      <c r="A9390" t="n">
        <v>87773</v>
      </c>
      <c r="B9390" s="49" t="n">
        <v>116</v>
      </c>
      <c r="C9390" s="7" t="n">
        <v>5</v>
      </c>
      <c r="D9390" s="7" t="n">
        <v>1106247680</v>
      </c>
    </row>
    <row r="9391" spans="1:8">
      <c r="A9391" t="s">
        <v>4</v>
      </c>
      <c r="B9391" s="4" t="s">
        <v>5</v>
      </c>
      <c r="C9391" s="4" t="s">
        <v>7</v>
      </c>
      <c r="D9391" s="4" t="s">
        <v>11</v>
      </c>
    </row>
    <row r="9392" spans="1:8">
      <c r="A9392" t="n">
        <v>87779</v>
      </c>
      <c r="B9392" s="49" t="n">
        <v>116</v>
      </c>
      <c r="C9392" s="7" t="n">
        <v>6</v>
      </c>
      <c r="D9392" s="7" t="n">
        <v>1</v>
      </c>
    </row>
    <row r="9393" spans="1:8">
      <c r="A9393" t="s">
        <v>4</v>
      </c>
      <c r="B9393" s="4" t="s">
        <v>5</v>
      </c>
      <c r="C9393" s="4" t="s">
        <v>7</v>
      </c>
      <c r="D9393" s="4" t="s">
        <v>7</v>
      </c>
      <c r="E9393" s="4" t="s">
        <v>13</v>
      </c>
      <c r="F9393" s="4" t="s">
        <v>13</v>
      </c>
      <c r="G9393" s="4" t="s">
        <v>13</v>
      </c>
      <c r="H9393" s="4" t="s">
        <v>11</v>
      </c>
    </row>
    <row r="9394" spans="1:8">
      <c r="A9394" t="n">
        <v>87783</v>
      </c>
      <c r="B9394" s="51" t="n">
        <v>45</v>
      </c>
      <c r="C9394" s="7" t="n">
        <v>2</v>
      </c>
      <c r="D9394" s="7" t="n">
        <v>3</v>
      </c>
      <c r="E9394" s="7" t="n">
        <v>4.53000020980835</v>
      </c>
      <c r="F9394" s="7" t="n">
        <v>1.30999994277954</v>
      </c>
      <c r="G9394" s="7" t="n">
        <v>46.2700004577637</v>
      </c>
      <c r="H9394" s="7" t="n">
        <v>0</v>
      </c>
    </row>
    <row r="9395" spans="1:8">
      <c r="A9395" t="s">
        <v>4</v>
      </c>
      <c r="B9395" s="4" t="s">
        <v>5</v>
      </c>
      <c r="C9395" s="4" t="s">
        <v>7</v>
      </c>
      <c r="D9395" s="4" t="s">
        <v>7</v>
      </c>
      <c r="E9395" s="4" t="s">
        <v>13</v>
      </c>
      <c r="F9395" s="4" t="s">
        <v>13</v>
      </c>
      <c r="G9395" s="4" t="s">
        <v>13</v>
      </c>
      <c r="H9395" s="4" t="s">
        <v>11</v>
      </c>
      <c r="I9395" s="4" t="s">
        <v>7</v>
      </c>
    </row>
    <row r="9396" spans="1:8">
      <c r="A9396" t="n">
        <v>87800</v>
      </c>
      <c r="B9396" s="51" t="n">
        <v>45</v>
      </c>
      <c r="C9396" s="7" t="n">
        <v>4</v>
      </c>
      <c r="D9396" s="7" t="n">
        <v>3</v>
      </c>
      <c r="E9396" s="7" t="n">
        <v>12.8699998855591</v>
      </c>
      <c r="F9396" s="7" t="n">
        <v>80.0199966430664</v>
      </c>
      <c r="G9396" s="7" t="n">
        <v>0</v>
      </c>
      <c r="H9396" s="7" t="n">
        <v>0</v>
      </c>
      <c r="I9396" s="7" t="n">
        <v>0</v>
      </c>
    </row>
    <row r="9397" spans="1:8">
      <c r="A9397" t="s">
        <v>4</v>
      </c>
      <c r="B9397" s="4" t="s">
        <v>5</v>
      </c>
      <c r="C9397" s="4" t="s">
        <v>7</v>
      </c>
      <c r="D9397" s="4" t="s">
        <v>7</v>
      </c>
      <c r="E9397" s="4" t="s">
        <v>13</v>
      </c>
      <c r="F9397" s="4" t="s">
        <v>11</v>
      </c>
    </row>
    <row r="9398" spans="1:8">
      <c r="A9398" t="n">
        <v>87818</v>
      </c>
      <c r="B9398" s="51" t="n">
        <v>45</v>
      </c>
      <c r="C9398" s="7" t="n">
        <v>5</v>
      </c>
      <c r="D9398" s="7" t="n">
        <v>3</v>
      </c>
      <c r="E9398" s="7" t="n">
        <v>3</v>
      </c>
      <c r="F9398" s="7" t="n">
        <v>0</v>
      </c>
    </row>
    <row r="9399" spans="1:8">
      <c r="A9399" t="s">
        <v>4</v>
      </c>
      <c r="B9399" s="4" t="s">
        <v>5</v>
      </c>
      <c r="C9399" s="4" t="s">
        <v>7</v>
      </c>
      <c r="D9399" s="4" t="s">
        <v>7</v>
      </c>
      <c r="E9399" s="4" t="s">
        <v>13</v>
      </c>
      <c r="F9399" s="4" t="s">
        <v>11</v>
      </c>
    </row>
    <row r="9400" spans="1:8">
      <c r="A9400" t="n">
        <v>87827</v>
      </c>
      <c r="B9400" s="51" t="n">
        <v>45</v>
      </c>
      <c r="C9400" s="7" t="n">
        <v>11</v>
      </c>
      <c r="D9400" s="7" t="n">
        <v>3</v>
      </c>
      <c r="E9400" s="7" t="n">
        <v>34</v>
      </c>
      <c r="F9400" s="7" t="n">
        <v>0</v>
      </c>
    </row>
    <row r="9401" spans="1:8">
      <c r="A9401" t="s">
        <v>4</v>
      </c>
      <c r="B9401" s="4" t="s">
        <v>5</v>
      </c>
      <c r="C9401" s="4" t="s">
        <v>7</v>
      </c>
      <c r="D9401" s="4" t="s">
        <v>7</v>
      </c>
      <c r="E9401" s="4" t="s">
        <v>13</v>
      </c>
      <c r="F9401" s="4" t="s">
        <v>13</v>
      </c>
      <c r="G9401" s="4" t="s">
        <v>13</v>
      </c>
      <c r="H9401" s="4" t="s">
        <v>11</v>
      </c>
    </row>
    <row r="9402" spans="1:8">
      <c r="A9402" t="n">
        <v>87836</v>
      </c>
      <c r="B9402" s="51" t="n">
        <v>45</v>
      </c>
      <c r="C9402" s="7" t="n">
        <v>2</v>
      </c>
      <c r="D9402" s="7" t="n">
        <v>3</v>
      </c>
      <c r="E9402" s="7" t="n">
        <v>4.53000020980835</v>
      </c>
      <c r="F9402" s="7" t="n">
        <v>2.30999994277954</v>
      </c>
      <c r="G9402" s="7" t="n">
        <v>46.2700004577637</v>
      </c>
      <c r="H9402" s="7" t="n">
        <v>5000</v>
      </c>
    </row>
    <row r="9403" spans="1:8">
      <c r="A9403" t="s">
        <v>4</v>
      </c>
      <c r="B9403" s="4" t="s">
        <v>5</v>
      </c>
      <c r="C9403" s="4" t="s">
        <v>7</v>
      </c>
      <c r="D9403" s="4" t="s">
        <v>11</v>
      </c>
    </row>
    <row r="9404" spans="1:8">
      <c r="A9404" t="n">
        <v>87853</v>
      </c>
      <c r="B9404" s="23" t="n">
        <v>58</v>
      </c>
      <c r="C9404" s="7" t="n">
        <v>255</v>
      </c>
      <c r="D9404" s="7" t="n">
        <v>0</v>
      </c>
    </row>
    <row r="9405" spans="1:8">
      <c r="A9405" t="s">
        <v>4</v>
      </c>
      <c r="B9405" s="4" t="s">
        <v>5</v>
      </c>
      <c r="C9405" s="4" t="s">
        <v>11</v>
      </c>
      <c r="D9405" s="4" t="s">
        <v>13</v>
      </c>
      <c r="E9405" s="4" t="s">
        <v>13</v>
      </c>
      <c r="F9405" s="4" t="s">
        <v>7</v>
      </c>
    </row>
    <row r="9406" spans="1:8">
      <c r="A9406" t="n">
        <v>87857</v>
      </c>
      <c r="B9406" s="65" t="n">
        <v>52</v>
      </c>
      <c r="C9406" s="7" t="n">
        <v>0</v>
      </c>
      <c r="D9406" s="7" t="n">
        <v>255</v>
      </c>
      <c r="E9406" s="7" t="n">
        <v>5</v>
      </c>
      <c r="F9406" s="7" t="n">
        <v>0</v>
      </c>
    </row>
    <row r="9407" spans="1:8">
      <c r="A9407" t="s">
        <v>4</v>
      </c>
      <c r="B9407" s="4" t="s">
        <v>5</v>
      </c>
      <c r="C9407" s="4" t="s">
        <v>11</v>
      </c>
    </row>
    <row r="9408" spans="1:8">
      <c r="A9408" t="n">
        <v>87869</v>
      </c>
      <c r="B9408" s="29" t="n">
        <v>16</v>
      </c>
      <c r="C9408" s="7" t="n">
        <v>100</v>
      </c>
    </row>
    <row r="9409" spans="1:9">
      <c r="A9409" t="s">
        <v>4</v>
      </c>
      <c r="B9409" s="4" t="s">
        <v>5</v>
      </c>
      <c r="C9409" s="4" t="s">
        <v>11</v>
      </c>
      <c r="D9409" s="4" t="s">
        <v>13</v>
      </c>
      <c r="E9409" s="4" t="s">
        <v>13</v>
      </c>
      <c r="F9409" s="4" t="s">
        <v>7</v>
      </c>
    </row>
    <row r="9410" spans="1:9">
      <c r="A9410" t="n">
        <v>87872</v>
      </c>
      <c r="B9410" s="65" t="n">
        <v>52</v>
      </c>
      <c r="C9410" s="7" t="n">
        <v>13</v>
      </c>
      <c r="D9410" s="7" t="n">
        <v>255</v>
      </c>
      <c r="E9410" s="7" t="n">
        <v>5</v>
      </c>
      <c r="F9410" s="7" t="n">
        <v>0</v>
      </c>
    </row>
    <row r="9411" spans="1:9">
      <c r="A9411" t="s">
        <v>4</v>
      </c>
      <c r="B9411" s="4" t="s">
        <v>5</v>
      </c>
      <c r="C9411" s="4" t="s">
        <v>11</v>
      </c>
    </row>
    <row r="9412" spans="1:9">
      <c r="A9412" t="n">
        <v>87884</v>
      </c>
      <c r="B9412" s="66" t="n">
        <v>54</v>
      </c>
      <c r="C9412" s="7" t="n">
        <v>0</v>
      </c>
    </row>
    <row r="9413" spans="1:9">
      <c r="A9413" t="s">
        <v>4</v>
      </c>
      <c r="B9413" s="4" t="s">
        <v>5</v>
      </c>
      <c r="C9413" s="4" t="s">
        <v>11</v>
      </c>
      <c r="D9413" s="4" t="s">
        <v>11</v>
      </c>
      <c r="E9413" s="4" t="s">
        <v>13</v>
      </c>
      <c r="F9413" s="4" t="s">
        <v>13</v>
      </c>
      <c r="G9413" s="4" t="s">
        <v>13</v>
      </c>
      <c r="H9413" s="4" t="s">
        <v>13</v>
      </c>
      <c r="I9413" s="4" t="s">
        <v>7</v>
      </c>
      <c r="J9413" s="4" t="s">
        <v>11</v>
      </c>
    </row>
    <row r="9414" spans="1:9">
      <c r="A9414" t="n">
        <v>87887</v>
      </c>
      <c r="B9414" s="53" t="n">
        <v>55</v>
      </c>
      <c r="C9414" s="7" t="n">
        <v>0</v>
      </c>
      <c r="D9414" s="7" t="n">
        <v>65024</v>
      </c>
      <c r="E9414" s="7" t="n">
        <v>0</v>
      </c>
      <c r="F9414" s="7" t="n">
        <v>0</v>
      </c>
      <c r="G9414" s="7" t="n">
        <v>6</v>
      </c>
      <c r="H9414" s="7" t="n">
        <v>1.20000004768372</v>
      </c>
      <c r="I9414" s="7" t="n">
        <v>1</v>
      </c>
      <c r="J9414" s="7" t="n">
        <v>0</v>
      </c>
    </row>
    <row r="9415" spans="1:9">
      <c r="A9415" t="s">
        <v>4</v>
      </c>
      <c r="B9415" s="4" t="s">
        <v>5</v>
      </c>
      <c r="C9415" s="4" t="s">
        <v>11</v>
      </c>
    </row>
    <row r="9416" spans="1:9">
      <c r="A9416" t="n">
        <v>87911</v>
      </c>
      <c r="B9416" s="66" t="n">
        <v>54</v>
      </c>
      <c r="C9416" s="7" t="n">
        <v>13</v>
      </c>
    </row>
    <row r="9417" spans="1:9">
      <c r="A9417" t="s">
        <v>4</v>
      </c>
      <c r="B9417" s="4" t="s">
        <v>5</v>
      </c>
      <c r="C9417" s="4" t="s">
        <v>11</v>
      </c>
    </row>
    <row r="9418" spans="1:9">
      <c r="A9418" t="n">
        <v>87914</v>
      </c>
      <c r="B9418" s="29" t="n">
        <v>16</v>
      </c>
      <c r="C9418" s="7" t="n">
        <v>200</v>
      </c>
    </row>
    <row r="9419" spans="1:9">
      <c r="A9419" t="s">
        <v>4</v>
      </c>
      <c r="B9419" s="4" t="s">
        <v>5</v>
      </c>
      <c r="C9419" s="4" t="s">
        <v>11</v>
      </c>
      <c r="D9419" s="4" t="s">
        <v>11</v>
      </c>
      <c r="E9419" s="4" t="s">
        <v>13</v>
      </c>
      <c r="F9419" s="4" t="s">
        <v>13</v>
      </c>
      <c r="G9419" s="4" t="s">
        <v>13</v>
      </c>
      <c r="H9419" s="4" t="s">
        <v>13</v>
      </c>
      <c r="I9419" s="4" t="s">
        <v>7</v>
      </c>
      <c r="J9419" s="4" t="s">
        <v>11</v>
      </c>
    </row>
    <row r="9420" spans="1:9">
      <c r="A9420" t="n">
        <v>87917</v>
      </c>
      <c r="B9420" s="53" t="n">
        <v>55</v>
      </c>
      <c r="C9420" s="7" t="n">
        <v>13</v>
      </c>
      <c r="D9420" s="7" t="n">
        <v>65024</v>
      </c>
      <c r="E9420" s="7" t="n">
        <v>0</v>
      </c>
      <c r="F9420" s="7" t="n">
        <v>0</v>
      </c>
      <c r="G9420" s="7" t="n">
        <v>6</v>
      </c>
      <c r="H9420" s="7" t="n">
        <v>1.20000004768372</v>
      </c>
      <c r="I9420" s="7" t="n">
        <v>1</v>
      </c>
      <c r="J9420" s="7" t="n">
        <v>0</v>
      </c>
    </row>
    <row r="9421" spans="1:9">
      <c r="A9421" t="s">
        <v>4</v>
      </c>
      <c r="B9421" s="4" t="s">
        <v>5</v>
      </c>
      <c r="C9421" s="4" t="s">
        <v>11</v>
      </c>
    </row>
    <row r="9422" spans="1:9">
      <c r="A9422" t="n">
        <v>87941</v>
      </c>
      <c r="B9422" s="29" t="n">
        <v>16</v>
      </c>
      <c r="C9422" s="7" t="n">
        <v>2000</v>
      </c>
    </row>
    <row r="9423" spans="1:9">
      <c r="A9423" t="s">
        <v>4</v>
      </c>
      <c r="B9423" s="4" t="s">
        <v>5</v>
      </c>
      <c r="C9423" s="4" t="s">
        <v>7</v>
      </c>
      <c r="D9423" s="4" t="s">
        <v>11</v>
      </c>
      <c r="E9423" s="4" t="s">
        <v>13</v>
      </c>
    </row>
    <row r="9424" spans="1:9">
      <c r="A9424" t="n">
        <v>87944</v>
      </c>
      <c r="B9424" s="23" t="n">
        <v>58</v>
      </c>
      <c r="C9424" s="7" t="n">
        <v>0</v>
      </c>
      <c r="D9424" s="7" t="n">
        <v>1000</v>
      </c>
      <c r="E9424" s="7" t="n">
        <v>1</v>
      </c>
    </row>
    <row r="9425" spans="1:10">
      <c r="A9425" t="s">
        <v>4</v>
      </c>
      <c r="B9425" s="4" t="s">
        <v>5</v>
      </c>
      <c r="C9425" s="4" t="s">
        <v>7</v>
      </c>
      <c r="D9425" s="4" t="s">
        <v>11</v>
      </c>
    </row>
    <row r="9426" spans="1:10">
      <c r="A9426" t="n">
        <v>87952</v>
      </c>
      <c r="B9426" s="23" t="n">
        <v>58</v>
      </c>
      <c r="C9426" s="7" t="n">
        <v>255</v>
      </c>
      <c r="D9426" s="7" t="n">
        <v>0</v>
      </c>
    </row>
    <row r="9427" spans="1:10">
      <c r="A9427" t="s">
        <v>4</v>
      </c>
      <c r="B9427" s="4" t="s">
        <v>5</v>
      </c>
      <c r="C9427" s="4" t="s">
        <v>11</v>
      </c>
      <c r="D9427" s="4" t="s">
        <v>7</v>
      </c>
    </row>
    <row r="9428" spans="1:10">
      <c r="A9428" t="n">
        <v>87956</v>
      </c>
      <c r="B9428" s="54" t="n">
        <v>56</v>
      </c>
      <c r="C9428" s="7" t="n">
        <v>0</v>
      </c>
      <c r="D9428" s="7" t="n">
        <v>1</v>
      </c>
    </row>
    <row r="9429" spans="1:10">
      <c r="A9429" t="s">
        <v>4</v>
      </c>
      <c r="B9429" s="4" t="s">
        <v>5</v>
      </c>
      <c r="C9429" s="4" t="s">
        <v>11</v>
      </c>
      <c r="D9429" s="4" t="s">
        <v>7</v>
      </c>
    </row>
    <row r="9430" spans="1:10">
      <c r="A9430" t="n">
        <v>87960</v>
      </c>
      <c r="B9430" s="54" t="n">
        <v>56</v>
      </c>
      <c r="C9430" s="7" t="n">
        <v>13</v>
      </c>
      <c r="D9430" s="7" t="n">
        <v>1</v>
      </c>
    </row>
    <row r="9431" spans="1:10">
      <c r="A9431" t="s">
        <v>4</v>
      </c>
      <c r="B9431" s="4" t="s">
        <v>5</v>
      </c>
      <c r="C9431" s="4" t="s">
        <v>11</v>
      </c>
      <c r="D9431" s="4" t="s">
        <v>13</v>
      </c>
      <c r="E9431" s="4" t="s">
        <v>13</v>
      </c>
      <c r="F9431" s="4" t="s">
        <v>13</v>
      </c>
      <c r="G9431" s="4" t="s">
        <v>13</v>
      </c>
    </row>
    <row r="9432" spans="1:10">
      <c r="A9432" t="n">
        <v>87964</v>
      </c>
      <c r="B9432" s="36" t="n">
        <v>46</v>
      </c>
      <c r="C9432" s="7" t="n">
        <v>0</v>
      </c>
      <c r="D9432" s="7" t="n">
        <v>-7.67000007629395</v>
      </c>
      <c r="E9432" s="7" t="n">
        <v>5</v>
      </c>
      <c r="F9432" s="7" t="n">
        <v>41.2599983215332</v>
      </c>
      <c r="G9432" s="7" t="n">
        <v>18.7000007629395</v>
      </c>
    </row>
    <row r="9433" spans="1:10">
      <c r="A9433" t="s">
        <v>4</v>
      </c>
      <c r="B9433" s="4" t="s">
        <v>5</v>
      </c>
      <c r="C9433" s="4" t="s">
        <v>11</v>
      </c>
      <c r="D9433" s="4" t="s">
        <v>13</v>
      </c>
      <c r="E9433" s="4" t="s">
        <v>13</v>
      </c>
      <c r="F9433" s="4" t="s">
        <v>13</v>
      </c>
      <c r="G9433" s="4" t="s">
        <v>13</v>
      </c>
    </row>
    <row r="9434" spans="1:10">
      <c r="A9434" t="n">
        <v>87983</v>
      </c>
      <c r="B9434" s="36" t="n">
        <v>46</v>
      </c>
      <c r="C9434" s="7" t="n">
        <v>13</v>
      </c>
      <c r="D9434" s="7" t="n">
        <v>-7.15000009536743</v>
      </c>
      <c r="E9434" s="7" t="n">
        <v>5</v>
      </c>
      <c r="F9434" s="7" t="n">
        <v>42.0099983215332</v>
      </c>
      <c r="G9434" s="7" t="n">
        <v>4.30000019073486</v>
      </c>
    </row>
    <row r="9435" spans="1:10">
      <c r="A9435" t="s">
        <v>4</v>
      </c>
      <c r="B9435" s="4" t="s">
        <v>5</v>
      </c>
      <c r="C9435" s="4" t="s">
        <v>11</v>
      </c>
      <c r="D9435" s="4" t="s">
        <v>11</v>
      </c>
      <c r="E9435" s="4" t="s">
        <v>11</v>
      </c>
    </row>
    <row r="9436" spans="1:10">
      <c r="A9436" t="n">
        <v>88002</v>
      </c>
      <c r="B9436" s="72" t="n">
        <v>61</v>
      </c>
      <c r="C9436" s="7" t="n">
        <v>0</v>
      </c>
      <c r="D9436" s="7" t="n">
        <v>65533</v>
      </c>
      <c r="E9436" s="7" t="n">
        <v>0</v>
      </c>
    </row>
    <row r="9437" spans="1:10">
      <c r="A9437" t="s">
        <v>4</v>
      </c>
      <c r="B9437" s="4" t="s">
        <v>5</v>
      </c>
      <c r="C9437" s="4" t="s">
        <v>11</v>
      </c>
      <c r="D9437" s="4" t="s">
        <v>11</v>
      </c>
      <c r="E9437" s="4" t="s">
        <v>11</v>
      </c>
    </row>
    <row r="9438" spans="1:10">
      <c r="A9438" t="n">
        <v>88009</v>
      </c>
      <c r="B9438" s="72" t="n">
        <v>61</v>
      </c>
      <c r="C9438" s="7" t="n">
        <v>13</v>
      </c>
      <c r="D9438" s="7" t="n">
        <v>65533</v>
      </c>
      <c r="E9438" s="7" t="n">
        <v>0</v>
      </c>
    </row>
    <row r="9439" spans="1:10">
      <c r="A9439" t="s">
        <v>4</v>
      </c>
      <c r="B9439" s="4" t="s">
        <v>5</v>
      </c>
      <c r="C9439" s="4" t="s">
        <v>7</v>
      </c>
      <c r="D9439" s="4" t="s">
        <v>7</v>
      </c>
      <c r="E9439" s="4" t="s">
        <v>13</v>
      </c>
      <c r="F9439" s="4" t="s">
        <v>13</v>
      </c>
      <c r="G9439" s="4" t="s">
        <v>13</v>
      </c>
      <c r="H9439" s="4" t="s">
        <v>11</v>
      </c>
    </row>
    <row r="9440" spans="1:10">
      <c r="A9440" t="n">
        <v>88016</v>
      </c>
      <c r="B9440" s="51" t="n">
        <v>45</v>
      </c>
      <c r="C9440" s="7" t="n">
        <v>2</v>
      </c>
      <c r="D9440" s="7" t="n">
        <v>3</v>
      </c>
      <c r="E9440" s="7" t="n">
        <v>-6.92000007629395</v>
      </c>
      <c r="F9440" s="7" t="n">
        <v>6.55000019073486</v>
      </c>
      <c r="G9440" s="7" t="n">
        <v>46.4099998474121</v>
      </c>
      <c r="H9440" s="7" t="n">
        <v>0</v>
      </c>
    </row>
    <row r="9441" spans="1:8">
      <c r="A9441" t="s">
        <v>4</v>
      </c>
      <c r="B9441" s="4" t="s">
        <v>5</v>
      </c>
      <c r="C9441" s="4" t="s">
        <v>7</v>
      </c>
      <c r="D9441" s="4" t="s">
        <v>7</v>
      </c>
      <c r="E9441" s="4" t="s">
        <v>13</v>
      </c>
      <c r="F9441" s="4" t="s">
        <v>13</v>
      </c>
      <c r="G9441" s="4" t="s">
        <v>13</v>
      </c>
      <c r="H9441" s="4" t="s">
        <v>11</v>
      </c>
      <c r="I9441" s="4" t="s">
        <v>7</v>
      </c>
    </row>
    <row r="9442" spans="1:8">
      <c r="A9442" t="n">
        <v>88033</v>
      </c>
      <c r="B9442" s="51" t="n">
        <v>45</v>
      </c>
      <c r="C9442" s="7" t="n">
        <v>4</v>
      </c>
      <c r="D9442" s="7" t="n">
        <v>3</v>
      </c>
      <c r="E9442" s="7" t="n">
        <v>6.15000009536743</v>
      </c>
      <c r="F9442" s="7" t="n">
        <v>341.170013427734</v>
      </c>
      <c r="G9442" s="7" t="n">
        <v>0</v>
      </c>
      <c r="H9442" s="7" t="n">
        <v>0</v>
      </c>
      <c r="I9442" s="7" t="n">
        <v>0</v>
      </c>
    </row>
    <row r="9443" spans="1:8">
      <c r="A9443" t="s">
        <v>4</v>
      </c>
      <c r="B9443" s="4" t="s">
        <v>5</v>
      </c>
      <c r="C9443" s="4" t="s">
        <v>7</v>
      </c>
      <c r="D9443" s="4" t="s">
        <v>7</v>
      </c>
      <c r="E9443" s="4" t="s">
        <v>13</v>
      </c>
      <c r="F9443" s="4" t="s">
        <v>11</v>
      </c>
    </row>
    <row r="9444" spans="1:8">
      <c r="A9444" t="n">
        <v>88051</v>
      </c>
      <c r="B9444" s="51" t="n">
        <v>45</v>
      </c>
      <c r="C9444" s="7" t="n">
        <v>5</v>
      </c>
      <c r="D9444" s="7" t="n">
        <v>3</v>
      </c>
      <c r="E9444" s="7" t="n">
        <v>7.19999980926514</v>
      </c>
      <c r="F9444" s="7" t="n">
        <v>0</v>
      </c>
    </row>
    <row r="9445" spans="1:8">
      <c r="A9445" t="s">
        <v>4</v>
      </c>
      <c r="B9445" s="4" t="s">
        <v>5</v>
      </c>
      <c r="C9445" s="4" t="s">
        <v>7</v>
      </c>
      <c r="D9445" s="4" t="s">
        <v>7</v>
      </c>
      <c r="E9445" s="4" t="s">
        <v>13</v>
      </c>
      <c r="F9445" s="4" t="s">
        <v>11</v>
      </c>
    </row>
    <row r="9446" spans="1:8">
      <c r="A9446" t="n">
        <v>88060</v>
      </c>
      <c r="B9446" s="51" t="n">
        <v>45</v>
      </c>
      <c r="C9446" s="7" t="n">
        <v>11</v>
      </c>
      <c r="D9446" s="7" t="n">
        <v>3</v>
      </c>
      <c r="E9446" s="7" t="n">
        <v>34</v>
      </c>
      <c r="F9446" s="7" t="n">
        <v>0</v>
      </c>
    </row>
    <row r="9447" spans="1:8">
      <c r="A9447" t="s">
        <v>4</v>
      </c>
      <c r="B9447" s="4" t="s">
        <v>5</v>
      </c>
      <c r="C9447" s="4" t="s">
        <v>7</v>
      </c>
      <c r="D9447" s="4" t="s">
        <v>7</v>
      </c>
      <c r="E9447" s="4" t="s">
        <v>13</v>
      </c>
      <c r="F9447" s="4" t="s">
        <v>13</v>
      </c>
      <c r="G9447" s="4" t="s">
        <v>13</v>
      </c>
      <c r="H9447" s="4" t="s">
        <v>11</v>
      </c>
    </row>
    <row r="9448" spans="1:8">
      <c r="A9448" t="n">
        <v>88069</v>
      </c>
      <c r="B9448" s="51" t="n">
        <v>45</v>
      </c>
      <c r="C9448" s="7" t="n">
        <v>2</v>
      </c>
      <c r="D9448" s="7" t="n">
        <v>3</v>
      </c>
      <c r="E9448" s="7" t="n">
        <v>-7.32999992370605</v>
      </c>
      <c r="F9448" s="7" t="n">
        <v>6.19000005722046</v>
      </c>
      <c r="G9448" s="7" t="n">
        <v>41.7200012207031</v>
      </c>
      <c r="H9448" s="7" t="n">
        <v>6000</v>
      </c>
    </row>
    <row r="9449" spans="1:8">
      <c r="A9449" t="s">
        <v>4</v>
      </c>
      <c r="B9449" s="4" t="s">
        <v>5</v>
      </c>
      <c r="C9449" s="4" t="s">
        <v>7</v>
      </c>
      <c r="D9449" s="4" t="s">
        <v>7</v>
      </c>
      <c r="E9449" s="4" t="s">
        <v>13</v>
      </c>
      <c r="F9449" s="4" t="s">
        <v>13</v>
      </c>
      <c r="G9449" s="4" t="s">
        <v>13</v>
      </c>
      <c r="H9449" s="4" t="s">
        <v>11</v>
      </c>
      <c r="I9449" s="4" t="s">
        <v>7</v>
      </c>
    </row>
    <row r="9450" spans="1:8">
      <c r="A9450" t="n">
        <v>88086</v>
      </c>
      <c r="B9450" s="51" t="n">
        <v>45</v>
      </c>
      <c r="C9450" s="7" t="n">
        <v>4</v>
      </c>
      <c r="D9450" s="7" t="n">
        <v>3</v>
      </c>
      <c r="E9450" s="7" t="n">
        <v>359.339996337891</v>
      </c>
      <c r="F9450" s="7" t="n">
        <v>350.609985351563</v>
      </c>
      <c r="G9450" s="7" t="n">
        <v>0</v>
      </c>
      <c r="H9450" s="7" t="n">
        <v>6000</v>
      </c>
      <c r="I9450" s="7" t="n">
        <v>1</v>
      </c>
    </row>
    <row r="9451" spans="1:8">
      <c r="A9451" t="s">
        <v>4</v>
      </c>
      <c r="B9451" s="4" t="s">
        <v>5</v>
      </c>
      <c r="C9451" s="4" t="s">
        <v>7</v>
      </c>
      <c r="D9451" s="4" t="s">
        <v>7</v>
      </c>
      <c r="E9451" s="4" t="s">
        <v>13</v>
      </c>
      <c r="F9451" s="4" t="s">
        <v>11</v>
      </c>
    </row>
    <row r="9452" spans="1:8">
      <c r="A9452" t="n">
        <v>88104</v>
      </c>
      <c r="B9452" s="51" t="n">
        <v>45</v>
      </c>
      <c r="C9452" s="7" t="n">
        <v>5</v>
      </c>
      <c r="D9452" s="7" t="n">
        <v>3</v>
      </c>
      <c r="E9452" s="7" t="n">
        <v>3.79999995231628</v>
      </c>
      <c r="F9452" s="7" t="n">
        <v>6000</v>
      </c>
    </row>
    <row r="9453" spans="1:8">
      <c r="A9453" t="s">
        <v>4</v>
      </c>
      <c r="B9453" s="4" t="s">
        <v>5</v>
      </c>
      <c r="C9453" s="4" t="s">
        <v>7</v>
      </c>
      <c r="D9453" s="4" t="s">
        <v>11</v>
      </c>
      <c r="E9453" s="4" t="s">
        <v>13</v>
      </c>
    </row>
    <row r="9454" spans="1:8">
      <c r="A9454" t="n">
        <v>88113</v>
      </c>
      <c r="B9454" s="23" t="n">
        <v>58</v>
      </c>
      <c r="C9454" s="7" t="n">
        <v>100</v>
      </c>
      <c r="D9454" s="7" t="n">
        <v>1000</v>
      </c>
      <c r="E9454" s="7" t="n">
        <v>1</v>
      </c>
    </row>
    <row r="9455" spans="1:8">
      <c r="A9455" t="s">
        <v>4</v>
      </c>
      <c r="B9455" s="4" t="s">
        <v>5</v>
      </c>
      <c r="C9455" s="4" t="s">
        <v>7</v>
      </c>
      <c r="D9455" s="4" t="s">
        <v>11</v>
      </c>
    </row>
    <row r="9456" spans="1:8">
      <c r="A9456" t="n">
        <v>88121</v>
      </c>
      <c r="B9456" s="23" t="n">
        <v>58</v>
      </c>
      <c r="C9456" s="7" t="n">
        <v>255</v>
      </c>
      <c r="D9456" s="7" t="n">
        <v>0</v>
      </c>
    </row>
    <row r="9457" spans="1:9">
      <c r="A9457" t="s">
        <v>4</v>
      </c>
      <c r="B9457" s="4" t="s">
        <v>5</v>
      </c>
      <c r="C9457" s="4" t="s">
        <v>11</v>
      </c>
    </row>
    <row r="9458" spans="1:9">
      <c r="A9458" t="n">
        <v>88125</v>
      </c>
      <c r="B9458" s="29" t="n">
        <v>16</v>
      </c>
      <c r="C9458" s="7" t="n">
        <v>1500</v>
      </c>
    </row>
    <row r="9459" spans="1:9">
      <c r="A9459" t="s">
        <v>4</v>
      </c>
      <c r="B9459" s="4" t="s">
        <v>5</v>
      </c>
      <c r="C9459" s="4" t="s">
        <v>11</v>
      </c>
      <c r="D9459" s="4" t="s">
        <v>7</v>
      </c>
      <c r="E9459" s="4" t="s">
        <v>13</v>
      </c>
      <c r="F9459" s="4" t="s">
        <v>11</v>
      </c>
    </row>
    <row r="9460" spans="1:9">
      <c r="A9460" t="n">
        <v>88128</v>
      </c>
      <c r="B9460" s="56" t="n">
        <v>59</v>
      </c>
      <c r="C9460" s="7" t="n">
        <v>13</v>
      </c>
      <c r="D9460" s="7" t="n">
        <v>9</v>
      </c>
      <c r="E9460" s="7" t="n">
        <v>0.150000005960464</v>
      </c>
      <c r="F9460" s="7" t="n">
        <v>0</v>
      </c>
    </row>
    <row r="9461" spans="1:9">
      <c r="A9461" t="s">
        <v>4</v>
      </c>
      <c r="B9461" s="4" t="s">
        <v>5</v>
      </c>
      <c r="C9461" s="4" t="s">
        <v>11</v>
      </c>
      <c r="D9461" s="4" t="s">
        <v>13</v>
      </c>
      <c r="E9461" s="4" t="s">
        <v>13</v>
      </c>
      <c r="F9461" s="4" t="s">
        <v>13</v>
      </c>
      <c r="G9461" s="4" t="s">
        <v>11</v>
      </c>
      <c r="H9461" s="4" t="s">
        <v>11</v>
      </c>
    </row>
    <row r="9462" spans="1:9">
      <c r="A9462" t="n">
        <v>88138</v>
      </c>
      <c r="B9462" s="37" t="n">
        <v>60</v>
      </c>
      <c r="C9462" s="7" t="n">
        <v>13</v>
      </c>
      <c r="D9462" s="7" t="n">
        <v>-45</v>
      </c>
      <c r="E9462" s="7" t="n">
        <v>0</v>
      </c>
      <c r="F9462" s="7" t="n">
        <v>0</v>
      </c>
      <c r="G9462" s="7" t="n">
        <v>1000</v>
      </c>
      <c r="H9462" s="7" t="n">
        <v>0</v>
      </c>
    </row>
    <row r="9463" spans="1:9">
      <c r="A9463" t="s">
        <v>4</v>
      </c>
      <c r="B9463" s="4" t="s">
        <v>5</v>
      </c>
      <c r="C9463" s="4" t="s">
        <v>11</v>
      </c>
    </row>
    <row r="9464" spans="1:9">
      <c r="A9464" t="n">
        <v>88157</v>
      </c>
      <c r="B9464" s="29" t="n">
        <v>16</v>
      </c>
      <c r="C9464" s="7" t="n">
        <v>1000</v>
      </c>
    </row>
    <row r="9465" spans="1:9">
      <c r="A9465" t="s">
        <v>4</v>
      </c>
      <c r="B9465" s="4" t="s">
        <v>5</v>
      </c>
      <c r="C9465" s="4" t="s">
        <v>11</v>
      </c>
      <c r="D9465" s="4" t="s">
        <v>13</v>
      </c>
      <c r="E9465" s="4" t="s">
        <v>13</v>
      </c>
      <c r="F9465" s="4" t="s">
        <v>13</v>
      </c>
      <c r="G9465" s="4" t="s">
        <v>11</v>
      </c>
      <c r="H9465" s="4" t="s">
        <v>11</v>
      </c>
    </row>
    <row r="9466" spans="1:9">
      <c r="A9466" t="n">
        <v>88160</v>
      </c>
      <c r="B9466" s="37" t="n">
        <v>60</v>
      </c>
      <c r="C9466" s="7" t="n">
        <v>13</v>
      </c>
      <c r="D9466" s="7" t="n">
        <v>45</v>
      </c>
      <c r="E9466" s="7" t="n">
        <v>0</v>
      </c>
      <c r="F9466" s="7" t="n">
        <v>0</v>
      </c>
      <c r="G9466" s="7" t="n">
        <v>1000</v>
      </c>
      <c r="H9466" s="7" t="n">
        <v>0</v>
      </c>
    </row>
    <row r="9467" spans="1:9">
      <c r="A9467" t="s">
        <v>4</v>
      </c>
      <c r="B9467" s="4" t="s">
        <v>5</v>
      </c>
      <c r="C9467" s="4" t="s">
        <v>11</v>
      </c>
    </row>
    <row r="9468" spans="1:9">
      <c r="A9468" t="n">
        <v>88179</v>
      </c>
      <c r="B9468" s="29" t="n">
        <v>16</v>
      </c>
      <c r="C9468" s="7" t="n">
        <v>1000</v>
      </c>
    </row>
    <row r="9469" spans="1:9">
      <c r="A9469" t="s">
        <v>4</v>
      </c>
      <c r="B9469" s="4" t="s">
        <v>5</v>
      </c>
      <c r="C9469" s="4" t="s">
        <v>11</v>
      </c>
      <c r="D9469" s="4" t="s">
        <v>13</v>
      </c>
      <c r="E9469" s="4" t="s">
        <v>13</v>
      </c>
      <c r="F9469" s="4" t="s">
        <v>13</v>
      </c>
      <c r="G9469" s="4" t="s">
        <v>11</v>
      </c>
      <c r="H9469" s="4" t="s">
        <v>11</v>
      </c>
    </row>
    <row r="9470" spans="1:9">
      <c r="A9470" t="n">
        <v>88182</v>
      </c>
      <c r="B9470" s="37" t="n">
        <v>60</v>
      </c>
      <c r="C9470" s="7" t="n">
        <v>13</v>
      </c>
      <c r="D9470" s="7" t="n">
        <v>0</v>
      </c>
      <c r="E9470" s="7" t="n">
        <v>0</v>
      </c>
      <c r="F9470" s="7" t="n">
        <v>0</v>
      </c>
      <c r="G9470" s="7" t="n">
        <v>500</v>
      </c>
      <c r="H9470" s="7" t="n">
        <v>0</v>
      </c>
    </row>
    <row r="9471" spans="1:9">
      <c r="A9471" t="s">
        <v>4</v>
      </c>
      <c r="B9471" s="4" t="s">
        <v>5</v>
      </c>
      <c r="C9471" s="4" t="s">
        <v>11</v>
      </c>
    </row>
    <row r="9472" spans="1:9">
      <c r="A9472" t="n">
        <v>88201</v>
      </c>
      <c r="B9472" s="29" t="n">
        <v>16</v>
      </c>
      <c r="C9472" s="7" t="n">
        <v>1000</v>
      </c>
    </row>
    <row r="9473" spans="1:8">
      <c r="A9473" t="s">
        <v>4</v>
      </c>
      <c r="B9473" s="4" t="s">
        <v>5</v>
      </c>
      <c r="C9473" s="4" t="s">
        <v>7</v>
      </c>
      <c r="D9473" s="4" t="s">
        <v>11</v>
      </c>
    </row>
    <row r="9474" spans="1:8">
      <c r="A9474" t="n">
        <v>88204</v>
      </c>
      <c r="B9474" s="51" t="n">
        <v>45</v>
      </c>
      <c r="C9474" s="7" t="n">
        <v>7</v>
      </c>
      <c r="D9474" s="7" t="n">
        <v>255</v>
      </c>
    </row>
    <row r="9475" spans="1:8">
      <c r="A9475" t="s">
        <v>4</v>
      </c>
      <c r="B9475" s="4" t="s">
        <v>5</v>
      </c>
      <c r="C9475" s="4" t="s">
        <v>7</v>
      </c>
      <c r="D9475" s="4" t="s">
        <v>11</v>
      </c>
      <c r="E9475" s="4" t="s">
        <v>13</v>
      </c>
    </row>
    <row r="9476" spans="1:8">
      <c r="A9476" t="n">
        <v>88208</v>
      </c>
      <c r="B9476" s="23" t="n">
        <v>58</v>
      </c>
      <c r="C9476" s="7" t="n">
        <v>0</v>
      </c>
      <c r="D9476" s="7" t="n">
        <v>1000</v>
      </c>
      <c r="E9476" s="7" t="n">
        <v>1</v>
      </c>
    </row>
    <row r="9477" spans="1:8">
      <c r="A9477" t="s">
        <v>4</v>
      </c>
      <c r="B9477" s="4" t="s">
        <v>5</v>
      </c>
      <c r="C9477" s="4" t="s">
        <v>7</v>
      </c>
      <c r="D9477" s="4" t="s">
        <v>11</v>
      </c>
    </row>
    <row r="9478" spans="1:8">
      <c r="A9478" t="n">
        <v>88216</v>
      </c>
      <c r="B9478" s="23" t="n">
        <v>58</v>
      </c>
      <c r="C9478" s="7" t="n">
        <v>255</v>
      </c>
      <c r="D9478" s="7" t="n">
        <v>0</v>
      </c>
    </row>
    <row r="9479" spans="1:8">
      <c r="A9479" t="s">
        <v>4</v>
      </c>
      <c r="B9479" s="4" t="s">
        <v>5</v>
      </c>
      <c r="C9479" s="4" t="s">
        <v>11</v>
      </c>
      <c r="D9479" s="4" t="s">
        <v>11</v>
      </c>
      <c r="E9479" s="4" t="s">
        <v>11</v>
      </c>
    </row>
    <row r="9480" spans="1:8">
      <c r="A9480" t="n">
        <v>88220</v>
      </c>
      <c r="B9480" s="72" t="n">
        <v>61</v>
      </c>
      <c r="C9480" s="7" t="n">
        <v>0</v>
      </c>
      <c r="D9480" s="7" t="n">
        <v>65533</v>
      </c>
      <c r="E9480" s="7" t="n">
        <v>1000</v>
      </c>
    </row>
    <row r="9481" spans="1:8">
      <c r="A9481" t="s">
        <v>4</v>
      </c>
      <c r="B9481" s="4" t="s">
        <v>5</v>
      </c>
      <c r="C9481" s="4" t="s">
        <v>11</v>
      </c>
      <c r="D9481" s="4" t="s">
        <v>11</v>
      </c>
      <c r="E9481" s="4" t="s">
        <v>11</v>
      </c>
    </row>
    <row r="9482" spans="1:8">
      <c r="A9482" t="n">
        <v>88227</v>
      </c>
      <c r="B9482" s="72" t="n">
        <v>61</v>
      </c>
      <c r="C9482" s="7" t="n">
        <v>13</v>
      </c>
      <c r="D9482" s="7" t="n">
        <v>65533</v>
      </c>
      <c r="E9482" s="7" t="n">
        <v>1000</v>
      </c>
    </row>
    <row r="9483" spans="1:8">
      <c r="A9483" t="s">
        <v>4</v>
      </c>
      <c r="B9483" s="4" t="s">
        <v>5</v>
      </c>
      <c r="C9483" s="4" t="s">
        <v>11</v>
      </c>
      <c r="D9483" s="4" t="s">
        <v>13</v>
      </c>
      <c r="E9483" s="4" t="s">
        <v>13</v>
      </c>
      <c r="F9483" s="4" t="s">
        <v>13</v>
      </c>
      <c r="G9483" s="4" t="s">
        <v>13</v>
      </c>
    </row>
    <row r="9484" spans="1:8">
      <c r="A9484" t="n">
        <v>88234</v>
      </c>
      <c r="B9484" s="36" t="n">
        <v>46</v>
      </c>
      <c r="C9484" s="7" t="n">
        <v>0</v>
      </c>
      <c r="D9484" s="7" t="n">
        <v>-2.66000008583069</v>
      </c>
      <c r="E9484" s="7" t="n">
        <v>5.01000022888184</v>
      </c>
      <c r="F9484" s="7" t="n">
        <v>32.189998626709</v>
      </c>
      <c r="G9484" s="7" t="n">
        <v>90</v>
      </c>
    </row>
    <row r="9485" spans="1:8">
      <c r="A9485" t="s">
        <v>4</v>
      </c>
      <c r="B9485" s="4" t="s">
        <v>5</v>
      </c>
      <c r="C9485" s="4" t="s">
        <v>11</v>
      </c>
      <c r="D9485" s="4" t="s">
        <v>13</v>
      </c>
      <c r="E9485" s="4" t="s">
        <v>13</v>
      </c>
      <c r="F9485" s="4" t="s">
        <v>13</v>
      </c>
      <c r="G9485" s="4" t="s">
        <v>13</v>
      </c>
    </row>
    <row r="9486" spans="1:8">
      <c r="A9486" t="n">
        <v>88253</v>
      </c>
      <c r="B9486" s="36" t="n">
        <v>46</v>
      </c>
      <c r="C9486" s="7" t="n">
        <v>13</v>
      </c>
      <c r="D9486" s="7" t="n">
        <v>-3.16000008583069</v>
      </c>
      <c r="E9486" s="7" t="n">
        <v>5.01000022888184</v>
      </c>
      <c r="F9486" s="7" t="n">
        <v>31.7900009155273</v>
      </c>
      <c r="G9486" s="7" t="n">
        <v>90</v>
      </c>
    </row>
    <row r="9487" spans="1:8">
      <c r="A9487" t="s">
        <v>4</v>
      </c>
      <c r="B9487" s="4" t="s">
        <v>5</v>
      </c>
      <c r="C9487" s="4" t="s">
        <v>7</v>
      </c>
      <c r="D9487" s="4" t="s">
        <v>7</v>
      </c>
      <c r="E9487" s="4" t="s">
        <v>13</v>
      </c>
      <c r="F9487" s="4" t="s">
        <v>13</v>
      </c>
      <c r="G9487" s="4" t="s">
        <v>13</v>
      </c>
      <c r="H9487" s="4" t="s">
        <v>11</v>
      </c>
    </row>
    <row r="9488" spans="1:8">
      <c r="A9488" t="n">
        <v>88272</v>
      </c>
      <c r="B9488" s="51" t="n">
        <v>45</v>
      </c>
      <c r="C9488" s="7" t="n">
        <v>2</v>
      </c>
      <c r="D9488" s="7" t="n">
        <v>3</v>
      </c>
      <c r="E9488" s="7" t="n">
        <v>6.82000017166138</v>
      </c>
      <c r="F9488" s="7" t="n">
        <v>6.17999982833862</v>
      </c>
      <c r="G9488" s="7" t="n">
        <v>32.2799987792969</v>
      </c>
      <c r="H9488" s="7" t="n">
        <v>0</v>
      </c>
    </row>
    <row r="9489" spans="1:8">
      <c r="A9489" t="s">
        <v>4</v>
      </c>
      <c r="B9489" s="4" t="s">
        <v>5</v>
      </c>
      <c r="C9489" s="4" t="s">
        <v>7</v>
      </c>
      <c r="D9489" s="4" t="s">
        <v>7</v>
      </c>
      <c r="E9489" s="4" t="s">
        <v>13</v>
      </c>
      <c r="F9489" s="4" t="s">
        <v>13</v>
      </c>
      <c r="G9489" s="4" t="s">
        <v>13</v>
      </c>
      <c r="H9489" s="4" t="s">
        <v>11</v>
      </c>
      <c r="I9489" s="4" t="s">
        <v>7</v>
      </c>
    </row>
    <row r="9490" spans="1:8">
      <c r="A9490" t="n">
        <v>88289</v>
      </c>
      <c r="B9490" s="51" t="n">
        <v>45</v>
      </c>
      <c r="C9490" s="7" t="n">
        <v>4</v>
      </c>
      <c r="D9490" s="7" t="n">
        <v>3</v>
      </c>
      <c r="E9490" s="7" t="n">
        <v>358.239990234375</v>
      </c>
      <c r="F9490" s="7" t="n">
        <v>344.200012207031</v>
      </c>
      <c r="G9490" s="7" t="n">
        <v>0</v>
      </c>
      <c r="H9490" s="7" t="n">
        <v>0</v>
      </c>
      <c r="I9490" s="7" t="n">
        <v>0</v>
      </c>
    </row>
    <row r="9491" spans="1:8">
      <c r="A9491" t="s">
        <v>4</v>
      </c>
      <c r="B9491" s="4" t="s">
        <v>5</v>
      </c>
      <c r="C9491" s="4" t="s">
        <v>7</v>
      </c>
      <c r="D9491" s="4" t="s">
        <v>7</v>
      </c>
      <c r="E9491" s="4" t="s">
        <v>13</v>
      </c>
      <c r="F9491" s="4" t="s">
        <v>11</v>
      </c>
    </row>
    <row r="9492" spans="1:8">
      <c r="A9492" t="n">
        <v>88307</v>
      </c>
      <c r="B9492" s="51" t="n">
        <v>45</v>
      </c>
      <c r="C9492" s="7" t="n">
        <v>5</v>
      </c>
      <c r="D9492" s="7" t="n">
        <v>3</v>
      </c>
      <c r="E9492" s="7" t="n">
        <v>3.40000009536743</v>
      </c>
      <c r="F9492" s="7" t="n">
        <v>0</v>
      </c>
    </row>
    <row r="9493" spans="1:8">
      <c r="A9493" t="s">
        <v>4</v>
      </c>
      <c r="B9493" s="4" t="s">
        <v>5</v>
      </c>
      <c r="C9493" s="4" t="s">
        <v>7</v>
      </c>
      <c r="D9493" s="4" t="s">
        <v>7</v>
      </c>
      <c r="E9493" s="4" t="s">
        <v>13</v>
      </c>
      <c r="F9493" s="4" t="s">
        <v>11</v>
      </c>
    </row>
    <row r="9494" spans="1:8">
      <c r="A9494" t="n">
        <v>88316</v>
      </c>
      <c r="B9494" s="51" t="n">
        <v>45</v>
      </c>
      <c r="C9494" s="7" t="n">
        <v>11</v>
      </c>
      <c r="D9494" s="7" t="n">
        <v>3</v>
      </c>
      <c r="E9494" s="7" t="n">
        <v>40.2999992370605</v>
      </c>
      <c r="F9494" s="7" t="n">
        <v>0</v>
      </c>
    </row>
    <row r="9495" spans="1:8">
      <c r="A9495" t="s">
        <v>4</v>
      </c>
      <c r="B9495" s="4" t="s">
        <v>5</v>
      </c>
      <c r="C9495" s="4" t="s">
        <v>7</v>
      </c>
      <c r="D9495" s="4" t="s">
        <v>7</v>
      </c>
      <c r="E9495" s="4" t="s">
        <v>13</v>
      </c>
      <c r="F9495" s="4" t="s">
        <v>13</v>
      </c>
      <c r="G9495" s="4" t="s">
        <v>13</v>
      </c>
      <c r="H9495" s="4" t="s">
        <v>11</v>
      </c>
    </row>
    <row r="9496" spans="1:8">
      <c r="A9496" t="n">
        <v>88325</v>
      </c>
      <c r="B9496" s="51" t="n">
        <v>45</v>
      </c>
      <c r="C9496" s="7" t="n">
        <v>2</v>
      </c>
      <c r="D9496" s="7" t="n">
        <v>3</v>
      </c>
      <c r="E9496" s="7" t="n">
        <v>-2.55999994277954</v>
      </c>
      <c r="F9496" s="7" t="n">
        <v>6.17999982833862</v>
      </c>
      <c r="G9496" s="7" t="n">
        <v>32.1800003051758</v>
      </c>
      <c r="H9496" s="7" t="n">
        <v>6000</v>
      </c>
    </row>
    <row r="9497" spans="1:8">
      <c r="A9497" t="s">
        <v>4</v>
      </c>
      <c r="B9497" s="4" t="s">
        <v>5</v>
      </c>
      <c r="C9497" s="4" t="s">
        <v>7</v>
      </c>
      <c r="D9497" s="4" t="s">
        <v>7</v>
      </c>
      <c r="E9497" s="4" t="s">
        <v>13</v>
      </c>
      <c r="F9497" s="4" t="s">
        <v>13</v>
      </c>
      <c r="G9497" s="4" t="s">
        <v>13</v>
      </c>
      <c r="H9497" s="4" t="s">
        <v>11</v>
      </c>
      <c r="I9497" s="4" t="s">
        <v>7</v>
      </c>
    </row>
    <row r="9498" spans="1:8">
      <c r="A9498" t="n">
        <v>88342</v>
      </c>
      <c r="B9498" s="51" t="n">
        <v>45</v>
      </c>
      <c r="C9498" s="7" t="n">
        <v>4</v>
      </c>
      <c r="D9498" s="7" t="n">
        <v>3</v>
      </c>
      <c r="E9498" s="7" t="n">
        <v>12.2700004577637</v>
      </c>
      <c r="F9498" s="7" t="n">
        <v>75.7099990844727</v>
      </c>
      <c r="G9498" s="7" t="n">
        <v>0</v>
      </c>
      <c r="H9498" s="7" t="n">
        <v>6000</v>
      </c>
      <c r="I9498" s="7" t="n">
        <v>1</v>
      </c>
    </row>
    <row r="9499" spans="1:8">
      <c r="A9499" t="s">
        <v>4</v>
      </c>
      <c r="B9499" s="4" t="s">
        <v>5</v>
      </c>
      <c r="C9499" s="4" t="s">
        <v>7</v>
      </c>
      <c r="D9499" s="4" t="s">
        <v>7</v>
      </c>
      <c r="E9499" s="4" t="s">
        <v>13</v>
      </c>
      <c r="F9499" s="4" t="s">
        <v>11</v>
      </c>
    </row>
    <row r="9500" spans="1:8">
      <c r="A9500" t="n">
        <v>88360</v>
      </c>
      <c r="B9500" s="51" t="n">
        <v>45</v>
      </c>
      <c r="C9500" s="7" t="n">
        <v>5</v>
      </c>
      <c r="D9500" s="7" t="n">
        <v>3</v>
      </c>
      <c r="E9500" s="7" t="n">
        <v>2.70000004768372</v>
      </c>
      <c r="F9500" s="7" t="n">
        <v>6000</v>
      </c>
    </row>
    <row r="9501" spans="1:8">
      <c r="A9501" t="s">
        <v>4</v>
      </c>
      <c r="B9501" s="4" t="s">
        <v>5</v>
      </c>
      <c r="C9501" s="4" t="s">
        <v>7</v>
      </c>
      <c r="D9501" s="4" t="s">
        <v>11</v>
      </c>
      <c r="E9501" s="4" t="s">
        <v>13</v>
      </c>
    </row>
    <row r="9502" spans="1:8">
      <c r="A9502" t="n">
        <v>88369</v>
      </c>
      <c r="B9502" s="23" t="n">
        <v>58</v>
      </c>
      <c r="C9502" s="7" t="n">
        <v>100</v>
      </c>
      <c r="D9502" s="7" t="n">
        <v>1000</v>
      </c>
      <c r="E9502" s="7" t="n">
        <v>1</v>
      </c>
    </row>
    <row r="9503" spans="1:8">
      <c r="A9503" t="s">
        <v>4</v>
      </c>
      <c r="B9503" s="4" t="s">
        <v>5</v>
      </c>
      <c r="C9503" s="4" t="s">
        <v>7</v>
      </c>
      <c r="D9503" s="4" t="s">
        <v>11</v>
      </c>
    </row>
    <row r="9504" spans="1:8">
      <c r="A9504" t="n">
        <v>88377</v>
      </c>
      <c r="B9504" s="23" t="n">
        <v>58</v>
      </c>
      <c r="C9504" s="7" t="n">
        <v>255</v>
      </c>
      <c r="D9504" s="7" t="n">
        <v>0</v>
      </c>
    </row>
    <row r="9505" spans="1:9">
      <c r="A9505" t="s">
        <v>4</v>
      </c>
      <c r="B9505" s="4" t="s">
        <v>5</v>
      </c>
      <c r="C9505" s="4" t="s">
        <v>8</v>
      </c>
      <c r="D9505" s="4" t="s">
        <v>8</v>
      </c>
    </row>
    <row r="9506" spans="1:9">
      <c r="A9506" t="n">
        <v>88381</v>
      </c>
      <c r="B9506" s="52" t="n">
        <v>70</v>
      </c>
      <c r="C9506" s="7" t="s">
        <v>24</v>
      </c>
      <c r="D9506" s="7" t="s">
        <v>109</v>
      </c>
    </row>
    <row r="9507" spans="1:9">
      <c r="A9507" t="s">
        <v>4</v>
      </c>
      <c r="B9507" s="4" t="s">
        <v>5</v>
      </c>
      <c r="C9507" s="4" t="s">
        <v>11</v>
      </c>
    </row>
    <row r="9508" spans="1:9">
      <c r="A9508" t="n">
        <v>88398</v>
      </c>
      <c r="B9508" s="29" t="n">
        <v>16</v>
      </c>
      <c r="C9508" s="7" t="n">
        <v>4000</v>
      </c>
    </row>
    <row r="9509" spans="1:9">
      <c r="A9509" t="s">
        <v>4</v>
      </c>
      <c r="B9509" s="4" t="s">
        <v>5</v>
      </c>
      <c r="C9509" s="4" t="s">
        <v>11</v>
      </c>
      <c r="D9509" s="4" t="s">
        <v>7</v>
      </c>
      <c r="E9509" s="4" t="s">
        <v>13</v>
      </c>
      <c r="F9509" s="4" t="s">
        <v>11</v>
      </c>
    </row>
    <row r="9510" spans="1:9">
      <c r="A9510" t="n">
        <v>88401</v>
      </c>
      <c r="B9510" s="56" t="n">
        <v>59</v>
      </c>
      <c r="C9510" s="7" t="n">
        <v>0</v>
      </c>
      <c r="D9510" s="7" t="n">
        <v>9</v>
      </c>
      <c r="E9510" s="7" t="n">
        <v>0.150000005960464</v>
      </c>
      <c r="F9510" s="7" t="n">
        <v>0</v>
      </c>
    </row>
    <row r="9511" spans="1:9">
      <c r="A9511" t="s">
        <v>4</v>
      </c>
      <c r="B9511" s="4" t="s">
        <v>5</v>
      </c>
      <c r="C9511" s="4" t="s">
        <v>11</v>
      </c>
    </row>
    <row r="9512" spans="1:9">
      <c r="A9512" t="n">
        <v>88411</v>
      </c>
      <c r="B9512" s="29" t="n">
        <v>16</v>
      </c>
      <c r="C9512" s="7" t="n">
        <v>1800</v>
      </c>
    </row>
    <row r="9513" spans="1:9">
      <c r="A9513" t="s">
        <v>4</v>
      </c>
      <c r="B9513" s="4" t="s">
        <v>5</v>
      </c>
      <c r="C9513" s="4" t="s">
        <v>7</v>
      </c>
      <c r="D9513" s="4" t="s">
        <v>11</v>
      </c>
    </row>
    <row r="9514" spans="1:9">
      <c r="A9514" t="n">
        <v>88414</v>
      </c>
      <c r="B9514" s="51" t="n">
        <v>45</v>
      </c>
      <c r="C9514" s="7" t="n">
        <v>7</v>
      </c>
      <c r="D9514" s="7" t="n">
        <v>255</v>
      </c>
    </row>
    <row r="9515" spans="1:9">
      <c r="A9515" t="s">
        <v>4</v>
      </c>
      <c r="B9515" s="4" t="s">
        <v>5</v>
      </c>
      <c r="C9515" s="4" t="s">
        <v>7</v>
      </c>
      <c r="D9515" s="4" t="s">
        <v>11</v>
      </c>
      <c r="E9515" s="4" t="s">
        <v>13</v>
      </c>
    </row>
    <row r="9516" spans="1:9">
      <c r="A9516" t="n">
        <v>88418</v>
      </c>
      <c r="B9516" s="23" t="n">
        <v>58</v>
      </c>
      <c r="C9516" s="7" t="n">
        <v>0</v>
      </c>
      <c r="D9516" s="7" t="n">
        <v>1000</v>
      </c>
      <c r="E9516" s="7" t="n">
        <v>1</v>
      </c>
    </row>
    <row r="9517" spans="1:9">
      <c r="A9517" t="s">
        <v>4</v>
      </c>
      <c r="B9517" s="4" t="s">
        <v>5</v>
      </c>
      <c r="C9517" s="4" t="s">
        <v>7</v>
      </c>
      <c r="D9517" s="4" t="s">
        <v>11</v>
      </c>
    </row>
    <row r="9518" spans="1:9">
      <c r="A9518" t="n">
        <v>88426</v>
      </c>
      <c r="B9518" s="23" t="n">
        <v>58</v>
      </c>
      <c r="C9518" s="7" t="n">
        <v>255</v>
      </c>
      <c r="D9518" s="7" t="n">
        <v>0</v>
      </c>
    </row>
    <row r="9519" spans="1:9">
      <c r="A9519" t="s">
        <v>4</v>
      </c>
      <c r="B9519" s="4" t="s">
        <v>5</v>
      </c>
      <c r="C9519" s="4" t="s">
        <v>8</v>
      </c>
      <c r="D9519" s="4" t="s">
        <v>8</v>
      </c>
    </row>
    <row r="9520" spans="1:9">
      <c r="A9520" t="n">
        <v>88430</v>
      </c>
      <c r="B9520" s="52" t="n">
        <v>70</v>
      </c>
      <c r="C9520" s="7" t="s">
        <v>24</v>
      </c>
      <c r="D9520" s="7" t="s">
        <v>118</v>
      </c>
    </row>
    <row r="9521" spans="1:6">
      <c r="A9521" t="s">
        <v>4</v>
      </c>
      <c r="B9521" s="4" t="s">
        <v>5</v>
      </c>
      <c r="C9521" s="4" t="s">
        <v>11</v>
      </c>
      <c r="D9521" s="4" t="s">
        <v>13</v>
      </c>
      <c r="E9521" s="4" t="s">
        <v>13</v>
      </c>
      <c r="F9521" s="4" t="s">
        <v>13</v>
      </c>
      <c r="G9521" s="4" t="s">
        <v>13</v>
      </c>
    </row>
    <row r="9522" spans="1:6">
      <c r="A9522" t="n">
        <v>88446</v>
      </c>
      <c r="B9522" s="36" t="n">
        <v>46</v>
      </c>
      <c r="C9522" s="7" t="n">
        <v>0</v>
      </c>
      <c r="D9522" s="7" t="n">
        <v>-10.9899997711182</v>
      </c>
      <c r="E9522" s="7" t="n">
        <v>5.01000022888184</v>
      </c>
      <c r="F9522" s="7" t="n">
        <v>32.4300003051758</v>
      </c>
      <c r="G9522" s="7" t="n">
        <v>270</v>
      </c>
    </row>
    <row r="9523" spans="1:6">
      <c r="A9523" t="s">
        <v>4</v>
      </c>
      <c r="B9523" s="4" t="s">
        <v>5</v>
      </c>
      <c r="C9523" s="4" t="s">
        <v>11</v>
      </c>
      <c r="D9523" s="4" t="s">
        <v>13</v>
      </c>
      <c r="E9523" s="4" t="s">
        <v>13</v>
      </c>
      <c r="F9523" s="4" t="s">
        <v>13</v>
      </c>
      <c r="G9523" s="4" t="s">
        <v>13</v>
      </c>
    </row>
    <row r="9524" spans="1:6">
      <c r="A9524" t="n">
        <v>88465</v>
      </c>
      <c r="B9524" s="36" t="n">
        <v>46</v>
      </c>
      <c r="C9524" s="7" t="n">
        <v>13</v>
      </c>
      <c r="D9524" s="7" t="n">
        <v>-10.5500001907349</v>
      </c>
      <c r="E9524" s="7" t="n">
        <v>5.01000022888184</v>
      </c>
      <c r="F9524" s="7" t="n">
        <v>31.5499992370605</v>
      </c>
      <c r="G9524" s="7" t="n">
        <v>270</v>
      </c>
    </row>
    <row r="9525" spans="1:6">
      <c r="A9525" t="s">
        <v>4</v>
      </c>
      <c r="B9525" s="4" t="s">
        <v>5</v>
      </c>
      <c r="C9525" s="4" t="s">
        <v>7</v>
      </c>
      <c r="D9525" s="4" t="s">
        <v>7</v>
      </c>
      <c r="E9525" s="4" t="s">
        <v>13</v>
      </c>
      <c r="F9525" s="4" t="s">
        <v>13</v>
      </c>
      <c r="G9525" s="4" t="s">
        <v>13</v>
      </c>
      <c r="H9525" s="4" t="s">
        <v>11</v>
      </c>
    </row>
    <row r="9526" spans="1:6">
      <c r="A9526" t="n">
        <v>88484</v>
      </c>
      <c r="B9526" s="51" t="n">
        <v>45</v>
      </c>
      <c r="C9526" s="7" t="n">
        <v>2</v>
      </c>
      <c r="D9526" s="7" t="n">
        <v>3</v>
      </c>
      <c r="E9526" s="7" t="n">
        <v>-14.1199998855591</v>
      </c>
      <c r="F9526" s="7" t="n">
        <v>6.75</v>
      </c>
      <c r="G9526" s="7" t="n">
        <v>31.9300003051758</v>
      </c>
      <c r="H9526" s="7" t="n">
        <v>0</v>
      </c>
    </row>
    <row r="9527" spans="1:6">
      <c r="A9527" t="s">
        <v>4</v>
      </c>
      <c r="B9527" s="4" t="s">
        <v>5</v>
      </c>
      <c r="C9527" s="4" t="s">
        <v>7</v>
      </c>
      <c r="D9527" s="4" t="s">
        <v>7</v>
      </c>
      <c r="E9527" s="4" t="s">
        <v>13</v>
      </c>
      <c r="F9527" s="4" t="s">
        <v>13</v>
      </c>
      <c r="G9527" s="4" t="s">
        <v>13</v>
      </c>
      <c r="H9527" s="4" t="s">
        <v>11</v>
      </c>
      <c r="I9527" s="4" t="s">
        <v>7</v>
      </c>
    </row>
    <row r="9528" spans="1:6">
      <c r="A9528" t="n">
        <v>88501</v>
      </c>
      <c r="B9528" s="51" t="n">
        <v>45</v>
      </c>
      <c r="C9528" s="7" t="n">
        <v>4</v>
      </c>
      <c r="D9528" s="7" t="n">
        <v>3</v>
      </c>
      <c r="E9528" s="7" t="n">
        <v>7.63000011444092</v>
      </c>
      <c r="F9528" s="7" t="n">
        <v>90</v>
      </c>
      <c r="G9528" s="7" t="n">
        <v>0</v>
      </c>
      <c r="H9528" s="7" t="n">
        <v>0</v>
      </c>
      <c r="I9528" s="7" t="n">
        <v>0</v>
      </c>
    </row>
    <row r="9529" spans="1:6">
      <c r="A9529" t="s">
        <v>4</v>
      </c>
      <c r="B9529" s="4" t="s">
        <v>5</v>
      </c>
      <c r="C9529" s="4" t="s">
        <v>7</v>
      </c>
      <c r="D9529" s="4" t="s">
        <v>7</v>
      </c>
      <c r="E9529" s="4" t="s">
        <v>13</v>
      </c>
      <c r="F9529" s="4" t="s">
        <v>11</v>
      </c>
    </row>
    <row r="9530" spans="1:6">
      <c r="A9530" t="n">
        <v>88519</v>
      </c>
      <c r="B9530" s="51" t="n">
        <v>45</v>
      </c>
      <c r="C9530" s="7" t="n">
        <v>5</v>
      </c>
      <c r="D9530" s="7" t="n">
        <v>3</v>
      </c>
      <c r="E9530" s="7" t="n">
        <v>2.09999990463257</v>
      </c>
      <c r="F9530" s="7" t="n">
        <v>0</v>
      </c>
    </row>
    <row r="9531" spans="1:6">
      <c r="A9531" t="s">
        <v>4</v>
      </c>
      <c r="B9531" s="4" t="s">
        <v>5</v>
      </c>
      <c r="C9531" s="4" t="s">
        <v>7</v>
      </c>
      <c r="D9531" s="4" t="s">
        <v>7</v>
      </c>
      <c r="E9531" s="4" t="s">
        <v>13</v>
      </c>
      <c r="F9531" s="4" t="s">
        <v>11</v>
      </c>
    </row>
    <row r="9532" spans="1:6">
      <c r="A9532" t="n">
        <v>88528</v>
      </c>
      <c r="B9532" s="51" t="n">
        <v>45</v>
      </c>
      <c r="C9532" s="7" t="n">
        <v>11</v>
      </c>
      <c r="D9532" s="7" t="n">
        <v>3</v>
      </c>
      <c r="E9532" s="7" t="n">
        <v>40.2999992370605</v>
      </c>
      <c r="F9532" s="7" t="n">
        <v>0</v>
      </c>
    </row>
    <row r="9533" spans="1:6">
      <c r="A9533" t="s">
        <v>4</v>
      </c>
      <c r="B9533" s="4" t="s">
        <v>5</v>
      </c>
      <c r="C9533" s="4" t="s">
        <v>7</v>
      </c>
      <c r="D9533" s="4" t="s">
        <v>7</v>
      </c>
      <c r="E9533" s="4" t="s">
        <v>13</v>
      </c>
      <c r="F9533" s="4" t="s">
        <v>13</v>
      </c>
      <c r="G9533" s="4" t="s">
        <v>13</v>
      </c>
      <c r="H9533" s="4" t="s">
        <v>11</v>
      </c>
    </row>
    <row r="9534" spans="1:6">
      <c r="A9534" t="n">
        <v>88537</v>
      </c>
      <c r="B9534" s="51" t="n">
        <v>45</v>
      </c>
      <c r="C9534" s="7" t="n">
        <v>2</v>
      </c>
      <c r="D9534" s="7" t="n">
        <v>3</v>
      </c>
      <c r="E9534" s="7" t="n">
        <v>-9.10000038146973</v>
      </c>
      <c r="F9534" s="7" t="n">
        <v>6.75</v>
      </c>
      <c r="G9534" s="7" t="n">
        <v>31.9699993133545</v>
      </c>
      <c r="H9534" s="7" t="n">
        <v>6000</v>
      </c>
    </row>
    <row r="9535" spans="1:6">
      <c r="A9535" t="s">
        <v>4</v>
      </c>
      <c r="B9535" s="4" t="s">
        <v>5</v>
      </c>
      <c r="C9535" s="4" t="s">
        <v>7</v>
      </c>
      <c r="D9535" s="4" t="s">
        <v>7</v>
      </c>
      <c r="E9535" s="4" t="s">
        <v>13</v>
      </c>
      <c r="F9535" s="4" t="s">
        <v>13</v>
      </c>
      <c r="G9535" s="4" t="s">
        <v>13</v>
      </c>
      <c r="H9535" s="4" t="s">
        <v>11</v>
      </c>
      <c r="I9535" s="4" t="s">
        <v>7</v>
      </c>
    </row>
    <row r="9536" spans="1:6">
      <c r="A9536" t="n">
        <v>88554</v>
      </c>
      <c r="B9536" s="51" t="n">
        <v>45</v>
      </c>
      <c r="C9536" s="7" t="n">
        <v>4</v>
      </c>
      <c r="D9536" s="7" t="n">
        <v>3</v>
      </c>
      <c r="E9536" s="7" t="n">
        <v>0.0299999993294477</v>
      </c>
      <c r="F9536" s="7" t="n">
        <v>90</v>
      </c>
      <c r="G9536" s="7" t="n">
        <v>0</v>
      </c>
      <c r="H9536" s="7" t="n">
        <v>6000</v>
      </c>
      <c r="I9536" s="7" t="n">
        <v>0</v>
      </c>
    </row>
    <row r="9537" spans="1:9">
      <c r="A9537" t="s">
        <v>4</v>
      </c>
      <c r="B9537" s="4" t="s">
        <v>5</v>
      </c>
      <c r="C9537" s="4" t="s">
        <v>7</v>
      </c>
      <c r="D9537" s="4" t="s">
        <v>7</v>
      </c>
      <c r="E9537" s="4" t="s">
        <v>13</v>
      </c>
      <c r="F9537" s="4" t="s">
        <v>11</v>
      </c>
    </row>
    <row r="9538" spans="1:9">
      <c r="A9538" t="n">
        <v>88572</v>
      </c>
      <c r="B9538" s="51" t="n">
        <v>45</v>
      </c>
      <c r="C9538" s="7" t="n">
        <v>5</v>
      </c>
      <c r="D9538" s="7" t="n">
        <v>3</v>
      </c>
      <c r="E9538" s="7" t="n">
        <v>1.79999995231628</v>
      </c>
      <c r="F9538" s="7" t="n">
        <v>6000</v>
      </c>
    </row>
    <row r="9539" spans="1:9">
      <c r="A9539" t="s">
        <v>4</v>
      </c>
      <c r="B9539" s="4" t="s">
        <v>5</v>
      </c>
      <c r="C9539" s="4" t="s">
        <v>8</v>
      </c>
      <c r="D9539" s="4" t="s">
        <v>8</v>
      </c>
    </row>
    <row r="9540" spans="1:9">
      <c r="A9540" t="n">
        <v>88581</v>
      </c>
      <c r="B9540" s="52" t="n">
        <v>70</v>
      </c>
      <c r="C9540" s="7" t="s">
        <v>25</v>
      </c>
      <c r="D9540" s="7" t="s">
        <v>109</v>
      </c>
    </row>
    <row r="9541" spans="1:9">
      <c r="A9541" t="s">
        <v>4</v>
      </c>
      <c r="B9541" s="4" t="s">
        <v>5</v>
      </c>
      <c r="C9541" s="4" t="s">
        <v>7</v>
      </c>
      <c r="D9541" s="4" t="s">
        <v>11</v>
      </c>
      <c r="E9541" s="4" t="s">
        <v>13</v>
      </c>
    </row>
    <row r="9542" spans="1:9">
      <c r="A9542" t="n">
        <v>88598</v>
      </c>
      <c r="B9542" s="23" t="n">
        <v>58</v>
      </c>
      <c r="C9542" s="7" t="n">
        <v>100</v>
      </c>
      <c r="D9542" s="7" t="n">
        <v>1000</v>
      </c>
      <c r="E9542" s="7" t="n">
        <v>1</v>
      </c>
    </row>
    <row r="9543" spans="1:9">
      <c r="A9543" t="s">
        <v>4</v>
      </c>
      <c r="B9543" s="4" t="s">
        <v>5</v>
      </c>
      <c r="C9543" s="4" t="s">
        <v>7</v>
      </c>
      <c r="D9543" s="4" t="s">
        <v>11</v>
      </c>
    </row>
    <row r="9544" spans="1:9">
      <c r="A9544" t="n">
        <v>88606</v>
      </c>
      <c r="B9544" s="23" t="n">
        <v>58</v>
      </c>
      <c r="C9544" s="7" t="n">
        <v>255</v>
      </c>
      <c r="D9544" s="7" t="n">
        <v>0</v>
      </c>
    </row>
    <row r="9545" spans="1:9">
      <c r="A9545" t="s">
        <v>4</v>
      </c>
      <c r="B9545" s="4" t="s">
        <v>5</v>
      </c>
      <c r="C9545" s="4" t="s">
        <v>7</v>
      </c>
      <c r="D9545" s="4" t="s">
        <v>8</v>
      </c>
      <c r="E9545" s="4" t="s">
        <v>11</v>
      </c>
    </row>
    <row r="9546" spans="1:9">
      <c r="A9546" t="n">
        <v>88610</v>
      </c>
      <c r="B9546" s="15" t="n">
        <v>94</v>
      </c>
      <c r="C9546" s="7" t="n">
        <v>1</v>
      </c>
      <c r="D9546" s="7" t="s">
        <v>25</v>
      </c>
      <c r="E9546" s="7" t="n">
        <v>512</v>
      </c>
    </row>
    <row r="9547" spans="1:9">
      <c r="A9547" t="s">
        <v>4</v>
      </c>
      <c r="B9547" s="4" t="s">
        <v>5</v>
      </c>
      <c r="C9547" s="4" t="s">
        <v>11</v>
      </c>
    </row>
    <row r="9548" spans="1:9">
      <c r="A9548" t="n">
        <v>88624</v>
      </c>
      <c r="B9548" s="29" t="n">
        <v>16</v>
      </c>
      <c r="C9548" s="7" t="n">
        <v>4000</v>
      </c>
    </row>
    <row r="9549" spans="1:9">
      <c r="A9549" t="s">
        <v>4</v>
      </c>
      <c r="B9549" s="4" t="s">
        <v>5</v>
      </c>
      <c r="C9549" s="4" t="s">
        <v>11</v>
      </c>
      <c r="D9549" s="4" t="s">
        <v>7</v>
      </c>
      <c r="E9549" s="4" t="s">
        <v>13</v>
      </c>
      <c r="F9549" s="4" t="s">
        <v>11</v>
      </c>
    </row>
    <row r="9550" spans="1:9">
      <c r="A9550" t="n">
        <v>88627</v>
      </c>
      <c r="B9550" s="56" t="n">
        <v>59</v>
      </c>
      <c r="C9550" s="7" t="n">
        <v>0</v>
      </c>
      <c r="D9550" s="7" t="n">
        <v>9</v>
      </c>
      <c r="E9550" s="7" t="n">
        <v>0.150000005960464</v>
      </c>
      <c r="F9550" s="7" t="n">
        <v>0</v>
      </c>
    </row>
    <row r="9551" spans="1:9">
      <c r="A9551" t="s">
        <v>4</v>
      </c>
      <c r="B9551" s="4" t="s">
        <v>5</v>
      </c>
      <c r="C9551" s="4" t="s">
        <v>11</v>
      </c>
      <c r="D9551" s="4" t="s">
        <v>7</v>
      </c>
      <c r="E9551" s="4" t="s">
        <v>13</v>
      </c>
      <c r="F9551" s="4" t="s">
        <v>11</v>
      </c>
    </row>
    <row r="9552" spans="1:9">
      <c r="A9552" t="n">
        <v>88637</v>
      </c>
      <c r="B9552" s="56" t="n">
        <v>59</v>
      </c>
      <c r="C9552" s="7" t="n">
        <v>13</v>
      </c>
      <c r="D9552" s="7" t="n">
        <v>9</v>
      </c>
      <c r="E9552" s="7" t="n">
        <v>0.150000005960464</v>
      </c>
      <c r="F9552" s="7" t="n">
        <v>0</v>
      </c>
    </row>
    <row r="9553" spans="1:6">
      <c r="A9553" t="s">
        <v>4</v>
      </c>
      <c r="B9553" s="4" t="s">
        <v>5</v>
      </c>
      <c r="C9553" s="4" t="s">
        <v>11</v>
      </c>
    </row>
    <row r="9554" spans="1:6">
      <c r="A9554" t="n">
        <v>88647</v>
      </c>
      <c r="B9554" s="29" t="n">
        <v>16</v>
      </c>
      <c r="C9554" s="7" t="n">
        <v>1500</v>
      </c>
    </row>
    <row r="9555" spans="1:6">
      <c r="A9555" t="s">
        <v>4</v>
      </c>
      <c r="B9555" s="4" t="s">
        <v>5</v>
      </c>
      <c r="C9555" s="4" t="s">
        <v>7</v>
      </c>
      <c r="D9555" s="4" t="s">
        <v>11</v>
      </c>
    </row>
    <row r="9556" spans="1:6">
      <c r="A9556" t="n">
        <v>88650</v>
      </c>
      <c r="B9556" s="51" t="n">
        <v>45</v>
      </c>
      <c r="C9556" s="7" t="n">
        <v>7</v>
      </c>
      <c r="D9556" s="7" t="n">
        <v>255</v>
      </c>
    </row>
    <row r="9557" spans="1:6">
      <c r="A9557" t="s">
        <v>4</v>
      </c>
      <c r="B9557" s="4" t="s">
        <v>5</v>
      </c>
      <c r="C9557" s="4" t="s">
        <v>7</v>
      </c>
      <c r="D9557" s="4" t="s">
        <v>11</v>
      </c>
      <c r="E9557" s="4" t="s">
        <v>13</v>
      </c>
    </row>
    <row r="9558" spans="1:6">
      <c r="A9558" t="n">
        <v>88654</v>
      </c>
      <c r="B9558" s="23" t="n">
        <v>58</v>
      </c>
      <c r="C9558" s="7" t="n">
        <v>0</v>
      </c>
      <c r="D9558" s="7" t="n">
        <v>2000</v>
      </c>
      <c r="E9558" s="7" t="n">
        <v>1</v>
      </c>
    </row>
    <row r="9559" spans="1:6">
      <c r="A9559" t="s">
        <v>4</v>
      </c>
      <c r="B9559" s="4" t="s">
        <v>5</v>
      </c>
      <c r="C9559" s="4" t="s">
        <v>7</v>
      </c>
      <c r="D9559" s="4" t="s">
        <v>11</v>
      </c>
    </row>
    <row r="9560" spans="1:6">
      <c r="A9560" t="n">
        <v>88662</v>
      </c>
      <c r="B9560" s="23" t="n">
        <v>58</v>
      </c>
      <c r="C9560" s="7" t="n">
        <v>255</v>
      </c>
      <c r="D9560" s="7" t="n">
        <v>0</v>
      </c>
    </row>
    <row r="9561" spans="1:6">
      <c r="A9561" t="s">
        <v>4</v>
      </c>
      <c r="B9561" s="4" t="s">
        <v>5</v>
      </c>
      <c r="C9561" s="4" t="s">
        <v>7</v>
      </c>
      <c r="D9561" s="4" t="s">
        <v>7</v>
      </c>
      <c r="E9561" s="4" t="s">
        <v>13</v>
      </c>
      <c r="F9561" s="4" t="s">
        <v>13</v>
      </c>
      <c r="G9561" s="4" t="s">
        <v>13</v>
      </c>
      <c r="H9561" s="4" t="s">
        <v>11</v>
      </c>
    </row>
    <row r="9562" spans="1:6">
      <c r="A9562" t="n">
        <v>88666</v>
      </c>
      <c r="B9562" s="51" t="n">
        <v>45</v>
      </c>
      <c r="C9562" s="7" t="n">
        <v>2</v>
      </c>
      <c r="D9562" s="7" t="n">
        <v>3</v>
      </c>
      <c r="E9562" s="7" t="n">
        <v>-7.84000015258789</v>
      </c>
      <c r="F9562" s="7" t="n">
        <v>7.17000007629395</v>
      </c>
      <c r="G9562" s="7" t="n">
        <v>31.6599998474121</v>
      </c>
      <c r="H9562" s="7" t="n">
        <v>0</v>
      </c>
    </row>
    <row r="9563" spans="1:6">
      <c r="A9563" t="s">
        <v>4</v>
      </c>
      <c r="B9563" s="4" t="s">
        <v>5</v>
      </c>
      <c r="C9563" s="4" t="s">
        <v>7</v>
      </c>
      <c r="D9563" s="4" t="s">
        <v>7</v>
      </c>
      <c r="E9563" s="4" t="s">
        <v>13</v>
      </c>
      <c r="F9563" s="4" t="s">
        <v>13</v>
      </c>
      <c r="G9563" s="4" t="s">
        <v>13</v>
      </c>
      <c r="H9563" s="4" t="s">
        <v>11</v>
      </c>
      <c r="I9563" s="4" t="s">
        <v>7</v>
      </c>
    </row>
    <row r="9564" spans="1:6">
      <c r="A9564" t="n">
        <v>88683</v>
      </c>
      <c r="B9564" s="51" t="n">
        <v>45</v>
      </c>
      <c r="C9564" s="7" t="n">
        <v>4</v>
      </c>
      <c r="D9564" s="7" t="n">
        <v>3</v>
      </c>
      <c r="E9564" s="7" t="n">
        <v>9.01000022888184</v>
      </c>
      <c r="F9564" s="7" t="n">
        <v>55.7900009155273</v>
      </c>
      <c r="G9564" s="7" t="n">
        <v>0</v>
      </c>
      <c r="H9564" s="7" t="n">
        <v>0</v>
      </c>
      <c r="I9564" s="7" t="n">
        <v>0</v>
      </c>
    </row>
    <row r="9565" spans="1:6">
      <c r="A9565" t="s">
        <v>4</v>
      </c>
      <c r="B9565" s="4" t="s">
        <v>5</v>
      </c>
      <c r="C9565" s="4" t="s">
        <v>7</v>
      </c>
      <c r="D9565" s="4" t="s">
        <v>7</v>
      </c>
      <c r="E9565" s="4" t="s">
        <v>13</v>
      </c>
      <c r="F9565" s="4" t="s">
        <v>11</v>
      </c>
    </row>
    <row r="9566" spans="1:6">
      <c r="A9566" t="n">
        <v>88701</v>
      </c>
      <c r="B9566" s="51" t="n">
        <v>45</v>
      </c>
      <c r="C9566" s="7" t="n">
        <v>5</v>
      </c>
      <c r="D9566" s="7" t="n">
        <v>3</v>
      </c>
      <c r="E9566" s="7" t="n">
        <v>2.40000009536743</v>
      </c>
      <c r="F9566" s="7" t="n">
        <v>0</v>
      </c>
    </row>
    <row r="9567" spans="1:6">
      <c r="A9567" t="s">
        <v>4</v>
      </c>
      <c r="B9567" s="4" t="s">
        <v>5</v>
      </c>
      <c r="C9567" s="4" t="s">
        <v>7</v>
      </c>
      <c r="D9567" s="4" t="s">
        <v>7</v>
      </c>
      <c r="E9567" s="4" t="s">
        <v>13</v>
      </c>
      <c r="F9567" s="4" t="s">
        <v>11</v>
      </c>
    </row>
    <row r="9568" spans="1:6">
      <c r="A9568" t="n">
        <v>88710</v>
      </c>
      <c r="B9568" s="51" t="n">
        <v>45</v>
      </c>
      <c r="C9568" s="7" t="n">
        <v>11</v>
      </c>
      <c r="D9568" s="7" t="n">
        <v>3</v>
      </c>
      <c r="E9568" s="7" t="n">
        <v>40.2999992370605</v>
      </c>
      <c r="F9568" s="7" t="n">
        <v>0</v>
      </c>
    </row>
    <row r="9569" spans="1:9">
      <c r="A9569" t="s">
        <v>4</v>
      </c>
      <c r="B9569" s="4" t="s">
        <v>5</v>
      </c>
      <c r="C9569" s="4" t="s">
        <v>7</v>
      </c>
      <c r="D9569" s="4" t="s">
        <v>7</v>
      </c>
      <c r="E9569" s="4" t="s">
        <v>13</v>
      </c>
      <c r="F9569" s="4" t="s">
        <v>13</v>
      </c>
      <c r="G9569" s="4" t="s">
        <v>13</v>
      </c>
      <c r="H9569" s="4" t="s">
        <v>11</v>
      </c>
    </row>
    <row r="9570" spans="1:9">
      <c r="A9570" t="n">
        <v>88719</v>
      </c>
      <c r="B9570" s="51" t="n">
        <v>45</v>
      </c>
      <c r="C9570" s="7" t="n">
        <v>2</v>
      </c>
      <c r="D9570" s="7" t="n">
        <v>3</v>
      </c>
      <c r="E9570" s="7" t="n">
        <v>-6.8899998664856</v>
      </c>
      <c r="F9570" s="7" t="n">
        <v>6.26999998092651</v>
      </c>
      <c r="G9570" s="7" t="n">
        <v>30.0599994659424</v>
      </c>
      <c r="H9570" s="7" t="n">
        <v>6000</v>
      </c>
    </row>
    <row r="9571" spans="1:9">
      <c r="A9571" t="s">
        <v>4</v>
      </c>
      <c r="B9571" s="4" t="s">
        <v>5</v>
      </c>
      <c r="C9571" s="4" t="s">
        <v>7</v>
      </c>
      <c r="D9571" s="4" t="s">
        <v>7</v>
      </c>
      <c r="E9571" s="4" t="s">
        <v>13</v>
      </c>
      <c r="F9571" s="4" t="s">
        <v>13</v>
      </c>
      <c r="G9571" s="4" t="s">
        <v>13</v>
      </c>
      <c r="H9571" s="4" t="s">
        <v>11</v>
      </c>
      <c r="I9571" s="4" t="s">
        <v>7</v>
      </c>
    </row>
    <row r="9572" spans="1:9">
      <c r="A9572" t="n">
        <v>88736</v>
      </c>
      <c r="B9572" s="51" t="n">
        <v>45</v>
      </c>
      <c r="C9572" s="7" t="n">
        <v>4</v>
      </c>
      <c r="D9572" s="7" t="n">
        <v>3</v>
      </c>
      <c r="E9572" s="7" t="n">
        <v>6.73999977111816</v>
      </c>
      <c r="F9572" s="7" t="n">
        <v>13.6199998855591</v>
      </c>
      <c r="G9572" s="7" t="n">
        <v>0</v>
      </c>
      <c r="H9572" s="7" t="n">
        <v>6000</v>
      </c>
      <c r="I9572" s="7" t="n">
        <v>1</v>
      </c>
    </row>
    <row r="9573" spans="1:9">
      <c r="A9573" t="s">
        <v>4</v>
      </c>
      <c r="B9573" s="4" t="s">
        <v>5</v>
      </c>
      <c r="C9573" s="4" t="s">
        <v>11</v>
      </c>
      <c r="D9573" s="4" t="s">
        <v>13</v>
      </c>
      <c r="E9573" s="4" t="s">
        <v>13</v>
      </c>
      <c r="F9573" s="4" t="s">
        <v>13</v>
      </c>
      <c r="G9573" s="4" t="s">
        <v>13</v>
      </c>
    </row>
    <row r="9574" spans="1:9">
      <c r="A9574" t="n">
        <v>88754</v>
      </c>
      <c r="B9574" s="36" t="n">
        <v>46</v>
      </c>
      <c r="C9574" s="7" t="n">
        <v>0</v>
      </c>
      <c r="D9574" s="7" t="n">
        <v>-6.51000022888184</v>
      </c>
      <c r="E9574" s="7" t="n">
        <v>5</v>
      </c>
      <c r="F9574" s="7" t="n">
        <v>29.8999996185303</v>
      </c>
      <c r="G9574" s="7" t="n">
        <v>208</v>
      </c>
    </row>
    <row r="9575" spans="1:9">
      <c r="A9575" t="s">
        <v>4</v>
      </c>
      <c r="B9575" s="4" t="s">
        <v>5</v>
      </c>
      <c r="C9575" s="4" t="s">
        <v>11</v>
      </c>
      <c r="D9575" s="4" t="s">
        <v>13</v>
      </c>
      <c r="E9575" s="4" t="s">
        <v>13</v>
      </c>
      <c r="F9575" s="4" t="s">
        <v>13</v>
      </c>
      <c r="G9575" s="4" t="s">
        <v>13</v>
      </c>
    </row>
    <row r="9576" spans="1:9">
      <c r="A9576" t="n">
        <v>88773</v>
      </c>
      <c r="B9576" s="36" t="n">
        <v>46</v>
      </c>
      <c r="C9576" s="7" t="n">
        <v>13</v>
      </c>
      <c r="D9576" s="7" t="n">
        <v>-7.44999980926514</v>
      </c>
      <c r="E9576" s="7" t="n">
        <v>5</v>
      </c>
      <c r="F9576" s="7" t="n">
        <v>29.7999992370605</v>
      </c>
      <c r="G9576" s="7" t="n">
        <v>151.199996948242</v>
      </c>
    </row>
    <row r="9577" spans="1:9">
      <c r="A9577" t="s">
        <v>4</v>
      </c>
      <c r="B9577" s="4" t="s">
        <v>5</v>
      </c>
      <c r="C9577" s="4" t="s">
        <v>8</v>
      </c>
      <c r="D9577" s="4" t="s">
        <v>8</v>
      </c>
    </row>
    <row r="9578" spans="1:9">
      <c r="A9578" t="n">
        <v>88792</v>
      </c>
      <c r="B9578" s="52" t="n">
        <v>70</v>
      </c>
      <c r="C9578" s="7" t="s">
        <v>25</v>
      </c>
      <c r="D9578" s="7" t="s">
        <v>118</v>
      </c>
    </row>
    <row r="9579" spans="1:9">
      <c r="A9579" t="s">
        <v>4</v>
      </c>
      <c r="B9579" s="4" t="s">
        <v>5</v>
      </c>
      <c r="C9579" s="4" t="s">
        <v>11</v>
      </c>
      <c r="D9579" s="4" t="s">
        <v>11</v>
      </c>
      <c r="E9579" s="4" t="s">
        <v>11</v>
      </c>
    </row>
    <row r="9580" spans="1:9">
      <c r="A9580" t="n">
        <v>88808</v>
      </c>
      <c r="B9580" s="72" t="n">
        <v>61</v>
      </c>
      <c r="C9580" s="7" t="n">
        <v>13</v>
      </c>
      <c r="D9580" s="7" t="n">
        <v>0</v>
      </c>
      <c r="E9580" s="7" t="n">
        <v>0</v>
      </c>
    </row>
    <row r="9581" spans="1:9">
      <c r="A9581" t="s">
        <v>4</v>
      </c>
      <c r="B9581" s="4" t="s">
        <v>5</v>
      </c>
      <c r="C9581" s="4" t="s">
        <v>11</v>
      </c>
      <c r="D9581" s="4" t="s">
        <v>11</v>
      </c>
      <c r="E9581" s="4" t="s">
        <v>11</v>
      </c>
    </row>
    <row r="9582" spans="1:9">
      <c r="A9582" t="n">
        <v>88815</v>
      </c>
      <c r="B9582" s="72" t="n">
        <v>61</v>
      </c>
      <c r="C9582" s="7" t="n">
        <v>0</v>
      </c>
      <c r="D9582" s="7" t="n">
        <v>13</v>
      </c>
      <c r="E9582" s="7" t="n">
        <v>0</v>
      </c>
    </row>
    <row r="9583" spans="1:9">
      <c r="A9583" t="s">
        <v>4</v>
      </c>
      <c r="B9583" s="4" t="s">
        <v>5</v>
      </c>
      <c r="C9583" s="4" t="s">
        <v>7</v>
      </c>
      <c r="D9583" s="4" t="s">
        <v>11</v>
      </c>
      <c r="E9583" s="4" t="s">
        <v>13</v>
      </c>
    </row>
    <row r="9584" spans="1:9">
      <c r="A9584" t="n">
        <v>88822</v>
      </c>
      <c r="B9584" s="23" t="n">
        <v>58</v>
      </c>
      <c r="C9584" s="7" t="n">
        <v>100</v>
      </c>
      <c r="D9584" s="7" t="n">
        <v>1000</v>
      </c>
      <c r="E9584" s="7" t="n">
        <v>1</v>
      </c>
    </row>
    <row r="9585" spans="1:9">
      <c r="A9585" t="s">
        <v>4</v>
      </c>
      <c r="B9585" s="4" t="s">
        <v>5</v>
      </c>
      <c r="C9585" s="4" t="s">
        <v>7</v>
      </c>
      <c r="D9585" s="4" t="s">
        <v>11</v>
      </c>
    </row>
    <row r="9586" spans="1:9">
      <c r="A9586" t="n">
        <v>88830</v>
      </c>
      <c r="B9586" s="23" t="n">
        <v>58</v>
      </c>
      <c r="C9586" s="7" t="n">
        <v>255</v>
      </c>
      <c r="D9586" s="7" t="n">
        <v>0</v>
      </c>
    </row>
    <row r="9587" spans="1:9">
      <c r="A9587" t="s">
        <v>4</v>
      </c>
      <c r="B9587" s="4" t="s">
        <v>5</v>
      </c>
      <c r="C9587" s="4" t="s">
        <v>11</v>
      </c>
    </row>
    <row r="9588" spans="1:9">
      <c r="A9588" t="n">
        <v>88834</v>
      </c>
      <c r="B9588" s="29" t="n">
        <v>16</v>
      </c>
      <c r="C9588" s="7" t="n">
        <v>1000</v>
      </c>
    </row>
    <row r="9589" spans="1:9">
      <c r="A9589" t="s">
        <v>4</v>
      </c>
      <c r="B9589" s="4" t="s">
        <v>5</v>
      </c>
      <c r="C9589" s="4" t="s">
        <v>7</v>
      </c>
      <c r="D9589" s="4" t="s">
        <v>11</v>
      </c>
    </row>
    <row r="9590" spans="1:9">
      <c r="A9590" t="n">
        <v>88837</v>
      </c>
      <c r="B9590" s="51" t="n">
        <v>45</v>
      </c>
      <c r="C9590" s="7" t="n">
        <v>7</v>
      </c>
      <c r="D9590" s="7" t="n">
        <v>255</v>
      </c>
    </row>
    <row r="9591" spans="1:9">
      <c r="A9591" t="s">
        <v>4</v>
      </c>
      <c r="B9591" s="4" t="s">
        <v>5</v>
      </c>
      <c r="C9591" s="4" t="s">
        <v>7</v>
      </c>
      <c r="D9591" s="4" t="s">
        <v>11</v>
      </c>
      <c r="E9591" s="4" t="s">
        <v>13</v>
      </c>
    </row>
    <row r="9592" spans="1:9">
      <c r="A9592" t="n">
        <v>88841</v>
      </c>
      <c r="B9592" s="23" t="n">
        <v>58</v>
      </c>
      <c r="C9592" s="7" t="n">
        <v>101</v>
      </c>
      <c r="D9592" s="7" t="n">
        <v>500</v>
      </c>
      <c r="E9592" s="7" t="n">
        <v>1</v>
      </c>
    </row>
    <row r="9593" spans="1:9">
      <c r="A9593" t="s">
        <v>4</v>
      </c>
      <c r="B9593" s="4" t="s">
        <v>5</v>
      </c>
      <c r="C9593" s="4" t="s">
        <v>7</v>
      </c>
      <c r="D9593" s="4" t="s">
        <v>11</v>
      </c>
    </row>
    <row r="9594" spans="1:9">
      <c r="A9594" t="n">
        <v>88849</v>
      </c>
      <c r="B9594" s="23" t="n">
        <v>58</v>
      </c>
      <c r="C9594" s="7" t="n">
        <v>254</v>
      </c>
      <c r="D9594" s="7" t="n">
        <v>0</v>
      </c>
    </row>
    <row r="9595" spans="1:9">
      <c r="A9595" t="s">
        <v>4</v>
      </c>
      <c r="B9595" s="4" t="s">
        <v>5</v>
      </c>
      <c r="C9595" s="4" t="s">
        <v>7</v>
      </c>
      <c r="D9595" s="4" t="s">
        <v>11</v>
      </c>
      <c r="E9595" s="4" t="s">
        <v>8</v>
      </c>
      <c r="F9595" s="4" t="s">
        <v>8</v>
      </c>
      <c r="G9595" s="4" t="s">
        <v>8</v>
      </c>
      <c r="H9595" s="4" t="s">
        <v>8</v>
      </c>
    </row>
    <row r="9596" spans="1:9">
      <c r="A9596" t="n">
        <v>88853</v>
      </c>
      <c r="B9596" s="38" t="n">
        <v>51</v>
      </c>
      <c r="C9596" s="7" t="n">
        <v>3</v>
      </c>
      <c r="D9596" s="7" t="n">
        <v>13</v>
      </c>
      <c r="E9596" s="7" t="s">
        <v>79</v>
      </c>
      <c r="F9596" s="7" t="s">
        <v>79</v>
      </c>
      <c r="G9596" s="7" t="s">
        <v>78</v>
      </c>
      <c r="H9596" s="7" t="s">
        <v>79</v>
      </c>
    </row>
    <row r="9597" spans="1:9">
      <c r="A9597" t="s">
        <v>4</v>
      </c>
      <c r="B9597" s="4" t="s">
        <v>5</v>
      </c>
      <c r="C9597" s="4" t="s">
        <v>7</v>
      </c>
      <c r="D9597" s="4" t="s">
        <v>11</v>
      </c>
      <c r="E9597" s="4" t="s">
        <v>11</v>
      </c>
      <c r="F9597" s="4" t="s">
        <v>15</v>
      </c>
      <c r="G9597" s="4" t="s">
        <v>15</v>
      </c>
      <c r="H9597" s="4" t="s">
        <v>15</v>
      </c>
    </row>
    <row r="9598" spans="1:9">
      <c r="A9598" t="n">
        <v>88866</v>
      </c>
      <c r="B9598" s="77" t="n">
        <v>97</v>
      </c>
      <c r="C9598" s="7" t="n">
        <v>6</v>
      </c>
      <c r="D9598" s="7" t="n">
        <v>0</v>
      </c>
      <c r="E9598" s="7" t="n">
        <v>0</v>
      </c>
      <c r="F9598" s="7" t="n">
        <v>-1065143501</v>
      </c>
      <c r="G9598" s="7" t="n">
        <v>1101004800</v>
      </c>
      <c r="H9598" s="7" t="n">
        <v>1101004800</v>
      </c>
    </row>
    <row r="9599" spans="1:9">
      <c r="A9599" t="s">
        <v>4</v>
      </c>
      <c r="B9599" s="4" t="s">
        <v>5</v>
      </c>
      <c r="C9599" s="4" t="s">
        <v>7</v>
      </c>
      <c r="D9599" s="4" t="s">
        <v>7</v>
      </c>
      <c r="E9599" s="4" t="s">
        <v>13</v>
      </c>
      <c r="F9599" s="4" t="s">
        <v>13</v>
      </c>
      <c r="G9599" s="4" t="s">
        <v>13</v>
      </c>
      <c r="H9599" s="4" t="s">
        <v>11</v>
      </c>
    </row>
    <row r="9600" spans="1:9">
      <c r="A9600" t="n">
        <v>88884</v>
      </c>
      <c r="B9600" s="51" t="n">
        <v>45</v>
      </c>
      <c r="C9600" s="7" t="n">
        <v>2</v>
      </c>
      <c r="D9600" s="7" t="n">
        <v>3</v>
      </c>
      <c r="E9600" s="7" t="n">
        <v>-6.82000017166138</v>
      </c>
      <c r="F9600" s="7" t="n">
        <v>6.3600001335144</v>
      </c>
      <c r="G9600" s="7" t="n">
        <v>29.8899993896484</v>
      </c>
      <c r="H9600" s="7" t="n">
        <v>0</v>
      </c>
    </row>
    <row r="9601" spans="1:8">
      <c r="A9601" t="s">
        <v>4</v>
      </c>
      <c r="B9601" s="4" t="s">
        <v>5</v>
      </c>
      <c r="C9601" s="4" t="s">
        <v>7</v>
      </c>
      <c r="D9601" s="4" t="s">
        <v>7</v>
      </c>
      <c r="E9601" s="4" t="s">
        <v>13</v>
      </c>
      <c r="F9601" s="4" t="s">
        <v>13</v>
      </c>
      <c r="G9601" s="4" t="s">
        <v>13</v>
      </c>
      <c r="H9601" s="4" t="s">
        <v>11</v>
      </c>
      <c r="I9601" s="4" t="s">
        <v>7</v>
      </c>
    </row>
    <row r="9602" spans="1:8">
      <c r="A9602" t="n">
        <v>88901</v>
      </c>
      <c r="B9602" s="51" t="n">
        <v>45</v>
      </c>
      <c r="C9602" s="7" t="n">
        <v>4</v>
      </c>
      <c r="D9602" s="7" t="n">
        <v>3</v>
      </c>
      <c r="E9602" s="7" t="n">
        <v>18.2999992370605</v>
      </c>
      <c r="F9602" s="7" t="n">
        <v>135.5</v>
      </c>
      <c r="G9602" s="7" t="n">
        <v>0</v>
      </c>
      <c r="H9602" s="7" t="n">
        <v>0</v>
      </c>
      <c r="I9602" s="7" t="n">
        <v>0</v>
      </c>
    </row>
    <row r="9603" spans="1:8">
      <c r="A9603" t="s">
        <v>4</v>
      </c>
      <c r="B9603" s="4" t="s">
        <v>5</v>
      </c>
      <c r="C9603" s="4" t="s">
        <v>7</v>
      </c>
      <c r="D9603" s="4" t="s">
        <v>7</v>
      </c>
      <c r="E9603" s="4" t="s">
        <v>13</v>
      </c>
      <c r="F9603" s="4" t="s">
        <v>11</v>
      </c>
    </row>
    <row r="9604" spans="1:8">
      <c r="A9604" t="n">
        <v>88919</v>
      </c>
      <c r="B9604" s="51" t="n">
        <v>45</v>
      </c>
      <c r="C9604" s="7" t="n">
        <v>5</v>
      </c>
      <c r="D9604" s="7" t="n">
        <v>3</v>
      </c>
      <c r="E9604" s="7" t="n">
        <v>1.29999995231628</v>
      </c>
      <c r="F9604" s="7" t="n">
        <v>0</v>
      </c>
    </row>
    <row r="9605" spans="1:8">
      <c r="A9605" t="s">
        <v>4</v>
      </c>
      <c r="B9605" s="4" t="s">
        <v>5</v>
      </c>
      <c r="C9605" s="4" t="s">
        <v>7</v>
      </c>
      <c r="D9605" s="4" t="s">
        <v>7</v>
      </c>
      <c r="E9605" s="4" t="s">
        <v>13</v>
      </c>
      <c r="F9605" s="4" t="s">
        <v>11</v>
      </c>
    </row>
    <row r="9606" spans="1:8">
      <c r="A9606" t="n">
        <v>88928</v>
      </c>
      <c r="B9606" s="51" t="n">
        <v>45</v>
      </c>
      <c r="C9606" s="7" t="n">
        <v>11</v>
      </c>
      <c r="D9606" s="7" t="n">
        <v>3</v>
      </c>
      <c r="E9606" s="7" t="n">
        <v>40.2999992370605</v>
      </c>
      <c r="F9606" s="7" t="n">
        <v>0</v>
      </c>
    </row>
    <row r="9607" spans="1:8">
      <c r="A9607" t="s">
        <v>4</v>
      </c>
      <c r="B9607" s="4" t="s">
        <v>5</v>
      </c>
      <c r="C9607" s="4" t="s">
        <v>7</v>
      </c>
      <c r="D9607" s="4" t="s">
        <v>11</v>
      </c>
    </row>
    <row r="9608" spans="1:8">
      <c r="A9608" t="n">
        <v>88937</v>
      </c>
      <c r="B9608" s="23" t="n">
        <v>58</v>
      </c>
      <c r="C9608" s="7" t="n">
        <v>255</v>
      </c>
      <c r="D9608" s="7" t="n">
        <v>0</v>
      </c>
    </row>
    <row r="9609" spans="1:8">
      <c r="A9609" t="s">
        <v>4</v>
      </c>
      <c r="B9609" s="4" t="s">
        <v>5</v>
      </c>
      <c r="C9609" s="4" t="s">
        <v>7</v>
      </c>
      <c r="D9609" s="4" t="s">
        <v>11</v>
      </c>
      <c r="E9609" s="4" t="s">
        <v>8</v>
      </c>
    </row>
    <row r="9610" spans="1:8">
      <c r="A9610" t="n">
        <v>88941</v>
      </c>
      <c r="B9610" s="38" t="n">
        <v>51</v>
      </c>
      <c r="C9610" s="7" t="n">
        <v>4</v>
      </c>
      <c r="D9610" s="7" t="n">
        <v>13</v>
      </c>
      <c r="E9610" s="7" t="s">
        <v>235</v>
      </c>
    </row>
    <row r="9611" spans="1:8">
      <c r="A9611" t="s">
        <v>4</v>
      </c>
      <c r="B9611" s="4" t="s">
        <v>5</v>
      </c>
      <c r="C9611" s="4" t="s">
        <v>11</v>
      </c>
    </row>
    <row r="9612" spans="1:8">
      <c r="A9612" t="n">
        <v>88955</v>
      </c>
      <c r="B9612" s="29" t="n">
        <v>16</v>
      </c>
      <c r="C9612" s="7" t="n">
        <v>0</v>
      </c>
    </row>
    <row r="9613" spans="1:8">
      <c r="A9613" t="s">
        <v>4</v>
      </c>
      <c r="B9613" s="4" t="s">
        <v>5</v>
      </c>
      <c r="C9613" s="4" t="s">
        <v>11</v>
      </c>
      <c r="D9613" s="4" t="s">
        <v>7</v>
      </c>
      <c r="E9613" s="4" t="s">
        <v>15</v>
      </c>
      <c r="F9613" s="4" t="s">
        <v>55</v>
      </c>
      <c r="G9613" s="4" t="s">
        <v>7</v>
      </c>
      <c r="H9613" s="4" t="s">
        <v>7</v>
      </c>
      <c r="I9613" s="4" t="s">
        <v>7</v>
      </c>
      <c r="J9613" s="4" t="s">
        <v>15</v>
      </c>
      <c r="K9613" s="4" t="s">
        <v>55</v>
      </c>
      <c r="L9613" s="4" t="s">
        <v>7</v>
      </c>
      <c r="M9613" s="4" t="s">
        <v>7</v>
      </c>
      <c r="N9613" s="4" t="s">
        <v>7</v>
      </c>
      <c r="O9613" s="4" t="s">
        <v>15</v>
      </c>
      <c r="P9613" s="4" t="s">
        <v>55</v>
      </c>
      <c r="Q9613" s="4" t="s">
        <v>7</v>
      </c>
      <c r="R9613" s="4" t="s">
        <v>7</v>
      </c>
    </row>
    <row r="9614" spans="1:8">
      <c r="A9614" t="n">
        <v>88958</v>
      </c>
      <c r="B9614" s="55" t="n">
        <v>26</v>
      </c>
      <c r="C9614" s="7" t="n">
        <v>13</v>
      </c>
      <c r="D9614" s="7" t="n">
        <v>17</v>
      </c>
      <c r="E9614" s="7" t="n">
        <v>64037</v>
      </c>
      <c r="F9614" s="7" t="s">
        <v>801</v>
      </c>
      <c r="G9614" s="7" t="n">
        <v>2</v>
      </c>
      <c r="H9614" s="7" t="n">
        <v>3</v>
      </c>
      <c r="I9614" s="7" t="n">
        <v>17</v>
      </c>
      <c r="J9614" s="7" t="n">
        <v>64038</v>
      </c>
      <c r="K9614" s="7" t="s">
        <v>802</v>
      </c>
      <c r="L9614" s="7" t="n">
        <v>2</v>
      </c>
      <c r="M9614" s="7" t="n">
        <v>3</v>
      </c>
      <c r="N9614" s="7" t="n">
        <v>17</v>
      </c>
      <c r="O9614" s="7" t="n">
        <v>64039</v>
      </c>
      <c r="P9614" s="7" t="s">
        <v>803</v>
      </c>
      <c r="Q9614" s="7" t="n">
        <v>2</v>
      </c>
      <c r="R9614" s="7" t="n">
        <v>0</v>
      </c>
    </row>
    <row r="9615" spans="1:8">
      <c r="A9615" t="s">
        <v>4</v>
      </c>
      <c r="B9615" s="4" t="s">
        <v>5</v>
      </c>
    </row>
    <row r="9616" spans="1:8">
      <c r="A9616" t="n">
        <v>89232</v>
      </c>
      <c r="B9616" s="27" t="n">
        <v>28</v>
      </c>
    </row>
    <row r="9617" spans="1:18">
      <c r="A9617" t="s">
        <v>4</v>
      </c>
      <c r="B9617" s="4" t="s">
        <v>5</v>
      </c>
      <c r="C9617" s="4" t="s">
        <v>7</v>
      </c>
      <c r="D9617" s="4" t="s">
        <v>11</v>
      </c>
      <c r="E9617" s="4" t="s">
        <v>8</v>
      </c>
    </row>
    <row r="9618" spans="1:18">
      <c r="A9618" t="n">
        <v>89233</v>
      </c>
      <c r="B9618" s="38" t="n">
        <v>51</v>
      </c>
      <c r="C9618" s="7" t="n">
        <v>4</v>
      </c>
      <c r="D9618" s="7" t="n">
        <v>0</v>
      </c>
      <c r="E9618" s="7" t="s">
        <v>173</v>
      </c>
    </row>
    <row r="9619" spans="1:18">
      <c r="A9619" t="s">
        <v>4</v>
      </c>
      <c r="B9619" s="4" t="s">
        <v>5</v>
      </c>
      <c r="C9619" s="4" t="s">
        <v>11</v>
      </c>
    </row>
    <row r="9620" spans="1:18">
      <c r="A9620" t="n">
        <v>89246</v>
      </c>
      <c r="B9620" s="29" t="n">
        <v>16</v>
      </c>
      <c r="C9620" s="7" t="n">
        <v>0</v>
      </c>
    </row>
    <row r="9621" spans="1:18">
      <c r="A9621" t="s">
        <v>4</v>
      </c>
      <c r="B9621" s="4" t="s">
        <v>5</v>
      </c>
      <c r="C9621" s="4" t="s">
        <v>11</v>
      </c>
      <c r="D9621" s="4" t="s">
        <v>7</v>
      </c>
      <c r="E9621" s="4" t="s">
        <v>15</v>
      </c>
      <c r="F9621" s="4" t="s">
        <v>55</v>
      </c>
      <c r="G9621" s="4" t="s">
        <v>7</v>
      </c>
      <c r="H9621" s="4" t="s">
        <v>7</v>
      </c>
    </row>
    <row r="9622" spans="1:18">
      <c r="A9622" t="n">
        <v>89249</v>
      </c>
      <c r="B9622" s="55" t="n">
        <v>26</v>
      </c>
      <c r="C9622" s="7" t="n">
        <v>0</v>
      </c>
      <c r="D9622" s="7" t="n">
        <v>17</v>
      </c>
      <c r="E9622" s="7" t="n">
        <v>64040</v>
      </c>
      <c r="F9622" s="7" t="s">
        <v>804</v>
      </c>
      <c r="G9622" s="7" t="n">
        <v>2</v>
      </c>
      <c r="H9622" s="7" t="n">
        <v>0</v>
      </c>
    </row>
    <row r="9623" spans="1:18">
      <c r="A9623" t="s">
        <v>4</v>
      </c>
      <c r="B9623" s="4" t="s">
        <v>5</v>
      </c>
    </row>
    <row r="9624" spans="1:18">
      <c r="A9624" t="n">
        <v>89275</v>
      </c>
      <c r="B9624" s="27" t="n">
        <v>28</v>
      </c>
    </row>
    <row r="9625" spans="1:18">
      <c r="A9625" t="s">
        <v>4</v>
      </c>
      <c r="B9625" s="4" t="s">
        <v>5</v>
      </c>
      <c r="C9625" s="4" t="s">
        <v>7</v>
      </c>
      <c r="D9625" s="4" t="s">
        <v>11</v>
      </c>
      <c r="E9625" s="4" t="s">
        <v>8</v>
      </c>
      <c r="F9625" s="4" t="s">
        <v>8</v>
      </c>
      <c r="G9625" s="4" t="s">
        <v>8</v>
      </c>
      <c r="H9625" s="4" t="s">
        <v>8</v>
      </c>
    </row>
    <row r="9626" spans="1:18">
      <c r="A9626" t="n">
        <v>89276</v>
      </c>
      <c r="B9626" s="38" t="n">
        <v>51</v>
      </c>
      <c r="C9626" s="7" t="n">
        <v>3</v>
      </c>
      <c r="D9626" s="7" t="n">
        <v>13</v>
      </c>
      <c r="E9626" s="7" t="s">
        <v>86</v>
      </c>
      <c r="F9626" s="7" t="s">
        <v>79</v>
      </c>
      <c r="G9626" s="7" t="s">
        <v>78</v>
      </c>
      <c r="H9626" s="7" t="s">
        <v>79</v>
      </c>
    </row>
    <row r="9627" spans="1:18">
      <c r="A9627" t="s">
        <v>4</v>
      </c>
      <c r="B9627" s="4" t="s">
        <v>5</v>
      </c>
      <c r="C9627" s="4" t="s">
        <v>11</v>
      </c>
      <c r="D9627" s="4" t="s">
        <v>7</v>
      </c>
      <c r="E9627" s="4" t="s">
        <v>7</v>
      </c>
      <c r="F9627" s="4" t="s">
        <v>8</v>
      </c>
    </row>
    <row r="9628" spans="1:18">
      <c r="A9628" t="n">
        <v>89289</v>
      </c>
      <c r="B9628" s="50" t="n">
        <v>20</v>
      </c>
      <c r="C9628" s="7" t="n">
        <v>13</v>
      </c>
      <c r="D9628" s="7" t="n">
        <v>2</v>
      </c>
      <c r="E9628" s="7" t="n">
        <v>10</v>
      </c>
      <c r="F9628" s="7" t="s">
        <v>223</v>
      </c>
    </row>
    <row r="9629" spans="1:18">
      <c r="A9629" t="s">
        <v>4</v>
      </c>
      <c r="B9629" s="4" t="s">
        <v>5</v>
      </c>
      <c r="C9629" s="4" t="s">
        <v>11</v>
      </c>
    </row>
    <row r="9630" spans="1:18">
      <c r="A9630" t="n">
        <v>89310</v>
      </c>
      <c r="B9630" s="29" t="n">
        <v>16</v>
      </c>
      <c r="C9630" s="7" t="n">
        <v>500</v>
      </c>
    </row>
    <row r="9631" spans="1:18">
      <c r="A9631" t="s">
        <v>4</v>
      </c>
      <c r="B9631" s="4" t="s">
        <v>5</v>
      </c>
      <c r="C9631" s="4" t="s">
        <v>7</v>
      </c>
      <c r="D9631" s="4" t="s">
        <v>11</v>
      </c>
      <c r="E9631" s="4" t="s">
        <v>8</v>
      </c>
    </row>
    <row r="9632" spans="1:18">
      <c r="A9632" t="n">
        <v>89313</v>
      </c>
      <c r="B9632" s="38" t="n">
        <v>51</v>
      </c>
      <c r="C9632" s="7" t="n">
        <v>4</v>
      </c>
      <c r="D9632" s="7" t="n">
        <v>13</v>
      </c>
      <c r="E9632" s="7" t="s">
        <v>242</v>
      </c>
    </row>
    <row r="9633" spans="1:8">
      <c r="A9633" t="s">
        <v>4</v>
      </c>
      <c r="B9633" s="4" t="s">
        <v>5</v>
      </c>
      <c r="C9633" s="4" t="s">
        <v>11</v>
      </c>
    </row>
    <row r="9634" spans="1:8">
      <c r="A9634" t="n">
        <v>89327</v>
      </c>
      <c r="B9634" s="29" t="n">
        <v>16</v>
      </c>
      <c r="C9634" s="7" t="n">
        <v>0</v>
      </c>
    </row>
    <row r="9635" spans="1:8">
      <c r="A9635" t="s">
        <v>4</v>
      </c>
      <c r="B9635" s="4" t="s">
        <v>5</v>
      </c>
      <c r="C9635" s="4" t="s">
        <v>11</v>
      </c>
      <c r="D9635" s="4" t="s">
        <v>7</v>
      </c>
      <c r="E9635" s="4" t="s">
        <v>15</v>
      </c>
      <c r="F9635" s="4" t="s">
        <v>55</v>
      </c>
      <c r="G9635" s="4" t="s">
        <v>7</v>
      </c>
      <c r="H9635" s="4" t="s">
        <v>7</v>
      </c>
      <c r="I9635" s="4" t="s">
        <v>7</v>
      </c>
      <c r="J9635" s="4" t="s">
        <v>15</v>
      </c>
      <c r="K9635" s="4" t="s">
        <v>55</v>
      </c>
      <c r="L9635" s="4" t="s">
        <v>7</v>
      </c>
      <c r="M9635" s="4" t="s">
        <v>7</v>
      </c>
    </row>
    <row r="9636" spans="1:8">
      <c r="A9636" t="n">
        <v>89330</v>
      </c>
      <c r="B9636" s="55" t="n">
        <v>26</v>
      </c>
      <c r="C9636" s="7" t="n">
        <v>13</v>
      </c>
      <c r="D9636" s="7" t="n">
        <v>17</v>
      </c>
      <c r="E9636" s="7" t="n">
        <v>64041</v>
      </c>
      <c r="F9636" s="7" t="s">
        <v>805</v>
      </c>
      <c r="G9636" s="7" t="n">
        <v>2</v>
      </c>
      <c r="H9636" s="7" t="n">
        <v>3</v>
      </c>
      <c r="I9636" s="7" t="n">
        <v>17</v>
      </c>
      <c r="J9636" s="7" t="n">
        <v>64042</v>
      </c>
      <c r="K9636" s="7" t="s">
        <v>806</v>
      </c>
      <c r="L9636" s="7" t="n">
        <v>2</v>
      </c>
      <c r="M9636" s="7" t="n">
        <v>0</v>
      </c>
    </row>
    <row r="9637" spans="1:8">
      <c r="A9637" t="s">
        <v>4</v>
      </c>
      <c r="B9637" s="4" t="s">
        <v>5</v>
      </c>
    </row>
    <row r="9638" spans="1:8">
      <c r="A9638" t="n">
        <v>89540</v>
      </c>
      <c r="B9638" s="27" t="n">
        <v>28</v>
      </c>
    </row>
    <row r="9639" spans="1:8">
      <c r="A9639" t="s">
        <v>4</v>
      </c>
      <c r="B9639" s="4" t="s">
        <v>5</v>
      </c>
      <c r="C9639" s="4" t="s">
        <v>7</v>
      </c>
      <c r="D9639" s="4" t="s">
        <v>11</v>
      </c>
      <c r="E9639" s="4" t="s">
        <v>8</v>
      </c>
    </row>
    <row r="9640" spans="1:8">
      <c r="A9640" t="n">
        <v>89541</v>
      </c>
      <c r="B9640" s="38" t="n">
        <v>51</v>
      </c>
      <c r="C9640" s="7" t="n">
        <v>4</v>
      </c>
      <c r="D9640" s="7" t="n">
        <v>0</v>
      </c>
      <c r="E9640" s="7" t="s">
        <v>547</v>
      </c>
    </row>
    <row r="9641" spans="1:8">
      <c r="A9641" t="s">
        <v>4</v>
      </c>
      <c r="B9641" s="4" t="s">
        <v>5</v>
      </c>
      <c r="C9641" s="4" t="s">
        <v>11</v>
      </c>
    </row>
    <row r="9642" spans="1:8">
      <c r="A9642" t="n">
        <v>89555</v>
      </c>
      <c r="B9642" s="29" t="n">
        <v>16</v>
      </c>
      <c r="C9642" s="7" t="n">
        <v>0</v>
      </c>
    </row>
    <row r="9643" spans="1:8">
      <c r="A9643" t="s">
        <v>4</v>
      </c>
      <c r="B9643" s="4" t="s">
        <v>5</v>
      </c>
      <c r="C9643" s="4" t="s">
        <v>11</v>
      </c>
      <c r="D9643" s="4" t="s">
        <v>7</v>
      </c>
      <c r="E9643" s="4" t="s">
        <v>15</v>
      </c>
      <c r="F9643" s="4" t="s">
        <v>55</v>
      </c>
      <c r="G9643" s="4" t="s">
        <v>7</v>
      </c>
      <c r="H9643" s="4" t="s">
        <v>7</v>
      </c>
      <c r="I9643" s="4" t="s">
        <v>7</v>
      </c>
      <c r="J9643" s="4" t="s">
        <v>15</v>
      </c>
      <c r="K9643" s="4" t="s">
        <v>55</v>
      </c>
      <c r="L9643" s="4" t="s">
        <v>7</v>
      </c>
      <c r="M9643" s="4" t="s">
        <v>7</v>
      </c>
    </row>
    <row r="9644" spans="1:8">
      <c r="A9644" t="n">
        <v>89558</v>
      </c>
      <c r="B9644" s="55" t="n">
        <v>26</v>
      </c>
      <c r="C9644" s="7" t="n">
        <v>0</v>
      </c>
      <c r="D9644" s="7" t="n">
        <v>17</v>
      </c>
      <c r="E9644" s="7" t="n">
        <v>64043</v>
      </c>
      <c r="F9644" s="7" t="s">
        <v>807</v>
      </c>
      <c r="G9644" s="7" t="n">
        <v>2</v>
      </c>
      <c r="H9644" s="7" t="n">
        <v>3</v>
      </c>
      <c r="I9644" s="7" t="n">
        <v>17</v>
      </c>
      <c r="J9644" s="7" t="n">
        <v>64044</v>
      </c>
      <c r="K9644" s="7" t="s">
        <v>808</v>
      </c>
      <c r="L9644" s="7" t="n">
        <v>2</v>
      </c>
      <c r="M9644" s="7" t="n">
        <v>0</v>
      </c>
    </row>
    <row r="9645" spans="1:8">
      <c r="A9645" t="s">
        <v>4</v>
      </c>
      <c r="B9645" s="4" t="s">
        <v>5</v>
      </c>
    </row>
    <row r="9646" spans="1:8">
      <c r="A9646" t="n">
        <v>89746</v>
      </c>
      <c r="B9646" s="27" t="n">
        <v>28</v>
      </c>
    </row>
    <row r="9647" spans="1:8">
      <c r="A9647" t="s">
        <v>4</v>
      </c>
      <c r="B9647" s="4" t="s">
        <v>5</v>
      </c>
      <c r="C9647" s="4" t="s">
        <v>7</v>
      </c>
      <c r="D9647" s="4" t="s">
        <v>11</v>
      </c>
      <c r="E9647" s="4" t="s">
        <v>8</v>
      </c>
    </row>
    <row r="9648" spans="1:8">
      <c r="A9648" t="n">
        <v>89747</v>
      </c>
      <c r="B9648" s="38" t="n">
        <v>51</v>
      </c>
      <c r="C9648" s="7" t="n">
        <v>4</v>
      </c>
      <c r="D9648" s="7" t="n">
        <v>13</v>
      </c>
      <c r="E9648" s="7" t="s">
        <v>491</v>
      </c>
    </row>
    <row r="9649" spans="1:13">
      <c r="A9649" t="s">
        <v>4</v>
      </c>
      <c r="B9649" s="4" t="s">
        <v>5</v>
      </c>
      <c r="C9649" s="4" t="s">
        <v>11</v>
      </c>
    </row>
    <row r="9650" spans="1:13">
      <c r="A9650" t="n">
        <v>89761</v>
      </c>
      <c r="B9650" s="29" t="n">
        <v>16</v>
      </c>
      <c r="C9650" s="7" t="n">
        <v>0</v>
      </c>
    </row>
    <row r="9651" spans="1:13">
      <c r="A9651" t="s">
        <v>4</v>
      </c>
      <c r="B9651" s="4" t="s">
        <v>5</v>
      </c>
      <c r="C9651" s="4" t="s">
        <v>11</v>
      </c>
      <c r="D9651" s="4" t="s">
        <v>7</v>
      </c>
      <c r="E9651" s="4" t="s">
        <v>15</v>
      </c>
      <c r="F9651" s="4" t="s">
        <v>55</v>
      </c>
      <c r="G9651" s="4" t="s">
        <v>7</v>
      </c>
      <c r="H9651" s="4" t="s">
        <v>7</v>
      </c>
    </row>
    <row r="9652" spans="1:13">
      <c r="A9652" t="n">
        <v>89764</v>
      </c>
      <c r="B9652" s="55" t="n">
        <v>26</v>
      </c>
      <c r="C9652" s="7" t="n">
        <v>13</v>
      </c>
      <c r="D9652" s="7" t="n">
        <v>17</v>
      </c>
      <c r="E9652" s="7" t="n">
        <v>64045</v>
      </c>
      <c r="F9652" s="7" t="s">
        <v>809</v>
      </c>
      <c r="G9652" s="7" t="n">
        <v>2</v>
      </c>
      <c r="H9652" s="7" t="n">
        <v>0</v>
      </c>
    </row>
    <row r="9653" spans="1:13">
      <c r="A9653" t="s">
        <v>4</v>
      </c>
      <c r="B9653" s="4" t="s">
        <v>5</v>
      </c>
    </row>
    <row r="9654" spans="1:13">
      <c r="A9654" t="n">
        <v>89811</v>
      </c>
      <c r="B9654" s="27" t="n">
        <v>28</v>
      </c>
    </row>
    <row r="9655" spans="1:13">
      <c r="A9655" t="s">
        <v>4</v>
      </c>
      <c r="B9655" s="4" t="s">
        <v>5</v>
      </c>
      <c r="C9655" s="4" t="s">
        <v>7</v>
      </c>
      <c r="D9655" s="4" t="s">
        <v>11</v>
      </c>
      <c r="E9655" s="4" t="s">
        <v>7</v>
      </c>
    </row>
    <row r="9656" spans="1:13">
      <c r="A9656" t="n">
        <v>89812</v>
      </c>
      <c r="B9656" s="13" t="n">
        <v>49</v>
      </c>
      <c r="C9656" s="7" t="n">
        <v>1</v>
      </c>
      <c r="D9656" s="7" t="n">
        <v>3000</v>
      </c>
      <c r="E9656" s="7" t="n">
        <v>0</v>
      </c>
    </row>
    <row r="9657" spans="1:13">
      <c r="A9657" t="s">
        <v>4</v>
      </c>
      <c r="B9657" s="4" t="s">
        <v>5</v>
      </c>
      <c r="C9657" s="4" t="s">
        <v>7</v>
      </c>
      <c r="D9657" s="4" t="s">
        <v>11</v>
      </c>
      <c r="E9657" s="4" t="s">
        <v>8</v>
      </c>
      <c r="F9657" s="4" t="s">
        <v>8</v>
      </c>
      <c r="G9657" s="4" t="s">
        <v>8</v>
      </c>
      <c r="H9657" s="4" t="s">
        <v>8</v>
      </c>
    </row>
    <row r="9658" spans="1:13">
      <c r="A9658" t="n">
        <v>89817</v>
      </c>
      <c r="B9658" s="38" t="n">
        <v>51</v>
      </c>
      <c r="C9658" s="7" t="n">
        <v>3</v>
      </c>
      <c r="D9658" s="7" t="n">
        <v>13</v>
      </c>
      <c r="E9658" s="7" t="s">
        <v>155</v>
      </c>
      <c r="F9658" s="7" t="s">
        <v>218</v>
      </c>
      <c r="G9658" s="7" t="s">
        <v>78</v>
      </c>
      <c r="H9658" s="7" t="s">
        <v>79</v>
      </c>
    </row>
    <row r="9659" spans="1:13">
      <c r="A9659" t="s">
        <v>4</v>
      </c>
      <c r="B9659" s="4" t="s">
        <v>5</v>
      </c>
      <c r="C9659" s="4" t="s">
        <v>11</v>
      </c>
      <c r="D9659" s="4" t="s">
        <v>7</v>
      </c>
      <c r="E9659" s="4" t="s">
        <v>13</v>
      </c>
      <c r="F9659" s="4" t="s">
        <v>11</v>
      </c>
    </row>
    <row r="9660" spans="1:13">
      <c r="A9660" t="n">
        <v>89830</v>
      </c>
      <c r="B9660" s="56" t="n">
        <v>59</v>
      </c>
      <c r="C9660" s="7" t="n">
        <v>13</v>
      </c>
      <c r="D9660" s="7" t="n">
        <v>9</v>
      </c>
      <c r="E9660" s="7" t="n">
        <v>0.150000005960464</v>
      </c>
      <c r="F9660" s="7" t="n">
        <v>0</v>
      </c>
    </row>
    <row r="9661" spans="1:13">
      <c r="A9661" t="s">
        <v>4</v>
      </c>
      <c r="B9661" s="4" t="s">
        <v>5</v>
      </c>
      <c r="C9661" s="4" t="s">
        <v>11</v>
      </c>
    </row>
    <row r="9662" spans="1:13">
      <c r="A9662" t="n">
        <v>89840</v>
      </c>
      <c r="B9662" s="29" t="n">
        <v>16</v>
      </c>
      <c r="C9662" s="7" t="n">
        <v>1800</v>
      </c>
    </row>
    <row r="9663" spans="1:13">
      <c r="A9663" t="s">
        <v>4</v>
      </c>
      <c r="B9663" s="4" t="s">
        <v>5</v>
      </c>
      <c r="C9663" s="4" t="s">
        <v>7</v>
      </c>
      <c r="D9663" s="4" t="s">
        <v>11</v>
      </c>
      <c r="E9663" s="4" t="s">
        <v>13</v>
      </c>
    </row>
    <row r="9664" spans="1:13">
      <c r="A9664" t="n">
        <v>89843</v>
      </c>
      <c r="B9664" s="23" t="n">
        <v>58</v>
      </c>
      <c r="C9664" s="7" t="n">
        <v>101</v>
      </c>
      <c r="D9664" s="7" t="n">
        <v>800</v>
      </c>
      <c r="E9664" s="7" t="n">
        <v>1</v>
      </c>
    </row>
    <row r="9665" spans="1:8">
      <c r="A9665" t="s">
        <v>4</v>
      </c>
      <c r="B9665" s="4" t="s">
        <v>5</v>
      </c>
      <c r="C9665" s="4" t="s">
        <v>7</v>
      </c>
      <c r="D9665" s="4" t="s">
        <v>11</v>
      </c>
    </row>
    <row r="9666" spans="1:8">
      <c r="A9666" t="n">
        <v>89851</v>
      </c>
      <c r="B9666" s="23" t="n">
        <v>58</v>
      </c>
      <c r="C9666" s="7" t="n">
        <v>254</v>
      </c>
      <c r="D9666" s="7" t="n">
        <v>0</v>
      </c>
    </row>
    <row r="9667" spans="1:8">
      <c r="A9667" t="s">
        <v>4</v>
      </c>
      <c r="B9667" s="4" t="s">
        <v>5</v>
      </c>
      <c r="C9667" s="4" t="s">
        <v>7</v>
      </c>
      <c r="D9667" s="4" t="s">
        <v>7</v>
      </c>
      <c r="E9667" s="4" t="s">
        <v>13</v>
      </c>
      <c r="F9667" s="4" t="s">
        <v>13</v>
      </c>
      <c r="G9667" s="4" t="s">
        <v>13</v>
      </c>
      <c r="H9667" s="4" t="s">
        <v>11</v>
      </c>
    </row>
    <row r="9668" spans="1:8">
      <c r="A9668" t="n">
        <v>89855</v>
      </c>
      <c r="B9668" s="51" t="n">
        <v>45</v>
      </c>
      <c r="C9668" s="7" t="n">
        <v>2</v>
      </c>
      <c r="D9668" s="7" t="n">
        <v>3</v>
      </c>
      <c r="E9668" s="7" t="n">
        <v>-7.36999988555908</v>
      </c>
      <c r="F9668" s="7" t="n">
        <v>6.30999994277954</v>
      </c>
      <c r="G9668" s="7" t="n">
        <v>29.8199996948242</v>
      </c>
      <c r="H9668" s="7" t="n">
        <v>0</v>
      </c>
    </row>
    <row r="9669" spans="1:8">
      <c r="A9669" t="s">
        <v>4</v>
      </c>
      <c r="B9669" s="4" t="s">
        <v>5</v>
      </c>
      <c r="C9669" s="4" t="s">
        <v>7</v>
      </c>
      <c r="D9669" s="4" t="s">
        <v>7</v>
      </c>
      <c r="E9669" s="4" t="s">
        <v>13</v>
      </c>
      <c r="F9669" s="4" t="s">
        <v>13</v>
      </c>
      <c r="G9669" s="4" t="s">
        <v>13</v>
      </c>
      <c r="H9669" s="4" t="s">
        <v>11</v>
      </c>
      <c r="I9669" s="4" t="s">
        <v>7</v>
      </c>
    </row>
    <row r="9670" spans="1:8">
      <c r="A9670" t="n">
        <v>89872</v>
      </c>
      <c r="B9670" s="51" t="n">
        <v>45</v>
      </c>
      <c r="C9670" s="7" t="n">
        <v>4</v>
      </c>
      <c r="D9670" s="7" t="n">
        <v>3</v>
      </c>
      <c r="E9670" s="7" t="n">
        <v>10.3299999237061</v>
      </c>
      <c r="F9670" s="7" t="n">
        <v>61.2000007629395</v>
      </c>
      <c r="G9670" s="7" t="n">
        <v>356</v>
      </c>
      <c r="H9670" s="7" t="n">
        <v>0</v>
      </c>
      <c r="I9670" s="7" t="n">
        <v>0</v>
      </c>
    </row>
    <row r="9671" spans="1:8">
      <c r="A9671" t="s">
        <v>4</v>
      </c>
      <c r="B9671" s="4" t="s">
        <v>5</v>
      </c>
      <c r="C9671" s="4" t="s">
        <v>7</v>
      </c>
      <c r="D9671" s="4" t="s">
        <v>7</v>
      </c>
      <c r="E9671" s="4" t="s">
        <v>13</v>
      </c>
      <c r="F9671" s="4" t="s">
        <v>11</v>
      </c>
    </row>
    <row r="9672" spans="1:8">
      <c r="A9672" t="n">
        <v>89890</v>
      </c>
      <c r="B9672" s="51" t="n">
        <v>45</v>
      </c>
      <c r="C9672" s="7" t="n">
        <v>5</v>
      </c>
      <c r="D9672" s="7" t="n">
        <v>3</v>
      </c>
      <c r="E9672" s="7" t="n">
        <v>0.800000011920929</v>
      </c>
      <c r="F9672" s="7" t="n">
        <v>0</v>
      </c>
    </row>
    <row r="9673" spans="1:8">
      <c r="A9673" t="s">
        <v>4</v>
      </c>
      <c r="B9673" s="4" t="s">
        <v>5</v>
      </c>
      <c r="C9673" s="4" t="s">
        <v>7</v>
      </c>
      <c r="D9673" s="4" t="s">
        <v>7</v>
      </c>
      <c r="E9673" s="4" t="s">
        <v>13</v>
      </c>
      <c r="F9673" s="4" t="s">
        <v>11</v>
      </c>
    </row>
    <row r="9674" spans="1:8">
      <c r="A9674" t="n">
        <v>89899</v>
      </c>
      <c r="B9674" s="51" t="n">
        <v>45</v>
      </c>
      <c r="C9674" s="7" t="n">
        <v>11</v>
      </c>
      <c r="D9674" s="7" t="n">
        <v>3</v>
      </c>
      <c r="E9674" s="7" t="n">
        <v>40.2999992370605</v>
      </c>
      <c r="F9674" s="7" t="n">
        <v>0</v>
      </c>
    </row>
    <row r="9675" spans="1:8">
      <c r="A9675" t="s">
        <v>4</v>
      </c>
      <c r="B9675" s="4" t="s">
        <v>5</v>
      </c>
      <c r="C9675" s="4" t="s">
        <v>7</v>
      </c>
    </row>
    <row r="9676" spans="1:8">
      <c r="A9676" t="n">
        <v>89908</v>
      </c>
      <c r="B9676" s="49" t="n">
        <v>116</v>
      </c>
      <c r="C9676" s="7" t="n">
        <v>0</v>
      </c>
    </row>
    <row r="9677" spans="1:8">
      <c r="A9677" t="s">
        <v>4</v>
      </c>
      <c r="B9677" s="4" t="s">
        <v>5</v>
      </c>
      <c r="C9677" s="4" t="s">
        <v>7</v>
      </c>
      <c r="D9677" s="4" t="s">
        <v>11</v>
      </c>
    </row>
    <row r="9678" spans="1:8">
      <c r="A9678" t="n">
        <v>89910</v>
      </c>
      <c r="B9678" s="49" t="n">
        <v>116</v>
      </c>
      <c r="C9678" s="7" t="n">
        <v>2</v>
      </c>
      <c r="D9678" s="7" t="n">
        <v>1</v>
      </c>
    </row>
    <row r="9679" spans="1:8">
      <c r="A9679" t="s">
        <v>4</v>
      </c>
      <c r="B9679" s="4" t="s">
        <v>5</v>
      </c>
      <c r="C9679" s="4" t="s">
        <v>7</v>
      </c>
      <c r="D9679" s="4" t="s">
        <v>15</v>
      </c>
    </row>
    <row r="9680" spans="1:8">
      <c r="A9680" t="n">
        <v>89914</v>
      </c>
      <c r="B9680" s="49" t="n">
        <v>116</v>
      </c>
      <c r="C9680" s="7" t="n">
        <v>5</v>
      </c>
      <c r="D9680" s="7" t="n">
        <v>1077936128</v>
      </c>
    </row>
    <row r="9681" spans="1:9">
      <c r="A9681" t="s">
        <v>4</v>
      </c>
      <c r="B9681" s="4" t="s">
        <v>5</v>
      </c>
      <c r="C9681" s="4" t="s">
        <v>7</v>
      </c>
      <c r="D9681" s="4" t="s">
        <v>11</v>
      </c>
    </row>
    <row r="9682" spans="1:9">
      <c r="A9682" t="n">
        <v>89920</v>
      </c>
      <c r="B9682" s="49" t="n">
        <v>116</v>
      </c>
      <c r="C9682" s="7" t="n">
        <v>6</v>
      </c>
      <c r="D9682" s="7" t="n">
        <v>1</v>
      </c>
    </row>
    <row r="9683" spans="1:9">
      <c r="A9683" t="s">
        <v>4</v>
      </c>
      <c r="B9683" s="4" t="s">
        <v>5</v>
      </c>
      <c r="C9683" s="4" t="s">
        <v>7</v>
      </c>
      <c r="D9683" s="4" t="s">
        <v>11</v>
      </c>
      <c r="E9683" s="4" t="s">
        <v>8</v>
      </c>
      <c r="F9683" s="4" t="s">
        <v>8</v>
      </c>
      <c r="G9683" s="4" t="s">
        <v>8</v>
      </c>
      <c r="H9683" s="4" t="s">
        <v>8</v>
      </c>
    </row>
    <row r="9684" spans="1:9">
      <c r="A9684" t="n">
        <v>89924</v>
      </c>
      <c r="B9684" s="38" t="n">
        <v>51</v>
      </c>
      <c r="C9684" s="7" t="n">
        <v>3</v>
      </c>
      <c r="D9684" s="7" t="n">
        <v>13</v>
      </c>
      <c r="E9684" s="7" t="s">
        <v>99</v>
      </c>
      <c r="F9684" s="7" t="s">
        <v>79</v>
      </c>
      <c r="G9684" s="7" t="s">
        <v>78</v>
      </c>
      <c r="H9684" s="7" t="s">
        <v>79</v>
      </c>
    </row>
    <row r="9685" spans="1:9">
      <c r="A9685" t="s">
        <v>4</v>
      </c>
      <c r="B9685" s="4" t="s">
        <v>5</v>
      </c>
      <c r="C9685" s="4" t="s">
        <v>11</v>
      </c>
      <c r="D9685" s="4" t="s">
        <v>11</v>
      </c>
      <c r="E9685" s="4" t="s">
        <v>13</v>
      </c>
      <c r="F9685" s="4" t="s">
        <v>7</v>
      </c>
    </row>
    <row r="9686" spans="1:9">
      <c r="A9686" t="n">
        <v>89937</v>
      </c>
      <c r="B9686" s="73" t="n">
        <v>53</v>
      </c>
      <c r="C9686" s="7" t="n">
        <v>0</v>
      </c>
      <c r="D9686" s="7" t="n">
        <v>13</v>
      </c>
      <c r="E9686" s="7" t="n">
        <v>0</v>
      </c>
      <c r="F9686" s="7" t="n">
        <v>0</v>
      </c>
    </row>
    <row r="9687" spans="1:9">
      <c r="A9687" t="s">
        <v>4</v>
      </c>
      <c r="B9687" s="4" t="s">
        <v>5</v>
      </c>
      <c r="C9687" s="4" t="s">
        <v>7</v>
      </c>
      <c r="D9687" s="4" t="s">
        <v>11</v>
      </c>
    </row>
    <row r="9688" spans="1:9">
      <c r="A9688" t="n">
        <v>89947</v>
      </c>
      <c r="B9688" s="23" t="n">
        <v>58</v>
      </c>
      <c r="C9688" s="7" t="n">
        <v>255</v>
      </c>
      <c r="D9688" s="7" t="n">
        <v>0</v>
      </c>
    </row>
    <row r="9689" spans="1:9">
      <c r="A9689" t="s">
        <v>4</v>
      </c>
      <c r="B9689" s="4" t="s">
        <v>5</v>
      </c>
      <c r="C9689" s="4" t="s">
        <v>11</v>
      </c>
      <c r="D9689" s="4" t="s">
        <v>11</v>
      </c>
      <c r="E9689" s="4" t="s">
        <v>13</v>
      </c>
      <c r="F9689" s="4" t="s">
        <v>7</v>
      </c>
    </row>
    <row r="9690" spans="1:9">
      <c r="A9690" t="n">
        <v>89951</v>
      </c>
      <c r="B9690" s="73" t="n">
        <v>53</v>
      </c>
      <c r="C9690" s="7" t="n">
        <v>13</v>
      </c>
      <c r="D9690" s="7" t="n">
        <v>0</v>
      </c>
      <c r="E9690" s="7" t="n">
        <v>5</v>
      </c>
      <c r="F9690" s="7" t="n">
        <v>0</v>
      </c>
    </row>
    <row r="9691" spans="1:9">
      <c r="A9691" t="s">
        <v>4</v>
      </c>
      <c r="B9691" s="4" t="s">
        <v>5</v>
      </c>
      <c r="C9691" s="4" t="s">
        <v>11</v>
      </c>
    </row>
    <row r="9692" spans="1:9">
      <c r="A9692" t="n">
        <v>89961</v>
      </c>
      <c r="B9692" s="66" t="n">
        <v>54</v>
      </c>
      <c r="C9692" s="7" t="n">
        <v>13</v>
      </c>
    </row>
    <row r="9693" spans="1:9">
      <c r="A9693" t="s">
        <v>4</v>
      </c>
      <c r="B9693" s="4" t="s">
        <v>5</v>
      </c>
      <c r="C9693" s="4" t="s">
        <v>11</v>
      </c>
      <c r="D9693" s="4" t="s">
        <v>7</v>
      </c>
      <c r="E9693" s="4" t="s">
        <v>8</v>
      </c>
      <c r="F9693" s="4" t="s">
        <v>13</v>
      </c>
      <c r="G9693" s="4" t="s">
        <v>13</v>
      </c>
      <c r="H9693" s="4" t="s">
        <v>13</v>
      </c>
    </row>
    <row r="9694" spans="1:9">
      <c r="A9694" t="n">
        <v>89964</v>
      </c>
      <c r="B9694" s="42" t="n">
        <v>48</v>
      </c>
      <c r="C9694" s="7" t="n">
        <v>13</v>
      </c>
      <c r="D9694" s="7" t="n">
        <v>0</v>
      </c>
      <c r="E9694" s="7" t="s">
        <v>91</v>
      </c>
      <c r="F9694" s="7" t="n">
        <v>-1</v>
      </c>
      <c r="G9694" s="7" t="n">
        <v>1</v>
      </c>
      <c r="H9694" s="7" t="n">
        <v>0</v>
      </c>
    </row>
    <row r="9695" spans="1:9">
      <c r="A9695" t="s">
        <v>4</v>
      </c>
      <c r="B9695" s="4" t="s">
        <v>5</v>
      </c>
      <c r="C9695" s="4" t="s">
        <v>7</v>
      </c>
      <c r="D9695" s="4" t="s">
        <v>7</v>
      </c>
    </row>
    <row r="9696" spans="1:9">
      <c r="A9696" t="n">
        <v>89995</v>
      </c>
      <c r="B9696" s="13" t="n">
        <v>49</v>
      </c>
      <c r="C9696" s="7" t="n">
        <v>2</v>
      </c>
      <c r="D9696" s="7" t="n">
        <v>0</v>
      </c>
    </row>
    <row r="9697" spans="1:8">
      <c r="A9697" t="s">
        <v>4</v>
      </c>
      <c r="B9697" s="4" t="s">
        <v>5</v>
      </c>
      <c r="C9697" s="4" t="s">
        <v>7</v>
      </c>
      <c r="D9697" s="4" t="s">
        <v>11</v>
      </c>
      <c r="E9697" s="4" t="s">
        <v>15</v>
      </c>
      <c r="F9697" s="4" t="s">
        <v>11</v>
      </c>
      <c r="G9697" s="4" t="s">
        <v>15</v>
      </c>
      <c r="H9697" s="4" t="s">
        <v>7</v>
      </c>
    </row>
    <row r="9698" spans="1:8">
      <c r="A9698" t="n">
        <v>89998</v>
      </c>
      <c r="B9698" s="13" t="n">
        <v>49</v>
      </c>
      <c r="C9698" s="7" t="n">
        <v>0</v>
      </c>
      <c r="D9698" s="7" t="n">
        <v>551</v>
      </c>
      <c r="E9698" s="7" t="n">
        <v>1061997773</v>
      </c>
      <c r="F9698" s="7" t="n">
        <v>0</v>
      </c>
      <c r="G9698" s="7" t="n">
        <v>0</v>
      </c>
      <c r="H9698" s="7" t="n">
        <v>0</v>
      </c>
    </row>
    <row r="9699" spans="1:8">
      <c r="A9699" t="s">
        <v>4</v>
      </c>
      <c r="B9699" s="4" t="s">
        <v>5</v>
      </c>
      <c r="C9699" s="4" t="s">
        <v>7</v>
      </c>
      <c r="D9699" s="4" t="s">
        <v>11</v>
      </c>
    </row>
    <row r="9700" spans="1:8">
      <c r="A9700" t="n">
        <v>90013</v>
      </c>
      <c r="B9700" s="13" t="n">
        <v>49</v>
      </c>
      <c r="C9700" s="7" t="n">
        <v>6</v>
      </c>
      <c r="D9700" s="7" t="n">
        <v>551</v>
      </c>
    </row>
    <row r="9701" spans="1:8">
      <c r="A9701" t="s">
        <v>4</v>
      </c>
      <c r="B9701" s="4" t="s">
        <v>5</v>
      </c>
      <c r="C9701" s="4" t="s">
        <v>11</v>
      </c>
    </row>
    <row r="9702" spans="1:8">
      <c r="A9702" t="n">
        <v>90017</v>
      </c>
      <c r="B9702" s="29" t="n">
        <v>16</v>
      </c>
      <c r="C9702" s="7" t="n">
        <v>500</v>
      </c>
    </row>
    <row r="9703" spans="1:8">
      <c r="A9703" t="s">
        <v>4</v>
      </c>
      <c r="B9703" s="4" t="s">
        <v>5</v>
      </c>
      <c r="C9703" s="4" t="s">
        <v>7</v>
      </c>
      <c r="D9703" s="4" t="s">
        <v>11</v>
      </c>
      <c r="E9703" s="4" t="s">
        <v>8</v>
      </c>
    </row>
    <row r="9704" spans="1:8">
      <c r="A9704" t="n">
        <v>90020</v>
      </c>
      <c r="B9704" s="38" t="n">
        <v>51</v>
      </c>
      <c r="C9704" s="7" t="n">
        <v>4</v>
      </c>
      <c r="D9704" s="7" t="n">
        <v>13</v>
      </c>
      <c r="E9704" s="7" t="s">
        <v>242</v>
      </c>
    </row>
    <row r="9705" spans="1:8">
      <c r="A9705" t="s">
        <v>4</v>
      </c>
      <c r="B9705" s="4" t="s">
        <v>5</v>
      </c>
      <c r="C9705" s="4" t="s">
        <v>11</v>
      </c>
    </row>
    <row r="9706" spans="1:8">
      <c r="A9706" t="n">
        <v>90034</v>
      </c>
      <c r="B9706" s="29" t="n">
        <v>16</v>
      </c>
      <c r="C9706" s="7" t="n">
        <v>0</v>
      </c>
    </row>
    <row r="9707" spans="1:8">
      <c r="A9707" t="s">
        <v>4</v>
      </c>
      <c r="B9707" s="4" t="s">
        <v>5</v>
      </c>
      <c r="C9707" s="4" t="s">
        <v>11</v>
      </c>
      <c r="D9707" s="4" t="s">
        <v>7</v>
      </c>
      <c r="E9707" s="4" t="s">
        <v>15</v>
      </c>
      <c r="F9707" s="4" t="s">
        <v>55</v>
      </c>
      <c r="G9707" s="4" t="s">
        <v>7</v>
      </c>
      <c r="H9707" s="4" t="s">
        <v>7</v>
      </c>
      <c r="I9707" s="4" t="s">
        <v>7</v>
      </c>
      <c r="J9707" s="4" t="s">
        <v>15</v>
      </c>
      <c r="K9707" s="4" t="s">
        <v>55</v>
      </c>
      <c r="L9707" s="4" t="s">
        <v>7</v>
      </c>
      <c r="M9707" s="4" t="s">
        <v>7</v>
      </c>
    </row>
    <row r="9708" spans="1:8">
      <c r="A9708" t="n">
        <v>90037</v>
      </c>
      <c r="B9708" s="55" t="n">
        <v>26</v>
      </c>
      <c r="C9708" s="7" t="n">
        <v>13</v>
      </c>
      <c r="D9708" s="7" t="n">
        <v>17</v>
      </c>
      <c r="E9708" s="7" t="n">
        <v>11800</v>
      </c>
      <c r="F9708" s="7" t="s">
        <v>810</v>
      </c>
      <c r="G9708" s="7" t="n">
        <v>2</v>
      </c>
      <c r="H9708" s="7" t="n">
        <v>3</v>
      </c>
      <c r="I9708" s="7" t="n">
        <v>17</v>
      </c>
      <c r="J9708" s="7" t="n">
        <v>11801</v>
      </c>
      <c r="K9708" s="7" t="s">
        <v>811</v>
      </c>
      <c r="L9708" s="7" t="n">
        <v>2</v>
      </c>
      <c r="M9708" s="7" t="n">
        <v>0</v>
      </c>
    </row>
    <row r="9709" spans="1:8">
      <c r="A9709" t="s">
        <v>4</v>
      </c>
      <c r="B9709" s="4" t="s">
        <v>5</v>
      </c>
    </row>
    <row r="9710" spans="1:8">
      <c r="A9710" t="n">
        <v>90254</v>
      </c>
      <c r="B9710" s="27" t="n">
        <v>28</v>
      </c>
    </row>
    <row r="9711" spans="1:8">
      <c r="A9711" t="s">
        <v>4</v>
      </c>
      <c r="B9711" s="4" t="s">
        <v>5</v>
      </c>
      <c r="C9711" s="4" t="s">
        <v>11</v>
      </c>
      <c r="D9711" s="4" t="s">
        <v>7</v>
      </c>
    </row>
    <row r="9712" spans="1:8">
      <c r="A9712" t="n">
        <v>90255</v>
      </c>
      <c r="B9712" s="68" t="n">
        <v>89</v>
      </c>
      <c r="C9712" s="7" t="n">
        <v>65533</v>
      </c>
      <c r="D9712" s="7" t="n">
        <v>1</v>
      </c>
    </row>
    <row r="9713" spans="1:13">
      <c r="A9713" t="s">
        <v>4</v>
      </c>
      <c r="B9713" s="4" t="s">
        <v>5</v>
      </c>
      <c r="C9713" s="4" t="s">
        <v>7</v>
      </c>
      <c r="D9713" s="4" t="s">
        <v>13</v>
      </c>
      <c r="E9713" s="4" t="s">
        <v>11</v>
      </c>
      <c r="F9713" s="4" t="s">
        <v>7</v>
      </c>
    </row>
    <row r="9714" spans="1:13">
      <c r="A9714" t="n">
        <v>90259</v>
      </c>
      <c r="B9714" s="13" t="n">
        <v>49</v>
      </c>
      <c r="C9714" s="7" t="n">
        <v>3</v>
      </c>
      <c r="D9714" s="7" t="n">
        <v>0.600000023841858</v>
      </c>
      <c r="E9714" s="7" t="n">
        <v>500</v>
      </c>
      <c r="F9714" s="7" t="n">
        <v>0</v>
      </c>
    </row>
    <row r="9715" spans="1:13">
      <c r="A9715" t="s">
        <v>4</v>
      </c>
      <c r="B9715" s="4" t="s">
        <v>5</v>
      </c>
      <c r="C9715" s="4" t="s">
        <v>7</v>
      </c>
      <c r="D9715" s="4" t="s">
        <v>7</v>
      </c>
      <c r="E9715" s="4" t="s">
        <v>7</v>
      </c>
      <c r="F9715" s="4" t="s">
        <v>13</v>
      </c>
      <c r="G9715" s="4" t="s">
        <v>13</v>
      </c>
      <c r="H9715" s="4" t="s">
        <v>13</v>
      </c>
      <c r="I9715" s="4" t="s">
        <v>13</v>
      </c>
      <c r="J9715" s="4" t="s">
        <v>13</v>
      </c>
    </row>
    <row r="9716" spans="1:13">
      <c r="A9716" t="n">
        <v>90268</v>
      </c>
      <c r="B9716" s="25" t="n">
        <v>76</v>
      </c>
      <c r="C9716" s="7" t="n">
        <v>1</v>
      </c>
      <c r="D9716" s="7" t="n">
        <v>3</v>
      </c>
      <c r="E9716" s="7" t="n">
        <v>0</v>
      </c>
      <c r="F9716" s="7" t="n">
        <v>1</v>
      </c>
      <c r="G9716" s="7" t="n">
        <v>1</v>
      </c>
      <c r="H9716" s="7" t="n">
        <v>1</v>
      </c>
      <c r="I9716" s="7" t="n">
        <v>1</v>
      </c>
      <c r="J9716" s="7" t="n">
        <v>1000</v>
      </c>
    </row>
    <row r="9717" spans="1:13">
      <c r="A9717" t="s">
        <v>4</v>
      </c>
      <c r="B9717" s="4" t="s">
        <v>5</v>
      </c>
      <c r="C9717" s="4" t="s">
        <v>7</v>
      </c>
      <c r="D9717" s="4" t="s">
        <v>7</v>
      </c>
    </row>
    <row r="9718" spans="1:13">
      <c r="A9718" t="n">
        <v>90292</v>
      </c>
      <c r="B9718" s="26" t="n">
        <v>77</v>
      </c>
      <c r="C9718" s="7" t="n">
        <v>1</v>
      </c>
      <c r="D9718" s="7" t="n">
        <v>3</v>
      </c>
    </row>
    <row r="9719" spans="1:13">
      <c r="A9719" t="s">
        <v>4</v>
      </c>
      <c r="B9719" s="4" t="s">
        <v>5</v>
      </c>
      <c r="C9719" s="4" t="s">
        <v>11</v>
      </c>
    </row>
    <row r="9720" spans="1:13">
      <c r="A9720" t="n">
        <v>90295</v>
      </c>
      <c r="B9720" s="29" t="n">
        <v>16</v>
      </c>
      <c r="C9720" s="7" t="n">
        <v>2000</v>
      </c>
    </row>
    <row r="9721" spans="1:13">
      <c r="A9721" t="s">
        <v>4</v>
      </c>
      <c r="B9721" s="4" t="s">
        <v>5</v>
      </c>
      <c r="C9721" s="4" t="s">
        <v>7</v>
      </c>
      <c r="D9721" s="4" t="s">
        <v>13</v>
      </c>
      <c r="E9721" s="4" t="s">
        <v>11</v>
      </c>
      <c r="F9721" s="4" t="s">
        <v>7</v>
      </c>
    </row>
    <row r="9722" spans="1:13">
      <c r="A9722" t="n">
        <v>90298</v>
      </c>
      <c r="B9722" s="13" t="n">
        <v>49</v>
      </c>
      <c r="C9722" s="7" t="n">
        <v>3</v>
      </c>
      <c r="D9722" s="7" t="n">
        <v>0.800000011920929</v>
      </c>
      <c r="E9722" s="7" t="n">
        <v>1000</v>
      </c>
      <c r="F9722" s="7" t="n">
        <v>0</v>
      </c>
    </row>
    <row r="9723" spans="1:13">
      <c r="A9723" t="s">
        <v>4</v>
      </c>
      <c r="B9723" s="4" t="s">
        <v>5</v>
      </c>
      <c r="C9723" s="4" t="s">
        <v>7</v>
      </c>
      <c r="D9723" s="4" t="s">
        <v>7</v>
      </c>
      <c r="E9723" s="4" t="s">
        <v>7</v>
      </c>
      <c r="F9723" s="4" t="s">
        <v>13</v>
      </c>
      <c r="G9723" s="4" t="s">
        <v>13</v>
      </c>
      <c r="H9723" s="4" t="s">
        <v>13</v>
      </c>
      <c r="I9723" s="4" t="s">
        <v>13</v>
      </c>
      <c r="J9723" s="4" t="s">
        <v>13</v>
      </c>
    </row>
    <row r="9724" spans="1:13">
      <c r="A9724" t="n">
        <v>90307</v>
      </c>
      <c r="B9724" s="25" t="n">
        <v>76</v>
      </c>
      <c r="C9724" s="7" t="n">
        <v>1</v>
      </c>
      <c r="D9724" s="7" t="n">
        <v>3</v>
      </c>
      <c r="E9724" s="7" t="n">
        <v>0</v>
      </c>
      <c r="F9724" s="7" t="n">
        <v>1</v>
      </c>
      <c r="G9724" s="7" t="n">
        <v>1</v>
      </c>
      <c r="H9724" s="7" t="n">
        <v>1</v>
      </c>
      <c r="I9724" s="7" t="n">
        <v>0</v>
      </c>
      <c r="J9724" s="7" t="n">
        <v>1000</v>
      </c>
    </row>
    <row r="9725" spans="1:13">
      <c r="A9725" t="s">
        <v>4</v>
      </c>
      <c r="B9725" s="4" t="s">
        <v>5</v>
      </c>
      <c r="C9725" s="4" t="s">
        <v>7</v>
      </c>
      <c r="D9725" s="4" t="s">
        <v>7</v>
      </c>
    </row>
    <row r="9726" spans="1:13">
      <c r="A9726" t="n">
        <v>90331</v>
      </c>
      <c r="B9726" s="26" t="n">
        <v>77</v>
      </c>
      <c r="C9726" s="7" t="n">
        <v>1</v>
      </c>
      <c r="D9726" s="7" t="n">
        <v>3</v>
      </c>
    </row>
    <row r="9727" spans="1:13">
      <c r="A9727" t="s">
        <v>4</v>
      </c>
      <c r="B9727" s="4" t="s">
        <v>5</v>
      </c>
      <c r="C9727" s="4" t="s">
        <v>7</v>
      </c>
      <c r="D9727" s="4" t="s">
        <v>11</v>
      </c>
      <c r="E9727" s="4" t="s">
        <v>8</v>
      </c>
    </row>
    <row r="9728" spans="1:13">
      <c r="A9728" t="n">
        <v>90334</v>
      </c>
      <c r="B9728" s="38" t="n">
        <v>51</v>
      </c>
      <c r="C9728" s="7" t="n">
        <v>4</v>
      </c>
      <c r="D9728" s="7" t="n">
        <v>0</v>
      </c>
      <c r="E9728" s="7" t="s">
        <v>173</v>
      </c>
    </row>
    <row r="9729" spans="1:10">
      <c r="A9729" t="s">
        <v>4</v>
      </c>
      <c r="B9729" s="4" t="s">
        <v>5</v>
      </c>
      <c r="C9729" s="4" t="s">
        <v>11</v>
      </c>
    </row>
    <row r="9730" spans="1:10">
      <c r="A9730" t="n">
        <v>90347</v>
      </c>
      <c r="B9730" s="29" t="n">
        <v>16</v>
      </c>
      <c r="C9730" s="7" t="n">
        <v>0</v>
      </c>
    </row>
    <row r="9731" spans="1:10">
      <c r="A9731" t="s">
        <v>4</v>
      </c>
      <c r="B9731" s="4" t="s">
        <v>5</v>
      </c>
      <c r="C9731" s="4" t="s">
        <v>11</v>
      </c>
      <c r="D9731" s="4" t="s">
        <v>7</v>
      </c>
      <c r="E9731" s="4" t="s">
        <v>15</v>
      </c>
      <c r="F9731" s="4" t="s">
        <v>55</v>
      </c>
      <c r="G9731" s="4" t="s">
        <v>7</v>
      </c>
      <c r="H9731" s="4" t="s">
        <v>7</v>
      </c>
      <c r="I9731" s="4" t="s">
        <v>7</v>
      </c>
      <c r="J9731" s="4" t="s">
        <v>15</v>
      </c>
      <c r="K9731" s="4" t="s">
        <v>55</v>
      </c>
      <c r="L9731" s="4" t="s">
        <v>7</v>
      </c>
      <c r="M9731" s="4" t="s">
        <v>7</v>
      </c>
      <c r="N9731" s="4" t="s">
        <v>7</v>
      </c>
      <c r="O9731" s="4" t="s">
        <v>15</v>
      </c>
      <c r="P9731" s="4" t="s">
        <v>55</v>
      </c>
      <c r="Q9731" s="4" t="s">
        <v>7</v>
      </c>
      <c r="R9731" s="4" t="s">
        <v>7</v>
      </c>
    </row>
    <row r="9732" spans="1:10">
      <c r="A9732" t="n">
        <v>90350</v>
      </c>
      <c r="B9732" s="55" t="n">
        <v>26</v>
      </c>
      <c r="C9732" s="7" t="n">
        <v>0</v>
      </c>
      <c r="D9732" s="7" t="n">
        <v>17</v>
      </c>
      <c r="E9732" s="7" t="n">
        <v>64046</v>
      </c>
      <c r="F9732" s="7" t="s">
        <v>812</v>
      </c>
      <c r="G9732" s="7" t="n">
        <v>2</v>
      </c>
      <c r="H9732" s="7" t="n">
        <v>3</v>
      </c>
      <c r="I9732" s="7" t="n">
        <v>17</v>
      </c>
      <c r="J9732" s="7" t="n">
        <v>64047</v>
      </c>
      <c r="K9732" s="7" t="s">
        <v>813</v>
      </c>
      <c r="L9732" s="7" t="n">
        <v>2</v>
      </c>
      <c r="M9732" s="7" t="n">
        <v>3</v>
      </c>
      <c r="N9732" s="7" t="n">
        <v>17</v>
      </c>
      <c r="O9732" s="7" t="n">
        <v>64048</v>
      </c>
      <c r="P9732" s="7" t="s">
        <v>814</v>
      </c>
      <c r="Q9732" s="7" t="n">
        <v>2</v>
      </c>
      <c r="R9732" s="7" t="n">
        <v>0</v>
      </c>
    </row>
    <row r="9733" spans="1:10">
      <c r="A9733" t="s">
        <v>4</v>
      </c>
      <c r="B9733" s="4" t="s">
        <v>5</v>
      </c>
    </row>
    <row r="9734" spans="1:10">
      <c r="A9734" t="n">
        <v>90646</v>
      </c>
      <c r="B9734" s="27" t="n">
        <v>28</v>
      </c>
    </row>
    <row r="9735" spans="1:10">
      <c r="A9735" t="s">
        <v>4</v>
      </c>
      <c r="B9735" s="4" t="s">
        <v>5</v>
      </c>
      <c r="C9735" s="4" t="s">
        <v>7</v>
      </c>
      <c r="D9735" s="4" t="s">
        <v>11</v>
      </c>
      <c r="E9735" s="4" t="s">
        <v>8</v>
      </c>
    </row>
    <row r="9736" spans="1:10">
      <c r="A9736" t="n">
        <v>90647</v>
      </c>
      <c r="B9736" s="38" t="n">
        <v>51</v>
      </c>
      <c r="C9736" s="7" t="n">
        <v>4</v>
      </c>
      <c r="D9736" s="7" t="n">
        <v>13</v>
      </c>
      <c r="E9736" s="7" t="s">
        <v>491</v>
      </c>
    </row>
    <row r="9737" spans="1:10">
      <c r="A9737" t="s">
        <v>4</v>
      </c>
      <c r="B9737" s="4" t="s">
        <v>5</v>
      </c>
      <c r="C9737" s="4" t="s">
        <v>11</v>
      </c>
    </row>
    <row r="9738" spans="1:10">
      <c r="A9738" t="n">
        <v>90661</v>
      </c>
      <c r="B9738" s="29" t="n">
        <v>16</v>
      </c>
      <c r="C9738" s="7" t="n">
        <v>0</v>
      </c>
    </row>
    <row r="9739" spans="1:10">
      <c r="A9739" t="s">
        <v>4</v>
      </c>
      <c r="B9739" s="4" t="s">
        <v>5</v>
      </c>
      <c r="C9739" s="4" t="s">
        <v>11</v>
      </c>
      <c r="D9739" s="4" t="s">
        <v>7</v>
      </c>
      <c r="E9739" s="4" t="s">
        <v>15</v>
      </c>
      <c r="F9739" s="4" t="s">
        <v>55</v>
      </c>
      <c r="G9739" s="4" t="s">
        <v>7</v>
      </c>
      <c r="H9739" s="4" t="s">
        <v>7</v>
      </c>
      <c r="I9739" s="4" t="s">
        <v>7</v>
      </c>
      <c r="J9739" s="4" t="s">
        <v>15</v>
      </c>
      <c r="K9739" s="4" t="s">
        <v>55</v>
      </c>
      <c r="L9739" s="4" t="s">
        <v>7</v>
      </c>
      <c r="M9739" s="4" t="s">
        <v>7</v>
      </c>
    </row>
    <row r="9740" spans="1:10">
      <c r="A9740" t="n">
        <v>90664</v>
      </c>
      <c r="B9740" s="55" t="n">
        <v>26</v>
      </c>
      <c r="C9740" s="7" t="n">
        <v>13</v>
      </c>
      <c r="D9740" s="7" t="n">
        <v>17</v>
      </c>
      <c r="E9740" s="7" t="n">
        <v>11802</v>
      </c>
      <c r="F9740" s="7" t="s">
        <v>815</v>
      </c>
      <c r="G9740" s="7" t="n">
        <v>2</v>
      </c>
      <c r="H9740" s="7" t="n">
        <v>3</v>
      </c>
      <c r="I9740" s="7" t="n">
        <v>17</v>
      </c>
      <c r="J9740" s="7" t="n">
        <v>11803</v>
      </c>
      <c r="K9740" s="7" t="s">
        <v>816</v>
      </c>
      <c r="L9740" s="7" t="n">
        <v>2</v>
      </c>
      <c r="M9740" s="7" t="n">
        <v>0</v>
      </c>
    </row>
    <row r="9741" spans="1:10">
      <c r="A9741" t="s">
        <v>4</v>
      </c>
      <c r="B9741" s="4" t="s">
        <v>5</v>
      </c>
    </row>
    <row r="9742" spans="1:10">
      <c r="A9742" t="n">
        <v>90757</v>
      </c>
      <c r="B9742" s="27" t="n">
        <v>28</v>
      </c>
    </row>
    <row r="9743" spans="1:10">
      <c r="A9743" t="s">
        <v>4</v>
      </c>
      <c r="B9743" s="4" t="s">
        <v>5</v>
      </c>
      <c r="C9743" s="4" t="s">
        <v>7</v>
      </c>
      <c r="D9743" s="4" t="s">
        <v>11</v>
      </c>
      <c r="E9743" s="4" t="s">
        <v>8</v>
      </c>
    </row>
    <row r="9744" spans="1:10">
      <c r="A9744" t="n">
        <v>90758</v>
      </c>
      <c r="B9744" s="38" t="n">
        <v>51</v>
      </c>
      <c r="C9744" s="7" t="n">
        <v>4</v>
      </c>
      <c r="D9744" s="7" t="n">
        <v>0</v>
      </c>
      <c r="E9744" s="7" t="s">
        <v>147</v>
      </c>
    </row>
    <row r="9745" spans="1:18">
      <c r="A9745" t="s">
        <v>4</v>
      </c>
      <c r="B9745" s="4" t="s">
        <v>5</v>
      </c>
      <c r="C9745" s="4" t="s">
        <v>11</v>
      </c>
    </row>
    <row r="9746" spans="1:18">
      <c r="A9746" t="n">
        <v>90772</v>
      </c>
      <c r="B9746" s="29" t="n">
        <v>16</v>
      </c>
      <c r="C9746" s="7" t="n">
        <v>0</v>
      </c>
    </row>
    <row r="9747" spans="1:18">
      <c r="A9747" t="s">
        <v>4</v>
      </c>
      <c r="B9747" s="4" t="s">
        <v>5</v>
      </c>
      <c r="C9747" s="4" t="s">
        <v>11</v>
      </c>
      <c r="D9747" s="4" t="s">
        <v>7</v>
      </c>
      <c r="E9747" s="4" t="s">
        <v>15</v>
      </c>
      <c r="F9747" s="4" t="s">
        <v>55</v>
      </c>
      <c r="G9747" s="4" t="s">
        <v>7</v>
      </c>
      <c r="H9747" s="4" t="s">
        <v>7</v>
      </c>
    </row>
    <row r="9748" spans="1:18">
      <c r="A9748" t="n">
        <v>90775</v>
      </c>
      <c r="B9748" s="55" t="n">
        <v>26</v>
      </c>
      <c r="C9748" s="7" t="n">
        <v>0</v>
      </c>
      <c r="D9748" s="7" t="n">
        <v>17</v>
      </c>
      <c r="E9748" s="7" t="n">
        <v>64049</v>
      </c>
      <c r="F9748" s="7" t="s">
        <v>817</v>
      </c>
      <c r="G9748" s="7" t="n">
        <v>2</v>
      </c>
      <c r="H9748" s="7" t="n">
        <v>0</v>
      </c>
    </row>
    <row r="9749" spans="1:18">
      <c r="A9749" t="s">
        <v>4</v>
      </c>
      <c r="B9749" s="4" t="s">
        <v>5</v>
      </c>
    </row>
    <row r="9750" spans="1:18">
      <c r="A9750" t="n">
        <v>90796</v>
      </c>
      <c r="B9750" s="27" t="n">
        <v>28</v>
      </c>
    </row>
    <row r="9751" spans="1:18">
      <c r="A9751" t="s">
        <v>4</v>
      </c>
      <c r="B9751" s="4" t="s">
        <v>5</v>
      </c>
      <c r="C9751" s="4" t="s">
        <v>7</v>
      </c>
      <c r="D9751" s="4" t="s">
        <v>11</v>
      </c>
      <c r="E9751" s="4" t="s">
        <v>8</v>
      </c>
    </row>
    <row r="9752" spans="1:18">
      <c r="A9752" t="n">
        <v>90797</v>
      </c>
      <c r="B9752" s="38" t="n">
        <v>51</v>
      </c>
      <c r="C9752" s="7" t="n">
        <v>4</v>
      </c>
      <c r="D9752" s="7" t="n">
        <v>13</v>
      </c>
      <c r="E9752" s="7" t="s">
        <v>658</v>
      </c>
    </row>
    <row r="9753" spans="1:18">
      <c r="A9753" t="s">
        <v>4</v>
      </c>
      <c r="B9753" s="4" t="s">
        <v>5</v>
      </c>
      <c r="C9753" s="4" t="s">
        <v>11</v>
      </c>
    </row>
    <row r="9754" spans="1:18">
      <c r="A9754" t="n">
        <v>90811</v>
      </c>
      <c r="B9754" s="29" t="n">
        <v>16</v>
      </c>
      <c r="C9754" s="7" t="n">
        <v>0</v>
      </c>
    </row>
    <row r="9755" spans="1:18">
      <c r="A9755" t="s">
        <v>4</v>
      </c>
      <c r="B9755" s="4" t="s">
        <v>5</v>
      </c>
      <c r="C9755" s="4" t="s">
        <v>11</v>
      </c>
      <c r="D9755" s="4" t="s">
        <v>7</v>
      </c>
      <c r="E9755" s="4" t="s">
        <v>15</v>
      </c>
      <c r="F9755" s="4" t="s">
        <v>55</v>
      </c>
      <c r="G9755" s="4" t="s">
        <v>7</v>
      </c>
      <c r="H9755" s="4" t="s">
        <v>7</v>
      </c>
      <c r="I9755" s="4" t="s">
        <v>7</v>
      </c>
      <c r="J9755" s="4" t="s">
        <v>15</v>
      </c>
      <c r="K9755" s="4" t="s">
        <v>55</v>
      </c>
      <c r="L9755" s="4" t="s">
        <v>7</v>
      </c>
      <c r="M9755" s="4" t="s">
        <v>7</v>
      </c>
      <c r="N9755" s="4" t="s">
        <v>7</v>
      </c>
      <c r="O9755" s="4" t="s">
        <v>15</v>
      </c>
      <c r="P9755" s="4" t="s">
        <v>55</v>
      </c>
      <c r="Q9755" s="4" t="s">
        <v>7</v>
      </c>
      <c r="R9755" s="4" t="s">
        <v>7</v>
      </c>
      <c r="S9755" s="4" t="s">
        <v>7</v>
      </c>
      <c r="T9755" s="4" t="s">
        <v>15</v>
      </c>
      <c r="U9755" s="4" t="s">
        <v>55</v>
      </c>
      <c r="V9755" s="4" t="s">
        <v>7</v>
      </c>
      <c r="W9755" s="4" t="s">
        <v>7</v>
      </c>
      <c r="X9755" s="4" t="s">
        <v>7</v>
      </c>
      <c r="Y9755" s="4" t="s">
        <v>15</v>
      </c>
      <c r="Z9755" s="4" t="s">
        <v>55</v>
      </c>
      <c r="AA9755" s="4" t="s">
        <v>7</v>
      </c>
      <c r="AB9755" s="4" t="s">
        <v>7</v>
      </c>
    </row>
    <row r="9756" spans="1:18">
      <c r="A9756" t="n">
        <v>90814</v>
      </c>
      <c r="B9756" s="55" t="n">
        <v>26</v>
      </c>
      <c r="C9756" s="7" t="n">
        <v>13</v>
      </c>
      <c r="D9756" s="7" t="n">
        <v>17</v>
      </c>
      <c r="E9756" s="7" t="n">
        <v>11804</v>
      </c>
      <c r="F9756" s="7" t="s">
        <v>818</v>
      </c>
      <c r="G9756" s="7" t="n">
        <v>2</v>
      </c>
      <c r="H9756" s="7" t="n">
        <v>3</v>
      </c>
      <c r="I9756" s="7" t="n">
        <v>17</v>
      </c>
      <c r="J9756" s="7" t="n">
        <v>11805</v>
      </c>
      <c r="K9756" s="7" t="s">
        <v>819</v>
      </c>
      <c r="L9756" s="7" t="n">
        <v>2</v>
      </c>
      <c r="M9756" s="7" t="n">
        <v>3</v>
      </c>
      <c r="N9756" s="7" t="n">
        <v>17</v>
      </c>
      <c r="O9756" s="7" t="n">
        <v>11806</v>
      </c>
      <c r="P9756" s="7" t="s">
        <v>820</v>
      </c>
      <c r="Q9756" s="7" t="n">
        <v>2</v>
      </c>
      <c r="R9756" s="7" t="n">
        <v>3</v>
      </c>
      <c r="S9756" s="7" t="n">
        <v>17</v>
      </c>
      <c r="T9756" s="7" t="n">
        <v>11807</v>
      </c>
      <c r="U9756" s="7" t="s">
        <v>821</v>
      </c>
      <c r="V9756" s="7" t="n">
        <v>2</v>
      </c>
      <c r="W9756" s="7" t="n">
        <v>3</v>
      </c>
      <c r="X9756" s="7" t="n">
        <v>17</v>
      </c>
      <c r="Y9756" s="7" t="n">
        <v>11808</v>
      </c>
      <c r="Z9756" s="7" t="s">
        <v>822</v>
      </c>
      <c r="AA9756" s="7" t="n">
        <v>2</v>
      </c>
      <c r="AB9756" s="7" t="n">
        <v>0</v>
      </c>
    </row>
    <row r="9757" spans="1:18">
      <c r="A9757" t="s">
        <v>4</v>
      </c>
      <c r="B9757" s="4" t="s">
        <v>5</v>
      </c>
    </row>
    <row r="9758" spans="1:18">
      <c r="A9758" t="n">
        <v>91316</v>
      </c>
      <c r="B9758" s="27" t="n">
        <v>28</v>
      </c>
    </row>
    <row r="9759" spans="1:18">
      <c r="A9759" t="s">
        <v>4</v>
      </c>
      <c r="B9759" s="4" t="s">
        <v>5</v>
      </c>
      <c r="C9759" s="4" t="s">
        <v>7</v>
      </c>
      <c r="D9759" s="4" t="s">
        <v>11</v>
      </c>
      <c r="E9759" s="4" t="s">
        <v>8</v>
      </c>
    </row>
    <row r="9760" spans="1:18">
      <c r="A9760" t="n">
        <v>91317</v>
      </c>
      <c r="B9760" s="38" t="n">
        <v>51</v>
      </c>
      <c r="C9760" s="7" t="n">
        <v>4</v>
      </c>
      <c r="D9760" s="7" t="n">
        <v>0</v>
      </c>
      <c r="E9760" s="7" t="s">
        <v>206</v>
      </c>
    </row>
    <row r="9761" spans="1:28">
      <c r="A9761" t="s">
        <v>4</v>
      </c>
      <c r="B9761" s="4" t="s">
        <v>5</v>
      </c>
      <c r="C9761" s="4" t="s">
        <v>11</v>
      </c>
    </row>
    <row r="9762" spans="1:28">
      <c r="A9762" t="n">
        <v>91332</v>
      </c>
      <c r="B9762" s="29" t="n">
        <v>16</v>
      </c>
      <c r="C9762" s="7" t="n">
        <v>0</v>
      </c>
    </row>
    <row r="9763" spans="1:28">
      <c r="A9763" t="s">
        <v>4</v>
      </c>
      <c r="B9763" s="4" t="s">
        <v>5</v>
      </c>
      <c r="C9763" s="4" t="s">
        <v>11</v>
      </c>
      <c r="D9763" s="4" t="s">
        <v>7</v>
      </c>
      <c r="E9763" s="4" t="s">
        <v>15</v>
      </c>
      <c r="F9763" s="4" t="s">
        <v>55</v>
      </c>
      <c r="G9763" s="4" t="s">
        <v>7</v>
      </c>
      <c r="H9763" s="4" t="s">
        <v>7</v>
      </c>
    </row>
    <row r="9764" spans="1:28">
      <c r="A9764" t="n">
        <v>91335</v>
      </c>
      <c r="B9764" s="55" t="n">
        <v>26</v>
      </c>
      <c r="C9764" s="7" t="n">
        <v>0</v>
      </c>
      <c r="D9764" s="7" t="n">
        <v>17</v>
      </c>
      <c r="E9764" s="7" t="n">
        <v>65271</v>
      </c>
      <c r="F9764" s="7" t="s">
        <v>336</v>
      </c>
      <c r="G9764" s="7" t="n">
        <v>2</v>
      </c>
      <c r="H9764" s="7" t="n">
        <v>0</v>
      </c>
    </row>
    <row r="9765" spans="1:28">
      <c r="A9765" t="s">
        <v>4</v>
      </c>
      <c r="B9765" s="4" t="s">
        <v>5</v>
      </c>
    </row>
    <row r="9766" spans="1:28">
      <c r="A9766" t="n">
        <v>91357</v>
      </c>
      <c r="B9766" s="27" t="n">
        <v>28</v>
      </c>
    </row>
    <row r="9767" spans="1:28">
      <c r="A9767" t="s">
        <v>4</v>
      </c>
      <c r="B9767" s="4" t="s">
        <v>5</v>
      </c>
      <c r="C9767" s="4" t="s">
        <v>11</v>
      </c>
      <c r="D9767" s="4" t="s">
        <v>7</v>
      </c>
    </row>
    <row r="9768" spans="1:28">
      <c r="A9768" t="n">
        <v>91358</v>
      </c>
      <c r="B9768" s="68" t="n">
        <v>89</v>
      </c>
      <c r="C9768" s="7" t="n">
        <v>65533</v>
      </c>
      <c r="D9768" s="7" t="n">
        <v>1</v>
      </c>
    </row>
    <row r="9769" spans="1:28">
      <c r="A9769" t="s">
        <v>4</v>
      </c>
      <c r="B9769" s="4" t="s">
        <v>5</v>
      </c>
      <c r="C9769" s="4" t="s">
        <v>7</v>
      </c>
      <c r="D9769" s="4" t="s">
        <v>11</v>
      </c>
      <c r="E9769" s="4" t="s">
        <v>13</v>
      </c>
    </row>
    <row r="9770" spans="1:28">
      <c r="A9770" t="n">
        <v>91362</v>
      </c>
      <c r="B9770" s="23" t="n">
        <v>58</v>
      </c>
      <c r="C9770" s="7" t="n">
        <v>101</v>
      </c>
      <c r="D9770" s="7" t="n">
        <v>500</v>
      </c>
      <c r="E9770" s="7" t="n">
        <v>1</v>
      </c>
    </row>
    <row r="9771" spans="1:28">
      <c r="A9771" t="s">
        <v>4</v>
      </c>
      <c r="B9771" s="4" t="s">
        <v>5</v>
      </c>
      <c r="C9771" s="4" t="s">
        <v>7</v>
      </c>
      <c r="D9771" s="4" t="s">
        <v>11</v>
      </c>
    </row>
    <row r="9772" spans="1:28">
      <c r="A9772" t="n">
        <v>91370</v>
      </c>
      <c r="B9772" s="23" t="n">
        <v>58</v>
      </c>
      <c r="C9772" s="7" t="n">
        <v>254</v>
      </c>
      <c r="D9772" s="7" t="n">
        <v>0</v>
      </c>
    </row>
    <row r="9773" spans="1:28">
      <c r="A9773" t="s">
        <v>4</v>
      </c>
      <c r="B9773" s="4" t="s">
        <v>5</v>
      </c>
      <c r="C9773" s="4" t="s">
        <v>7</v>
      </c>
      <c r="D9773" s="4" t="s">
        <v>7</v>
      </c>
      <c r="E9773" s="4" t="s">
        <v>13</v>
      </c>
      <c r="F9773" s="4" t="s">
        <v>13</v>
      </c>
      <c r="G9773" s="4" t="s">
        <v>13</v>
      </c>
      <c r="H9773" s="4" t="s">
        <v>11</v>
      </c>
    </row>
    <row r="9774" spans="1:28">
      <c r="A9774" t="n">
        <v>91374</v>
      </c>
      <c r="B9774" s="51" t="n">
        <v>45</v>
      </c>
      <c r="C9774" s="7" t="n">
        <v>2</v>
      </c>
      <c r="D9774" s="7" t="n">
        <v>3</v>
      </c>
      <c r="E9774" s="7" t="n">
        <v>-6.84000015258789</v>
      </c>
      <c r="F9774" s="7" t="n">
        <v>6.42999982833862</v>
      </c>
      <c r="G9774" s="7" t="n">
        <v>29.8799991607666</v>
      </c>
      <c r="H9774" s="7" t="n">
        <v>0</v>
      </c>
    </row>
    <row r="9775" spans="1:28">
      <c r="A9775" t="s">
        <v>4</v>
      </c>
      <c r="B9775" s="4" t="s">
        <v>5</v>
      </c>
      <c r="C9775" s="4" t="s">
        <v>7</v>
      </c>
      <c r="D9775" s="4" t="s">
        <v>7</v>
      </c>
      <c r="E9775" s="4" t="s">
        <v>13</v>
      </c>
      <c r="F9775" s="4" t="s">
        <v>13</v>
      </c>
      <c r="G9775" s="4" t="s">
        <v>13</v>
      </c>
      <c r="H9775" s="4" t="s">
        <v>11</v>
      </c>
      <c r="I9775" s="4" t="s">
        <v>7</v>
      </c>
    </row>
    <row r="9776" spans="1:28">
      <c r="A9776" t="n">
        <v>91391</v>
      </c>
      <c r="B9776" s="51" t="n">
        <v>45</v>
      </c>
      <c r="C9776" s="7" t="n">
        <v>4</v>
      </c>
      <c r="D9776" s="7" t="n">
        <v>3</v>
      </c>
      <c r="E9776" s="7" t="n">
        <v>17.4300003051758</v>
      </c>
      <c r="F9776" s="7" t="n">
        <v>54.0699996948242</v>
      </c>
      <c r="G9776" s="7" t="n">
        <v>8</v>
      </c>
      <c r="H9776" s="7" t="n">
        <v>0</v>
      </c>
      <c r="I9776" s="7" t="n">
        <v>0</v>
      </c>
    </row>
    <row r="9777" spans="1:9">
      <c r="A9777" t="s">
        <v>4</v>
      </c>
      <c r="B9777" s="4" t="s">
        <v>5</v>
      </c>
      <c r="C9777" s="4" t="s">
        <v>7</v>
      </c>
      <c r="D9777" s="4" t="s">
        <v>7</v>
      </c>
      <c r="E9777" s="4" t="s">
        <v>13</v>
      </c>
      <c r="F9777" s="4" t="s">
        <v>11</v>
      </c>
    </row>
    <row r="9778" spans="1:9">
      <c r="A9778" t="n">
        <v>91409</v>
      </c>
      <c r="B9778" s="51" t="n">
        <v>45</v>
      </c>
      <c r="C9778" s="7" t="n">
        <v>5</v>
      </c>
      <c r="D9778" s="7" t="n">
        <v>3</v>
      </c>
      <c r="E9778" s="7" t="n">
        <v>1.10000002384186</v>
      </c>
      <c r="F9778" s="7" t="n">
        <v>0</v>
      </c>
    </row>
    <row r="9779" spans="1:9">
      <c r="A9779" t="s">
        <v>4</v>
      </c>
      <c r="B9779" s="4" t="s">
        <v>5</v>
      </c>
      <c r="C9779" s="4" t="s">
        <v>7</v>
      </c>
      <c r="D9779" s="4" t="s">
        <v>7</v>
      </c>
      <c r="E9779" s="4" t="s">
        <v>13</v>
      </c>
      <c r="F9779" s="4" t="s">
        <v>11</v>
      </c>
    </row>
    <row r="9780" spans="1:9">
      <c r="A9780" t="n">
        <v>91418</v>
      </c>
      <c r="B9780" s="51" t="n">
        <v>45</v>
      </c>
      <c r="C9780" s="7" t="n">
        <v>11</v>
      </c>
      <c r="D9780" s="7" t="n">
        <v>3</v>
      </c>
      <c r="E9780" s="7" t="n">
        <v>40.2999992370605</v>
      </c>
      <c r="F9780" s="7" t="n">
        <v>0</v>
      </c>
    </row>
    <row r="9781" spans="1:9">
      <c r="A9781" t="s">
        <v>4</v>
      </c>
      <c r="B9781" s="4" t="s">
        <v>5</v>
      </c>
      <c r="C9781" s="4" t="s">
        <v>11</v>
      </c>
      <c r="D9781" s="4" t="s">
        <v>7</v>
      </c>
      <c r="E9781" s="4" t="s">
        <v>8</v>
      </c>
      <c r="F9781" s="4" t="s">
        <v>13</v>
      </c>
      <c r="G9781" s="4" t="s">
        <v>13</v>
      </c>
      <c r="H9781" s="4" t="s">
        <v>13</v>
      </c>
    </row>
    <row r="9782" spans="1:9">
      <c r="A9782" t="n">
        <v>91427</v>
      </c>
      <c r="B9782" s="42" t="n">
        <v>48</v>
      </c>
      <c r="C9782" s="7" t="n">
        <v>13</v>
      </c>
      <c r="D9782" s="7" t="n">
        <v>0</v>
      </c>
      <c r="E9782" s="7" t="s">
        <v>392</v>
      </c>
      <c r="F9782" s="7" t="n">
        <v>-1</v>
      </c>
      <c r="G9782" s="7" t="n">
        <v>1</v>
      </c>
      <c r="H9782" s="7" t="n">
        <v>0</v>
      </c>
    </row>
    <row r="9783" spans="1:9">
      <c r="A9783" t="s">
        <v>4</v>
      </c>
      <c r="B9783" s="4" t="s">
        <v>5</v>
      </c>
      <c r="C9783" s="4" t="s">
        <v>7</v>
      </c>
      <c r="D9783" s="4" t="s">
        <v>11</v>
      </c>
    </row>
    <row r="9784" spans="1:9">
      <c r="A9784" t="n">
        <v>91455</v>
      </c>
      <c r="B9784" s="23" t="n">
        <v>58</v>
      </c>
      <c r="C9784" s="7" t="n">
        <v>255</v>
      </c>
      <c r="D9784" s="7" t="n">
        <v>0</v>
      </c>
    </row>
    <row r="9785" spans="1:9">
      <c r="A9785" t="s">
        <v>4</v>
      </c>
      <c r="B9785" s="4" t="s">
        <v>5</v>
      </c>
      <c r="C9785" s="4" t="s">
        <v>7</v>
      </c>
      <c r="D9785" s="4" t="s">
        <v>11</v>
      </c>
      <c r="E9785" s="4" t="s">
        <v>8</v>
      </c>
    </row>
    <row r="9786" spans="1:9">
      <c r="A9786" t="n">
        <v>91459</v>
      </c>
      <c r="B9786" s="38" t="n">
        <v>51</v>
      </c>
      <c r="C9786" s="7" t="n">
        <v>4</v>
      </c>
      <c r="D9786" s="7" t="n">
        <v>13</v>
      </c>
      <c r="E9786" s="7" t="s">
        <v>192</v>
      </c>
    </row>
    <row r="9787" spans="1:9">
      <c r="A9787" t="s">
        <v>4</v>
      </c>
      <c r="B9787" s="4" t="s">
        <v>5</v>
      </c>
      <c r="C9787" s="4" t="s">
        <v>11</v>
      </c>
    </row>
    <row r="9788" spans="1:9">
      <c r="A9788" t="n">
        <v>91472</v>
      </c>
      <c r="B9788" s="29" t="n">
        <v>16</v>
      </c>
      <c r="C9788" s="7" t="n">
        <v>0</v>
      </c>
    </row>
    <row r="9789" spans="1:9">
      <c r="A9789" t="s">
        <v>4</v>
      </c>
      <c r="B9789" s="4" t="s">
        <v>5</v>
      </c>
      <c r="C9789" s="4" t="s">
        <v>11</v>
      </c>
      <c r="D9789" s="4" t="s">
        <v>7</v>
      </c>
      <c r="E9789" s="4" t="s">
        <v>15</v>
      </c>
      <c r="F9789" s="4" t="s">
        <v>55</v>
      </c>
      <c r="G9789" s="4" t="s">
        <v>7</v>
      </c>
      <c r="H9789" s="4" t="s">
        <v>7</v>
      </c>
      <c r="I9789" s="4" t="s">
        <v>7</v>
      </c>
      <c r="J9789" s="4" t="s">
        <v>15</v>
      </c>
      <c r="K9789" s="4" t="s">
        <v>55</v>
      </c>
      <c r="L9789" s="4" t="s">
        <v>7</v>
      </c>
      <c r="M9789" s="4" t="s">
        <v>7</v>
      </c>
      <c r="N9789" s="4" t="s">
        <v>7</v>
      </c>
      <c r="O9789" s="4" t="s">
        <v>15</v>
      </c>
      <c r="P9789" s="4" t="s">
        <v>55</v>
      </c>
      <c r="Q9789" s="4" t="s">
        <v>7</v>
      </c>
      <c r="R9789" s="4" t="s">
        <v>7</v>
      </c>
    </row>
    <row r="9790" spans="1:9">
      <c r="A9790" t="n">
        <v>91475</v>
      </c>
      <c r="B9790" s="55" t="n">
        <v>26</v>
      </c>
      <c r="C9790" s="7" t="n">
        <v>13</v>
      </c>
      <c r="D9790" s="7" t="n">
        <v>17</v>
      </c>
      <c r="E9790" s="7" t="n">
        <v>11809</v>
      </c>
      <c r="F9790" s="7" t="s">
        <v>823</v>
      </c>
      <c r="G9790" s="7" t="n">
        <v>2</v>
      </c>
      <c r="H9790" s="7" t="n">
        <v>3</v>
      </c>
      <c r="I9790" s="7" t="n">
        <v>17</v>
      </c>
      <c r="J9790" s="7" t="n">
        <v>11810</v>
      </c>
      <c r="K9790" s="7" t="s">
        <v>824</v>
      </c>
      <c r="L9790" s="7" t="n">
        <v>2</v>
      </c>
      <c r="M9790" s="7" t="n">
        <v>3</v>
      </c>
      <c r="N9790" s="7" t="n">
        <v>17</v>
      </c>
      <c r="O9790" s="7" t="n">
        <v>11811</v>
      </c>
      <c r="P9790" s="7" t="s">
        <v>825</v>
      </c>
      <c r="Q9790" s="7" t="n">
        <v>2</v>
      </c>
      <c r="R9790" s="7" t="n">
        <v>0</v>
      </c>
    </row>
    <row r="9791" spans="1:9">
      <c r="A9791" t="s">
        <v>4</v>
      </c>
      <c r="B9791" s="4" t="s">
        <v>5</v>
      </c>
    </row>
    <row r="9792" spans="1:9">
      <c r="A9792" t="n">
        <v>91843</v>
      </c>
      <c r="B9792" s="27" t="n">
        <v>28</v>
      </c>
    </row>
    <row r="9793" spans="1:18">
      <c r="A9793" t="s">
        <v>4</v>
      </c>
      <c r="B9793" s="4" t="s">
        <v>5</v>
      </c>
      <c r="C9793" s="4" t="s">
        <v>7</v>
      </c>
      <c r="D9793" s="4" t="s">
        <v>11</v>
      </c>
      <c r="E9793" s="4" t="s">
        <v>8</v>
      </c>
    </row>
    <row r="9794" spans="1:18">
      <c r="A9794" t="n">
        <v>91844</v>
      </c>
      <c r="B9794" s="38" t="n">
        <v>51</v>
      </c>
      <c r="C9794" s="7" t="n">
        <v>4</v>
      </c>
      <c r="D9794" s="7" t="n">
        <v>0</v>
      </c>
      <c r="E9794" s="7" t="s">
        <v>379</v>
      </c>
    </row>
    <row r="9795" spans="1:18">
      <c r="A9795" t="s">
        <v>4</v>
      </c>
      <c r="B9795" s="4" t="s">
        <v>5</v>
      </c>
      <c r="C9795" s="4" t="s">
        <v>11</v>
      </c>
    </row>
    <row r="9796" spans="1:18">
      <c r="A9796" t="n">
        <v>91858</v>
      </c>
      <c r="B9796" s="29" t="n">
        <v>16</v>
      </c>
      <c r="C9796" s="7" t="n">
        <v>0</v>
      </c>
    </row>
    <row r="9797" spans="1:18">
      <c r="A9797" t="s">
        <v>4</v>
      </c>
      <c r="B9797" s="4" t="s">
        <v>5</v>
      </c>
      <c r="C9797" s="4" t="s">
        <v>11</v>
      </c>
      <c r="D9797" s="4" t="s">
        <v>7</v>
      </c>
      <c r="E9797" s="4" t="s">
        <v>15</v>
      </c>
      <c r="F9797" s="4" t="s">
        <v>55</v>
      </c>
      <c r="G9797" s="4" t="s">
        <v>7</v>
      </c>
      <c r="H9797" s="4" t="s">
        <v>7</v>
      </c>
    </row>
    <row r="9798" spans="1:18">
      <c r="A9798" t="n">
        <v>91861</v>
      </c>
      <c r="B9798" s="55" t="n">
        <v>26</v>
      </c>
      <c r="C9798" s="7" t="n">
        <v>0</v>
      </c>
      <c r="D9798" s="7" t="n">
        <v>17</v>
      </c>
      <c r="E9798" s="7" t="n">
        <v>64050</v>
      </c>
      <c r="F9798" s="7" t="s">
        <v>826</v>
      </c>
      <c r="G9798" s="7" t="n">
        <v>2</v>
      </c>
      <c r="H9798" s="7" t="n">
        <v>0</v>
      </c>
    </row>
    <row r="9799" spans="1:18">
      <c r="A9799" t="s">
        <v>4</v>
      </c>
      <c r="B9799" s="4" t="s">
        <v>5</v>
      </c>
    </row>
    <row r="9800" spans="1:18">
      <c r="A9800" t="n">
        <v>91888</v>
      </c>
      <c r="B9800" s="27" t="n">
        <v>28</v>
      </c>
    </row>
    <row r="9801" spans="1:18">
      <c r="A9801" t="s">
        <v>4</v>
      </c>
      <c r="B9801" s="4" t="s">
        <v>5</v>
      </c>
      <c r="C9801" s="4" t="s">
        <v>11</v>
      </c>
      <c r="D9801" s="4" t="s">
        <v>7</v>
      </c>
      <c r="E9801" s="4" t="s">
        <v>13</v>
      </c>
      <c r="F9801" s="4" t="s">
        <v>11</v>
      </c>
    </row>
    <row r="9802" spans="1:18">
      <c r="A9802" t="n">
        <v>91889</v>
      </c>
      <c r="B9802" s="56" t="n">
        <v>59</v>
      </c>
      <c r="C9802" s="7" t="n">
        <v>0</v>
      </c>
      <c r="D9802" s="7" t="n">
        <v>9</v>
      </c>
      <c r="E9802" s="7" t="n">
        <v>0.150000005960464</v>
      </c>
      <c r="F9802" s="7" t="n">
        <v>0</v>
      </c>
    </row>
    <row r="9803" spans="1:18">
      <c r="A9803" t="s">
        <v>4</v>
      </c>
      <c r="B9803" s="4" t="s">
        <v>5</v>
      </c>
      <c r="C9803" s="4" t="s">
        <v>11</v>
      </c>
    </row>
    <row r="9804" spans="1:18">
      <c r="A9804" t="n">
        <v>91899</v>
      </c>
      <c r="B9804" s="29" t="n">
        <v>16</v>
      </c>
      <c r="C9804" s="7" t="n">
        <v>1500</v>
      </c>
    </row>
    <row r="9805" spans="1:18">
      <c r="A9805" t="s">
        <v>4</v>
      </c>
      <c r="B9805" s="4" t="s">
        <v>5</v>
      </c>
      <c r="C9805" s="4" t="s">
        <v>7</v>
      </c>
      <c r="D9805" s="4" t="s">
        <v>11</v>
      </c>
      <c r="E9805" s="4" t="s">
        <v>8</v>
      </c>
    </row>
    <row r="9806" spans="1:18">
      <c r="A9806" t="n">
        <v>91902</v>
      </c>
      <c r="B9806" s="38" t="n">
        <v>51</v>
      </c>
      <c r="C9806" s="7" t="n">
        <v>4</v>
      </c>
      <c r="D9806" s="7" t="n">
        <v>0</v>
      </c>
      <c r="E9806" s="7" t="s">
        <v>363</v>
      </c>
    </row>
    <row r="9807" spans="1:18">
      <c r="A9807" t="s">
        <v>4</v>
      </c>
      <c r="B9807" s="4" t="s">
        <v>5</v>
      </c>
      <c r="C9807" s="4" t="s">
        <v>11</v>
      </c>
    </row>
    <row r="9808" spans="1:18">
      <c r="A9808" t="n">
        <v>91916</v>
      </c>
      <c r="B9808" s="29" t="n">
        <v>16</v>
      </c>
      <c r="C9808" s="7" t="n">
        <v>0</v>
      </c>
    </row>
    <row r="9809" spans="1:8">
      <c r="A9809" t="s">
        <v>4</v>
      </c>
      <c r="B9809" s="4" t="s">
        <v>5</v>
      </c>
      <c r="C9809" s="4" t="s">
        <v>11</v>
      </c>
      <c r="D9809" s="4" t="s">
        <v>7</v>
      </c>
      <c r="E9809" s="4" t="s">
        <v>15</v>
      </c>
      <c r="F9809" s="4" t="s">
        <v>55</v>
      </c>
      <c r="G9809" s="4" t="s">
        <v>7</v>
      </c>
      <c r="H9809" s="4" t="s">
        <v>7</v>
      </c>
      <c r="I9809" s="4" t="s">
        <v>7</v>
      </c>
      <c r="J9809" s="4" t="s">
        <v>15</v>
      </c>
      <c r="K9809" s="4" t="s">
        <v>55</v>
      </c>
      <c r="L9809" s="4" t="s">
        <v>7</v>
      </c>
      <c r="M9809" s="4" t="s">
        <v>7</v>
      </c>
      <c r="N9809" s="4" t="s">
        <v>7</v>
      </c>
      <c r="O9809" s="4" t="s">
        <v>15</v>
      </c>
      <c r="P9809" s="4" t="s">
        <v>55</v>
      </c>
      <c r="Q9809" s="4" t="s">
        <v>7</v>
      </c>
      <c r="R9809" s="4" t="s">
        <v>7</v>
      </c>
    </row>
    <row r="9810" spans="1:8">
      <c r="A9810" t="n">
        <v>91919</v>
      </c>
      <c r="B9810" s="55" t="n">
        <v>26</v>
      </c>
      <c r="C9810" s="7" t="n">
        <v>0</v>
      </c>
      <c r="D9810" s="7" t="n">
        <v>17</v>
      </c>
      <c r="E9810" s="7" t="n">
        <v>64051</v>
      </c>
      <c r="F9810" s="7" t="s">
        <v>827</v>
      </c>
      <c r="G9810" s="7" t="n">
        <v>2</v>
      </c>
      <c r="H9810" s="7" t="n">
        <v>3</v>
      </c>
      <c r="I9810" s="7" t="n">
        <v>17</v>
      </c>
      <c r="J9810" s="7" t="n">
        <v>64052</v>
      </c>
      <c r="K9810" s="7" t="s">
        <v>828</v>
      </c>
      <c r="L9810" s="7" t="n">
        <v>2</v>
      </c>
      <c r="M9810" s="7" t="n">
        <v>3</v>
      </c>
      <c r="N9810" s="7" t="n">
        <v>17</v>
      </c>
      <c r="O9810" s="7" t="n">
        <v>64053</v>
      </c>
      <c r="P9810" s="7" t="s">
        <v>829</v>
      </c>
      <c r="Q9810" s="7" t="n">
        <v>2</v>
      </c>
      <c r="R9810" s="7" t="n">
        <v>0</v>
      </c>
    </row>
    <row r="9811" spans="1:8">
      <c r="A9811" t="s">
        <v>4</v>
      </c>
      <c r="B9811" s="4" t="s">
        <v>5</v>
      </c>
    </row>
    <row r="9812" spans="1:8">
      <c r="A9812" t="n">
        <v>92148</v>
      </c>
      <c r="B9812" s="27" t="n">
        <v>28</v>
      </c>
    </row>
    <row r="9813" spans="1:8">
      <c r="A9813" t="s">
        <v>4</v>
      </c>
      <c r="B9813" s="4" t="s">
        <v>5</v>
      </c>
      <c r="C9813" s="4" t="s">
        <v>7</v>
      </c>
      <c r="D9813" s="4" t="s">
        <v>11</v>
      </c>
      <c r="E9813" s="4" t="s">
        <v>8</v>
      </c>
    </row>
    <row r="9814" spans="1:8">
      <c r="A9814" t="n">
        <v>92149</v>
      </c>
      <c r="B9814" s="38" t="n">
        <v>51</v>
      </c>
      <c r="C9814" s="7" t="n">
        <v>4</v>
      </c>
      <c r="D9814" s="7" t="n">
        <v>13</v>
      </c>
      <c r="E9814" s="7" t="s">
        <v>757</v>
      </c>
    </row>
    <row r="9815" spans="1:8">
      <c r="A9815" t="s">
        <v>4</v>
      </c>
      <c r="B9815" s="4" t="s">
        <v>5</v>
      </c>
      <c r="C9815" s="4" t="s">
        <v>11</v>
      </c>
    </row>
    <row r="9816" spans="1:8">
      <c r="A9816" t="n">
        <v>92168</v>
      </c>
      <c r="B9816" s="29" t="n">
        <v>16</v>
      </c>
      <c r="C9816" s="7" t="n">
        <v>0</v>
      </c>
    </row>
    <row r="9817" spans="1:8">
      <c r="A9817" t="s">
        <v>4</v>
      </c>
      <c r="B9817" s="4" t="s">
        <v>5</v>
      </c>
      <c r="C9817" s="4" t="s">
        <v>11</v>
      </c>
      <c r="D9817" s="4" t="s">
        <v>7</v>
      </c>
      <c r="E9817" s="4" t="s">
        <v>15</v>
      </c>
      <c r="F9817" s="4" t="s">
        <v>55</v>
      </c>
      <c r="G9817" s="4" t="s">
        <v>7</v>
      </c>
      <c r="H9817" s="4" t="s">
        <v>7</v>
      </c>
    </row>
    <row r="9818" spans="1:8">
      <c r="A9818" t="n">
        <v>92171</v>
      </c>
      <c r="B9818" s="55" t="n">
        <v>26</v>
      </c>
      <c r="C9818" s="7" t="n">
        <v>13</v>
      </c>
      <c r="D9818" s="7" t="n">
        <v>17</v>
      </c>
      <c r="E9818" s="7" t="n">
        <v>11812</v>
      </c>
      <c r="F9818" s="7" t="s">
        <v>830</v>
      </c>
      <c r="G9818" s="7" t="n">
        <v>2</v>
      </c>
      <c r="H9818" s="7" t="n">
        <v>0</v>
      </c>
    </row>
    <row r="9819" spans="1:8">
      <c r="A9819" t="s">
        <v>4</v>
      </c>
      <c r="B9819" s="4" t="s">
        <v>5</v>
      </c>
    </row>
    <row r="9820" spans="1:8">
      <c r="A9820" t="n">
        <v>92205</v>
      </c>
      <c r="B9820" s="27" t="n">
        <v>28</v>
      </c>
    </row>
    <row r="9821" spans="1:8">
      <c r="A9821" t="s">
        <v>4</v>
      </c>
      <c r="B9821" s="4" t="s">
        <v>5</v>
      </c>
      <c r="C9821" s="4" t="s">
        <v>11</v>
      </c>
      <c r="D9821" s="4" t="s">
        <v>7</v>
      </c>
    </row>
    <row r="9822" spans="1:8">
      <c r="A9822" t="n">
        <v>92206</v>
      </c>
      <c r="B9822" s="68" t="n">
        <v>89</v>
      </c>
      <c r="C9822" s="7" t="n">
        <v>65533</v>
      </c>
      <c r="D9822" s="7" t="n">
        <v>1</v>
      </c>
    </row>
    <row r="9823" spans="1:8">
      <c r="A9823" t="s">
        <v>4</v>
      </c>
      <c r="B9823" s="4" t="s">
        <v>5</v>
      </c>
      <c r="C9823" s="4" t="s">
        <v>7</v>
      </c>
      <c r="D9823" s="4" t="s">
        <v>11</v>
      </c>
      <c r="E9823" s="4" t="s">
        <v>13</v>
      </c>
    </row>
    <row r="9824" spans="1:8">
      <c r="A9824" t="n">
        <v>92210</v>
      </c>
      <c r="B9824" s="23" t="n">
        <v>58</v>
      </c>
      <c r="C9824" s="7" t="n">
        <v>101</v>
      </c>
      <c r="D9824" s="7" t="n">
        <v>500</v>
      </c>
      <c r="E9824" s="7" t="n">
        <v>1</v>
      </c>
    </row>
    <row r="9825" spans="1:18">
      <c r="A9825" t="s">
        <v>4</v>
      </c>
      <c r="B9825" s="4" t="s">
        <v>5</v>
      </c>
      <c r="C9825" s="4" t="s">
        <v>7</v>
      </c>
      <c r="D9825" s="4" t="s">
        <v>11</v>
      </c>
    </row>
    <row r="9826" spans="1:18">
      <c r="A9826" t="n">
        <v>92218</v>
      </c>
      <c r="B9826" s="23" t="n">
        <v>58</v>
      </c>
      <c r="C9826" s="7" t="n">
        <v>254</v>
      </c>
      <c r="D9826" s="7" t="n">
        <v>0</v>
      </c>
    </row>
    <row r="9827" spans="1:18">
      <c r="A9827" t="s">
        <v>4</v>
      </c>
      <c r="B9827" s="4" t="s">
        <v>5</v>
      </c>
      <c r="C9827" s="4" t="s">
        <v>7</v>
      </c>
      <c r="D9827" s="4" t="s">
        <v>7</v>
      </c>
      <c r="E9827" s="4" t="s">
        <v>13</v>
      </c>
      <c r="F9827" s="4" t="s">
        <v>13</v>
      </c>
      <c r="G9827" s="4" t="s">
        <v>13</v>
      </c>
      <c r="H9827" s="4" t="s">
        <v>11</v>
      </c>
    </row>
    <row r="9828" spans="1:18">
      <c r="A9828" t="n">
        <v>92222</v>
      </c>
      <c r="B9828" s="51" t="n">
        <v>45</v>
      </c>
      <c r="C9828" s="7" t="n">
        <v>2</v>
      </c>
      <c r="D9828" s="7" t="n">
        <v>3</v>
      </c>
      <c r="E9828" s="7" t="n">
        <v>-6.63000011444092</v>
      </c>
      <c r="F9828" s="7" t="n">
        <v>6.44000005722046</v>
      </c>
      <c r="G9828" s="7" t="n">
        <v>29.8500003814697</v>
      </c>
      <c r="H9828" s="7" t="n">
        <v>0</v>
      </c>
    </row>
    <row r="9829" spans="1:18">
      <c r="A9829" t="s">
        <v>4</v>
      </c>
      <c r="B9829" s="4" t="s">
        <v>5</v>
      </c>
      <c r="C9829" s="4" t="s">
        <v>7</v>
      </c>
      <c r="D9829" s="4" t="s">
        <v>7</v>
      </c>
      <c r="E9829" s="4" t="s">
        <v>13</v>
      </c>
      <c r="F9829" s="4" t="s">
        <v>13</v>
      </c>
      <c r="G9829" s="4" t="s">
        <v>13</v>
      </c>
      <c r="H9829" s="4" t="s">
        <v>11</v>
      </c>
      <c r="I9829" s="4" t="s">
        <v>7</v>
      </c>
    </row>
    <row r="9830" spans="1:18">
      <c r="A9830" t="n">
        <v>92239</v>
      </c>
      <c r="B9830" s="51" t="n">
        <v>45</v>
      </c>
      <c r="C9830" s="7" t="n">
        <v>4</v>
      </c>
      <c r="D9830" s="7" t="n">
        <v>3</v>
      </c>
      <c r="E9830" s="7" t="n">
        <v>357</v>
      </c>
      <c r="F9830" s="7" t="n">
        <v>284.700012207031</v>
      </c>
      <c r="G9830" s="7" t="n">
        <v>4</v>
      </c>
      <c r="H9830" s="7" t="n">
        <v>0</v>
      </c>
      <c r="I9830" s="7" t="n">
        <v>0</v>
      </c>
    </row>
    <row r="9831" spans="1:18">
      <c r="A9831" t="s">
        <v>4</v>
      </c>
      <c r="B9831" s="4" t="s">
        <v>5</v>
      </c>
      <c r="C9831" s="4" t="s">
        <v>7</v>
      </c>
      <c r="D9831" s="4" t="s">
        <v>7</v>
      </c>
      <c r="E9831" s="4" t="s">
        <v>13</v>
      </c>
      <c r="F9831" s="4" t="s">
        <v>11</v>
      </c>
    </row>
    <row r="9832" spans="1:18">
      <c r="A9832" t="n">
        <v>92257</v>
      </c>
      <c r="B9832" s="51" t="n">
        <v>45</v>
      </c>
      <c r="C9832" s="7" t="n">
        <v>5</v>
      </c>
      <c r="D9832" s="7" t="n">
        <v>3</v>
      </c>
      <c r="E9832" s="7" t="n">
        <v>1</v>
      </c>
      <c r="F9832" s="7" t="n">
        <v>0</v>
      </c>
    </row>
    <row r="9833" spans="1:18">
      <c r="A9833" t="s">
        <v>4</v>
      </c>
      <c r="B9833" s="4" t="s">
        <v>5</v>
      </c>
      <c r="C9833" s="4" t="s">
        <v>7</v>
      </c>
      <c r="D9833" s="4" t="s">
        <v>7</v>
      </c>
      <c r="E9833" s="4" t="s">
        <v>13</v>
      </c>
      <c r="F9833" s="4" t="s">
        <v>11</v>
      </c>
    </row>
    <row r="9834" spans="1:18">
      <c r="A9834" t="n">
        <v>92266</v>
      </c>
      <c r="B9834" s="51" t="n">
        <v>45</v>
      </c>
      <c r="C9834" s="7" t="n">
        <v>11</v>
      </c>
      <c r="D9834" s="7" t="n">
        <v>3</v>
      </c>
      <c r="E9834" s="7" t="n">
        <v>40.2999992370605</v>
      </c>
      <c r="F9834" s="7" t="n">
        <v>0</v>
      </c>
    </row>
    <row r="9835" spans="1:18">
      <c r="A9835" t="s">
        <v>4</v>
      </c>
      <c r="B9835" s="4" t="s">
        <v>5</v>
      </c>
      <c r="C9835" s="4" t="s">
        <v>7</v>
      </c>
      <c r="D9835" s="4" t="s">
        <v>11</v>
      </c>
      <c r="E9835" s="4" t="s">
        <v>8</v>
      </c>
      <c r="F9835" s="4" t="s">
        <v>8</v>
      </c>
      <c r="G9835" s="4" t="s">
        <v>8</v>
      </c>
      <c r="H9835" s="4" t="s">
        <v>8</v>
      </c>
    </row>
    <row r="9836" spans="1:18">
      <c r="A9836" t="n">
        <v>92275</v>
      </c>
      <c r="B9836" s="38" t="n">
        <v>51</v>
      </c>
      <c r="C9836" s="7" t="n">
        <v>3</v>
      </c>
      <c r="D9836" s="7" t="n">
        <v>0</v>
      </c>
      <c r="E9836" s="7" t="s">
        <v>371</v>
      </c>
      <c r="F9836" s="7" t="s">
        <v>99</v>
      </c>
      <c r="G9836" s="7" t="s">
        <v>78</v>
      </c>
      <c r="H9836" s="7" t="s">
        <v>79</v>
      </c>
    </row>
    <row r="9837" spans="1:18">
      <c r="A9837" t="s">
        <v>4</v>
      </c>
      <c r="B9837" s="4" t="s">
        <v>5</v>
      </c>
      <c r="C9837" s="4" t="s">
        <v>7</v>
      </c>
      <c r="D9837" s="4" t="s">
        <v>11</v>
      </c>
    </row>
    <row r="9838" spans="1:18">
      <c r="A9838" t="n">
        <v>92288</v>
      </c>
      <c r="B9838" s="23" t="n">
        <v>58</v>
      </c>
      <c r="C9838" s="7" t="n">
        <v>255</v>
      </c>
      <c r="D9838" s="7" t="n">
        <v>0</v>
      </c>
    </row>
    <row r="9839" spans="1:18">
      <c r="A9839" t="s">
        <v>4</v>
      </c>
      <c r="B9839" s="4" t="s">
        <v>5</v>
      </c>
      <c r="C9839" s="4" t="s">
        <v>7</v>
      </c>
      <c r="D9839" s="4" t="s">
        <v>11</v>
      </c>
      <c r="E9839" s="4" t="s">
        <v>8</v>
      </c>
    </row>
    <row r="9840" spans="1:18">
      <c r="A9840" t="n">
        <v>92292</v>
      </c>
      <c r="B9840" s="38" t="n">
        <v>51</v>
      </c>
      <c r="C9840" s="7" t="n">
        <v>4</v>
      </c>
      <c r="D9840" s="7" t="n">
        <v>0</v>
      </c>
      <c r="E9840" s="7" t="s">
        <v>363</v>
      </c>
    </row>
    <row r="9841" spans="1:9">
      <c r="A9841" t="s">
        <v>4</v>
      </c>
      <c r="B9841" s="4" t="s">
        <v>5</v>
      </c>
      <c r="C9841" s="4" t="s">
        <v>11</v>
      </c>
    </row>
    <row r="9842" spans="1:9">
      <c r="A9842" t="n">
        <v>92306</v>
      </c>
      <c r="B9842" s="29" t="n">
        <v>16</v>
      </c>
      <c r="C9842" s="7" t="n">
        <v>500</v>
      </c>
    </row>
    <row r="9843" spans="1:9">
      <c r="A9843" t="s">
        <v>4</v>
      </c>
      <c r="B9843" s="4" t="s">
        <v>5</v>
      </c>
      <c r="C9843" s="4" t="s">
        <v>11</v>
      </c>
      <c r="D9843" s="4" t="s">
        <v>7</v>
      </c>
      <c r="E9843" s="4" t="s">
        <v>15</v>
      </c>
      <c r="F9843" s="4" t="s">
        <v>55</v>
      </c>
      <c r="G9843" s="4" t="s">
        <v>7</v>
      </c>
      <c r="H9843" s="4" t="s">
        <v>7</v>
      </c>
      <c r="I9843" s="4" t="s">
        <v>7</v>
      </c>
      <c r="J9843" s="4" t="s">
        <v>15</v>
      </c>
      <c r="K9843" s="4" t="s">
        <v>55</v>
      </c>
      <c r="L9843" s="4" t="s">
        <v>7</v>
      </c>
      <c r="M9843" s="4" t="s">
        <v>7</v>
      </c>
      <c r="N9843" s="4" t="s">
        <v>7</v>
      </c>
      <c r="O9843" s="4" t="s">
        <v>15</v>
      </c>
      <c r="P9843" s="4" t="s">
        <v>55</v>
      </c>
      <c r="Q9843" s="4" t="s">
        <v>7</v>
      </c>
      <c r="R9843" s="4" t="s">
        <v>7</v>
      </c>
    </row>
    <row r="9844" spans="1:9">
      <c r="A9844" t="n">
        <v>92309</v>
      </c>
      <c r="B9844" s="55" t="n">
        <v>26</v>
      </c>
      <c r="C9844" s="7" t="n">
        <v>0</v>
      </c>
      <c r="D9844" s="7" t="n">
        <v>17</v>
      </c>
      <c r="E9844" s="7" t="n">
        <v>64054</v>
      </c>
      <c r="F9844" s="7" t="s">
        <v>831</v>
      </c>
      <c r="G9844" s="7" t="n">
        <v>2</v>
      </c>
      <c r="H9844" s="7" t="n">
        <v>3</v>
      </c>
      <c r="I9844" s="7" t="n">
        <v>17</v>
      </c>
      <c r="J9844" s="7" t="n">
        <v>64055</v>
      </c>
      <c r="K9844" s="7" t="s">
        <v>832</v>
      </c>
      <c r="L9844" s="7" t="n">
        <v>2</v>
      </c>
      <c r="M9844" s="7" t="n">
        <v>3</v>
      </c>
      <c r="N9844" s="7" t="n">
        <v>17</v>
      </c>
      <c r="O9844" s="7" t="n">
        <v>64056</v>
      </c>
      <c r="P9844" s="7" t="s">
        <v>833</v>
      </c>
      <c r="Q9844" s="7" t="n">
        <v>2</v>
      </c>
      <c r="R9844" s="7" t="n">
        <v>0</v>
      </c>
    </row>
    <row r="9845" spans="1:9">
      <c r="A9845" t="s">
        <v>4</v>
      </c>
      <c r="B9845" s="4" t="s">
        <v>5</v>
      </c>
    </row>
    <row r="9846" spans="1:9">
      <c r="A9846" t="n">
        <v>92582</v>
      </c>
      <c r="B9846" s="27" t="n">
        <v>28</v>
      </c>
    </row>
    <row r="9847" spans="1:9">
      <c r="A9847" t="s">
        <v>4</v>
      </c>
      <c r="B9847" s="4" t="s">
        <v>5</v>
      </c>
      <c r="C9847" s="4" t="s">
        <v>11</v>
      </c>
      <c r="D9847" s="4" t="s">
        <v>7</v>
      </c>
    </row>
    <row r="9848" spans="1:9">
      <c r="A9848" t="n">
        <v>92583</v>
      </c>
      <c r="B9848" s="68" t="n">
        <v>89</v>
      </c>
      <c r="C9848" s="7" t="n">
        <v>65533</v>
      </c>
      <c r="D9848" s="7" t="n">
        <v>1</v>
      </c>
    </row>
    <row r="9849" spans="1:9">
      <c r="A9849" t="s">
        <v>4</v>
      </c>
      <c r="B9849" s="4" t="s">
        <v>5</v>
      </c>
      <c r="C9849" s="4" t="s">
        <v>7</v>
      </c>
      <c r="D9849" s="4" t="s">
        <v>11</v>
      </c>
      <c r="E9849" s="4" t="s">
        <v>13</v>
      </c>
    </row>
    <row r="9850" spans="1:9">
      <c r="A9850" t="n">
        <v>92587</v>
      </c>
      <c r="B9850" s="23" t="n">
        <v>58</v>
      </c>
      <c r="C9850" s="7" t="n">
        <v>101</v>
      </c>
      <c r="D9850" s="7" t="n">
        <v>500</v>
      </c>
      <c r="E9850" s="7" t="n">
        <v>1</v>
      </c>
    </row>
    <row r="9851" spans="1:9">
      <c r="A9851" t="s">
        <v>4</v>
      </c>
      <c r="B9851" s="4" t="s">
        <v>5</v>
      </c>
      <c r="C9851" s="4" t="s">
        <v>7</v>
      </c>
      <c r="D9851" s="4" t="s">
        <v>11</v>
      </c>
    </row>
    <row r="9852" spans="1:9">
      <c r="A9852" t="n">
        <v>92595</v>
      </c>
      <c r="B9852" s="23" t="n">
        <v>58</v>
      </c>
      <c r="C9852" s="7" t="n">
        <v>254</v>
      </c>
      <c r="D9852" s="7" t="n">
        <v>0</v>
      </c>
    </row>
    <row r="9853" spans="1:9">
      <c r="A9853" t="s">
        <v>4</v>
      </c>
      <c r="B9853" s="4" t="s">
        <v>5</v>
      </c>
      <c r="C9853" s="4" t="s">
        <v>7</v>
      </c>
      <c r="D9853" s="4" t="s">
        <v>7</v>
      </c>
      <c r="E9853" s="4" t="s">
        <v>13</v>
      </c>
      <c r="F9853" s="4" t="s">
        <v>13</v>
      </c>
      <c r="G9853" s="4" t="s">
        <v>13</v>
      </c>
      <c r="H9853" s="4" t="s">
        <v>11</v>
      </c>
    </row>
    <row r="9854" spans="1:9">
      <c r="A9854" t="n">
        <v>92599</v>
      </c>
      <c r="B9854" s="51" t="n">
        <v>45</v>
      </c>
      <c r="C9854" s="7" t="n">
        <v>2</v>
      </c>
      <c r="D9854" s="7" t="n">
        <v>3</v>
      </c>
      <c r="E9854" s="7" t="n">
        <v>-7.3600001335144</v>
      </c>
      <c r="F9854" s="7" t="n">
        <v>6.30999994277954</v>
      </c>
      <c r="G9854" s="7" t="n">
        <v>29.8199996948242</v>
      </c>
      <c r="H9854" s="7" t="n">
        <v>0</v>
      </c>
    </row>
    <row r="9855" spans="1:9">
      <c r="A9855" t="s">
        <v>4</v>
      </c>
      <c r="B9855" s="4" t="s">
        <v>5</v>
      </c>
      <c r="C9855" s="4" t="s">
        <v>7</v>
      </c>
      <c r="D9855" s="4" t="s">
        <v>7</v>
      </c>
      <c r="E9855" s="4" t="s">
        <v>13</v>
      </c>
      <c r="F9855" s="4" t="s">
        <v>13</v>
      </c>
      <c r="G9855" s="4" t="s">
        <v>13</v>
      </c>
      <c r="H9855" s="4" t="s">
        <v>11</v>
      </c>
      <c r="I9855" s="4" t="s">
        <v>7</v>
      </c>
    </row>
    <row r="9856" spans="1:9">
      <c r="A9856" t="n">
        <v>92616</v>
      </c>
      <c r="B9856" s="51" t="n">
        <v>45</v>
      </c>
      <c r="C9856" s="7" t="n">
        <v>4</v>
      </c>
      <c r="D9856" s="7" t="n">
        <v>3</v>
      </c>
      <c r="E9856" s="7" t="n">
        <v>8.11999988555908</v>
      </c>
      <c r="F9856" s="7" t="n">
        <v>60.310001373291</v>
      </c>
      <c r="G9856" s="7" t="n">
        <v>354</v>
      </c>
      <c r="H9856" s="7" t="n">
        <v>0</v>
      </c>
      <c r="I9856" s="7" t="n">
        <v>0</v>
      </c>
    </row>
    <row r="9857" spans="1:18">
      <c r="A9857" t="s">
        <v>4</v>
      </c>
      <c r="B9857" s="4" t="s">
        <v>5</v>
      </c>
      <c r="C9857" s="4" t="s">
        <v>7</v>
      </c>
      <c r="D9857" s="4" t="s">
        <v>7</v>
      </c>
      <c r="E9857" s="4" t="s">
        <v>13</v>
      </c>
      <c r="F9857" s="4" t="s">
        <v>11</v>
      </c>
    </row>
    <row r="9858" spans="1:18">
      <c r="A9858" t="n">
        <v>92634</v>
      </c>
      <c r="B9858" s="51" t="n">
        <v>45</v>
      </c>
      <c r="C9858" s="7" t="n">
        <v>5</v>
      </c>
      <c r="D9858" s="7" t="n">
        <v>3</v>
      </c>
      <c r="E9858" s="7" t="n">
        <v>0.800000011920929</v>
      </c>
      <c r="F9858" s="7" t="n">
        <v>0</v>
      </c>
    </row>
    <row r="9859" spans="1:18">
      <c r="A9859" t="s">
        <v>4</v>
      </c>
      <c r="B9859" s="4" t="s">
        <v>5</v>
      </c>
      <c r="C9859" s="4" t="s">
        <v>7</v>
      </c>
      <c r="D9859" s="4" t="s">
        <v>7</v>
      </c>
      <c r="E9859" s="4" t="s">
        <v>13</v>
      </c>
      <c r="F9859" s="4" t="s">
        <v>11</v>
      </c>
    </row>
    <row r="9860" spans="1:18">
      <c r="A9860" t="n">
        <v>92643</v>
      </c>
      <c r="B9860" s="51" t="n">
        <v>45</v>
      </c>
      <c r="C9860" s="7" t="n">
        <v>11</v>
      </c>
      <c r="D9860" s="7" t="n">
        <v>3</v>
      </c>
      <c r="E9860" s="7" t="n">
        <v>40.2999992370605</v>
      </c>
      <c r="F9860" s="7" t="n">
        <v>0</v>
      </c>
    </row>
    <row r="9861" spans="1:18">
      <c r="A9861" t="s">
        <v>4</v>
      </c>
      <c r="B9861" s="4" t="s">
        <v>5</v>
      </c>
      <c r="C9861" s="4" t="s">
        <v>7</v>
      </c>
      <c r="D9861" s="4" t="s">
        <v>11</v>
      </c>
    </row>
    <row r="9862" spans="1:18">
      <c r="A9862" t="n">
        <v>92652</v>
      </c>
      <c r="B9862" s="23" t="n">
        <v>58</v>
      </c>
      <c r="C9862" s="7" t="n">
        <v>255</v>
      </c>
      <c r="D9862" s="7" t="n">
        <v>0</v>
      </c>
    </row>
    <row r="9863" spans="1:18">
      <c r="A9863" t="s">
        <v>4</v>
      </c>
      <c r="B9863" s="4" t="s">
        <v>5</v>
      </c>
      <c r="C9863" s="4" t="s">
        <v>7</v>
      </c>
      <c r="D9863" s="4" t="s">
        <v>11</v>
      </c>
      <c r="E9863" s="4" t="s">
        <v>8</v>
      </c>
    </row>
    <row r="9864" spans="1:18">
      <c r="A9864" t="n">
        <v>92656</v>
      </c>
      <c r="B9864" s="38" t="n">
        <v>51</v>
      </c>
      <c r="C9864" s="7" t="n">
        <v>4</v>
      </c>
      <c r="D9864" s="7" t="n">
        <v>13</v>
      </c>
      <c r="E9864" s="7" t="s">
        <v>834</v>
      </c>
    </row>
    <row r="9865" spans="1:18">
      <c r="A9865" t="s">
        <v>4</v>
      </c>
      <c r="B9865" s="4" t="s">
        <v>5</v>
      </c>
      <c r="C9865" s="4" t="s">
        <v>11</v>
      </c>
    </row>
    <row r="9866" spans="1:18">
      <c r="A9866" t="n">
        <v>92675</v>
      </c>
      <c r="B9866" s="29" t="n">
        <v>16</v>
      </c>
      <c r="C9866" s="7" t="n">
        <v>0</v>
      </c>
    </row>
    <row r="9867" spans="1:18">
      <c r="A9867" t="s">
        <v>4</v>
      </c>
      <c r="B9867" s="4" t="s">
        <v>5</v>
      </c>
      <c r="C9867" s="4" t="s">
        <v>11</v>
      </c>
      <c r="D9867" s="4" t="s">
        <v>7</v>
      </c>
      <c r="E9867" s="4" t="s">
        <v>15</v>
      </c>
      <c r="F9867" s="4" t="s">
        <v>55</v>
      </c>
      <c r="G9867" s="4" t="s">
        <v>7</v>
      </c>
      <c r="H9867" s="4" t="s">
        <v>7</v>
      </c>
      <c r="I9867" s="4" t="s">
        <v>7</v>
      </c>
      <c r="J9867" s="4" t="s">
        <v>15</v>
      </c>
      <c r="K9867" s="4" t="s">
        <v>55</v>
      </c>
      <c r="L9867" s="4" t="s">
        <v>7</v>
      </c>
      <c r="M9867" s="4" t="s">
        <v>7</v>
      </c>
      <c r="N9867" s="4" t="s">
        <v>7</v>
      </c>
      <c r="O9867" s="4" t="s">
        <v>15</v>
      </c>
      <c r="P9867" s="4" t="s">
        <v>55</v>
      </c>
      <c r="Q9867" s="4" t="s">
        <v>7</v>
      </c>
      <c r="R9867" s="4" t="s">
        <v>7</v>
      </c>
      <c r="S9867" s="4" t="s">
        <v>7</v>
      </c>
      <c r="T9867" s="4" t="s">
        <v>15</v>
      </c>
      <c r="U9867" s="4" t="s">
        <v>55</v>
      </c>
      <c r="V9867" s="4" t="s">
        <v>7</v>
      </c>
      <c r="W9867" s="4" t="s">
        <v>7</v>
      </c>
    </row>
    <row r="9868" spans="1:18">
      <c r="A9868" t="n">
        <v>92678</v>
      </c>
      <c r="B9868" s="55" t="n">
        <v>26</v>
      </c>
      <c r="C9868" s="7" t="n">
        <v>13</v>
      </c>
      <c r="D9868" s="7" t="n">
        <v>17</v>
      </c>
      <c r="E9868" s="7" t="n">
        <v>11813</v>
      </c>
      <c r="F9868" s="7" t="s">
        <v>835</v>
      </c>
      <c r="G9868" s="7" t="n">
        <v>2</v>
      </c>
      <c r="H9868" s="7" t="n">
        <v>3</v>
      </c>
      <c r="I9868" s="7" t="n">
        <v>17</v>
      </c>
      <c r="J9868" s="7" t="n">
        <v>11814</v>
      </c>
      <c r="K9868" s="7" t="s">
        <v>836</v>
      </c>
      <c r="L9868" s="7" t="n">
        <v>2</v>
      </c>
      <c r="M9868" s="7" t="n">
        <v>3</v>
      </c>
      <c r="N9868" s="7" t="n">
        <v>17</v>
      </c>
      <c r="O9868" s="7" t="n">
        <v>11815</v>
      </c>
      <c r="P9868" s="7" t="s">
        <v>837</v>
      </c>
      <c r="Q9868" s="7" t="n">
        <v>2</v>
      </c>
      <c r="R9868" s="7" t="n">
        <v>3</v>
      </c>
      <c r="S9868" s="7" t="n">
        <v>17</v>
      </c>
      <c r="T9868" s="7" t="n">
        <v>11816</v>
      </c>
      <c r="U9868" s="7" t="s">
        <v>838</v>
      </c>
      <c r="V9868" s="7" t="n">
        <v>2</v>
      </c>
      <c r="W9868" s="7" t="n">
        <v>0</v>
      </c>
    </row>
    <row r="9869" spans="1:18">
      <c r="A9869" t="s">
        <v>4</v>
      </c>
      <c r="B9869" s="4" t="s">
        <v>5</v>
      </c>
    </row>
    <row r="9870" spans="1:18">
      <c r="A9870" t="n">
        <v>93005</v>
      </c>
      <c r="B9870" s="27" t="n">
        <v>28</v>
      </c>
    </row>
    <row r="9871" spans="1:18">
      <c r="A9871" t="s">
        <v>4</v>
      </c>
      <c r="B9871" s="4" t="s">
        <v>5</v>
      </c>
      <c r="C9871" s="4" t="s">
        <v>7</v>
      </c>
      <c r="D9871" s="4" t="s">
        <v>11</v>
      </c>
      <c r="E9871" s="4" t="s">
        <v>8</v>
      </c>
    </row>
    <row r="9872" spans="1:18">
      <c r="A9872" t="n">
        <v>93006</v>
      </c>
      <c r="B9872" s="38" t="n">
        <v>51</v>
      </c>
      <c r="C9872" s="7" t="n">
        <v>4</v>
      </c>
      <c r="D9872" s="7" t="n">
        <v>0</v>
      </c>
      <c r="E9872" s="7" t="s">
        <v>147</v>
      </c>
    </row>
    <row r="9873" spans="1:23">
      <c r="A9873" t="s">
        <v>4</v>
      </c>
      <c r="B9873" s="4" t="s">
        <v>5</v>
      </c>
      <c r="C9873" s="4" t="s">
        <v>11</v>
      </c>
    </row>
    <row r="9874" spans="1:23">
      <c r="A9874" t="n">
        <v>93020</v>
      </c>
      <c r="B9874" s="29" t="n">
        <v>16</v>
      </c>
      <c r="C9874" s="7" t="n">
        <v>0</v>
      </c>
    </row>
    <row r="9875" spans="1:23">
      <c r="A9875" t="s">
        <v>4</v>
      </c>
      <c r="B9875" s="4" t="s">
        <v>5</v>
      </c>
      <c r="C9875" s="4" t="s">
        <v>11</v>
      </c>
      <c r="D9875" s="4" t="s">
        <v>7</v>
      </c>
      <c r="E9875" s="4" t="s">
        <v>15</v>
      </c>
      <c r="F9875" s="4" t="s">
        <v>55</v>
      </c>
      <c r="G9875" s="4" t="s">
        <v>7</v>
      </c>
      <c r="H9875" s="4" t="s">
        <v>7</v>
      </c>
    </row>
    <row r="9876" spans="1:23">
      <c r="A9876" t="n">
        <v>93023</v>
      </c>
      <c r="B9876" s="55" t="n">
        <v>26</v>
      </c>
      <c r="C9876" s="7" t="n">
        <v>0</v>
      </c>
      <c r="D9876" s="7" t="n">
        <v>17</v>
      </c>
      <c r="E9876" s="7" t="n">
        <v>65272</v>
      </c>
      <c r="F9876" s="7" t="s">
        <v>817</v>
      </c>
      <c r="G9876" s="7" t="n">
        <v>2</v>
      </c>
      <c r="H9876" s="7" t="n">
        <v>0</v>
      </c>
    </row>
    <row r="9877" spans="1:23">
      <c r="A9877" t="s">
        <v>4</v>
      </c>
      <c r="B9877" s="4" t="s">
        <v>5</v>
      </c>
    </row>
    <row r="9878" spans="1:23">
      <c r="A9878" t="n">
        <v>93044</v>
      </c>
      <c r="B9878" s="27" t="n">
        <v>28</v>
      </c>
    </row>
    <row r="9879" spans="1:23">
      <c r="A9879" t="s">
        <v>4</v>
      </c>
      <c r="B9879" s="4" t="s">
        <v>5</v>
      </c>
      <c r="C9879" s="4" t="s">
        <v>7</v>
      </c>
      <c r="D9879" s="4" t="s">
        <v>11</v>
      </c>
      <c r="E9879" s="4" t="s">
        <v>8</v>
      </c>
    </row>
    <row r="9880" spans="1:23">
      <c r="A9880" t="n">
        <v>93045</v>
      </c>
      <c r="B9880" s="38" t="n">
        <v>51</v>
      </c>
      <c r="C9880" s="7" t="n">
        <v>4</v>
      </c>
      <c r="D9880" s="7" t="n">
        <v>13</v>
      </c>
      <c r="E9880" s="7" t="s">
        <v>361</v>
      </c>
    </row>
    <row r="9881" spans="1:23">
      <c r="A9881" t="s">
        <v>4</v>
      </c>
      <c r="B9881" s="4" t="s">
        <v>5</v>
      </c>
      <c r="C9881" s="4" t="s">
        <v>11</v>
      </c>
    </row>
    <row r="9882" spans="1:23">
      <c r="A9882" t="n">
        <v>93060</v>
      </c>
      <c r="B9882" s="29" t="n">
        <v>16</v>
      </c>
      <c r="C9882" s="7" t="n">
        <v>0</v>
      </c>
    </row>
    <row r="9883" spans="1:23">
      <c r="A9883" t="s">
        <v>4</v>
      </c>
      <c r="B9883" s="4" t="s">
        <v>5</v>
      </c>
      <c r="C9883" s="4" t="s">
        <v>11</v>
      </c>
      <c r="D9883" s="4" t="s">
        <v>7</v>
      </c>
      <c r="E9883" s="4" t="s">
        <v>15</v>
      </c>
      <c r="F9883" s="4" t="s">
        <v>55</v>
      </c>
      <c r="G9883" s="4" t="s">
        <v>7</v>
      </c>
      <c r="H9883" s="4" t="s">
        <v>7</v>
      </c>
      <c r="I9883" s="4" t="s">
        <v>7</v>
      </c>
      <c r="J9883" s="4" t="s">
        <v>15</v>
      </c>
      <c r="K9883" s="4" t="s">
        <v>55</v>
      </c>
      <c r="L9883" s="4" t="s">
        <v>7</v>
      </c>
      <c r="M9883" s="4" t="s">
        <v>7</v>
      </c>
    </row>
    <row r="9884" spans="1:23">
      <c r="A9884" t="n">
        <v>93063</v>
      </c>
      <c r="B9884" s="55" t="n">
        <v>26</v>
      </c>
      <c r="C9884" s="7" t="n">
        <v>13</v>
      </c>
      <c r="D9884" s="7" t="n">
        <v>17</v>
      </c>
      <c r="E9884" s="7" t="n">
        <v>11817</v>
      </c>
      <c r="F9884" s="7" t="s">
        <v>533</v>
      </c>
      <c r="G9884" s="7" t="n">
        <v>2</v>
      </c>
      <c r="H9884" s="7" t="n">
        <v>3</v>
      </c>
      <c r="I9884" s="7" t="n">
        <v>17</v>
      </c>
      <c r="J9884" s="7" t="n">
        <v>11818</v>
      </c>
      <c r="K9884" s="7" t="s">
        <v>839</v>
      </c>
      <c r="L9884" s="7" t="n">
        <v>2</v>
      </c>
      <c r="M9884" s="7" t="n">
        <v>0</v>
      </c>
    </row>
    <row r="9885" spans="1:23">
      <c r="A9885" t="s">
        <v>4</v>
      </c>
      <c r="B9885" s="4" t="s">
        <v>5</v>
      </c>
    </row>
    <row r="9886" spans="1:23">
      <c r="A9886" t="n">
        <v>93140</v>
      </c>
      <c r="B9886" s="27" t="n">
        <v>28</v>
      </c>
    </row>
    <row r="9887" spans="1:23">
      <c r="A9887" t="s">
        <v>4</v>
      </c>
      <c r="B9887" s="4" t="s">
        <v>5</v>
      </c>
      <c r="C9887" s="4" t="s">
        <v>7</v>
      </c>
      <c r="D9887" s="4" t="s">
        <v>11</v>
      </c>
      <c r="E9887" s="4" t="s">
        <v>8</v>
      </c>
    </row>
    <row r="9888" spans="1:23">
      <c r="A9888" t="n">
        <v>93141</v>
      </c>
      <c r="B9888" s="38" t="n">
        <v>51</v>
      </c>
      <c r="C9888" s="7" t="n">
        <v>4</v>
      </c>
      <c r="D9888" s="7" t="n">
        <v>0</v>
      </c>
      <c r="E9888" s="7" t="s">
        <v>840</v>
      </c>
    </row>
    <row r="9889" spans="1:13">
      <c r="A9889" t="s">
        <v>4</v>
      </c>
      <c r="B9889" s="4" t="s">
        <v>5</v>
      </c>
      <c r="C9889" s="4" t="s">
        <v>11</v>
      </c>
    </row>
    <row r="9890" spans="1:13">
      <c r="A9890" t="n">
        <v>93155</v>
      </c>
      <c r="B9890" s="29" t="n">
        <v>16</v>
      </c>
      <c r="C9890" s="7" t="n">
        <v>0</v>
      </c>
    </row>
    <row r="9891" spans="1:13">
      <c r="A9891" t="s">
        <v>4</v>
      </c>
      <c r="B9891" s="4" t="s">
        <v>5</v>
      </c>
      <c r="C9891" s="4" t="s">
        <v>11</v>
      </c>
      <c r="D9891" s="4" t="s">
        <v>7</v>
      </c>
      <c r="E9891" s="4" t="s">
        <v>15</v>
      </c>
      <c r="F9891" s="4" t="s">
        <v>55</v>
      </c>
      <c r="G9891" s="4" t="s">
        <v>7</v>
      </c>
      <c r="H9891" s="4" t="s">
        <v>7</v>
      </c>
    </row>
    <row r="9892" spans="1:13">
      <c r="A9892" t="n">
        <v>93158</v>
      </c>
      <c r="B9892" s="55" t="n">
        <v>26</v>
      </c>
      <c r="C9892" s="7" t="n">
        <v>0</v>
      </c>
      <c r="D9892" s="7" t="n">
        <v>17</v>
      </c>
      <c r="E9892" s="7" t="n">
        <v>64057</v>
      </c>
      <c r="F9892" s="7" t="s">
        <v>841</v>
      </c>
      <c r="G9892" s="7" t="n">
        <v>2</v>
      </c>
      <c r="H9892" s="7" t="n">
        <v>0</v>
      </c>
    </row>
    <row r="9893" spans="1:13">
      <c r="A9893" t="s">
        <v>4</v>
      </c>
      <c r="B9893" s="4" t="s">
        <v>5</v>
      </c>
    </row>
    <row r="9894" spans="1:13">
      <c r="A9894" t="n">
        <v>93175</v>
      </c>
      <c r="B9894" s="27" t="n">
        <v>28</v>
      </c>
    </row>
    <row r="9895" spans="1:13">
      <c r="A9895" t="s">
        <v>4</v>
      </c>
      <c r="B9895" s="4" t="s">
        <v>5</v>
      </c>
      <c r="C9895" s="4" t="s">
        <v>11</v>
      </c>
      <c r="D9895" s="4" t="s">
        <v>7</v>
      </c>
    </row>
    <row r="9896" spans="1:13">
      <c r="A9896" t="n">
        <v>93176</v>
      </c>
      <c r="B9896" s="68" t="n">
        <v>89</v>
      </c>
      <c r="C9896" s="7" t="n">
        <v>65533</v>
      </c>
      <c r="D9896" s="7" t="n">
        <v>1</v>
      </c>
    </row>
    <row r="9897" spans="1:13">
      <c r="A9897" t="s">
        <v>4</v>
      </c>
      <c r="B9897" s="4" t="s">
        <v>5</v>
      </c>
      <c r="C9897" s="4" t="s">
        <v>7</v>
      </c>
      <c r="D9897" s="4" t="s">
        <v>11</v>
      </c>
      <c r="E9897" s="4" t="s">
        <v>13</v>
      </c>
    </row>
    <row r="9898" spans="1:13">
      <c r="A9898" t="n">
        <v>93180</v>
      </c>
      <c r="B9898" s="23" t="n">
        <v>58</v>
      </c>
      <c r="C9898" s="7" t="n">
        <v>101</v>
      </c>
      <c r="D9898" s="7" t="n">
        <v>500</v>
      </c>
      <c r="E9898" s="7" t="n">
        <v>1</v>
      </c>
    </row>
    <row r="9899" spans="1:13">
      <c r="A9899" t="s">
        <v>4</v>
      </c>
      <c r="B9899" s="4" t="s">
        <v>5</v>
      </c>
      <c r="C9899" s="4" t="s">
        <v>7</v>
      </c>
      <c r="D9899" s="4" t="s">
        <v>11</v>
      </c>
    </row>
    <row r="9900" spans="1:13">
      <c r="A9900" t="n">
        <v>93188</v>
      </c>
      <c r="B9900" s="23" t="n">
        <v>58</v>
      </c>
      <c r="C9900" s="7" t="n">
        <v>254</v>
      </c>
      <c r="D9900" s="7" t="n">
        <v>0</v>
      </c>
    </row>
    <row r="9901" spans="1:13">
      <c r="A9901" t="s">
        <v>4</v>
      </c>
      <c r="B9901" s="4" t="s">
        <v>5</v>
      </c>
      <c r="C9901" s="4" t="s">
        <v>11</v>
      </c>
      <c r="D9901" s="4" t="s">
        <v>13</v>
      </c>
      <c r="E9901" s="4" t="s">
        <v>13</v>
      </c>
      <c r="F9901" s="4" t="s">
        <v>13</v>
      </c>
      <c r="G9901" s="4" t="s">
        <v>13</v>
      </c>
    </row>
    <row r="9902" spans="1:13">
      <c r="A9902" t="n">
        <v>93192</v>
      </c>
      <c r="B9902" s="36" t="n">
        <v>46</v>
      </c>
      <c r="C9902" s="7" t="n">
        <v>13</v>
      </c>
      <c r="D9902" s="7" t="n">
        <v>-7.71999979019165</v>
      </c>
      <c r="E9902" s="7" t="n">
        <v>5</v>
      </c>
      <c r="F9902" s="7" t="n">
        <v>29.6700000762939</v>
      </c>
      <c r="G9902" s="7" t="n">
        <v>83.9000015258789</v>
      </c>
    </row>
    <row r="9903" spans="1:13">
      <c r="A9903" t="s">
        <v>4</v>
      </c>
      <c r="B9903" s="4" t="s">
        <v>5</v>
      </c>
      <c r="C9903" s="4" t="s">
        <v>11</v>
      </c>
      <c r="D9903" s="4" t="s">
        <v>13</v>
      </c>
      <c r="E9903" s="4" t="s">
        <v>13</v>
      </c>
      <c r="F9903" s="4" t="s">
        <v>13</v>
      </c>
      <c r="G9903" s="4" t="s">
        <v>11</v>
      </c>
      <c r="H9903" s="4" t="s">
        <v>11</v>
      </c>
    </row>
    <row r="9904" spans="1:13">
      <c r="A9904" t="n">
        <v>93211</v>
      </c>
      <c r="B9904" s="37" t="n">
        <v>60</v>
      </c>
      <c r="C9904" s="7" t="n">
        <v>0</v>
      </c>
      <c r="D9904" s="7" t="n">
        <v>0</v>
      </c>
      <c r="E9904" s="7" t="n">
        <v>0</v>
      </c>
      <c r="F9904" s="7" t="n">
        <v>0</v>
      </c>
      <c r="G9904" s="7" t="n">
        <v>0</v>
      </c>
      <c r="H9904" s="7" t="n">
        <v>1</v>
      </c>
    </row>
    <row r="9905" spans="1:8">
      <c r="A9905" t="s">
        <v>4</v>
      </c>
      <c r="B9905" s="4" t="s">
        <v>5</v>
      </c>
      <c r="C9905" s="4" t="s">
        <v>11</v>
      </c>
      <c r="D9905" s="4" t="s">
        <v>13</v>
      </c>
      <c r="E9905" s="4" t="s">
        <v>13</v>
      </c>
      <c r="F9905" s="4" t="s">
        <v>13</v>
      </c>
      <c r="G9905" s="4" t="s">
        <v>11</v>
      </c>
      <c r="H9905" s="4" t="s">
        <v>11</v>
      </c>
    </row>
    <row r="9906" spans="1:8">
      <c r="A9906" t="n">
        <v>93230</v>
      </c>
      <c r="B9906" s="37" t="n">
        <v>60</v>
      </c>
      <c r="C9906" s="7" t="n">
        <v>0</v>
      </c>
      <c r="D9906" s="7" t="n">
        <v>0</v>
      </c>
      <c r="E9906" s="7" t="n">
        <v>0</v>
      </c>
      <c r="F9906" s="7" t="n">
        <v>0</v>
      </c>
      <c r="G9906" s="7" t="n">
        <v>0</v>
      </c>
      <c r="H9906" s="7" t="n">
        <v>0</v>
      </c>
    </row>
    <row r="9907" spans="1:8">
      <c r="A9907" t="s">
        <v>4</v>
      </c>
      <c r="B9907" s="4" t="s">
        <v>5</v>
      </c>
      <c r="C9907" s="4" t="s">
        <v>11</v>
      </c>
      <c r="D9907" s="4" t="s">
        <v>11</v>
      </c>
      <c r="E9907" s="4" t="s">
        <v>11</v>
      </c>
    </row>
    <row r="9908" spans="1:8">
      <c r="A9908" t="n">
        <v>93249</v>
      </c>
      <c r="B9908" s="72" t="n">
        <v>61</v>
      </c>
      <c r="C9908" s="7" t="n">
        <v>0</v>
      </c>
      <c r="D9908" s="7" t="n">
        <v>65533</v>
      </c>
      <c r="E9908" s="7" t="n">
        <v>0</v>
      </c>
    </row>
    <row r="9909" spans="1:8">
      <c r="A9909" t="s">
        <v>4</v>
      </c>
      <c r="B9909" s="4" t="s">
        <v>5</v>
      </c>
      <c r="C9909" s="4" t="s">
        <v>11</v>
      </c>
      <c r="D9909" s="4" t="s">
        <v>13</v>
      </c>
      <c r="E9909" s="4" t="s">
        <v>13</v>
      </c>
      <c r="F9909" s="4" t="s">
        <v>13</v>
      </c>
      <c r="G9909" s="4" t="s">
        <v>11</v>
      </c>
      <c r="H9909" s="4" t="s">
        <v>11</v>
      </c>
    </row>
    <row r="9910" spans="1:8">
      <c r="A9910" t="n">
        <v>93256</v>
      </c>
      <c r="B9910" s="37" t="n">
        <v>60</v>
      </c>
      <c r="C9910" s="7" t="n">
        <v>13</v>
      </c>
      <c r="D9910" s="7" t="n">
        <v>0</v>
      </c>
      <c r="E9910" s="7" t="n">
        <v>0</v>
      </c>
      <c r="F9910" s="7" t="n">
        <v>0</v>
      </c>
      <c r="G9910" s="7" t="n">
        <v>0</v>
      </c>
      <c r="H9910" s="7" t="n">
        <v>1</v>
      </c>
    </row>
    <row r="9911" spans="1:8">
      <c r="A9911" t="s">
        <v>4</v>
      </c>
      <c r="B9911" s="4" t="s">
        <v>5</v>
      </c>
      <c r="C9911" s="4" t="s">
        <v>11</v>
      </c>
      <c r="D9911" s="4" t="s">
        <v>13</v>
      </c>
      <c r="E9911" s="4" t="s">
        <v>13</v>
      </c>
      <c r="F9911" s="4" t="s">
        <v>13</v>
      </c>
      <c r="G9911" s="4" t="s">
        <v>11</v>
      </c>
      <c r="H9911" s="4" t="s">
        <v>11</v>
      </c>
    </row>
    <row r="9912" spans="1:8">
      <c r="A9912" t="n">
        <v>93275</v>
      </c>
      <c r="B9912" s="37" t="n">
        <v>60</v>
      </c>
      <c r="C9912" s="7" t="n">
        <v>13</v>
      </c>
      <c r="D9912" s="7" t="n">
        <v>0</v>
      </c>
      <c r="E9912" s="7" t="n">
        <v>0</v>
      </c>
      <c r="F9912" s="7" t="n">
        <v>0</v>
      </c>
      <c r="G9912" s="7" t="n">
        <v>0</v>
      </c>
      <c r="H9912" s="7" t="n">
        <v>0</v>
      </c>
    </row>
    <row r="9913" spans="1:8">
      <c r="A9913" t="s">
        <v>4</v>
      </c>
      <c r="B9913" s="4" t="s">
        <v>5</v>
      </c>
      <c r="C9913" s="4" t="s">
        <v>11</v>
      </c>
      <c r="D9913" s="4" t="s">
        <v>11</v>
      </c>
      <c r="E9913" s="4" t="s">
        <v>11</v>
      </c>
    </row>
    <row r="9914" spans="1:8">
      <c r="A9914" t="n">
        <v>93294</v>
      </c>
      <c r="B9914" s="72" t="n">
        <v>61</v>
      </c>
      <c r="C9914" s="7" t="n">
        <v>13</v>
      </c>
      <c r="D9914" s="7" t="n">
        <v>65533</v>
      </c>
      <c r="E9914" s="7" t="n">
        <v>0</v>
      </c>
    </row>
    <row r="9915" spans="1:8">
      <c r="A9915" t="s">
        <v>4</v>
      </c>
      <c r="B9915" s="4" t="s">
        <v>5</v>
      </c>
      <c r="C9915" s="4" t="s">
        <v>11</v>
      </c>
      <c r="D9915" s="4" t="s">
        <v>15</v>
      </c>
    </row>
    <row r="9916" spans="1:8">
      <c r="A9916" t="n">
        <v>93301</v>
      </c>
      <c r="B9916" s="39" t="n">
        <v>43</v>
      </c>
      <c r="C9916" s="7" t="n">
        <v>0</v>
      </c>
      <c r="D9916" s="7" t="n">
        <v>256</v>
      </c>
    </row>
    <row r="9917" spans="1:8">
      <c r="A9917" t="s">
        <v>4</v>
      </c>
      <c r="B9917" s="4" t="s">
        <v>5</v>
      </c>
      <c r="C9917" s="4" t="s">
        <v>7</v>
      </c>
      <c r="D9917" s="4" t="s">
        <v>7</v>
      </c>
      <c r="E9917" s="4" t="s">
        <v>13</v>
      </c>
      <c r="F9917" s="4" t="s">
        <v>13</v>
      </c>
      <c r="G9917" s="4" t="s">
        <v>13</v>
      </c>
      <c r="H9917" s="4" t="s">
        <v>11</v>
      </c>
    </row>
    <row r="9918" spans="1:8">
      <c r="A9918" t="n">
        <v>93308</v>
      </c>
      <c r="B9918" s="51" t="n">
        <v>45</v>
      </c>
      <c r="C9918" s="7" t="n">
        <v>2</v>
      </c>
      <c r="D9918" s="7" t="n">
        <v>3</v>
      </c>
      <c r="E9918" s="7" t="n">
        <v>-7.40999984741211</v>
      </c>
      <c r="F9918" s="7" t="n">
        <v>5.8600001335144</v>
      </c>
      <c r="G9918" s="7" t="n">
        <v>29.8799991607666</v>
      </c>
      <c r="H9918" s="7" t="n">
        <v>0</v>
      </c>
    </row>
    <row r="9919" spans="1:8">
      <c r="A9919" t="s">
        <v>4</v>
      </c>
      <c r="B9919" s="4" t="s">
        <v>5</v>
      </c>
      <c r="C9919" s="4" t="s">
        <v>7</v>
      </c>
      <c r="D9919" s="4" t="s">
        <v>7</v>
      </c>
      <c r="E9919" s="4" t="s">
        <v>13</v>
      </c>
      <c r="F9919" s="4" t="s">
        <v>13</v>
      </c>
      <c r="G9919" s="4" t="s">
        <v>13</v>
      </c>
      <c r="H9919" s="4" t="s">
        <v>11</v>
      </c>
      <c r="I9919" s="4" t="s">
        <v>7</v>
      </c>
    </row>
    <row r="9920" spans="1:8">
      <c r="A9920" t="n">
        <v>93325</v>
      </c>
      <c r="B9920" s="51" t="n">
        <v>45</v>
      </c>
      <c r="C9920" s="7" t="n">
        <v>4</v>
      </c>
      <c r="D9920" s="7" t="n">
        <v>3</v>
      </c>
      <c r="E9920" s="7" t="n">
        <v>359.269989013672</v>
      </c>
      <c r="F9920" s="7" t="n">
        <v>306.269989013672</v>
      </c>
      <c r="G9920" s="7" t="n">
        <v>354</v>
      </c>
      <c r="H9920" s="7" t="n">
        <v>0</v>
      </c>
      <c r="I9920" s="7" t="n">
        <v>0</v>
      </c>
    </row>
    <row r="9921" spans="1:9">
      <c r="A9921" t="s">
        <v>4</v>
      </c>
      <c r="B9921" s="4" t="s">
        <v>5</v>
      </c>
      <c r="C9921" s="4" t="s">
        <v>7</v>
      </c>
      <c r="D9921" s="4" t="s">
        <v>7</v>
      </c>
      <c r="E9921" s="4" t="s">
        <v>13</v>
      </c>
      <c r="F9921" s="4" t="s">
        <v>11</v>
      </c>
    </row>
    <row r="9922" spans="1:9">
      <c r="A9922" t="n">
        <v>93343</v>
      </c>
      <c r="B9922" s="51" t="n">
        <v>45</v>
      </c>
      <c r="C9922" s="7" t="n">
        <v>5</v>
      </c>
      <c r="D9922" s="7" t="n">
        <v>3</v>
      </c>
      <c r="E9922" s="7" t="n">
        <v>1.10000002384186</v>
      </c>
      <c r="F9922" s="7" t="n">
        <v>0</v>
      </c>
    </row>
    <row r="9923" spans="1:9">
      <c r="A9923" t="s">
        <v>4</v>
      </c>
      <c r="B9923" s="4" t="s">
        <v>5</v>
      </c>
      <c r="C9923" s="4" t="s">
        <v>7</v>
      </c>
      <c r="D9923" s="4" t="s">
        <v>7</v>
      </c>
      <c r="E9923" s="4" t="s">
        <v>13</v>
      </c>
      <c r="F9923" s="4" t="s">
        <v>11</v>
      </c>
    </row>
    <row r="9924" spans="1:9">
      <c r="A9924" t="n">
        <v>93352</v>
      </c>
      <c r="B9924" s="51" t="n">
        <v>45</v>
      </c>
      <c r="C9924" s="7" t="n">
        <v>11</v>
      </c>
      <c r="D9924" s="7" t="n">
        <v>3</v>
      </c>
      <c r="E9924" s="7" t="n">
        <v>40.2999992370605</v>
      </c>
      <c r="F9924" s="7" t="n">
        <v>0</v>
      </c>
    </row>
    <row r="9925" spans="1:9">
      <c r="A9925" t="s">
        <v>4</v>
      </c>
      <c r="B9925" s="4" t="s">
        <v>5</v>
      </c>
      <c r="C9925" s="4" t="s">
        <v>11</v>
      </c>
      <c r="D9925" s="4" t="s">
        <v>7</v>
      </c>
      <c r="E9925" s="4" t="s">
        <v>8</v>
      </c>
      <c r="F9925" s="4" t="s">
        <v>13</v>
      </c>
      <c r="G9925" s="4" t="s">
        <v>13</v>
      </c>
      <c r="H9925" s="4" t="s">
        <v>13</v>
      </c>
    </row>
    <row r="9926" spans="1:9">
      <c r="A9926" t="n">
        <v>93361</v>
      </c>
      <c r="B9926" s="42" t="n">
        <v>48</v>
      </c>
      <c r="C9926" s="7" t="n">
        <v>0</v>
      </c>
      <c r="D9926" s="7" t="n">
        <v>0</v>
      </c>
      <c r="E9926" s="7" t="s">
        <v>210</v>
      </c>
      <c r="F9926" s="7" t="n">
        <v>0</v>
      </c>
      <c r="G9926" s="7" t="n">
        <v>1</v>
      </c>
      <c r="H9926" s="7" t="n">
        <v>0</v>
      </c>
    </row>
    <row r="9927" spans="1:9">
      <c r="A9927" t="s">
        <v>4</v>
      </c>
      <c r="B9927" s="4" t="s">
        <v>5</v>
      </c>
      <c r="C9927" s="4" t="s">
        <v>11</v>
      </c>
      <c r="D9927" s="4" t="s">
        <v>7</v>
      </c>
      <c r="E9927" s="4" t="s">
        <v>8</v>
      </c>
      <c r="F9927" s="4" t="s">
        <v>13</v>
      </c>
      <c r="G9927" s="4" t="s">
        <v>13</v>
      </c>
      <c r="H9927" s="4" t="s">
        <v>13</v>
      </c>
    </row>
    <row r="9928" spans="1:9">
      <c r="A9928" t="n">
        <v>93386</v>
      </c>
      <c r="B9928" s="42" t="n">
        <v>48</v>
      </c>
      <c r="C9928" s="7" t="n">
        <v>13</v>
      </c>
      <c r="D9928" s="7" t="n">
        <v>0</v>
      </c>
      <c r="E9928" s="7" t="s">
        <v>210</v>
      </c>
      <c r="F9928" s="7" t="n">
        <v>0</v>
      </c>
      <c r="G9928" s="7" t="n">
        <v>1</v>
      </c>
      <c r="H9928" s="7" t="n">
        <v>0</v>
      </c>
    </row>
    <row r="9929" spans="1:9">
      <c r="A9929" t="s">
        <v>4</v>
      </c>
      <c r="B9929" s="4" t="s">
        <v>5</v>
      </c>
      <c r="C9929" s="4" t="s">
        <v>7</v>
      </c>
      <c r="D9929" s="4" t="s">
        <v>11</v>
      </c>
    </row>
    <row r="9930" spans="1:9">
      <c r="A9930" t="n">
        <v>93411</v>
      </c>
      <c r="B9930" s="23" t="n">
        <v>58</v>
      </c>
      <c r="C9930" s="7" t="n">
        <v>255</v>
      </c>
      <c r="D9930" s="7" t="n">
        <v>0</v>
      </c>
    </row>
    <row r="9931" spans="1:9">
      <c r="A9931" t="s">
        <v>4</v>
      </c>
      <c r="B9931" s="4" t="s">
        <v>5</v>
      </c>
      <c r="C9931" s="4" t="s">
        <v>11</v>
      </c>
      <c r="D9931" s="4" t="s">
        <v>7</v>
      </c>
      <c r="E9931" s="4" t="s">
        <v>8</v>
      </c>
      <c r="F9931" s="4" t="s">
        <v>13</v>
      </c>
      <c r="G9931" s="4" t="s">
        <v>13</v>
      </c>
      <c r="H9931" s="4" t="s">
        <v>13</v>
      </c>
    </row>
    <row r="9932" spans="1:9">
      <c r="A9932" t="n">
        <v>93415</v>
      </c>
      <c r="B9932" s="42" t="n">
        <v>48</v>
      </c>
      <c r="C9932" s="7" t="n">
        <v>0</v>
      </c>
      <c r="D9932" s="7" t="n">
        <v>0</v>
      </c>
      <c r="E9932" s="7" t="s">
        <v>789</v>
      </c>
      <c r="F9932" s="7" t="n">
        <v>-1</v>
      </c>
      <c r="G9932" s="7" t="n">
        <v>1</v>
      </c>
      <c r="H9932" s="7" t="n">
        <v>0</v>
      </c>
    </row>
    <row r="9933" spans="1:9">
      <c r="A9933" t="s">
        <v>4</v>
      </c>
      <c r="B9933" s="4" t="s">
        <v>5</v>
      </c>
      <c r="C9933" s="4" t="s">
        <v>7</v>
      </c>
      <c r="D9933" s="4" t="s">
        <v>11</v>
      </c>
      <c r="E9933" s="4" t="s">
        <v>13</v>
      </c>
      <c r="F9933" s="4" t="s">
        <v>11</v>
      </c>
      <c r="G9933" s="4" t="s">
        <v>15</v>
      </c>
      <c r="H9933" s="4" t="s">
        <v>15</v>
      </c>
      <c r="I9933" s="4" t="s">
        <v>11</v>
      </c>
      <c r="J9933" s="4" t="s">
        <v>11</v>
      </c>
      <c r="K9933" s="4" t="s">
        <v>15</v>
      </c>
      <c r="L9933" s="4" t="s">
        <v>15</v>
      </c>
      <c r="M9933" s="4" t="s">
        <v>15</v>
      </c>
      <c r="N9933" s="4" t="s">
        <v>15</v>
      </c>
      <c r="O9933" s="4" t="s">
        <v>8</v>
      </c>
    </row>
    <row r="9934" spans="1:9">
      <c r="A9934" t="n">
        <v>93441</v>
      </c>
      <c r="B9934" s="57" t="n">
        <v>50</v>
      </c>
      <c r="C9934" s="7" t="n">
        <v>0</v>
      </c>
      <c r="D9934" s="7" t="n">
        <v>2000</v>
      </c>
      <c r="E9934" s="7" t="n">
        <v>0.400000005960464</v>
      </c>
      <c r="F9934" s="7" t="n">
        <v>100</v>
      </c>
      <c r="G9934" s="7" t="n">
        <v>0</v>
      </c>
      <c r="H9934" s="7" t="n">
        <v>0</v>
      </c>
      <c r="I9934" s="7" t="n">
        <v>0</v>
      </c>
      <c r="J9934" s="7" t="n">
        <v>65533</v>
      </c>
      <c r="K9934" s="7" t="n">
        <v>0</v>
      </c>
      <c r="L9934" s="7" t="n">
        <v>0</v>
      </c>
      <c r="M9934" s="7" t="n">
        <v>0</v>
      </c>
      <c r="N9934" s="7" t="n">
        <v>0</v>
      </c>
      <c r="O9934" s="7" t="s">
        <v>16</v>
      </c>
    </row>
    <row r="9935" spans="1:9">
      <c r="A9935" t="s">
        <v>4</v>
      </c>
      <c r="B9935" s="4" t="s">
        <v>5</v>
      </c>
      <c r="C9935" s="4" t="s">
        <v>7</v>
      </c>
      <c r="D9935" s="4" t="s">
        <v>11</v>
      </c>
      <c r="E9935" s="4" t="s">
        <v>8</v>
      </c>
      <c r="F9935" s="4" t="s">
        <v>8</v>
      </c>
      <c r="G9935" s="4" t="s">
        <v>8</v>
      </c>
      <c r="H9935" s="4" t="s">
        <v>8</v>
      </c>
    </row>
    <row r="9936" spans="1:9">
      <c r="A9936" t="n">
        <v>93480</v>
      </c>
      <c r="B9936" s="38" t="n">
        <v>51</v>
      </c>
      <c r="C9936" s="7" t="n">
        <v>3</v>
      </c>
      <c r="D9936" s="7" t="n">
        <v>0</v>
      </c>
      <c r="E9936" s="7" t="s">
        <v>86</v>
      </c>
      <c r="F9936" s="7" t="s">
        <v>79</v>
      </c>
      <c r="G9936" s="7" t="s">
        <v>78</v>
      </c>
      <c r="H9936" s="7" t="s">
        <v>79</v>
      </c>
    </row>
    <row r="9937" spans="1:15">
      <c r="A9937" t="s">
        <v>4</v>
      </c>
      <c r="B9937" s="4" t="s">
        <v>5</v>
      </c>
      <c r="C9937" s="4" t="s">
        <v>11</v>
      </c>
    </row>
    <row r="9938" spans="1:15">
      <c r="A9938" t="n">
        <v>93493</v>
      </c>
      <c r="B9938" s="29" t="n">
        <v>16</v>
      </c>
      <c r="C9938" s="7" t="n">
        <v>1500</v>
      </c>
    </row>
    <row r="9939" spans="1:15">
      <c r="A9939" t="s">
        <v>4</v>
      </c>
      <c r="B9939" s="4" t="s">
        <v>5</v>
      </c>
      <c r="C9939" s="4" t="s">
        <v>7</v>
      </c>
      <c r="D9939" s="4" t="s">
        <v>11</v>
      </c>
      <c r="E9939" s="4" t="s">
        <v>8</v>
      </c>
    </row>
    <row r="9940" spans="1:15">
      <c r="A9940" t="n">
        <v>93496</v>
      </c>
      <c r="B9940" s="38" t="n">
        <v>51</v>
      </c>
      <c r="C9940" s="7" t="n">
        <v>4</v>
      </c>
      <c r="D9940" s="7" t="n">
        <v>0</v>
      </c>
      <c r="E9940" s="7" t="s">
        <v>173</v>
      </c>
    </row>
    <row r="9941" spans="1:15">
      <c r="A9941" t="s">
        <v>4</v>
      </c>
      <c r="B9941" s="4" t="s">
        <v>5</v>
      </c>
      <c r="C9941" s="4" t="s">
        <v>11</v>
      </c>
    </row>
    <row r="9942" spans="1:15">
      <c r="A9942" t="n">
        <v>93509</v>
      </c>
      <c r="B9942" s="29" t="n">
        <v>16</v>
      </c>
      <c r="C9942" s="7" t="n">
        <v>0</v>
      </c>
    </row>
    <row r="9943" spans="1:15">
      <c r="A9943" t="s">
        <v>4</v>
      </c>
      <c r="B9943" s="4" t="s">
        <v>5</v>
      </c>
      <c r="C9943" s="4" t="s">
        <v>11</v>
      </c>
      <c r="D9943" s="4" t="s">
        <v>7</v>
      </c>
      <c r="E9943" s="4" t="s">
        <v>15</v>
      </c>
      <c r="F9943" s="4" t="s">
        <v>55</v>
      </c>
      <c r="G9943" s="4" t="s">
        <v>7</v>
      </c>
      <c r="H9943" s="4" t="s">
        <v>7</v>
      </c>
    </row>
    <row r="9944" spans="1:15">
      <c r="A9944" t="n">
        <v>93512</v>
      </c>
      <c r="B9944" s="55" t="n">
        <v>26</v>
      </c>
      <c r="C9944" s="7" t="n">
        <v>0</v>
      </c>
      <c r="D9944" s="7" t="n">
        <v>17</v>
      </c>
      <c r="E9944" s="7" t="n">
        <v>64058</v>
      </c>
      <c r="F9944" s="7" t="s">
        <v>842</v>
      </c>
      <c r="G9944" s="7" t="n">
        <v>2</v>
      </c>
      <c r="H9944" s="7" t="n">
        <v>0</v>
      </c>
    </row>
    <row r="9945" spans="1:15">
      <c r="A9945" t="s">
        <v>4</v>
      </c>
      <c r="B9945" s="4" t="s">
        <v>5</v>
      </c>
    </row>
    <row r="9946" spans="1:15">
      <c r="A9946" t="n">
        <v>93539</v>
      </c>
      <c r="B9946" s="27" t="n">
        <v>28</v>
      </c>
    </row>
    <row r="9947" spans="1:15">
      <c r="A9947" t="s">
        <v>4</v>
      </c>
      <c r="B9947" s="4" t="s">
        <v>5</v>
      </c>
      <c r="C9947" s="4" t="s">
        <v>11</v>
      </c>
      <c r="D9947" s="4" t="s">
        <v>7</v>
      </c>
    </row>
    <row r="9948" spans="1:15">
      <c r="A9948" t="n">
        <v>93540</v>
      </c>
      <c r="B9948" s="68" t="n">
        <v>89</v>
      </c>
      <c r="C9948" s="7" t="n">
        <v>65533</v>
      </c>
      <c r="D9948" s="7" t="n">
        <v>1</v>
      </c>
    </row>
    <row r="9949" spans="1:15">
      <c r="A9949" t="s">
        <v>4</v>
      </c>
      <c r="B9949" s="4" t="s">
        <v>5</v>
      </c>
      <c r="C9949" s="4" t="s">
        <v>7</v>
      </c>
      <c r="D9949" s="4" t="s">
        <v>7</v>
      </c>
      <c r="E9949" s="4" t="s">
        <v>13</v>
      </c>
      <c r="F9949" s="4" t="s">
        <v>13</v>
      </c>
      <c r="G9949" s="4" t="s">
        <v>13</v>
      </c>
      <c r="H9949" s="4" t="s">
        <v>11</v>
      </c>
    </row>
    <row r="9950" spans="1:15">
      <c r="A9950" t="n">
        <v>93544</v>
      </c>
      <c r="B9950" s="51" t="n">
        <v>45</v>
      </c>
      <c r="C9950" s="7" t="n">
        <v>2</v>
      </c>
      <c r="D9950" s="7" t="n">
        <v>3</v>
      </c>
      <c r="E9950" s="7" t="n">
        <v>-6.80000019073486</v>
      </c>
      <c r="F9950" s="7" t="n">
        <v>6.15000009536743</v>
      </c>
      <c r="G9950" s="7" t="n">
        <v>29.8500003814697</v>
      </c>
      <c r="H9950" s="7" t="n">
        <v>3500</v>
      </c>
    </row>
    <row r="9951" spans="1:15">
      <c r="A9951" t="s">
        <v>4</v>
      </c>
      <c r="B9951" s="4" t="s">
        <v>5</v>
      </c>
      <c r="C9951" s="4" t="s">
        <v>7</v>
      </c>
      <c r="D9951" s="4" t="s">
        <v>7</v>
      </c>
      <c r="E9951" s="4" t="s">
        <v>13</v>
      </c>
      <c r="F9951" s="4" t="s">
        <v>13</v>
      </c>
      <c r="G9951" s="4" t="s">
        <v>13</v>
      </c>
      <c r="H9951" s="4" t="s">
        <v>11</v>
      </c>
      <c r="I9951" s="4" t="s">
        <v>7</v>
      </c>
    </row>
    <row r="9952" spans="1:15">
      <c r="A9952" t="n">
        <v>93561</v>
      </c>
      <c r="B9952" s="51" t="n">
        <v>45</v>
      </c>
      <c r="C9952" s="7" t="n">
        <v>4</v>
      </c>
      <c r="D9952" s="7" t="n">
        <v>3</v>
      </c>
      <c r="E9952" s="7" t="n">
        <v>356.549987792969</v>
      </c>
      <c r="F9952" s="7" t="n">
        <v>104.480003356934</v>
      </c>
      <c r="G9952" s="7" t="n">
        <v>354</v>
      </c>
      <c r="H9952" s="7" t="n">
        <v>3500</v>
      </c>
      <c r="I9952" s="7" t="n">
        <v>1</v>
      </c>
    </row>
    <row r="9953" spans="1:9">
      <c r="A9953" t="s">
        <v>4</v>
      </c>
      <c r="B9953" s="4" t="s">
        <v>5</v>
      </c>
      <c r="C9953" s="4" t="s">
        <v>7</v>
      </c>
      <c r="D9953" s="4" t="s">
        <v>7</v>
      </c>
      <c r="E9953" s="4" t="s">
        <v>13</v>
      </c>
      <c r="F9953" s="4" t="s">
        <v>11</v>
      </c>
    </row>
    <row r="9954" spans="1:9">
      <c r="A9954" t="n">
        <v>93579</v>
      </c>
      <c r="B9954" s="51" t="n">
        <v>45</v>
      </c>
      <c r="C9954" s="7" t="n">
        <v>5</v>
      </c>
      <c r="D9954" s="7" t="n">
        <v>3</v>
      </c>
      <c r="E9954" s="7" t="n">
        <v>0.899999976158142</v>
      </c>
      <c r="F9954" s="7" t="n">
        <v>3500</v>
      </c>
    </row>
    <row r="9955" spans="1:9">
      <c r="A9955" t="s">
        <v>4</v>
      </c>
      <c r="B9955" s="4" t="s">
        <v>5</v>
      </c>
      <c r="C9955" s="4" t="s">
        <v>11</v>
      </c>
      <c r="D9955" s="4" t="s">
        <v>11</v>
      </c>
      <c r="E9955" s="4" t="s">
        <v>13</v>
      </c>
      <c r="F9955" s="4" t="s">
        <v>13</v>
      </c>
      <c r="G9955" s="4" t="s">
        <v>13</v>
      </c>
      <c r="H9955" s="4" t="s">
        <v>13</v>
      </c>
      <c r="I9955" s="4" t="s">
        <v>7</v>
      </c>
      <c r="J9955" s="4" t="s">
        <v>11</v>
      </c>
    </row>
    <row r="9956" spans="1:9">
      <c r="A9956" t="n">
        <v>93588</v>
      </c>
      <c r="B9956" s="53" t="n">
        <v>55</v>
      </c>
      <c r="C9956" s="7" t="n">
        <v>13</v>
      </c>
      <c r="D9956" s="7" t="n">
        <v>65533</v>
      </c>
      <c r="E9956" s="7" t="n">
        <v>-7.19999980926514</v>
      </c>
      <c r="F9956" s="7" t="n">
        <v>5</v>
      </c>
      <c r="G9956" s="7" t="n">
        <v>29.7199993133545</v>
      </c>
      <c r="H9956" s="7" t="n">
        <v>1.20000004768372</v>
      </c>
      <c r="I9956" s="7" t="n">
        <v>1</v>
      </c>
      <c r="J9956" s="7" t="n">
        <v>0</v>
      </c>
    </row>
    <row r="9957" spans="1:9">
      <c r="A9957" t="s">
        <v>4</v>
      </c>
      <c r="B9957" s="4" t="s">
        <v>5</v>
      </c>
      <c r="C9957" s="4" t="s">
        <v>11</v>
      </c>
      <c r="D9957" s="4" t="s">
        <v>7</v>
      </c>
    </row>
    <row r="9958" spans="1:9">
      <c r="A9958" t="n">
        <v>93612</v>
      </c>
      <c r="B9958" s="54" t="n">
        <v>56</v>
      </c>
      <c r="C9958" s="7" t="n">
        <v>13</v>
      </c>
      <c r="D9958" s="7" t="n">
        <v>0</v>
      </c>
    </row>
    <row r="9959" spans="1:9">
      <c r="A9959" t="s">
        <v>4</v>
      </c>
      <c r="B9959" s="4" t="s">
        <v>5</v>
      </c>
      <c r="C9959" s="4" t="s">
        <v>11</v>
      </c>
      <c r="D9959" s="4" t="s">
        <v>7</v>
      </c>
      <c r="E9959" s="4" t="s">
        <v>8</v>
      </c>
      <c r="F9959" s="4" t="s">
        <v>13</v>
      </c>
      <c r="G9959" s="4" t="s">
        <v>13</v>
      </c>
      <c r="H9959" s="4" t="s">
        <v>13</v>
      </c>
    </row>
    <row r="9960" spans="1:9">
      <c r="A9960" t="n">
        <v>93616</v>
      </c>
      <c r="B9960" s="42" t="n">
        <v>48</v>
      </c>
      <c r="C9960" s="7" t="n">
        <v>13</v>
      </c>
      <c r="D9960" s="7" t="n">
        <v>0</v>
      </c>
      <c r="E9960" s="7" t="s">
        <v>789</v>
      </c>
      <c r="F9960" s="7" t="n">
        <v>-1</v>
      </c>
      <c r="G9960" s="7" t="n">
        <v>1</v>
      </c>
      <c r="H9960" s="7" t="n">
        <v>0</v>
      </c>
    </row>
    <row r="9961" spans="1:9">
      <c r="A9961" t="s">
        <v>4</v>
      </c>
      <c r="B9961" s="4" t="s">
        <v>5</v>
      </c>
      <c r="C9961" s="4" t="s">
        <v>11</v>
      </c>
    </row>
    <row r="9962" spans="1:9">
      <c r="A9962" t="n">
        <v>93642</v>
      </c>
      <c r="B9962" s="29" t="n">
        <v>16</v>
      </c>
      <c r="C9962" s="7" t="n">
        <v>500</v>
      </c>
    </row>
    <row r="9963" spans="1:9">
      <c r="A9963" t="s">
        <v>4</v>
      </c>
      <c r="B9963" s="4" t="s">
        <v>5</v>
      </c>
      <c r="C9963" s="4" t="s">
        <v>7</v>
      </c>
      <c r="D9963" s="4" t="s">
        <v>11</v>
      </c>
      <c r="E9963" s="4" t="s">
        <v>8</v>
      </c>
      <c r="F9963" s="4" t="s">
        <v>8</v>
      </c>
      <c r="G9963" s="4" t="s">
        <v>8</v>
      </c>
      <c r="H9963" s="4" t="s">
        <v>8</v>
      </c>
    </row>
    <row r="9964" spans="1:9">
      <c r="A9964" t="n">
        <v>93645</v>
      </c>
      <c r="B9964" s="38" t="n">
        <v>51</v>
      </c>
      <c r="C9964" s="7" t="n">
        <v>3</v>
      </c>
      <c r="D9964" s="7" t="n">
        <v>0</v>
      </c>
      <c r="E9964" s="7" t="s">
        <v>154</v>
      </c>
      <c r="F9964" s="7" t="s">
        <v>155</v>
      </c>
      <c r="G9964" s="7" t="s">
        <v>78</v>
      </c>
      <c r="H9964" s="7" t="s">
        <v>79</v>
      </c>
    </row>
    <row r="9965" spans="1:9">
      <c r="A9965" t="s">
        <v>4</v>
      </c>
      <c r="B9965" s="4" t="s">
        <v>5</v>
      </c>
      <c r="C9965" s="4" t="s">
        <v>7</v>
      </c>
      <c r="D9965" s="4" t="s">
        <v>11</v>
      </c>
      <c r="E9965" s="4" t="s">
        <v>8</v>
      </c>
      <c r="F9965" s="4" t="s">
        <v>8</v>
      </c>
      <c r="G9965" s="4" t="s">
        <v>8</v>
      </c>
      <c r="H9965" s="4" t="s">
        <v>8</v>
      </c>
    </row>
    <row r="9966" spans="1:9">
      <c r="A9966" t="n">
        <v>93658</v>
      </c>
      <c r="B9966" s="38" t="n">
        <v>51</v>
      </c>
      <c r="C9966" s="7" t="n">
        <v>3</v>
      </c>
      <c r="D9966" s="7" t="n">
        <v>13</v>
      </c>
      <c r="E9966" s="7" t="s">
        <v>319</v>
      </c>
      <c r="F9966" s="7" t="s">
        <v>79</v>
      </c>
      <c r="G9966" s="7" t="s">
        <v>16</v>
      </c>
      <c r="H9966" s="7" t="s">
        <v>68</v>
      </c>
    </row>
    <row r="9967" spans="1:9">
      <c r="A9967" t="s">
        <v>4</v>
      </c>
      <c r="B9967" s="4" t="s">
        <v>5</v>
      </c>
      <c r="C9967" s="4" t="s">
        <v>11</v>
      </c>
    </row>
    <row r="9968" spans="1:9">
      <c r="A9968" t="n">
        <v>93669</v>
      </c>
      <c r="B9968" s="29" t="n">
        <v>16</v>
      </c>
      <c r="C9968" s="7" t="n">
        <v>100</v>
      </c>
    </row>
    <row r="9969" spans="1:10">
      <c r="A9969" t="s">
        <v>4</v>
      </c>
      <c r="B9969" s="4" t="s">
        <v>5</v>
      </c>
      <c r="C9969" s="4" t="s">
        <v>7</v>
      </c>
      <c r="D9969" s="4" t="s">
        <v>11</v>
      </c>
      <c r="E9969" s="4" t="s">
        <v>13</v>
      </c>
      <c r="F9969" s="4" t="s">
        <v>11</v>
      </c>
      <c r="G9969" s="4" t="s">
        <v>15</v>
      </c>
      <c r="H9969" s="4" t="s">
        <v>15</v>
      </c>
      <c r="I9969" s="4" t="s">
        <v>11</v>
      </c>
      <c r="J9969" s="4" t="s">
        <v>11</v>
      </c>
      <c r="K9969" s="4" t="s">
        <v>15</v>
      </c>
      <c r="L9969" s="4" t="s">
        <v>15</v>
      </c>
      <c r="M9969" s="4" t="s">
        <v>15</v>
      </c>
      <c r="N9969" s="4" t="s">
        <v>15</v>
      </c>
      <c r="O9969" s="4" t="s">
        <v>8</v>
      </c>
    </row>
    <row r="9970" spans="1:10">
      <c r="A9970" t="n">
        <v>93672</v>
      </c>
      <c r="B9970" s="57" t="n">
        <v>50</v>
      </c>
      <c r="C9970" s="7" t="n">
        <v>0</v>
      </c>
      <c r="D9970" s="7" t="n">
        <v>2004</v>
      </c>
      <c r="E9970" s="7" t="n">
        <v>0.349999994039536</v>
      </c>
      <c r="F9970" s="7" t="n">
        <v>200</v>
      </c>
      <c r="G9970" s="7" t="n">
        <v>0</v>
      </c>
      <c r="H9970" s="7" t="n">
        <v>1065353216</v>
      </c>
      <c r="I9970" s="7" t="n">
        <v>0</v>
      </c>
      <c r="J9970" s="7" t="n">
        <v>65533</v>
      </c>
      <c r="K9970" s="7" t="n">
        <v>0</v>
      </c>
      <c r="L9970" s="7" t="n">
        <v>0</v>
      </c>
      <c r="M9970" s="7" t="n">
        <v>0</v>
      </c>
      <c r="N9970" s="7" t="n">
        <v>0</v>
      </c>
      <c r="O9970" s="7" t="s">
        <v>16</v>
      </c>
    </row>
    <row r="9971" spans="1:10">
      <c r="A9971" t="s">
        <v>4</v>
      </c>
      <c r="B9971" s="4" t="s">
        <v>5</v>
      </c>
      <c r="C9971" s="4" t="s">
        <v>11</v>
      </c>
      <c r="D9971" s="4" t="s">
        <v>15</v>
      </c>
      <c r="E9971" s="4" t="s">
        <v>7</v>
      </c>
    </row>
    <row r="9972" spans="1:10">
      <c r="A9972" t="n">
        <v>93711</v>
      </c>
      <c r="B9972" s="78" t="n">
        <v>35</v>
      </c>
      <c r="C9972" s="7" t="n">
        <v>13</v>
      </c>
      <c r="D9972" s="7" t="n">
        <v>0</v>
      </c>
      <c r="E9972" s="7" t="n">
        <v>0</v>
      </c>
    </row>
    <row r="9973" spans="1:10">
      <c r="A9973" t="s">
        <v>4</v>
      </c>
      <c r="B9973" s="4" t="s">
        <v>5</v>
      </c>
      <c r="C9973" s="4" t="s">
        <v>7</v>
      </c>
      <c r="D9973" s="4" t="s">
        <v>11</v>
      </c>
    </row>
    <row r="9974" spans="1:10">
      <c r="A9974" t="n">
        <v>93719</v>
      </c>
      <c r="B9974" s="51" t="n">
        <v>45</v>
      </c>
      <c r="C9974" s="7" t="n">
        <v>7</v>
      </c>
      <c r="D9974" s="7" t="n">
        <v>255</v>
      </c>
    </row>
    <row r="9975" spans="1:10">
      <c r="A9975" t="s">
        <v>4</v>
      </c>
      <c r="B9975" s="4" t="s">
        <v>5</v>
      </c>
      <c r="C9975" s="4" t="s">
        <v>7</v>
      </c>
      <c r="D9975" s="4" t="s">
        <v>11</v>
      </c>
      <c r="E9975" s="4" t="s">
        <v>8</v>
      </c>
    </row>
    <row r="9976" spans="1:10">
      <c r="A9976" t="n">
        <v>93723</v>
      </c>
      <c r="B9976" s="38" t="n">
        <v>51</v>
      </c>
      <c r="C9976" s="7" t="n">
        <v>4</v>
      </c>
      <c r="D9976" s="7" t="n">
        <v>0</v>
      </c>
      <c r="E9976" s="7" t="s">
        <v>461</v>
      </c>
    </row>
    <row r="9977" spans="1:10">
      <c r="A9977" t="s">
        <v>4</v>
      </c>
      <c r="B9977" s="4" t="s">
        <v>5</v>
      </c>
      <c r="C9977" s="4" t="s">
        <v>11</v>
      </c>
    </row>
    <row r="9978" spans="1:10">
      <c r="A9978" t="n">
        <v>93743</v>
      </c>
      <c r="B9978" s="29" t="n">
        <v>16</v>
      </c>
      <c r="C9978" s="7" t="n">
        <v>0</v>
      </c>
    </row>
    <row r="9979" spans="1:10">
      <c r="A9979" t="s">
        <v>4</v>
      </c>
      <c r="B9979" s="4" t="s">
        <v>5</v>
      </c>
      <c r="C9979" s="4" t="s">
        <v>11</v>
      </c>
      <c r="D9979" s="4" t="s">
        <v>7</v>
      </c>
      <c r="E9979" s="4" t="s">
        <v>15</v>
      </c>
      <c r="F9979" s="4" t="s">
        <v>55</v>
      </c>
      <c r="G9979" s="4" t="s">
        <v>7</v>
      </c>
      <c r="H9979" s="4" t="s">
        <v>7</v>
      </c>
    </row>
    <row r="9980" spans="1:10">
      <c r="A9980" t="n">
        <v>93746</v>
      </c>
      <c r="B9980" s="55" t="n">
        <v>26</v>
      </c>
      <c r="C9980" s="7" t="n">
        <v>0</v>
      </c>
      <c r="D9980" s="7" t="n">
        <v>17</v>
      </c>
      <c r="E9980" s="7" t="n">
        <v>65271</v>
      </c>
      <c r="F9980" s="7" t="s">
        <v>843</v>
      </c>
      <c r="G9980" s="7" t="n">
        <v>2</v>
      </c>
      <c r="H9980" s="7" t="n">
        <v>0</v>
      </c>
    </row>
    <row r="9981" spans="1:10">
      <c r="A9981" t="s">
        <v>4</v>
      </c>
      <c r="B9981" s="4" t="s">
        <v>5</v>
      </c>
    </row>
    <row r="9982" spans="1:10">
      <c r="A9982" t="n">
        <v>93768</v>
      </c>
      <c r="B9982" s="27" t="n">
        <v>28</v>
      </c>
    </row>
    <row r="9983" spans="1:10">
      <c r="A9983" t="s">
        <v>4</v>
      </c>
      <c r="B9983" s="4" t="s">
        <v>5</v>
      </c>
      <c r="C9983" s="4" t="s">
        <v>11</v>
      </c>
      <c r="D9983" s="4" t="s">
        <v>7</v>
      </c>
    </row>
    <row r="9984" spans="1:10">
      <c r="A9984" t="n">
        <v>93769</v>
      </c>
      <c r="B9984" s="68" t="n">
        <v>89</v>
      </c>
      <c r="C9984" s="7" t="n">
        <v>65533</v>
      </c>
      <c r="D9984" s="7" t="n">
        <v>1</v>
      </c>
    </row>
    <row r="9985" spans="1:15">
      <c r="A9985" t="s">
        <v>4</v>
      </c>
      <c r="B9985" s="4" t="s">
        <v>5</v>
      </c>
      <c r="C9985" s="4" t="s">
        <v>7</v>
      </c>
      <c r="D9985" s="4" t="s">
        <v>11</v>
      </c>
      <c r="E9985" s="4" t="s">
        <v>13</v>
      </c>
    </row>
    <row r="9986" spans="1:15">
      <c r="A9986" t="n">
        <v>93773</v>
      </c>
      <c r="B9986" s="23" t="n">
        <v>58</v>
      </c>
      <c r="C9986" s="7" t="n">
        <v>101</v>
      </c>
      <c r="D9986" s="7" t="n">
        <v>500</v>
      </c>
      <c r="E9986" s="7" t="n">
        <v>1</v>
      </c>
    </row>
    <row r="9987" spans="1:15">
      <c r="A9987" t="s">
        <v>4</v>
      </c>
      <c r="B9987" s="4" t="s">
        <v>5</v>
      </c>
      <c r="C9987" s="4" t="s">
        <v>7</v>
      </c>
      <c r="D9987" s="4" t="s">
        <v>11</v>
      </c>
    </row>
    <row r="9988" spans="1:15">
      <c r="A9988" t="n">
        <v>93781</v>
      </c>
      <c r="B9988" s="23" t="n">
        <v>58</v>
      </c>
      <c r="C9988" s="7" t="n">
        <v>254</v>
      </c>
      <c r="D9988" s="7" t="n">
        <v>0</v>
      </c>
    </row>
    <row r="9989" spans="1:15">
      <c r="A9989" t="s">
        <v>4</v>
      </c>
      <c r="B9989" s="4" t="s">
        <v>5</v>
      </c>
      <c r="C9989" s="4" t="s">
        <v>7</v>
      </c>
      <c r="D9989" s="4" t="s">
        <v>7</v>
      </c>
      <c r="E9989" s="4" t="s">
        <v>13</v>
      </c>
      <c r="F9989" s="4" t="s">
        <v>13</v>
      </c>
      <c r="G9989" s="4" t="s">
        <v>13</v>
      </c>
      <c r="H9989" s="4" t="s">
        <v>11</v>
      </c>
    </row>
    <row r="9990" spans="1:15">
      <c r="A9990" t="n">
        <v>93785</v>
      </c>
      <c r="B9990" s="51" t="n">
        <v>45</v>
      </c>
      <c r="C9990" s="7" t="n">
        <v>2</v>
      </c>
      <c r="D9990" s="7" t="n">
        <v>3</v>
      </c>
      <c r="E9990" s="7" t="n">
        <v>-6.80999994277954</v>
      </c>
      <c r="F9990" s="7" t="n">
        <v>6.15999984741211</v>
      </c>
      <c r="G9990" s="7" t="n">
        <v>29.8500003814697</v>
      </c>
      <c r="H9990" s="7" t="n">
        <v>0</v>
      </c>
    </row>
    <row r="9991" spans="1:15">
      <c r="A9991" t="s">
        <v>4</v>
      </c>
      <c r="B9991" s="4" t="s">
        <v>5</v>
      </c>
      <c r="C9991" s="4" t="s">
        <v>7</v>
      </c>
      <c r="D9991" s="4" t="s">
        <v>7</v>
      </c>
      <c r="E9991" s="4" t="s">
        <v>13</v>
      </c>
      <c r="F9991" s="4" t="s">
        <v>13</v>
      </c>
      <c r="G9991" s="4" t="s">
        <v>13</v>
      </c>
      <c r="H9991" s="4" t="s">
        <v>11</v>
      </c>
      <c r="I9991" s="4" t="s">
        <v>7</v>
      </c>
    </row>
    <row r="9992" spans="1:15">
      <c r="A9992" t="n">
        <v>93802</v>
      </c>
      <c r="B9992" s="51" t="n">
        <v>45</v>
      </c>
      <c r="C9992" s="7" t="n">
        <v>4</v>
      </c>
      <c r="D9992" s="7" t="n">
        <v>3</v>
      </c>
      <c r="E9992" s="7" t="n">
        <v>339.959991455078</v>
      </c>
      <c r="F9992" s="7" t="n">
        <v>118.680000305176</v>
      </c>
      <c r="G9992" s="7" t="n">
        <v>0</v>
      </c>
      <c r="H9992" s="7" t="n">
        <v>0</v>
      </c>
      <c r="I9992" s="7" t="n">
        <v>0</v>
      </c>
    </row>
    <row r="9993" spans="1:15">
      <c r="A9993" t="s">
        <v>4</v>
      </c>
      <c r="B9993" s="4" t="s">
        <v>5</v>
      </c>
      <c r="C9993" s="4" t="s">
        <v>7</v>
      </c>
      <c r="D9993" s="4" t="s">
        <v>7</v>
      </c>
      <c r="E9993" s="4" t="s">
        <v>13</v>
      </c>
      <c r="F9993" s="4" t="s">
        <v>11</v>
      </c>
    </row>
    <row r="9994" spans="1:15">
      <c r="A9994" t="n">
        <v>93820</v>
      </c>
      <c r="B9994" s="51" t="n">
        <v>45</v>
      </c>
      <c r="C9994" s="7" t="n">
        <v>5</v>
      </c>
      <c r="D9994" s="7" t="n">
        <v>3</v>
      </c>
      <c r="E9994" s="7" t="n">
        <v>0.800000011920929</v>
      </c>
      <c r="F9994" s="7" t="n">
        <v>0</v>
      </c>
    </row>
    <row r="9995" spans="1:15">
      <c r="A9995" t="s">
        <v>4</v>
      </c>
      <c r="B9995" s="4" t="s">
        <v>5</v>
      </c>
      <c r="C9995" s="4" t="s">
        <v>7</v>
      </c>
      <c r="D9995" s="4" t="s">
        <v>7</v>
      </c>
      <c r="E9995" s="4" t="s">
        <v>13</v>
      </c>
      <c r="F9995" s="4" t="s">
        <v>11</v>
      </c>
    </row>
    <row r="9996" spans="1:15">
      <c r="A9996" t="n">
        <v>93829</v>
      </c>
      <c r="B9996" s="51" t="n">
        <v>45</v>
      </c>
      <c r="C9996" s="7" t="n">
        <v>11</v>
      </c>
      <c r="D9996" s="7" t="n">
        <v>3</v>
      </c>
      <c r="E9996" s="7" t="n">
        <v>40.2999992370605</v>
      </c>
      <c r="F9996" s="7" t="n">
        <v>0</v>
      </c>
    </row>
    <row r="9997" spans="1:15">
      <c r="A9997" t="s">
        <v>4</v>
      </c>
      <c r="B9997" s="4" t="s">
        <v>5</v>
      </c>
      <c r="C9997" s="4" t="s">
        <v>7</v>
      </c>
      <c r="D9997" s="4" t="s">
        <v>7</v>
      </c>
      <c r="E9997" s="4" t="s">
        <v>13</v>
      </c>
      <c r="F9997" s="4" t="s">
        <v>13</v>
      </c>
      <c r="G9997" s="4" t="s">
        <v>13</v>
      </c>
      <c r="H9997" s="4" t="s">
        <v>11</v>
      </c>
    </row>
    <row r="9998" spans="1:15">
      <c r="A9998" t="n">
        <v>93838</v>
      </c>
      <c r="B9998" s="51" t="n">
        <v>45</v>
      </c>
      <c r="C9998" s="7" t="n">
        <v>2</v>
      </c>
      <c r="D9998" s="7" t="n">
        <v>3</v>
      </c>
      <c r="E9998" s="7" t="n">
        <v>-6.80999994277954</v>
      </c>
      <c r="F9998" s="7" t="n">
        <v>6.15999984741211</v>
      </c>
      <c r="G9998" s="7" t="n">
        <v>29.8500003814697</v>
      </c>
      <c r="H9998" s="7" t="n">
        <v>20000</v>
      </c>
    </row>
    <row r="9999" spans="1:15">
      <c r="A9999" t="s">
        <v>4</v>
      </c>
      <c r="B9999" s="4" t="s">
        <v>5</v>
      </c>
      <c r="C9999" s="4" t="s">
        <v>7</v>
      </c>
      <c r="D9999" s="4" t="s">
        <v>7</v>
      </c>
      <c r="E9999" s="4" t="s">
        <v>13</v>
      </c>
      <c r="F9999" s="4" t="s">
        <v>13</v>
      </c>
      <c r="G9999" s="4" t="s">
        <v>13</v>
      </c>
      <c r="H9999" s="4" t="s">
        <v>11</v>
      </c>
      <c r="I9999" s="4" t="s">
        <v>7</v>
      </c>
    </row>
    <row r="10000" spans="1:15">
      <c r="A10000" t="n">
        <v>93855</v>
      </c>
      <c r="B10000" s="51" t="n">
        <v>45</v>
      </c>
      <c r="C10000" s="7" t="n">
        <v>4</v>
      </c>
      <c r="D10000" s="7" t="n">
        <v>3</v>
      </c>
      <c r="E10000" s="7" t="n">
        <v>339.959991455078</v>
      </c>
      <c r="F10000" s="7" t="n">
        <v>99.8399963378906</v>
      </c>
      <c r="G10000" s="7" t="n">
        <v>0</v>
      </c>
      <c r="H10000" s="7" t="n">
        <v>20000</v>
      </c>
      <c r="I10000" s="7" t="n">
        <v>1</v>
      </c>
    </row>
    <row r="10001" spans="1:9">
      <c r="A10001" t="s">
        <v>4</v>
      </c>
      <c r="B10001" s="4" t="s">
        <v>5</v>
      </c>
      <c r="C10001" s="4" t="s">
        <v>7</v>
      </c>
      <c r="D10001" s="4" t="s">
        <v>7</v>
      </c>
      <c r="E10001" s="4" t="s">
        <v>13</v>
      </c>
      <c r="F10001" s="4" t="s">
        <v>11</v>
      </c>
    </row>
    <row r="10002" spans="1:9">
      <c r="A10002" t="n">
        <v>93873</v>
      </c>
      <c r="B10002" s="51" t="n">
        <v>45</v>
      </c>
      <c r="C10002" s="7" t="n">
        <v>5</v>
      </c>
      <c r="D10002" s="7" t="n">
        <v>3</v>
      </c>
      <c r="E10002" s="7" t="n">
        <v>0.800000011920929</v>
      </c>
      <c r="F10002" s="7" t="n">
        <v>20000</v>
      </c>
    </row>
    <row r="10003" spans="1:9">
      <c r="A10003" t="s">
        <v>4</v>
      </c>
      <c r="B10003" s="4" t="s">
        <v>5</v>
      </c>
      <c r="C10003" s="4" t="s">
        <v>7</v>
      </c>
      <c r="D10003" s="4" t="s">
        <v>7</v>
      </c>
      <c r="E10003" s="4" t="s">
        <v>13</v>
      </c>
      <c r="F10003" s="4" t="s">
        <v>11</v>
      </c>
    </row>
    <row r="10004" spans="1:9">
      <c r="A10004" t="n">
        <v>93882</v>
      </c>
      <c r="B10004" s="51" t="n">
        <v>45</v>
      </c>
      <c r="C10004" s="7" t="n">
        <v>11</v>
      </c>
      <c r="D10004" s="7" t="n">
        <v>3</v>
      </c>
      <c r="E10004" s="7" t="n">
        <v>40.2999992370605</v>
      </c>
      <c r="F10004" s="7" t="n">
        <v>20000</v>
      </c>
    </row>
    <row r="10005" spans="1:9">
      <c r="A10005" t="s">
        <v>4</v>
      </c>
      <c r="B10005" s="4" t="s">
        <v>5</v>
      </c>
      <c r="C10005" s="4" t="s">
        <v>7</v>
      </c>
      <c r="D10005" s="4" t="s">
        <v>11</v>
      </c>
    </row>
    <row r="10006" spans="1:9">
      <c r="A10006" t="n">
        <v>93891</v>
      </c>
      <c r="B10006" s="23" t="n">
        <v>58</v>
      </c>
      <c r="C10006" s="7" t="n">
        <v>255</v>
      </c>
      <c r="D10006" s="7" t="n">
        <v>0</v>
      </c>
    </row>
    <row r="10007" spans="1:9">
      <c r="A10007" t="s">
        <v>4</v>
      </c>
      <c r="B10007" s="4" t="s">
        <v>5</v>
      </c>
      <c r="C10007" s="4" t="s">
        <v>7</v>
      </c>
      <c r="D10007" s="4" t="s">
        <v>11</v>
      </c>
      <c r="E10007" s="4" t="s">
        <v>8</v>
      </c>
    </row>
    <row r="10008" spans="1:9">
      <c r="A10008" t="n">
        <v>93895</v>
      </c>
      <c r="B10008" s="38" t="n">
        <v>51</v>
      </c>
      <c r="C10008" s="7" t="n">
        <v>4</v>
      </c>
      <c r="D10008" s="7" t="n">
        <v>13</v>
      </c>
      <c r="E10008" s="7" t="s">
        <v>709</v>
      </c>
    </row>
    <row r="10009" spans="1:9">
      <c r="A10009" t="s">
        <v>4</v>
      </c>
      <c r="B10009" s="4" t="s">
        <v>5</v>
      </c>
      <c r="C10009" s="4" t="s">
        <v>11</v>
      </c>
    </row>
    <row r="10010" spans="1:9">
      <c r="A10010" t="n">
        <v>93909</v>
      </c>
      <c r="B10010" s="29" t="n">
        <v>16</v>
      </c>
      <c r="C10010" s="7" t="n">
        <v>0</v>
      </c>
    </row>
    <row r="10011" spans="1:9">
      <c r="A10011" t="s">
        <v>4</v>
      </c>
      <c r="B10011" s="4" t="s">
        <v>5</v>
      </c>
      <c r="C10011" s="4" t="s">
        <v>11</v>
      </c>
      <c r="D10011" s="4" t="s">
        <v>7</v>
      </c>
      <c r="E10011" s="4" t="s">
        <v>15</v>
      </c>
      <c r="F10011" s="4" t="s">
        <v>55</v>
      </c>
      <c r="G10011" s="4" t="s">
        <v>7</v>
      </c>
      <c r="H10011" s="4" t="s">
        <v>7</v>
      </c>
      <c r="I10011" s="4" t="s">
        <v>7</v>
      </c>
      <c r="J10011" s="4" t="s">
        <v>15</v>
      </c>
      <c r="K10011" s="4" t="s">
        <v>55</v>
      </c>
      <c r="L10011" s="4" t="s">
        <v>7</v>
      </c>
      <c r="M10011" s="4" t="s">
        <v>7</v>
      </c>
      <c r="N10011" s="4" t="s">
        <v>7</v>
      </c>
      <c r="O10011" s="4" t="s">
        <v>15</v>
      </c>
      <c r="P10011" s="4" t="s">
        <v>55</v>
      </c>
      <c r="Q10011" s="4" t="s">
        <v>7</v>
      </c>
      <c r="R10011" s="4" t="s">
        <v>7</v>
      </c>
    </row>
    <row r="10012" spans="1:9">
      <c r="A10012" t="n">
        <v>93912</v>
      </c>
      <c r="B10012" s="55" t="n">
        <v>26</v>
      </c>
      <c r="C10012" s="7" t="n">
        <v>13</v>
      </c>
      <c r="D10012" s="7" t="n">
        <v>17</v>
      </c>
      <c r="E10012" s="7" t="n">
        <v>11819</v>
      </c>
      <c r="F10012" s="7" t="s">
        <v>844</v>
      </c>
      <c r="G10012" s="7" t="n">
        <v>2</v>
      </c>
      <c r="H10012" s="7" t="n">
        <v>3</v>
      </c>
      <c r="I10012" s="7" t="n">
        <v>17</v>
      </c>
      <c r="J10012" s="7" t="n">
        <v>11820</v>
      </c>
      <c r="K10012" s="7" t="s">
        <v>845</v>
      </c>
      <c r="L10012" s="7" t="n">
        <v>2</v>
      </c>
      <c r="M10012" s="7" t="n">
        <v>3</v>
      </c>
      <c r="N10012" s="7" t="n">
        <v>17</v>
      </c>
      <c r="O10012" s="7" t="n">
        <v>11821</v>
      </c>
      <c r="P10012" s="7" t="s">
        <v>846</v>
      </c>
      <c r="Q10012" s="7" t="n">
        <v>2</v>
      </c>
      <c r="R10012" s="7" t="n">
        <v>0</v>
      </c>
    </row>
    <row r="10013" spans="1:9">
      <c r="A10013" t="s">
        <v>4</v>
      </c>
      <c r="B10013" s="4" t="s">
        <v>5</v>
      </c>
    </row>
    <row r="10014" spans="1:9">
      <c r="A10014" t="n">
        <v>94184</v>
      </c>
      <c r="B10014" s="27" t="n">
        <v>28</v>
      </c>
    </row>
    <row r="10015" spans="1:9">
      <c r="A10015" t="s">
        <v>4</v>
      </c>
      <c r="B10015" s="4" t="s">
        <v>5</v>
      </c>
      <c r="C10015" s="4" t="s">
        <v>7</v>
      </c>
      <c r="D10015" s="4" t="s">
        <v>11</v>
      </c>
      <c r="E10015" s="4" t="s">
        <v>8</v>
      </c>
    </row>
    <row r="10016" spans="1:9">
      <c r="A10016" t="n">
        <v>94185</v>
      </c>
      <c r="B10016" s="38" t="n">
        <v>51</v>
      </c>
      <c r="C10016" s="7" t="n">
        <v>4</v>
      </c>
      <c r="D10016" s="7" t="n">
        <v>0</v>
      </c>
      <c r="E10016" s="7" t="s">
        <v>847</v>
      </c>
    </row>
    <row r="10017" spans="1:18">
      <c r="A10017" t="s">
        <v>4</v>
      </c>
      <c r="B10017" s="4" t="s">
        <v>5</v>
      </c>
      <c r="C10017" s="4" t="s">
        <v>11</v>
      </c>
    </row>
    <row r="10018" spans="1:18">
      <c r="A10018" t="n">
        <v>94203</v>
      </c>
      <c r="B10018" s="29" t="n">
        <v>16</v>
      </c>
      <c r="C10018" s="7" t="n">
        <v>0</v>
      </c>
    </row>
    <row r="10019" spans="1:18">
      <c r="A10019" t="s">
        <v>4</v>
      </c>
      <c r="B10019" s="4" t="s">
        <v>5</v>
      </c>
      <c r="C10019" s="4" t="s">
        <v>11</v>
      </c>
      <c r="D10019" s="4" t="s">
        <v>7</v>
      </c>
      <c r="E10019" s="4" t="s">
        <v>15</v>
      </c>
      <c r="F10019" s="4" t="s">
        <v>55</v>
      </c>
      <c r="G10019" s="4" t="s">
        <v>7</v>
      </c>
      <c r="H10019" s="4" t="s">
        <v>7</v>
      </c>
    </row>
    <row r="10020" spans="1:18">
      <c r="A10020" t="n">
        <v>94206</v>
      </c>
      <c r="B10020" s="55" t="n">
        <v>26</v>
      </c>
      <c r="C10020" s="7" t="n">
        <v>0</v>
      </c>
      <c r="D10020" s="7" t="n">
        <v>17</v>
      </c>
      <c r="E10020" s="7" t="n">
        <v>64059</v>
      </c>
      <c r="F10020" s="7" t="s">
        <v>848</v>
      </c>
      <c r="G10020" s="7" t="n">
        <v>2</v>
      </c>
      <c r="H10020" s="7" t="n">
        <v>0</v>
      </c>
    </row>
    <row r="10021" spans="1:18">
      <c r="A10021" t="s">
        <v>4</v>
      </c>
      <c r="B10021" s="4" t="s">
        <v>5</v>
      </c>
    </row>
    <row r="10022" spans="1:18">
      <c r="A10022" t="n">
        <v>94233</v>
      </c>
      <c r="B10022" s="27" t="n">
        <v>28</v>
      </c>
    </row>
    <row r="10023" spans="1:18">
      <c r="A10023" t="s">
        <v>4</v>
      </c>
      <c r="B10023" s="4" t="s">
        <v>5</v>
      </c>
      <c r="C10023" s="4" t="s">
        <v>11</v>
      </c>
      <c r="D10023" s="4" t="s">
        <v>7</v>
      </c>
    </row>
    <row r="10024" spans="1:18">
      <c r="A10024" t="n">
        <v>94234</v>
      </c>
      <c r="B10024" s="68" t="n">
        <v>89</v>
      </c>
      <c r="C10024" s="7" t="n">
        <v>65533</v>
      </c>
      <c r="D10024" s="7" t="n">
        <v>1</v>
      </c>
    </row>
    <row r="10025" spans="1:18">
      <c r="A10025" t="s">
        <v>4</v>
      </c>
      <c r="B10025" s="4" t="s">
        <v>5</v>
      </c>
      <c r="C10025" s="4" t="s">
        <v>11</v>
      </c>
    </row>
    <row r="10026" spans="1:18">
      <c r="A10026" t="n">
        <v>94238</v>
      </c>
      <c r="B10026" s="29" t="n">
        <v>16</v>
      </c>
      <c r="C10026" s="7" t="n">
        <v>1000</v>
      </c>
    </row>
    <row r="10027" spans="1:18">
      <c r="A10027" t="s">
        <v>4</v>
      </c>
      <c r="B10027" s="4" t="s">
        <v>5</v>
      </c>
      <c r="C10027" s="4" t="s">
        <v>7</v>
      </c>
      <c r="D10027" s="4" t="s">
        <v>13</v>
      </c>
      <c r="E10027" s="4" t="s">
        <v>11</v>
      </c>
      <c r="F10027" s="4" t="s">
        <v>7</v>
      </c>
    </row>
    <row r="10028" spans="1:18">
      <c r="A10028" t="n">
        <v>94241</v>
      </c>
      <c r="B10028" s="13" t="n">
        <v>49</v>
      </c>
      <c r="C10028" s="7" t="n">
        <v>3</v>
      </c>
      <c r="D10028" s="7" t="n">
        <v>1</v>
      </c>
      <c r="E10028" s="7" t="n">
        <v>1000</v>
      </c>
      <c r="F10028" s="7" t="n">
        <v>0</v>
      </c>
    </row>
    <row r="10029" spans="1:18">
      <c r="A10029" t="s">
        <v>4</v>
      </c>
      <c r="B10029" s="4" t="s">
        <v>5</v>
      </c>
      <c r="C10029" s="4" t="s">
        <v>7</v>
      </c>
      <c r="D10029" s="4" t="s">
        <v>11</v>
      </c>
      <c r="E10029" s="4" t="s">
        <v>13</v>
      </c>
    </row>
    <row r="10030" spans="1:18">
      <c r="A10030" t="n">
        <v>94250</v>
      </c>
      <c r="B10030" s="23" t="n">
        <v>58</v>
      </c>
      <c r="C10030" s="7" t="n">
        <v>101</v>
      </c>
      <c r="D10030" s="7" t="n">
        <v>1000</v>
      </c>
      <c r="E10030" s="7" t="n">
        <v>1</v>
      </c>
    </row>
    <row r="10031" spans="1:18">
      <c r="A10031" t="s">
        <v>4</v>
      </c>
      <c r="B10031" s="4" t="s">
        <v>5</v>
      </c>
      <c r="C10031" s="4" t="s">
        <v>7</v>
      </c>
      <c r="D10031" s="4" t="s">
        <v>11</v>
      </c>
    </row>
    <row r="10032" spans="1:18">
      <c r="A10032" t="n">
        <v>94258</v>
      </c>
      <c r="B10032" s="23" t="n">
        <v>58</v>
      </c>
      <c r="C10032" s="7" t="n">
        <v>254</v>
      </c>
      <c r="D10032" s="7" t="n">
        <v>0</v>
      </c>
    </row>
    <row r="10033" spans="1:8">
      <c r="A10033" t="s">
        <v>4</v>
      </c>
      <c r="B10033" s="4" t="s">
        <v>5</v>
      </c>
      <c r="C10033" s="4" t="s">
        <v>7</v>
      </c>
    </row>
    <row r="10034" spans="1:8">
      <c r="A10034" t="n">
        <v>94262</v>
      </c>
      <c r="B10034" s="49" t="n">
        <v>116</v>
      </c>
      <c r="C10034" s="7" t="n">
        <v>0</v>
      </c>
    </row>
    <row r="10035" spans="1:8">
      <c r="A10035" t="s">
        <v>4</v>
      </c>
      <c r="B10035" s="4" t="s">
        <v>5</v>
      </c>
      <c r="C10035" s="4" t="s">
        <v>7</v>
      </c>
      <c r="D10035" s="4" t="s">
        <v>11</v>
      </c>
    </row>
    <row r="10036" spans="1:8">
      <c r="A10036" t="n">
        <v>94264</v>
      </c>
      <c r="B10036" s="49" t="n">
        <v>116</v>
      </c>
      <c r="C10036" s="7" t="n">
        <v>2</v>
      </c>
      <c r="D10036" s="7" t="n">
        <v>1</v>
      </c>
    </row>
    <row r="10037" spans="1:8">
      <c r="A10037" t="s">
        <v>4</v>
      </c>
      <c r="B10037" s="4" t="s">
        <v>5</v>
      </c>
      <c r="C10037" s="4" t="s">
        <v>7</v>
      </c>
      <c r="D10037" s="4" t="s">
        <v>15</v>
      </c>
    </row>
    <row r="10038" spans="1:8">
      <c r="A10038" t="n">
        <v>94268</v>
      </c>
      <c r="B10038" s="49" t="n">
        <v>116</v>
      </c>
      <c r="C10038" s="7" t="n">
        <v>5</v>
      </c>
      <c r="D10038" s="7" t="n">
        <v>1092616192</v>
      </c>
    </row>
    <row r="10039" spans="1:8">
      <c r="A10039" t="s">
        <v>4</v>
      </c>
      <c r="B10039" s="4" t="s">
        <v>5</v>
      </c>
      <c r="C10039" s="4" t="s">
        <v>7</v>
      </c>
      <c r="D10039" s="4" t="s">
        <v>11</v>
      </c>
    </row>
    <row r="10040" spans="1:8">
      <c r="A10040" t="n">
        <v>94274</v>
      </c>
      <c r="B10040" s="49" t="n">
        <v>116</v>
      </c>
      <c r="C10040" s="7" t="n">
        <v>6</v>
      </c>
      <c r="D10040" s="7" t="n">
        <v>1</v>
      </c>
    </row>
    <row r="10041" spans="1:8">
      <c r="A10041" t="s">
        <v>4</v>
      </c>
      <c r="B10041" s="4" t="s">
        <v>5</v>
      </c>
      <c r="C10041" s="4" t="s">
        <v>7</v>
      </c>
      <c r="D10041" s="4" t="s">
        <v>11</v>
      </c>
      <c r="E10041" s="4" t="s">
        <v>8</v>
      </c>
      <c r="F10041" s="4" t="s">
        <v>8</v>
      </c>
      <c r="G10041" s="4" t="s">
        <v>8</v>
      </c>
      <c r="H10041" s="4" t="s">
        <v>8</v>
      </c>
    </row>
    <row r="10042" spans="1:8">
      <c r="A10042" t="n">
        <v>94278</v>
      </c>
      <c r="B10042" s="38" t="n">
        <v>51</v>
      </c>
      <c r="C10042" s="7" t="n">
        <v>3</v>
      </c>
      <c r="D10042" s="7" t="n">
        <v>13</v>
      </c>
      <c r="E10042" s="7" t="s">
        <v>319</v>
      </c>
      <c r="F10042" s="7" t="s">
        <v>232</v>
      </c>
      <c r="G10042" s="7" t="s">
        <v>16</v>
      </c>
      <c r="H10042" s="7" t="s">
        <v>68</v>
      </c>
    </row>
    <row r="10043" spans="1:8">
      <c r="A10043" t="s">
        <v>4</v>
      </c>
      <c r="B10043" s="4" t="s">
        <v>5</v>
      </c>
      <c r="C10043" s="4" t="s">
        <v>7</v>
      </c>
      <c r="D10043" s="4" t="s">
        <v>7</v>
      </c>
      <c r="E10043" s="4" t="s">
        <v>13</v>
      </c>
      <c r="F10043" s="4" t="s">
        <v>13</v>
      </c>
      <c r="G10043" s="4" t="s">
        <v>13</v>
      </c>
      <c r="H10043" s="4" t="s">
        <v>11</v>
      </c>
    </row>
    <row r="10044" spans="1:8">
      <c r="A10044" t="n">
        <v>94289</v>
      </c>
      <c r="B10044" s="51" t="n">
        <v>45</v>
      </c>
      <c r="C10044" s="7" t="n">
        <v>2</v>
      </c>
      <c r="D10044" s="7" t="n">
        <v>3</v>
      </c>
      <c r="E10044" s="7" t="n">
        <v>-6.67000007629395</v>
      </c>
      <c r="F10044" s="7" t="n">
        <v>6.42000007629395</v>
      </c>
      <c r="G10044" s="7" t="n">
        <v>29.8899993896484</v>
      </c>
      <c r="H10044" s="7" t="n">
        <v>0</v>
      </c>
    </row>
    <row r="10045" spans="1:8">
      <c r="A10045" t="s">
        <v>4</v>
      </c>
      <c r="B10045" s="4" t="s">
        <v>5</v>
      </c>
      <c r="C10045" s="4" t="s">
        <v>7</v>
      </c>
      <c r="D10045" s="4" t="s">
        <v>7</v>
      </c>
      <c r="E10045" s="4" t="s">
        <v>13</v>
      </c>
      <c r="F10045" s="4" t="s">
        <v>13</v>
      </c>
      <c r="G10045" s="4" t="s">
        <v>13</v>
      </c>
      <c r="H10045" s="4" t="s">
        <v>11</v>
      </c>
      <c r="I10045" s="4" t="s">
        <v>7</v>
      </c>
    </row>
    <row r="10046" spans="1:8">
      <c r="A10046" t="n">
        <v>94306</v>
      </c>
      <c r="B10046" s="51" t="n">
        <v>45</v>
      </c>
      <c r="C10046" s="7" t="n">
        <v>4</v>
      </c>
      <c r="D10046" s="7" t="n">
        <v>3</v>
      </c>
      <c r="E10046" s="7" t="n">
        <v>15.4700002670288</v>
      </c>
      <c r="F10046" s="7" t="n">
        <v>56.1100006103516</v>
      </c>
      <c r="G10046" s="7" t="n">
        <v>354</v>
      </c>
      <c r="H10046" s="7" t="n">
        <v>0</v>
      </c>
      <c r="I10046" s="7" t="n">
        <v>0</v>
      </c>
    </row>
    <row r="10047" spans="1:8">
      <c r="A10047" t="s">
        <v>4</v>
      </c>
      <c r="B10047" s="4" t="s">
        <v>5</v>
      </c>
      <c r="C10047" s="4" t="s">
        <v>7</v>
      </c>
      <c r="D10047" s="4" t="s">
        <v>7</v>
      </c>
      <c r="E10047" s="4" t="s">
        <v>13</v>
      </c>
      <c r="F10047" s="4" t="s">
        <v>11</v>
      </c>
    </row>
    <row r="10048" spans="1:8">
      <c r="A10048" t="n">
        <v>94324</v>
      </c>
      <c r="B10048" s="51" t="n">
        <v>45</v>
      </c>
      <c r="C10048" s="7" t="n">
        <v>5</v>
      </c>
      <c r="D10048" s="7" t="n">
        <v>3</v>
      </c>
      <c r="E10048" s="7" t="n">
        <v>1.5</v>
      </c>
      <c r="F10048" s="7" t="n">
        <v>0</v>
      </c>
    </row>
    <row r="10049" spans="1:9">
      <c r="A10049" t="s">
        <v>4</v>
      </c>
      <c r="B10049" s="4" t="s">
        <v>5</v>
      </c>
      <c r="C10049" s="4" t="s">
        <v>7</v>
      </c>
      <c r="D10049" s="4" t="s">
        <v>7</v>
      </c>
      <c r="E10049" s="4" t="s">
        <v>13</v>
      </c>
      <c r="F10049" s="4" t="s">
        <v>11</v>
      </c>
    </row>
    <row r="10050" spans="1:9">
      <c r="A10050" t="n">
        <v>94333</v>
      </c>
      <c r="B10050" s="51" t="n">
        <v>45</v>
      </c>
      <c r="C10050" s="7" t="n">
        <v>11</v>
      </c>
      <c r="D10050" s="7" t="n">
        <v>3</v>
      </c>
      <c r="E10050" s="7" t="n">
        <v>40.2999992370605</v>
      </c>
      <c r="F10050" s="7" t="n">
        <v>0</v>
      </c>
    </row>
    <row r="10051" spans="1:9">
      <c r="A10051" t="s">
        <v>4</v>
      </c>
      <c r="B10051" s="4" t="s">
        <v>5</v>
      </c>
      <c r="C10051" s="4" t="s">
        <v>7</v>
      </c>
      <c r="D10051" s="4" t="s">
        <v>7</v>
      </c>
      <c r="E10051" s="4" t="s">
        <v>13</v>
      </c>
      <c r="F10051" s="4" t="s">
        <v>13</v>
      </c>
      <c r="G10051" s="4" t="s">
        <v>13</v>
      </c>
      <c r="H10051" s="4" t="s">
        <v>11</v>
      </c>
    </row>
    <row r="10052" spans="1:9">
      <c r="A10052" t="n">
        <v>94342</v>
      </c>
      <c r="B10052" s="51" t="n">
        <v>45</v>
      </c>
      <c r="C10052" s="7" t="n">
        <v>2</v>
      </c>
      <c r="D10052" s="7" t="n">
        <v>3</v>
      </c>
      <c r="E10052" s="7" t="n">
        <v>-6.34000015258789</v>
      </c>
      <c r="F10052" s="7" t="n">
        <v>6.59000015258789</v>
      </c>
      <c r="G10052" s="7" t="n">
        <v>28.8899993896484</v>
      </c>
      <c r="H10052" s="7" t="n">
        <v>6000</v>
      </c>
    </row>
    <row r="10053" spans="1:9">
      <c r="A10053" t="s">
        <v>4</v>
      </c>
      <c r="B10053" s="4" t="s">
        <v>5</v>
      </c>
      <c r="C10053" s="4" t="s">
        <v>7</v>
      </c>
      <c r="D10053" s="4" t="s">
        <v>7</v>
      </c>
      <c r="E10053" s="4" t="s">
        <v>13</v>
      </c>
      <c r="F10053" s="4" t="s">
        <v>13</v>
      </c>
      <c r="G10053" s="4" t="s">
        <v>13</v>
      </c>
      <c r="H10053" s="4" t="s">
        <v>11</v>
      </c>
      <c r="I10053" s="4" t="s">
        <v>7</v>
      </c>
    </row>
    <row r="10054" spans="1:9">
      <c r="A10054" t="n">
        <v>94359</v>
      </c>
      <c r="B10054" s="51" t="n">
        <v>45</v>
      </c>
      <c r="C10054" s="7" t="n">
        <v>4</v>
      </c>
      <c r="D10054" s="7" t="n">
        <v>3</v>
      </c>
      <c r="E10054" s="7" t="n">
        <v>10.7700004577637</v>
      </c>
      <c r="F10054" s="7" t="n">
        <v>43.6100006103516</v>
      </c>
      <c r="G10054" s="7" t="n">
        <v>360</v>
      </c>
      <c r="H10054" s="7" t="n">
        <v>6000</v>
      </c>
      <c r="I10054" s="7" t="n">
        <v>1</v>
      </c>
    </row>
    <row r="10055" spans="1:9">
      <c r="A10055" t="s">
        <v>4</v>
      </c>
      <c r="B10055" s="4" t="s">
        <v>5</v>
      </c>
      <c r="C10055" s="4" t="s">
        <v>7</v>
      </c>
      <c r="D10055" s="4" t="s">
        <v>11</v>
      </c>
    </row>
    <row r="10056" spans="1:9">
      <c r="A10056" t="n">
        <v>94377</v>
      </c>
      <c r="B10056" s="23" t="n">
        <v>58</v>
      </c>
      <c r="C10056" s="7" t="n">
        <v>255</v>
      </c>
      <c r="D10056" s="7" t="n">
        <v>0</v>
      </c>
    </row>
    <row r="10057" spans="1:9">
      <c r="A10057" t="s">
        <v>4</v>
      </c>
      <c r="B10057" s="4" t="s">
        <v>5</v>
      </c>
      <c r="C10057" s="4" t="s">
        <v>7</v>
      </c>
      <c r="D10057" s="4" t="s">
        <v>11</v>
      </c>
    </row>
    <row r="10058" spans="1:9">
      <c r="A10058" t="n">
        <v>94381</v>
      </c>
      <c r="B10058" s="51" t="n">
        <v>45</v>
      </c>
      <c r="C10058" s="7" t="n">
        <v>7</v>
      </c>
      <c r="D10058" s="7" t="n">
        <v>255</v>
      </c>
    </row>
    <row r="10059" spans="1:9">
      <c r="A10059" t="s">
        <v>4</v>
      </c>
      <c r="B10059" s="4" t="s">
        <v>5</v>
      </c>
      <c r="C10059" s="4" t="s">
        <v>7</v>
      </c>
      <c r="D10059" s="4" t="s">
        <v>11</v>
      </c>
      <c r="E10059" s="4" t="s">
        <v>13</v>
      </c>
    </row>
    <row r="10060" spans="1:9">
      <c r="A10060" t="n">
        <v>94385</v>
      </c>
      <c r="B10060" s="23" t="n">
        <v>58</v>
      </c>
      <c r="C10060" s="7" t="n">
        <v>0</v>
      </c>
      <c r="D10060" s="7" t="n">
        <v>2000</v>
      </c>
      <c r="E10060" s="7" t="n">
        <v>1</v>
      </c>
    </row>
    <row r="10061" spans="1:9">
      <c r="A10061" t="s">
        <v>4</v>
      </c>
      <c r="B10061" s="4" t="s">
        <v>5</v>
      </c>
      <c r="C10061" s="4" t="s">
        <v>7</v>
      </c>
      <c r="D10061" s="4" t="s">
        <v>11</v>
      </c>
    </row>
    <row r="10062" spans="1:9">
      <c r="A10062" t="n">
        <v>94393</v>
      </c>
      <c r="B10062" s="23" t="n">
        <v>58</v>
      </c>
      <c r="C10062" s="7" t="n">
        <v>255</v>
      </c>
      <c r="D10062" s="7" t="n">
        <v>0</v>
      </c>
    </row>
    <row r="10063" spans="1:9">
      <c r="A10063" t="s">
        <v>4</v>
      </c>
      <c r="B10063" s="4" t="s">
        <v>5</v>
      </c>
      <c r="C10063" s="4" t="s">
        <v>7</v>
      </c>
      <c r="D10063" s="4" t="s">
        <v>11</v>
      </c>
      <c r="E10063" s="4" t="s">
        <v>11</v>
      </c>
      <c r="F10063" s="4" t="s">
        <v>15</v>
      </c>
    </row>
    <row r="10064" spans="1:9">
      <c r="A10064" t="n">
        <v>94397</v>
      </c>
      <c r="B10064" s="76" t="n">
        <v>84</v>
      </c>
      <c r="C10064" s="7" t="n">
        <v>1</v>
      </c>
      <c r="D10064" s="7" t="n">
        <v>0</v>
      </c>
      <c r="E10064" s="7" t="n">
        <v>0</v>
      </c>
      <c r="F10064" s="7" t="n">
        <v>0</v>
      </c>
    </row>
    <row r="10065" spans="1:9">
      <c r="A10065" t="s">
        <v>4</v>
      </c>
      <c r="B10065" s="4" t="s">
        <v>5</v>
      </c>
      <c r="C10065" s="4" t="s">
        <v>7</v>
      </c>
    </row>
    <row r="10066" spans="1:9">
      <c r="A10066" t="n">
        <v>94407</v>
      </c>
      <c r="B10066" s="28" t="n">
        <v>78</v>
      </c>
      <c r="C10066" s="7" t="n">
        <v>255</v>
      </c>
    </row>
    <row r="10067" spans="1:9">
      <c r="A10067" t="s">
        <v>4</v>
      </c>
      <c r="B10067" s="4" t="s">
        <v>5</v>
      </c>
      <c r="C10067" s="4" t="s">
        <v>7</v>
      </c>
      <c r="D10067" s="4" t="s">
        <v>11</v>
      </c>
      <c r="E10067" s="4" t="s">
        <v>7</v>
      </c>
    </row>
    <row r="10068" spans="1:9">
      <c r="A10068" t="n">
        <v>94409</v>
      </c>
      <c r="B10068" s="40" t="n">
        <v>36</v>
      </c>
      <c r="C10068" s="7" t="n">
        <v>9</v>
      </c>
      <c r="D10068" s="7" t="n">
        <v>0</v>
      </c>
      <c r="E10068" s="7" t="n">
        <v>0</v>
      </c>
    </row>
    <row r="10069" spans="1:9">
      <c r="A10069" t="s">
        <v>4</v>
      </c>
      <c r="B10069" s="4" t="s">
        <v>5</v>
      </c>
      <c r="C10069" s="4" t="s">
        <v>7</v>
      </c>
      <c r="D10069" s="4" t="s">
        <v>11</v>
      </c>
      <c r="E10069" s="4" t="s">
        <v>7</v>
      </c>
    </row>
    <row r="10070" spans="1:9">
      <c r="A10070" t="n">
        <v>94414</v>
      </c>
      <c r="B10070" s="40" t="n">
        <v>36</v>
      </c>
      <c r="C10070" s="7" t="n">
        <v>9</v>
      </c>
      <c r="D10070" s="7" t="n">
        <v>13</v>
      </c>
      <c r="E10070" s="7" t="n">
        <v>0</v>
      </c>
    </row>
    <row r="10071" spans="1:9">
      <c r="A10071" t="s">
        <v>4</v>
      </c>
      <c r="B10071" s="4" t="s">
        <v>5</v>
      </c>
      <c r="C10071" s="4" t="s">
        <v>11</v>
      </c>
    </row>
    <row r="10072" spans="1:9">
      <c r="A10072" t="n">
        <v>94419</v>
      </c>
      <c r="B10072" s="43" t="n">
        <v>12</v>
      </c>
      <c r="C10072" s="7" t="n">
        <v>10863</v>
      </c>
    </row>
    <row r="10073" spans="1:9">
      <c r="A10073" t="s">
        <v>4</v>
      </c>
      <c r="B10073" s="4" t="s">
        <v>5</v>
      </c>
      <c r="C10073" s="4" t="s">
        <v>11</v>
      </c>
    </row>
    <row r="10074" spans="1:9">
      <c r="A10074" t="n">
        <v>94422</v>
      </c>
      <c r="B10074" s="43" t="n">
        <v>12</v>
      </c>
      <c r="C10074" s="7" t="n">
        <v>6586</v>
      </c>
    </row>
    <row r="10075" spans="1:9">
      <c r="A10075" t="s">
        <v>4</v>
      </c>
      <c r="B10075" s="4" t="s">
        <v>5</v>
      </c>
      <c r="C10075" s="4" t="s">
        <v>7</v>
      </c>
      <c r="D10075" s="4" t="s">
        <v>15</v>
      </c>
    </row>
    <row r="10076" spans="1:9">
      <c r="A10076" t="n">
        <v>94425</v>
      </c>
      <c r="B10076" s="79" t="n">
        <v>137</v>
      </c>
      <c r="C10076" s="7" t="n">
        <v>6</v>
      </c>
      <c r="D10076" s="7" t="n">
        <v>4194304</v>
      </c>
    </row>
    <row r="10077" spans="1:9">
      <c r="A10077" t="s">
        <v>4</v>
      </c>
      <c r="B10077" s="4" t="s">
        <v>5</v>
      </c>
      <c r="C10077" s="4" t="s">
        <v>11</v>
      </c>
      <c r="D10077" s="4" t="s">
        <v>7</v>
      </c>
      <c r="E10077" s="4" t="s">
        <v>11</v>
      </c>
    </row>
    <row r="10078" spans="1:9">
      <c r="A10078" t="n">
        <v>94431</v>
      </c>
      <c r="B10078" s="58" t="n">
        <v>104</v>
      </c>
      <c r="C10078" s="7" t="n">
        <v>127</v>
      </c>
      <c r="D10078" s="7" t="n">
        <v>1</v>
      </c>
      <c r="E10078" s="7" t="n">
        <v>13</v>
      </c>
    </row>
    <row r="10079" spans="1:9">
      <c r="A10079" t="s">
        <v>4</v>
      </c>
      <c r="B10079" s="4" t="s">
        <v>5</v>
      </c>
    </row>
    <row r="10080" spans="1:9">
      <c r="A10080" t="n">
        <v>94437</v>
      </c>
      <c r="B10080" s="5" t="n">
        <v>1</v>
      </c>
    </row>
    <row r="10081" spans="1:5">
      <c r="A10081" t="s">
        <v>4</v>
      </c>
      <c r="B10081" s="4" t="s">
        <v>5</v>
      </c>
      <c r="C10081" s="4" t="s">
        <v>7</v>
      </c>
      <c r="D10081" s="4" t="s">
        <v>11</v>
      </c>
      <c r="E10081" s="4" t="s">
        <v>11</v>
      </c>
      <c r="F10081" s="4" t="s">
        <v>15</v>
      </c>
      <c r="G10081" s="4" t="s">
        <v>15</v>
      </c>
      <c r="H10081" s="4" t="s">
        <v>15</v>
      </c>
    </row>
    <row r="10082" spans="1:5">
      <c r="A10082" t="n">
        <v>94438</v>
      </c>
      <c r="B10082" s="77" t="n">
        <v>97</v>
      </c>
      <c r="C10082" s="7" t="n">
        <v>7</v>
      </c>
      <c r="D10082" s="7" t="n">
        <v>0</v>
      </c>
      <c r="E10082" s="7" t="n">
        <v>0</v>
      </c>
      <c r="F10082" s="7" t="n">
        <v>0</v>
      </c>
      <c r="G10082" s="7" t="n">
        <v>0</v>
      </c>
      <c r="H10082" s="7" t="n">
        <v>0</v>
      </c>
    </row>
    <row r="10083" spans="1:5">
      <c r="A10083" t="s">
        <v>4</v>
      </c>
      <c r="B10083" s="4" t="s">
        <v>5</v>
      </c>
      <c r="C10083" s="4" t="s">
        <v>11</v>
      </c>
      <c r="D10083" s="4" t="s">
        <v>13</v>
      </c>
      <c r="E10083" s="4" t="s">
        <v>13</v>
      </c>
      <c r="F10083" s="4" t="s">
        <v>13</v>
      </c>
      <c r="G10083" s="4" t="s">
        <v>13</v>
      </c>
    </row>
    <row r="10084" spans="1:5">
      <c r="A10084" t="n">
        <v>94456</v>
      </c>
      <c r="B10084" s="36" t="n">
        <v>46</v>
      </c>
      <c r="C10084" s="7" t="n">
        <v>61456</v>
      </c>
      <c r="D10084" s="7" t="n">
        <v>0</v>
      </c>
      <c r="E10084" s="7" t="n">
        <v>0</v>
      </c>
      <c r="F10084" s="7" t="n">
        <v>0</v>
      </c>
      <c r="G10084" s="7" t="n">
        <v>0</v>
      </c>
    </row>
    <row r="10085" spans="1:5">
      <c r="A10085" t="s">
        <v>4</v>
      </c>
      <c r="B10085" s="4" t="s">
        <v>5</v>
      </c>
      <c r="C10085" s="4" t="s">
        <v>7</v>
      </c>
      <c r="D10085" s="4" t="s">
        <v>11</v>
      </c>
    </row>
    <row r="10086" spans="1:5">
      <c r="A10086" t="n">
        <v>94475</v>
      </c>
      <c r="B10086" s="8" t="n">
        <v>162</v>
      </c>
      <c r="C10086" s="7" t="n">
        <v>1</v>
      </c>
      <c r="D10086" s="7" t="n">
        <v>0</v>
      </c>
    </row>
    <row r="10087" spans="1:5">
      <c r="A10087" t="s">
        <v>4</v>
      </c>
      <c r="B10087" s="4" t="s">
        <v>5</v>
      </c>
    </row>
    <row r="10088" spans="1:5">
      <c r="A10088" t="n">
        <v>94479</v>
      </c>
      <c r="B10088" s="5" t="n">
        <v>1</v>
      </c>
    </row>
    <row r="10089" spans="1:5" s="3" customFormat="1" customHeight="0">
      <c r="A10089" s="3" t="s">
        <v>2</v>
      </c>
      <c r="B10089" s="3" t="s">
        <v>849</v>
      </c>
    </row>
    <row r="10090" spans="1:5">
      <c r="A10090" t="s">
        <v>4</v>
      </c>
      <c r="B10090" s="4" t="s">
        <v>5</v>
      </c>
      <c r="C10090" s="4" t="s">
        <v>7</v>
      </c>
      <c r="D10090" s="4" t="s">
        <v>7</v>
      </c>
      <c r="E10090" s="4" t="s">
        <v>7</v>
      </c>
      <c r="F10090" s="4" t="s">
        <v>7</v>
      </c>
    </row>
    <row r="10091" spans="1:5">
      <c r="A10091" t="n">
        <v>94480</v>
      </c>
      <c r="B10091" s="9" t="n">
        <v>14</v>
      </c>
      <c r="C10091" s="7" t="n">
        <v>2</v>
      </c>
      <c r="D10091" s="7" t="n">
        <v>0</v>
      </c>
      <c r="E10091" s="7" t="n">
        <v>0</v>
      </c>
      <c r="F10091" s="7" t="n">
        <v>0</v>
      </c>
    </row>
    <row r="10092" spans="1:5">
      <c r="A10092" t="s">
        <v>4</v>
      </c>
      <c r="B10092" s="4" t="s">
        <v>5</v>
      </c>
      <c r="C10092" s="4" t="s">
        <v>7</v>
      </c>
      <c r="D10092" s="20" t="s">
        <v>35</v>
      </c>
      <c r="E10092" s="4" t="s">
        <v>5</v>
      </c>
      <c r="F10092" s="4" t="s">
        <v>7</v>
      </c>
      <c r="G10092" s="4" t="s">
        <v>11</v>
      </c>
      <c r="H10092" s="20" t="s">
        <v>36</v>
      </c>
      <c r="I10092" s="4" t="s">
        <v>7</v>
      </c>
      <c r="J10092" s="4" t="s">
        <v>15</v>
      </c>
      <c r="K10092" s="4" t="s">
        <v>7</v>
      </c>
      <c r="L10092" s="4" t="s">
        <v>7</v>
      </c>
      <c r="M10092" s="20" t="s">
        <v>35</v>
      </c>
      <c r="N10092" s="4" t="s">
        <v>5</v>
      </c>
      <c r="O10092" s="4" t="s">
        <v>7</v>
      </c>
      <c r="P10092" s="4" t="s">
        <v>11</v>
      </c>
      <c r="Q10092" s="20" t="s">
        <v>36</v>
      </c>
      <c r="R10092" s="4" t="s">
        <v>7</v>
      </c>
      <c r="S10092" s="4" t="s">
        <v>15</v>
      </c>
      <c r="T10092" s="4" t="s">
        <v>7</v>
      </c>
      <c r="U10092" s="4" t="s">
        <v>7</v>
      </c>
      <c r="V10092" s="4" t="s">
        <v>7</v>
      </c>
      <c r="W10092" s="4" t="s">
        <v>12</v>
      </c>
    </row>
    <row r="10093" spans="1:5">
      <c r="A10093" t="n">
        <v>94485</v>
      </c>
      <c r="B10093" s="10" t="n">
        <v>5</v>
      </c>
      <c r="C10093" s="7" t="n">
        <v>28</v>
      </c>
      <c r="D10093" s="20" t="s">
        <v>3</v>
      </c>
      <c r="E10093" s="8" t="n">
        <v>162</v>
      </c>
      <c r="F10093" s="7" t="n">
        <v>3</v>
      </c>
      <c r="G10093" s="7" t="n">
        <v>32919</v>
      </c>
      <c r="H10093" s="20" t="s">
        <v>3</v>
      </c>
      <c r="I10093" s="7" t="n">
        <v>0</v>
      </c>
      <c r="J10093" s="7" t="n">
        <v>1</v>
      </c>
      <c r="K10093" s="7" t="n">
        <v>2</v>
      </c>
      <c r="L10093" s="7" t="n">
        <v>28</v>
      </c>
      <c r="M10093" s="20" t="s">
        <v>3</v>
      </c>
      <c r="N10093" s="8" t="n">
        <v>162</v>
      </c>
      <c r="O10093" s="7" t="n">
        <v>3</v>
      </c>
      <c r="P10093" s="7" t="n">
        <v>32919</v>
      </c>
      <c r="Q10093" s="20" t="s">
        <v>3</v>
      </c>
      <c r="R10093" s="7" t="n">
        <v>0</v>
      </c>
      <c r="S10093" s="7" t="n">
        <v>2</v>
      </c>
      <c r="T10093" s="7" t="n">
        <v>2</v>
      </c>
      <c r="U10093" s="7" t="n">
        <v>11</v>
      </c>
      <c r="V10093" s="7" t="n">
        <v>1</v>
      </c>
      <c r="W10093" s="11" t="n">
        <f t="normal" ca="1">A10097</f>
        <v>0</v>
      </c>
    </row>
    <row r="10094" spans="1:5">
      <c r="A10094" t="s">
        <v>4</v>
      </c>
      <c r="B10094" s="4" t="s">
        <v>5</v>
      </c>
      <c r="C10094" s="4" t="s">
        <v>7</v>
      </c>
      <c r="D10094" s="4" t="s">
        <v>11</v>
      </c>
      <c r="E10094" s="4" t="s">
        <v>13</v>
      </c>
    </row>
    <row r="10095" spans="1:5">
      <c r="A10095" t="n">
        <v>94514</v>
      </c>
      <c r="B10095" s="23" t="n">
        <v>58</v>
      </c>
      <c r="C10095" s="7" t="n">
        <v>0</v>
      </c>
      <c r="D10095" s="7" t="n">
        <v>0</v>
      </c>
      <c r="E10095" s="7" t="n">
        <v>1</v>
      </c>
    </row>
    <row r="10096" spans="1:5">
      <c r="A10096" t="s">
        <v>4</v>
      </c>
      <c r="B10096" s="4" t="s">
        <v>5</v>
      </c>
      <c r="C10096" s="4" t="s">
        <v>7</v>
      </c>
      <c r="D10096" s="20" t="s">
        <v>35</v>
      </c>
      <c r="E10096" s="4" t="s">
        <v>5</v>
      </c>
      <c r="F10096" s="4" t="s">
        <v>7</v>
      </c>
      <c r="G10096" s="4" t="s">
        <v>11</v>
      </c>
      <c r="H10096" s="20" t="s">
        <v>36</v>
      </c>
      <c r="I10096" s="4" t="s">
        <v>7</v>
      </c>
      <c r="J10096" s="4" t="s">
        <v>15</v>
      </c>
      <c r="K10096" s="4" t="s">
        <v>7</v>
      </c>
      <c r="L10096" s="4" t="s">
        <v>7</v>
      </c>
      <c r="M10096" s="20" t="s">
        <v>35</v>
      </c>
      <c r="N10096" s="4" t="s">
        <v>5</v>
      </c>
      <c r="O10096" s="4" t="s">
        <v>7</v>
      </c>
      <c r="P10096" s="4" t="s">
        <v>11</v>
      </c>
      <c r="Q10096" s="20" t="s">
        <v>36</v>
      </c>
      <c r="R10096" s="4" t="s">
        <v>7</v>
      </c>
      <c r="S10096" s="4" t="s">
        <v>15</v>
      </c>
      <c r="T10096" s="4" t="s">
        <v>7</v>
      </c>
      <c r="U10096" s="4" t="s">
        <v>7</v>
      </c>
      <c r="V10096" s="4" t="s">
        <v>7</v>
      </c>
      <c r="W10096" s="4" t="s">
        <v>12</v>
      </c>
    </row>
    <row r="10097" spans="1:23">
      <c r="A10097" t="n">
        <v>94522</v>
      </c>
      <c r="B10097" s="10" t="n">
        <v>5</v>
      </c>
      <c r="C10097" s="7" t="n">
        <v>28</v>
      </c>
      <c r="D10097" s="20" t="s">
        <v>3</v>
      </c>
      <c r="E10097" s="8" t="n">
        <v>162</v>
      </c>
      <c r="F10097" s="7" t="n">
        <v>3</v>
      </c>
      <c r="G10097" s="7" t="n">
        <v>32919</v>
      </c>
      <c r="H10097" s="20" t="s">
        <v>3</v>
      </c>
      <c r="I10097" s="7" t="n">
        <v>0</v>
      </c>
      <c r="J10097" s="7" t="n">
        <v>1</v>
      </c>
      <c r="K10097" s="7" t="n">
        <v>3</v>
      </c>
      <c r="L10097" s="7" t="n">
        <v>28</v>
      </c>
      <c r="M10097" s="20" t="s">
        <v>3</v>
      </c>
      <c r="N10097" s="8" t="n">
        <v>162</v>
      </c>
      <c r="O10097" s="7" t="n">
        <v>3</v>
      </c>
      <c r="P10097" s="7" t="n">
        <v>32919</v>
      </c>
      <c r="Q10097" s="20" t="s">
        <v>3</v>
      </c>
      <c r="R10097" s="7" t="n">
        <v>0</v>
      </c>
      <c r="S10097" s="7" t="n">
        <v>2</v>
      </c>
      <c r="T10097" s="7" t="n">
        <v>3</v>
      </c>
      <c r="U10097" s="7" t="n">
        <v>9</v>
      </c>
      <c r="V10097" s="7" t="n">
        <v>1</v>
      </c>
      <c r="W10097" s="11" t="n">
        <f t="normal" ca="1">A10107</f>
        <v>0</v>
      </c>
    </row>
    <row r="10098" spans="1:23">
      <c r="A10098" t="s">
        <v>4</v>
      </c>
      <c r="B10098" s="4" t="s">
        <v>5</v>
      </c>
      <c r="C10098" s="4" t="s">
        <v>7</v>
      </c>
      <c r="D10098" s="20" t="s">
        <v>35</v>
      </c>
      <c r="E10098" s="4" t="s">
        <v>5</v>
      </c>
      <c r="F10098" s="4" t="s">
        <v>11</v>
      </c>
      <c r="G10098" s="4" t="s">
        <v>7</v>
      </c>
      <c r="H10098" s="4" t="s">
        <v>7</v>
      </c>
      <c r="I10098" s="4" t="s">
        <v>8</v>
      </c>
      <c r="J10098" s="20" t="s">
        <v>36</v>
      </c>
      <c r="K10098" s="4" t="s">
        <v>7</v>
      </c>
      <c r="L10098" s="4" t="s">
        <v>7</v>
      </c>
      <c r="M10098" s="20" t="s">
        <v>35</v>
      </c>
      <c r="N10098" s="4" t="s">
        <v>5</v>
      </c>
      <c r="O10098" s="4" t="s">
        <v>7</v>
      </c>
      <c r="P10098" s="20" t="s">
        <v>36</v>
      </c>
      <c r="Q10098" s="4" t="s">
        <v>7</v>
      </c>
      <c r="R10098" s="4" t="s">
        <v>15</v>
      </c>
      <c r="S10098" s="4" t="s">
        <v>7</v>
      </c>
      <c r="T10098" s="4" t="s">
        <v>7</v>
      </c>
      <c r="U10098" s="4" t="s">
        <v>7</v>
      </c>
      <c r="V10098" s="20" t="s">
        <v>35</v>
      </c>
      <c r="W10098" s="4" t="s">
        <v>5</v>
      </c>
      <c r="X10098" s="4" t="s">
        <v>7</v>
      </c>
      <c r="Y10098" s="20" t="s">
        <v>36</v>
      </c>
      <c r="Z10098" s="4" t="s">
        <v>7</v>
      </c>
      <c r="AA10098" s="4" t="s">
        <v>15</v>
      </c>
      <c r="AB10098" s="4" t="s">
        <v>7</v>
      </c>
      <c r="AC10098" s="4" t="s">
        <v>7</v>
      </c>
      <c r="AD10098" s="4" t="s">
        <v>7</v>
      </c>
      <c r="AE10098" s="4" t="s">
        <v>12</v>
      </c>
    </row>
    <row r="10099" spans="1:23">
      <c r="A10099" t="n">
        <v>94551</v>
      </c>
      <c r="B10099" s="10" t="n">
        <v>5</v>
      </c>
      <c r="C10099" s="7" t="n">
        <v>28</v>
      </c>
      <c r="D10099" s="20" t="s">
        <v>3</v>
      </c>
      <c r="E10099" s="41" t="n">
        <v>47</v>
      </c>
      <c r="F10099" s="7" t="n">
        <v>61456</v>
      </c>
      <c r="G10099" s="7" t="n">
        <v>2</v>
      </c>
      <c r="H10099" s="7" t="n">
        <v>0</v>
      </c>
      <c r="I10099" s="7" t="s">
        <v>105</v>
      </c>
      <c r="J10099" s="20" t="s">
        <v>3</v>
      </c>
      <c r="K10099" s="7" t="n">
        <v>8</v>
      </c>
      <c r="L10099" s="7" t="n">
        <v>28</v>
      </c>
      <c r="M10099" s="20" t="s">
        <v>3</v>
      </c>
      <c r="N10099" s="45" t="n">
        <v>74</v>
      </c>
      <c r="O10099" s="7" t="n">
        <v>65</v>
      </c>
      <c r="P10099" s="20" t="s">
        <v>3</v>
      </c>
      <c r="Q10099" s="7" t="n">
        <v>0</v>
      </c>
      <c r="R10099" s="7" t="n">
        <v>1</v>
      </c>
      <c r="S10099" s="7" t="n">
        <v>3</v>
      </c>
      <c r="T10099" s="7" t="n">
        <v>9</v>
      </c>
      <c r="U10099" s="7" t="n">
        <v>28</v>
      </c>
      <c r="V10099" s="20" t="s">
        <v>3</v>
      </c>
      <c r="W10099" s="45" t="n">
        <v>74</v>
      </c>
      <c r="X10099" s="7" t="n">
        <v>65</v>
      </c>
      <c r="Y10099" s="20" t="s">
        <v>3</v>
      </c>
      <c r="Z10099" s="7" t="n">
        <v>0</v>
      </c>
      <c r="AA10099" s="7" t="n">
        <v>2</v>
      </c>
      <c r="AB10099" s="7" t="n">
        <v>3</v>
      </c>
      <c r="AC10099" s="7" t="n">
        <v>9</v>
      </c>
      <c r="AD10099" s="7" t="n">
        <v>1</v>
      </c>
      <c r="AE10099" s="11" t="n">
        <f t="normal" ca="1">A10103</f>
        <v>0</v>
      </c>
    </row>
    <row r="10100" spans="1:23">
      <c r="A10100" t="s">
        <v>4</v>
      </c>
      <c r="B10100" s="4" t="s">
        <v>5</v>
      </c>
      <c r="C10100" s="4" t="s">
        <v>11</v>
      </c>
      <c r="D10100" s="4" t="s">
        <v>7</v>
      </c>
      <c r="E10100" s="4" t="s">
        <v>7</v>
      </c>
      <c r="F10100" s="4" t="s">
        <v>8</v>
      </c>
    </row>
    <row r="10101" spans="1:23">
      <c r="A10101" t="n">
        <v>94599</v>
      </c>
      <c r="B10101" s="41" t="n">
        <v>47</v>
      </c>
      <c r="C10101" s="7" t="n">
        <v>61456</v>
      </c>
      <c r="D10101" s="7" t="n">
        <v>0</v>
      </c>
      <c r="E10101" s="7" t="n">
        <v>0</v>
      </c>
      <c r="F10101" s="7" t="s">
        <v>106</v>
      </c>
    </row>
    <row r="10102" spans="1:23">
      <c r="A10102" t="s">
        <v>4</v>
      </c>
      <c r="B10102" s="4" t="s">
        <v>5</v>
      </c>
      <c r="C10102" s="4" t="s">
        <v>7</v>
      </c>
      <c r="D10102" s="4" t="s">
        <v>11</v>
      </c>
      <c r="E10102" s="4" t="s">
        <v>13</v>
      </c>
    </row>
    <row r="10103" spans="1:23">
      <c r="A10103" t="n">
        <v>94612</v>
      </c>
      <c r="B10103" s="23" t="n">
        <v>58</v>
      </c>
      <c r="C10103" s="7" t="n">
        <v>0</v>
      </c>
      <c r="D10103" s="7" t="n">
        <v>300</v>
      </c>
      <c r="E10103" s="7" t="n">
        <v>1</v>
      </c>
    </row>
    <row r="10104" spans="1:23">
      <c r="A10104" t="s">
        <v>4</v>
      </c>
      <c r="B10104" s="4" t="s">
        <v>5</v>
      </c>
      <c r="C10104" s="4" t="s">
        <v>7</v>
      </c>
      <c r="D10104" s="4" t="s">
        <v>11</v>
      </c>
    </row>
    <row r="10105" spans="1:23">
      <c r="A10105" t="n">
        <v>94620</v>
      </c>
      <c r="B10105" s="23" t="n">
        <v>58</v>
      </c>
      <c r="C10105" s="7" t="n">
        <v>255</v>
      </c>
      <c r="D10105" s="7" t="n">
        <v>0</v>
      </c>
    </row>
    <row r="10106" spans="1:23">
      <c r="A10106" t="s">
        <v>4</v>
      </c>
      <c r="B10106" s="4" t="s">
        <v>5</v>
      </c>
      <c r="C10106" s="4" t="s">
        <v>7</v>
      </c>
      <c r="D10106" s="4" t="s">
        <v>7</v>
      </c>
      <c r="E10106" s="4" t="s">
        <v>7</v>
      </c>
      <c r="F10106" s="4" t="s">
        <v>7</v>
      </c>
    </row>
    <row r="10107" spans="1:23">
      <c r="A10107" t="n">
        <v>94624</v>
      </c>
      <c r="B10107" s="9" t="n">
        <v>14</v>
      </c>
      <c r="C10107" s="7" t="n">
        <v>0</v>
      </c>
      <c r="D10107" s="7" t="n">
        <v>0</v>
      </c>
      <c r="E10107" s="7" t="n">
        <v>0</v>
      </c>
      <c r="F10107" s="7" t="n">
        <v>64</v>
      </c>
    </row>
    <row r="10108" spans="1:23">
      <c r="A10108" t="s">
        <v>4</v>
      </c>
      <c r="B10108" s="4" t="s">
        <v>5</v>
      </c>
      <c r="C10108" s="4" t="s">
        <v>7</v>
      </c>
      <c r="D10108" s="4" t="s">
        <v>11</v>
      </c>
    </row>
    <row r="10109" spans="1:23">
      <c r="A10109" t="n">
        <v>94629</v>
      </c>
      <c r="B10109" s="22" t="n">
        <v>22</v>
      </c>
      <c r="C10109" s="7" t="n">
        <v>0</v>
      </c>
      <c r="D10109" s="7" t="n">
        <v>32919</v>
      </c>
    </row>
    <row r="10110" spans="1:23">
      <c r="A10110" t="s">
        <v>4</v>
      </c>
      <c r="B10110" s="4" t="s">
        <v>5</v>
      </c>
      <c r="C10110" s="4" t="s">
        <v>7</v>
      </c>
      <c r="D10110" s="4" t="s">
        <v>11</v>
      </c>
    </row>
    <row r="10111" spans="1:23">
      <c r="A10111" t="n">
        <v>94633</v>
      </c>
      <c r="B10111" s="23" t="n">
        <v>58</v>
      </c>
      <c r="C10111" s="7" t="n">
        <v>5</v>
      </c>
      <c r="D10111" s="7" t="n">
        <v>300</v>
      </c>
    </row>
    <row r="10112" spans="1:23">
      <c r="A10112" t="s">
        <v>4</v>
      </c>
      <c r="B10112" s="4" t="s">
        <v>5</v>
      </c>
      <c r="C10112" s="4" t="s">
        <v>13</v>
      </c>
      <c r="D10112" s="4" t="s">
        <v>11</v>
      </c>
    </row>
    <row r="10113" spans="1:31">
      <c r="A10113" t="n">
        <v>94637</v>
      </c>
      <c r="B10113" s="46" t="n">
        <v>103</v>
      </c>
      <c r="C10113" s="7" t="n">
        <v>0</v>
      </c>
      <c r="D10113" s="7" t="n">
        <v>300</v>
      </c>
    </row>
    <row r="10114" spans="1:31">
      <c r="A10114" t="s">
        <v>4</v>
      </c>
      <c r="B10114" s="4" t="s">
        <v>5</v>
      </c>
      <c r="C10114" s="4" t="s">
        <v>7</v>
      </c>
    </row>
    <row r="10115" spans="1:31">
      <c r="A10115" t="n">
        <v>94644</v>
      </c>
      <c r="B10115" s="47" t="n">
        <v>64</v>
      </c>
      <c r="C10115" s="7" t="n">
        <v>7</v>
      </c>
    </row>
    <row r="10116" spans="1:31">
      <c r="A10116" t="s">
        <v>4</v>
      </c>
      <c r="B10116" s="4" t="s">
        <v>5</v>
      </c>
      <c r="C10116" s="4" t="s">
        <v>7</v>
      </c>
      <c r="D10116" s="4" t="s">
        <v>11</v>
      </c>
    </row>
    <row r="10117" spans="1:31">
      <c r="A10117" t="n">
        <v>94646</v>
      </c>
      <c r="B10117" s="48" t="n">
        <v>72</v>
      </c>
      <c r="C10117" s="7" t="n">
        <v>5</v>
      </c>
      <c r="D10117" s="7" t="n">
        <v>0</v>
      </c>
    </row>
    <row r="10118" spans="1:31">
      <c r="A10118" t="s">
        <v>4</v>
      </c>
      <c r="B10118" s="4" t="s">
        <v>5</v>
      </c>
      <c r="C10118" s="4" t="s">
        <v>7</v>
      </c>
      <c r="D10118" s="20" t="s">
        <v>35</v>
      </c>
      <c r="E10118" s="4" t="s">
        <v>5</v>
      </c>
      <c r="F10118" s="4" t="s">
        <v>7</v>
      </c>
      <c r="G10118" s="4" t="s">
        <v>11</v>
      </c>
      <c r="H10118" s="20" t="s">
        <v>36</v>
      </c>
      <c r="I10118" s="4" t="s">
        <v>7</v>
      </c>
      <c r="J10118" s="4" t="s">
        <v>15</v>
      </c>
      <c r="K10118" s="4" t="s">
        <v>7</v>
      </c>
      <c r="L10118" s="4" t="s">
        <v>7</v>
      </c>
      <c r="M10118" s="4" t="s">
        <v>12</v>
      </c>
    </row>
    <row r="10119" spans="1:31">
      <c r="A10119" t="n">
        <v>94650</v>
      </c>
      <c r="B10119" s="10" t="n">
        <v>5</v>
      </c>
      <c r="C10119" s="7" t="n">
        <v>28</v>
      </c>
      <c r="D10119" s="20" t="s">
        <v>3</v>
      </c>
      <c r="E10119" s="8" t="n">
        <v>162</v>
      </c>
      <c r="F10119" s="7" t="n">
        <v>4</v>
      </c>
      <c r="G10119" s="7" t="n">
        <v>32919</v>
      </c>
      <c r="H10119" s="20" t="s">
        <v>3</v>
      </c>
      <c r="I10119" s="7" t="n">
        <v>0</v>
      </c>
      <c r="J10119" s="7" t="n">
        <v>1</v>
      </c>
      <c r="K10119" s="7" t="n">
        <v>2</v>
      </c>
      <c r="L10119" s="7" t="n">
        <v>1</v>
      </c>
      <c r="M10119" s="11" t="n">
        <f t="normal" ca="1">A10125</f>
        <v>0</v>
      </c>
    </row>
    <row r="10120" spans="1:31">
      <c r="A10120" t="s">
        <v>4</v>
      </c>
      <c r="B10120" s="4" t="s">
        <v>5</v>
      </c>
      <c r="C10120" s="4" t="s">
        <v>7</v>
      </c>
      <c r="D10120" s="4" t="s">
        <v>8</v>
      </c>
    </row>
    <row r="10121" spans="1:31">
      <c r="A10121" t="n">
        <v>94667</v>
      </c>
      <c r="B10121" s="6" t="n">
        <v>2</v>
      </c>
      <c r="C10121" s="7" t="n">
        <v>10</v>
      </c>
      <c r="D10121" s="7" t="s">
        <v>107</v>
      </c>
    </row>
    <row r="10122" spans="1:31">
      <c r="A10122" t="s">
        <v>4</v>
      </c>
      <c r="B10122" s="4" t="s">
        <v>5</v>
      </c>
      <c r="C10122" s="4" t="s">
        <v>11</v>
      </c>
    </row>
    <row r="10123" spans="1:31">
      <c r="A10123" t="n">
        <v>94684</v>
      </c>
      <c r="B10123" s="29" t="n">
        <v>16</v>
      </c>
      <c r="C10123" s="7" t="n">
        <v>0</v>
      </c>
    </row>
    <row r="10124" spans="1:31">
      <c r="A10124" t="s">
        <v>4</v>
      </c>
      <c r="B10124" s="4" t="s">
        <v>5</v>
      </c>
      <c r="C10124" s="4" t="s">
        <v>7</v>
      </c>
      <c r="D10124" s="4" t="s">
        <v>11</v>
      </c>
      <c r="E10124" s="4" t="s">
        <v>11</v>
      </c>
      <c r="F10124" s="4" t="s">
        <v>11</v>
      </c>
      <c r="G10124" s="4" t="s">
        <v>11</v>
      </c>
      <c r="H10124" s="4" t="s">
        <v>11</v>
      </c>
      <c r="I10124" s="4" t="s">
        <v>11</v>
      </c>
      <c r="J10124" s="4" t="s">
        <v>11</v>
      </c>
      <c r="K10124" s="4" t="s">
        <v>11</v>
      </c>
      <c r="L10124" s="4" t="s">
        <v>11</v>
      </c>
      <c r="M10124" s="4" t="s">
        <v>11</v>
      </c>
      <c r="N10124" s="4" t="s">
        <v>15</v>
      </c>
      <c r="O10124" s="4" t="s">
        <v>15</v>
      </c>
      <c r="P10124" s="4" t="s">
        <v>15</v>
      </c>
      <c r="Q10124" s="4" t="s">
        <v>15</v>
      </c>
      <c r="R10124" s="4" t="s">
        <v>7</v>
      </c>
      <c r="S10124" s="4" t="s">
        <v>8</v>
      </c>
    </row>
    <row r="10125" spans="1:31">
      <c r="A10125" t="n">
        <v>94687</v>
      </c>
      <c r="B10125" s="24" t="n">
        <v>75</v>
      </c>
      <c r="C10125" s="7" t="n">
        <v>0</v>
      </c>
      <c r="D10125" s="7" t="n">
        <v>484</v>
      </c>
      <c r="E10125" s="7" t="n">
        <v>328</v>
      </c>
      <c r="F10125" s="7" t="n">
        <v>996</v>
      </c>
      <c r="G10125" s="7" t="n">
        <v>392</v>
      </c>
      <c r="H10125" s="7" t="n">
        <v>0</v>
      </c>
      <c r="I10125" s="7" t="n">
        <v>0</v>
      </c>
      <c r="J10125" s="7" t="n">
        <v>0</v>
      </c>
      <c r="K10125" s="7" t="n">
        <v>448</v>
      </c>
      <c r="L10125" s="7" t="n">
        <v>512</v>
      </c>
      <c r="M10125" s="7" t="n">
        <v>512</v>
      </c>
      <c r="N10125" s="7" t="n">
        <v>1065353216</v>
      </c>
      <c r="O10125" s="7" t="n">
        <v>1065353216</v>
      </c>
      <c r="P10125" s="7" t="n">
        <v>1065353216</v>
      </c>
      <c r="Q10125" s="7" t="n">
        <v>0</v>
      </c>
      <c r="R10125" s="7" t="n">
        <v>0</v>
      </c>
      <c r="S10125" s="7" t="s">
        <v>271</v>
      </c>
    </row>
    <row r="10126" spans="1:31">
      <c r="A10126" t="s">
        <v>4</v>
      </c>
      <c r="B10126" s="4" t="s">
        <v>5</v>
      </c>
      <c r="C10126" s="4" t="s">
        <v>7</v>
      </c>
      <c r="D10126" s="4" t="s">
        <v>11</v>
      </c>
      <c r="E10126" s="4" t="s">
        <v>7</v>
      </c>
      <c r="F10126" s="4" t="s">
        <v>8</v>
      </c>
    </row>
    <row r="10127" spans="1:31">
      <c r="A10127" t="n">
        <v>94736</v>
      </c>
      <c r="B10127" s="81" t="n">
        <v>39</v>
      </c>
      <c r="C10127" s="7" t="n">
        <v>10</v>
      </c>
      <c r="D10127" s="7" t="n">
        <v>65533</v>
      </c>
      <c r="E10127" s="7" t="n">
        <v>201</v>
      </c>
      <c r="F10127" s="7" t="s">
        <v>850</v>
      </c>
    </row>
    <row r="10128" spans="1:31">
      <c r="A10128" t="s">
        <v>4</v>
      </c>
      <c r="B10128" s="4" t="s">
        <v>5</v>
      </c>
      <c r="C10128" s="4" t="s">
        <v>11</v>
      </c>
      <c r="D10128" s="4" t="s">
        <v>8</v>
      </c>
      <c r="E10128" s="4" t="s">
        <v>8</v>
      </c>
      <c r="F10128" s="4" t="s">
        <v>8</v>
      </c>
      <c r="G10128" s="4" t="s">
        <v>7</v>
      </c>
      <c r="H10128" s="4" t="s">
        <v>15</v>
      </c>
      <c r="I10128" s="4" t="s">
        <v>13</v>
      </c>
      <c r="J10128" s="4" t="s">
        <v>13</v>
      </c>
      <c r="K10128" s="4" t="s">
        <v>13</v>
      </c>
      <c r="L10128" s="4" t="s">
        <v>13</v>
      </c>
      <c r="M10128" s="4" t="s">
        <v>13</v>
      </c>
      <c r="N10128" s="4" t="s">
        <v>13</v>
      </c>
      <c r="O10128" s="4" t="s">
        <v>13</v>
      </c>
      <c r="P10128" s="4" t="s">
        <v>8</v>
      </c>
      <c r="Q10128" s="4" t="s">
        <v>8</v>
      </c>
      <c r="R10128" s="4" t="s">
        <v>15</v>
      </c>
      <c r="S10128" s="4" t="s">
        <v>7</v>
      </c>
      <c r="T10128" s="4" t="s">
        <v>15</v>
      </c>
      <c r="U10128" s="4" t="s">
        <v>15</v>
      </c>
      <c r="V10128" s="4" t="s">
        <v>11</v>
      </c>
    </row>
    <row r="10129" spans="1:22">
      <c r="A10129" t="n">
        <v>94760</v>
      </c>
      <c r="B10129" s="62" t="n">
        <v>19</v>
      </c>
      <c r="C10129" s="7" t="n">
        <v>18</v>
      </c>
      <c r="D10129" s="7" t="s">
        <v>851</v>
      </c>
      <c r="E10129" s="7" t="s">
        <v>852</v>
      </c>
      <c r="F10129" s="7" t="s">
        <v>16</v>
      </c>
      <c r="G10129" s="7" t="n">
        <v>0</v>
      </c>
      <c r="H10129" s="7" t="n">
        <v>1</v>
      </c>
      <c r="I10129" s="7" t="n">
        <v>0</v>
      </c>
      <c r="J10129" s="7" t="n">
        <v>0</v>
      </c>
      <c r="K10129" s="7" t="n">
        <v>0</v>
      </c>
      <c r="L10129" s="7" t="n">
        <v>0</v>
      </c>
      <c r="M10129" s="7" t="n">
        <v>1</v>
      </c>
      <c r="N10129" s="7" t="n">
        <v>1.60000002384186</v>
      </c>
      <c r="O10129" s="7" t="n">
        <v>0.0900000035762787</v>
      </c>
      <c r="P10129" s="7" t="s">
        <v>16</v>
      </c>
      <c r="Q10129" s="7" t="s">
        <v>16</v>
      </c>
      <c r="R10129" s="7" t="n">
        <v>-1</v>
      </c>
      <c r="S10129" s="7" t="n">
        <v>0</v>
      </c>
      <c r="T10129" s="7" t="n">
        <v>0</v>
      </c>
      <c r="U10129" s="7" t="n">
        <v>0</v>
      </c>
      <c r="V10129" s="7" t="n">
        <v>0</v>
      </c>
    </row>
    <row r="10130" spans="1:22">
      <c r="A10130" t="s">
        <v>4</v>
      </c>
      <c r="B10130" s="4" t="s">
        <v>5</v>
      </c>
      <c r="C10130" s="4" t="s">
        <v>11</v>
      </c>
      <c r="D10130" s="4" t="s">
        <v>7</v>
      </c>
      <c r="E10130" s="4" t="s">
        <v>7</v>
      </c>
      <c r="F10130" s="4" t="s">
        <v>8</v>
      </c>
    </row>
    <row r="10131" spans="1:22">
      <c r="A10131" t="n">
        <v>94842</v>
      </c>
      <c r="B10131" s="50" t="n">
        <v>20</v>
      </c>
      <c r="C10131" s="7" t="n">
        <v>0</v>
      </c>
      <c r="D10131" s="7" t="n">
        <v>3</v>
      </c>
      <c r="E10131" s="7" t="n">
        <v>10</v>
      </c>
      <c r="F10131" s="7" t="s">
        <v>108</v>
      </c>
    </row>
    <row r="10132" spans="1:22">
      <c r="A10132" t="s">
        <v>4</v>
      </c>
      <c r="B10132" s="4" t="s">
        <v>5</v>
      </c>
      <c r="C10132" s="4" t="s">
        <v>11</v>
      </c>
    </row>
    <row r="10133" spans="1:22">
      <c r="A10133" t="n">
        <v>94860</v>
      </c>
      <c r="B10133" s="29" t="n">
        <v>16</v>
      </c>
      <c r="C10133" s="7" t="n">
        <v>0</v>
      </c>
    </row>
    <row r="10134" spans="1:22">
      <c r="A10134" t="s">
        <v>4</v>
      </c>
      <c r="B10134" s="4" t="s">
        <v>5</v>
      </c>
      <c r="C10134" s="4" t="s">
        <v>11</v>
      </c>
      <c r="D10134" s="4" t="s">
        <v>7</v>
      </c>
      <c r="E10134" s="4" t="s">
        <v>7</v>
      </c>
      <c r="F10134" s="4" t="s">
        <v>8</v>
      </c>
    </row>
    <row r="10135" spans="1:22">
      <c r="A10135" t="n">
        <v>94863</v>
      </c>
      <c r="B10135" s="50" t="n">
        <v>20</v>
      </c>
      <c r="C10135" s="7" t="n">
        <v>18</v>
      </c>
      <c r="D10135" s="7" t="n">
        <v>3</v>
      </c>
      <c r="E10135" s="7" t="n">
        <v>10</v>
      </c>
      <c r="F10135" s="7" t="s">
        <v>108</v>
      </c>
    </row>
    <row r="10136" spans="1:22">
      <c r="A10136" t="s">
        <v>4</v>
      </c>
      <c r="B10136" s="4" t="s">
        <v>5</v>
      </c>
      <c r="C10136" s="4" t="s">
        <v>11</v>
      </c>
    </row>
    <row r="10137" spans="1:22">
      <c r="A10137" t="n">
        <v>94881</v>
      </c>
      <c r="B10137" s="29" t="n">
        <v>16</v>
      </c>
      <c r="C10137" s="7" t="n">
        <v>0</v>
      </c>
    </row>
    <row r="10138" spans="1:22">
      <c r="A10138" t="s">
        <v>4</v>
      </c>
      <c r="B10138" s="4" t="s">
        <v>5</v>
      </c>
      <c r="C10138" s="4" t="s">
        <v>11</v>
      </c>
      <c r="D10138" s="4" t="s">
        <v>15</v>
      </c>
    </row>
    <row r="10139" spans="1:22">
      <c r="A10139" t="n">
        <v>94884</v>
      </c>
      <c r="B10139" s="39" t="n">
        <v>43</v>
      </c>
      <c r="C10139" s="7" t="n">
        <v>18</v>
      </c>
      <c r="D10139" s="7" t="n">
        <v>1</v>
      </c>
    </row>
    <row r="10140" spans="1:22">
      <c r="A10140" t="s">
        <v>4</v>
      </c>
      <c r="B10140" s="4" t="s">
        <v>5</v>
      </c>
      <c r="C10140" s="4" t="s">
        <v>7</v>
      </c>
    </row>
    <row r="10141" spans="1:22">
      <c r="A10141" t="n">
        <v>94891</v>
      </c>
      <c r="B10141" s="49" t="n">
        <v>116</v>
      </c>
      <c r="C10141" s="7" t="n">
        <v>0</v>
      </c>
    </row>
    <row r="10142" spans="1:22">
      <c r="A10142" t="s">
        <v>4</v>
      </c>
      <c r="B10142" s="4" t="s">
        <v>5</v>
      </c>
      <c r="C10142" s="4" t="s">
        <v>7</v>
      </c>
      <c r="D10142" s="4" t="s">
        <v>11</v>
      </c>
    </row>
    <row r="10143" spans="1:22">
      <c r="A10143" t="n">
        <v>94893</v>
      </c>
      <c r="B10143" s="49" t="n">
        <v>116</v>
      </c>
      <c r="C10143" s="7" t="n">
        <v>2</v>
      </c>
      <c r="D10143" s="7" t="n">
        <v>1</v>
      </c>
    </row>
    <row r="10144" spans="1:22">
      <c r="A10144" t="s">
        <v>4</v>
      </c>
      <c r="B10144" s="4" t="s">
        <v>5</v>
      </c>
      <c r="C10144" s="4" t="s">
        <v>7</v>
      </c>
      <c r="D10144" s="4" t="s">
        <v>15</v>
      </c>
    </row>
    <row r="10145" spans="1:22">
      <c r="A10145" t="n">
        <v>94897</v>
      </c>
      <c r="B10145" s="49" t="n">
        <v>116</v>
      </c>
      <c r="C10145" s="7" t="n">
        <v>5</v>
      </c>
      <c r="D10145" s="7" t="n">
        <v>1106247680</v>
      </c>
    </row>
    <row r="10146" spans="1:22">
      <c r="A10146" t="s">
        <v>4</v>
      </c>
      <c r="B10146" s="4" t="s">
        <v>5</v>
      </c>
      <c r="C10146" s="4" t="s">
        <v>7</v>
      </c>
      <c r="D10146" s="4" t="s">
        <v>11</v>
      </c>
    </row>
    <row r="10147" spans="1:22">
      <c r="A10147" t="n">
        <v>94903</v>
      </c>
      <c r="B10147" s="49" t="n">
        <v>116</v>
      </c>
      <c r="C10147" s="7" t="n">
        <v>6</v>
      </c>
      <c r="D10147" s="7" t="n">
        <v>1</v>
      </c>
    </row>
    <row r="10148" spans="1:22">
      <c r="A10148" t="s">
        <v>4</v>
      </c>
      <c r="B10148" s="4" t="s">
        <v>5</v>
      </c>
      <c r="C10148" s="4" t="s">
        <v>7</v>
      </c>
      <c r="D10148" s="4" t="s">
        <v>11</v>
      </c>
      <c r="E10148" s="4" t="s">
        <v>11</v>
      </c>
      <c r="F10148" s="4" t="s">
        <v>15</v>
      </c>
    </row>
    <row r="10149" spans="1:22">
      <c r="A10149" t="n">
        <v>94907</v>
      </c>
      <c r="B10149" s="76" t="n">
        <v>84</v>
      </c>
      <c r="C10149" s="7" t="n">
        <v>0</v>
      </c>
      <c r="D10149" s="7" t="n">
        <v>0</v>
      </c>
      <c r="E10149" s="7" t="n">
        <v>0</v>
      </c>
      <c r="F10149" s="7" t="n">
        <v>1045220557</v>
      </c>
    </row>
    <row r="10150" spans="1:22">
      <c r="A10150" t="s">
        <v>4</v>
      </c>
      <c r="B10150" s="4" t="s">
        <v>5</v>
      </c>
      <c r="C10150" s="4" t="s">
        <v>11</v>
      </c>
      <c r="D10150" s="4" t="s">
        <v>13</v>
      </c>
      <c r="E10150" s="4" t="s">
        <v>13</v>
      </c>
      <c r="F10150" s="4" t="s">
        <v>13</v>
      </c>
      <c r="G10150" s="4" t="s">
        <v>13</v>
      </c>
    </row>
    <row r="10151" spans="1:22">
      <c r="A10151" t="n">
        <v>94917</v>
      </c>
      <c r="B10151" s="36" t="n">
        <v>46</v>
      </c>
      <c r="C10151" s="7" t="n">
        <v>18</v>
      </c>
      <c r="D10151" s="7" t="n">
        <v>7.6100001335144</v>
      </c>
      <c r="E10151" s="7" t="n">
        <v>0</v>
      </c>
      <c r="F10151" s="7" t="n">
        <v>46.0200004577637</v>
      </c>
      <c r="G10151" s="7" t="n">
        <v>272.200012207031</v>
      </c>
    </row>
    <row r="10152" spans="1:22">
      <c r="A10152" t="s">
        <v>4</v>
      </c>
      <c r="B10152" s="4" t="s">
        <v>5</v>
      </c>
      <c r="C10152" s="4" t="s">
        <v>11</v>
      </c>
      <c r="D10152" s="4" t="s">
        <v>13</v>
      </c>
      <c r="E10152" s="4" t="s">
        <v>13</v>
      </c>
      <c r="F10152" s="4" t="s">
        <v>13</v>
      </c>
      <c r="G10152" s="4" t="s">
        <v>13</v>
      </c>
    </row>
    <row r="10153" spans="1:22">
      <c r="A10153" t="n">
        <v>94936</v>
      </c>
      <c r="B10153" s="36" t="n">
        <v>46</v>
      </c>
      <c r="C10153" s="7" t="n">
        <v>0</v>
      </c>
      <c r="D10153" s="7" t="n">
        <v>4.78000020980835</v>
      </c>
      <c r="E10153" s="7" t="n">
        <v>0</v>
      </c>
      <c r="F10153" s="7" t="n">
        <v>45.3300018310547</v>
      </c>
      <c r="G10153" s="7" t="n">
        <v>-102.300003051758</v>
      </c>
    </row>
    <row r="10154" spans="1:22">
      <c r="A10154" t="s">
        <v>4</v>
      </c>
      <c r="B10154" s="4" t="s">
        <v>5</v>
      </c>
      <c r="C10154" s="4" t="s">
        <v>11</v>
      </c>
      <c r="D10154" s="4" t="s">
        <v>7</v>
      </c>
      <c r="E10154" s="4" t="s">
        <v>8</v>
      </c>
      <c r="F10154" s="4" t="s">
        <v>13</v>
      </c>
      <c r="G10154" s="4" t="s">
        <v>13</v>
      </c>
      <c r="H10154" s="4" t="s">
        <v>13</v>
      </c>
    </row>
    <row r="10155" spans="1:22">
      <c r="A10155" t="n">
        <v>94955</v>
      </c>
      <c r="B10155" s="42" t="n">
        <v>48</v>
      </c>
      <c r="C10155" s="7" t="n">
        <v>0</v>
      </c>
      <c r="D10155" s="7" t="n">
        <v>0</v>
      </c>
      <c r="E10155" s="7" t="s">
        <v>275</v>
      </c>
      <c r="F10155" s="7" t="n">
        <v>0</v>
      </c>
      <c r="G10155" s="7" t="n">
        <v>1</v>
      </c>
      <c r="H10155" s="7" t="n">
        <v>0</v>
      </c>
    </row>
    <row r="10156" spans="1:22">
      <c r="A10156" t="s">
        <v>4</v>
      </c>
      <c r="B10156" s="4" t="s">
        <v>5</v>
      </c>
      <c r="C10156" s="4" t="s">
        <v>7</v>
      </c>
      <c r="D10156" s="4" t="s">
        <v>11</v>
      </c>
      <c r="E10156" s="4" t="s">
        <v>8</v>
      </c>
      <c r="F10156" s="4" t="s">
        <v>8</v>
      </c>
      <c r="G10156" s="4" t="s">
        <v>8</v>
      </c>
      <c r="H10156" s="4" t="s">
        <v>8</v>
      </c>
    </row>
    <row r="10157" spans="1:22">
      <c r="A10157" t="n">
        <v>94980</v>
      </c>
      <c r="B10157" s="38" t="n">
        <v>51</v>
      </c>
      <c r="C10157" s="7" t="n">
        <v>3</v>
      </c>
      <c r="D10157" s="7" t="n">
        <v>0</v>
      </c>
      <c r="E10157" s="7" t="s">
        <v>101</v>
      </c>
      <c r="F10157" s="7" t="s">
        <v>99</v>
      </c>
      <c r="G10157" s="7" t="s">
        <v>78</v>
      </c>
      <c r="H10157" s="7" t="s">
        <v>79</v>
      </c>
    </row>
    <row r="10158" spans="1:22">
      <c r="A10158" t="s">
        <v>4</v>
      </c>
      <c r="B10158" s="4" t="s">
        <v>5</v>
      </c>
      <c r="C10158" s="4" t="s">
        <v>7</v>
      </c>
      <c r="D10158" s="4" t="s">
        <v>11</v>
      </c>
      <c r="E10158" s="4" t="s">
        <v>8</v>
      </c>
      <c r="F10158" s="4" t="s">
        <v>8</v>
      </c>
      <c r="G10158" s="4" t="s">
        <v>8</v>
      </c>
      <c r="H10158" s="4" t="s">
        <v>8</v>
      </c>
    </row>
    <row r="10159" spans="1:22">
      <c r="A10159" t="n">
        <v>95001</v>
      </c>
      <c r="B10159" s="38" t="n">
        <v>51</v>
      </c>
      <c r="C10159" s="7" t="n">
        <v>3</v>
      </c>
      <c r="D10159" s="7" t="n">
        <v>18</v>
      </c>
      <c r="E10159" s="7" t="s">
        <v>101</v>
      </c>
      <c r="F10159" s="7" t="s">
        <v>232</v>
      </c>
      <c r="G10159" s="7" t="s">
        <v>78</v>
      </c>
      <c r="H10159" s="7" t="s">
        <v>79</v>
      </c>
    </row>
    <row r="10160" spans="1:22">
      <c r="A10160" t="s">
        <v>4</v>
      </c>
      <c r="B10160" s="4" t="s">
        <v>5</v>
      </c>
      <c r="C10160" s="4" t="s">
        <v>7</v>
      </c>
      <c r="D10160" s="4" t="s">
        <v>11</v>
      </c>
      <c r="E10160" s="4" t="s">
        <v>7</v>
      </c>
      <c r="F10160" s="4" t="s">
        <v>8</v>
      </c>
      <c r="G10160" s="4" t="s">
        <v>8</v>
      </c>
      <c r="H10160" s="4" t="s">
        <v>8</v>
      </c>
      <c r="I10160" s="4" t="s">
        <v>8</v>
      </c>
      <c r="J10160" s="4" t="s">
        <v>8</v>
      </c>
      <c r="K10160" s="4" t="s">
        <v>8</v>
      </c>
      <c r="L10160" s="4" t="s">
        <v>8</v>
      </c>
      <c r="M10160" s="4" t="s">
        <v>8</v>
      </c>
      <c r="N10160" s="4" t="s">
        <v>8</v>
      </c>
      <c r="O10160" s="4" t="s">
        <v>8</v>
      </c>
      <c r="P10160" s="4" t="s">
        <v>8</v>
      </c>
      <c r="Q10160" s="4" t="s">
        <v>8</v>
      </c>
      <c r="R10160" s="4" t="s">
        <v>8</v>
      </c>
      <c r="S10160" s="4" t="s">
        <v>8</v>
      </c>
      <c r="T10160" s="4" t="s">
        <v>8</v>
      </c>
      <c r="U10160" s="4" t="s">
        <v>8</v>
      </c>
    </row>
    <row r="10161" spans="1:21">
      <c r="A10161" t="n">
        <v>95022</v>
      </c>
      <c r="B10161" s="40" t="n">
        <v>36</v>
      </c>
      <c r="C10161" s="7" t="n">
        <v>8</v>
      </c>
      <c r="D10161" s="7" t="n">
        <v>0</v>
      </c>
      <c r="E10161" s="7" t="n">
        <v>0</v>
      </c>
      <c r="F10161" s="7" t="s">
        <v>853</v>
      </c>
      <c r="G10161" s="7" t="s">
        <v>16</v>
      </c>
      <c r="H10161" s="7" t="s">
        <v>16</v>
      </c>
      <c r="I10161" s="7" t="s">
        <v>16</v>
      </c>
      <c r="J10161" s="7" t="s">
        <v>16</v>
      </c>
      <c r="K10161" s="7" t="s">
        <v>16</v>
      </c>
      <c r="L10161" s="7" t="s">
        <v>16</v>
      </c>
      <c r="M10161" s="7" t="s">
        <v>16</v>
      </c>
      <c r="N10161" s="7" t="s">
        <v>16</v>
      </c>
      <c r="O10161" s="7" t="s">
        <v>16</v>
      </c>
      <c r="P10161" s="7" t="s">
        <v>16</v>
      </c>
      <c r="Q10161" s="7" t="s">
        <v>16</v>
      </c>
      <c r="R10161" s="7" t="s">
        <v>16</v>
      </c>
      <c r="S10161" s="7" t="s">
        <v>16</v>
      </c>
      <c r="T10161" s="7" t="s">
        <v>16</v>
      </c>
      <c r="U10161" s="7" t="s">
        <v>16</v>
      </c>
    </row>
    <row r="10162" spans="1:21">
      <c r="A10162" t="s">
        <v>4</v>
      </c>
      <c r="B10162" s="4" t="s">
        <v>5</v>
      </c>
      <c r="C10162" s="4" t="s">
        <v>7</v>
      </c>
      <c r="D10162" s="4" t="s">
        <v>11</v>
      </c>
      <c r="E10162" s="4" t="s">
        <v>7</v>
      </c>
      <c r="F10162" s="4" t="s">
        <v>8</v>
      </c>
      <c r="G10162" s="4" t="s">
        <v>8</v>
      </c>
      <c r="H10162" s="4" t="s">
        <v>8</v>
      </c>
      <c r="I10162" s="4" t="s">
        <v>8</v>
      </c>
      <c r="J10162" s="4" t="s">
        <v>8</v>
      </c>
      <c r="K10162" s="4" t="s">
        <v>8</v>
      </c>
      <c r="L10162" s="4" t="s">
        <v>8</v>
      </c>
      <c r="M10162" s="4" t="s">
        <v>8</v>
      </c>
      <c r="N10162" s="4" t="s">
        <v>8</v>
      </c>
      <c r="O10162" s="4" t="s">
        <v>8</v>
      </c>
      <c r="P10162" s="4" t="s">
        <v>8</v>
      </c>
      <c r="Q10162" s="4" t="s">
        <v>8</v>
      </c>
      <c r="R10162" s="4" t="s">
        <v>8</v>
      </c>
      <c r="S10162" s="4" t="s">
        <v>8</v>
      </c>
      <c r="T10162" s="4" t="s">
        <v>8</v>
      </c>
      <c r="U10162" s="4" t="s">
        <v>8</v>
      </c>
    </row>
    <row r="10163" spans="1:21">
      <c r="A10163" t="n">
        <v>95052</v>
      </c>
      <c r="B10163" s="40" t="n">
        <v>36</v>
      </c>
      <c r="C10163" s="7" t="n">
        <v>8</v>
      </c>
      <c r="D10163" s="7" t="n">
        <v>18</v>
      </c>
      <c r="E10163" s="7" t="n">
        <v>0</v>
      </c>
      <c r="F10163" s="7" t="s">
        <v>854</v>
      </c>
      <c r="G10163" s="7" t="s">
        <v>16</v>
      </c>
      <c r="H10163" s="7" t="s">
        <v>16</v>
      </c>
      <c r="I10163" s="7" t="s">
        <v>16</v>
      </c>
      <c r="J10163" s="7" t="s">
        <v>16</v>
      </c>
      <c r="K10163" s="7" t="s">
        <v>16</v>
      </c>
      <c r="L10163" s="7" t="s">
        <v>16</v>
      </c>
      <c r="M10163" s="7" t="s">
        <v>16</v>
      </c>
      <c r="N10163" s="7" t="s">
        <v>16</v>
      </c>
      <c r="O10163" s="7" t="s">
        <v>16</v>
      </c>
      <c r="P10163" s="7" t="s">
        <v>16</v>
      </c>
      <c r="Q10163" s="7" t="s">
        <v>16</v>
      </c>
      <c r="R10163" s="7" t="s">
        <v>16</v>
      </c>
      <c r="S10163" s="7" t="s">
        <v>16</v>
      </c>
      <c r="T10163" s="7" t="s">
        <v>16</v>
      </c>
      <c r="U10163" s="7" t="s">
        <v>16</v>
      </c>
    </row>
    <row r="10164" spans="1:21">
      <c r="A10164" t="s">
        <v>4</v>
      </c>
      <c r="B10164" s="4" t="s">
        <v>5</v>
      </c>
      <c r="C10164" s="4" t="s">
        <v>7</v>
      </c>
      <c r="D10164" s="4" t="s">
        <v>7</v>
      </c>
      <c r="E10164" s="4" t="s">
        <v>13</v>
      </c>
      <c r="F10164" s="4" t="s">
        <v>13</v>
      </c>
      <c r="G10164" s="4" t="s">
        <v>13</v>
      </c>
      <c r="H10164" s="4" t="s">
        <v>11</v>
      </c>
    </row>
    <row r="10165" spans="1:21">
      <c r="A10165" t="n">
        <v>95084</v>
      </c>
      <c r="B10165" s="51" t="n">
        <v>45</v>
      </c>
      <c r="C10165" s="7" t="n">
        <v>2</v>
      </c>
      <c r="D10165" s="7" t="n">
        <v>3</v>
      </c>
      <c r="E10165" s="7" t="n">
        <v>-3</v>
      </c>
      <c r="F10165" s="7" t="n">
        <v>2.89000010490417</v>
      </c>
      <c r="G10165" s="7" t="n">
        <v>41.3699989318848</v>
      </c>
      <c r="H10165" s="7" t="n">
        <v>0</v>
      </c>
    </row>
    <row r="10166" spans="1:21">
      <c r="A10166" t="s">
        <v>4</v>
      </c>
      <c r="B10166" s="4" t="s">
        <v>5</v>
      </c>
      <c r="C10166" s="4" t="s">
        <v>7</v>
      </c>
      <c r="D10166" s="4" t="s">
        <v>7</v>
      </c>
      <c r="E10166" s="4" t="s">
        <v>13</v>
      </c>
      <c r="F10166" s="4" t="s">
        <v>13</v>
      </c>
      <c r="G10166" s="4" t="s">
        <v>13</v>
      </c>
      <c r="H10166" s="4" t="s">
        <v>11</v>
      </c>
      <c r="I10166" s="4" t="s">
        <v>7</v>
      </c>
    </row>
    <row r="10167" spans="1:21">
      <c r="A10167" t="n">
        <v>95101</v>
      </c>
      <c r="B10167" s="51" t="n">
        <v>45</v>
      </c>
      <c r="C10167" s="7" t="n">
        <v>4</v>
      </c>
      <c r="D10167" s="7" t="n">
        <v>3</v>
      </c>
      <c r="E10167" s="7" t="n">
        <v>0.649999976158142</v>
      </c>
      <c r="F10167" s="7" t="n">
        <v>105.529998779297</v>
      </c>
      <c r="G10167" s="7" t="n">
        <v>0</v>
      </c>
      <c r="H10167" s="7" t="n">
        <v>0</v>
      </c>
      <c r="I10167" s="7" t="n">
        <v>0</v>
      </c>
    </row>
    <row r="10168" spans="1:21">
      <c r="A10168" t="s">
        <v>4</v>
      </c>
      <c r="B10168" s="4" t="s">
        <v>5</v>
      </c>
      <c r="C10168" s="4" t="s">
        <v>7</v>
      </c>
      <c r="D10168" s="4" t="s">
        <v>7</v>
      </c>
      <c r="E10168" s="4" t="s">
        <v>13</v>
      </c>
      <c r="F10168" s="4" t="s">
        <v>11</v>
      </c>
    </row>
    <row r="10169" spans="1:21">
      <c r="A10169" t="n">
        <v>95119</v>
      </c>
      <c r="B10169" s="51" t="n">
        <v>45</v>
      </c>
      <c r="C10169" s="7" t="n">
        <v>5</v>
      </c>
      <c r="D10169" s="7" t="n">
        <v>3</v>
      </c>
      <c r="E10169" s="7" t="n">
        <v>2.40000009536743</v>
      </c>
      <c r="F10169" s="7" t="n">
        <v>0</v>
      </c>
    </row>
    <row r="10170" spans="1:21">
      <c r="A10170" t="s">
        <v>4</v>
      </c>
      <c r="B10170" s="4" t="s">
        <v>5</v>
      </c>
      <c r="C10170" s="4" t="s">
        <v>7</v>
      </c>
      <c r="D10170" s="4" t="s">
        <v>7</v>
      </c>
      <c r="E10170" s="4" t="s">
        <v>13</v>
      </c>
      <c r="F10170" s="4" t="s">
        <v>11</v>
      </c>
    </row>
    <row r="10171" spans="1:21">
      <c r="A10171" t="n">
        <v>95128</v>
      </c>
      <c r="B10171" s="51" t="n">
        <v>45</v>
      </c>
      <c r="C10171" s="7" t="n">
        <v>11</v>
      </c>
      <c r="D10171" s="7" t="n">
        <v>3</v>
      </c>
      <c r="E10171" s="7" t="n">
        <v>33.4000015258789</v>
      </c>
      <c r="F10171" s="7" t="n">
        <v>0</v>
      </c>
    </row>
    <row r="10172" spans="1:21">
      <c r="A10172" t="s">
        <v>4</v>
      </c>
      <c r="B10172" s="4" t="s">
        <v>5</v>
      </c>
      <c r="C10172" s="4" t="s">
        <v>11</v>
      </c>
      <c r="D10172" s="4" t="s">
        <v>13</v>
      </c>
      <c r="E10172" s="4" t="s">
        <v>13</v>
      </c>
      <c r="F10172" s="4" t="s">
        <v>13</v>
      </c>
      <c r="G10172" s="4" t="s">
        <v>11</v>
      </c>
      <c r="H10172" s="4" t="s">
        <v>11</v>
      </c>
    </row>
    <row r="10173" spans="1:21">
      <c r="A10173" t="n">
        <v>95137</v>
      </c>
      <c r="B10173" s="37" t="n">
        <v>60</v>
      </c>
      <c r="C10173" s="7" t="n">
        <v>0</v>
      </c>
      <c r="D10173" s="7" t="n">
        <v>0</v>
      </c>
      <c r="E10173" s="7" t="n">
        <v>20</v>
      </c>
      <c r="F10173" s="7" t="n">
        <v>0</v>
      </c>
      <c r="G10173" s="7" t="n">
        <v>0</v>
      </c>
      <c r="H10173" s="7" t="n">
        <v>0</v>
      </c>
    </row>
    <row r="10174" spans="1:21">
      <c r="A10174" t="s">
        <v>4</v>
      </c>
      <c r="B10174" s="4" t="s">
        <v>5</v>
      </c>
      <c r="C10174" s="4" t="s">
        <v>7</v>
      </c>
      <c r="D10174" s="4" t="s">
        <v>7</v>
      </c>
      <c r="E10174" s="4" t="s">
        <v>7</v>
      </c>
      <c r="F10174" s="4" t="s">
        <v>13</v>
      </c>
      <c r="G10174" s="4" t="s">
        <v>13</v>
      </c>
      <c r="H10174" s="4" t="s">
        <v>13</v>
      </c>
      <c r="I10174" s="4" t="s">
        <v>13</v>
      </c>
      <c r="J10174" s="4" t="s">
        <v>13</v>
      </c>
    </row>
    <row r="10175" spans="1:21">
      <c r="A10175" t="n">
        <v>95156</v>
      </c>
      <c r="B10175" s="25" t="n">
        <v>76</v>
      </c>
      <c r="C10175" s="7" t="n">
        <v>0</v>
      </c>
      <c r="D10175" s="7" t="n">
        <v>3</v>
      </c>
      <c r="E10175" s="7" t="n">
        <v>2</v>
      </c>
      <c r="F10175" s="7" t="n">
        <v>1</v>
      </c>
      <c r="G10175" s="7" t="n">
        <v>1</v>
      </c>
      <c r="H10175" s="7" t="n">
        <v>1</v>
      </c>
      <c r="I10175" s="7" t="n">
        <v>1</v>
      </c>
      <c r="J10175" s="7" t="n">
        <v>2000</v>
      </c>
    </row>
    <row r="10176" spans="1:21">
      <c r="A10176" t="s">
        <v>4</v>
      </c>
      <c r="B10176" s="4" t="s">
        <v>5</v>
      </c>
      <c r="C10176" s="4" t="s">
        <v>7</v>
      </c>
      <c r="D10176" s="4" t="s">
        <v>7</v>
      </c>
      <c r="E10176" s="4" t="s">
        <v>7</v>
      </c>
      <c r="F10176" s="4" t="s">
        <v>13</v>
      </c>
      <c r="G10176" s="4" t="s">
        <v>13</v>
      </c>
      <c r="H10176" s="4" t="s">
        <v>13</v>
      </c>
      <c r="I10176" s="4" t="s">
        <v>13</v>
      </c>
      <c r="J10176" s="4" t="s">
        <v>13</v>
      </c>
    </row>
    <row r="10177" spans="1:21">
      <c r="A10177" t="n">
        <v>95180</v>
      </c>
      <c r="B10177" s="25" t="n">
        <v>76</v>
      </c>
      <c r="C10177" s="7" t="n">
        <v>0</v>
      </c>
      <c r="D10177" s="7" t="n">
        <v>0</v>
      </c>
      <c r="E10177" s="7" t="n">
        <v>2</v>
      </c>
      <c r="F10177" s="7" t="n">
        <v>64</v>
      </c>
      <c r="G10177" s="7" t="n">
        <v>0</v>
      </c>
      <c r="H10177" s="7" t="n">
        <v>2000</v>
      </c>
      <c r="I10177" s="7" t="n">
        <v>0</v>
      </c>
      <c r="J10177" s="7" t="n">
        <v>0</v>
      </c>
    </row>
    <row r="10178" spans="1:21">
      <c r="A10178" t="s">
        <v>4</v>
      </c>
      <c r="B10178" s="4" t="s">
        <v>5</v>
      </c>
      <c r="C10178" s="4" t="s">
        <v>7</v>
      </c>
      <c r="D10178" s="4" t="s">
        <v>7</v>
      </c>
    </row>
    <row r="10179" spans="1:21">
      <c r="A10179" t="n">
        <v>95204</v>
      </c>
      <c r="B10179" s="26" t="n">
        <v>77</v>
      </c>
      <c r="C10179" s="7" t="n">
        <v>0</v>
      </c>
      <c r="D10179" s="7" t="n">
        <v>3</v>
      </c>
    </row>
    <row r="10180" spans="1:21">
      <c r="A10180" t="s">
        <v>4</v>
      </c>
      <c r="B10180" s="4" t="s">
        <v>5</v>
      </c>
      <c r="C10180" s="4" t="s">
        <v>7</v>
      </c>
      <c r="D10180" s="4" t="s">
        <v>7</v>
      </c>
    </row>
    <row r="10181" spans="1:21">
      <c r="A10181" t="n">
        <v>95207</v>
      </c>
      <c r="B10181" s="26" t="n">
        <v>77</v>
      </c>
      <c r="C10181" s="7" t="n">
        <v>0</v>
      </c>
      <c r="D10181" s="7" t="n">
        <v>0</v>
      </c>
    </row>
    <row r="10182" spans="1:21">
      <c r="A10182" t="s">
        <v>4</v>
      </c>
      <c r="B10182" s="4" t="s">
        <v>5</v>
      </c>
      <c r="C10182" s="4" t="s">
        <v>11</v>
      </c>
    </row>
    <row r="10183" spans="1:21">
      <c r="A10183" t="n">
        <v>95210</v>
      </c>
      <c r="B10183" s="29" t="n">
        <v>16</v>
      </c>
      <c r="C10183" s="7" t="n">
        <v>2000</v>
      </c>
    </row>
    <row r="10184" spans="1:21">
      <c r="A10184" t="s">
        <v>4</v>
      </c>
      <c r="B10184" s="4" t="s">
        <v>5</v>
      </c>
      <c r="C10184" s="4" t="s">
        <v>7</v>
      </c>
      <c r="D10184" s="4" t="s">
        <v>11</v>
      </c>
      <c r="E10184" s="4" t="s">
        <v>15</v>
      </c>
      <c r="F10184" s="4" t="s">
        <v>11</v>
      </c>
      <c r="G10184" s="4" t="s">
        <v>15</v>
      </c>
      <c r="H10184" s="4" t="s">
        <v>7</v>
      </c>
    </row>
    <row r="10185" spans="1:21">
      <c r="A10185" t="n">
        <v>95213</v>
      </c>
      <c r="B10185" s="13" t="n">
        <v>49</v>
      </c>
      <c r="C10185" s="7" t="n">
        <v>0</v>
      </c>
      <c r="D10185" s="7" t="n">
        <v>514</v>
      </c>
      <c r="E10185" s="7" t="n">
        <v>1065353216</v>
      </c>
      <c r="F10185" s="7" t="n">
        <v>0</v>
      </c>
      <c r="G10185" s="7" t="n">
        <v>0</v>
      </c>
      <c r="H10185" s="7" t="n">
        <v>0</v>
      </c>
    </row>
    <row r="10186" spans="1:21">
      <c r="A10186" t="s">
        <v>4</v>
      </c>
      <c r="B10186" s="4" t="s">
        <v>5</v>
      </c>
      <c r="C10186" s="4" t="s">
        <v>7</v>
      </c>
      <c r="D10186" s="4" t="s">
        <v>7</v>
      </c>
      <c r="E10186" s="4" t="s">
        <v>7</v>
      </c>
      <c r="F10186" s="4" t="s">
        <v>13</v>
      </c>
      <c r="G10186" s="4" t="s">
        <v>13</v>
      </c>
      <c r="H10186" s="4" t="s">
        <v>13</v>
      </c>
      <c r="I10186" s="4" t="s">
        <v>13</v>
      </c>
      <c r="J10186" s="4" t="s">
        <v>13</v>
      </c>
    </row>
    <row r="10187" spans="1:21">
      <c r="A10187" t="n">
        <v>95228</v>
      </c>
      <c r="B10187" s="25" t="n">
        <v>76</v>
      </c>
      <c r="C10187" s="7" t="n">
        <v>0</v>
      </c>
      <c r="D10187" s="7" t="n">
        <v>3</v>
      </c>
      <c r="E10187" s="7" t="n">
        <v>1</v>
      </c>
      <c r="F10187" s="7" t="n">
        <v>1</v>
      </c>
      <c r="G10187" s="7" t="n">
        <v>1</v>
      </c>
      <c r="H10187" s="7" t="n">
        <v>1</v>
      </c>
      <c r="I10187" s="7" t="n">
        <v>0</v>
      </c>
      <c r="J10187" s="7" t="n">
        <v>2000</v>
      </c>
    </row>
    <row r="10188" spans="1:21">
      <c r="A10188" t="s">
        <v>4</v>
      </c>
      <c r="B10188" s="4" t="s">
        <v>5</v>
      </c>
      <c r="C10188" s="4" t="s">
        <v>7</v>
      </c>
      <c r="D10188" s="4" t="s">
        <v>7</v>
      </c>
      <c r="E10188" s="4" t="s">
        <v>7</v>
      </c>
      <c r="F10188" s="4" t="s">
        <v>13</v>
      </c>
      <c r="G10188" s="4" t="s">
        <v>13</v>
      </c>
      <c r="H10188" s="4" t="s">
        <v>13</v>
      </c>
      <c r="I10188" s="4" t="s">
        <v>13</v>
      </c>
      <c r="J10188" s="4" t="s">
        <v>13</v>
      </c>
    </row>
    <row r="10189" spans="1:21">
      <c r="A10189" t="n">
        <v>95252</v>
      </c>
      <c r="B10189" s="25" t="n">
        <v>76</v>
      </c>
      <c r="C10189" s="7" t="n">
        <v>0</v>
      </c>
      <c r="D10189" s="7" t="n">
        <v>0</v>
      </c>
      <c r="E10189" s="7" t="n">
        <v>1</v>
      </c>
      <c r="F10189" s="7" t="n">
        <v>128</v>
      </c>
      <c r="G10189" s="7" t="n">
        <v>0</v>
      </c>
      <c r="H10189" s="7" t="n">
        <v>2000</v>
      </c>
      <c r="I10189" s="7" t="n">
        <v>0</v>
      </c>
      <c r="J10189" s="7" t="n">
        <v>0</v>
      </c>
    </row>
    <row r="10190" spans="1:21">
      <c r="A10190" t="s">
        <v>4</v>
      </c>
      <c r="B10190" s="4" t="s">
        <v>5</v>
      </c>
      <c r="C10190" s="4" t="s">
        <v>7</v>
      </c>
      <c r="D10190" s="4" t="s">
        <v>7</v>
      </c>
    </row>
    <row r="10191" spans="1:21">
      <c r="A10191" t="n">
        <v>95276</v>
      </c>
      <c r="B10191" s="26" t="n">
        <v>77</v>
      </c>
      <c r="C10191" s="7" t="n">
        <v>0</v>
      </c>
      <c r="D10191" s="7" t="n">
        <v>3</v>
      </c>
    </row>
    <row r="10192" spans="1:21">
      <c r="A10192" t="s">
        <v>4</v>
      </c>
      <c r="B10192" s="4" t="s">
        <v>5</v>
      </c>
      <c r="C10192" s="4" t="s">
        <v>7</v>
      </c>
      <c r="D10192" s="4" t="s">
        <v>7</v>
      </c>
    </row>
    <row r="10193" spans="1:10">
      <c r="A10193" t="n">
        <v>95279</v>
      </c>
      <c r="B10193" s="26" t="n">
        <v>77</v>
      </c>
      <c r="C10193" s="7" t="n">
        <v>0</v>
      </c>
      <c r="D10193" s="7" t="n">
        <v>0</v>
      </c>
    </row>
    <row r="10194" spans="1:10">
      <c r="A10194" t="s">
        <v>4</v>
      </c>
      <c r="B10194" s="4" t="s">
        <v>5</v>
      </c>
      <c r="C10194" s="4" t="s">
        <v>7</v>
      </c>
      <c r="D10194" s="4" t="s">
        <v>7</v>
      </c>
      <c r="E10194" s="4" t="s">
        <v>13</v>
      </c>
      <c r="F10194" s="4" t="s">
        <v>13</v>
      </c>
      <c r="G10194" s="4" t="s">
        <v>13</v>
      </c>
      <c r="H10194" s="4" t="s">
        <v>11</v>
      </c>
    </row>
    <row r="10195" spans="1:10">
      <c r="A10195" t="n">
        <v>95282</v>
      </c>
      <c r="B10195" s="51" t="n">
        <v>45</v>
      </c>
      <c r="C10195" s="7" t="n">
        <v>2</v>
      </c>
      <c r="D10195" s="7" t="n">
        <v>3</v>
      </c>
      <c r="E10195" s="7" t="n">
        <v>5.23999977111816</v>
      </c>
      <c r="F10195" s="7" t="n">
        <v>2.15000009536743</v>
      </c>
      <c r="G10195" s="7" t="n">
        <v>43.8600006103516</v>
      </c>
      <c r="H10195" s="7" t="n">
        <v>8000</v>
      </c>
    </row>
    <row r="10196" spans="1:10">
      <c r="A10196" t="s">
        <v>4</v>
      </c>
      <c r="B10196" s="4" t="s">
        <v>5</v>
      </c>
      <c r="C10196" s="4" t="s">
        <v>7</v>
      </c>
      <c r="D10196" s="4" t="s">
        <v>7</v>
      </c>
      <c r="E10196" s="4" t="s">
        <v>13</v>
      </c>
      <c r="F10196" s="4" t="s">
        <v>13</v>
      </c>
      <c r="G10196" s="4" t="s">
        <v>13</v>
      </c>
      <c r="H10196" s="4" t="s">
        <v>11</v>
      </c>
      <c r="I10196" s="4" t="s">
        <v>7</v>
      </c>
    </row>
    <row r="10197" spans="1:10">
      <c r="A10197" t="n">
        <v>95299</v>
      </c>
      <c r="B10197" s="51" t="n">
        <v>45</v>
      </c>
      <c r="C10197" s="7" t="n">
        <v>4</v>
      </c>
      <c r="D10197" s="7" t="n">
        <v>3</v>
      </c>
      <c r="E10197" s="7" t="n">
        <v>12.4799995422363</v>
      </c>
      <c r="F10197" s="7" t="n">
        <v>144.25</v>
      </c>
      <c r="G10197" s="7" t="n">
        <v>0</v>
      </c>
      <c r="H10197" s="7" t="n">
        <v>8000</v>
      </c>
      <c r="I10197" s="7" t="n">
        <v>0</v>
      </c>
    </row>
    <row r="10198" spans="1:10">
      <c r="A10198" t="s">
        <v>4</v>
      </c>
      <c r="B10198" s="4" t="s">
        <v>5</v>
      </c>
      <c r="C10198" s="4" t="s">
        <v>7</v>
      </c>
      <c r="D10198" s="4" t="s">
        <v>7</v>
      </c>
      <c r="E10198" s="4" t="s">
        <v>13</v>
      </c>
      <c r="F10198" s="4" t="s">
        <v>11</v>
      </c>
    </row>
    <row r="10199" spans="1:10">
      <c r="A10199" t="n">
        <v>95317</v>
      </c>
      <c r="B10199" s="51" t="n">
        <v>45</v>
      </c>
      <c r="C10199" s="7" t="n">
        <v>5</v>
      </c>
      <c r="D10199" s="7" t="n">
        <v>3</v>
      </c>
      <c r="E10199" s="7" t="n">
        <v>2.40000009536743</v>
      </c>
      <c r="F10199" s="7" t="n">
        <v>8000</v>
      </c>
    </row>
    <row r="10200" spans="1:10">
      <c r="A10200" t="s">
        <v>4</v>
      </c>
      <c r="B10200" s="4" t="s">
        <v>5</v>
      </c>
      <c r="C10200" s="4" t="s">
        <v>7</v>
      </c>
      <c r="D10200" s="4" t="s">
        <v>7</v>
      </c>
      <c r="E10200" s="4" t="s">
        <v>13</v>
      </c>
      <c r="F10200" s="4" t="s">
        <v>11</v>
      </c>
    </row>
    <row r="10201" spans="1:10">
      <c r="A10201" t="n">
        <v>95326</v>
      </c>
      <c r="B10201" s="51" t="n">
        <v>45</v>
      </c>
      <c r="C10201" s="7" t="n">
        <v>11</v>
      </c>
      <c r="D10201" s="7" t="n">
        <v>3</v>
      </c>
      <c r="E10201" s="7" t="n">
        <v>33.4000015258789</v>
      </c>
      <c r="F10201" s="7" t="n">
        <v>8000</v>
      </c>
    </row>
    <row r="10202" spans="1:10">
      <c r="A10202" t="s">
        <v>4</v>
      </c>
      <c r="B10202" s="4" t="s">
        <v>5</v>
      </c>
      <c r="C10202" s="4" t="s">
        <v>7</v>
      </c>
      <c r="D10202" s="4" t="s">
        <v>11</v>
      </c>
      <c r="E10202" s="4" t="s">
        <v>13</v>
      </c>
    </row>
    <row r="10203" spans="1:10">
      <c r="A10203" t="n">
        <v>95335</v>
      </c>
      <c r="B10203" s="23" t="n">
        <v>58</v>
      </c>
      <c r="C10203" s="7" t="n">
        <v>100</v>
      </c>
      <c r="D10203" s="7" t="n">
        <v>1000</v>
      </c>
      <c r="E10203" s="7" t="n">
        <v>1</v>
      </c>
    </row>
    <row r="10204" spans="1:10">
      <c r="A10204" t="s">
        <v>4</v>
      </c>
      <c r="B10204" s="4" t="s">
        <v>5</v>
      </c>
      <c r="C10204" s="4" t="s">
        <v>7</v>
      </c>
      <c r="D10204" s="4" t="s">
        <v>11</v>
      </c>
    </row>
    <row r="10205" spans="1:10">
      <c r="A10205" t="n">
        <v>95343</v>
      </c>
      <c r="B10205" s="23" t="n">
        <v>58</v>
      </c>
      <c r="C10205" s="7" t="n">
        <v>255</v>
      </c>
      <c r="D10205" s="7" t="n">
        <v>0</v>
      </c>
    </row>
    <row r="10206" spans="1:10">
      <c r="A10206" t="s">
        <v>4</v>
      </c>
      <c r="B10206" s="4" t="s">
        <v>5</v>
      </c>
      <c r="C10206" s="4" t="s">
        <v>7</v>
      </c>
      <c r="D10206" s="4" t="s">
        <v>11</v>
      </c>
    </row>
    <row r="10207" spans="1:10">
      <c r="A10207" t="n">
        <v>95347</v>
      </c>
      <c r="B10207" s="51" t="n">
        <v>45</v>
      </c>
      <c r="C10207" s="7" t="n">
        <v>7</v>
      </c>
      <c r="D10207" s="7" t="n">
        <v>255</v>
      </c>
    </row>
    <row r="10208" spans="1:10">
      <c r="A10208" t="s">
        <v>4</v>
      </c>
      <c r="B10208" s="4" t="s">
        <v>5</v>
      </c>
      <c r="C10208" s="4" t="s">
        <v>7</v>
      </c>
      <c r="D10208" s="4" t="s">
        <v>11</v>
      </c>
      <c r="E10208" s="4" t="s">
        <v>13</v>
      </c>
    </row>
    <row r="10209" spans="1:9">
      <c r="A10209" t="n">
        <v>95351</v>
      </c>
      <c r="B10209" s="23" t="n">
        <v>58</v>
      </c>
      <c r="C10209" s="7" t="n">
        <v>101</v>
      </c>
      <c r="D10209" s="7" t="n">
        <v>800</v>
      </c>
      <c r="E10209" s="7" t="n">
        <v>1</v>
      </c>
    </row>
    <row r="10210" spans="1:9">
      <c r="A10210" t="s">
        <v>4</v>
      </c>
      <c r="B10210" s="4" t="s">
        <v>5</v>
      </c>
      <c r="C10210" s="4" t="s">
        <v>7</v>
      </c>
      <c r="D10210" s="4" t="s">
        <v>11</v>
      </c>
    </row>
    <row r="10211" spans="1:9">
      <c r="A10211" t="n">
        <v>95359</v>
      </c>
      <c r="B10211" s="23" t="n">
        <v>58</v>
      </c>
      <c r="C10211" s="7" t="n">
        <v>254</v>
      </c>
      <c r="D10211" s="7" t="n">
        <v>0</v>
      </c>
    </row>
    <row r="10212" spans="1:9">
      <c r="A10212" t="s">
        <v>4</v>
      </c>
      <c r="B10212" s="4" t="s">
        <v>5</v>
      </c>
      <c r="C10212" s="4" t="s">
        <v>7</v>
      </c>
      <c r="D10212" s="4" t="s">
        <v>7</v>
      </c>
      <c r="E10212" s="4" t="s">
        <v>13</v>
      </c>
      <c r="F10212" s="4" t="s">
        <v>13</v>
      </c>
      <c r="G10212" s="4" t="s">
        <v>13</v>
      </c>
      <c r="H10212" s="4" t="s">
        <v>11</v>
      </c>
    </row>
    <row r="10213" spans="1:9">
      <c r="A10213" t="n">
        <v>95363</v>
      </c>
      <c r="B10213" s="51" t="n">
        <v>45</v>
      </c>
      <c r="C10213" s="7" t="n">
        <v>2</v>
      </c>
      <c r="D10213" s="7" t="n">
        <v>3</v>
      </c>
      <c r="E10213" s="7" t="n">
        <v>4.26999998092651</v>
      </c>
      <c r="F10213" s="7" t="n">
        <v>2.44000005722046</v>
      </c>
      <c r="G10213" s="7" t="n">
        <v>44.1500015258789</v>
      </c>
      <c r="H10213" s="7" t="n">
        <v>0</v>
      </c>
    </row>
    <row r="10214" spans="1:9">
      <c r="A10214" t="s">
        <v>4</v>
      </c>
      <c r="B10214" s="4" t="s">
        <v>5</v>
      </c>
      <c r="C10214" s="4" t="s">
        <v>7</v>
      </c>
      <c r="D10214" s="4" t="s">
        <v>7</v>
      </c>
      <c r="E10214" s="4" t="s">
        <v>13</v>
      </c>
      <c r="F10214" s="4" t="s">
        <v>13</v>
      </c>
      <c r="G10214" s="4" t="s">
        <v>13</v>
      </c>
      <c r="H10214" s="4" t="s">
        <v>11</v>
      </c>
      <c r="I10214" s="4" t="s">
        <v>7</v>
      </c>
    </row>
    <row r="10215" spans="1:9">
      <c r="A10215" t="n">
        <v>95380</v>
      </c>
      <c r="B10215" s="51" t="n">
        <v>45</v>
      </c>
      <c r="C10215" s="7" t="n">
        <v>4</v>
      </c>
      <c r="D10215" s="7" t="n">
        <v>3</v>
      </c>
      <c r="E10215" s="7" t="n">
        <v>357.880004882813</v>
      </c>
      <c r="F10215" s="7" t="n">
        <v>321.779998779297</v>
      </c>
      <c r="G10215" s="7" t="n">
        <v>0</v>
      </c>
      <c r="H10215" s="7" t="n">
        <v>0</v>
      </c>
      <c r="I10215" s="7" t="n">
        <v>0</v>
      </c>
    </row>
    <row r="10216" spans="1:9">
      <c r="A10216" t="s">
        <v>4</v>
      </c>
      <c r="B10216" s="4" t="s">
        <v>5</v>
      </c>
      <c r="C10216" s="4" t="s">
        <v>7</v>
      </c>
      <c r="D10216" s="4" t="s">
        <v>7</v>
      </c>
      <c r="E10216" s="4" t="s">
        <v>13</v>
      </c>
      <c r="F10216" s="4" t="s">
        <v>11</v>
      </c>
    </row>
    <row r="10217" spans="1:9">
      <c r="A10217" t="n">
        <v>95398</v>
      </c>
      <c r="B10217" s="51" t="n">
        <v>45</v>
      </c>
      <c r="C10217" s="7" t="n">
        <v>5</v>
      </c>
      <c r="D10217" s="7" t="n">
        <v>3</v>
      </c>
      <c r="E10217" s="7" t="n">
        <v>2.40000009536743</v>
      </c>
      <c r="F10217" s="7" t="n">
        <v>0</v>
      </c>
    </row>
    <row r="10218" spans="1:9">
      <c r="A10218" t="s">
        <v>4</v>
      </c>
      <c r="B10218" s="4" t="s">
        <v>5</v>
      </c>
      <c r="C10218" s="4" t="s">
        <v>7</v>
      </c>
      <c r="D10218" s="4" t="s">
        <v>7</v>
      </c>
      <c r="E10218" s="4" t="s">
        <v>13</v>
      </c>
      <c r="F10218" s="4" t="s">
        <v>11</v>
      </c>
    </row>
    <row r="10219" spans="1:9">
      <c r="A10219" t="n">
        <v>95407</v>
      </c>
      <c r="B10219" s="51" t="n">
        <v>45</v>
      </c>
      <c r="C10219" s="7" t="n">
        <v>11</v>
      </c>
      <c r="D10219" s="7" t="n">
        <v>3</v>
      </c>
      <c r="E10219" s="7" t="n">
        <v>33.4000015258789</v>
      </c>
      <c r="F10219" s="7" t="n">
        <v>0</v>
      </c>
    </row>
    <row r="10220" spans="1:9">
      <c r="A10220" t="s">
        <v>4</v>
      </c>
      <c r="B10220" s="4" t="s">
        <v>5</v>
      </c>
      <c r="C10220" s="4" t="s">
        <v>7</v>
      </c>
      <c r="D10220" s="4" t="s">
        <v>7</v>
      </c>
      <c r="E10220" s="4" t="s">
        <v>13</v>
      </c>
      <c r="F10220" s="4" t="s">
        <v>13</v>
      </c>
      <c r="G10220" s="4" t="s">
        <v>13</v>
      </c>
      <c r="H10220" s="4" t="s">
        <v>11</v>
      </c>
    </row>
    <row r="10221" spans="1:9">
      <c r="A10221" t="n">
        <v>95416</v>
      </c>
      <c r="B10221" s="51" t="n">
        <v>45</v>
      </c>
      <c r="C10221" s="7" t="n">
        <v>2</v>
      </c>
      <c r="D10221" s="7" t="n">
        <v>3</v>
      </c>
      <c r="E10221" s="7" t="n">
        <v>4.76999998092651</v>
      </c>
      <c r="F10221" s="7" t="n">
        <v>1.45000004768372</v>
      </c>
      <c r="G10221" s="7" t="n">
        <v>45.2599983215332</v>
      </c>
      <c r="H10221" s="7" t="n">
        <v>8000</v>
      </c>
    </row>
    <row r="10222" spans="1:9">
      <c r="A10222" t="s">
        <v>4</v>
      </c>
      <c r="B10222" s="4" t="s">
        <v>5</v>
      </c>
      <c r="C10222" s="4" t="s">
        <v>7</v>
      </c>
      <c r="D10222" s="4" t="s">
        <v>7</v>
      </c>
      <c r="E10222" s="4" t="s">
        <v>13</v>
      </c>
      <c r="F10222" s="4" t="s">
        <v>13</v>
      </c>
      <c r="G10222" s="4" t="s">
        <v>13</v>
      </c>
      <c r="H10222" s="4" t="s">
        <v>11</v>
      </c>
      <c r="I10222" s="4" t="s">
        <v>7</v>
      </c>
    </row>
    <row r="10223" spans="1:9">
      <c r="A10223" t="n">
        <v>95433</v>
      </c>
      <c r="B10223" s="51" t="n">
        <v>45</v>
      </c>
      <c r="C10223" s="7" t="n">
        <v>4</v>
      </c>
      <c r="D10223" s="7" t="n">
        <v>3</v>
      </c>
      <c r="E10223" s="7" t="n">
        <v>358.660003662109</v>
      </c>
      <c r="F10223" s="7" t="n">
        <v>283.079986572266</v>
      </c>
      <c r="G10223" s="7" t="n">
        <v>0</v>
      </c>
      <c r="H10223" s="7" t="n">
        <v>8000</v>
      </c>
      <c r="I10223" s="7" t="n">
        <v>0</v>
      </c>
    </row>
    <row r="10224" spans="1:9">
      <c r="A10224" t="s">
        <v>4</v>
      </c>
      <c r="B10224" s="4" t="s">
        <v>5</v>
      </c>
      <c r="C10224" s="4" t="s">
        <v>7</v>
      </c>
      <c r="D10224" s="4" t="s">
        <v>7</v>
      </c>
      <c r="E10224" s="4" t="s">
        <v>13</v>
      </c>
      <c r="F10224" s="4" t="s">
        <v>11</v>
      </c>
    </row>
    <row r="10225" spans="1:9">
      <c r="A10225" t="n">
        <v>95451</v>
      </c>
      <c r="B10225" s="51" t="n">
        <v>45</v>
      </c>
      <c r="C10225" s="7" t="n">
        <v>5</v>
      </c>
      <c r="D10225" s="7" t="n">
        <v>3</v>
      </c>
      <c r="E10225" s="7" t="n">
        <v>2</v>
      </c>
      <c r="F10225" s="7" t="n">
        <v>8000</v>
      </c>
    </row>
    <row r="10226" spans="1:9">
      <c r="A10226" t="s">
        <v>4</v>
      </c>
      <c r="B10226" s="4" t="s">
        <v>5</v>
      </c>
      <c r="C10226" s="4" t="s">
        <v>7</v>
      </c>
      <c r="D10226" s="4" t="s">
        <v>11</v>
      </c>
    </row>
    <row r="10227" spans="1:9">
      <c r="A10227" t="n">
        <v>95460</v>
      </c>
      <c r="B10227" s="23" t="n">
        <v>58</v>
      </c>
      <c r="C10227" s="7" t="n">
        <v>255</v>
      </c>
      <c r="D10227" s="7" t="n">
        <v>0</v>
      </c>
    </row>
    <row r="10228" spans="1:9">
      <c r="A10228" t="s">
        <v>4</v>
      </c>
      <c r="B10228" s="4" t="s">
        <v>5</v>
      </c>
      <c r="C10228" s="4" t="s">
        <v>7</v>
      </c>
      <c r="D10228" s="4" t="s">
        <v>11</v>
      </c>
    </row>
    <row r="10229" spans="1:9">
      <c r="A10229" t="n">
        <v>95464</v>
      </c>
      <c r="B10229" s="51" t="n">
        <v>45</v>
      </c>
      <c r="C10229" s="7" t="n">
        <v>7</v>
      </c>
      <c r="D10229" s="7" t="n">
        <v>255</v>
      </c>
    </row>
    <row r="10230" spans="1:9">
      <c r="A10230" t="s">
        <v>4</v>
      </c>
      <c r="B10230" s="4" t="s">
        <v>5</v>
      </c>
      <c r="C10230" s="4" t="s">
        <v>7</v>
      </c>
      <c r="D10230" s="4" t="s">
        <v>11</v>
      </c>
      <c r="E10230" s="4" t="s">
        <v>13</v>
      </c>
    </row>
    <row r="10231" spans="1:9">
      <c r="A10231" t="n">
        <v>95468</v>
      </c>
      <c r="B10231" s="23" t="n">
        <v>58</v>
      </c>
      <c r="C10231" s="7" t="n">
        <v>101</v>
      </c>
      <c r="D10231" s="7" t="n">
        <v>800</v>
      </c>
      <c r="E10231" s="7" t="n">
        <v>1</v>
      </c>
    </row>
    <row r="10232" spans="1:9">
      <c r="A10232" t="s">
        <v>4</v>
      </c>
      <c r="B10232" s="4" t="s">
        <v>5</v>
      </c>
      <c r="C10232" s="4" t="s">
        <v>7</v>
      </c>
      <c r="D10232" s="4" t="s">
        <v>11</v>
      </c>
    </row>
    <row r="10233" spans="1:9">
      <c r="A10233" t="n">
        <v>95476</v>
      </c>
      <c r="B10233" s="23" t="n">
        <v>58</v>
      </c>
      <c r="C10233" s="7" t="n">
        <v>254</v>
      </c>
      <c r="D10233" s="7" t="n">
        <v>0</v>
      </c>
    </row>
    <row r="10234" spans="1:9">
      <c r="A10234" t="s">
        <v>4</v>
      </c>
      <c r="B10234" s="4" t="s">
        <v>5</v>
      </c>
      <c r="C10234" s="4" t="s">
        <v>7</v>
      </c>
      <c r="D10234" s="4" t="s">
        <v>7</v>
      </c>
      <c r="E10234" s="4" t="s">
        <v>13</v>
      </c>
      <c r="F10234" s="4" t="s">
        <v>13</v>
      </c>
      <c r="G10234" s="4" t="s">
        <v>13</v>
      </c>
      <c r="H10234" s="4" t="s">
        <v>11</v>
      </c>
    </row>
    <row r="10235" spans="1:9">
      <c r="A10235" t="n">
        <v>95480</v>
      </c>
      <c r="B10235" s="51" t="n">
        <v>45</v>
      </c>
      <c r="C10235" s="7" t="n">
        <v>2</v>
      </c>
      <c r="D10235" s="7" t="n">
        <v>3</v>
      </c>
      <c r="E10235" s="7" t="n">
        <v>4.73999977111816</v>
      </c>
      <c r="F10235" s="7" t="n">
        <v>1.37000000476837</v>
      </c>
      <c r="G10235" s="7" t="n">
        <v>45.310001373291</v>
      </c>
      <c r="H10235" s="7" t="n">
        <v>0</v>
      </c>
    </row>
    <row r="10236" spans="1:9">
      <c r="A10236" t="s">
        <v>4</v>
      </c>
      <c r="B10236" s="4" t="s">
        <v>5</v>
      </c>
      <c r="C10236" s="4" t="s">
        <v>7</v>
      </c>
      <c r="D10236" s="4" t="s">
        <v>7</v>
      </c>
      <c r="E10236" s="4" t="s">
        <v>13</v>
      </c>
      <c r="F10236" s="4" t="s">
        <v>13</v>
      </c>
      <c r="G10236" s="4" t="s">
        <v>13</v>
      </c>
      <c r="H10236" s="4" t="s">
        <v>11</v>
      </c>
      <c r="I10236" s="4" t="s">
        <v>7</v>
      </c>
    </row>
    <row r="10237" spans="1:9">
      <c r="A10237" t="n">
        <v>95497</v>
      </c>
      <c r="B10237" s="51" t="n">
        <v>45</v>
      </c>
      <c r="C10237" s="7" t="n">
        <v>4</v>
      </c>
      <c r="D10237" s="7" t="n">
        <v>3</v>
      </c>
      <c r="E10237" s="7" t="n">
        <v>4.3899998664856</v>
      </c>
      <c r="F10237" s="7" t="n">
        <v>107.779998779297</v>
      </c>
      <c r="G10237" s="7" t="n">
        <v>0</v>
      </c>
      <c r="H10237" s="7" t="n">
        <v>0</v>
      </c>
      <c r="I10237" s="7" t="n">
        <v>0</v>
      </c>
    </row>
    <row r="10238" spans="1:9">
      <c r="A10238" t="s">
        <v>4</v>
      </c>
      <c r="B10238" s="4" t="s">
        <v>5</v>
      </c>
      <c r="C10238" s="4" t="s">
        <v>7</v>
      </c>
      <c r="D10238" s="4" t="s">
        <v>7</v>
      </c>
      <c r="E10238" s="4" t="s">
        <v>13</v>
      </c>
      <c r="F10238" s="4" t="s">
        <v>11</v>
      </c>
    </row>
    <row r="10239" spans="1:9">
      <c r="A10239" t="n">
        <v>95515</v>
      </c>
      <c r="B10239" s="51" t="n">
        <v>45</v>
      </c>
      <c r="C10239" s="7" t="n">
        <v>5</v>
      </c>
      <c r="D10239" s="7" t="n">
        <v>3</v>
      </c>
      <c r="E10239" s="7" t="n">
        <v>2</v>
      </c>
      <c r="F10239" s="7" t="n">
        <v>0</v>
      </c>
    </row>
    <row r="10240" spans="1:9">
      <c r="A10240" t="s">
        <v>4</v>
      </c>
      <c r="B10240" s="4" t="s">
        <v>5</v>
      </c>
      <c r="C10240" s="4" t="s">
        <v>7</v>
      </c>
      <c r="D10240" s="4" t="s">
        <v>7</v>
      </c>
      <c r="E10240" s="4" t="s">
        <v>13</v>
      </c>
      <c r="F10240" s="4" t="s">
        <v>11</v>
      </c>
    </row>
    <row r="10241" spans="1:9">
      <c r="A10241" t="n">
        <v>95524</v>
      </c>
      <c r="B10241" s="51" t="n">
        <v>45</v>
      </c>
      <c r="C10241" s="7" t="n">
        <v>11</v>
      </c>
      <c r="D10241" s="7" t="n">
        <v>3</v>
      </c>
      <c r="E10241" s="7" t="n">
        <v>33.4000015258789</v>
      </c>
      <c r="F10241" s="7" t="n">
        <v>0</v>
      </c>
    </row>
    <row r="10242" spans="1:9">
      <c r="A10242" t="s">
        <v>4</v>
      </c>
      <c r="B10242" s="4" t="s">
        <v>5</v>
      </c>
      <c r="C10242" s="4" t="s">
        <v>11</v>
      </c>
      <c r="D10242" s="4" t="s">
        <v>15</v>
      </c>
    </row>
    <row r="10243" spans="1:9">
      <c r="A10243" t="n">
        <v>95533</v>
      </c>
      <c r="B10243" s="63" t="n">
        <v>44</v>
      </c>
      <c r="C10243" s="7" t="n">
        <v>18</v>
      </c>
      <c r="D10243" s="7" t="n">
        <v>1</v>
      </c>
    </row>
    <row r="10244" spans="1:9">
      <c r="A10244" t="s">
        <v>4</v>
      </c>
      <c r="B10244" s="4" t="s">
        <v>5</v>
      </c>
      <c r="C10244" s="4" t="s">
        <v>7</v>
      </c>
      <c r="D10244" s="4" t="s">
        <v>11</v>
      </c>
    </row>
    <row r="10245" spans="1:9">
      <c r="A10245" t="n">
        <v>95540</v>
      </c>
      <c r="B10245" s="23" t="n">
        <v>58</v>
      </c>
      <c r="C10245" s="7" t="n">
        <v>255</v>
      </c>
      <c r="D10245" s="7" t="n">
        <v>0</v>
      </c>
    </row>
    <row r="10246" spans="1:9">
      <c r="A10246" t="s">
        <v>4</v>
      </c>
      <c r="B10246" s="4" t="s">
        <v>5</v>
      </c>
      <c r="C10246" s="4" t="s">
        <v>8</v>
      </c>
      <c r="D10246" s="4" t="s">
        <v>8</v>
      </c>
    </row>
    <row r="10247" spans="1:9">
      <c r="A10247" t="n">
        <v>95544</v>
      </c>
      <c r="B10247" s="52" t="n">
        <v>70</v>
      </c>
      <c r="C10247" s="7" t="s">
        <v>279</v>
      </c>
      <c r="D10247" s="7" t="s">
        <v>280</v>
      </c>
    </row>
    <row r="10248" spans="1:9">
      <c r="A10248" t="s">
        <v>4</v>
      </c>
      <c r="B10248" s="4" t="s">
        <v>5</v>
      </c>
      <c r="C10248" s="4" t="s">
        <v>11</v>
      </c>
    </row>
    <row r="10249" spans="1:9">
      <c r="A10249" t="n">
        <v>95561</v>
      </c>
      <c r="B10249" s="29" t="n">
        <v>16</v>
      </c>
      <c r="C10249" s="7" t="n">
        <v>1000</v>
      </c>
    </row>
    <row r="10250" spans="1:9">
      <c r="A10250" t="s">
        <v>4</v>
      </c>
      <c r="B10250" s="4" t="s">
        <v>5</v>
      </c>
      <c r="C10250" s="4" t="s">
        <v>7</v>
      </c>
      <c r="D10250" s="4" t="s">
        <v>11</v>
      </c>
      <c r="E10250" s="4" t="s">
        <v>11</v>
      </c>
      <c r="F10250" s="4" t="s">
        <v>7</v>
      </c>
    </row>
    <row r="10251" spans="1:9">
      <c r="A10251" t="n">
        <v>95564</v>
      </c>
      <c r="B10251" s="31" t="n">
        <v>25</v>
      </c>
      <c r="C10251" s="7" t="n">
        <v>1</v>
      </c>
      <c r="D10251" s="7" t="n">
        <v>100</v>
      </c>
      <c r="E10251" s="7" t="n">
        <v>500</v>
      </c>
      <c r="F10251" s="7" t="n">
        <v>5</v>
      </c>
    </row>
    <row r="10252" spans="1:9">
      <c r="A10252" t="s">
        <v>4</v>
      </c>
      <c r="B10252" s="4" t="s">
        <v>5</v>
      </c>
      <c r="C10252" s="4" t="s">
        <v>8</v>
      </c>
      <c r="D10252" s="4" t="s">
        <v>11</v>
      </c>
    </row>
    <row r="10253" spans="1:9">
      <c r="A10253" t="n">
        <v>95571</v>
      </c>
      <c r="B10253" s="67" t="n">
        <v>29</v>
      </c>
      <c r="C10253" s="7" t="s">
        <v>281</v>
      </c>
      <c r="D10253" s="7" t="n">
        <v>65533</v>
      </c>
    </row>
    <row r="10254" spans="1:9">
      <c r="A10254" t="s">
        <v>4</v>
      </c>
      <c r="B10254" s="4" t="s">
        <v>5</v>
      </c>
      <c r="C10254" s="4" t="s">
        <v>7</v>
      </c>
      <c r="D10254" s="4" t="s">
        <v>11</v>
      </c>
      <c r="E10254" s="4" t="s">
        <v>8</v>
      </c>
    </row>
    <row r="10255" spans="1:9">
      <c r="A10255" t="n">
        <v>95580</v>
      </c>
      <c r="B10255" s="38" t="n">
        <v>51</v>
      </c>
      <c r="C10255" s="7" t="n">
        <v>4</v>
      </c>
      <c r="D10255" s="7" t="n">
        <v>18</v>
      </c>
      <c r="E10255" s="7" t="s">
        <v>16</v>
      </c>
    </row>
    <row r="10256" spans="1:9">
      <c r="A10256" t="s">
        <v>4</v>
      </c>
      <c r="B10256" s="4" t="s">
        <v>5</v>
      </c>
      <c r="C10256" s="4" t="s">
        <v>11</v>
      </c>
    </row>
    <row r="10257" spans="1:6">
      <c r="A10257" t="n">
        <v>95585</v>
      </c>
      <c r="B10257" s="29" t="n">
        <v>16</v>
      </c>
      <c r="C10257" s="7" t="n">
        <v>0</v>
      </c>
    </row>
    <row r="10258" spans="1:6">
      <c r="A10258" t="s">
        <v>4</v>
      </c>
      <c r="B10258" s="4" t="s">
        <v>5</v>
      </c>
      <c r="C10258" s="4" t="s">
        <v>11</v>
      </c>
      <c r="D10258" s="4" t="s">
        <v>7</v>
      </c>
      <c r="E10258" s="4" t="s">
        <v>15</v>
      </c>
      <c r="F10258" s="4" t="s">
        <v>55</v>
      </c>
      <c r="G10258" s="4" t="s">
        <v>7</v>
      </c>
      <c r="H10258" s="4" t="s">
        <v>7</v>
      </c>
    </row>
    <row r="10259" spans="1:6">
      <c r="A10259" t="n">
        <v>95588</v>
      </c>
      <c r="B10259" s="55" t="n">
        <v>26</v>
      </c>
      <c r="C10259" s="7" t="n">
        <v>18</v>
      </c>
      <c r="D10259" s="7" t="n">
        <v>17</v>
      </c>
      <c r="E10259" s="7" t="n">
        <v>64060</v>
      </c>
      <c r="F10259" s="7" t="s">
        <v>855</v>
      </c>
      <c r="G10259" s="7" t="n">
        <v>2</v>
      </c>
      <c r="H10259" s="7" t="n">
        <v>0</v>
      </c>
    </row>
    <row r="10260" spans="1:6">
      <c r="A10260" t="s">
        <v>4</v>
      </c>
      <c r="B10260" s="4" t="s">
        <v>5</v>
      </c>
    </row>
    <row r="10261" spans="1:6">
      <c r="A10261" t="n">
        <v>95645</v>
      </c>
      <c r="B10261" s="27" t="n">
        <v>28</v>
      </c>
    </row>
    <row r="10262" spans="1:6">
      <c r="A10262" t="s">
        <v>4</v>
      </c>
      <c r="B10262" s="4" t="s">
        <v>5</v>
      </c>
      <c r="C10262" s="4" t="s">
        <v>11</v>
      </c>
      <c r="D10262" s="4" t="s">
        <v>7</v>
      </c>
    </row>
    <row r="10263" spans="1:6">
      <c r="A10263" t="n">
        <v>95646</v>
      </c>
      <c r="B10263" s="68" t="n">
        <v>89</v>
      </c>
      <c r="C10263" s="7" t="n">
        <v>65533</v>
      </c>
      <c r="D10263" s="7" t="n">
        <v>1</v>
      </c>
    </row>
    <row r="10264" spans="1:6">
      <c r="A10264" t="s">
        <v>4</v>
      </c>
      <c r="B10264" s="4" t="s">
        <v>5</v>
      </c>
      <c r="C10264" s="4" t="s">
        <v>7</v>
      </c>
      <c r="D10264" s="4" t="s">
        <v>11</v>
      </c>
      <c r="E10264" s="4" t="s">
        <v>11</v>
      </c>
      <c r="F10264" s="4" t="s">
        <v>7</v>
      </c>
    </row>
    <row r="10265" spans="1:6">
      <c r="A10265" t="n">
        <v>95650</v>
      </c>
      <c r="B10265" s="31" t="n">
        <v>25</v>
      </c>
      <c r="C10265" s="7" t="n">
        <v>1</v>
      </c>
      <c r="D10265" s="7" t="n">
        <v>65535</v>
      </c>
      <c r="E10265" s="7" t="n">
        <v>65535</v>
      </c>
      <c r="F10265" s="7" t="n">
        <v>0</v>
      </c>
    </row>
    <row r="10266" spans="1:6">
      <c r="A10266" t="s">
        <v>4</v>
      </c>
      <c r="B10266" s="4" t="s">
        <v>5</v>
      </c>
      <c r="C10266" s="4" t="s">
        <v>8</v>
      </c>
      <c r="D10266" s="4" t="s">
        <v>11</v>
      </c>
    </row>
    <row r="10267" spans="1:6">
      <c r="A10267" t="n">
        <v>95657</v>
      </c>
      <c r="B10267" s="67" t="n">
        <v>29</v>
      </c>
      <c r="C10267" s="7" t="s">
        <v>16</v>
      </c>
      <c r="D10267" s="7" t="n">
        <v>65533</v>
      </c>
    </row>
    <row r="10268" spans="1:6">
      <c r="A10268" t="s">
        <v>4</v>
      </c>
      <c r="B10268" s="4" t="s">
        <v>5</v>
      </c>
      <c r="C10268" s="4" t="s">
        <v>11</v>
      </c>
      <c r="D10268" s="4" t="s">
        <v>7</v>
      </c>
      <c r="E10268" s="4" t="s">
        <v>13</v>
      </c>
      <c r="F10268" s="4" t="s">
        <v>11</v>
      </c>
    </row>
    <row r="10269" spans="1:6">
      <c r="A10269" t="n">
        <v>95661</v>
      </c>
      <c r="B10269" s="56" t="n">
        <v>59</v>
      </c>
      <c r="C10269" s="7" t="n">
        <v>0</v>
      </c>
      <c r="D10269" s="7" t="n">
        <v>13</v>
      </c>
      <c r="E10269" s="7" t="n">
        <v>0.150000005960464</v>
      </c>
      <c r="F10269" s="7" t="n">
        <v>0</v>
      </c>
    </row>
    <row r="10270" spans="1:6">
      <c r="A10270" t="s">
        <v>4</v>
      </c>
      <c r="B10270" s="4" t="s">
        <v>5</v>
      </c>
      <c r="C10270" s="4" t="s">
        <v>11</v>
      </c>
    </row>
    <row r="10271" spans="1:6">
      <c r="A10271" t="n">
        <v>95671</v>
      </c>
      <c r="B10271" s="29" t="n">
        <v>16</v>
      </c>
      <c r="C10271" s="7" t="n">
        <v>1000</v>
      </c>
    </row>
    <row r="10272" spans="1:6">
      <c r="A10272" t="s">
        <v>4</v>
      </c>
      <c r="B10272" s="4" t="s">
        <v>5</v>
      </c>
      <c r="C10272" s="4" t="s">
        <v>11</v>
      </c>
      <c r="D10272" s="4" t="s">
        <v>13</v>
      </c>
      <c r="E10272" s="4" t="s">
        <v>13</v>
      </c>
      <c r="F10272" s="4" t="s">
        <v>13</v>
      </c>
      <c r="G10272" s="4" t="s">
        <v>11</v>
      </c>
      <c r="H10272" s="4" t="s">
        <v>11</v>
      </c>
    </row>
    <row r="10273" spans="1:8">
      <c r="A10273" t="n">
        <v>95674</v>
      </c>
      <c r="B10273" s="37" t="n">
        <v>60</v>
      </c>
      <c r="C10273" s="7" t="n">
        <v>0</v>
      </c>
      <c r="D10273" s="7" t="n">
        <v>0</v>
      </c>
      <c r="E10273" s="7" t="n">
        <v>0</v>
      </c>
      <c r="F10273" s="7" t="n">
        <v>0</v>
      </c>
      <c r="G10273" s="7" t="n">
        <v>1000</v>
      </c>
      <c r="H10273" s="7" t="n">
        <v>0</v>
      </c>
    </row>
    <row r="10274" spans="1:8">
      <c r="A10274" t="s">
        <v>4</v>
      </c>
      <c r="B10274" s="4" t="s">
        <v>5</v>
      </c>
      <c r="C10274" s="4" t="s">
        <v>11</v>
      </c>
      <c r="D10274" s="4" t="s">
        <v>11</v>
      </c>
      <c r="E10274" s="4" t="s">
        <v>11</v>
      </c>
    </row>
    <row r="10275" spans="1:8">
      <c r="A10275" t="n">
        <v>95693</v>
      </c>
      <c r="B10275" s="72" t="n">
        <v>61</v>
      </c>
      <c r="C10275" s="7" t="n">
        <v>0</v>
      </c>
      <c r="D10275" s="7" t="n">
        <v>18</v>
      </c>
      <c r="E10275" s="7" t="n">
        <v>1000</v>
      </c>
    </row>
    <row r="10276" spans="1:8">
      <c r="A10276" t="s">
        <v>4</v>
      </c>
      <c r="B10276" s="4" t="s">
        <v>5</v>
      </c>
      <c r="C10276" s="4" t="s">
        <v>11</v>
      </c>
      <c r="D10276" s="4" t="s">
        <v>11</v>
      </c>
      <c r="E10276" s="4" t="s">
        <v>11</v>
      </c>
    </row>
    <row r="10277" spans="1:8">
      <c r="A10277" t="n">
        <v>95700</v>
      </c>
      <c r="B10277" s="72" t="n">
        <v>61</v>
      </c>
      <c r="C10277" s="7" t="n">
        <v>18</v>
      </c>
      <c r="D10277" s="7" t="n">
        <v>0</v>
      </c>
      <c r="E10277" s="7" t="n">
        <v>1000</v>
      </c>
    </row>
    <row r="10278" spans="1:8">
      <c r="A10278" t="s">
        <v>4</v>
      </c>
      <c r="B10278" s="4" t="s">
        <v>5</v>
      </c>
      <c r="C10278" s="4" t="s">
        <v>11</v>
      </c>
      <c r="D10278" s="4" t="s">
        <v>13</v>
      </c>
      <c r="E10278" s="4" t="s">
        <v>13</v>
      </c>
      <c r="F10278" s="4" t="s">
        <v>7</v>
      </c>
    </row>
    <row r="10279" spans="1:8">
      <c r="A10279" t="n">
        <v>95707</v>
      </c>
      <c r="B10279" s="65" t="n">
        <v>52</v>
      </c>
      <c r="C10279" s="7" t="n">
        <v>0</v>
      </c>
      <c r="D10279" s="7" t="n">
        <v>332.399993896484</v>
      </c>
      <c r="E10279" s="7" t="n">
        <v>5</v>
      </c>
      <c r="F10279" s="7" t="n">
        <v>0</v>
      </c>
    </row>
    <row r="10280" spans="1:8">
      <c r="A10280" t="s">
        <v>4</v>
      </c>
      <c r="B10280" s="4" t="s">
        <v>5</v>
      </c>
      <c r="C10280" s="4" t="s">
        <v>11</v>
      </c>
    </row>
    <row r="10281" spans="1:8">
      <c r="A10281" t="n">
        <v>95719</v>
      </c>
      <c r="B10281" s="66" t="n">
        <v>54</v>
      </c>
      <c r="C10281" s="7" t="n">
        <v>0</v>
      </c>
    </row>
    <row r="10282" spans="1:8">
      <c r="A10282" t="s">
        <v>4</v>
      </c>
      <c r="B10282" s="4" t="s">
        <v>5</v>
      </c>
      <c r="C10282" s="4" t="s">
        <v>7</v>
      </c>
      <c r="D10282" s="4" t="s">
        <v>11</v>
      </c>
      <c r="E10282" s="4" t="s">
        <v>13</v>
      </c>
    </row>
    <row r="10283" spans="1:8">
      <c r="A10283" t="n">
        <v>95722</v>
      </c>
      <c r="B10283" s="23" t="n">
        <v>58</v>
      </c>
      <c r="C10283" s="7" t="n">
        <v>101</v>
      </c>
      <c r="D10283" s="7" t="n">
        <v>500</v>
      </c>
      <c r="E10283" s="7" t="n">
        <v>1</v>
      </c>
    </row>
    <row r="10284" spans="1:8">
      <c r="A10284" t="s">
        <v>4</v>
      </c>
      <c r="B10284" s="4" t="s">
        <v>5</v>
      </c>
      <c r="C10284" s="4" t="s">
        <v>7</v>
      </c>
      <c r="D10284" s="4" t="s">
        <v>11</v>
      </c>
    </row>
    <row r="10285" spans="1:8">
      <c r="A10285" t="n">
        <v>95730</v>
      </c>
      <c r="B10285" s="23" t="n">
        <v>58</v>
      </c>
      <c r="C10285" s="7" t="n">
        <v>254</v>
      </c>
      <c r="D10285" s="7" t="n">
        <v>0</v>
      </c>
    </row>
    <row r="10286" spans="1:8">
      <c r="A10286" t="s">
        <v>4</v>
      </c>
      <c r="B10286" s="4" t="s">
        <v>5</v>
      </c>
      <c r="C10286" s="4" t="s">
        <v>7</v>
      </c>
      <c r="D10286" s="4" t="s">
        <v>7</v>
      </c>
      <c r="E10286" s="4" t="s">
        <v>13</v>
      </c>
      <c r="F10286" s="4" t="s">
        <v>13</v>
      </c>
      <c r="G10286" s="4" t="s">
        <v>13</v>
      </c>
      <c r="H10286" s="4" t="s">
        <v>11</v>
      </c>
    </row>
    <row r="10287" spans="1:8">
      <c r="A10287" t="n">
        <v>95734</v>
      </c>
      <c r="B10287" s="51" t="n">
        <v>45</v>
      </c>
      <c r="C10287" s="7" t="n">
        <v>2</v>
      </c>
      <c r="D10287" s="7" t="n">
        <v>3</v>
      </c>
      <c r="E10287" s="7" t="n">
        <v>4.92999982833862</v>
      </c>
      <c r="F10287" s="7" t="n">
        <v>1.46000003814697</v>
      </c>
      <c r="G10287" s="7" t="n">
        <v>45.6699981689453</v>
      </c>
      <c r="H10287" s="7" t="n">
        <v>0</v>
      </c>
    </row>
    <row r="10288" spans="1:8">
      <c r="A10288" t="s">
        <v>4</v>
      </c>
      <c r="B10288" s="4" t="s">
        <v>5</v>
      </c>
      <c r="C10288" s="4" t="s">
        <v>7</v>
      </c>
      <c r="D10288" s="4" t="s">
        <v>7</v>
      </c>
      <c r="E10288" s="4" t="s">
        <v>13</v>
      </c>
      <c r="F10288" s="4" t="s">
        <v>13</v>
      </c>
      <c r="G10288" s="4" t="s">
        <v>13</v>
      </c>
      <c r="H10288" s="4" t="s">
        <v>11</v>
      </c>
      <c r="I10288" s="4" t="s">
        <v>7</v>
      </c>
    </row>
    <row r="10289" spans="1:9">
      <c r="A10289" t="n">
        <v>95751</v>
      </c>
      <c r="B10289" s="51" t="n">
        <v>45</v>
      </c>
      <c r="C10289" s="7" t="n">
        <v>4</v>
      </c>
      <c r="D10289" s="7" t="n">
        <v>3</v>
      </c>
      <c r="E10289" s="7" t="n">
        <v>5.69000005722046</v>
      </c>
      <c r="F10289" s="7" t="n">
        <v>260.239990234375</v>
      </c>
      <c r="G10289" s="7" t="n">
        <v>0</v>
      </c>
      <c r="H10289" s="7" t="n">
        <v>0</v>
      </c>
      <c r="I10289" s="7" t="n">
        <v>0</v>
      </c>
    </row>
    <row r="10290" spans="1:9">
      <c r="A10290" t="s">
        <v>4</v>
      </c>
      <c r="B10290" s="4" t="s">
        <v>5</v>
      </c>
      <c r="C10290" s="4" t="s">
        <v>7</v>
      </c>
      <c r="D10290" s="4" t="s">
        <v>7</v>
      </c>
      <c r="E10290" s="4" t="s">
        <v>13</v>
      </c>
      <c r="F10290" s="4" t="s">
        <v>11</v>
      </c>
    </row>
    <row r="10291" spans="1:9">
      <c r="A10291" t="n">
        <v>95769</v>
      </c>
      <c r="B10291" s="51" t="n">
        <v>45</v>
      </c>
      <c r="C10291" s="7" t="n">
        <v>5</v>
      </c>
      <c r="D10291" s="7" t="n">
        <v>3</v>
      </c>
      <c r="E10291" s="7" t="n">
        <v>1.70000004768372</v>
      </c>
      <c r="F10291" s="7" t="n">
        <v>0</v>
      </c>
    </row>
    <row r="10292" spans="1:9">
      <c r="A10292" t="s">
        <v>4</v>
      </c>
      <c r="B10292" s="4" t="s">
        <v>5</v>
      </c>
      <c r="C10292" s="4" t="s">
        <v>7</v>
      </c>
      <c r="D10292" s="4" t="s">
        <v>7</v>
      </c>
      <c r="E10292" s="4" t="s">
        <v>13</v>
      </c>
      <c r="F10292" s="4" t="s">
        <v>11</v>
      </c>
    </row>
    <row r="10293" spans="1:9">
      <c r="A10293" t="n">
        <v>95778</v>
      </c>
      <c r="B10293" s="51" t="n">
        <v>45</v>
      </c>
      <c r="C10293" s="7" t="n">
        <v>11</v>
      </c>
      <c r="D10293" s="7" t="n">
        <v>3</v>
      </c>
      <c r="E10293" s="7" t="n">
        <v>34</v>
      </c>
      <c r="F10293" s="7" t="n">
        <v>0</v>
      </c>
    </row>
    <row r="10294" spans="1:9">
      <c r="A10294" t="s">
        <v>4</v>
      </c>
      <c r="B10294" s="4" t="s">
        <v>5</v>
      </c>
      <c r="C10294" s="4" t="s">
        <v>7</v>
      </c>
      <c r="D10294" s="4" t="s">
        <v>7</v>
      </c>
      <c r="E10294" s="4" t="s">
        <v>13</v>
      </c>
      <c r="F10294" s="4" t="s">
        <v>13</v>
      </c>
      <c r="G10294" s="4" t="s">
        <v>13</v>
      </c>
      <c r="H10294" s="4" t="s">
        <v>11</v>
      </c>
    </row>
    <row r="10295" spans="1:9">
      <c r="A10295" t="n">
        <v>95787</v>
      </c>
      <c r="B10295" s="51" t="n">
        <v>45</v>
      </c>
      <c r="C10295" s="7" t="n">
        <v>2</v>
      </c>
      <c r="D10295" s="7" t="n">
        <v>3</v>
      </c>
      <c r="E10295" s="7" t="n">
        <v>4.84999990463257</v>
      </c>
      <c r="F10295" s="7" t="n">
        <v>1.4099999666214</v>
      </c>
      <c r="G10295" s="7" t="n">
        <v>45.7999992370605</v>
      </c>
      <c r="H10295" s="7" t="n">
        <v>5500</v>
      </c>
    </row>
    <row r="10296" spans="1:9">
      <c r="A10296" t="s">
        <v>4</v>
      </c>
      <c r="B10296" s="4" t="s">
        <v>5</v>
      </c>
      <c r="C10296" s="4" t="s">
        <v>7</v>
      </c>
      <c r="D10296" s="4" t="s">
        <v>7</v>
      </c>
      <c r="E10296" s="4" t="s">
        <v>13</v>
      </c>
      <c r="F10296" s="4" t="s">
        <v>13</v>
      </c>
      <c r="G10296" s="4" t="s">
        <v>13</v>
      </c>
      <c r="H10296" s="4" t="s">
        <v>11</v>
      </c>
      <c r="I10296" s="4" t="s">
        <v>7</v>
      </c>
    </row>
    <row r="10297" spans="1:9">
      <c r="A10297" t="n">
        <v>95804</v>
      </c>
      <c r="B10297" s="51" t="n">
        <v>45</v>
      </c>
      <c r="C10297" s="7" t="n">
        <v>4</v>
      </c>
      <c r="D10297" s="7" t="n">
        <v>3</v>
      </c>
      <c r="E10297" s="7" t="n">
        <v>5.46999979019165</v>
      </c>
      <c r="F10297" s="7" t="n">
        <v>232.490005493164</v>
      </c>
      <c r="G10297" s="7" t="n">
        <v>0</v>
      </c>
      <c r="H10297" s="7" t="n">
        <v>5500</v>
      </c>
      <c r="I10297" s="7" t="n">
        <v>0</v>
      </c>
    </row>
    <row r="10298" spans="1:9">
      <c r="A10298" t="s">
        <v>4</v>
      </c>
      <c r="B10298" s="4" t="s">
        <v>5</v>
      </c>
      <c r="C10298" s="4" t="s">
        <v>11</v>
      </c>
      <c r="D10298" s="4" t="s">
        <v>7</v>
      </c>
      <c r="E10298" s="4" t="s">
        <v>7</v>
      </c>
      <c r="F10298" s="4" t="s">
        <v>8</v>
      </c>
    </row>
    <row r="10299" spans="1:9">
      <c r="A10299" t="n">
        <v>95822</v>
      </c>
      <c r="B10299" s="50" t="n">
        <v>20</v>
      </c>
      <c r="C10299" s="7" t="n">
        <v>18</v>
      </c>
      <c r="D10299" s="7" t="n">
        <v>2</v>
      </c>
      <c r="E10299" s="7" t="n">
        <v>11</v>
      </c>
      <c r="F10299" s="7" t="s">
        <v>283</v>
      </c>
    </row>
    <row r="10300" spans="1:9">
      <c r="A10300" t="s">
        <v>4</v>
      </c>
      <c r="B10300" s="4" t="s">
        <v>5</v>
      </c>
      <c r="C10300" s="4" t="s">
        <v>7</v>
      </c>
    </row>
    <row r="10301" spans="1:9">
      <c r="A10301" t="n">
        <v>95849</v>
      </c>
      <c r="B10301" s="49" t="n">
        <v>116</v>
      </c>
      <c r="C10301" s="7" t="n">
        <v>0</v>
      </c>
    </row>
    <row r="10302" spans="1:9">
      <c r="A10302" t="s">
        <v>4</v>
      </c>
      <c r="B10302" s="4" t="s">
        <v>5</v>
      </c>
      <c r="C10302" s="4" t="s">
        <v>7</v>
      </c>
      <c r="D10302" s="4" t="s">
        <v>11</v>
      </c>
    </row>
    <row r="10303" spans="1:9">
      <c r="A10303" t="n">
        <v>95851</v>
      </c>
      <c r="B10303" s="49" t="n">
        <v>116</v>
      </c>
      <c r="C10303" s="7" t="n">
        <v>2</v>
      </c>
      <c r="D10303" s="7" t="n">
        <v>1</v>
      </c>
    </row>
    <row r="10304" spans="1:9">
      <c r="A10304" t="s">
        <v>4</v>
      </c>
      <c r="B10304" s="4" t="s">
        <v>5</v>
      </c>
      <c r="C10304" s="4" t="s">
        <v>7</v>
      </c>
      <c r="D10304" s="4" t="s">
        <v>15</v>
      </c>
    </row>
    <row r="10305" spans="1:9">
      <c r="A10305" t="n">
        <v>95855</v>
      </c>
      <c r="B10305" s="49" t="n">
        <v>116</v>
      </c>
      <c r="C10305" s="7" t="n">
        <v>5</v>
      </c>
      <c r="D10305" s="7" t="n">
        <v>1084227584</v>
      </c>
    </row>
    <row r="10306" spans="1:9">
      <c r="A10306" t="s">
        <v>4</v>
      </c>
      <c r="B10306" s="4" t="s">
        <v>5</v>
      </c>
      <c r="C10306" s="4" t="s">
        <v>7</v>
      </c>
      <c r="D10306" s="4" t="s">
        <v>11</v>
      </c>
    </row>
    <row r="10307" spans="1:9">
      <c r="A10307" t="n">
        <v>95861</v>
      </c>
      <c r="B10307" s="49" t="n">
        <v>116</v>
      </c>
      <c r="C10307" s="7" t="n">
        <v>6</v>
      </c>
      <c r="D10307" s="7" t="n">
        <v>1</v>
      </c>
    </row>
    <row r="10308" spans="1:9">
      <c r="A10308" t="s">
        <v>4</v>
      </c>
      <c r="B10308" s="4" t="s">
        <v>5</v>
      </c>
      <c r="C10308" s="4" t="s">
        <v>7</v>
      </c>
      <c r="D10308" s="4" t="s">
        <v>11</v>
      </c>
    </row>
    <row r="10309" spans="1:9">
      <c r="A10309" t="n">
        <v>95865</v>
      </c>
      <c r="B10309" s="23" t="n">
        <v>58</v>
      </c>
      <c r="C10309" s="7" t="n">
        <v>255</v>
      </c>
      <c r="D10309" s="7" t="n">
        <v>0</v>
      </c>
    </row>
    <row r="10310" spans="1:9">
      <c r="A10310" t="s">
        <v>4</v>
      </c>
      <c r="B10310" s="4" t="s">
        <v>5</v>
      </c>
      <c r="C10310" s="4" t="s">
        <v>11</v>
      </c>
    </row>
    <row r="10311" spans="1:9">
      <c r="A10311" t="n">
        <v>95869</v>
      </c>
      <c r="B10311" s="29" t="n">
        <v>16</v>
      </c>
      <c r="C10311" s="7" t="n">
        <v>800</v>
      </c>
    </row>
    <row r="10312" spans="1:9">
      <c r="A10312" t="s">
        <v>4</v>
      </c>
      <c r="B10312" s="4" t="s">
        <v>5</v>
      </c>
      <c r="C10312" s="4" t="s">
        <v>8</v>
      </c>
      <c r="D10312" s="4" t="s">
        <v>8</v>
      </c>
    </row>
    <row r="10313" spans="1:9">
      <c r="A10313" t="n">
        <v>95872</v>
      </c>
      <c r="B10313" s="52" t="n">
        <v>70</v>
      </c>
      <c r="C10313" s="7" t="s">
        <v>279</v>
      </c>
      <c r="D10313" s="7" t="s">
        <v>284</v>
      </c>
    </row>
    <row r="10314" spans="1:9">
      <c r="A10314" t="s">
        <v>4</v>
      </c>
      <c r="B10314" s="4" t="s">
        <v>5</v>
      </c>
      <c r="C10314" s="4" t="s">
        <v>7</v>
      </c>
      <c r="D10314" s="4" t="s">
        <v>11</v>
      </c>
    </row>
    <row r="10315" spans="1:9">
      <c r="A10315" t="n">
        <v>95890</v>
      </c>
      <c r="B10315" s="51" t="n">
        <v>45</v>
      </c>
      <c r="C10315" s="7" t="n">
        <v>7</v>
      </c>
      <c r="D10315" s="7" t="n">
        <v>255</v>
      </c>
    </row>
    <row r="10316" spans="1:9">
      <c r="A10316" t="s">
        <v>4</v>
      </c>
      <c r="B10316" s="4" t="s">
        <v>5</v>
      </c>
      <c r="C10316" s="4" t="s">
        <v>7</v>
      </c>
      <c r="D10316" s="4" t="s">
        <v>11</v>
      </c>
      <c r="E10316" s="4" t="s">
        <v>8</v>
      </c>
    </row>
    <row r="10317" spans="1:9">
      <c r="A10317" t="n">
        <v>95894</v>
      </c>
      <c r="B10317" s="38" t="n">
        <v>51</v>
      </c>
      <c r="C10317" s="7" t="n">
        <v>4</v>
      </c>
      <c r="D10317" s="7" t="n">
        <v>0</v>
      </c>
      <c r="E10317" s="7" t="s">
        <v>179</v>
      </c>
    </row>
    <row r="10318" spans="1:9">
      <c r="A10318" t="s">
        <v>4</v>
      </c>
      <c r="B10318" s="4" t="s">
        <v>5</v>
      </c>
      <c r="C10318" s="4" t="s">
        <v>11</v>
      </c>
    </row>
    <row r="10319" spans="1:9">
      <c r="A10319" t="n">
        <v>95908</v>
      </c>
      <c r="B10319" s="29" t="n">
        <v>16</v>
      </c>
      <c r="C10319" s="7" t="n">
        <v>0</v>
      </c>
    </row>
    <row r="10320" spans="1:9">
      <c r="A10320" t="s">
        <v>4</v>
      </c>
      <c r="B10320" s="4" t="s">
        <v>5</v>
      </c>
      <c r="C10320" s="4" t="s">
        <v>11</v>
      </c>
      <c r="D10320" s="4" t="s">
        <v>7</v>
      </c>
      <c r="E10320" s="4" t="s">
        <v>15</v>
      </c>
      <c r="F10320" s="4" t="s">
        <v>55</v>
      </c>
      <c r="G10320" s="4" t="s">
        <v>7</v>
      </c>
      <c r="H10320" s="4" t="s">
        <v>7</v>
      </c>
      <c r="I10320" s="4" t="s">
        <v>7</v>
      </c>
      <c r="J10320" s="4" t="s">
        <v>15</v>
      </c>
      <c r="K10320" s="4" t="s">
        <v>55</v>
      </c>
      <c r="L10320" s="4" t="s">
        <v>7</v>
      </c>
      <c r="M10320" s="4" t="s">
        <v>7</v>
      </c>
    </row>
    <row r="10321" spans="1:13">
      <c r="A10321" t="n">
        <v>95911</v>
      </c>
      <c r="B10321" s="55" t="n">
        <v>26</v>
      </c>
      <c r="C10321" s="7" t="n">
        <v>0</v>
      </c>
      <c r="D10321" s="7" t="n">
        <v>17</v>
      </c>
      <c r="E10321" s="7" t="n">
        <v>64061</v>
      </c>
      <c r="F10321" s="7" t="s">
        <v>856</v>
      </c>
      <c r="G10321" s="7" t="n">
        <v>2</v>
      </c>
      <c r="H10321" s="7" t="n">
        <v>3</v>
      </c>
      <c r="I10321" s="7" t="n">
        <v>17</v>
      </c>
      <c r="J10321" s="7" t="n">
        <v>64062</v>
      </c>
      <c r="K10321" s="7" t="s">
        <v>857</v>
      </c>
      <c r="L10321" s="7" t="n">
        <v>2</v>
      </c>
      <c r="M10321" s="7" t="n">
        <v>0</v>
      </c>
    </row>
    <row r="10322" spans="1:13">
      <c r="A10322" t="s">
        <v>4</v>
      </c>
      <c r="B10322" s="4" t="s">
        <v>5</v>
      </c>
    </row>
    <row r="10323" spans="1:13">
      <c r="A10323" t="n">
        <v>96015</v>
      </c>
      <c r="B10323" s="27" t="n">
        <v>28</v>
      </c>
    </row>
    <row r="10324" spans="1:13">
      <c r="A10324" t="s">
        <v>4</v>
      </c>
      <c r="B10324" s="4" t="s">
        <v>5</v>
      </c>
      <c r="C10324" s="4" t="s">
        <v>7</v>
      </c>
      <c r="D10324" s="4" t="s">
        <v>11</v>
      </c>
      <c r="E10324" s="4" t="s">
        <v>13</v>
      </c>
    </row>
    <row r="10325" spans="1:13">
      <c r="A10325" t="n">
        <v>96016</v>
      </c>
      <c r="B10325" s="23" t="n">
        <v>58</v>
      </c>
      <c r="C10325" s="7" t="n">
        <v>101</v>
      </c>
      <c r="D10325" s="7" t="n">
        <v>500</v>
      </c>
      <c r="E10325" s="7" t="n">
        <v>1</v>
      </c>
    </row>
    <row r="10326" spans="1:13">
      <c r="A10326" t="s">
        <v>4</v>
      </c>
      <c r="B10326" s="4" t="s">
        <v>5</v>
      </c>
      <c r="C10326" s="4" t="s">
        <v>7</v>
      </c>
      <c r="D10326" s="4" t="s">
        <v>11</v>
      </c>
    </row>
    <row r="10327" spans="1:13">
      <c r="A10327" t="n">
        <v>96024</v>
      </c>
      <c r="B10327" s="23" t="n">
        <v>58</v>
      </c>
      <c r="C10327" s="7" t="n">
        <v>254</v>
      </c>
      <c r="D10327" s="7" t="n">
        <v>0</v>
      </c>
    </row>
    <row r="10328" spans="1:13">
      <c r="A10328" t="s">
        <v>4</v>
      </c>
      <c r="B10328" s="4" t="s">
        <v>5</v>
      </c>
      <c r="C10328" s="4" t="s">
        <v>7</v>
      </c>
      <c r="D10328" s="4" t="s">
        <v>7</v>
      </c>
      <c r="E10328" s="4" t="s">
        <v>13</v>
      </c>
      <c r="F10328" s="4" t="s">
        <v>13</v>
      </c>
      <c r="G10328" s="4" t="s">
        <v>13</v>
      </c>
      <c r="H10328" s="4" t="s">
        <v>11</v>
      </c>
    </row>
    <row r="10329" spans="1:13">
      <c r="A10329" t="n">
        <v>96028</v>
      </c>
      <c r="B10329" s="51" t="n">
        <v>45</v>
      </c>
      <c r="C10329" s="7" t="n">
        <v>2</v>
      </c>
      <c r="D10329" s="7" t="n">
        <v>3</v>
      </c>
      <c r="E10329" s="7" t="n">
        <v>4.96999979019165</v>
      </c>
      <c r="F10329" s="7" t="n">
        <v>1.3400000333786</v>
      </c>
      <c r="G10329" s="7" t="n">
        <v>46.3800010681152</v>
      </c>
      <c r="H10329" s="7" t="n">
        <v>0</v>
      </c>
    </row>
    <row r="10330" spans="1:13">
      <c r="A10330" t="s">
        <v>4</v>
      </c>
      <c r="B10330" s="4" t="s">
        <v>5</v>
      </c>
      <c r="C10330" s="4" t="s">
        <v>7</v>
      </c>
      <c r="D10330" s="4" t="s">
        <v>7</v>
      </c>
      <c r="E10330" s="4" t="s">
        <v>13</v>
      </c>
      <c r="F10330" s="4" t="s">
        <v>13</v>
      </c>
      <c r="G10330" s="4" t="s">
        <v>13</v>
      </c>
      <c r="H10330" s="4" t="s">
        <v>11</v>
      </c>
      <c r="I10330" s="4" t="s">
        <v>7</v>
      </c>
    </row>
    <row r="10331" spans="1:13">
      <c r="A10331" t="n">
        <v>96045</v>
      </c>
      <c r="B10331" s="51" t="n">
        <v>45</v>
      </c>
      <c r="C10331" s="7" t="n">
        <v>4</v>
      </c>
      <c r="D10331" s="7" t="n">
        <v>3</v>
      </c>
      <c r="E10331" s="7" t="n">
        <v>8.30000019073486</v>
      </c>
      <c r="F10331" s="7" t="n">
        <v>213.210006713867</v>
      </c>
      <c r="G10331" s="7" t="n">
        <v>0</v>
      </c>
      <c r="H10331" s="7" t="n">
        <v>0</v>
      </c>
      <c r="I10331" s="7" t="n">
        <v>0</v>
      </c>
    </row>
    <row r="10332" spans="1:13">
      <c r="A10332" t="s">
        <v>4</v>
      </c>
      <c r="B10332" s="4" t="s">
        <v>5</v>
      </c>
      <c r="C10332" s="4" t="s">
        <v>7</v>
      </c>
      <c r="D10332" s="4" t="s">
        <v>7</v>
      </c>
      <c r="E10332" s="4" t="s">
        <v>13</v>
      </c>
      <c r="F10332" s="4" t="s">
        <v>11</v>
      </c>
    </row>
    <row r="10333" spans="1:13">
      <c r="A10333" t="n">
        <v>96063</v>
      </c>
      <c r="B10333" s="51" t="n">
        <v>45</v>
      </c>
      <c r="C10333" s="7" t="n">
        <v>5</v>
      </c>
      <c r="D10333" s="7" t="n">
        <v>3</v>
      </c>
      <c r="E10333" s="7" t="n">
        <v>1</v>
      </c>
      <c r="F10333" s="7" t="n">
        <v>0</v>
      </c>
    </row>
    <row r="10334" spans="1:13">
      <c r="A10334" t="s">
        <v>4</v>
      </c>
      <c r="B10334" s="4" t="s">
        <v>5</v>
      </c>
      <c r="C10334" s="4" t="s">
        <v>7</v>
      </c>
      <c r="D10334" s="4" t="s">
        <v>7</v>
      </c>
      <c r="E10334" s="4" t="s">
        <v>13</v>
      </c>
      <c r="F10334" s="4" t="s">
        <v>11</v>
      </c>
    </row>
    <row r="10335" spans="1:13">
      <c r="A10335" t="n">
        <v>96072</v>
      </c>
      <c r="B10335" s="51" t="n">
        <v>45</v>
      </c>
      <c r="C10335" s="7" t="n">
        <v>11</v>
      </c>
      <c r="D10335" s="7" t="n">
        <v>3</v>
      </c>
      <c r="E10335" s="7" t="n">
        <v>34</v>
      </c>
      <c r="F10335" s="7" t="n">
        <v>0</v>
      </c>
    </row>
    <row r="10336" spans="1:13">
      <c r="A10336" t="s">
        <v>4</v>
      </c>
      <c r="B10336" s="4" t="s">
        <v>5</v>
      </c>
      <c r="C10336" s="4" t="s">
        <v>7</v>
      </c>
      <c r="D10336" s="4" t="s">
        <v>11</v>
      </c>
    </row>
    <row r="10337" spans="1:13">
      <c r="A10337" t="n">
        <v>96081</v>
      </c>
      <c r="B10337" s="23" t="n">
        <v>58</v>
      </c>
      <c r="C10337" s="7" t="n">
        <v>255</v>
      </c>
      <c r="D10337" s="7" t="n">
        <v>0</v>
      </c>
    </row>
    <row r="10338" spans="1:13">
      <c r="A10338" t="s">
        <v>4</v>
      </c>
      <c r="B10338" s="4" t="s">
        <v>5</v>
      </c>
      <c r="C10338" s="4" t="s">
        <v>7</v>
      </c>
      <c r="D10338" s="4" t="s">
        <v>11</v>
      </c>
      <c r="E10338" s="4" t="s">
        <v>8</v>
      </c>
    </row>
    <row r="10339" spans="1:13">
      <c r="A10339" t="n">
        <v>96085</v>
      </c>
      <c r="B10339" s="38" t="n">
        <v>51</v>
      </c>
      <c r="C10339" s="7" t="n">
        <v>4</v>
      </c>
      <c r="D10339" s="7" t="n">
        <v>18</v>
      </c>
      <c r="E10339" s="7" t="s">
        <v>242</v>
      </c>
    </row>
    <row r="10340" spans="1:13">
      <c r="A10340" t="s">
        <v>4</v>
      </c>
      <c r="B10340" s="4" t="s">
        <v>5</v>
      </c>
      <c r="C10340" s="4" t="s">
        <v>11</v>
      </c>
    </row>
    <row r="10341" spans="1:13">
      <c r="A10341" t="n">
        <v>96099</v>
      </c>
      <c r="B10341" s="29" t="n">
        <v>16</v>
      </c>
      <c r="C10341" s="7" t="n">
        <v>0</v>
      </c>
    </row>
    <row r="10342" spans="1:13">
      <c r="A10342" t="s">
        <v>4</v>
      </c>
      <c r="B10342" s="4" t="s">
        <v>5</v>
      </c>
      <c r="C10342" s="4" t="s">
        <v>11</v>
      </c>
      <c r="D10342" s="4" t="s">
        <v>7</v>
      </c>
      <c r="E10342" s="4" t="s">
        <v>15</v>
      </c>
      <c r="F10342" s="4" t="s">
        <v>55</v>
      </c>
      <c r="G10342" s="4" t="s">
        <v>7</v>
      </c>
      <c r="H10342" s="4" t="s">
        <v>7</v>
      </c>
      <c r="I10342" s="4" t="s">
        <v>7</v>
      </c>
      <c r="J10342" s="4" t="s">
        <v>15</v>
      </c>
      <c r="K10342" s="4" t="s">
        <v>55</v>
      </c>
      <c r="L10342" s="4" t="s">
        <v>7</v>
      </c>
      <c r="M10342" s="4" t="s">
        <v>7</v>
      </c>
      <c r="N10342" s="4" t="s">
        <v>7</v>
      </c>
      <c r="O10342" s="4" t="s">
        <v>15</v>
      </c>
      <c r="P10342" s="4" t="s">
        <v>55</v>
      </c>
      <c r="Q10342" s="4" t="s">
        <v>7</v>
      </c>
      <c r="R10342" s="4" t="s">
        <v>7</v>
      </c>
    </row>
    <row r="10343" spans="1:13">
      <c r="A10343" t="n">
        <v>96102</v>
      </c>
      <c r="B10343" s="55" t="n">
        <v>26</v>
      </c>
      <c r="C10343" s="7" t="n">
        <v>18</v>
      </c>
      <c r="D10343" s="7" t="n">
        <v>17</v>
      </c>
      <c r="E10343" s="7" t="n">
        <v>64063</v>
      </c>
      <c r="F10343" s="7" t="s">
        <v>858</v>
      </c>
      <c r="G10343" s="7" t="n">
        <v>2</v>
      </c>
      <c r="H10343" s="7" t="n">
        <v>3</v>
      </c>
      <c r="I10343" s="7" t="n">
        <v>17</v>
      </c>
      <c r="J10343" s="7" t="n">
        <v>64064</v>
      </c>
      <c r="K10343" s="7" t="s">
        <v>859</v>
      </c>
      <c r="L10343" s="7" t="n">
        <v>2</v>
      </c>
      <c r="M10343" s="7" t="n">
        <v>3</v>
      </c>
      <c r="N10343" s="7" t="n">
        <v>17</v>
      </c>
      <c r="O10343" s="7" t="n">
        <v>64065</v>
      </c>
      <c r="P10343" s="7" t="s">
        <v>860</v>
      </c>
      <c r="Q10343" s="7" t="n">
        <v>2</v>
      </c>
      <c r="R10343" s="7" t="n">
        <v>0</v>
      </c>
    </row>
    <row r="10344" spans="1:13">
      <c r="A10344" t="s">
        <v>4</v>
      </c>
      <c r="B10344" s="4" t="s">
        <v>5</v>
      </c>
    </row>
    <row r="10345" spans="1:13">
      <c r="A10345" t="n">
        <v>96407</v>
      </c>
      <c r="B10345" s="27" t="n">
        <v>28</v>
      </c>
    </row>
    <row r="10346" spans="1:13">
      <c r="A10346" t="s">
        <v>4</v>
      </c>
      <c r="B10346" s="4" t="s">
        <v>5</v>
      </c>
      <c r="C10346" s="4" t="s">
        <v>7</v>
      </c>
      <c r="D10346" s="4" t="s">
        <v>11</v>
      </c>
      <c r="E10346" s="4" t="s">
        <v>8</v>
      </c>
    </row>
    <row r="10347" spans="1:13">
      <c r="A10347" t="n">
        <v>96408</v>
      </c>
      <c r="B10347" s="38" t="n">
        <v>51</v>
      </c>
      <c r="C10347" s="7" t="n">
        <v>4</v>
      </c>
      <c r="D10347" s="7" t="n">
        <v>0</v>
      </c>
      <c r="E10347" s="7" t="s">
        <v>173</v>
      </c>
    </row>
    <row r="10348" spans="1:13">
      <c r="A10348" t="s">
        <v>4</v>
      </c>
      <c r="B10348" s="4" t="s">
        <v>5</v>
      </c>
      <c r="C10348" s="4" t="s">
        <v>11</v>
      </c>
    </row>
    <row r="10349" spans="1:13">
      <c r="A10349" t="n">
        <v>96421</v>
      </c>
      <c r="B10349" s="29" t="n">
        <v>16</v>
      </c>
      <c r="C10349" s="7" t="n">
        <v>0</v>
      </c>
    </row>
    <row r="10350" spans="1:13">
      <c r="A10350" t="s">
        <v>4</v>
      </c>
      <c r="B10350" s="4" t="s">
        <v>5</v>
      </c>
      <c r="C10350" s="4" t="s">
        <v>11</v>
      </c>
      <c r="D10350" s="4" t="s">
        <v>7</v>
      </c>
      <c r="E10350" s="4" t="s">
        <v>15</v>
      </c>
      <c r="F10350" s="4" t="s">
        <v>55</v>
      </c>
      <c r="G10350" s="4" t="s">
        <v>7</v>
      </c>
      <c r="H10350" s="4" t="s">
        <v>7</v>
      </c>
    </row>
    <row r="10351" spans="1:13">
      <c r="A10351" t="n">
        <v>96424</v>
      </c>
      <c r="B10351" s="55" t="n">
        <v>26</v>
      </c>
      <c r="C10351" s="7" t="n">
        <v>0</v>
      </c>
      <c r="D10351" s="7" t="n">
        <v>17</v>
      </c>
      <c r="E10351" s="7" t="n">
        <v>64066</v>
      </c>
      <c r="F10351" s="7" t="s">
        <v>861</v>
      </c>
      <c r="G10351" s="7" t="n">
        <v>2</v>
      </c>
      <c r="H10351" s="7" t="n">
        <v>0</v>
      </c>
    </row>
    <row r="10352" spans="1:13">
      <c r="A10352" t="s">
        <v>4</v>
      </c>
      <c r="B10352" s="4" t="s">
        <v>5</v>
      </c>
    </row>
    <row r="10353" spans="1:18">
      <c r="A10353" t="n">
        <v>96444</v>
      </c>
      <c r="B10353" s="27" t="n">
        <v>28</v>
      </c>
    </row>
    <row r="10354" spans="1:18">
      <c r="A10354" t="s">
        <v>4</v>
      </c>
      <c r="B10354" s="4" t="s">
        <v>5</v>
      </c>
      <c r="C10354" s="4" t="s">
        <v>7</v>
      </c>
      <c r="D10354" s="4" t="s">
        <v>11</v>
      </c>
      <c r="E10354" s="4" t="s">
        <v>8</v>
      </c>
      <c r="F10354" s="4" t="s">
        <v>8</v>
      </c>
      <c r="G10354" s="4" t="s">
        <v>8</v>
      </c>
      <c r="H10354" s="4" t="s">
        <v>8</v>
      </c>
    </row>
    <row r="10355" spans="1:18">
      <c r="A10355" t="n">
        <v>96445</v>
      </c>
      <c r="B10355" s="38" t="n">
        <v>51</v>
      </c>
      <c r="C10355" s="7" t="n">
        <v>3</v>
      </c>
      <c r="D10355" s="7" t="n">
        <v>18</v>
      </c>
      <c r="E10355" s="7" t="s">
        <v>295</v>
      </c>
      <c r="F10355" s="7" t="s">
        <v>79</v>
      </c>
      <c r="G10355" s="7" t="s">
        <v>78</v>
      </c>
      <c r="H10355" s="7" t="s">
        <v>79</v>
      </c>
    </row>
    <row r="10356" spans="1:18">
      <c r="A10356" t="s">
        <v>4</v>
      </c>
      <c r="B10356" s="4" t="s">
        <v>5</v>
      </c>
      <c r="C10356" s="4" t="s">
        <v>11</v>
      </c>
      <c r="D10356" s="4" t="s">
        <v>13</v>
      </c>
      <c r="E10356" s="4" t="s">
        <v>13</v>
      </c>
      <c r="F10356" s="4" t="s">
        <v>13</v>
      </c>
      <c r="G10356" s="4" t="s">
        <v>11</v>
      </c>
      <c r="H10356" s="4" t="s">
        <v>11</v>
      </c>
    </row>
    <row r="10357" spans="1:18">
      <c r="A10357" t="n">
        <v>96458</v>
      </c>
      <c r="B10357" s="37" t="n">
        <v>60</v>
      </c>
      <c r="C10357" s="7" t="n">
        <v>18</v>
      </c>
      <c r="D10357" s="7" t="n">
        <v>-45</v>
      </c>
      <c r="E10357" s="7" t="n">
        <v>0</v>
      </c>
      <c r="F10357" s="7" t="n">
        <v>0</v>
      </c>
      <c r="G10357" s="7" t="n">
        <v>1000</v>
      </c>
      <c r="H10357" s="7" t="n">
        <v>0</v>
      </c>
    </row>
    <row r="10358" spans="1:18">
      <c r="A10358" t="s">
        <v>4</v>
      </c>
      <c r="B10358" s="4" t="s">
        <v>5</v>
      </c>
      <c r="C10358" s="4" t="s">
        <v>11</v>
      </c>
    </row>
    <row r="10359" spans="1:18">
      <c r="A10359" t="n">
        <v>96477</v>
      </c>
      <c r="B10359" s="29" t="n">
        <v>16</v>
      </c>
      <c r="C10359" s="7" t="n">
        <v>1000</v>
      </c>
    </row>
    <row r="10360" spans="1:18">
      <c r="A10360" t="s">
        <v>4</v>
      </c>
      <c r="B10360" s="4" t="s">
        <v>5</v>
      </c>
      <c r="C10360" s="4" t="s">
        <v>7</v>
      </c>
      <c r="D10360" s="4" t="s">
        <v>11</v>
      </c>
      <c r="E10360" s="4" t="s">
        <v>8</v>
      </c>
      <c r="F10360" s="4" t="s">
        <v>8</v>
      </c>
      <c r="G10360" s="4" t="s">
        <v>8</v>
      </c>
      <c r="H10360" s="4" t="s">
        <v>8</v>
      </c>
    </row>
    <row r="10361" spans="1:18">
      <c r="A10361" t="n">
        <v>96480</v>
      </c>
      <c r="B10361" s="38" t="n">
        <v>51</v>
      </c>
      <c r="C10361" s="7" t="n">
        <v>3</v>
      </c>
      <c r="D10361" s="7" t="n">
        <v>18</v>
      </c>
      <c r="E10361" s="7" t="s">
        <v>296</v>
      </c>
      <c r="F10361" s="7" t="s">
        <v>79</v>
      </c>
      <c r="G10361" s="7" t="s">
        <v>78</v>
      </c>
      <c r="H10361" s="7" t="s">
        <v>79</v>
      </c>
    </row>
    <row r="10362" spans="1:18">
      <c r="A10362" t="s">
        <v>4</v>
      </c>
      <c r="B10362" s="4" t="s">
        <v>5</v>
      </c>
      <c r="C10362" s="4" t="s">
        <v>11</v>
      </c>
      <c r="D10362" s="4" t="s">
        <v>13</v>
      </c>
      <c r="E10362" s="4" t="s">
        <v>13</v>
      </c>
      <c r="F10362" s="4" t="s">
        <v>13</v>
      </c>
      <c r="G10362" s="4" t="s">
        <v>11</v>
      </c>
      <c r="H10362" s="4" t="s">
        <v>11</v>
      </c>
    </row>
    <row r="10363" spans="1:18">
      <c r="A10363" t="n">
        <v>96494</v>
      </c>
      <c r="B10363" s="37" t="n">
        <v>60</v>
      </c>
      <c r="C10363" s="7" t="n">
        <v>18</v>
      </c>
      <c r="D10363" s="7" t="n">
        <v>45</v>
      </c>
      <c r="E10363" s="7" t="n">
        <v>0</v>
      </c>
      <c r="F10363" s="7" t="n">
        <v>0</v>
      </c>
      <c r="G10363" s="7" t="n">
        <v>1000</v>
      </c>
      <c r="H10363" s="7" t="n">
        <v>0</v>
      </c>
    </row>
    <row r="10364" spans="1:18">
      <c r="A10364" t="s">
        <v>4</v>
      </c>
      <c r="B10364" s="4" t="s">
        <v>5</v>
      </c>
      <c r="C10364" s="4" t="s">
        <v>11</v>
      </c>
    </row>
    <row r="10365" spans="1:18">
      <c r="A10365" t="n">
        <v>96513</v>
      </c>
      <c r="B10365" s="29" t="n">
        <v>16</v>
      </c>
      <c r="C10365" s="7" t="n">
        <v>1200</v>
      </c>
    </row>
    <row r="10366" spans="1:18">
      <c r="A10366" t="s">
        <v>4</v>
      </c>
      <c r="B10366" s="4" t="s">
        <v>5</v>
      </c>
      <c r="C10366" s="4" t="s">
        <v>7</v>
      </c>
      <c r="D10366" s="4" t="s">
        <v>11</v>
      </c>
      <c r="E10366" s="4" t="s">
        <v>8</v>
      </c>
      <c r="F10366" s="4" t="s">
        <v>8</v>
      </c>
      <c r="G10366" s="4" t="s">
        <v>8</v>
      </c>
      <c r="H10366" s="4" t="s">
        <v>8</v>
      </c>
    </row>
    <row r="10367" spans="1:18">
      <c r="A10367" t="n">
        <v>96516</v>
      </c>
      <c r="B10367" s="38" t="n">
        <v>51</v>
      </c>
      <c r="C10367" s="7" t="n">
        <v>3</v>
      </c>
      <c r="D10367" s="7" t="n">
        <v>18</v>
      </c>
      <c r="E10367" s="7" t="s">
        <v>86</v>
      </c>
      <c r="F10367" s="7" t="s">
        <v>79</v>
      </c>
      <c r="G10367" s="7" t="s">
        <v>78</v>
      </c>
      <c r="H10367" s="7" t="s">
        <v>79</v>
      </c>
    </row>
    <row r="10368" spans="1:18">
      <c r="A10368" t="s">
        <v>4</v>
      </c>
      <c r="B10368" s="4" t="s">
        <v>5</v>
      </c>
      <c r="C10368" s="4" t="s">
        <v>11</v>
      </c>
      <c r="D10368" s="4" t="s">
        <v>13</v>
      </c>
      <c r="E10368" s="4" t="s">
        <v>13</v>
      </c>
      <c r="F10368" s="4" t="s">
        <v>13</v>
      </c>
      <c r="G10368" s="4" t="s">
        <v>11</v>
      </c>
      <c r="H10368" s="4" t="s">
        <v>11</v>
      </c>
    </row>
    <row r="10369" spans="1:8">
      <c r="A10369" t="n">
        <v>96529</v>
      </c>
      <c r="B10369" s="37" t="n">
        <v>60</v>
      </c>
      <c r="C10369" s="7" t="n">
        <v>18</v>
      </c>
      <c r="D10369" s="7" t="n">
        <v>0</v>
      </c>
      <c r="E10369" s="7" t="n">
        <v>0</v>
      </c>
      <c r="F10369" s="7" t="n">
        <v>0</v>
      </c>
      <c r="G10369" s="7" t="n">
        <v>1000</v>
      </c>
      <c r="H10369" s="7" t="n">
        <v>0</v>
      </c>
    </row>
    <row r="10370" spans="1:8">
      <c r="A10370" t="s">
        <v>4</v>
      </c>
      <c r="B10370" s="4" t="s">
        <v>5</v>
      </c>
      <c r="C10370" s="4" t="s">
        <v>11</v>
      </c>
    </row>
    <row r="10371" spans="1:8">
      <c r="A10371" t="n">
        <v>96548</v>
      </c>
      <c r="B10371" s="29" t="n">
        <v>16</v>
      </c>
      <c r="C10371" s="7" t="n">
        <v>1000</v>
      </c>
    </row>
    <row r="10372" spans="1:8">
      <c r="A10372" t="s">
        <v>4</v>
      </c>
      <c r="B10372" s="4" t="s">
        <v>5</v>
      </c>
      <c r="C10372" s="4" t="s">
        <v>7</v>
      </c>
      <c r="D10372" s="4" t="s">
        <v>11</v>
      </c>
      <c r="E10372" s="4" t="s">
        <v>8</v>
      </c>
    </row>
    <row r="10373" spans="1:8">
      <c r="A10373" t="n">
        <v>96551</v>
      </c>
      <c r="B10373" s="38" t="n">
        <v>51</v>
      </c>
      <c r="C10373" s="7" t="n">
        <v>4</v>
      </c>
      <c r="D10373" s="7" t="n">
        <v>18</v>
      </c>
      <c r="E10373" s="7" t="s">
        <v>242</v>
      </c>
    </row>
    <row r="10374" spans="1:8">
      <c r="A10374" t="s">
        <v>4</v>
      </c>
      <c r="B10374" s="4" t="s">
        <v>5</v>
      </c>
      <c r="C10374" s="4" t="s">
        <v>11</v>
      </c>
    </row>
    <row r="10375" spans="1:8">
      <c r="A10375" t="n">
        <v>96565</v>
      </c>
      <c r="B10375" s="29" t="n">
        <v>16</v>
      </c>
      <c r="C10375" s="7" t="n">
        <v>0</v>
      </c>
    </row>
    <row r="10376" spans="1:8">
      <c r="A10376" t="s">
        <v>4</v>
      </c>
      <c r="B10376" s="4" t="s">
        <v>5</v>
      </c>
      <c r="C10376" s="4" t="s">
        <v>11</v>
      </c>
      <c r="D10376" s="4" t="s">
        <v>7</v>
      </c>
      <c r="E10376" s="4" t="s">
        <v>15</v>
      </c>
      <c r="F10376" s="4" t="s">
        <v>55</v>
      </c>
      <c r="G10376" s="4" t="s">
        <v>7</v>
      </c>
      <c r="H10376" s="4" t="s">
        <v>7</v>
      </c>
      <c r="I10376" s="4" t="s">
        <v>7</v>
      </c>
      <c r="J10376" s="4" t="s">
        <v>15</v>
      </c>
      <c r="K10376" s="4" t="s">
        <v>55</v>
      </c>
      <c r="L10376" s="4" t="s">
        <v>7</v>
      </c>
      <c r="M10376" s="4" t="s">
        <v>7</v>
      </c>
    </row>
    <row r="10377" spans="1:8">
      <c r="A10377" t="n">
        <v>96568</v>
      </c>
      <c r="B10377" s="55" t="n">
        <v>26</v>
      </c>
      <c r="C10377" s="7" t="n">
        <v>18</v>
      </c>
      <c r="D10377" s="7" t="n">
        <v>17</v>
      </c>
      <c r="E10377" s="7" t="n">
        <v>64067</v>
      </c>
      <c r="F10377" s="7" t="s">
        <v>862</v>
      </c>
      <c r="G10377" s="7" t="n">
        <v>2</v>
      </c>
      <c r="H10377" s="7" t="n">
        <v>3</v>
      </c>
      <c r="I10377" s="7" t="n">
        <v>17</v>
      </c>
      <c r="J10377" s="7" t="n">
        <v>64068</v>
      </c>
      <c r="K10377" s="7" t="s">
        <v>863</v>
      </c>
      <c r="L10377" s="7" t="n">
        <v>2</v>
      </c>
      <c r="M10377" s="7" t="n">
        <v>0</v>
      </c>
    </row>
    <row r="10378" spans="1:8">
      <c r="A10378" t="s">
        <v>4</v>
      </c>
      <c r="B10378" s="4" t="s">
        <v>5</v>
      </c>
    </row>
    <row r="10379" spans="1:8">
      <c r="A10379" t="n">
        <v>96771</v>
      </c>
      <c r="B10379" s="27" t="n">
        <v>28</v>
      </c>
    </row>
    <row r="10380" spans="1:8">
      <c r="A10380" t="s">
        <v>4</v>
      </c>
      <c r="B10380" s="4" t="s">
        <v>5</v>
      </c>
      <c r="C10380" s="4" t="s">
        <v>7</v>
      </c>
      <c r="D10380" s="4" t="s">
        <v>11</v>
      </c>
      <c r="E10380" s="4" t="s">
        <v>8</v>
      </c>
    </row>
    <row r="10381" spans="1:8">
      <c r="A10381" t="n">
        <v>96772</v>
      </c>
      <c r="B10381" s="38" t="n">
        <v>51</v>
      </c>
      <c r="C10381" s="7" t="n">
        <v>4</v>
      </c>
      <c r="D10381" s="7" t="n">
        <v>0</v>
      </c>
      <c r="E10381" s="7" t="s">
        <v>304</v>
      </c>
    </row>
    <row r="10382" spans="1:8">
      <c r="A10382" t="s">
        <v>4</v>
      </c>
      <c r="B10382" s="4" t="s">
        <v>5</v>
      </c>
      <c r="C10382" s="4" t="s">
        <v>11</v>
      </c>
    </row>
    <row r="10383" spans="1:8">
      <c r="A10383" t="n">
        <v>96785</v>
      </c>
      <c r="B10383" s="29" t="n">
        <v>16</v>
      </c>
      <c r="C10383" s="7" t="n">
        <v>0</v>
      </c>
    </row>
    <row r="10384" spans="1:8">
      <c r="A10384" t="s">
        <v>4</v>
      </c>
      <c r="B10384" s="4" t="s">
        <v>5</v>
      </c>
      <c r="C10384" s="4" t="s">
        <v>11</v>
      </c>
      <c r="D10384" s="4" t="s">
        <v>7</v>
      </c>
      <c r="E10384" s="4" t="s">
        <v>15</v>
      </c>
      <c r="F10384" s="4" t="s">
        <v>55</v>
      </c>
      <c r="G10384" s="4" t="s">
        <v>7</v>
      </c>
      <c r="H10384" s="4" t="s">
        <v>7</v>
      </c>
      <c r="I10384" s="4" t="s">
        <v>7</v>
      </c>
      <c r="J10384" s="4" t="s">
        <v>15</v>
      </c>
      <c r="K10384" s="4" t="s">
        <v>55</v>
      </c>
      <c r="L10384" s="4" t="s">
        <v>7</v>
      </c>
      <c r="M10384" s="4" t="s">
        <v>7</v>
      </c>
      <c r="N10384" s="4" t="s">
        <v>7</v>
      </c>
      <c r="O10384" s="4" t="s">
        <v>15</v>
      </c>
      <c r="P10384" s="4" t="s">
        <v>55</v>
      </c>
      <c r="Q10384" s="4" t="s">
        <v>7</v>
      </c>
      <c r="R10384" s="4" t="s">
        <v>7</v>
      </c>
    </row>
    <row r="10385" spans="1:18">
      <c r="A10385" t="n">
        <v>96788</v>
      </c>
      <c r="B10385" s="55" t="n">
        <v>26</v>
      </c>
      <c r="C10385" s="7" t="n">
        <v>0</v>
      </c>
      <c r="D10385" s="7" t="n">
        <v>17</v>
      </c>
      <c r="E10385" s="7" t="n">
        <v>64069</v>
      </c>
      <c r="F10385" s="7" t="s">
        <v>864</v>
      </c>
      <c r="G10385" s="7" t="n">
        <v>2</v>
      </c>
      <c r="H10385" s="7" t="n">
        <v>3</v>
      </c>
      <c r="I10385" s="7" t="n">
        <v>17</v>
      </c>
      <c r="J10385" s="7" t="n">
        <v>64070</v>
      </c>
      <c r="K10385" s="7" t="s">
        <v>865</v>
      </c>
      <c r="L10385" s="7" t="n">
        <v>2</v>
      </c>
      <c r="M10385" s="7" t="n">
        <v>3</v>
      </c>
      <c r="N10385" s="7" t="n">
        <v>17</v>
      </c>
      <c r="O10385" s="7" t="n">
        <v>64071</v>
      </c>
      <c r="P10385" s="7" t="s">
        <v>866</v>
      </c>
      <c r="Q10385" s="7" t="n">
        <v>2</v>
      </c>
      <c r="R10385" s="7" t="n">
        <v>0</v>
      </c>
    </row>
    <row r="10386" spans="1:18">
      <c r="A10386" t="s">
        <v>4</v>
      </c>
      <c r="B10386" s="4" t="s">
        <v>5</v>
      </c>
    </row>
    <row r="10387" spans="1:18">
      <c r="A10387" t="n">
        <v>96977</v>
      </c>
      <c r="B10387" s="27" t="n">
        <v>28</v>
      </c>
    </row>
    <row r="10388" spans="1:18">
      <c r="A10388" t="s">
        <v>4</v>
      </c>
      <c r="B10388" s="4" t="s">
        <v>5</v>
      </c>
      <c r="C10388" s="4" t="s">
        <v>7</v>
      </c>
      <c r="D10388" s="4" t="s">
        <v>11</v>
      </c>
      <c r="E10388" s="4" t="s">
        <v>8</v>
      </c>
    </row>
    <row r="10389" spans="1:18">
      <c r="A10389" t="n">
        <v>96978</v>
      </c>
      <c r="B10389" s="38" t="n">
        <v>51</v>
      </c>
      <c r="C10389" s="7" t="n">
        <v>4</v>
      </c>
      <c r="D10389" s="7" t="n">
        <v>18</v>
      </c>
      <c r="E10389" s="7" t="s">
        <v>491</v>
      </c>
    </row>
    <row r="10390" spans="1:18">
      <c r="A10390" t="s">
        <v>4</v>
      </c>
      <c r="B10390" s="4" t="s">
        <v>5</v>
      </c>
      <c r="C10390" s="4" t="s">
        <v>11</v>
      </c>
    </row>
    <row r="10391" spans="1:18">
      <c r="A10391" t="n">
        <v>96992</v>
      </c>
      <c r="B10391" s="29" t="n">
        <v>16</v>
      </c>
      <c r="C10391" s="7" t="n">
        <v>0</v>
      </c>
    </row>
    <row r="10392" spans="1:18">
      <c r="A10392" t="s">
        <v>4</v>
      </c>
      <c r="B10392" s="4" t="s">
        <v>5</v>
      </c>
      <c r="C10392" s="4" t="s">
        <v>11</v>
      </c>
      <c r="D10392" s="4" t="s">
        <v>7</v>
      </c>
      <c r="E10392" s="4" t="s">
        <v>15</v>
      </c>
      <c r="F10392" s="4" t="s">
        <v>55</v>
      </c>
      <c r="G10392" s="4" t="s">
        <v>7</v>
      </c>
      <c r="H10392" s="4" t="s">
        <v>7</v>
      </c>
    </row>
    <row r="10393" spans="1:18">
      <c r="A10393" t="n">
        <v>96995</v>
      </c>
      <c r="B10393" s="55" t="n">
        <v>26</v>
      </c>
      <c r="C10393" s="7" t="n">
        <v>18</v>
      </c>
      <c r="D10393" s="7" t="n">
        <v>17</v>
      </c>
      <c r="E10393" s="7" t="n">
        <v>64072</v>
      </c>
      <c r="F10393" s="7" t="s">
        <v>867</v>
      </c>
      <c r="G10393" s="7" t="n">
        <v>2</v>
      </c>
      <c r="H10393" s="7" t="n">
        <v>0</v>
      </c>
    </row>
    <row r="10394" spans="1:18">
      <c r="A10394" t="s">
        <v>4</v>
      </c>
      <c r="B10394" s="4" t="s">
        <v>5</v>
      </c>
    </row>
    <row r="10395" spans="1:18">
      <c r="A10395" t="n">
        <v>97057</v>
      </c>
      <c r="B10395" s="27" t="n">
        <v>28</v>
      </c>
    </row>
    <row r="10396" spans="1:18">
      <c r="A10396" t="s">
        <v>4</v>
      </c>
      <c r="B10396" s="4" t="s">
        <v>5</v>
      </c>
      <c r="C10396" s="4" t="s">
        <v>11</v>
      </c>
      <c r="D10396" s="4" t="s">
        <v>7</v>
      </c>
    </row>
    <row r="10397" spans="1:18">
      <c r="A10397" t="n">
        <v>97058</v>
      </c>
      <c r="B10397" s="68" t="n">
        <v>89</v>
      </c>
      <c r="C10397" s="7" t="n">
        <v>65533</v>
      </c>
      <c r="D10397" s="7" t="n">
        <v>1</v>
      </c>
    </row>
    <row r="10398" spans="1:18">
      <c r="A10398" t="s">
        <v>4</v>
      </c>
      <c r="B10398" s="4" t="s">
        <v>5</v>
      </c>
      <c r="C10398" s="4" t="s">
        <v>7</v>
      </c>
      <c r="D10398" s="4" t="s">
        <v>11</v>
      </c>
      <c r="E10398" s="4" t="s">
        <v>13</v>
      </c>
    </row>
    <row r="10399" spans="1:18">
      <c r="A10399" t="n">
        <v>97062</v>
      </c>
      <c r="B10399" s="23" t="n">
        <v>58</v>
      </c>
      <c r="C10399" s="7" t="n">
        <v>101</v>
      </c>
      <c r="D10399" s="7" t="n">
        <v>500</v>
      </c>
      <c r="E10399" s="7" t="n">
        <v>1</v>
      </c>
    </row>
    <row r="10400" spans="1:18">
      <c r="A10400" t="s">
        <v>4</v>
      </c>
      <c r="B10400" s="4" t="s">
        <v>5</v>
      </c>
      <c r="C10400" s="4" t="s">
        <v>7</v>
      </c>
      <c r="D10400" s="4" t="s">
        <v>11</v>
      </c>
    </row>
    <row r="10401" spans="1:18">
      <c r="A10401" t="n">
        <v>97070</v>
      </c>
      <c r="B10401" s="23" t="n">
        <v>58</v>
      </c>
      <c r="C10401" s="7" t="n">
        <v>254</v>
      </c>
      <c r="D10401" s="7" t="n">
        <v>0</v>
      </c>
    </row>
    <row r="10402" spans="1:18">
      <c r="A10402" t="s">
        <v>4</v>
      </c>
      <c r="B10402" s="4" t="s">
        <v>5</v>
      </c>
      <c r="C10402" s="4" t="s">
        <v>7</v>
      </c>
      <c r="D10402" s="4" t="s">
        <v>11</v>
      </c>
      <c r="E10402" s="4" t="s">
        <v>8</v>
      </c>
      <c r="F10402" s="4" t="s">
        <v>8</v>
      </c>
      <c r="G10402" s="4" t="s">
        <v>8</v>
      </c>
      <c r="H10402" s="4" t="s">
        <v>8</v>
      </c>
    </row>
    <row r="10403" spans="1:18">
      <c r="A10403" t="n">
        <v>97074</v>
      </c>
      <c r="B10403" s="38" t="n">
        <v>51</v>
      </c>
      <c r="C10403" s="7" t="n">
        <v>3</v>
      </c>
      <c r="D10403" s="7" t="n">
        <v>0</v>
      </c>
      <c r="E10403" s="7" t="s">
        <v>65</v>
      </c>
      <c r="F10403" s="7" t="s">
        <v>99</v>
      </c>
      <c r="G10403" s="7" t="s">
        <v>78</v>
      </c>
      <c r="H10403" s="7" t="s">
        <v>79</v>
      </c>
    </row>
    <row r="10404" spans="1:18">
      <c r="A10404" t="s">
        <v>4</v>
      </c>
      <c r="B10404" s="4" t="s">
        <v>5</v>
      </c>
      <c r="C10404" s="4" t="s">
        <v>7</v>
      </c>
      <c r="D10404" s="4" t="s">
        <v>11</v>
      </c>
      <c r="E10404" s="4" t="s">
        <v>8</v>
      </c>
      <c r="F10404" s="4" t="s">
        <v>8</v>
      </c>
      <c r="G10404" s="4" t="s">
        <v>8</v>
      </c>
      <c r="H10404" s="4" t="s">
        <v>8</v>
      </c>
    </row>
    <row r="10405" spans="1:18">
      <c r="A10405" t="n">
        <v>97095</v>
      </c>
      <c r="B10405" s="38" t="n">
        <v>51</v>
      </c>
      <c r="C10405" s="7" t="n">
        <v>3</v>
      </c>
      <c r="D10405" s="7" t="n">
        <v>18</v>
      </c>
      <c r="E10405" s="7" t="s">
        <v>65</v>
      </c>
      <c r="F10405" s="7" t="s">
        <v>79</v>
      </c>
      <c r="G10405" s="7" t="s">
        <v>78</v>
      </c>
      <c r="H10405" s="7" t="s">
        <v>79</v>
      </c>
    </row>
    <row r="10406" spans="1:18">
      <c r="A10406" t="s">
        <v>4</v>
      </c>
      <c r="B10406" s="4" t="s">
        <v>5</v>
      </c>
      <c r="C10406" s="4" t="s">
        <v>11</v>
      </c>
      <c r="D10406" s="4" t="s">
        <v>11</v>
      </c>
      <c r="E10406" s="4" t="s">
        <v>11</v>
      </c>
    </row>
    <row r="10407" spans="1:18">
      <c r="A10407" t="n">
        <v>97116</v>
      </c>
      <c r="B10407" s="72" t="n">
        <v>61</v>
      </c>
      <c r="C10407" s="7" t="n">
        <v>0</v>
      </c>
      <c r="D10407" s="7" t="n">
        <v>65533</v>
      </c>
      <c r="E10407" s="7" t="n">
        <v>0</v>
      </c>
    </row>
    <row r="10408" spans="1:18">
      <c r="A10408" t="s">
        <v>4</v>
      </c>
      <c r="B10408" s="4" t="s">
        <v>5</v>
      </c>
      <c r="C10408" s="4" t="s">
        <v>11</v>
      </c>
      <c r="D10408" s="4" t="s">
        <v>11</v>
      </c>
      <c r="E10408" s="4" t="s">
        <v>11</v>
      </c>
    </row>
    <row r="10409" spans="1:18">
      <c r="A10409" t="n">
        <v>97123</v>
      </c>
      <c r="B10409" s="72" t="n">
        <v>61</v>
      </c>
      <c r="C10409" s="7" t="n">
        <v>18</v>
      </c>
      <c r="D10409" s="7" t="n">
        <v>65533</v>
      </c>
      <c r="E10409" s="7" t="n">
        <v>0</v>
      </c>
    </row>
    <row r="10410" spans="1:18">
      <c r="A10410" t="s">
        <v>4</v>
      </c>
      <c r="B10410" s="4" t="s">
        <v>5</v>
      </c>
      <c r="C10410" s="4" t="s">
        <v>7</v>
      </c>
    </row>
    <row r="10411" spans="1:18">
      <c r="A10411" t="n">
        <v>97130</v>
      </c>
      <c r="B10411" s="49" t="n">
        <v>116</v>
      </c>
      <c r="C10411" s="7" t="n">
        <v>0</v>
      </c>
    </row>
    <row r="10412" spans="1:18">
      <c r="A10412" t="s">
        <v>4</v>
      </c>
      <c r="B10412" s="4" t="s">
        <v>5</v>
      </c>
      <c r="C10412" s="4" t="s">
        <v>7</v>
      </c>
      <c r="D10412" s="4" t="s">
        <v>11</v>
      </c>
    </row>
    <row r="10413" spans="1:18">
      <c r="A10413" t="n">
        <v>97132</v>
      </c>
      <c r="B10413" s="49" t="n">
        <v>116</v>
      </c>
      <c r="C10413" s="7" t="n">
        <v>2</v>
      </c>
      <c r="D10413" s="7" t="n">
        <v>1</v>
      </c>
    </row>
    <row r="10414" spans="1:18">
      <c r="A10414" t="s">
        <v>4</v>
      </c>
      <c r="B10414" s="4" t="s">
        <v>5</v>
      </c>
      <c r="C10414" s="4" t="s">
        <v>7</v>
      </c>
      <c r="D10414" s="4" t="s">
        <v>15</v>
      </c>
    </row>
    <row r="10415" spans="1:18">
      <c r="A10415" t="n">
        <v>97136</v>
      </c>
      <c r="B10415" s="49" t="n">
        <v>116</v>
      </c>
      <c r="C10415" s="7" t="n">
        <v>5</v>
      </c>
      <c r="D10415" s="7" t="n">
        <v>1106247680</v>
      </c>
    </row>
    <row r="10416" spans="1:18">
      <c r="A10416" t="s">
        <v>4</v>
      </c>
      <c r="B10416" s="4" t="s">
        <v>5</v>
      </c>
      <c r="C10416" s="4" t="s">
        <v>7</v>
      </c>
      <c r="D10416" s="4" t="s">
        <v>11</v>
      </c>
    </row>
    <row r="10417" spans="1:8">
      <c r="A10417" t="n">
        <v>97142</v>
      </c>
      <c r="B10417" s="49" t="n">
        <v>116</v>
      </c>
      <c r="C10417" s="7" t="n">
        <v>6</v>
      </c>
      <c r="D10417" s="7" t="n">
        <v>1</v>
      </c>
    </row>
    <row r="10418" spans="1:8">
      <c r="A10418" t="s">
        <v>4</v>
      </c>
      <c r="B10418" s="4" t="s">
        <v>5</v>
      </c>
      <c r="C10418" s="4" t="s">
        <v>7</v>
      </c>
      <c r="D10418" s="4" t="s">
        <v>7</v>
      </c>
      <c r="E10418" s="4" t="s">
        <v>13</v>
      </c>
      <c r="F10418" s="4" t="s">
        <v>13</v>
      </c>
      <c r="G10418" s="4" t="s">
        <v>13</v>
      </c>
      <c r="H10418" s="4" t="s">
        <v>11</v>
      </c>
    </row>
    <row r="10419" spans="1:8">
      <c r="A10419" t="n">
        <v>97146</v>
      </c>
      <c r="B10419" s="51" t="n">
        <v>45</v>
      </c>
      <c r="C10419" s="7" t="n">
        <v>2</v>
      </c>
      <c r="D10419" s="7" t="n">
        <v>3</v>
      </c>
      <c r="E10419" s="7" t="n">
        <v>4.53000020980835</v>
      </c>
      <c r="F10419" s="7" t="n">
        <v>1.30999994277954</v>
      </c>
      <c r="G10419" s="7" t="n">
        <v>46.2700004577637</v>
      </c>
      <c r="H10419" s="7" t="n">
        <v>0</v>
      </c>
    </row>
    <row r="10420" spans="1:8">
      <c r="A10420" t="s">
        <v>4</v>
      </c>
      <c r="B10420" s="4" t="s">
        <v>5</v>
      </c>
      <c r="C10420" s="4" t="s">
        <v>7</v>
      </c>
      <c r="D10420" s="4" t="s">
        <v>7</v>
      </c>
      <c r="E10420" s="4" t="s">
        <v>13</v>
      </c>
      <c r="F10420" s="4" t="s">
        <v>13</v>
      </c>
      <c r="G10420" s="4" t="s">
        <v>13</v>
      </c>
      <c r="H10420" s="4" t="s">
        <v>11</v>
      </c>
      <c r="I10420" s="4" t="s">
        <v>7</v>
      </c>
    </row>
    <row r="10421" spans="1:8">
      <c r="A10421" t="n">
        <v>97163</v>
      </c>
      <c r="B10421" s="51" t="n">
        <v>45</v>
      </c>
      <c r="C10421" s="7" t="n">
        <v>4</v>
      </c>
      <c r="D10421" s="7" t="n">
        <v>3</v>
      </c>
      <c r="E10421" s="7" t="n">
        <v>12.8699998855591</v>
      </c>
      <c r="F10421" s="7" t="n">
        <v>80.0199966430664</v>
      </c>
      <c r="G10421" s="7" t="n">
        <v>0</v>
      </c>
      <c r="H10421" s="7" t="n">
        <v>0</v>
      </c>
      <c r="I10421" s="7" t="n">
        <v>0</v>
      </c>
    </row>
    <row r="10422" spans="1:8">
      <c r="A10422" t="s">
        <v>4</v>
      </c>
      <c r="B10422" s="4" t="s">
        <v>5</v>
      </c>
      <c r="C10422" s="4" t="s">
        <v>7</v>
      </c>
      <c r="D10422" s="4" t="s">
        <v>7</v>
      </c>
      <c r="E10422" s="4" t="s">
        <v>13</v>
      </c>
      <c r="F10422" s="4" t="s">
        <v>11</v>
      </c>
    </row>
    <row r="10423" spans="1:8">
      <c r="A10423" t="n">
        <v>97181</v>
      </c>
      <c r="B10423" s="51" t="n">
        <v>45</v>
      </c>
      <c r="C10423" s="7" t="n">
        <v>5</v>
      </c>
      <c r="D10423" s="7" t="n">
        <v>3</v>
      </c>
      <c r="E10423" s="7" t="n">
        <v>3</v>
      </c>
      <c r="F10423" s="7" t="n">
        <v>0</v>
      </c>
    </row>
    <row r="10424" spans="1:8">
      <c r="A10424" t="s">
        <v>4</v>
      </c>
      <c r="B10424" s="4" t="s">
        <v>5</v>
      </c>
      <c r="C10424" s="4" t="s">
        <v>7</v>
      </c>
      <c r="D10424" s="4" t="s">
        <v>7</v>
      </c>
      <c r="E10424" s="4" t="s">
        <v>13</v>
      </c>
      <c r="F10424" s="4" t="s">
        <v>11</v>
      </c>
    </row>
    <row r="10425" spans="1:8">
      <c r="A10425" t="n">
        <v>97190</v>
      </c>
      <c r="B10425" s="51" t="n">
        <v>45</v>
      </c>
      <c r="C10425" s="7" t="n">
        <v>11</v>
      </c>
      <c r="D10425" s="7" t="n">
        <v>3</v>
      </c>
      <c r="E10425" s="7" t="n">
        <v>34</v>
      </c>
      <c r="F10425" s="7" t="n">
        <v>0</v>
      </c>
    </row>
    <row r="10426" spans="1:8">
      <c r="A10426" t="s">
        <v>4</v>
      </c>
      <c r="B10426" s="4" t="s">
        <v>5</v>
      </c>
      <c r="C10426" s="4" t="s">
        <v>7</v>
      </c>
      <c r="D10426" s="4" t="s">
        <v>7</v>
      </c>
      <c r="E10426" s="4" t="s">
        <v>13</v>
      </c>
      <c r="F10426" s="4" t="s">
        <v>13</v>
      </c>
      <c r="G10426" s="4" t="s">
        <v>13</v>
      </c>
      <c r="H10426" s="4" t="s">
        <v>11</v>
      </c>
    </row>
    <row r="10427" spans="1:8">
      <c r="A10427" t="n">
        <v>97199</v>
      </c>
      <c r="B10427" s="51" t="n">
        <v>45</v>
      </c>
      <c r="C10427" s="7" t="n">
        <v>2</v>
      </c>
      <c r="D10427" s="7" t="n">
        <v>3</v>
      </c>
      <c r="E10427" s="7" t="n">
        <v>4.53000020980835</v>
      </c>
      <c r="F10427" s="7" t="n">
        <v>2.30999994277954</v>
      </c>
      <c r="G10427" s="7" t="n">
        <v>46.2700004577637</v>
      </c>
      <c r="H10427" s="7" t="n">
        <v>5000</v>
      </c>
    </row>
    <row r="10428" spans="1:8">
      <c r="A10428" t="s">
        <v>4</v>
      </c>
      <c r="B10428" s="4" t="s">
        <v>5</v>
      </c>
      <c r="C10428" s="4" t="s">
        <v>7</v>
      </c>
      <c r="D10428" s="4" t="s">
        <v>11</v>
      </c>
    </row>
    <row r="10429" spans="1:8">
      <c r="A10429" t="n">
        <v>97216</v>
      </c>
      <c r="B10429" s="23" t="n">
        <v>58</v>
      </c>
      <c r="C10429" s="7" t="n">
        <v>255</v>
      </c>
      <c r="D10429" s="7" t="n">
        <v>0</v>
      </c>
    </row>
    <row r="10430" spans="1:8">
      <c r="A10430" t="s">
        <v>4</v>
      </c>
      <c r="B10430" s="4" t="s">
        <v>5</v>
      </c>
      <c r="C10430" s="4" t="s">
        <v>11</v>
      </c>
      <c r="D10430" s="4" t="s">
        <v>13</v>
      </c>
      <c r="E10430" s="4" t="s">
        <v>13</v>
      </c>
      <c r="F10430" s="4" t="s">
        <v>7</v>
      </c>
    </row>
    <row r="10431" spans="1:8">
      <c r="A10431" t="n">
        <v>97220</v>
      </c>
      <c r="B10431" s="65" t="n">
        <v>52</v>
      </c>
      <c r="C10431" s="7" t="n">
        <v>0</v>
      </c>
      <c r="D10431" s="7" t="n">
        <v>255</v>
      </c>
      <c r="E10431" s="7" t="n">
        <v>5</v>
      </c>
      <c r="F10431" s="7" t="n">
        <v>0</v>
      </c>
    </row>
    <row r="10432" spans="1:8">
      <c r="A10432" t="s">
        <v>4</v>
      </c>
      <c r="B10432" s="4" t="s">
        <v>5</v>
      </c>
      <c r="C10432" s="4" t="s">
        <v>11</v>
      </c>
    </row>
    <row r="10433" spans="1:9">
      <c r="A10433" t="n">
        <v>97232</v>
      </c>
      <c r="B10433" s="29" t="n">
        <v>16</v>
      </c>
      <c r="C10433" s="7" t="n">
        <v>100</v>
      </c>
    </row>
    <row r="10434" spans="1:9">
      <c r="A10434" t="s">
        <v>4</v>
      </c>
      <c r="B10434" s="4" t="s">
        <v>5</v>
      </c>
      <c r="C10434" s="4" t="s">
        <v>11</v>
      </c>
      <c r="D10434" s="4" t="s">
        <v>13</v>
      </c>
      <c r="E10434" s="4" t="s">
        <v>13</v>
      </c>
      <c r="F10434" s="4" t="s">
        <v>7</v>
      </c>
    </row>
    <row r="10435" spans="1:9">
      <c r="A10435" t="n">
        <v>97235</v>
      </c>
      <c r="B10435" s="65" t="n">
        <v>52</v>
      </c>
      <c r="C10435" s="7" t="n">
        <v>18</v>
      </c>
      <c r="D10435" s="7" t="n">
        <v>255</v>
      </c>
      <c r="E10435" s="7" t="n">
        <v>5</v>
      </c>
      <c r="F10435" s="7" t="n">
        <v>0</v>
      </c>
    </row>
    <row r="10436" spans="1:9">
      <c r="A10436" t="s">
        <v>4</v>
      </c>
      <c r="B10436" s="4" t="s">
        <v>5</v>
      </c>
      <c r="C10436" s="4" t="s">
        <v>11</v>
      </c>
    </row>
    <row r="10437" spans="1:9">
      <c r="A10437" t="n">
        <v>97247</v>
      </c>
      <c r="B10437" s="66" t="n">
        <v>54</v>
      </c>
      <c r="C10437" s="7" t="n">
        <v>0</v>
      </c>
    </row>
    <row r="10438" spans="1:9">
      <c r="A10438" t="s">
        <v>4</v>
      </c>
      <c r="B10438" s="4" t="s">
        <v>5</v>
      </c>
      <c r="C10438" s="4" t="s">
        <v>11</v>
      </c>
      <c r="D10438" s="4" t="s">
        <v>11</v>
      </c>
      <c r="E10438" s="4" t="s">
        <v>13</v>
      </c>
      <c r="F10438" s="4" t="s">
        <v>13</v>
      </c>
      <c r="G10438" s="4" t="s">
        <v>13</v>
      </c>
      <c r="H10438" s="4" t="s">
        <v>13</v>
      </c>
      <c r="I10438" s="4" t="s">
        <v>7</v>
      </c>
      <c r="J10438" s="4" t="s">
        <v>11</v>
      </c>
    </row>
    <row r="10439" spans="1:9">
      <c r="A10439" t="n">
        <v>97250</v>
      </c>
      <c r="B10439" s="53" t="n">
        <v>55</v>
      </c>
      <c r="C10439" s="7" t="n">
        <v>0</v>
      </c>
      <c r="D10439" s="7" t="n">
        <v>65024</v>
      </c>
      <c r="E10439" s="7" t="n">
        <v>0</v>
      </c>
      <c r="F10439" s="7" t="n">
        <v>0</v>
      </c>
      <c r="G10439" s="7" t="n">
        <v>6</v>
      </c>
      <c r="H10439" s="7" t="n">
        <v>1.20000004768372</v>
      </c>
      <c r="I10439" s="7" t="n">
        <v>1</v>
      </c>
      <c r="J10439" s="7" t="n">
        <v>0</v>
      </c>
    </row>
    <row r="10440" spans="1:9">
      <c r="A10440" t="s">
        <v>4</v>
      </c>
      <c r="B10440" s="4" t="s">
        <v>5</v>
      </c>
      <c r="C10440" s="4" t="s">
        <v>11</v>
      </c>
    </row>
    <row r="10441" spans="1:9">
      <c r="A10441" t="n">
        <v>97274</v>
      </c>
      <c r="B10441" s="66" t="n">
        <v>54</v>
      </c>
      <c r="C10441" s="7" t="n">
        <v>18</v>
      </c>
    </row>
    <row r="10442" spans="1:9">
      <c r="A10442" t="s">
        <v>4</v>
      </c>
      <c r="B10442" s="4" t="s">
        <v>5</v>
      </c>
      <c r="C10442" s="4" t="s">
        <v>11</v>
      </c>
    </row>
    <row r="10443" spans="1:9">
      <c r="A10443" t="n">
        <v>97277</v>
      </c>
      <c r="B10443" s="29" t="n">
        <v>16</v>
      </c>
      <c r="C10443" s="7" t="n">
        <v>200</v>
      </c>
    </row>
    <row r="10444" spans="1:9">
      <c r="A10444" t="s">
        <v>4</v>
      </c>
      <c r="B10444" s="4" t="s">
        <v>5</v>
      </c>
      <c r="C10444" s="4" t="s">
        <v>11</v>
      </c>
      <c r="D10444" s="4" t="s">
        <v>11</v>
      </c>
      <c r="E10444" s="4" t="s">
        <v>13</v>
      </c>
      <c r="F10444" s="4" t="s">
        <v>13</v>
      </c>
      <c r="G10444" s="4" t="s">
        <v>13</v>
      </c>
      <c r="H10444" s="4" t="s">
        <v>13</v>
      </c>
      <c r="I10444" s="4" t="s">
        <v>7</v>
      </c>
      <c r="J10444" s="4" t="s">
        <v>11</v>
      </c>
    </row>
    <row r="10445" spans="1:9">
      <c r="A10445" t="n">
        <v>97280</v>
      </c>
      <c r="B10445" s="53" t="n">
        <v>55</v>
      </c>
      <c r="C10445" s="7" t="n">
        <v>18</v>
      </c>
      <c r="D10445" s="7" t="n">
        <v>65024</v>
      </c>
      <c r="E10445" s="7" t="n">
        <v>0</v>
      </c>
      <c r="F10445" s="7" t="n">
        <v>0</v>
      </c>
      <c r="G10445" s="7" t="n">
        <v>6</v>
      </c>
      <c r="H10445" s="7" t="n">
        <v>1.20000004768372</v>
      </c>
      <c r="I10445" s="7" t="n">
        <v>1</v>
      </c>
      <c r="J10445" s="7" t="n">
        <v>0</v>
      </c>
    </row>
    <row r="10446" spans="1:9">
      <c r="A10446" t="s">
        <v>4</v>
      </c>
      <c r="B10446" s="4" t="s">
        <v>5</v>
      </c>
      <c r="C10446" s="4" t="s">
        <v>11</v>
      </c>
    </row>
    <row r="10447" spans="1:9">
      <c r="A10447" t="n">
        <v>97304</v>
      </c>
      <c r="B10447" s="29" t="n">
        <v>16</v>
      </c>
      <c r="C10447" s="7" t="n">
        <v>2000</v>
      </c>
    </row>
    <row r="10448" spans="1:9">
      <c r="A10448" t="s">
        <v>4</v>
      </c>
      <c r="B10448" s="4" t="s">
        <v>5</v>
      </c>
      <c r="C10448" s="4" t="s">
        <v>7</v>
      </c>
      <c r="D10448" s="4" t="s">
        <v>11</v>
      </c>
      <c r="E10448" s="4" t="s">
        <v>13</v>
      </c>
    </row>
    <row r="10449" spans="1:10">
      <c r="A10449" t="n">
        <v>97307</v>
      </c>
      <c r="B10449" s="23" t="n">
        <v>58</v>
      </c>
      <c r="C10449" s="7" t="n">
        <v>0</v>
      </c>
      <c r="D10449" s="7" t="n">
        <v>1000</v>
      </c>
      <c r="E10449" s="7" t="n">
        <v>1</v>
      </c>
    </row>
    <row r="10450" spans="1:10">
      <c r="A10450" t="s">
        <v>4</v>
      </c>
      <c r="B10450" s="4" t="s">
        <v>5</v>
      </c>
      <c r="C10450" s="4" t="s">
        <v>7</v>
      </c>
      <c r="D10450" s="4" t="s">
        <v>11</v>
      </c>
    </row>
    <row r="10451" spans="1:10">
      <c r="A10451" t="n">
        <v>97315</v>
      </c>
      <c r="B10451" s="23" t="n">
        <v>58</v>
      </c>
      <c r="C10451" s="7" t="n">
        <v>255</v>
      </c>
      <c r="D10451" s="7" t="n">
        <v>0</v>
      </c>
    </row>
    <row r="10452" spans="1:10">
      <c r="A10452" t="s">
        <v>4</v>
      </c>
      <c r="B10452" s="4" t="s">
        <v>5</v>
      </c>
      <c r="C10452" s="4" t="s">
        <v>11</v>
      </c>
      <c r="D10452" s="4" t="s">
        <v>7</v>
      </c>
    </row>
    <row r="10453" spans="1:10">
      <c r="A10453" t="n">
        <v>97319</v>
      </c>
      <c r="B10453" s="54" t="n">
        <v>56</v>
      </c>
      <c r="C10453" s="7" t="n">
        <v>0</v>
      </c>
      <c r="D10453" s="7" t="n">
        <v>1</v>
      </c>
    </row>
    <row r="10454" spans="1:10">
      <c r="A10454" t="s">
        <v>4</v>
      </c>
      <c r="B10454" s="4" t="s">
        <v>5</v>
      </c>
      <c r="C10454" s="4" t="s">
        <v>11</v>
      </c>
      <c r="D10454" s="4" t="s">
        <v>7</v>
      </c>
    </row>
    <row r="10455" spans="1:10">
      <c r="A10455" t="n">
        <v>97323</v>
      </c>
      <c r="B10455" s="54" t="n">
        <v>56</v>
      </c>
      <c r="C10455" s="7" t="n">
        <v>18</v>
      </c>
      <c r="D10455" s="7" t="n">
        <v>1</v>
      </c>
    </row>
    <row r="10456" spans="1:10">
      <c r="A10456" t="s">
        <v>4</v>
      </c>
      <c r="B10456" s="4" t="s">
        <v>5</v>
      </c>
      <c r="C10456" s="4" t="s">
        <v>11</v>
      </c>
      <c r="D10456" s="4" t="s">
        <v>13</v>
      </c>
      <c r="E10456" s="4" t="s">
        <v>13</v>
      </c>
      <c r="F10456" s="4" t="s">
        <v>13</v>
      </c>
      <c r="G10456" s="4" t="s">
        <v>13</v>
      </c>
    </row>
    <row r="10457" spans="1:10">
      <c r="A10457" t="n">
        <v>97327</v>
      </c>
      <c r="B10457" s="36" t="n">
        <v>46</v>
      </c>
      <c r="C10457" s="7" t="n">
        <v>0</v>
      </c>
      <c r="D10457" s="7" t="n">
        <v>-7.67000007629395</v>
      </c>
      <c r="E10457" s="7" t="n">
        <v>5</v>
      </c>
      <c r="F10457" s="7" t="n">
        <v>41.2599983215332</v>
      </c>
      <c r="G10457" s="7" t="n">
        <v>18.7000007629395</v>
      </c>
    </row>
    <row r="10458" spans="1:10">
      <c r="A10458" t="s">
        <v>4</v>
      </c>
      <c r="B10458" s="4" t="s">
        <v>5</v>
      </c>
      <c r="C10458" s="4" t="s">
        <v>11</v>
      </c>
      <c r="D10458" s="4" t="s">
        <v>13</v>
      </c>
      <c r="E10458" s="4" t="s">
        <v>13</v>
      </c>
      <c r="F10458" s="4" t="s">
        <v>13</v>
      </c>
      <c r="G10458" s="4" t="s">
        <v>13</v>
      </c>
    </row>
    <row r="10459" spans="1:10">
      <c r="A10459" t="n">
        <v>97346</v>
      </c>
      <c r="B10459" s="36" t="n">
        <v>46</v>
      </c>
      <c r="C10459" s="7" t="n">
        <v>18</v>
      </c>
      <c r="D10459" s="7" t="n">
        <v>-7.15000009536743</v>
      </c>
      <c r="E10459" s="7" t="n">
        <v>5</v>
      </c>
      <c r="F10459" s="7" t="n">
        <v>42.0099983215332</v>
      </c>
      <c r="G10459" s="7" t="n">
        <v>4.30000019073486</v>
      </c>
    </row>
    <row r="10460" spans="1:10">
      <c r="A10460" t="s">
        <v>4</v>
      </c>
      <c r="B10460" s="4" t="s">
        <v>5</v>
      </c>
      <c r="C10460" s="4" t="s">
        <v>11</v>
      </c>
      <c r="D10460" s="4" t="s">
        <v>11</v>
      </c>
      <c r="E10460" s="4" t="s">
        <v>11</v>
      </c>
    </row>
    <row r="10461" spans="1:10">
      <c r="A10461" t="n">
        <v>97365</v>
      </c>
      <c r="B10461" s="72" t="n">
        <v>61</v>
      </c>
      <c r="C10461" s="7" t="n">
        <v>0</v>
      </c>
      <c r="D10461" s="7" t="n">
        <v>65533</v>
      </c>
      <c r="E10461" s="7" t="n">
        <v>0</v>
      </c>
    </row>
    <row r="10462" spans="1:10">
      <c r="A10462" t="s">
        <v>4</v>
      </c>
      <c r="B10462" s="4" t="s">
        <v>5</v>
      </c>
      <c r="C10462" s="4" t="s">
        <v>11</v>
      </c>
      <c r="D10462" s="4" t="s">
        <v>11</v>
      </c>
      <c r="E10462" s="4" t="s">
        <v>11</v>
      </c>
    </row>
    <row r="10463" spans="1:10">
      <c r="A10463" t="n">
        <v>97372</v>
      </c>
      <c r="B10463" s="72" t="n">
        <v>61</v>
      </c>
      <c r="C10463" s="7" t="n">
        <v>18</v>
      </c>
      <c r="D10463" s="7" t="n">
        <v>65533</v>
      </c>
      <c r="E10463" s="7" t="n">
        <v>0</v>
      </c>
    </row>
    <row r="10464" spans="1:10">
      <c r="A10464" t="s">
        <v>4</v>
      </c>
      <c r="B10464" s="4" t="s">
        <v>5</v>
      </c>
      <c r="C10464" s="4" t="s">
        <v>7</v>
      </c>
      <c r="D10464" s="4" t="s">
        <v>7</v>
      </c>
      <c r="E10464" s="4" t="s">
        <v>13</v>
      </c>
      <c r="F10464" s="4" t="s">
        <v>13</v>
      </c>
      <c r="G10464" s="4" t="s">
        <v>13</v>
      </c>
      <c r="H10464" s="4" t="s">
        <v>11</v>
      </c>
    </row>
    <row r="10465" spans="1:8">
      <c r="A10465" t="n">
        <v>97379</v>
      </c>
      <c r="B10465" s="51" t="n">
        <v>45</v>
      </c>
      <c r="C10465" s="7" t="n">
        <v>2</v>
      </c>
      <c r="D10465" s="7" t="n">
        <v>3</v>
      </c>
      <c r="E10465" s="7" t="n">
        <v>-6.92000007629395</v>
      </c>
      <c r="F10465" s="7" t="n">
        <v>6.55000019073486</v>
      </c>
      <c r="G10465" s="7" t="n">
        <v>46.4099998474121</v>
      </c>
      <c r="H10465" s="7" t="n">
        <v>0</v>
      </c>
    </row>
    <row r="10466" spans="1:8">
      <c r="A10466" t="s">
        <v>4</v>
      </c>
      <c r="B10466" s="4" t="s">
        <v>5</v>
      </c>
      <c r="C10466" s="4" t="s">
        <v>7</v>
      </c>
      <c r="D10466" s="4" t="s">
        <v>7</v>
      </c>
      <c r="E10466" s="4" t="s">
        <v>13</v>
      </c>
      <c r="F10466" s="4" t="s">
        <v>13</v>
      </c>
      <c r="G10466" s="4" t="s">
        <v>13</v>
      </c>
      <c r="H10466" s="4" t="s">
        <v>11</v>
      </c>
      <c r="I10466" s="4" t="s">
        <v>7</v>
      </c>
    </row>
    <row r="10467" spans="1:8">
      <c r="A10467" t="n">
        <v>97396</v>
      </c>
      <c r="B10467" s="51" t="n">
        <v>45</v>
      </c>
      <c r="C10467" s="7" t="n">
        <v>4</v>
      </c>
      <c r="D10467" s="7" t="n">
        <v>3</v>
      </c>
      <c r="E10467" s="7" t="n">
        <v>6.15000009536743</v>
      </c>
      <c r="F10467" s="7" t="n">
        <v>341.170013427734</v>
      </c>
      <c r="G10467" s="7" t="n">
        <v>0</v>
      </c>
      <c r="H10467" s="7" t="n">
        <v>0</v>
      </c>
      <c r="I10467" s="7" t="n">
        <v>0</v>
      </c>
    </row>
    <row r="10468" spans="1:8">
      <c r="A10468" t="s">
        <v>4</v>
      </c>
      <c r="B10468" s="4" t="s">
        <v>5</v>
      </c>
      <c r="C10468" s="4" t="s">
        <v>7</v>
      </c>
      <c r="D10468" s="4" t="s">
        <v>7</v>
      </c>
      <c r="E10468" s="4" t="s">
        <v>13</v>
      </c>
      <c r="F10468" s="4" t="s">
        <v>11</v>
      </c>
    </row>
    <row r="10469" spans="1:8">
      <c r="A10469" t="n">
        <v>97414</v>
      </c>
      <c r="B10469" s="51" t="n">
        <v>45</v>
      </c>
      <c r="C10469" s="7" t="n">
        <v>5</v>
      </c>
      <c r="D10469" s="7" t="n">
        <v>3</v>
      </c>
      <c r="E10469" s="7" t="n">
        <v>7.19999980926514</v>
      </c>
      <c r="F10469" s="7" t="n">
        <v>0</v>
      </c>
    </row>
    <row r="10470" spans="1:8">
      <c r="A10470" t="s">
        <v>4</v>
      </c>
      <c r="B10470" s="4" t="s">
        <v>5</v>
      </c>
      <c r="C10470" s="4" t="s">
        <v>7</v>
      </c>
      <c r="D10470" s="4" t="s">
        <v>7</v>
      </c>
      <c r="E10470" s="4" t="s">
        <v>13</v>
      </c>
      <c r="F10470" s="4" t="s">
        <v>11</v>
      </c>
    </row>
    <row r="10471" spans="1:8">
      <c r="A10471" t="n">
        <v>97423</v>
      </c>
      <c r="B10471" s="51" t="n">
        <v>45</v>
      </c>
      <c r="C10471" s="7" t="n">
        <v>11</v>
      </c>
      <c r="D10471" s="7" t="n">
        <v>3</v>
      </c>
      <c r="E10471" s="7" t="n">
        <v>34</v>
      </c>
      <c r="F10471" s="7" t="n">
        <v>0</v>
      </c>
    </row>
    <row r="10472" spans="1:8">
      <c r="A10472" t="s">
        <v>4</v>
      </c>
      <c r="B10472" s="4" t="s">
        <v>5</v>
      </c>
      <c r="C10472" s="4" t="s">
        <v>7</v>
      </c>
      <c r="D10472" s="4" t="s">
        <v>7</v>
      </c>
      <c r="E10472" s="4" t="s">
        <v>13</v>
      </c>
      <c r="F10472" s="4" t="s">
        <v>13</v>
      </c>
      <c r="G10472" s="4" t="s">
        <v>13</v>
      </c>
      <c r="H10472" s="4" t="s">
        <v>11</v>
      </c>
    </row>
    <row r="10473" spans="1:8">
      <c r="A10473" t="n">
        <v>97432</v>
      </c>
      <c r="B10473" s="51" t="n">
        <v>45</v>
      </c>
      <c r="C10473" s="7" t="n">
        <v>2</v>
      </c>
      <c r="D10473" s="7" t="n">
        <v>3</v>
      </c>
      <c r="E10473" s="7" t="n">
        <v>-7.32999992370605</v>
      </c>
      <c r="F10473" s="7" t="n">
        <v>6.19000005722046</v>
      </c>
      <c r="G10473" s="7" t="n">
        <v>41.7200012207031</v>
      </c>
      <c r="H10473" s="7" t="n">
        <v>6000</v>
      </c>
    </row>
    <row r="10474" spans="1:8">
      <c r="A10474" t="s">
        <v>4</v>
      </c>
      <c r="B10474" s="4" t="s">
        <v>5</v>
      </c>
      <c r="C10474" s="4" t="s">
        <v>7</v>
      </c>
      <c r="D10474" s="4" t="s">
        <v>7</v>
      </c>
      <c r="E10474" s="4" t="s">
        <v>13</v>
      </c>
      <c r="F10474" s="4" t="s">
        <v>13</v>
      </c>
      <c r="G10474" s="4" t="s">
        <v>13</v>
      </c>
      <c r="H10474" s="4" t="s">
        <v>11</v>
      </c>
      <c r="I10474" s="4" t="s">
        <v>7</v>
      </c>
    </row>
    <row r="10475" spans="1:8">
      <c r="A10475" t="n">
        <v>97449</v>
      </c>
      <c r="B10475" s="51" t="n">
        <v>45</v>
      </c>
      <c r="C10475" s="7" t="n">
        <v>4</v>
      </c>
      <c r="D10475" s="7" t="n">
        <v>3</v>
      </c>
      <c r="E10475" s="7" t="n">
        <v>359.339996337891</v>
      </c>
      <c r="F10475" s="7" t="n">
        <v>350.609985351563</v>
      </c>
      <c r="G10475" s="7" t="n">
        <v>0</v>
      </c>
      <c r="H10475" s="7" t="n">
        <v>6000</v>
      </c>
      <c r="I10475" s="7" t="n">
        <v>1</v>
      </c>
    </row>
    <row r="10476" spans="1:8">
      <c r="A10476" t="s">
        <v>4</v>
      </c>
      <c r="B10476" s="4" t="s">
        <v>5</v>
      </c>
      <c r="C10476" s="4" t="s">
        <v>7</v>
      </c>
      <c r="D10476" s="4" t="s">
        <v>7</v>
      </c>
      <c r="E10476" s="4" t="s">
        <v>13</v>
      </c>
      <c r="F10476" s="4" t="s">
        <v>11</v>
      </c>
    </row>
    <row r="10477" spans="1:8">
      <c r="A10477" t="n">
        <v>97467</v>
      </c>
      <c r="B10477" s="51" t="n">
        <v>45</v>
      </c>
      <c r="C10477" s="7" t="n">
        <v>5</v>
      </c>
      <c r="D10477" s="7" t="n">
        <v>3</v>
      </c>
      <c r="E10477" s="7" t="n">
        <v>3.79999995231628</v>
      </c>
      <c r="F10477" s="7" t="n">
        <v>6000</v>
      </c>
    </row>
    <row r="10478" spans="1:8">
      <c r="A10478" t="s">
        <v>4</v>
      </c>
      <c r="B10478" s="4" t="s">
        <v>5</v>
      </c>
      <c r="C10478" s="4" t="s">
        <v>7</v>
      </c>
      <c r="D10478" s="4" t="s">
        <v>11</v>
      </c>
      <c r="E10478" s="4" t="s">
        <v>13</v>
      </c>
    </row>
    <row r="10479" spans="1:8">
      <c r="A10479" t="n">
        <v>97476</v>
      </c>
      <c r="B10479" s="23" t="n">
        <v>58</v>
      </c>
      <c r="C10479" s="7" t="n">
        <v>100</v>
      </c>
      <c r="D10479" s="7" t="n">
        <v>1000</v>
      </c>
      <c r="E10479" s="7" t="n">
        <v>1</v>
      </c>
    </row>
    <row r="10480" spans="1:8">
      <c r="A10480" t="s">
        <v>4</v>
      </c>
      <c r="B10480" s="4" t="s">
        <v>5</v>
      </c>
      <c r="C10480" s="4" t="s">
        <v>7</v>
      </c>
      <c r="D10480" s="4" t="s">
        <v>11</v>
      </c>
    </row>
    <row r="10481" spans="1:9">
      <c r="A10481" t="n">
        <v>97484</v>
      </c>
      <c r="B10481" s="23" t="n">
        <v>58</v>
      </c>
      <c r="C10481" s="7" t="n">
        <v>255</v>
      </c>
      <c r="D10481" s="7" t="n">
        <v>0</v>
      </c>
    </row>
    <row r="10482" spans="1:9">
      <c r="A10482" t="s">
        <v>4</v>
      </c>
      <c r="B10482" s="4" t="s">
        <v>5</v>
      </c>
      <c r="C10482" s="4" t="s">
        <v>11</v>
      </c>
    </row>
    <row r="10483" spans="1:9">
      <c r="A10483" t="n">
        <v>97488</v>
      </c>
      <c r="B10483" s="29" t="n">
        <v>16</v>
      </c>
      <c r="C10483" s="7" t="n">
        <v>1500</v>
      </c>
    </row>
    <row r="10484" spans="1:9">
      <c r="A10484" t="s">
        <v>4</v>
      </c>
      <c r="B10484" s="4" t="s">
        <v>5</v>
      </c>
      <c r="C10484" s="4" t="s">
        <v>11</v>
      </c>
      <c r="D10484" s="4" t="s">
        <v>7</v>
      </c>
      <c r="E10484" s="4" t="s">
        <v>13</v>
      </c>
      <c r="F10484" s="4" t="s">
        <v>11</v>
      </c>
    </row>
    <row r="10485" spans="1:9">
      <c r="A10485" t="n">
        <v>97491</v>
      </c>
      <c r="B10485" s="56" t="n">
        <v>59</v>
      </c>
      <c r="C10485" s="7" t="n">
        <v>18</v>
      </c>
      <c r="D10485" s="7" t="n">
        <v>9</v>
      </c>
      <c r="E10485" s="7" t="n">
        <v>0.150000005960464</v>
      </c>
      <c r="F10485" s="7" t="n">
        <v>0</v>
      </c>
    </row>
    <row r="10486" spans="1:9">
      <c r="A10486" t="s">
        <v>4</v>
      </c>
      <c r="B10486" s="4" t="s">
        <v>5</v>
      </c>
      <c r="C10486" s="4" t="s">
        <v>11</v>
      </c>
      <c r="D10486" s="4" t="s">
        <v>13</v>
      </c>
      <c r="E10486" s="4" t="s">
        <v>13</v>
      </c>
      <c r="F10486" s="4" t="s">
        <v>13</v>
      </c>
      <c r="G10486" s="4" t="s">
        <v>11</v>
      </c>
      <c r="H10486" s="4" t="s">
        <v>11</v>
      </c>
    </row>
    <row r="10487" spans="1:9">
      <c r="A10487" t="n">
        <v>97501</v>
      </c>
      <c r="B10487" s="37" t="n">
        <v>60</v>
      </c>
      <c r="C10487" s="7" t="n">
        <v>18</v>
      </c>
      <c r="D10487" s="7" t="n">
        <v>-45</v>
      </c>
      <c r="E10487" s="7" t="n">
        <v>0</v>
      </c>
      <c r="F10487" s="7" t="n">
        <v>0</v>
      </c>
      <c r="G10487" s="7" t="n">
        <v>1000</v>
      </c>
      <c r="H10487" s="7" t="n">
        <v>0</v>
      </c>
    </row>
    <row r="10488" spans="1:9">
      <c r="A10488" t="s">
        <v>4</v>
      </c>
      <c r="B10488" s="4" t="s">
        <v>5</v>
      </c>
      <c r="C10488" s="4" t="s">
        <v>11</v>
      </c>
    </row>
    <row r="10489" spans="1:9">
      <c r="A10489" t="n">
        <v>97520</v>
      </c>
      <c r="B10489" s="29" t="n">
        <v>16</v>
      </c>
      <c r="C10489" s="7" t="n">
        <v>1000</v>
      </c>
    </row>
    <row r="10490" spans="1:9">
      <c r="A10490" t="s">
        <v>4</v>
      </c>
      <c r="B10490" s="4" t="s">
        <v>5</v>
      </c>
      <c r="C10490" s="4" t="s">
        <v>11</v>
      </c>
      <c r="D10490" s="4" t="s">
        <v>13</v>
      </c>
      <c r="E10490" s="4" t="s">
        <v>13</v>
      </c>
      <c r="F10490" s="4" t="s">
        <v>13</v>
      </c>
      <c r="G10490" s="4" t="s">
        <v>11</v>
      </c>
      <c r="H10490" s="4" t="s">
        <v>11</v>
      </c>
    </row>
    <row r="10491" spans="1:9">
      <c r="A10491" t="n">
        <v>97523</v>
      </c>
      <c r="B10491" s="37" t="n">
        <v>60</v>
      </c>
      <c r="C10491" s="7" t="n">
        <v>18</v>
      </c>
      <c r="D10491" s="7" t="n">
        <v>45</v>
      </c>
      <c r="E10491" s="7" t="n">
        <v>0</v>
      </c>
      <c r="F10491" s="7" t="n">
        <v>0</v>
      </c>
      <c r="G10491" s="7" t="n">
        <v>1000</v>
      </c>
      <c r="H10491" s="7" t="n">
        <v>0</v>
      </c>
    </row>
    <row r="10492" spans="1:9">
      <c r="A10492" t="s">
        <v>4</v>
      </c>
      <c r="B10492" s="4" t="s">
        <v>5</v>
      </c>
      <c r="C10492" s="4" t="s">
        <v>11</v>
      </c>
    </row>
    <row r="10493" spans="1:9">
      <c r="A10493" t="n">
        <v>97542</v>
      </c>
      <c r="B10493" s="29" t="n">
        <v>16</v>
      </c>
      <c r="C10493" s="7" t="n">
        <v>1000</v>
      </c>
    </row>
    <row r="10494" spans="1:9">
      <c r="A10494" t="s">
        <v>4</v>
      </c>
      <c r="B10494" s="4" t="s">
        <v>5</v>
      </c>
      <c r="C10494" s="4" t="s">
        <v>11</v>
      </c>
      <c r="D10494" s="4" t="s">
        <v>13</v>
      </c>
      <c r="E10494" s="4" t="s">
        <v>13</v>
      </c>
      <c r="F10494" s="4" t="s">
        <v>13</v>
      </c>
      <c r="G10494" s="4" t="s">
        <v>11</v>
      </c>
      <c r="H10494" s="4" t="s">
        <v>11</v>
      </c>
    </row>
    <row r="10495" spans="1:9">
      <c r="A10495" t="n">
        <v>97545</v>
      </c>
      <c r="B10495" s="37" t="n">
        <v>60</v>
      </c>
      <c r="C10495" s="7" t="n">
        <v>18</v>
      </c>
      <c r="D10495" s="7" t="n">
        <v>0</v>
      </c>
      <c r="E10495" s="7" t="n">
        <v>0</v>
      </c>
      <c r="F10495" s="7" t="n">
        <v>0</v>
      </c>
      <c r="G10495" s="7" t="n">
        <v>500</v>
      </c>
      <c r="H10495" s="7" t="n">
        <v>0</v>
      </c>
    </row>
    <row r="10496" spans="1:9">
      <c r="A10496" t="s">
        <v>4</v>
      </c>
      <c r="B10496" s="4" t="s">
        <v>5</v>
      </c>
      <c r="C10496" s="4" t="s">
        <v>11</v>
      </c>
    </row>
    <row r="10497" spans="1:8">
      <c r="A10497" t="n">
        <v>97564</v>
      </c>
      <c r="B10497" s="29" t="n">
        <v>16</v>
      </c>
      <c r="C10497" s="7" t="n">
        <v>1000</v>
      </c>
    </row>
    <row r="10498" spans="1:8">
      <c r="A10498" t="s">
        <v>4</v>
      </c>
      <c r="B10498" s="4" t="s">
        <v>5</v>
      </c>
      <c r="C10498" s="4" t="s">
        <v>7</v>
      </c>
      <c r="D10498" s="4" t="s">
        <v>11</v>
      </c>
    </row>
    <row r="10499" spans="1:8">
      <c r="A10499" t="n">
        <v>97567</v>
      </c>
      <c r="B10499" s="51" t="n">
        <v>45</v>
      </c>
      <c r="C10499" s="7" t="n">
        <v>7</v>
      </c>
      <c r="D10499" s="7" t="n">
        <v>255</v>
      </c>
    </row>
    <row r="10500" spans="1:8">
      <c r="A10500" t="s">
        <v>4</v>
      </c>
      <c r="B10500" s="4" t="s">
        <v>5</v>
      </c>
      <c r="C10500" s="4" t="s">
        <v>7</v>
      </c>
      <c r="D10500" s="4" t="s">
        <v>11</v>
      </c>
      <c r="E10500" s="4" t="s">
        <v>13</v>
      </c>
    </row>
    <row r="10501" spans="1:8">
      <c r="A10501" t="n">
        <v>97571</v>
      </c>
      <c r="B10501" s="23" t="n">
        <v>58</v>
      </c>
      <c r="C10501" s="7" t="n">
        <v>0</v>
      </c>
      <c r="D10501" s="7" t="n">
        <v>1000</v>
      </c>
      <c r="E10501" s="7" t="n">
        <v>1</v>
      </c>
    </row>
    <row r="10502" spans="1:8">
      <c r="A10502" t="s">
        <v>4</v>
      </c>
      <c r="B10502" s="4" t="s">
        <v>5</v>
      </c>
      <c r="C10502" s="4" t="s">
        <v>7</v>
      </c>
      <c r="D10502" s="4" t="s">
        <v>11</v>
      </c>
    </row>
    <row r="10503" spans="1:8">
      <c r="A10503" t="n">
        <v>97579</v>
      </c>
      <c r="B10503" s="23" t="n">
        <v>58</v>
      </c>
      <c r="C10503" s="7" t="n">
        <v>255</v>
      </c>
      <c r="D10503" s="7" t="n">
        <v>0</v>
      </c>
    </row>
    <row r="10504" spans="1:8">
      <c r="A10504" t="s">
        <v>4</v>
      </c>
      <c r="B10504" s="4" t="s">
        <v>5</v>
      </c>
      <c r="C10504" s="4" t="s">
        <v>11</v>
      </c>
      <c r="D10504" s="4" t="s">
        <v>11</v>
      </c>
      <c r="E10504" s="4" t="s">
        <v>11</v>
      </c>
    </row>
    <row r="10505" spans="1:8">
      <c r="A10505" t="n">
        <v>97583</v>
      </c>
      <c r="B10505" s="72" t="n">
        <v>61</v>
      </c>
      <c r="C10505" s="7" t="n">
        <v>0</v>
      </c>
      <c r="D10505" s="7" t="n">
        <v>65533</v>
      </c>
      <c r="E10505" s="7" t="n">
        <v>1000</v>
      </c>
    </row>
    <row r="10506" spans="1:8">
      <c r="A10506" t="s">
        <v>4</v>
      </c>
      <c r="B10506" s="4" t="s">
        <v>5</v>
      </c>
      <c r="C10506" s="4" t="s">
        <v>11</v>
      </c>
      <c r="D10506" s="4" t="s">
        <v>11</v>
      </c>
      <c r="E10506" s="4" t="s">
        <v>11</v>
      </c>
    </row>
    <row r="10507" spans="1:8">
      <c r="A10507" t="n">
        <v>97590</v>
      </c>
      <c r="B10507" s="72" t="n">
        <v>61</v>
      </c>
      <c r="C10507" s="7" t="n">
        <v>18</v>
      </c>
      <c r="D10507" s="7" t="n">
        <v>65533</v>
      </c>
      <c r="E10507" s="7" t="n">
        <v>1000</v>
      </c>
    </row>
    <row r="10508" spans="1:8">
      <c r="A10508" t="s">
        <v>4</v>
      </c>
      <c r="B10508" s="4" t="s">
        <v>5</v>
      </c>
      <c r="C10508" s="4" t="s">
        <v>11</v>
      </c>
      <c r="D10508" s="4" t="s">
        <v>13</v>
      </c>
      <c r="E10508" s="4" t="s">
        <v>13</v>
      </c>
      <c r="F10508" s="4" t="s">
        <v>13</v>
      </c>
      <c r="G10508" s="4" t="s">
        <v>13</v>
      </c>
    </row>
    <row r="10509" spans="1:8">
      <c r="A10509" t="n">
        <v>97597</v>
      </c>
      <c r="B10509" s="36" t="n">
        <v>46</v>
      </c>
      <c r="C10509" s="7" t="n">
        <v>0</v>
      </c>
      <c r="D10509" s="7" t="n">
        <v>-2.66000008583069</v>
      </c>
      <c r="E10509" s="7" t="n">
        <v>5.01000022888184</v>
      </c>
      <c r="F10509" s="7" t="n">
        <v>32.189998626709</v>
      </c>
      <c r="G10509" s="7" t="n">
        <v>90</v>
      </c>
    </row>
    <row r="10510" spans="1:8">
      <c r="A10510" t="s">
        <v>4</v>
      </c>
      <c r="B10510" s="4" t="s">
        <v>5</v>
      </c>
      <c r="C10510" s="4" t="s">
        <v>11</v>
      </c>
      <c r="D10510" s="4" t="s">
        <v>13</v>
      </c>
      <c r="E10510" s="4" t="s">
        <v>13</v>
      </c>
      <c r="F10510" s="4" t="s">
        <v>13</v>
      </c>
      <c r="G10510" s="4" t="s">
        <v>13</v>
      </c>
    </row>
    <row r="10511" spans="1:8">
      <c r="A10511" t="n">
        <v>97616</v>
      </c>
      <c r="B10511" s="36" t="n">
        <v>46</v>
      </c>
      <c r="C10511" s="7" t="n">
        <v>18</v>
      </c>
      <c r="D10511" s="7" t="n">
        <v>-3.16000008583069</v>
      </c>
      <c r="E10511" s="7" t="n">
        <v>5.01000022888184</v>
      </c>
      <c r="F10511" s="7" t="n">
        <v>31.7900009155273</v>
      </c>
      <c r="G10511" s="7" t="n">
        <v>90</v>
      </c>
    </row>
    <row r="10512" spans="1:8">
      <c r="A10512" t="s">
        <v>4</v>
      </c>
      <c r="B10512" s="4" t="s">
        <v>5</v>
      </c>
      <c r="C10512" s="4" t="s">
        <v>7</v>
      </c>
      <c r="D10512" s="4" t="s">
        <v>7</v>
      </c>
      <c r="E10512" s="4" t="s">
        <v>13</v>
      </c>
      <c r="F10512" s="4" t="s">
        <v>13</v>
      </c>
      <c r="G10512" s="4" t="s">
        <v>13</v>
      </c>
      <c r="H10512" s="4" t="s">
        <v>11</v>
      </c>
    </row>
    <row r="10513" spans="1:8">
      <c r="A10513" t="n">
        <v>97635</v>
      </c>
      <c r="B10513" s="51" t="n">
        <v>45</v>
      </c>
      <c r="C10513" s="7" t="n">
        <v>2</v>
      </c>
      <c r="D10513" s="7" t="n">
        <v>3</v>
      </c>
      <c r="E10513" s="7" t="n">
        <v>6.82000017166138</v>
      </c>
      <c r="F10513" s="7" t="n">
        <v>6.17999982833862</v>
      </c>
      <c r="G10513" s="7" t="n">
        <v>32.2799987792969</v>
      </c>
      <c r="H10513" s="7" t="n">
        <v>0</v>
      </c>
    </row>
    <row r="10514" spans="1:8">
      <c r="A10514" t="s">
        <v>4</v>
      </c>
      <c r="B10514" s="4" t="s">
        <v>5</v>
      </c>
      <c r="C10514" s="4" t="s">
        <v>7</v>
      </c>
      <c r="D10514" s="4" t="s">
        <v>7</v>
      </c>
      <c r="E10514" s="4" t="s">
        <v>13</v>
      </c>
      <c r="F10514" s="4" t="s">
        <v>13</v>
      </c>
      <c r="G10514" s="4" t="s">
        <v>13</v>
      </c>
      <c r="H10514" s="4" t="s">
        <v>11</v>
      </c>
      <c r="I10514" s="4" t="s">
        <v>7</v>
      </c>
    </row>
    <row r="10515" spans="1:8">
      <c r="A10515" t="n">
        <v>97652</v>
      </c>
      <c r="B10515" s="51" t="n">
        <v>45</v>
      </c>
      <c r="C10515" s="7" t="n">
        <v>4</v>
      </c>
      <c r="D10515" s="7" t="n">
        <v>3</v>
      </c>
      <c r="E10515" s="7" t="n">
        <v>358.239990234375</v>
      </c>
      <c r="F10515" s="7" t="n">
        <v>344.200012207031</v>
      </c>
      <c r="G10515" s="7" t="n">
        <v>0</v>
      </c>
      <c r="H10515" s="7" t="n">
        <v>0</v>
      </c>
      <c r="I10515" s="7" t="n">
        <v>0</v>
      </c>
    </row>
    <row r="10516" spans="1:8">
      <c r="A10516" t="s">
        <v>4</v>
      </c>
      <c r="B10516" s="4" t="s">
        <v>5</v>
      </c>
      <c r="C10516" s="4" t="s">
        <v>7</v>
      </c>
      <c r="D10516" s="4" t="s">
        <v>7</v>
      </c>
      <c r="E10516" s="4" t="s">
        <v>13</v>
      </c>
      <c r="F10516" s="4" t="s">
        <v>11</v>
      </c>
    </row>
    <row r="10517" spans="1:8">
      <c r="A10517" t="n">
        <v>97670</v>
      </c>
      <c r="B10517" s="51" t="n">
        <v>45</v>
      </c>
      <c r="C10517" s="7" t="n">
        <v>5</v>
      </c>
      <c r="D10517" s="7" t="n">
        <v>3</v>
      </c>
      <c r="E10517" s="7" t="n">
        <v>3.40000009536743</v>
      </c>
      <c r="F10517" s="7" t="n">
        <v>0</v>
      </c>
    </row>
    <row r="10518" spans="1:8">
      <c r="A10518" t="s">
        <v>4</v>
      </c>
      <c r="B10518" s="4" t="s">
        <v>5</v>
      </c>
      <c r="C10518" s="4" t="s">
        <v>7</v>
      </c>
      <c r="D10518" s="4" t="s">
        <v>7</v>
      </c>
      <c r="E10518" s="4" t="s">
        <v>13</v>
      </c>
      <c r="F10518" s="4" t="s">
        <v>11</v>
      </c>
    </row>
    <row r="10519" spans="1:8">
      <c r="A10519" t="n">
        <v>97679</v>
      </c>
      <c r="B10519" s="51" t="n">
        <v>45</v>
      </c>
      <c r="C10519" s="7" t="n">
        <v>11</v>
      </c>
      <c r="D10519" s="7" t="n">
        <v>3</v>
      </c>
      <c r="E10519" s="7" t="n">
        <v>40.2999992370605</v>
      </c>
      <c r="F10519" s="7" t="n">
        <v>0</v>
      </c>
    </row>
    <row r="10520" spans="1:8">
      <c r="A10520" t="s">
        <v>4</v>
      </c>
      <c r="B10520" s="4" t="s">
        <v>5</v>
      </c>
      <c r="C10520" s="4" t="s">
        <v>7</v>
      </c>
      <c r="D10520" s="4" t="s">
        <v>7</v>
      </c>
      <c r="E10520" s="4" t="s">
        <v>13</v>
      </c>
      <c r="F10520" s="4" t="s">
        <v>13</v>
      </c>
      <c r="G10520" s="4" t="s">
        <v>13</v>
      </c>
      <c r="H10520" s="4" t="s">
        <v>11</v>
      </c>
    </row>
    <row r="10521" spans="1:8">
      <c r="A10521" t="n">
        <v>97688</v>
      </c>
      <c r="B10521" s="51" t="n">
        <v>45</v>
      </c>
      <c r="C10521" s="7" t="n">
        <v>2</v>
      </c>
      <c r="D10521" s="7" t="n">
        <v>3</v>
      </c>
      <c r="E10521" s="7" t="n">
        <v>-2.55999994277954</v>
      </c>
      <c r="F10521" s="7" t="n">
        <v>6.17999982833862</v>
      </c>
      <c r="G10521" s="7" t="n">
        <v>32.1800003051758</v>
      </c>
      <c r="H10521" s="7" t="n">
        <v>6000</v>
      </c>
    </row>
    <row r="10522" spans="1:8">
      <c r="A10522" t="s">
        <v>4</v>
      </c>
      <c r="B10522" s="4" t="s">
        <v>5</v>
      </c>
      <c r="C10522" s="4" t="s">
        <v>7</v>
      </c>
      <c r="D10522" s="4" t="s">
        <v>7</v>
      </c>
      <c r="E10522" s="4" t="s">
        <v>13</v>
      </c>
      <c r="F10522" s="4" t="s">
        <v>13</v>
      </c>
      <c r="G10522" s="4" t="s">
        <v>13</v>
      </c>
      <c r="H10522" s="4" t="s">
        <v>11</v>
      </c>
      <c r="I10522" s="4" t="s">
        <v>7</v>
      </c>
    </row>
    <row r="10523" spans="1:8">
      <c r="A10523" t="n">
        <v>97705</v>
      </c>
      <c r="B10523" s="51" t="n">
        <v>45</v>
      </c>
      <c r="C10523" s="7" t="n">
        <v>4</v>
      </c>
      <c r="D10523" s="7" t="n">
        <v>3</v>
      </c>
      <c r="E10523" s="7" t="n">
        <v>12.2700004577637</v>
      </c>
      <c r="F10523" s="7" t="n">
        <v>75.7099990844727</v>
      </c>
      <c r="G10523" s="7" t="n">
        <v>0</v>
      </c>
      <c r="H10523" s="7" t="n">
        <v>6000</v>
      </c>
      <c r="I10523" s="7" t="n">
        <v>1</v>
      </c>
    </row>
    <row r="10524" spans="1:8">
      <c r="A10524" t="s">
        <v>4</v>
      </c>
      <c r="B10524" s="4" t="s">
        <v>5</v>
      </c>
      <c r="C10524" s="4" t="s">
        <v>7</v>
      </c>
      <c r="D10524" s="4" t="s">
        <v>7</v>
      </c>
      <c r="E10524" s="4" t="s">
        <v>13</v>
      </c>
      <c r="F10524" s="4" t="s">
        <v>11</v>
      </c>
    </row>
    <row r="10525" spans="1:8">
      <c r="A10525" t="n">
        <v>97723</v>
      </c>
      <c r="B10525" s="51" t="n">
        <v>45</v>
      </c>
      <c r="C10525" s="7" t="n">
        <v>5</v>
      </c>
      <c r="D10525" s="7" t="n">
        <v>3</v>
      </c>
      <c r="E10525" s="7" t="n">
        <v>2.70000004768372</v>
      </c>
      <c r="F10525" s="7" t="n">
        <v>6000</v>
      </c>
    </row>
    <row r="10526" spans="1:8">
      <c r="A10526" t="s">
        <v>4</v>
      </c>
      <c r="B10526" s="4" t="s">
        <v>5</v>
      </c>
      <c r="C10526" s="4" t="s">
        <v>7</v>
      </c>
      <c r="D10526" s="4" t="s">
        <v>11</v>
      </c>
      <c r="E10526" s="4" t="s">
        <v>13</v>
      </c>
    </row>
    <row r="10527" spans="1:8">
      <c r="A10527" t="n">
        <v>97732</v>
      </c>
      <c r="B10527" s="23" t="n">
        <v>58</v>
      </c>
      <c r="C10527" s="7" t="n">
        <v>100</v>
      </c>
      <c r="D10527" s="7" t="n">
        <v>1000</v>
      </c>
      <c r="E10527" s="7" t="n">
        <v>1</v>
      </c>
    </row>
    <row r="10528" spans="1:8">
      <c r="A10528" t="s">
        <v>4</v>
      </c>
      <c r="B10528" s="4" t="s">
        <v>5</v>
      </c>
      <c r="C10528" s="4" t="s">
        <v>7</v>
      </c>
      <c r="D10528" s="4" t="s">
        <v>11</v>
      </c>
    </row>
    <row r="10529" spans="1:9">
      <c r="A10529" t="n">
        <v>97740</v>
      </c>
      <c r="B10529" s="23" t="n">
        <v>58</v>
      </c>
      <c r="C10529" s="7" t="n">
        <v>255</v>
      </c>
      <c r="D10529" s="7" t="n">
        <v>0</v>
      </c>
    </row>
    <row r="10530" spans="1:9">
      <c r="A10530" t="s">
        <v>4</v>
      </c>
      <c r="B10530" s="4" t="s">
        <v>5</v>
      </c>
      <c r="C10530" s="4" t="s">
        <v>8</v>
      </c>
      <c r="D10530" s="4" t="s">
        <v>8</v>
      </c>
    </row>
    <row r="10531" spans="1:9">
      <c r="A10531" t="n">
        <v>97744</v>
      </c>
      <c r="B10531" s="52" t="n">
        <v>70</v>
      </c>
      <c r="C10531" s="7" t="s">
        <v>24</v>
      </c>
      <c r="D10531" s="7" t="s">
        <v>109</v>
      </c>
    </row>
    <row r="10532" spans="1:9">
      <c r="A10532" t="s">
        <v>4</v>
      </c>
      <c r="B10532" s="4" t="s">
        <v>5</v>
      </c>
      <c r="C10532" s="4" t="s">
        <v>11</v>
      </c>
    </row>
    <row r="10533" spans="1:9">
      <c r="A10533" t="n">
        <v>97761</v>
      </c>
      <c r="B10533" s="29" t="n">
        <v>16</v>
      </c>
      <c r="C10533" s="7" t="n">
        <v>4000</v>
      </c>
    </row>
    <row r="10534" spans="1:9">
      <c r="A10534" t="s">
        <v>4</v>
      </c>
      <c r="B10534" s="4" t="s">
        <v>5</v>
      </c>
      <c r="C10534" s="4" t="s">
        <v>11</v>
      </c>
      <c r="D10534" s="4" t="s">
        <v>7</v>
      </c>
      <c r="E10534" s="4" t="s">
        <v>13</v>
      </c>
      <c r="F10534" s="4" t="s">
        <v>11</v>
      </c>
    </row>
    <row r="10535" spans="1:9">
      <c r="A10535" t="n">
        <v>97764</v>
      </c>
      <c r="B10535" s="56" t="n">
        <v>59</v>
      </c>
      <c r="C10535" s="7" t="n">
        <v>0</v>
      </c>
      <c r="D10535" s="7" t="n">
        <v>9</v>
      </c>
      <c r="E10535" s="7" t="n">
        <v>0.150000005960464</v>
      </c>
      <c r="F10535" s="7" t="n">
        <v>0</v>
      </c>
    </row>
    <row r="10536" spans="1:9">
      <c r="A10536" t="s">
        <v>4</v>
      </c>
      <c r="B10536" s="4" t="s">
        <v>5</v>
      </c>
      <c r="C10536" s="4" t="s">
        <v>11</v>
      </c>
    </row>
    <row r="10537" spans="1:9">
      <c r="A10537" t="n">
        <v>97774</v>
      </c>
      <c r="B10537" s="29" t="n">
        <v>16</v>
      </c>
      <c r="C10537" s="7" t="n">
        <v>1800</v>
      </c>
    </row>
    <row r="10538" spans="1:9">
      <c r="A10538" t="s">
        <v>4</v>
      </c>
      <c r="B10538" s="4" t="s">
        <v>5</v>
      </c>
      <c r="C10538" s="4" t="s">
        <v>7</v>
      </c>
      <c r="D10538" s="4" t="s">
        <v>11</v>
      </c>
    </row>
    <row r="10539" spans="1:9">
      <c r="A10539" t="n">
        <v>97777</v>
      </c>
      <c r="B10539" s="51" t="n">
        <v>45</v>
      </c>
      <c r="C10539" s="7" t="n">
        <v>7</v>
      </c>
      <c r="D10539" s="7" t="n">
        <v>255</v>
      </c>
    </row>
    <row r="10540" spans="1:9">
      <c r="A10540" t="s">
        <v>4</v>
      </c>
      <c r="B10540" s="4" t="s">
        <v>5</v>
      </c>
      <c r="C10540" s="4" t="s">
        <v>7</v>
      </c>
      <c r="D10540" s="4" t="s">
        <v>11</v>
      </c>
      <c r="E10540" s="4" t="s">
        <v>13</v>
      </c>
    </row>
    <row r="10541" spans="1:9">
      <c r="A10541" t="n">
        <v>97781</v>
      </c>
      <c r="B10541" s="23" t="n">
        <v>58</v>
      </c>
      <c r="C10541" s="7" t="n">
        <v>0</v>
      </c>
      <c r="D10541" s="7" t="n">
        <v>1000</v>
      </c>
      <c r="E10541" s="7" t="n">
        <v>1</v>
      </c>
    </row>
    <row r="10542" spans="1:9">
      <c r="A10542" t="s">
        <v>4</v>
      </c>
      <c r="B10542" s="4" t="s">
        <v>5</v>
      </c>
      <c r="C10542" s="4" t="s">
        <v>7</v>
      </c>
      <c r="D10542" s="4" t="s">
        <v>11</v>
      </c>
    </row>
    <row r="10543" spans="1:9">
      <c r="A10543" t="n">
        <v>97789</v>
      </c>
      <c r="B10543" s="23" t="n">
        <v>58</v>
      </c>
      <c r="C10543" s="7" t="n">
        <v>255</v>
      </c>
      <c r="D10543" s="7" t="n">
        <v>0</v>
      </c>
    </row>
    <row r="10544" spans="1:9">
      <c r="A10544" t="s">
        <v>4</v>
      </c>
      <c r="B10544" s="4" t="s">
        <v>5</v>
      </c>
      <c r="C10544" s="4" t="s">
        <v>8</v>
      </c>
      <c r="D10544" s="4" t="s">
        <v>8</v>
      </c>
    </row>
    <row r="10545" spans="1:6">
      <c r="A10545" t="n">
        <v>97793</v>
      </c>
      <c r="B10545" s="52" t="n">
        <v>70</v>
      </c>
      <c r="C10545" s="7" t="s">
        <v>24</v>
      </c>
      <c r="D10545" s="7" t="s">
        <v>118</v>
      </c>
    </row>
    <row r="10546" spans="1:6">
      <c r="A10546" t="s">
        <v>4</v>
      </c>
      <c r="B10546" s="4" t="s">
        <v>5</v>
      </c>
      <c r="C10546" s="4" t="s">
        <v>11</v>
      </c>
      <c r="D10546" s="4" t="s">
        <v>13</v>
      </c>
      <c r="E10546" s="4" t="s">
        <v>13</v>
      </c>
      <c r="F10546" s="4" t="s">
        <v>13</v>
      </c>
      <c r="G10546" s="4" t="s">
        <v>13</v>
      </c>
    </row>
    <row r="10547" spans="1:6">
      <c r="A10547" t="n">
        <v>97809</v>
      </c>
      <c r="B10547" s="36" t="n">
        <v>46</v>
      </c>
      <c r="C10547" s="7" t="n">
        <v>0</v>
      </c>
      <c r="D10547" s="7" t="n">
        <v>-10.9899997711182</v>
      </c>
      <c r="E10547" s="7" t="n">
        <v>5.01000022888184</v>
      </c>
      <c r="F10547" s="7" t="n">
        <v>32.4300003051758</v>
      </c>
      <c r="G10547" s="7" t="n">
        <v>270</v>
      </c>
    </row>
    <row r="10548" spans="1:6">
      <c r="A10548" t="s">
        <v>4</v>
      </c>
      <c r="B10548" s="4" t="s">
        <v>5</v>
      </c>
      <c r="C10548" s="4" t="s">
        <v>11</v>
      </c>
      <c r="D10548" s="4" t="s">
        <v>13</v>
      </c>
      <c r="E10548" s="4" t="s">
        <v>13</v>
      </c>
      <c r="F10548" s="4" t="s">
        <v>13</v>
      </c>
      <c r="G10548" s="4" t="s">
        <v>13</v>
      </c>
    </row>
    <row r="10549" spans="1:6">
      <c r="A10549" t="n">
        <v>97828</v>
      </c>
      <c r="B10549" s="36" t="n">
        <v>46</v>
      </c>
      <c r="C10549" s="7" t="n">
        <v>18</v>
      </c>
      <c r="D10549" s="7" t="n">
        <v>-10.5500001907349</v>
      </c>
      <c r="E10549" s="7" t="n">
        <v>5.01000022888184</v>
      </c>
      <c r="F10549" s="7" t="n">
        <v>31.5499992370605</v>
      </c>
      <c r="G10549" s="7" t="n">
        <v>270</v>
      </c>
    </row>
    <row r="10550" spans="1:6">
      <c r="A10550" t="s">
        <v>4</v>
      </c>
      <c r="B10550" s="4" t="s">
        <v>5</v>
      </c>
      <c r="C10550" s="4" t="s">
        <v>7</v>
      </c>
      <c r="D10550" s="4" t="s">
        <v>7</v>
      </c>
      <c r="E10550" s="4" t="s">
        <v>13</v>
      </c>
      <c r="F10550" s="4" t="s">
        <v>13</v>
      </c>
      <c r="G10550" s="4" t="s">
        <v>13</v>
      </c>
      <c r="H10550" s="4" t="s">
        <v>11</v>
      </c>
    </row>
    <row r="10551" spans="1:6">
      <c r="A10551" t="n">
        <v>97847</v>
      </c>
      <c r="B10551" s="51" t="n">
        <v>45</v>
      </c>
      <c r="C10551" s="7" t="n">
        <v>2</v>
      </c>
      <c r="D10551" s="7" t="n">
        <v>3</v>
      </c>
      <c r="E10551" s="7" t="n">
        <v>-14.1199998855591</v>
      </c>
      <c r="F10551" s="7" t="n">
        <v>6.75</v>
      </c>
      <c r="G10551" s="7" t="n">
        <v>31.9300003051758</v>
      </c>
      <c r="H10551" s="7" t="n">
        <v>0</v>
      </c>
    </row>
    <row r="10552" spans="1:6">
      <c r="A10552" t="s">
        <v>4</v>
      </c>
      <c r="B10552" s="4" t="s">
        <v>5</v>
      </c>
      <c r="C10552" s="4" t="s">
        <v>7</v>
      </c>
      <c r="D10552" s="4" t="s">
        <v>7</v>
      </c>
      <c r="E10552" s="4" t="s">
        <v>13</v>
      </c>
      <c r="F10552" s="4" t="s">
        <v>13</v>
      </c>
      <c r="G10552" s="4" t="s">
        <v>13</v>
      </c>
      <c r="H10552" s="4" t="s">
        <v>11</v>
      </c>
      <c r="I10552" s="4" t="s">
        <v>7</v>
      </c>
    </row>
    <row r="10553" spans="1:6">
      <c r="A10553" t="n">
        <v>97864</v>
      </c>
      <c r="B10553" s="51" t="n">
        <v>45</v>
      </c>
      <c r="C10553" s="7" t="n">
        <v>4</v>
      </c>
      <c r="D10553" s="7" t="n">
        <v>3</v>
      </c>
      <c r="E10553" s="7" t="n">
        <v>7.63000011444092</v>
      </c>
      <c r="F10553" s="7" t="n">
        <v>90</v>
      </c>
      <c r="G10553" s="7" t="n">
        <v>0</v>
      </c>
      <c r="H10553" s="7" t="n">
        <v>0</v>
      </c>
      <c r="I10553" s="7" t="n">
        <v>0</v>
      </c>
    </row>
    <row r="10554" spans="1:6">
      <c r="A10554" t="s">
        <v>4</v>
      </c>
      <c r="B10554" s="4" t="s">
        <v>5</v>
      </c>
      <c r="C10554" s="4" t="s">
        <v>7</v>
      </c>
      <c r="D10554" s="4" t="s">
        <v>7</v>
      </c>
      <c r="E10554" s="4" t="s">
        <v>13</v>
      </c>
      <c r="F10554" s="4" t="s">
        <v>11</v>
      </c>
    </row>
    <row r="10555" spans="1:6">
      <c r="A10555" t="n">
        <v>97882</v>
      </c>
      <c r="B10555" s="51" t="n">
        <v>45</v>
      </c>
      <c r="C10555" s="7" t="n">
        <v>5</v>
      </c>
      <c r="D10555" s="7" t="n">
        <v>3</v>
      </c>
      <c r="E10555" s="7" t="n">
        <v>2.09999990463257</v>
      </c>
      <c r="F10555" s="7" t="n">
        <v>0</v>
      </c>
    </row>
    <row r="10556" spans="1:6">
      <c r="A10556" t="s">
        <v>4</v>
      </c>
      <c r="B10556" s="4" t="s">
        <v>5</v>
      </c>
      <c r="C10556" s="4" t="s">
        <v>7</v>
      </c>
      <c r="D10556" s="4" t="s">
        <v>7</v>
      </c>
      <c r="E10556" s="4" t="s">
        <v>13</v>
      </c>
      <c r="F10556" s="4" t="s">
        <v>11</v>
      </c>
    </row>
    <row r="10557" spans="1:6">
      <c r="A10557" t="n">
        <v>97891</v>
      </c>
      <c r="B10557" s="51" t="n">
        <v>45</v>
      </c>
      <c r="C10557" s="7" t="n">
        <v>11</v>
      </c>
      <c r="D10557" s="7" t="n">
        <v>3</v>
      </c>
      <c r="E10557" s="7" t="n">
        <v>40.2999992370605</v>
      </c>
      <c r="F10557" s="7" t="n">
        <v>0</v>
      </c>
    </row>
    <row r="10558" spans="1:6">
      <c r="A10558" t="s">
        <v>4</v>
      </c>
      <c r="B10558" s="4" t="s">
        <v>5</v>
      </c>
      <c r="C10558" s="4" t="s">
        <v>7</v>
      </c>
      <c r="D10558" s="4" t="s">
        <v>7</v>
      </c>
      <c r="E10558" s="4" t="s">
        <v>13</v>
      </c>
      <c r="F10558" s="4" t="s">
        <v>13</v>
      </c>
      <c r="G10558" s="4" t="s">
        <v>13</v>
      </c>
      <c r="H10558" s="4" t="s">
        <v>11</v>
      </c>
    </row>
    <row r="10559" spans="1:6">
      <c r="A10559" t="n">
        <v>97900</v>
      </c>
      <c r="B10559" s="51" t="n">
        <v>45</v>
      </c>
      <c r="C10559" s="7" t="n">
        <v>2</v>
      </c>
      <c r="D10559" s="7" t="n">
        <v>3</v>
      </c>
      <c r="E10559" s="7" t="n">
        <v>-9.10000038146973</v>
      </c>
      <c r="F10559" s="7" t="n">
        <v>6.75</v>
      </c>
      <c r="G10559" s="7" t="n">
        <v>31.9699993133545</v>
      </c>
      <c r="H10559" s="7" t="n">
        <v>6000</v>
      </c>
    </row>
    <row r="10560" spans="1:6">
      <c r="A10560" t="s">
        <v>4</v>
      </c>
      <c r="B10560" s="4" t="s">
        <v>5</v>
      </c>
      <c r="C10560" s="4" t="s">
        <v>7</v>
      </c>
      <c r="D10560" s="4" t="s">
        <v>7</v>
      </c>
      <c r="E10560" s="4" t="s">
        <v>13</v>
      </c>
      <c r="F10560" s="4" t="s">
        <v>13</v>
      </c>
      <c r="G10560" s="4" t="s">
        <v>13</v>
      </c>
      <c r="H10560" s="4" t="s">
        <v>11</v>
      </c>
      <c r="I10560" s="4" t="s">
        <v>7</v>
      </c>
    </row>
    <row r="10561" spans="1:9">
      <c r="A10561" t="n">
        <v>97917</v>
      </c>
      <c r="B10561" s="51" t="n">
        <v>45</v>
      </c>
      <c r="C10561" s="7" t="n">
        <v>4</v>
      </c>
      <c r="D10561" s="7" t="n">
        <v>3</v>
      </c>
      <c r="E10561" s="7" t="n">
        <v>0.0299999993294477</v>
      </c>
      <c r="F10561" s="7" t="n">
        <v>90</v>
      </c>
      <c r="G10561" s="7" t="n">
        <v>0</v>
      </c>
      <c r="H10561" s="7" t="n">
        <v>6000</v>
      </c>
      <c r="I10561" s="7" t="n">
        <v>0</v>
      </c>
    </row>
    <row r="10562" spans="1:9">
      <c r="A10562" t="s">
        <v>4</v>
      </c>
      <c r="B10562" s="4" t="s">
        <v>5</v>
      </c>
      <c r="C10562" s="4" t="s">
        <v>7</v>
      </c>
      <c r="D10562" s="4" t="s">
        <v>7</v>
      </c>
      <c r="E10562" s="4" t="s">
        <v>13</v>
      </c>
      <c r="F10562" s="4" t="s">
        <v>11</v>
      </c>
    </row>
    <row r="10563" spans="1:9">
      <c r="A10563" t="n">
        <v>97935</v>
      </c>
      <c r="B10563" s="51" t="n">
        <v>45</v>
      </c>
      <c r="C10563" s="7" t="n">
        <v>5</v>
      </c>
      <c r="D10563" s="7" t="n">
        <v>3</v>
      </c>
      <c r="E10563" s="7" t="n">
        <v>1.79999995231628</v>
      </c>
      <c r="F10563" s="7" t="n">
        <v>6000</v>
      </c>
    </row>
    <row r="10564" spans="1:9">
      <c r="A10564" t="s">
        <v>4</v>
      </c>
      <c r="B10564" s="4" t="s">
        <v>5</v>
      </c>
      <c r="C10564" s="4" t="s">
        <v>8</v>
      </c>
      <c r="D10564" s="4" t="s">
        <v>8</v>
      </c>
    </row>
    <row r="10565" spans="1:9">
      <c r="A10565" t="n">
        <v>97944</v>
      </c>
      <c r="B10565" s="52" t="n">
        <v>70</v>
      </c>
      <c r="C10565" s="7" t="s">
        <v>25</v>
      </c>
      <c r="D10565" s="7" t="s">
        <v>109</v>
      </c>
    </row>
    <row r="10566" spans="1:9">
      <c r="A10566" t="s">
        <v>4</v>
      </c>
      <c r="B10566" s="4" t="s">
        <v>5</v>
      </c>
      <c r="C10566" s="4" t="s">
        <v>7</v>
      </c>
      <c r="D10566" s="4" t="s">
        <v>11</v>
      </c>
      <c r="E10566" s="4" t="s">
        <v>13</v>
      </c>
    </row>
    <row r="10567" spans="1:9">
      <c r="A10567" t="n">
        <v>97961</v>
      </c>
      <c r="B10567" s="23" t="n">
        <v>58</v>
      </c>
      <c r="C10567" s="7" t="n">
        <v>100</v>
      </c>
      <c r="D10567" s="7" t="n">
        <v>1000</v>
      </c>
      <c r="E10567" s="7" t="n">
        <v>1</v>
      </c>
    </row>
    <row r="10568" spans="1:9">
      <c r="A10568" t="s">
        <v>4</v>
      </c>
      <c r="B10568" s="4" t="s">
        <v>5</v>
      </c>
      <c r="C10568" s="4" t="s">
        <v>7</v>
      </c>
      <c r="D10568" s="4" t="s">
        <v>11</v>
      </c>
    </row>
    <row r="10569" spans="1:9">
      <c r="A10569" t="n">
        <v>97969</v>
      </c>
      <c r="B10569" s="23" t="n">
        <v>58</v>
      </c>
      <c r="C10569" s="7" t="n">
        <v>255</v>
      </c>
      <c r="D10569" s="7" t="n">
        <v>0</v>
      </c>
    </row>
    <row r="10570" spans="1:9">
      <c r="A10570" t="s">
        <v>4</v>
      </c>
      <c r="B10570" s="4" t="s">
        <v>5</v>
      </c>
      <c r="C10570" s="4" t="s">
        <v>7</v>
      </c>
      <c r="D10570" s="4" t="s">
        <v>8</v>
      </c>
      <c r="E10570" s="4" t="s">
        <v>11</v>
      </c>
    </row>
    <row r="10571" spans="1:9">
      <c r="A10571" t="n">
        <v>97973</v>
      </c>
      <c r="B10571" s="15" t="n">
        <v>94</v>
      </c>
      <c r="C10571" s="7" t="n">
        <v>1</v>
      </c>
      <c r="D10571" s="7" t="s">
        <v>25</v>
      </c>
      <c r="E10571" s="7" t="n">
        <v>512</v>
      </c>
    </row>
    <row r="10572" spans="1:9">
      <c r="A10572" t="s">
        <v>4</v>
      </c>
      <c r="B10572" s="4" t="s">
        <v>5</v>
      </c>
      <c r="C10572" s="4" t="s">
        <v>11</v>
      </c>
    </row>
    <row r="10573" spans="1:9">
      <c r="A10573" t="n">
        <v>97987</v>
      </c>
      <c r="B10573" s="29" t="n">
        <v>16</v>
      </c>
      <c r="C10573" s="7" t="n">
        <v>4000</v>
      </c>
    </row>
    <row r="10574" spans="1:9">
      <c r="A10574" t="s">
        <v>4</v>
      </c>
      <c r="B10574" s="4" t="s">
        <v>5</v>
      </c>
      <c r="C10574" s="4" t="s">
        <v>11</v>
      </c>
      <c r="D10574" s="4" t="s">
        <v>7</v>
      </c>
      <c r="E10574" s="4" t="s">
        <v>13</v>
      </c>
      <c r="F10574" s="4" t="s">
        <v>11</v>
      </c>
    </row>
    <row r="10575" spans="1:9">
      <c r="A10575" t="n">
        <v>97990</v>
      </c>
      <c r="B10575" s="56" t="n">
        <v>59</v>
      </c>
      <c r="C10575" s="7" t="n">
        <v>0</v>
      </c>
      <c r="D10575" s="7" t="n">
        <v>9</v>
      </c>
      <c r="E10575" s="7" t="n">
        <v>0.150000005960464</v>
      </c>
      <c r="F10575" s="7" t="n">
        <v>0</v>
      </c>
    </row>
    <row r="10576" spans="1:9">
      <c r="A10576" t="s">
        <v>4</v>
      </c>
      <c r="B10576" s="4" t="s">
        <v>5</v>
      </c>
      <c r="C10576" s="4" t="s">
        <v>11</v>
      </c>
      <c r="D10576" s="4" t="s">
        <v>7</v>
      </c>
      <c r="E10576" s="4" t="s">
        <v>13</v>
      </c>
      <c r="F10576" s="4" t="s">
        <v>11</v>
      </c>
    </row>
    <row r="10577" spans="1:9">
      <c r="A10577" t="n">
        <v>98000</v>
      </c>
      <c r="B10577" s="56" t="n">
        <v>59</v>
      </c>
      <c r="C10577" s="7" t="n">
        <v>18</v>
      </c>
      <c r="D10577" s="7" t="n">
        <v>9</v>
      </c>
      <c r="E10577" s="7" t="n">
        <v>0.150000005960464</v>
      </c>
      <c r="F10577" s="7" t="n">
        <v>0</v>
      </c>
    </row>
    <row r="10578" spans="1:9">
      <c r="A10578" t="s">
        <v>4</v>
      </c>
      <c r="B10578" s="4" t="s">
        <v>5</v>
      </c>
      <c r="C10578" s="4" t="s">
        <v>11</v>
      </c>
    </row>
    <row r="10579" spans="1:9">
      <c r="A10579" t="n">
        <v>98010</v>
      </c>
      <c r="B10579" s="29" t="n">
        <v>16</v>
      </c>
      <c r="C10579" s="7" t="n">
        <v>1500</v>
      </c>
    </row>
    <row r="10580" spans="1:9">
      <c r="A10580" t="s">
        <v>4</v>
      </c>
      <c r="B10580" s="4" t="s">
        <v>5</v>
      </c>
      <c r="C10580" s="4" t="s">
        <v>7</v>
      </c>
      <c r="D10580" s="4" t="s">
        <v>11</v>
      </c>
    </row>
    <row r="10581" spans="1:9">
      <c r="A10581" t="n">
        <v>98013</v>
      </c>
      <c r="B10581" s="51" t="n">
        <v>45</v>
      </c>
      <c r="C10581" s="7" t="n">
        <v>7</v>
      </c>
      <c r="D10581" s="7" t="n">
        <v>255</v>
      </c>
    </row>
    <row r="10582" spans="1:9">
      <c r="A10582" t="s">
        <v>4</v>
      </c>
      <c r="B10582" s="4" t="s">
        <v>5</v>
      </c>
      <c r="C10582" s="4" t="s">
        <v>7</v>
      </c>
      <c r="D10582" s="4" t="s">
        <v>11</v>
      </c>
      <c r="E10582" s="4" t="s">
        <v>13</v>
      </c>
    </row>
    <row r="10583" spans="1:9">
      <c r="A10583" t="n">
        <v>98017</v>
      </c>
      <c r="B10583" s="23" t="n">
        <v>58</v>
      </c>
      <c r="C10583" s="7" t="n">
        <v>0</v>
      </c>
      <c r="D10583" s="7" t="n">
        <v>2000</v>
      </c>
      <c r="E10583" s="7" t="n">
        <v>1</v>
      </c>
    </row>
    <row r="10584" spans="1:9">
      <c r="A10584" t="s">
        <v>4</v>
      </c>
      <c r="B10584" s="4" t="s">
        <v>5</v>
      </c>
      <c r="C10584" s="4" t="s">
        <v>7</v>
      </c>
      <c r="D10584" s="4" t="s">
        <v>11</v>
      </c>
    </row>
    <row r="10585" spans="1:9">
      <c r="A10585" t="n">
        <v>98025</v>
      </c>
      <c r="B10585" s="23" t="n">
        <v>58</v>
      </c>
      <c r="C10585" s="7" t="n">
        <v>255</v>
      </c>
      <c r="D10585" s="7" t="n">
        <v>0</v>
      </c>
    </row>
    <row r="10586" spans="1:9">
      <c r="A10586" t="s">
        <v>4</v>
      </c>
      <c r="B10586" s="4" t="s">
        <v>5</v>
      </c>
      <c r="C10586" s="4" t="s">
        <v>11</v>
      </c>
      <c r="D10586" s="4" t="s">
        <v>11</v>
      </c>
      <c r="E10586" s="4" t="s">
        <v>11</v>
      </c>
    </row>
    <row r="10587" spans="1:9">
      <c r="A10587" t="n">
        <v>98029</v>
      </c>
      <c r="B10587" s="72" t="n">
        <v>61</v>
      </c>
      <c r="C10587" s="7" t="n">
        <v>18</v>
      </c>
      <c r="D10587" s="7" t="n">
        <v>0</v>
      </c>
      <c r="E10587" s="7" t="n">
        <v>0</v>
      </c>
    </row>
    <row r="10588" spans="1:9">
      <c r="A10588" t="s">
        <v>4</v>
      </c>
      <c r="B10588" s="4" t="s">
        <v>5</v>
      </c>
      <c r="C10588" s="4" t="s">
        <v>11</v>
      </c>
      <c r="D10588" s="4" t="s">
        <v>11</v>
      </c>
      <c r="E10588" s="4" t="s">
        <v>11</v>
      </c>
    </row>
    <row r="10589" spans="1:9">
      <c r="A10589" t="n">
        <v>98036</v>
      </c>
      <c r="B10589" s="72" t="n">
        <v>61</v>
      </c>
      <c r="C10589" s="7" t="n">
        <v>0</v>
      </c>
      <c r="D10589" s="7" t="n">
        <v>18</v>
      </c>
      <c r="E10589" s="7" t="n">
        <v>0</v>
      </c>
    </row>
    <row r="10590" spans="1:9">
      <c r="A10590" t="s">
        <v>4</v>
      </c>
      <c r="B10590" s="4" t="s">
        <v>5</v>
      </c>
      <c r="C10590" s="4" t="s">
        <v>7</v>
      </c>
      <c r="D10590" s="4" t="s">
        <v>7</v>
      </c>
      <c r="E10590" s="4" t="s">
        <v>13</v>
      </c>
      <c r="F10590" s="4" t="s">
        <v>13</v>
      </c>
      <c r="G10590" s="4" t="s">
        <v>13</v>
      </c>
      <c r="H10590" s="4" t="s">
        <v>11</v>
      </c>
    </row>
    <row r="10591" spans="1:9">
      <c r="A10591" t="n">
        <v>98043</v>
      </c>
      <c r="B10591" s="51" t="n">
        <v>45</v>
      </c>
      <c r="C10591" s="7" t="n">
        <v>2</v>
      </c>
      <c r="D10591" s="7" t="n">
        <v>3</v>
      </c>
      <c r="E10591" s="7" t="n">
        <v>-7.84000015258789</v>
      </c>
      <c r="F10591" s="7" t="n">
        <v>7.17000007629395</v>
      </c>
      <c r="G10591" s="7" t="n">
        <v>31.6599998474121</v>
      </c>
      <c r="H10591" s="7" t="n">
        <v>0</v>
      </c>
    </row>
    <row r="10592" spans="1:9">
      <c r="A10592" t="s">
        <v>4</v>
      </c>
      <c r="B10592" s="4" t="s">
        <v>5</v>
      </c>
      <c r="C10592" s="4" t="s">
        <v>7</v>
      </c>
      <c r="D10592" s="4" t="s">
        <v>7</v>
      </c>
      <c r="E10592" s="4" t="s">
        <v>13</v>
      </c>
      <c r="F10592" s="4" t="s">
        <v>13</v>
      </c>
      <c r="G10592" s="4" t="s">
        <v>13</v>
      </c>
      <c r="H10592" s="4" t="s">
        <v>11</v>
      </c>
      <c r="I10592" s="4" t="s">
        <v>7</v>
      </c>
    </row>
    <row r="10593" spans="1:9">
      <c r="A10593" t="n">
        <v>98060</v>
      </c>
      <c r="B10593" s="51" t="n">
        <v>45</v>
      </c>
      <c r="C10593" s="7" t="n">
        <v>4</v>
      </c>
      <c r="D10593" s="7" t="n">
        <v>3</v>
      </c>
      <c r="E10593" s="7" t="n">
        <v>9.01000022888184</v>
      </c>
      <c r="F10593" s="7" t="n">
        <v>55.7900009155273</v>
      </c>
      <c r="G10593" s="7" t="n">
        <v>0</v>
      </c>
      <c r="H10593" s="7" t="n">
        <v>0</v>
      </c>
      <c r="I10593" s="7" t="n">
        <v>0</v>
      </c>
    </row>
    <row r="10594" spans="1:9">
      <c r="A10594" t="s">
        <v>4</v>
      </c>
      <c r="B10594" s="4" t="s">
        <v>5</v>
      </c>
      <c r="C10594" s="4" t="s">
        <v>7</v>
      </c>
      <c r="D10594" s="4" t="s">
        <v>7</v>
      </c>
      <c r="E10594" s="4" t="s">
        <v>13</v>
      </c>
      <c r="F10594" s="4" t="s">
        <v>11</v>
      </c>
    </row>
    <row r="10595" spans="1:9">
      <c r="A10595" t="n">
        <v>98078</v>
      </c>
      <c r="B10595" s="51" t="n">
        <v>45</v>
      </c>
      <c r="C10595" s="7" t="n">
        <v>5</v>
      </c>
      <c r="D10595" s="7" t="n">
        <v>3</v>
      </c>
      <c r="E10595" s="7" t="n">
        <v>2.40000009536743</v>
      </c>
      <c r="F10595" s="7" t="n">
        <v>0</v>
      </c>
    </row>
    <row r="10596" spans="1:9">
      <c r="A10596" t="s">
        <v>4</v>
      </c>
      <c r="B10596" s="4" t="s">
        <v>5</v>
      </c>
      <c r="C10596" s="4" t="s">
        <v>7</v>
      </c>
      <c r="D10596" s="4" t="s">
        <v>7</v>
      </c>
      <c r="E10596" s="4" t="s">
        <v>13</v>
      </c>
      <c r="F10596" s="4" t="s">
        <v>11</v>
      </c>
    </row>
    <row r="10597" spans="1:9">
      <c r="A10597" t="n">
        <v>98087</v>
      </c>
      <c r="B10597" s="51" t="n">
        <v>45</v>
      </c>
      <c r="C10597" s="7" t="n">
        <v>11</v>
      </c>
      <c r="D10597" s="7" t="n">
        <v>3</v>
      </c>
      <c r="E10597" s="7" t="n">
        <v>40.2999992370605</v>
      </c>
      <c r="F10597" s="7" t="n">
        <v>0</v>
      </c>
    </row>
    <row r="10598" spans="1:9">
      <c r="A10598" t="s">
        <v>4</v>
      </c>
      <c r="B10598" s="4" t="s">
        <v>5</v>
      </c>
      <c r="C10598" s="4" t="s">
        <v>7</v>
      </c>
      <c r="D10598" s="4" t="s">
        <v>7</v>
      </c>
      <c r="E10598" s="4" t="s">
        <v>13</v>
      </c>
      <c r="F10598" s="4" t="s">
        <v>13</v>
      </c>
      <c r="G10598" s="4" t="s">
        <v>13</v>
      </c>
      <c r="H10598" s="4" t="s">
        <v>11</v>
      </c>
    </row>
    <row r="10599" spans="1:9">
      <c r="A10599" t="n">
        <v>98096</v>
      </c>
      <c r="B10599" s="51" t="n">
        <v>45</v>
      </c>
      <c r="C10599" s="7" t="n">
        <v>2</v>
      </c>
      <c r="D10599" s="7" t="n">
        <v>3</v>
      </c>
      <c r="E10599" s="7" t="n">
        <v>-6.8899998664856</v>
      </c>
      <c r="F10599" s="7" t="n">
        <v>6.26999998092651</v>
      </c>
      <c r="G10599" s="7" t="n">
        <v>30.0599994659424</v>
      </c>
      <c r="H10599" s="7" t="n">
        <v>6000</v>
      </c>
    </row>
    <row r="10600" spans="1:9">
      <c r="A10600" t="s">
        <v>4</v>
      </c>
      <c r="B10600" s="4" t="s">
        <v>5</v>
      </c>
      <c r="C10600" s="4" t="s">
        <v>7</v>
      </c>
      <c r="D10600" s="4" t="s">
        <v>7</v>
      </c>
      <c r="E10600" s="4" t="s">
        <v>13</v>
      </c>
      <c r="F10600" s="4" t="s">
        <v>13</v>
      </c>
      <c r="G10600" s="4" t="s">
        <v>13</v>
      </c>
      <c r="H10600" s="4" t="s">
        <v>11</v>
      </c>
      <c r="I10600" s="4" t="s">
        <v>7</v>
      </c>
    </row>
    <row r="10601" spans="1:9">
      <c r="A10601" t="n">
        <v>98113</v>
      </c>
      <c r="B10601" s="51" t="n">
        <v>45</v>
      </c>
      <c r="C10601" s="7" t="n">
        <v>4</v>
      </c>
      <c r="D10601" s="7" t="n">
        <v>3</v>
      </c>
      <c r="E10601" s="7" t="n">
        <v>6.73999977111816</v>
      </c>
      <c r="F10601" s="7" t="n">
        <v>13.6199998855591</v>
      </c>
      <c r="G10601" s="7" t="n">
        <v>0</v>
      </c>
      <c r="H10601" s="7" t="n">
        <v>6000</v>
      </c>
      <c r="I10601" s="7" t="n">
        <v>1</v>
      </c>
    </row>
    <row r="10602" spans="1:9">
      <c r="A10602" t="s">
        <v>4</v>
      </c>
      <c r="B10602" s="4" t="s">
        <v>5</v>
      </c>
      <c r="C10602" s="4" t="s">
        <v>11</v>
      </c>
      <c r="D10602" s="4" t="s">
        <v>13</v>
      </c>
      <c r="E10602" s="4" t="s">
        <v>13</v>
      </c>
      <c r="F10602" s="4" t="s">
        <v>13</v>
      </c>
      <c r="G10602" s="4" t="s">
        <v>13</v>
      </c>
    </row>
    <row r="10603" spans="1:9">
      <c r="A10603" t="n">
        <v>98131</v>
      </c>
      <c r="B10603" s="36" t="n">
        <v>46</v>
      </c>
      <c r="C10603" s="7" t="n">
        <v>0</v>
      </c>
      <c r="D10603" s="7" t="n">
        <v>-6.51000022888184</v>
      </c>
      <c r="E10603" s="7" t="n">
        <v>5</v>
      </c>
      <c r="F10603" s="7" t="n">
        <v>29.8999996185303</v>
      </c>
      <c r="G10603" s="7" t="n">
        <v>208</v>
      </c>
    </row>
    <row r="10604" spans="1:9">
      <c r="A10604" t="s">
        <v>4</v>
      </c>
      <c r="B10604" s="4" t="s">
        <v>5</v>
      </c>
      <c r="C10604" s="4" t="s">
        <v>11</v>
      </c>
      <c r="D10604" s="4" t="s">
        <v>13</v>
      </c>
      <c r="E10604" s="4" t="s">
        <v>13</v>
      </c>
      <c r="F10604" s="4" t="s">
        <v>13</v>
      </c>
      <c r="G10604" s="4" t="s">
        <v>13</v>
      </c>
    </row>
    <row r="10605" spans="1:9">
      <c r="A10605" t="n">
        <v>98150</v>
      </c>
      <c r="B10605" s="36" t="n">
        <v>46</v>
      </c>
      <c r="C10605" s="7" t="n">
        <v>18</v>
      </c>
      <c r="D10605" s="7" t="n">
        <v>-7.44999980926514</v>
      </c>
      <c r="E10605" s="7" t="n">
        <v>5</v>
      </c>
      <c r="F10605" s="7" t="n">
        <v>29.7999992370605</v>
      </c>
      <c r="G10605" s="7" t="n">
        <v>151.199996948242</v>
      </c>
    </row>
    <row r="10606" spans="1:9">
      <c r="A10606" t="s">
        <v>4</v>
      </c>
      <c r="B10606" s="4" t="s">
        <v>5</v>
      </c>
      <c r="C10606" s="4" t="s">
        <v>8</v>
      </c>
      <c r="D10606" s="4" t="s">
        <v>8</v>
      </c>
    </row>
    <row r="10607" spans="1:9">
      <c r="A10607" t="n">
        <v>98169</v>
      </c>
      <c r="B10607" s="52" t="n">
        <v>70</v>
      </c>
      <c r="C10607" s="7" t="s">
        <v>25</v>
      </c>
      <c r="D10607" s="7" t="s">
        <v>118</v>
      </c>
    </row>
    <row r="10608" spans="1:9">
      <c r="A10608" t="s">
        <v>4</v>
      </c>
      <c r="B10608" s="4" t="s">
        <v>5</v>
      </c>
      <c r="C10608" s="4" t="s">
        <v>7</v>
      </c>
      <c r="D10608" s="4" t="s">
        <v>11</v>
      </c>
      <c r="E10608" s="4" t="s">
        <v>13</v>
      </c>
    </row>
    <row r="10609" spans="1:9">
      <c r="A10609" t="n">
        <v>98185</v>
      </c>
      <c r="B10609" s="23" t="n">
        <v>58</v>
      </c>
      <c r="C10609" s="7" t="n">
        <v>100</v>
      </c>
      <c r="D10609" s="7" t="n">
        <v>1000</v>
      </c>
      <c r="E10609" s="7" t="n">
        <v>1</v>
      </c>
    </row>
    <row r="10610" spans="1:9">
      <c r="A10610" t="s">
        <v>4</v>
      </c>
      <c r="B10610" s="4" t="s">
        <v>5</v>
      </c>
      <c r="C10610" s="4" t="s">
        <v>7</v>
      </c>
      <c r="D10610" s="4" t="s">
        <v>11</v>
      </c>
    </row>
    <row r="10611" spans="1:9">
      <c r="A10611" t="n">
        <v>98193</v>
      </c>
      <c r="B10611" s="23" t="n">
        <v>58</v>
      </c>
      <c r="C10611" s="7" t="n">
        <v>255</v>
      </c>
      <c r="D10611" s="7" t="n">
        <v>0</v>
      </c>
    </row>
    <row r="10612" spans="1:9">
      <c r="A10612" t="s">
        <v>4</v>
      </c>
      <c r="B10612" s="4" t="s">
        <v>5</v>
      </c>
      <c r="C10612" s="4" t="s">
        <v>11</v>
      </c>
    </row>
    <row r="10613" spans="1:9">
      <c r="A10613" t="n">
        <v>98197</v>
      </c>
      <c r="B10613" s="29" t="n">
        <v>16</v>
      </c>
      <c r="C10613" s="7" t="n">
        <v>1000</v>
      </c>
    </row>
    <row r="10614" spans="1:9">
      <c r="A10614" t="s">
        <v>4</v>
      </c>
      <c r="B10614" s="4" t="s">
        <v>5</v>
      </c>
      <c r="C10614" s="4" t="s">
        <v>7</v>
      </c>
      <c r="D10614" s="4" t="s">
        <v>11</v>
      </c>
    </row>
    <row r="10615" spans="1:9">
      <c r="A10615" t="n">
        <v>98200</v>
      </c>
      <c r="B10615" s="51" t="n">
        <v>45</v>
      </c>
      <c r="C10615" s="7" t="n">
        <v>7</v>
      </c>
      <c r="D10615" s="7" t="n">
        <v>255</v>
      </c>
    </row>
    <row r="10616" spans="1:9">
      <c r="A10616" t="s">
        <v>4</v>
      </c>
      <c r="B10616" s="4" t="s">
        <v>5</v>
      </c>
      <c r="C10616" s="4" t="s">
        <v>7</v>
      </c>
      <c r="D10616" s="4" t="s">
        <v>11</v>
      </c>
      <c r="E10616" s="4" t="s">
        <v>13</v>
      </c>
    </row>
    <row r="10617" spans="1:9">
      <c r="A10617" t="n">
        <v>98204</v>
      </c>
      <c r="B10617" s="23" t="n">
        <v>58</v>
      </c>
      <c r="C10617" s="7" t="n">
        <v>101</v>
      </c>
      <c r="D10617" s="7" t="n">
        <v>500</v>
      </c>
      <c r="E10617" s="7" t="n">
        <v>1</v>
      </c>
    </row>
    <row r="10618" spans="1:9">
      <c r="A10618" t="s">
        <v>4</v>
      </c>
      <c r="B10618" s="4" t="s">
        <v>5</v>
      </c>
      <c r="C10618" s="4" t="s">
        <v>7</v>
      </c>
      <c r="D10618" s="4" t="s">
        <v>11</v>
      </c>
    </row>
    <row r="10619" spans="1:9">
      <c r="A10619" t="n">
        <v>98212</v>
      </c>
      <c r="B10619" s="23" t="n">
        <v>58</v>
      </c>
      <c r="C10619" s="7" t="n">
        <v>254</v>
      </c>
      <c r="D10619" s="7" t="n">
        <v>0</v>
      </c>
    </row>
    <row r="10620" spans="1:9">
      <c r="A10620" t="s">
        <v>4</v>
      </c>
      <c r="B10620" s="4" t="s">
        <v>5</v>
      </c>
      <c r="C10620" s="4" t="s">
        <v>7</v>
      </c>
      <c r="D10620" s="4" t="s">
        <v>11</v>
      </c>
      <c r="E10620" s="4" t="s">
        <v>8</v>
      </c>
      <c r="F10620" s="4" t="s">
        <v>8</v>
      </c>
      <c r="G10620" s="4" t="s">
        <v>8</v>
      </c>
      <c r="H10620" s="4" t="s">
        <v>8</v>
      </c>
    </row>
    <row r="10621" spans="1:9">
      <c r="A10621" t="n">
        <v>98216</v>
      </c>
      <c r="B10621" s="38" t="n">
        <v>51</v>
      </c>
      <c r="C10621" s="7" t="n">
        <v>3</v>
      </c>
      <c r="D10621" s="7" t="n">
        <v>18</v>
      </c>
      <c r="E10621" s="7" t="s">
        <v>99</v>
      </c>
      <c r="F10621" s="7" t="s">
        <v>218</v>
      </c>
      <c r="G10621" s="7" t="s">
        <v>78</v>
      </c>
      <c r="H10621" s="7" t="s">
        <v>79</v>
      </c>
    </row>
    <row r="10622" spans="1:9">
      <c r="A10622" t="s">
        <v>4</v>
      </c>
      <c r="B10622" s="4" t="s">
        <v>5</v>
      </c>
      <c r="C10622" s="4" t="s">
        <v>7</v>
      </c>
      <c r="D10622" s="4" t="s">
        <v>11</v>
      </c>
      <c r="E10622" s="4" t="s">
        <v>11</v>
      </c>
      <c r="F10622" s="4" t="s">
        <v>15</v>
      </c>
      <c r="G10622" s="4" t="s">
        <v>15</v>
      </c>
      <c r="H10622" s="4" t="s">
        <v>15</v>
      </c>
    </row>
    <row r="10623" spans="1:9">
      <c r="A10623" t="n">
        <v>98229</v>
      </c>
      <c r="B10623" s="77" t="n">
        <v>97</v>
      </c>
      <c r="C10623" s="7" t="n">
        <v>6</v>
      </c>
      <c r="D10623" s="7" t="n">
        <v>0</v>
      </c>
      <c r="E10623" s="7" t="n">
        <v>0</v>
      </c>
      <c r="F10623" s="7" t="n">
        <v>-1065143501</v>
      </c>
      <c r="G10623" s="7" t="n">
        <v>1101004800</v>
      </c>
      <c r="H10623" s="7" t="n">
        <v>1101004800</v>
      </c>
    </row>
    <row r="10624" spans="1:9">
      <c r="A10624" t="s">
        <v>4</v>
      </c>
      <c r="B10624" s="4" t="s">
        <v>5</v>
      </c>
      <c r="C10624" s="4" t="s">
        <v>7</v>
      </c>
      <c r="D10624" s="4" t="s">
        <v>7</v>
      </c>
      <c r="E10624" s="4" t="s">
        <v>13</v>
      </c>
      <c r="F10624" s="4" t="s">
        <v>13</v>
      </c>
      <c r="G10624" s="4" t="s">
        <v>13</v>
      </c>
      <c r="H10624" s="4" t="s">
        <v>11</v>
      </c>
    </row>
    <row r="10625" spans="1:8">
      <c r="A10625" t="n">
        <v>98247</v>
      </c>
      <c r="B10625" s="51" t="n">
        <v>45</v>
      </c>
      <c r="C10625" s="7" t="n">
        <v>2</v>
      </c>
      <c r="D10625" s="7" t="n">
        <v>3</v>
      </c>
      <c r="E10625" s="7" t="n">
        <v>-6.86999988555908</v>
      </c>
      <c r="F10625" s="7" t="n">
        <v>6.3600001335144</v>
      </c>
      <c r="G10625" s="7" t="n">
        <v>29.8400001525879</v>
      </c>
      <c r="H10625" s="7" t="n">
        <v>0</v>
      </c>
    </row>
    <row r="10626" spans="1:8">
      <c r="A10626" t="s">
        <v>4</v>
      </c>
      <c r="B10626" s="4" t="s">
        <v>5</v>
      </c>
      <c r="C10626" s="4" t="s">
        <v>7</v>
      </c>
      <c r="D10626" s="4" t="s">
        <v>7</v>
      </c>
      <c r="E10626" s="4" t="s">
        <v>13</v>
      </c>
      <c r="F10626" s="4" t="s">
        <v>13</v>
      </c>
      <c r="G10626" s="4" t="s">
        <v>13</v>
      </c>
      <c r="H10626" s="4" t="s">
        <v>11</v>
      </c>
      <c r="I10626" s="4" t="s">
        <v>7</v>
      </c>
    </row>
    <row r="10627" spans="1:8">
      <c r="A10627" t="n">
        <v>98264</v>
      </c>
      <c r="B10627" s="51" t="n">
        <v>45</v>
      </c>
      <c r="C10627" s="7" t="n">
        <v>4</v>
      </c>
      <c r="D10627" s="7" t="n">
        <v>3</v>
      </c>
      <c r="E10627" s="7" t="n">
        <v>18.2999992370605</v>
      </c>
      <c r="F10627" s="7" t="n">
        <v>135.5</v>
      </c>
      <c r="G10627" s="7" t="n">
        <v>0</v>
      </c>
      <c r="H10627" s="7" t="n">
        <v>0</v>
      </c>
      <c r="I10627" s="7" t="n">
        <v>0</v>
      </c>
    </row>
    <row r="10628" spans="1:8">
      <c r="A10628" t="s">
        <v>4</v>
      </c>
      <c r="B10628" s="4" t="s">
        <v>5</v>
      </c>
      <c r="C10628" s="4" t="s">
        <v>7</v>
      </c>
      <c r="D10628" s="4" t="s">
        <v>7</v>
      </c>
      <c r="E10628" s="4" t="s">
        <v>13</v>
      </c>
      <c r="F10628" s="4" t="s">
        <v>11</v>
      </c>
    </row>
    <row r="10629" spans="1:8">
      <c r="A10629" t="n">
        <v>98282</v>
      </c>
      <c r="B10629" s="51" t="n">
        <v>45</v>
      </c>
      <c r="C10629" s="7" t="n">
        <v>5</v>
      </c>
      <c r="D10629" s="7" t="n">
        <v>3</v>
      </c>
      <c r="E10629" s="7" t="n">
        <v>1.29999995231628</v>
      </c>
      <c r="F10629" s="7" t="n">
        <v>0</v>
      </c>
    </row>
    <row r="10630" spans="1:8">
      <c r="A10630" t="s">
        <v>4</v>
      </c>
      <c r="B10630" s="4" t="s">
        <v>5</v>
      </c>
      <c r="C10630" s="4" t="s">
        <v>7</v>
      </c>
      <c r="D10630" s="4" t="s">
        <v>7</v>
      </c>
      <c r="E10630" s="4" t="s">
        <v>13</v>
      </c>
      <c r="F10630" s="4" t="s">
        <v>11</v>
      </c>
    </row>
    <row r="10631" spans="1:8">
      <c r="A10631" t="n">
        <v>98291</v>
      </c>
      <c r="B10631" s="51" t="n">
        <v>45</v>
      </c>
      <c r="C10631" s="7" t="n">
        <v>11</v>
      </c>
      <c r="D10631" s="7" t="n">
        <v>3</v>
      </c>
      <c r="E10631" s="7" t="n">
        <v>40.2999992370605</v>
      </c>
      <c r="F10631" s="7" t="n">
        <v>0</v>
      </c>
    </row>
    <row r="10632" spans="1:8">
      <c r="A10632" t="s">
        <v>4</v>
      </c>
      <c r="B10632" s="4" t="s">
        <v>5</v>
      </c>
      <c r="C10632" s="4" t="s">
        <v>7</v>
      </c>
      <c r="D10632" s="4" t="s">
        <v>11</v>
      </c>
    </row>
    <row r="10633" spans="1:8">
      <c r="A10633" t="n">
        <v>98300</v>
      </c>
      <c r="B10633" s="23" t="n">
        <v>58</v>
      </c>
      <c r="C10633" s="7" t="n">
        <v>255</v>
      </c>
      <c r="D10633" s="7" t="n">
        <v>0</v>
      </c>
    </row>
    <row r="10634" spans="1:8">
      <c r="A10634" t="s">
        <v>4</v>
      </c>
      <c r="B10634" s="4" t="s">
        <v>5</v>
      </c>
      <c r="C10634" s="4" t="s">
        <v>7</v>
      </c>
      <c r="D10634" s="4" t="s">
        <v>11</v>
      </c>
      <c r="E10634" s="4" t="s">
        <v>8</v>
      </c>
    </row>
    <row r="10635" spans="1:8">
      <c r="A10635" t="n">
        <v>98304</v>
      </c>
      <c r="B10635" s="38" t="n">
        <v>51</v>
      </c>
      <c r="C10635" s="7" t="n">
        <v>4</v>
      </c>
      <c r="D10635" s="7" t="n">
        <v>18</v>
      </c>
      <c r="E10635" s="7" t="s">
        <v>569</v>
      </c>
    </row>
    <row r="10636" spans="1:8">
      <c r="A10636" t="s">
        <v>4</v>
      </c>
      <c r="B10636" s="4" t="s">
        <v>5</v>
      </c>
      <c r="C10636" s="4" t="s">
        <v>11</v>
      </c>
    </row>
    <row r="10637" spans="1:8">
      <c r="A10637" t="n">
        <v>98317</v>
      </c>
      <c r="B10637" s="29" t="n">
        <v>16</v>
      </c>
      <c r="C10637" s="7" t="n">
        <v>0</v>
      </c>
    </row>
    <row r="10638" spans="1:8">
      <c r="A10638" t="s">
        <v>4</v>
      </c>
      <c r="B10638" s="4" t="s">
        <v>5</v>
      </c>
      <c r="C10638" s="4" t="s">
        <v>11</v>
      </c>
      <c r="D10638" s="4" t="s">
        <v>7</v>
      </c>
      <c r="E10638" s="4" t="s">
        <v>15</v>
      </c>
      <c r="F10638" s="4" t="s">
        <v>55</v>
      </c>
      <c r="G10638" s="4" t="s">
        <v>7</v>
      </c>
      <c r="H10638" s="4" t="s">
        <v>7</v>
      </c>
      <c r="I10638" s="4" t="s">
        <v>7</v>
      </c>
      <c r="J10638" s="4" t="s">
        <v>15</v>
      </c>
      <c r="K10638" s="4" t="s">
        <v>55</v>
      </c>
      <c r="L10638" s="4" t="s">
        <v>7</v>
      </c>
      <c r="M10638" s="4" t="s">
        <v>7</v>
      </c>
    </row>
    <row r="10639" spans="1:8">
      <c r="A10639" t="n">
        <v>98320</v>
      </c>
      <c r="B10639" s="55" t="n">
        <v>26</v>
      </c>
      <c r="C10639" s="7" t="n">
        <v>18</v>
      </c>
      <c r="D10639" s="7" t="n">
        <v>17</v>
      </c>
      <c r="E10639" s="7" t="n">
        <v>64073</v>
      </c>
      <c r="F10639" s="7" t="s">
        <v>868</v>
      </c>
      <c r="G10639" s="7" t="n">
        <v>2</v>
      </c>
      <c r="H10639" s="7" t="n">
        <v>3</v>
      </c>
      <c r="I10639" s="7" t="n">
        <v>17</v>
      </c>
      <c r="J10639" s="7" t="n">
        <v>64074</v>
      </c>
      <c r="K10639" s="7" t="s">
        <v>869</v>
      </c>
      <c r="L10639" s="7" t="n">
        <v>2</v>
      </c>
      <c r="M10639" s="7" t="n">
        <v>0</v>
      </c>
    </row>
    <row r="10640" spans="1:8">
      <c r="A10640" t="s">
        <v>4</v>
      </c>
      <c r="B10640" s="4" t="s">
        <v>5</v>
      </c>
    </row>
    <row r="10641" spans="1:13">
      <c r="A10641" t="n">
        <v>98413</v>
      </c>
      <c r="B10641" s="27" t="n">
        <v>28</v>
      </c>
    </row>
    <row r="10642" spans="1:13">
      <c r="A10642" t="s">
        <v>4</v>
      </c>
      <c r="B10642" s="4" t="s">
        <v>5</v>
      </c>
      <c r="C10642" s="4" t="s">
        <v>7</v>
      </c>
      <c r="D10642" s="4" t="s">
        <v>11</v>
      </c>
      <c r="E10642" s="4" t="s">
        <v>8</v>
      </c>
    </row>
    <row r="10643" spans="1:13">
      <c r="A10643" t="n">
        <v>98414</v>
      </c>
      <c r="B10643" s="38" t="n">
        <v>51</v>
      </c>
      <c r="C10643" s="7" t="n">
        <v>4</v>
      </c>
      <c r="D10643" s="7" t="n">
        <v>0</v>
      </c>
      <c r="E10643" s="7" t="s">
        <v>173</v>
      </c>
    </row>
    <row r="10644" spans="1:13">
      <c r="A10644" t="s">
        <v>4</v>
      </c>
      <c r="B10644" s="4" t="s">
        <v>5</v>
      </c>
      <c r="C10644" s="4" t="s">
        <v>11</v>
      </c>
    </row>
    <row r="10645" spans="1:13">
      <c r="A10645" t="n">
        <v>98427</v>
      </c>
      <c r="B10645" s="29" t="n">
        <v>16</v>
      </c>
      <c r="C10645" s="7" t="n">
        <v>0</v>
      </c>
    </row>
    <row r="10646" spans="1:13">
      <c r="A10646" t="s">
        <v>4</v>
      </c>
      <c r="B10646" s="4" t="s">
        <v>5</v>
      </c>
      <c r="C10646" s="4" t="s">
        <v>11</v>
      </c>
      <c r="D10646" s="4" t="s">
        <v>7</v>
      </c>
      <c r="E10646" s="4" t="s">
        <v>15</v>
      </c>
      <c r="F10646" s="4" t="s">
        <v>55</v>
      </c>
      <c r="G10646" s="4" t="s">
        <v>7</v>
      </c>
      <c r="H10646" s="4" t="s">
        <v>7</v>
      </c>
      <c r="I10646" s="4" t="s">
        <v>7</v>
      </c>
      <c r="J10646" s="4" t="s">
        <v>15</v>
      </c>
      <c r="K10646" s="4" t="s">
        <v>55</v>
      </c>
      <c r="L10646" s="4" t="s">
        <v>7</v>
      </c>
      <c r="M10646" s="4" t="s">
        <v>7</v>
      </c>
      <c r="N10646" s="4" t="s">
        <v>7</v>
      </c>
      <c r="O10646" s="4" t="s">
        <v>15</v>
      </c>
      <c r="P10646" s="4" t="s">
        <v>55</v>
      </c>
      <c r="Q10646" s="4" t="s">
        <v>7</v>
      </c>
      <c r="R10646" s="4" t="s">
        <v>7</v>
      </c>
    </row>
    <row r="10647" spans="1:13">
      <c r="A10647" t="n">
        <v>98430</v>
      </c>
      <c r="B10647" s="55" t="n">
        <v>26</v>
      </c>
      <c r="C10647" s="7" t="n">
        <v>0</v>
      </c>
      <c r="D10647" s="7" t="n">
        <v>17</v>
      </c>
      <c r="E10647" s="7" t="n">
        <v>64075</v>
      </c>
      <c r="F10647" s="7" t="s">
        <v>870</v>
      </c>
      <c r="G10647" s="7" t="n">
        <v>2</v>
      </c>
      <c r="H10647" s="7" t="n">
        <v>3</v>
      </c>
      <c r="I10647" s="7" t="n">
        <v>17</v>
      </c>
      <c r="J10647" s="7" t="n">
        <v>64076</v>
      </c>
      <c r="K10647" s="7" t="s">
        <v>871</v>
      </c>
      <c r="L10647" s="7" t="n">
        <v>2</v>
      </c>
      <c r="M10647" s="7" t="n">
        <v>3</v>
      </c>
      <c r="N10647" s="7" t="n">
        <v>17</v>
      </c>
      <c r="O10647" s="7" t="n">
        <v>64077</v>
      </c>
      <c r="P10647" s="7" t="s">
        <v>872</v>
      </c>
      <c r="Q10647" s="7" t="n">
        <v>2</v>
      </c>
      <c r="R10647" s="7" t="n">
        <v>0</v>
      </c>
    </row>
    <row r="10648" spans="1:13">
      <c r="A10648" t="s">
        <v>4</v>
      </c>
      <c r="B10648" s="4" t="s">
        <v>5</v>
      </c>
    </row>
    <row r="10649" spans="1:13">
      <c r="A10649" t="n">
        <v>98742</v>
      </c>
      <c r="B10649" s="27" t="n">
        <v>28</v>
      </c>
    </row>
    <row r="10650" spans="1:13">
      <c r="A10650" t="s">
        <v>4</v>
      </c>
      <c r="B10650" s="4" t="s">
        <v>5</v>
      </c>
      <c r="C10650" s="4" t="s">
        <v>7</v>
      </c>
      <c r="D10650" s="4" t="s">
        <v>11</v>
      </c>
      <c r="E10650" s="4" t="s">
        <v>8</v>
      </c>
    </row>
    <row r="10651" spans="1:13">
      <c r="A10651" t="n">
        <v>98743</v>
      </c>
      <c r="B10651" s="38" t="n">
        <v>51</v>
      </c>
      <c r="C10651" s="7" t="n">
        <v>4</v>
      </c>
      <c r="D10651" s="7" t="n">
        <v>18</v>
      </c>
      <c r="E10651" s="7" t="s">
        <v>235</v>
      </c>
    </row>
    <row r="10652" spans="1:13">
      <c r="A10652" t="s">
        <v>4</v>
      </c>
      <c r="B10652" s="4" t="s">
        <v>5</v>
      </c>
      <c r="C10652" s="4" t="s">
        <v>11</v>
      </c>
    </row>
    <row r="10653" spans="1:13">
      <c r="A10653" t="n">
        <v>98757</v>
      </c>
      <c r="B10653" s="29" t="n">
        <v>16</v>
      </c>
      <c r="C10653" s="7" t="n">
        <v>0</v>
      </c>
    </row>
    <row r="10654" spans="1:13">
      <c r="A10654" t="s">
        <v>4</v>
      </c>
      <c r="B10654" s="4" t="s">
        <v>5</v>
      </c>
      <c r="C10654" s="4" t="s">
        <v>11</v>
      </c>
      <c r="D10654" s="4" t="s">
        <v>7</v>
      </c>
      <c r="E10654" s="4" t="s">
        <v>15</v>
      </c>
      <c r="F10654" s="4" t="s">
        <v>55</v>
      </c>
      <c r="G10654" s="4" t="s">
        <v>7</v>
      </c>
      <c r="H10654" s="4" t="s">
        <v>7</v>
      </c>
      <c r="I10654" s="4" t="s">
        <v>7</v>
      </c>
      <c r="J10654" s="4" t="s">
        <v>15</v>
      </c>
      <c r="K10654" s="4" t="s">
        <v>55</v>
      </c>
      <c r="L10654" s="4" t="s">
        <v>7</v>
      </c>
      <c r="M10654" s="4" t="s">
        <v>7</v>
      </c>
      <c r="N10654" s="4" t="s">
        <v>7</v>
      </c>
      <c r="O10654" s="4" t="s">
        <v>15</v>
      </c>
      <c r="P10654" s="4" t="s">
        <v>55</v>
      </c>
      <c r="Q10654" s="4" t="s">
        <v>7</v>
      </c>
      <c r="R10654" s="4" t="s">
        <v>7</v>
      </c>
    </row>
    <row r="10655" spans="1:13">
      <c r="A10655" t="n">
        <v>98760</v>
      </c>
      <c r="B10655" s="55" t="n">
        <v>26</v>
      </c>
      <c r="C10655" s="7" t="n">
        <v>18</v>
      </c>
      <c r="D10655" s="7" t="n">
        <v>17</v>
      </c>
      <c r="E10655" s="7" t="n">
        <v>64078</v>
      </c>
      <c r="F10655" s="7" t="s">
        <v>873</v>
      </c>
      <c r="G10655" s="7" t="n">
        <v>2</v>
      </c>
      <c r="H10655" s="7" t="n">
        <v>3</v>
      </c>
      <c r="I10655" s="7" t="n">
        <v>17</v>
      </c>
      <c r="J10655" s="7" t="n">
        <v>64079</v>
      </c>
      <c r="K10655" s="7" t="s">
        <v>874</v>
      </c>
      <c r="L10655" s="7" t="n">
        <v>2</v>
      </c>
      <c r="M10655" s="7" t="n">
        <v>3</v>
      </c>
      <c r="N10655" s="7" t="n">
        <v>17</v>
      </c>
      <c r="O10655" s="7" t="n">
        <v>64080</v>
      </c>
      <c r="P10655" s="7" t="s">
        <v>875</v>
      </c>
      <c r="Q10655" s="7" t="n">
        <v>2</v>
      </c>
      <c r="R10655" s="7" t="n">
        <v>0</v>
      </c>
    </row>
    <row r="10656" spans="1:13">
      <c r="A10656" t="s">
        <v>4</v>
      </c>
      <c r="B10656" s="4" t="s">
        <v>5</v>
      </c>
    </row>
    <row r="10657" spans="1:18">
      <c r="A10657" t="n">
        <v>99052</v>
      </c>
      <c r="B10657" s="27" t="n">
        <v>28</v>
      </c>
    </row>
    <row r="10658" spans="1:18">
      <c r="A10658" t="s">
        <v>4</v>
      </c>
      <c r="B10658" s="4" t="s">
        <v>5</v>
      </c>
      <c r="C10658" s="4" t="s">
        <v>7</v>
      </c>
      <c r="D10658" s="4" t="s">
        <v>11</v>
      </c>
      <c r="E10658" s="4" t="s">
        <v>8</v>
      </c>
    </row>
    <row r="10659" spans="1:18">
      <c r="A10659" t="n">
        <v>99053</v>
      </c>
      <c r="B10659" s="38" t="n">
        <v>51</v>
      </c>
      <c r="C10659" s="7" t="n">
        <v>4</v>
      </c>
      <c r="D10659" s="7" t="n">
        <v>0</v>
      </c>
      <c r="E10659" s="7" t="s">
        <v>179</v>
      </c>
    </row>
    <row r="10660" spans="1:18">
      <c r="A10660" t="s">
        <v>4</v>
      </c>
      <c r="B10660" s="4" t="s">
        <v>5</v>
      </c>
      <c r="C10660" s="4" t="s">
        <v>11</v>
      </c>
    </row>
    <row r="10661" spans="1:18">
      <c r="A10661" t="n">
        <v>99067</v>
      </c>
      <c r="B10661" s="29" t="n">
        <v>16</v>
      </c>
      <c r="C10661" s="7" t="n">
        <v>0</v>
      </c>
    </row>
    <row r="10662" spans="1:18">
      <c r="A10662" t="s">
        <v>4</v>
      </c>
      <c r="B10662" s="4" t="s">
        <v>5</v>
      </c>
      <c r="C10662" s="4" t="s">
        <v>11</v>
      </c>
      <c r="D10662" s="4" t="s">
        <v>7</v>
      </c>
      <c r="E10662" s="4" t="s">
        <v>15</v>
      </c>
      <c r="F10662" s="4" t="s">
        <v>55</v>
      </c>
      <c r="G10662" s="4" t="s">
        <v>7</v>
      </c>
      <c r="H10662" s="4" t="s">
        <v>7</v>
      </c>
      <c r="I10662" s="4" t="s">
        <v>7</v>
      </c>
      <c r="J10662" s="4" t="s">
        <v>15</v>
      </c>
      <c r="K10662" s="4" t="s">
        <v>55</v>
      </c>
      <c r="L10662" s="4" t="s">
        <v>7</v>
      </c>
      <c r="M10662" s="4" t="s">
        <v>7</v>
      </c>
      <c r="N10662" s="4" t="s">
        <v>7</v>
      </c>
      <c r="O10662" s="4" t="s">
        <v>15</v>
      </c>
      <c r="P10662" s="4" t="s">
        <v>55</v>
      </c>
      <c r="Q10662" s="4" t="s">
        <v>7</v>
      </c>
      <c r="R10662" s="4" t="s">
        <v>7</v>
      </c>
    </row>
    <row r="10663" spans="1:18">
      <c r="A10663" t="n">
        <v>99070</v>
      </c>
      <c r="B10663" s="55" t="n">
        <v>26</v>
      </c>
      <c r="C10663" s="7" t="n">
        <v>0</v>
      </c>
      <c r="D10663" s="7" t="n">
        <v>17</v>
      </c>
      <c r="E10663" s="7" t="n">
        <v>64081</v>
      </c>
      <c r="F10663" s="7" t="s">
        <v>876</v>
      </c>
      <c r="G10663" s="7" t="n">
        <v>2</v>
      </c>
      <c r="H10663" s="7" t="n">
        <v>3</v>
      </c>
      <c r="I10663" s="7" t="n">
        <v>17</v>
      </c>
      <c r="J10663" s="7" t="n">
        <v>64082</v>
      </c>
      <c r="K10663" s="7" t="s">
        <v>877</v>
      </c>
      <c r="L10663" s="7" t="n">
        <v>2</v>
      </c>
      <c r="M10663" s="7" t="n">
        <v>3</v>
      </c>
      <c r="N10663" s="7" t="n">
        <v>17</v>
      </c>
      <c r="O10663" s="7" t="n">
        <v>64083</v>
      </c>
      <c r="P10663" s="7" t="s">
        <v>878</v>
      </c>
      <c r="Q10663" s="7" t="n">
        <v>2</v>
      </c>
      <c r="R10663" s="7" t="n">
        <v>0</v>
      </c>
    </row>
    <row r="10664" spans="1:18">
      <c r="A10664" t="s">
        <v>4</v>
      </c>
      <c r="B10664" s="4" t="s">
        <v>5</v>
      </c>
    </row>
    <row r="10665" spans="1:18">
      <c r="A10665" t="n">
        <v>99286</v>
      </c>
      <c r="B10665" s="27" t="n">
        <v>28</v>
      </c>
    </row>
    <row r="10666" spans="1:18">
      <c r="A10666" t="s">
        <v>4</v>
      </c>
      <c r="B10666" s="4" t="s">
        <v>5</v>
      </c>
      <c r="C10666" s="4" t="s">
        <v>7</v>
      </c>
      <c r="D10666" s="4" t="s">
        <v>11</v>
      </c>
      <c r="E10666" s="4" t="s">
        <v>8</v>
      </c>
    </row>
    <row r="10667" spans="1:18">
      <c r="A10667" t="n">
        <v>99287</v>
      </c>
      <c r="B10667" s="38" t="n">
        <v>51</v>
      </c>
      <c r="C10667" s="7" t="n">
        <v>4</v>
      </c>
      <c r="D10667" s="7" t="n">
        <v>18</v>
      </c>
      <c r="E10667" s="7" t="s">
        <v>879</v>
      </c>
    </row>
    <row r="10668" spans="1:18">
      <c r="A10668" t="s">
        <v>4</v>
      </c>
      <c r="B10668" s="4" t="s">
        <v>5</v>
      </c>
      <c r="C10668" s="4" t="s">
        <v>11</v>
      </c>
    </row>
    <row r="10669" spans="1:18">
      <c r="A10669" t="n">
        <v>99305</v>
      </c>
      <c r="B10669" s="29" t="n">
        <v>16</v>
      </c>
      <c r="C10669" s="7" t="n">
        <v>0</v>
      </c>
    </row>
    <row r="10670" spans="1:18">
      <c r="A10670" t="s">
        <v>4</v>
      </c>
      <c r="B10670" s="4" t="s">
        <v>5</v>
      </c>
      <c r="C10670" s="4" t="s">
        <v>11</v>
      </c>
      <c r="D10670" s="4" t="s">
        <v>7</v>
      </c>
      <c r="E10670" s="4" t="s">
        <v>15</v>
      </c>
      <c r="F10670" s="4" t="s">
        <v>55</v>
      </c>
      <c r="G10670" s="4" t="s">
        <v>7</v>
      </c>
      <c r="H10670" s="4" t="s">
        <v>7</v>
      </c>
    </row>
    <row r="10671" spans="1:18">
      <c r="A10671" t="n">
        <v>99308</v>
      </c>
      <c r="B10671" s="55" t="n">
        <v>26</v>
      </c>
      <c r="C10671" s="7" t="n">
        <v>18</v>
      </c>
      <c r="D10671" s="7" t="n">
        <v>17</v>
      </c>
      <c r="E10671" s="7" t="n">
        <v>64084</v>
      </c>
      <c r="F10671" s="7" t="s">
        <v>880</v>
      </c>
      <c r="G10671" s="7" t="n">
        <v>2</v>
      </c>
      <c r="H10671" s="7" t="n">
        <v>0</v>
      </c>
    </row>
    <row r="10672" spans="1:18">
      <c r="A10672" t="s">
        <v>4</v>
      </c>
      <c r="B10672" s="4" t="s">
        <v>5</v>
      </c>
    </row>
    <row r="10673" spans="1:18">
      <c r="A10673" t="n">
        <v>99350</v>
      </c>
      <c r="B10673" s="27" t="n">
        <v>28</v>
      </c>
    </row>
    <row r="10674" spans="1:18">
      <c r="A10674" t="s">
        <v>4</v>
      </c>
      <c r="B10674" s="4" t="s">
        <v>5</v>
      </c>
      <c r="C10674" s="4" t="s">
        <v>11</v>
      </c>
      <c r="D10674" s="4" t="s">
        <v>7</v>
      </c>
    </row>
    <row r="10675" spans="1:18">
      <c r="A10675" t="n">
        <v>99351</v>
      </c>
      <c r="B10675" s="68" t="n">
        <v>89</v>
      </c>
      <c r="C10675" s="7" t="n">
        <v>65533</v>
      </c>
      <c r="D10675" s="7" t="n">
        <v>1</v>
      </c>
    </row>
    <row r="10676" spans="1:18">
      <c r="A10676" t="s">
        <v>4</v>
      </c>
      <c r="B10676" s="4" t="s">
        <v>5</v>
      </c>
      <c r="C10676" s="4" t="s">
        <v>7</v>
      </c>
      <c r="D10676" s="4" t="s">
        <v>11</v>
      </c>
      <c r="E10676" s="4" t="s">
        <v>7</v>
      </c>
    </row>
    <row r="10677" spans="1:18">
      <c r="A10677" t="n">
        <v>99355</v>
      </c>
      <c r="B10677" s="13" t="n">
        <v>49</v>
      </c>
      <c r="C10677" s="7" t="n">
        <v>1</v>
      </c>
      <c r="D10677" s="7" t="n">
        <v>3000</v>
      </c>
      <c r="E10677" s="7" t="n">
        <v>0</v>
      </c>
    </row>
    <row r="10678" spans="1:18">
      <c r="A10678" t="s">
        <v>4</v>
      </c>
      <c r="B10678" s="4" t="s">
        <v>5</v>
      </c>
      <c r="C10678" s="4" t="s">
        <v>7</v>
      </c>
      <c r="D10678" s="4" t="s">
        <v>11</v>
      </c>
      <c r="E10678" s="4" t="s">
        <v>8</v>
      </c>
      <c r="F10678" s="4" t="s">
        <v>8</v>
      </c>
      <c r="G10678" s="4" t="s">
        <v>8</v>
      </c>
      <c r="H10678" s="4" t="s">
        <v>8</v>
      </c>
    </row>
    <row r="10679" spans="1:18">
      <c r="A10679" t="n">
        <v>99360</v>
      </c>
      <c r="B10679" s="38" t="n">
        <v>51</v>
      </c>
      <c r="C10679" s="7" t="n">
        <v>3</v>
      </c>
      <c r="D10679" s="7" t="n">
        <v>18</v>
      </c>
      <c r="E10679" s="7" t="s">
        <v>881</v>
      </c>
      <c r="F10679" s="7" t="s">
        <v>218</v>
      </c>
      <c r="G10679" s="7" t="s">
        <v>78</v>
      </c>
      <c r="H10679" s="7" t="s">
        <v>79</v>
      </c>
    </row>
    <row r="10680" spans="1:18">
      <c r="A10680" t="s">
        <v>4</v>
      </c>
      <c r="B10680" s="4" t="s">
        <v>5</v>
      </c>
      <c r="C10680" s="4" t="s">
        <v>11</v>
      </c>
      <c r="D10680" s="4" t="s">
        <v>7</v>
      </c>
      <c r="E10680" s="4" t="s">
        <v>13</v>
      </c>
      <c r="F10680" s="4" t="s">
        <v>11</v>
      </c>
    </row>
    <row r="10681" spans="1:18">
      <c r="A10681" t="n">
        <v>99373</v>
      </c>
      <c r="B10681" s="56" t="n">
        <v>59</v>
      </c>
      <c r="C10681" s="7" t="n">
        <v>18</v>
      </c>
      <c r="D10681" s="7" t="n">
        <v>9</v>
      </c>
      <c r="E10681" s="7" t="n">
        <v>0.150000005960464</v>
      </c>
      <c r="F10681" s="7" t="n">
        <v>0</v>
      </c>
    </row>
    <row r="10682" spans="1:18">
      <c r="A10682" t="s">
        <v>4</v>
      </c>
      <c r="B10682" s="4" t="s">
        <v>5</v>
      </c>
      <c r="C10682" s="4" t="s">
        <v>11</v>
      </c>
    </row>
    <row r="10683" spans="1:18">
      <c r="A10683" t="n">
        <v>99383</v>
      </c>
      <c r="B10683" s="29" t="n">
        <v>16</v>
      </c>
      <c r="C10683" s="7" t="n">
        <v>1800</v>
      </c>
    </row>
    <row r="10684" spans="1:18">
      <c r="A10684" t="s">
        <v>4</v>
      </c>
      <c r="B10684" s="4" t="s">
        <v>5</v>
      </c>
      <c r="C10684" s="4" t="s">
        <v>7</v>
      </c>
      <c r="D10684" s="4" t="s">
        <v>11</v>
      </c>
      <c r="E10684" s="4" t="s">
        <v>13</v>
      </c>
    </row>
    <row r="10685" spans="1:18">
      <c r="A10685" t="n">
        <v>99386</v>
      </c>
      <c r="B10685" s="23" t="n">
        <v>58</v>
      </c>
      <c r="C10685" s="7" t="n">
        <v>101</v>
      </c>
      <c r="D10685" s="7" t="n">
        <v>800</v>
      </c>
      <c r="E10685" s="7" t="n">
        <v>1</v>
      </c>
    </row>
    <row r="10686" spans="1:18">
      <c r="A10686" t="s">
        <v>4</v>
      </c>
      <c r="B10686" s="4" t="s">
        <v>5</v>
      </c>
      <c r="C10686" s="4" t="s">
        <v>7</v>
      </c>
      <c r="D10686" s="4" t="s">
        <v>11</v>
      </c>
    </row>
    <row r="10687" spans="1:18">
      <c r="A10687" t="n">
        <v>99394</v>
      </c>
      <c r="B10687" s="23" t="n">
        <v>58</v>
      </c>
      <c r="C10687" s="7" t="n">
        <v>254</v>
      </c>
      <c r="D10687" s="7" t="n">
        <v>0</v>
      </c>
    </row>
    <row r="10688" spans="1:18">
      <c r="A10688" t="s">
        <v>4</v>
      </c>
      <c r="B10688" s="4" t="s">
        <v>5</v>
      </c>
      <c r="C10688" s="4" t="s">
        <v>7</v>
      </c>
      <c r="D10688" s="4" t="s">
        <v>7</v>
      </c>
      <c r="E10688" s="4" t="s">
        <v>13</v>
      </c>
      <c r="F10688" s="4" t="s">
        <v>13</v>
      </c>
      <c r="G10688" s="4" t="s">
        <v>13</v>
      </c>
      <c r="H10688" s="4" t="s">
        <v>11</v>
      </c>
    </row>
    <row r="10689" spans="1:8">
      <c r="A10689" t="n">
        <v>99398</v>
      </c>
      <c r="B10689" s="51" t="n">
        <v>45</v>
      </c>
      <c r="C10689" s="7" t="n">
        <v>2</v>
      </c>
      <c r="D10689" s="7" t="n">
        <v>3</v>
      </c>
      <c r="E10689" s="7" t="n">
        <v>-7.36999988555908</v>
      </c>
      <c r="F10689" s="7" t="n">
        <v>6.32999992370605</v>
      </c>
      <c r="G10689" s="7" t="n">
        <v>29.8199996948242</v>
      </c>
      <c r="H10689" s="7" t="n">
        <v>0</v>
      </c>
    </row>
    <row r="10690" spans="1:8">
      <c r="A10690" t="s">
        <v>4</v>
      </c>
      <c r="B10690" s="4" t="s">
        <v>5</v>
      </c>
      <c r="C10690" s="4" t="s">
        <v>7</v>
      </c>
      <c r="D10690" s="4" t="s">
        <v>7</v>
      </c>
      <c r="E10690" s="4" t="s">
        <v>13</v>
      </c>
      <c r="F10690" s="4" t="s">
        <v>13</v>
      </c>
      <c r="G10690" s="4" t="s">
        <v>13</v>
      </c>
      <c r="H10690" s="4" t="s">
        <v>11</v>
      </c>
      <c r="I10690" s="4" t="s">
        <v>7</v>
      </c>
    </row>
    <row r="10691" spans="1:8">
      <c r="A10691" t="n">
        <v>99415</v>
      </c>
      <c r="B10691" s="51" t="n">
        <v>45</v>
      </c>
      <c r="C10691" s="7" t="n">
        <v>4</v>
      </c>
      <c r="D10691" s="7" t="n">
        <v>3</v>
      </c>
      <c r="E10691" s="7" t="n">
        <v>10.3299999237061</v>
      </c>
      <c r="F10691" s="7" t="n">
        <v>61.2000007629395</v>
      </c>
      <c r="G10691" s="7" t="n">
        <v>356</v>
      </c>
      <c r="H10691" s="7" t="n">
        <v>0</v>
      </c>
      <c r="I10691" s="7" t="n">
        <v>0</v>
      </c>
    </row>
    <row r="10692" spans="1:8">
      <c r="A10692" t="s">
        <v>4</v>
      </c>
      <c r="B10692" s="4" t="s">
        <v>5</v>
      </c>
      <c r="C10692" s="4" t="s">
        <v>7</v>
      </c>
      <c r="D10692" s="4" t="s">
        <v>7</v>
      </c>
      <c r="E10692" s="4" t="s">
        <v>13</v>
      </c>
      <c r="F10692" s="4" t="s">
        <v>11</v>
      </c>
    </row>
    <row r="10693" spans="1:8">
      <c r="A10693" t="n">
        <v>99433</v>
      </c>
      <c r="B10693" s="51" t="n">
        <v>45</v>
      </c>
      <c r="C10693" s="7" t="n">
        <v>5</v>
      </c>
      <c r="D10693" s="7" t="n">
        <v>3</v>
      </c>
      <c r="E10693" s="7" t="n">
        <v>0.800000011920929</v>
      </c>
      <c r="F10693" s="7" t="n">
        <v>0</v>
      </c>
    </row>
    <row r="10694" spans="1:8">
      <c r="A10694" t="s">
        <v>4</v>
      </c>
      <c r="B10694" s="4" t="s">
        <v>5</v>
      </c>
      <c r="C10694" s="4" t="s">
        <v>7</v>
      </c>
      <c r="D10694" s="4" t="s">
        <v>7</v>
      </c>
      <c r="E10694" s="4" t="s">
        <v>13</v>
      </c>
      <c r="F10694" s="4" t="s">
        <v>11</v>
      </c>
    </row>
    <row r="10695" spans="1:8">
      <c r="A10695" t="n">
        <v>99442</v>
      </c>
      <c r="B10695" s="51" t="n">
        <v>45</v>
      </c>
      <c r="C10695" s="7" t="n">
        <v>11</v>
      </c>
      <c r="D10695" s="7" t="n">
        <v>3</v>
      </c>
      <c r="E10695" s="7" t="n">
        <v>40.2999992370605</v>
      </c>
      <c r="F10695" s="7" t="n">
        <v>0</v>
      </c>
    </row>
    <row r="10696" spans="1:8">
      <c r="A10696" t="s">
        <v>4</v>
      </c>
      <c r="B10696" s="4" t="s">
        <v>5</v>
      </c>
      <c r="C10696" s="4" t="s">
        <v>7</v>
      </c>
    </row>
    <row r="10697" spans="1:8">
      <c r="A10697" t="n">
        <v>99451</v>
      </c>
      <c r="B10697" s="49" t="n">
        <v>116</v>
      </c>
      <c r="C10697" s="7" t="n">
        <v>0</v>
      </c>
    </row>
    <row r="10698" spans="1:8">
      <c r="A10698" t="s">
        <v>4</v>
      </c>
      <c r="B10698" s="4" t="s">
        <v>5</v>
      </c>
      <c r="C10698" s="4" t="s">
        <v>7</v>
      </c>
      <c r="D10698" s="4" t="s">
        <v>11</v>
      </c>
    </row>
    <row r="10699" spans="1:8">
      <c r="A10699" t="n">
        <v>99453</v>
      </c>
      <c r="B10699" s="49" t="n">
        <v>116</v>
      </c>
      <c r="C10699" s="7" t="n">
        <v>2</v>
      </c>
      <c r="D10699" s="7" t="n">
        <v>1</v>
      </c>
    </row>
    <row r="10700" spans="1:8">
      <c r="A10700" t="s">
        <v>4</v>
      </c>
      <c r="B10700" s="4" t="s">
        <v>5</v>
      </c>
      <c r="C10700" s="4" t="s">
        <v>7</v>
      </c>
      <c r="D10700" s="4" t="s">
        <v>15</v>
      </c>
    </row>
    <row r="10701" spans="1:8">
      <c r="A10701" t="n">
        <v>99457</v>
      </c>
      <c r="B10701" s="49" t="n">
        <v>116</v>
      </c>
      <c r="C10701" s="7" t="n">
        <v>5</v>
      </c>
      <c r="D10701" s="7" t="n">
        <v>1077936128</v>
      </c>
    </row>
    <row r="10702" spans="1:8">
      <c r="A10702" t="s">
        <v>4</v>
      </c>
      <c r="B10702" s="4" t="s">
        <v>5</v>
      </c>
      <c r="C10702" s="4" t="s">
        <v>7</v>
      </c>
      <c r="D10702" s="4" t="s">
        <v>11</v>
      </c>
    </row>
    <row r="10703" spans="1:8">
      <c r="A10703" t="n">
        <v>99463</v>
      </c>
      <c r="B10703" s="49" t="n">
        <v>116</v>
      </c>
      <c r="C10703" s="7" t="n">
        <v>6</v>
      </c>
      <c r="D10703" s="7" t="n">
        <v>1</v>
      </c>
    </row>
    <row r="10704" spans="1:8">
      <c r="A10704" t="s">
        <v>4</v>
      </c>
      <c r="B10704" s="4" t="s">
        <v>5</v>
      </c>
      <c r="C10704" s="4" t="s">
        <v>11</v>
      </c>
      <c r="D10704" s="4" t="s">
        <v>11</v>
      </c>
      <c r="E10704" s="4" t="s">
        <v>13</v>
      </c>
      <c r="F10704" s="4" t="s">
        <v>7</v>
      </c>
    </row>
    <row r="10705" spans="1:9">
      <c r="A10705" t="n">
        <v>99467</v>
      </c>
      <c r="B10705" s="73" t="n">
        <v>53</v>
      </c>
      <c r="C10705" s="7" t="n">
        <v>0</v>
      </c>
      <c r="D10705" s="7" t="n">
        <v>18</v>
      </c>
      <c r="E10705" s="7" t="n">
        <v>0</v>
      </c>
      <c r="F10705" s="7" t="n">
        <v>0</v>
      </c>
    </row>
    <row r="10706" spans="1:9">
      <c r="A10706" t="s">
        <v>4</v>
      </c>
      <c r="B10706" s="4" t="s">
        <v>5</v>
      </c>
      <c r="C10706" s="4" t="s">
        <v>7</v>
      </c>
      <c r="D10706" s="4" t="s">
        <v>11</v>
      </c>
    </row>
    <row r="10707" spans="1:9">
      <c r="A10707" t="n">
        <v>99477</v>
      </c>
      <c r="B10707" s="23" t="n">
        <v>58</v>
      </c>
      <c r="C10707" s="7" t="n">
        <v>255</v>
      </c>
      <c r="D10707" s="7" t="n">
        <v>0</v>
      </c>
    </row>
    <row r="10708" spans="1:9">
      <c r="A10708" t="s">
        <v>4</v>
      </c>
      <c r="B10708" s="4" t="s">
        <v>5</v>
      </c>
      <c r="C10708" s="4" t="s">
        <v>7</v>
      </c>
      <c r="D10708" s="4" t="s">
        <v>11</v>
      </c>
      <c r="E10708" s="4" t="s">
        <v>8</v>
      </c>
      <c r="F10708" s="4" t="s">
        <v>8</v>
      </c>
      <c r="G10708" s="4" t="s">
        <v>8</v>
      </c>
      <c r="H10708" s="4" t="s">
        <v>8</v>
      </c>
    </row>
    <row r="10709" spans="1:9">
      <c r="A10709" t="n">
        <v>99481</v>
      </c>
      <c r="B10709" s="38" t="n">
        <v>51</v>
      </c>
      <c r="C10709" s="7" t="n">
        <v>3</v>
      </c>
      <c r="D10709" s="7" t="n">
        <v>18</v>
      </c>
      <c r="E10709" s="7" t="s">
        <v>99</v>
      </c>
      <c r="F10709" s="7" t="s">
        <v>218</v>
      </c>
      <c r="G10709" s="7" t="s">
        <v>78</v>
      </c>
      <c r="H10709" s="7" t="s">
        <v>79</v>
      </c>
    </row>
    <row r="10710" spans="1:9">
      <c r="A10710" t="s">
        <v>4</v>
      </c>
      <c r="B10710" s="4" t="s">
        <v>5</v>
      </c>
      <c r="C10710" s="4" t="s">
        <v>11</v>
      </c>
      <c r="D10710" s="4" t="s">
        <v>11</v>
      </c>
      <c r="E10710" s="4" t="s">
        <v>13</v>
      </c>
      <c r="F10710" s="4" t="s">
        <v>7</v>
      </c>
    </row>
    <row r="10711" spans="1:9">
      <c r="A10711" t="n">
        <v>99494</v>
      </c>
      <c r="B10711" s="73" t="n">
        <v>53</v>
      </c>
      <c r="C10711" s="7" t="n">
        <v>18</v>
      </c>
      <c r="D10711" s="7" t="n">
        <v>0</v>
      </c>
      <c r="E10711" s="7" t="n">
        <v>5</v>
      </c>
      <c r="F10711" s="7" t="n">
        <v>0</v>
      </c>
    </row>
    <row r="10712" spans="1:9">
      <c r="A10712" t="s">
        <v>4</v>
      </c>
      <c r="B10712" s="4" t="s">
        <v>5</v>
      </c>
      <c r="C10712" s="4" t="s">
        <v>11</v>
      </c>
    </row>
    <row r="10713" spans="1:9">
      <c r="A10713" t="n">
        <v>99504</v>
      </c>
      <c r="B10713" s="66" t="n">
        <v>54</v>
      </c>
      <c r="C10713" s="7" t="n">
        <v>18</v>
      </c>
    </row>
    <row r="10714" spans="1:9">
      <c r="A10714" t="s">
        <v>4</v>
      </c>
      <c r="B10714" s="4" t="s">
        <v>5</v>
      </c>
      <c r="C10714" s="4" t="s">
        <v>7</v>
      </c>
      <c r="D10714" s="4" t="s">
        <v>7</v>
      </c>
    </row>
    <row r="10715" spans="1:9">
      <c r="A10715" t="n">
        <v>99507</v>
      </c>
      <c r="B10715" s="13" t="n">
        <v>49</v>
      </c>
      <c r="C10715" s="7" t="n">
        <v>2</v>
      </c>
      <c r="D10715" s="7" t="n">
        <v>0</v>
      </c>
    </row>
    <row r="10716" spans="1:9">
      <c r="A10716" t="s">
        <v>4</v>
      </c>
      <c r="B10716" s="4" t="s">
        <v>5</v>
      </c>
      <c r="C10716" s="4" t="s">
        <v>7</v>
      </c>
      <c r="D10716" s="4" t="s">
        <v>11</v>
      </c>
      <c r="E10716" s="4" t="s">
        <v>15</v>
      </c>
      <c r="F10716" s="4" t="s">
        <v>11</v>
      </c>
      <c r="G10716" s="4" t="s">
        <v>15</v>
      </c>
      <c r="H10716" s="4" t="s">
        <v>7</v>
      </c>
    </row>
    <row r="10717" spans="1:9">
      <c r="A10717" t="n">
        <v>99510</v>
      </c>
      <c r="B10717" s="13" t="n">
        <v>49</v>
      </c>
      <c r="C10717" s="7" t="n">
        <v>0</v>
      </c>
      <c r="D10717" s="7" t="n">
        <v>551</v>
      </c>
      <c r="E10717" s="7" t="n">
        <v>1061997773</v>
      </c>
      <c r="F10717" s="7" t="n">
        <v>0</v>
      </c>
      <c r="G10717" s="7" t="n">
        <v>0</v>
      </c>
      <c r="H10717" s="7" t="n">
        <v>0</v>
      </c>
    </row>
    <row r="10718" spans="1:9">
      <c r="A10718" t="s">
        <v>4</v>
      </c>
      <c r="B10718" s="4" t="s">
        <v>5</v>
      </c>
      <c r="C10718" s="4" t="s">
        <v>7</v>
      </c>
      <c r="D10718" s="4" t="s">
        <v>11</v>
      </c>
    </row>
    <row r="10719" spans="1:9">
      <c r="A10719" t="n">
        <v>99525</v>
      </c>
      <c r="B10719" s="13" t="n">
        <v>49</v>
      </c>
      <c r="C10719" s="7" t="n">
        <v>6</v>
      </c>
      <c r="D10719" s="7" t="n">
        <v>551</v>
      </c>
    </row>
    <row r="10720" spans="1:9">
      <c r="A10720" t="s">
        <v>4</v>
      </c>
      <c r="B10720" s="4" t="s">
        <v>5</v>
      </c>
      <c r="C10720" s="4" t="s">
        <v>11</v>
      </c>
    </row>
    <row r="10721" spans="1:8">
      <c r="A10721" t="n">
        <v>99529</v>
      </c>
      <c r="B10721" s="29" t="n">
        <v>16</v>
      </c>
      <c r="C10721" s="7" t="n">
        <v>500</v>
      </c>
    </row>
    <row r="10722" spans="1:8">
      <c r="A10722" t="s">
        <v>4</v>
      </c>
      <c r="B10722" s="4" t="s">
        <v>5</v>
      </c>
      <c r="C10722" s="4" t="s">
        <v>7</v>
      </c>
      <c r="D10722" s="4" t="s">
        <v>11</v>
      </c>
      <c r="E10722" s="4" t="s">
        <v>8</v>
      </c>
    </row>
    <row r="10723" spans="1:8">
      <c r="A10723" t="n">
        <v>99532</v>
      </c>
      <c r="B10723" s="38" t="n">
        <v>51</v>
      </c>
      <c r="C10723" s="7" t="n">
        <v>4</v>
      </c>
      <c r="D10723" s="7" t="n">
        <v>18</v>
      </c>
      <c r="E10723" s="7" t="s">
        <v>658</v>
      </c>
    </row>
    <row r="10724" spans="1:8">
      <c r="A10724" t="s">
        <v>4</v>
      </c>
      <c r="B10724" s="4" t="s">
        <v>5</v>
      </c>
      <c r="C10724" s="4" t="s">
        <v>11</v>
      </c>
    </row>
    <row r="10725" spans="1:8">
      <c r="A10725" t="n">
        <v>99546</v>
      </c>
      <c r="B10725" s="29" t="n">
        <v>16</v>
      </c>
      <c r="C10725" s="7" t="n">
        <v>0</v>
      </c>
    </row>
    <row r="10726" spans="1:8">
      <c r="A10726" t="s">
        <v>4</v>
      </c>
      <c r="B10726" s="4" t="s">
        <v>5</v>
      </c>
      <c r="C10726" s="4" t="s">
        <v>11</v>
      </c>
      <c r="D10726" s="4" t="s">
        <v>7</v>
      </c>
      <c r="E10726" s="4" t="s">
        <v>15</v>
      </c>
      <c r="F10726" s="4" t="s">
        <v>55</v>
      </c>
      <c r="G10726" s="4" t="s">
        <v>7</v>
      </c>
      <c r="H10726" s="4" t="s">
        <v>7</v>
      </c>
    </row>
    <row r="10727" spans="1:8">
      <c r="A10727" t="n">
        <v>99549</v>
      </c>
      <c r="B10727" s="55" t="n">
        <v>26</v>
      </c>
      <c r="C10727" s="7" t="n">
        <v>18</v>
      </c>
      <c r="D10727" s="7" t="n">
        <v>17</v>
      </c>
      <c r="E10727" s="7" t="n">
        <v>17800</v>
      </c>
      <c r="F10727" s="7" t="s">
        <v>882</v>
      </c>
      <c r="G10727" s="7" t="n">
        <v>2</v>
      </c>
      <c r="H10727" s="7" t="n">
        <v>0</v>
      </c>
    </row>
    <row r="10728" spans="1:8">
      <c r="A10728" t="s">
        <v>4</v>
      </c>
      <c r="B10728" s="4" t="s">
        <v>5</v>
      </c>
    </row>
    <row r="10729" spans="1:8">
      <c r="A10729" t="n">
        <v>99623</v>
      </c>
      <c r="B10729" s="27" t="n">
        <v>28</v>
      </c>
    </row>
    <row r="10730" spans="1:8">
      <c r="A10730" t="s">
        <v>4</v>
      </c>
      <c r="B10730" s="4" t="s">
        <v>5</v>
      </c>
      <c r="C10730" s="4" t="s">
        <v>7</v>
      </c>
      <c r="D10730" s="4" t="s">
        <v>11</v>
      </c>
      <c r="E10730" s="4" t="s">
        <v>8</v>
      </c>
    </row>
    <row r="10731" spans="1:8">
      <c r="A10731" t="n">
        <v>99624</v>
      </c>
      <c r="B10731" s="38" t="n">
        <v>51</v>
      </c>
      <c r="C10731" s="7" t="n">
        <v>4</v>
      </c>
      <c r="D10731" s="7" t="n">
        <v>0</v>
      </c>
      <c r="E10731" s="7" t="s">
        <v>883</v>
      </c>
    </row>
    <row r="10732" spans="1:8">
      <c r="A10732" t="s">
        <v>4</v>
      </c>
      <c r="B10732" s="4" t="s">
        <v>5</v>
      </c>
      <c r="C10732" s="4" t="s">
        <v>11</v>
      </c>
    </row>
    <row r="10733" spans="1:8">
      <c r="A10733" t="n">
        <v>99638</v>
      </c>
      <c r="B10733" s="29" t="n">
        <v>16</v>
      </c>
      <c r="C10733" s="7" t="n">
        <v>0</v>
      </c>
    </row>
    <row r="10734" spans="1:8">
      <c r="A10734" t="s">
        <v>4</v>
      </c>
      <c r="B10734" s="4" t="s">
        <v>5</v>
      </c>
      <c r="C10734" s="4" t="s">
        <v>11</v>
      </c>
      <c r="D10734" s="4" t="s">
        <v>7</v>
      </c>
      <c r="E10734" s="4" t="s">
        <v>15</v>
      </c>
      <c r="F10734" s="4" t="s">
        <v>55</v>
      </c>
      <c r="G10734" s="4" t="s">
        <v>7</v>
      </c>
      <c r="H10734" s="4" t="s">
        <v>7</v>
      </c>
    </row>
    <row r="10735" spans="1:8">
      <c r="A10735" t="n">
        <v>99641</v>
      </c>
      <c r="B10735" s="55" t="n">
        <v>26</v>
      </c>
      <c r="C10735" s="7" t="n">
        <v>0</v>
      </c>
      <c r="D10735" s="7" t="n">
        <v>17</v>
      </c>
      <c r="E10735" s="7" t="n">
        <v>64085</v>
      </c>
      <c r="F10735" s="7" t="s">
        <v>884</v>
      </c>
      <c r="G10735" s="7" t="n">
        <v>2</v>
      </c>
      <c r="H10735" s="7" t="n">
        <v>0</v>
      </c>
    </row>
    <row r="10736" spans="1:8">
      <c r="A10736" t="s">
        <v>4</v>
      </c>
      <c r="B10736" s="4" t="s">
        <v>5</v>
      </c>
    </row>
    <row r="10737" spans="1:8">
      <c r="A10737" t="n">
        <v>99661</v>
      </c>
      <c r="B10737" s="27" t="n">
        <v>28</v>
      </c>
    </row>
    <row r="10738" spans="1:8">
      <c r="A10738" t="s">
        <v>4</v>
      </c>
      <c r="B10738" s="4" t="s">
        <v>5</v>
      </c>
      <c r="C10738" s="4" t="s">
        <v>7</v>
      </c>
      <c r="D10738" s="4" t="s">
        <v>11</v>
      </c>
      <c r="E10738" s="4" t="s">
        <v>8</v>
      </c>
    </row>
    <row r="10739" spans="1:8">
      <c r="A10739" t="n">
        <v>99662</v>
      </c>
      <c r="B10739" s="38" t="n">
        <v>51</v>
      </c>
      <c r="C10739" s="7" t="n">
        <v>4</v>
      </c>
      <c r="D10739" s="7" t="n">
        <v>18</v>
      </c>
      <c r="E10739" s="7" t="s">
        <v>885</v>
      </c>
    </row>
    <row r="10740" spans="1:8">
      <c r="A10740" t="s">
        <v>4</v>
      </c>
      <c r="B10740" s="4" t="s">
        <v>5</v>
      </c>
      <c r="C10740" s="4" t="s">
        <v>11</v>
      </c>
    </row>
    <row r="10741" spans="1:8">
      <c r="A10741" t="n">
        <v>99675</v>
      </c>
      <c r="B10741" s="29" t="n">
        <v>16</v>
      </c>
      <c r="C10741" s="7" t="n">
        <v>0</v>
      </c>
    </row>
    <row r="10742" spans="1:8">
      <c r="A10742" t="s">
        <v>4</v>
      </c>
      <c r="B10742" s="4" t="s">
        <v>5</v>
      </c>
      <c r="C10742" s="4" t="s">
        <v>11</v>
      </c>
      <c r="D10742" s="4" t="s">
        <v>7</v>
      </c>
      <c r="E10742" s="4" t="s">
        <v>15</v>
      </c>
      <c r="F10742" s="4" t="s">
        <v>55</v>
      </c>
      <c r="G10742" s="4" t="s">
        <v>7</v>
      </c>
      <c r="H10742" s="4" t="s">
        <v>7</v>
      </c>
      <c r="I10742" s="4" t="s">
        <v>7</v>
      </c>
      <c r="J10742" s="4" t="s">
        <v>15</v>
      </c>
      <c r="K10742" s="4" t="s">
        <v>55</v>
      </c>
      <c r="L10742" s="4" t="s">
        <v>7</v>
      </c>
      <c r="M10742" s="4" t="s">
        <v>7</v>
      </c>
      <c r="N10742" s="4" t="s">
        <v>7</v>
      </c>
      <c r="O10742" s="4" t="s">
        <v>15</v>
      </c>
      <c r="P10742" s="4" t="s">
        <v>55</v>
      </c>
      <c r="Q10742" s="4" t="s">
        <v>7</v>
      </c>
      <c r="R10742" s="4" t="s">
        <v>7</v>
      </c>
      <c r="S10742" s="4" t="s">
        <v>7</v>
      </c>
      <c r="T10742" s="4" t="s">
        <v>15</v>
      </c>
      <c r="U10742" s="4" t="s">
        <v>55</v>
      </c>
      <c r="V10742" s="4" t="s">
        <v>7</v>
      </c>
      <c r="W10742" s="4" t="s">
        <v>7</v>
      </c>
    </row>
    <row r="10743" spans="1:8">
      <c r="A10743" t="n">
        <v>99678</v>
      </c>
      <c r="B10743" s="55" t="n">
        <v>26</v>
      </c>
      <c r="C10743" s="7" t="n">
        <v>18</v>
      </c>
      <c r="D10743" s="7" t="n">
        <v>17</v>
      </c>
      <c r="E10743" s="7" t="n">
        <v>17801</v>
      </c>
      <c r="F10743" s="7" t="s">
        <v>886</v>
      </c>
      <c r="G10743" s="7" t="n">
        <v>2</v>
      </c>
      <c r="H10743" s="7" t="n">
        <v>3</v>
      </c>
      <c r="I10743" s="7" t="n">
        <v>17</v>
      </c>
      <c r="J10743" s="7" t="n">
        <v>17802</v>
      </c>
      <c r="K10743" s="7" t="s">
        <v>887</v>
      </c>
      <c r="L10743" s="7" t="n">
        <v>2</v>
      </c>
      <c r="M10743" s="7" t="n">
        <v>3</v>
      </c>
      <c r="N10743" s="7" t="n">
        <v>17</v>
      </c>
      <c r="O10743" s="7" t="n">
        <v>17803</v>
      </c>
      <c r="P10743" s="7" t="s">
        <v>888</v>
      </c>
      <c r="Q10743" s="7" t="n">
        <v>2</v>
      </c>
      <c r="R10743" s="7" t="n">
        <v>3</v>
      </c>
      <c r="S10743" s="7" t="n">
        <v>17</v>
      </c>
      <c r="T10743" s="7" t="n">
        <v>17804</v>
      </c>
      <c r="U10743" s="7" t="s">
        <v>889</v>
      </c>
      <c r="V10743" s="7" t="n">
        <v>2</v>
      </c>
      <c r="W10743" s="7" t="n">
        <v>0</v>
      </c>
    </row>
    <row r="10744" spans="1:8">
      <c r="A10744" t="s">
        <v>4</v>
      </c>
      <c r="B10744" s="4" t="s">
        <v>5</v>
      </c>
    </row>
    <row r="10745" spans="1:8">
      <c r="A10745" t="n">
        <v>100110</v>
      </c>
      <c r="B10745" s="27" t="n">
        <v>28</v>
      </c>
    </row>
    <row r="10746" spans="1:8">
      <c r="A10746" t="s">
        <v>4</v>
      </c>
      <c r="B10746" s="4" t="s">
        <v>5</v>
      </c>
      <c r="C10746" s="4" t="s">
        <v>7</v>
      </c>
      <c r="D10746" s="4" t="s">
        <v>11</v>
      </c>
      <c r="E10746" s="4" t="s">
        <v>8</v>
      </c>
    </row>
    <row r="10747" spans="1:8">
      <c r="A10747" t="n">
        <v>100111</v>
      </c>
      <c r="B10747" s="38" t="n">
        <v>51</v>
      </c>
      <c r="C10747" s="7" t="n">
        <v>4</v>
      </c>
      <c r="D10747" s="7" t="n">
        <v>0</v>
      </c>
      <c r="E10747" s="7" t="s">
        <v>147</v>
      </c>
    </row>
    <row r="10748" spans="1:8">
      <c r="A10748" t="s">
        <v>4</v>
      </c>
      <c r="B10748" s="4" t="s">
        <v>5</v>
      </c>
      <c r="C10748" s="4" t="s">
        <v>11</v>
      </c>
    </row>
    <row r="10749" spans="1:8">
      <c r="A10749" t="n">
        <v>100125</v>
      </c>
      <c r="B10749" s="29" t="n">
        <v>16</v>
      </c>
      <c r="C10749" s="7" t="n">
        <v>0</v>
      </c>
    </row>
    <row r="10750" spans="1:8">
      <c r="A10750" t="s">
        <v>4</v>
      </c>
      <c r="B10750" s="4" t="s">
        <v>5</v>
      </c>
      <c r="C10750" s="4" t="s">
        <v>11</v>
      </c>
      <c r="D10750" s="4" t="s">
        <v>7</v>
      </c>
      <c r="E10750" s="4" t="s">
        <v>15</v>
      </c>
      <c r="F10750" s="4" t="s">
        <v>55</v>
      </c>
      <c r="G10750" s="4" t="s">
        <v>7</v>
      </c>
      <c r="H10750" s="4" t="s">
        <v>7</v>
      </c>
    </row>
    <row r="10751" spans="1:8">
      <c r="A10751" t="n">
        <v>100128</v>
      </c>
      <c r="B10751" s="55" t="n">
        <v>26</v>
      </c>
      <c r="C10751" s="7" t="n">
        <v>0</v>
      </c>
      <c r="D10751" s="7" t="n">
        <v>17</v>
      </c>
      <c r="E10751" s="7" t="n">
        <v>64086</v>
      </c>
      <c r="F10751" s="7" t="s">
        <v>890</v>
      </c>
      <c r="G10751" s="7" t="n">
        <v>2</v>
      </c>
      <c r="H10751" s="7" t="n">
        <v>0</v>
      </c>
    </row>
    <row r="10752" spans="1:8">
      <c r="A10752" t="s">
        <v>4</v>
      </c>
      <c r="B10752" s="4" t="s">
        <v>5</v>
      </c>
    </row>
    <row r="10753" spans="1:23">
      <c r="A10753" t="n">
        <v>100170</v>
      </c>
      <c r="B10753" s="27" t="n">
        <v>28</v>
      </c>
    </row>
    <row r="10754" spans="1:23">
      <c r="A10754" t="s">
        <v>4</v>
      </c>
      <c r="B10754" s="4" t="s">
        <v>5</v>
      </c>
      <c r="C10754" s="4" t="s">
        <v>7</v>
      </c>
      <c r="D10754" s="4" t="s">
        <v>11</v>
      </c>
      <c r="E10754" s="4" t="s">
        <v>8</v>
      </c>
    </row>
    <row r="10755" spans="1:23">
      <c r="A10755" t="n">
        <v>100171</v>
      </c>
      <c r="B10755" s="38" t="n">
        <v>51</v>
      </c>
      <c r="C10755" s="7" t="n">
        <v>4</v>
      </c>
      <c r="D10755" s="7" t="n">
        <v>18</v>
      </c>
      <c r="E10755" s="7" t="s">
        <v>891</v>
      </c>
    </row>
    <row r="10756" spans="1:23">
      <c r="A10756" t="s">
        <v>4</v>
      </c>
      <c r="B10756" s="4" t="s">
        <v>5</v>
      </c>
      <c r="C10756" s="4" t="s">
        <v>11</v>
      </c>
    </row>
    <row r="10757" spans="1:23">
      <c r="A10757" t="n">
        <v>100185</v>
      </c>
      <c r="B10757" s="29" t="n">
        <v>16</v>
      </c>
      <c r="C10757" s="7" t="n">
        <v>0</v>
      </c>
    </row>
    <row r="10758" spans="1:23">
      <c r="A10758" t="s">
        <v>4</v>
      </c>
      <c r="B10758" s="4" t="s">
        <v>5</v>
      </c>
      <c r="C10758" s="4" t="s">
        <v>11</v>
      </c>
      <c r="D10758" s="4" t="s">
        <v>7</v>
      </c>
      <c r="E10758" s="4" t="s">
        <v>15</v>
      </c>
      <c r="F10758" s="4" t="s">
        <v>55</v>
      </c>
      <c r="G10758" s="4" t="s">
        <v>7</v>
      </c>
      <c r="H10758" s="4" t="s">
        <v>7</v>
      </c>
      <c r="I10758" s="4" t="s">
        <v>7</v>
      </c>
      <c r="J10758" s="4" t="s">
        <v>15</v>
      </c>
      <c r="K10758" s="4" t="s">
        <v>55</v>
      </c>
      <c r="L10758" s="4" t="s">
        <v>7</v>
      </c>
      <c r="M10758" s="4" t="s">
        <v>7</v>
      </c>
    </row>
    <row r="10759" spans="1:23">
      <c r="A10759" t="n">
        <v>100188</v>
      </c>
      <c r="B10759" s="55" t="n">
        <v>26</v>
      </c>
      <c r="C10759" s="7" t="n">
        <v>18</v>
      </c>
      <c r="D10759" s="7" t="n">
        <v>17</v>
      </c>
      <c r="E10759" s="7" t="n">
        <v>17805</v>
      </c>
      <c r="F10759" s="7" t="s">
        <v>892</v>
      </c>
      <c r="G10759" s="7" t="n">
        <v>2</v>
      </c>
      <c r="H10759" s="7" t="n">
        <v>3</v>
      </c>
      <c r="I10759" s="7" t="n">
        <v>17</v>
      </c>
      <c r="J10759" s="7" t="n">
        <v>17806</v>
      </c>
      <c r="K10759" s="7" t="s">
        <v>893</v>
      </c>
      <c r="L10759" s="7" t="n">
        <v>2</v>
      </c>
      <c r="M10759" s="7" t="n">
        <v>0</v>
      </c>
    </row>
    <row r="10760" spans="1:23">
      <c r="A10760" t="s">
        <v>4</v>
      </c>
      <c r="B10760" s="4" t="s">
        <v>5</v>
      </c>
    </row>
    <row r="10761" spans="1:23">
      <c r="A10761" t="n">
        <v>100383</v>
      </c>
      <c r="B10761" s="27" t="n">
        <v>28</v>
      </c>
    </row>
    <row r="10762" spans="1:23">
      <c r="A10762" t="s">
        <v>4</v>
      </c>
      <c r="B10762" s="4" t="s">
        <v>5</v>
      </c>
      <c r="C10762" s="4" t="s">
        <v>11</v>
      </c>
      <c r="D10762" s="4" t="s">
        <v>7</v>
      </c>
    </row>
    <row r="10763" spans="1:23">
      <c r="A10763" t="n">
        <v>100384</v>
      </c>
      <c r="B10763" s="68" t="n">
        <v>89</v>
      </c>
      <c r="C10763" s="7" t="n">
        <v>65533</v>
      </c>
      <c r="D10763" s="7" t="n">
        <v>1</v>
      </c>
    </row>
    <row r="10764" spans="1:23">
      <c r="A10764" t="s">
        <v>4</v>
      </c>
      <c r="B10764" s="4" t="s">
        <v>5</v>
      </c>
      <c r="C10764" s="4" t="s">
        <v>7</v>
      </c>
      <c r="D10764" s="4" t="s">
        <v>11</v>
      </c>
      <c r="E10764" s="4" t="s">
        <v>8</v>
      </c>
    </row>
    <row r="10765" spans="1:23">
      <c r="A10765" t="n">
        <v>100388</v>
      </c>
      <c r="B10765" s="38" t="n">
        <v>51</v>
      </c>
      <c r="C10765" s="7" t="n">
        <v>4</v>
      </c>
      <c r="D10765" s="7" t="n">
        <v>0</v>
      </c>
      <c r="E10765" s="7" t="s">
        <v>894</v>
      </c>
    </row>
    <row r="10766" spans="1:23">
      <c r="A10766" t="s">
        <v>4</v>
      </c>
      <c r="B10766" s="4" t="s">
        <v>5</v>
      </c>
      <c r="C10766" s="4" t="s">
        <v>11</v>
      </c>
    </row>
    <row r="10767" spans="1:23">
      <c r="A10767" t="n">
        <v>100402</v>
      </c>
      <c r="B10767" s="29" t="n">
        <v>16</v>
      </c>
      <c r="C10767" s="7" t="n">
        <v>0</v>
      </c>
    </row>
    <row r="10768" spans="1:23">
      <c r="A10768" t="s">
        <v>4</v>
      </c>
      <c r="B10768" s="4" t="s">
        <v>5</v>
      </c>
      <c r="C10768" s="4" t="s">
        <v>11</v>
      </c>
      <c r="D10768" s="4" t="s">
        <v>7</v>
      </c>
      <c r="E10768" s="4" t="s">
        <v>15</v>
      </c>
      <c r="F10768" s="4" t="s">
        <v>55</v>
      </c>
      <c r="G10768" s="4" t="s">
        <v>7</v>
      </c>
      <c r="H10768" s="4" t="s">
        <v>7</v>
      </c>
    </row>
    <row r="10769" spans="1:13">
      <c r="A10769" t="n">
        <v>100405</v>
      </c>
      <c r="B10769" s="55" t="n">
        <v>26</v>
      </c>
      <c r="C10769" s="7" t="n">
        <v>0</v>
      </c>
      <c r="D10769" s="7" t="n">
        <v>17</v>
      </c>
      <c r="E10769" s="7" t="n">
        <v>64268</v>
      </c>
      <c r="F10769" s="7" t="s">
        <v>446</v>
      </c>
      <c r="G10769" s="7" t="n">
        <v>2</v>
      </c>
      <c r="H10769" s="7" t="n">
        <v>0</v>
      </c>
    </row>
    <row r="10770" spans="1:13">
      <c r="A10770" t="s">
        <v>4</v>
      </c>
      <c r="B10770" s="4" t="s">
        <v>5</v>
      </c>
    </row>
    <row r="10771" spans="1:13">
      <c r="A10771" t="n">
        <v>100421</v>
      </c>
      <c r="B10771" s="27" t="n">
        <v>28</v>
      </c>
    </row>
    <row r="10772" spans="1:13">
      <c r="A10772" t="s">
        <v>4</v>
      </c>
      <c r="B10772" s="4" t="s">
        <v>5</v>
      </c>
      <c r="C10772" s="4" t="s">
        <v>11</v>
      </c>
      <c r="D10772" s="4" t="s">
        <v>7</v>
      </c>
    </row>
    <row r="10773" spans="1:13">
      <c r="A10773" t="n">
        <v>100422</v>
      </c>
      <c r="B10773" s="68" t="n">
        <v>89</v>
      </c>
      <c r="C10773" s="7" t="n">
        <v>65533</v>
      </c>
      <c r="D10773" s="7" t="n">
        <v>1</v>
      </c>
    </row>
    <row r="10774" spans="1:13">
      <c r="A10774" t="s">
        <v>4</v>
      </c>
      <c r="B10774" s="4" t="s">
        <v>5</v>
      </c>
      <c r="C10774" s="4" t="s">
        <v>7</v>
      </c>
      <c r="D10774" s="4" t="s">
        <v>11</v>
      </c>
      <c r="E10774" s="4" t="s">
        <v>13</v>
      </c>
    </row>
    <row r="10775" spans="1:13">
      <c r="A10775" t="n">
        <v>100426</v>
      </c>
      <c r="B10775" s="23" t="n">
        <v>58</v>
      </c>
      <c r="C10775" s="7" t="n">
        <v>101</v>
      </c>
      <c r="D10775" s="7" t="n">
        <v>500</v>
      </c>
      <c r="E10775" s="7" t="n">
        <v>1</v>
      </c>
    </row>
    <row r="10776" spans="1:13">
      <c r="A10776" t="s">
        <v>4</v>
      </c>
      <c r="B10776" s="4" t="s">
        <v>5</v>
      </c>
      <c r="C10776" s="4" t="s">
        <v>7</v>
      </c>
      <c r="D10776" s="4" t="s">
        <v>11</v>
      </c>
    </row>
    <row r="10777" spans="1:13">
      <c r="A10777" t="n">
        <v>100434</v>
      </c>
      <c r="B10777" s="23" t="n">
        <v>58</v>
      </c>
      <c r="C10777" s="7" t="n">
        <v>254</v>
      </c>
      <c r="D10777" s="7" t="n">
        <v>0</v>
      </c>
    </row>
    <row r="10778" spans="1:13">
      <c r="A10778" t="s">
        <v>4</v>
      </c>
      <c r="B10778" s="4" t="s">
        <v>5</v>
      </c>
      <c r="C10778" s="4" t="s">
        <v>11</v>
      </c>
      <c r="D10778" s="4" t="s">
        <v>13</v>
      </c>
      <c r="E10778" s="4" t="s">
        <v>13</v>
      </c>
      <c r="F10778" s="4" t="s">
        <v>13</v>
      </c>
      <c r="G10778" s="4" t="s">
        <v>11</v>
      </c>
      <c r="H10778" s="4" t="s">
        <v>11</v>
      </c>
    </row>
    <row r="10779" spans="1:13">
      <c r="A10779" t="n">
        <v>100438</v>
      </c>
      <c r="B10779" s="37" t="n">
        <v>60</v>
      </c>
      <c r="C10779" s="7" t="n">
        <v>18</v>
      </c>
      <c r="D10779" s="7" t="n">
        <v>0</v>
      </c>
      <c r="E10779" s="7" t="n">
        <v>0</v>
      </c>
      <c r="F10779" s="7" t="n">
        <v>0</v>
      </c>
      <c r="G10779" s="7" t="n">
        <v>0</v>
      </c>
      <c r="H10779" s="7" t="n">
        <v>1</v>
      </c>
    </row>
    <row r="10780" spans="1:13">
      <c r="A10780" t="s">
        <v>4</v>
      </c>
      <c r="B10780" s="4" t="s">
        <v>5</v>
      </c>
      <c r="C10780" s="4" t="s">
        <v>11</v>
      </c>
      <c r="D10780" s="4" t="s">
        <v>13</v>
      </c>
      <c r="E10780" s="4" t="s">
        <v>13</v>
      </c>
      <c r="F10780" s="4" t="s">
        <v>13</v>
      </c>
      <c r="G10780" s="4" t="s">
        <v>11</v>
      </c>
      <c r="H10780" s="4" t="s">
        <v>11</v>
      </c>
    </row>
    <row r="10781" spans="1:13">
      <c r="A10781" t="n">
        <v>100457</v>
      </c>
      <c r="B10781" s="37" t="n">
        <v>60</v>
      </c>
      <c r="C10781" s="7" t="n">
        <v>18</v>
      </c>
      <c r="D10781" s="7" t="n">
        <v>0</v>
      </c>
      <c r="E10781" s="7" t="n">
        <v>0</v>
      </c>
      <c r="F10781" s="7" t="n">
        <v>0</v>
      </c>
      <c r="G10781" s="7" t="n">
        <v>0</v>
      </c>
      <c r="H10781" s="7" t="n">
        <v>0</v>
      </c>
    </row>
    <row r="10782" spans="1:13">
      <c r="A10782" t="s">
        <v>4</v>
      </c>
      <c r="B10782" s="4" t="s">
        <v>5</v>
      </c>
      <c r="C10782" s="4" t="s">
        <v>11</v>
      </c>
      <c r="D10782" s="4" t="s">
        <v>11</v>
      </c>
      <c r="E10782" s="4" t="s">
        <v>11</v>
      </c>
    </row>
    <row r="10783" spans="1:13">
      <c r="A10783" t="n">
        <v>100476</v>
      </c>
      <c r="B10783" s="72" t="n">
        <v>61</v>
      </c>
      <c r="C10783" s="7" t="n">
        <v>18</v>
      </c>
      <c r="D10783" s="7" t="n">
        <v>65533</v>
      </c>
      <c r="E10783" s="7" t="n">
        <v>0</v>
      </c>
    </row>
    <row r="10784" spans="1:13">
      <c r="A10784" t="s">
        <v>4</v>
      </c>
      <c r="B10784" s="4" t="s">
        <v>5</v>
      </c>
      <c r="C10784" s="4" t="s">
        <v>7</v>
      </c>
      <c r="D10784" s="4" t="s">
        <v>7</v>
      </c>
      <c r="E10784" s="4" t="s">
        <v>13</v>
      </c>
      <c r="F10784" s="4" t="s">
        <v>13</v>
      </c>
      <c r="G10784" s="4" t="s">
        <v>13</v>
      </c>
      <c r="H10784" s="4" t="s">
        <v>11</v>
      </c>
    </row>
    <row r="10785" spans="1:8">
      <c r="A10785" t="n">
        <v>100483</v>
      </c>
      <c r="B10785" s="51" t="n">
        <v>45</v>
      </c>
      <c r="C10785" s="7" t="n">
        <v>2</v>
      </c>
      <c r="D10785" s="7" t="n">
        <v>3</v>
      </c>
      <c r="E10785" s="7" t="n">
        <v>-6.86999988555908</v>
      </c>
      <c r="F10785" s="7" t="n">
        <v>6.46000003814697</v>
      </c>
      <c r="G10785" s="7" t="n">
        <v>29.9200000762939</v>
      </c>
      <c r="H10785" s="7" t="n">
        <v>0</v>
      </c>
    </row>
    <row r="10786" spans="1:8">
      <c r="A10786" t="s">
        <v>4</v>
      </c>
      <c r="B10786" s="4" t="s">
        <v>5</v>
      </c>
      <c r="C10786" s="4" t="s">
        <v>7</v>
      </c>
      <c r="D10786" s="4" t="s">
        <v>7</v>
      </c>
      <c r="E10786" s="4" t="s">
        <v>13</v>
      </c>
      <c r="F10786" s="4" t="s">
        <v>13</v>
      </c>
      <c r="G10786" s="4" t="s">
        <v>13</v>
      </c>
      <c r="H10786" s="4" t="s">
        <v>11</v>
      </c>
      <c r="I10786" s="4" t="s">
        <v>7</v>
      </c>
    </row>
    <row r="10787" spans="1:8">
      <c r="A10787" t="n">
        <v>100500</v>
      </c>
      <c r="B10787" s="51" t="n">
        <v>45</v>
      </c>
      <c r="C10787" s="7" t="n">
        <v>4</v>
      </c>
      <c r="D10787" s="7" t="n">
        <v>3</v>
      </c>
      <c r="E10787" s="7" t="n">
        <v>9.21000003814697</v>
      </c>
      <c r="F10787" s="7" t="n">
        <v>50.6699981689453</v>
      </c>
      <c r="G10787" s="7" t="n">
        <v>8</v>
      </c>
      <c r="H10787" s="7" t="n">
        <v>0</v>
      </c>
      <c r="I10787" s="7" t="n">
        <v>0</v>
      </c>
    </row>
    <row r="10788" spans="1:8">
      <c r="A10788" t="s">
        <v>4</v>
      </c>
      <c r="B10788" s="4" t="s">
        <v>5</v>
      </c>
      <c r="C10788" s="4" t="s">
        <v>7</v>
      </c>
      <c r="D10788" s="4" t="s">
        <v>7</v>
      </c>
      <c r="E10788" s="4" t="s">
        <v>13</v>
      </c>
      <c r="F10788" s="4" t="s">
        <v>11</v>
      </c>
    </row>
    <row r="10789" spans="1:8">
      <c r="A10789" t="n">
        <v>100518</v>
      </c>
      <c r="B10789" s="51" t="n">
        <v>45</v>
      </c>
      <c r="C10789" s="7" t="n">
        <v>5</v>
      </c>
      <c r="D10789" s="7" t="n">
        <v>3</v>
      </c>
      <c r="E10789" s="7" t="n">
        <v>1.10000002384186</v>
      </c>
      <c r="F10789" s="7" t="n">
        <v>0</v>
      </c>
    </row>
    <row r="10790" spans="1:8">
      <c r="A10790" t="s">
        <v>4</v>
      </c>
      <c r="B10790" s="4" t="s">
        <v>5</v>
      </c>
      <c r="C10790" s="4" t="s">
        <v>7</v>
      </c>
      <c r="D10790" s="4" t="s">
        <v>7</v>
      </c>
      <c r="E10790" s="4" t="s">
        <v>13</v>
      </c>
      <c r="F10790" s="4" t="s">
        <v>11</v>
      </c>
    </row>
    <row r="10791" spans="1:8">
      <c r="A10791" t="n">
        <v>100527</v>
      </c>
      <c r="B10791" s="51" t="n">
        <v>45</v>
      </c>
      <c r="C10791" s="7" t="n">
        <v>11</v>
      </c>
      <c r="D10791" s="7" t="n">
        <v>3</v>
      </c>
      <c r="E10791" s="7" t="n">
        <v>40.2999992370605</v>
      </c>
      <c r="F10791" s="7" t="n">
        <v>0</v>
      </c>
    </row>
    <row r="10792" spans="1:8">
      <c r="A10792" t="s">
        <v>4</v>
      </c>
      <c r="B10792" s="4" t="s">
        <v>5</v>
      </c>
      <c r="C10792" s="4" t="s">
        <v>7</v>
      </c>
      <c r="D10792" s="4" t="s">
        <v>11</v>
      </c>
    </row>
    <row r="10793" spans="1:8">
      <c r="A10793" t="n">
        <v>100536</v>
      </c>
      <c r="B10793" s="23" t="n">
        <v>58</v>
      </c>
      <c r="C10793" s="7" t="n">
        <v>255</v>
      </c>
      <c r="D10793" s="7" t="n">
        <v>0</v>
      </c>
    </row>
    <row r="10794" spans="1:8">
      <c r="A10794" t="s">
        <v>4</v>
      </c>
      <c r="B10794" s="4" t="s">
        <v>5</v>
      </c>
      <c r="C10794" s="4" t="s">
        <v>11</v>
      </c>
      <c r="D10794" s="4" t="s">
        <v>13</v>
      </c>
      <c r="E10794" s="4" t="s">
        <v>13</v>
      </c>
      <c r="F10794" s="4" t="s">
        <v>13</v>
      </c>
      <c r="G10794" s="4" t="s">
        <v>11</v>
      </c>
      <c r="H10794" s="4" t="s">
        <v>11</v>
      </c>
    </row>
    <row r="10795" spans="1:8">
      <c r="A10795" t="n">
        <v>100540</v>
      </c>
      <c r="B10795" s="37" t="n">
        <v>60</v>
      </c>
      <c r="C10795" s="7" t="n">
        <v>18</v>
      </c>
      <c r="D10795" s="7" t="n">
        <v>0</v>
      </c>
      <c r="E10795" s="7" t="n">
        <v>-10</v>
      </c>
      <c r="F10795" s="7" t="n">
        <v>0</v>
      </c>
      <c r="G10795" s="7" t="n">
        <v>1000</v>
      </c>
      <c r="H10795" s="7" t="n">
        <v>0</v>
      </c>
    </row>
    <row r="10796" spans="1:8">
      <c r="A10796" t="s">
        <v>4</v>
      </c>
      <c r="B10796" s="4" t="s">
        <v>5</v>
      </c>
      <c r="C10796" s="4" t="s">
        <v>7</v>
      </c>
      <c r="D10796" s="4" t="s">
        <v>11</v>
      </c>
      <c r="E10796" s="4" t="s">
        <v>8</v>
      </c>
      <c r="F10796" s="4" t="s">
        <v>8</v>
      </c>
      <c r="G10796" s="4" t="s">
        <v>8</v>
      </c>
      <c r="H10796" s="4" t="s">
        <v>8</v>
      </c>
    </row>
    <row r="10797" spans="1:8">
      <c r="A10797" t="n">
        <v>100559</v>
      </c>
      <c r="B10797" s="38" t="n">
        <v>51</v>
      </c>
      <c r="C10797" s="7" t="n">
        <v>3</v>
      </c>
      <c r="D10797" s="7" t="n">
        <v>18</v>
      </c>
      <c r="E10797" s="7" t="s">
        <v>372</v>
      </c>
      <c r="F10797" s="7" t="s">
        <v>218</v>
      </c>
      <c r="G10797" s="7" t="s">
        <v>78</v>
      </c>
      <c r="H10797" s="7" t="s">
        <v>79</v>
      </c>
    </row>
    <row r="10798" spans="1:8">
      <c r="A10798" t="s">
        <v>4</v>
      </c>
      <c r="B10798" s="4" t="s">
        <v>5</v>
      </c>
      <c r="C10798" s="4" t="s">
        <v>11</v>
      </c>
      <c r="D10798" s="4" t="s">
        <v>7</v>
      </c>
      <c r="E10798" s="4" t="s">
        <v>13</v>
      </c>
      <c r="F10798" s="4" t="s">
        <v>11</v>
      </c>
    </row>
    <row r="10799" spans="1:8">
      <c r="A10799" t="n">
        <v>100572</v>
      </c>
      <c r="B10799" s="56" t="n">
        <v>59</v>
      </c>
      <c r="C10799" s="7" t="n">
        <v>0</v>
      </c>
      <c r="D10799" s="7" t="n">
        <v>9</v>
      </c>
      <c r="E10799" s="7" t="n">
        <v>0.150000005960464</v>
      </c>
      <c r="F10799" s="7" t="n">
        <v>0</v>
      </c>
    </row>
    <row r="10800" spans="1:8">
      <c r="A10800" t="s">
        <v>4</v>
      </c>
      <c r="B10800" s="4" t="s">
        <v>5</v>
      </c>
      <c r="C10800" s="4" t="s">
        <v>11</v>
      </c>
    </row>
    <row r="10801" spans="1:9">
      <c r="A10801" t="n">
        <v>100582</v>
      </c>
      <c r="B10801" s="29" t="n">
        <v>16</v>
      </c>
      <c r="C10801" s="7" t="n">
        <v>1800</v>
      </c>
    </row>
    <row r="10802" spans="1:9">
      <c r="A10802" t="s">
        <v>4</v>
      </c>
      <c r="B10802" s="4" t="s">
        <v>5</v>
      </c>
      <c r="C10802" s="4" t="s">
        <v>11</v>
      </c>
      <c r="D10802" s="4" t="s">
        <v>11</v>
      </c>
      <c r="E10802" s="4" t="s">
        <v>13</v>
      </c>
      <c r="F10802" s="4" t="s">
        <v>13</v>
      </c>
      <c r="G10802" s="4" t="s">
        <v>13</v>
      </c>
      <c r="H10802" s="4" t="s">
        <v>13</v>
      </c>
      <c r="I10802" s="4" t="s">
        <v>7</v>
      </c>
      <c r="J10802" s="4" t="s">
        <v>11</v>
      </c>
    </row>
    <row r="10803" spans="1:9">
      <c r="A10803" t="n">
        <v>100585</v>
      </c>
      <c r="B10803" s="53" t="n">
        <v>55</v>
      </c>
      <c r="C10803" s="7" t="n">
        <v>0</v>
      </c>
      <c r="D10803" s="7" t="n">
        <v>65533</v>
      </c>
      <c r="E10803" s="7" t="n">
        <v>-6.88000011444092</v>
      </c>
      <c r="F10803" s="7" t="n">
        <v>5</v>
      </c>
      <c r="G10803" s="7" t="n">
        <v>29.8600006103516</v>
      </c>
      <c r="H10803" s="7" t="n">
        <v>1.20000004768372</v>
      </c>
      <c r="I10803" s="7" t="n">
        <v>1</v>
      </c>
      <c r="J10803" s="7" t="n">
        <v>0</v>
      </c>
    </row>
    <row r="10804" spans="1:9">
      <c r="A10804" t="s">
        <v>4</v>
      </c>
      <c r="B10804" s="4" t="s">
        <v>5</v>
      </c>
      <c r="C10804" s="4" t="s">
        <v>11</v>
      </c>
    </row>
    <row r="10805" spans="1:9">
      <c r="A10805" t="n">
        <v>100609</v>
      </c>
      <c r="B10805" s="29" t="n">
        <v>16</v>
      </c>
      <c r="C10805" s="7" t="n">
        <v>500</v>
      </c>
    </row>
    <row r="10806" spans="1:9">
      <c r="A10806" t="s">
        <v>4</v>
      </c>
      <c r="B10806" s="4" t="s">
        <v>5</v>
      </c>
      <c r="C10806" s="4" t="s">
        <v>7</v>
      </c>
      <c r="D10806" s="4" t="s">
        <v>11</v>
      </c>
      <c r="E10806" s="4" t="s">
        <v>13</v>
      </c>
    </row>
    <row r="10807" spans="1:9">
      <c r="A10807" t="n">
        <v>100612</v>
      </c>
      <c r="B10807" s="23" t="n">
        <v>58</v>
      </c>
      <c r="C10807" s="7" t="n">
        <v>101</v>
      </c>
      <c r="D10807" s="7" t="n">
        <v>500</v>
      </c>
      <c r="E10807" s="7" t="n">
        <v>1</v>
      </c>
    </row>
    <row r="10808" spans="1:9">
      <c r="A10808" t="s">
        <v>4</v>
      </c>
      <c r="B10808" s="4" t="s">
        <v>5</v>
      </c>
      <c r="C10808" s="4" t="s">
        <v>7</v>
      </c>
      <c r="D10808" s="4" t="s">
        <v>11</v>
      </c>
    </row>
    <row r="10809" spans="1:9">
      <c r="A10809" t="n">
        <v>100620</v>
      </c>
      <c r="B10809" s="23" t="n">
        <v>58</v>
      </c>
      <c r="C10809" s="7" t="n">
        <v>254</v>
      </c>
      <c r="D10809" s="7" t="n">
        <v>0</v>
      </c>
    </row>
    <row r="10810" spans="1:9">
      <c r="A10810" t="s">
        <v>4</v>
      </c>
      <c r="B10810" s="4" t="s">
        <v>5</v>
      </c>
      <c r="C10810" s="4" t="s">
        <v>7</v>
      </c>
      <c r="D10810" s="4" t="s">
        <v>7</v>
      </c>
      <c r="E10810" s="4" t="s">
        <v>13</v>
      </c>
      <c r="F10810" s="4" t="s">
        <v>13</v>
      </c>
      <c r="G10810" s="4" t="s">
        <v>13</v>
      </c>
      <c r="H10810" s="4" t="s">
        <v>11</v>
      </c>
    </row>
    <row r="10811" spans="1:9">
      <c r="A10811" t="n">
        <v>100624</v>
      </c>
      <c r="B10811" s="51" t="n">
        <v>45</v>
      </c>
      <c r="C10811" s="7" t="n">
        <v>2</v>
      </c>
      <c r="D10811" s="7" t="n">
        <v>3</v>
      </c>
      <c r="E10811" s="7" t="n">
        <v>-7.28999996185303</v>
      </c>
      <c r="F10811" s="7" t="n">
        <v>6.36999988555908</v>
      </c>
      <c r="G10811" s="7" t="n">
        <v>29.9200000762939</v>
      </c>
      <c r="H10811" s="7" t="n">
        <v>0</v>
      </c>
    </row>
    <row r="10812" spans="1:9">
      <c r="A10812" t="s">
        <v>4</v>
      </c>
      <c r="B10812" s="4" t="s">
        <v>5</v>
      </c>
      <c r="C10812" s="4" t="s">
        <v>7</v>
      </c>
      <c r="D10812" s="4" t="s">
        <v>7</v>
      </c>
      <c r="E10812" s="4" t="s">
        <v>13</v>
      </c>
      <c r="F10812" s="4" t="s">
        <v>13</v>
      </c>
      <c r="G10812" s="4" t="s">
        <v>13</v>
      </c>
      <c r="H10812" s="4" t="s">
        <v>11</v>
      </c>
      <c r="I10812" s="4" t="s">
        <v>7</v>
      </c>
    </row>
    <row r="10813" spans="1:9">
      <c r="A10813" t="n">
        <v>100641</v>
      </c>
      <c r="B10813" s="51" t="n">
        <v>45</v>
      </c>
      <c r="C10813" s="7" t="n">
        <v>4</v>
      </c>
      <c r="D10813" s="7" t="n">
        <v>3</v>
      </c>
      <c r="E10813" s="7" t="n">
        <v>16.5100002288818</v>
      </c>
      <c r="F10813" s="7" t="n">
        <v>119.300003051758</v>
      </c>
      <c r="G10813" s="7" t="n">
        <v>8</v>
      </c>
      <c r="H10813" s="7" t="n">
        <v>0</v>
      </c>
      <c r="I10813" s="7" t="n">
        <v>0</v>
      </c>
    </row>
    <row r="10814" spans="1:9">
      <c r="A10814" t="s">
        <v>4</v>
      </c>
      <c r="B10814" s="4" t="s">
        <v>5</v>
      </c>
      <c r="C10814" s="4" t="s">
        <v>7</v>
      </c>
      <c r="D10814" s="4" t="s">
        <v>7</v>
      </c>
      <c r="E10814" s="4" t="s">
        <v>13</v>
      </c>
      <c r="F10814" s="4" t="s">
        <v>11</v>
      </c>
    </row>
    <row r="10815" spans="1:9">
      <c r="A10815" t="n">
        <v>100659</v>
      </c>
      <c r="B10815" s="51" t="n">
        <v>45</v>
      </c>
      <c r="C10815" s="7" t="n">
        <v>5</v>
      </c>
      <c r="D10815" s="7" t="n">
        <v>3</v>
      </c>
      <c r="E10815" s="7" t="n">
        <v>1.29999995231628</v>
      </c>
      <c r="F10815" s="7" t="n">
        <v>0</v>
      </c>
    </row>
    <row r="10816" spans="1:9">
      <c r="A10816" t="s">
        <v>4</v>
      </c>
      <c r="B10816" s="4" t="s">
        <v>5</v>
      </c>
      <c r="C10816" s="4" t="s">
        <v>7</v>
      </c>
      <c r="D10816" s="4" t="s">
        <v>7</v>
      </c>
      <c r="E10816" s="4" t="s">
        <v>13</v>
      </c>
      <c r="F10816" s="4" t="s">
        <v>11</v>
      </c>
    </row>
    <row r="10817" spans="1:10">
      <c r="A10817" t="n">
        <v>100668</v>
      </c>
      <c r="B10817" s="51" t="n">
        <v>45</v>
      </c>
      <c r="C10817" s="7" t="n">
        <v>5</v>
      </c>
      <c r="D10817" s="7" t="n">
        <v>3</v>
      </c>
      <c r="E10817" s="7" t="n">
        <v>1.10000002384186</v>
      </c>
      <c r="F10817" s="7" t="n">
        <v>3000</v>
      </c>
    </row>
    <row r="10818" spans="1:10">
      <c r="A10818" t="s">
        <v>4</v>
      </c>
      <c r="B10818" s="4" t="s">
        <v>5</v>
      </c>
      <c r="C10818" s="4" t="s">
        <v>7</v>
      </c>
      <c r="D10818" s="4" t="s">
        <v>7</v>
      </c>
      <c r="E10818" s="4" t="s">
        <v>13</v>
      </c>
      <c r="F10818" s="4" t="s">
        <v>11</v>
      </c>
    </row>
    <row r="10819" spans="1:10">
      <c r="A10819" t="n">
        <v>100677</v>
      </c>
      <c r="B10819" s="51" t="n">
        <v>45</v>
      </c>
      <c r="C10819" s="7" t="n">
        <v>11</v>
      </c>
      <c r="D10819" s="7" t="n">
        <v>3</v>
      </c>
      <c r="E10819" s="7" t="n">
        <v>40.2999992370605</v>
      </c>
      <c r="F10819" s="7" t="n">
        <v>0</v>
      </c>
    </row>
    <row r="10820" spans="1:10">
      <c r="A10820" t="s">
        <v>4</v>
      </c>
      <c r="B10820" s="4" t="s">
        <v>5</v>
      </c>
      <c r="C10820" s="4" t="s">
        <v>11</v>
      </c>
      <c r="D10820" s="4" t="s">
        <v>13</v>
      </c>
      <c r="E10820" s="4" t="s">
        <v>13</v>
      </c>
      <c r="F10820" s="4" t="s">
        <v>13</v>
      </c>
      <c r="G10820" s="4" t="s">
        <v>11</v>
      </c>
      <c r="H10820" s="4" t="s">
        <v>11</v>
      </c>
    </row>
    <row r="10821" spans="1:10">
      <c r="A10821" t="n">
        <v>100686</v>
      </c>
      <c r="B10821" s="37" t="n">
        <v>60</v>
      </c>
      <c r="C10821" s="7" t="n">
        <v>18</v>
      </c>
      <c r="D10821" s="7" t="n">
        <v>0</v>
      </c>
      <c r="E10821" s="7" t="n">
        <v>-5</v>
      </c>
      <c r="F10821" s="7" t="n">
        <v>0</v>
      </c>
      <c r="G10821" s="7" t="n">
        <v>0</v>
      </c>
      <c r="H10821" s="7" t="n">
        <v>0</v>
      </c>
    </row>
    <row r="10822" spans="1:10">
      <c r="A10822" t="s">
        <v>4</v>
      </c>
      <c r="B10822" s="4" t="s">
        <v>5</v>
      </c>
      <c r="C10822" s="4" t="s">
        <v>7</v>
      </c>
      <c r="D10822" s="4" t="s">
        <v>11</v>
      </c>
    </row>
    <row r="10823" spans="1:10">
      <c r="A10823" t="n">
        <v>100705</v>
      </c>
      <c r="B10823" s="23" t="n">
        <v>58</v>
      </c>
      <c r="C10823" s="7" t="n">
        <v>255</v>
      </c>
      <c r="D10823" s="7" t="n">
        <v>0</v>
      </c>
    </row>
    <row r="10824" spans="1:10">
      <c r="A10824" t="s">
        <v>4</v>
      </c>
      <c r="B10824" s="4" t="s">
        <v>5</v>
      </c>
      <c r="C10824" s="4" t="s">
        <v>11</v>
      </c>
      <c r="D10824" s="4" t="s">
        <v>7</v>
      </c>
    </row>
    <row r="10825" spans="1:10">
      <c r="A10825" t="n">
        <v>100709</v>
      </c>
      <c r="B10825" s="54" t="n">
        <v>56</v>
      </c>
      <c r="C10825" s="7" t="n">
        <v>0</v>
      </c>
      <c r="D10825" s="7" t="n">
        <v>0</v>
      </c>
    </row>
    <row r="10826" spans="1:10">
      <c r="A10826" t="s">
        <v>4</v>
      </c>
      <c r="B10826" s="4" t="s">
        <v>5</v>
      </c>
      <c r="C10826" s="4" t="s">
        <v>7</v>
      </c>
      <c r="D10826" s="4" t="s">
        <v>11</v>
      </c>
      <c r="E10826" s="4" t="s">
        <v>8</v>
      </c>
      <c r="F10826" s="4" t="s">
        <v>8</v>
      </c>
      <c r="G10826" s="4" t="s">
        <v>8</v>
      </c>
      <c r="H10826" s="4" t="s">
        <v>8</v>
      </c>
    </row>
    <row r="10827" spans="1:10">
      <c r="A10827" t="n">
        <v>100713</v>
      </c>
      <c r="B10827" s="38" t="n">
        <v>51</v>
      </c>
      <c r="C10827" s="7" t="n">
        <v>3</v>
      </c>
      <c r="D10827" s="7" t="n">
        <v>0</v>
      </c>
      <c r="E10827" s="7" t="s">
        <v>86</v>
      </c>
      <c r="F10827" s="7" t="s">
        <v>99</v>
      </c>
      <c r="G10827" s="7" t="s">
        <v>78</v>
      </c>
      <c r="H10827" s="7" t="s">
        <v>79</v>
      </c>
    </row>
    <row r="10828" spans="1:10">
      <c r="A10828" t="s">
        <v>4</v>
      </c>
      <c r="B10828" s="4" t="s">
        <v>5</v>
      </c>
      <c r="C10828" s="4" t="s">
        <v>11</v>
      </c>
      <c r="D10828" s="4" t="s">
        <v>7</v>
      </c>
      <c r="E10828" s="4" t="s">
        <v>8</v>
      </c>
      <c r="F10828" s="4" t="s">
        <v>13</v>
      </c>
      <c r="G10828" s="4" t="s">
        <v>13</v>
      </c>
      <c r="H10828" s="4" t="s">
        <v>13</v>
      </c>
    </row>
    <row r="10829" spans="1:10">
      <c r="A10829" t="n">
        <v>100726</v>
      </c>
      <c r="B10829" s="42" t="n">
        <v>48</v>
      </c>
      <c r="C10829" s="7" t="n">
        <v>0</v>
      </c>
      <c r="D10829" s="7" t="n">
        <v>0</v>
      </c>
      <c r="E10829" s="7" t="s">
        <v>853</v>
      </c>
      <c r="F10829" s="7" t="n">
        <v>-1</v>
      </c>
      <c r="G10829" s="7" t="n">
        <v>1</v>
      </c>
      <c r="H10829" s="7" t="n">
        <v>0</v>
      </c>
    </row>
    <row r="10830" spans="1:10">
      <c r="A10830" t="s">
        <v>4</v>
      </c>
      <c r="B10830" s="4" t="s">
        <v>5</v>
      </c>
      <c r="C10830" s="4" t="s">
        <v>11</v>
      </c>
    </row>
    <row r="10831" spans="1:10">
      <c r="A10831" t="n">
        <v>100752</v>
      </c>
      <c r="B10831" s="29" t="n">
        <v>16</v>
      </c>
      <c r="C10831" s="7" t="n">
        <v>500</v>
      </c>
    </row>
    <row r="10832" spans="1:10">
      <c r="A10832" t="s">
        <v>4</v>
      </c>
      <c r="B10832" s="4" t="s">
        <v>5</v>
      </c>
      <c r="C10832" s="4" t="s">
        <v>7</v>
      </c>
      <c r="D10832" s="4" t="s">
        <v>11</v>
      </c>
      <c r="E10832" s="4" t="s">
        <v>13</v>
      </c>
      <c r="F10832" s="4" t="s">
        <v>11</v>
      </c>
      <c r="G10832" s="4" t="s">
        <v>15</v>
      </c>
      <c r="H10832" s="4" t="s">
        <v>15</v>
      </c>
      <c r="I10832" s="4" t="s">
        <v>11</v>
      </c>
      <c r="J10832" s="4" t="s">
        <v>11</v>
      </c>
      <c r="K10832" s="4" t="s">
        <v>15</v>
      </c>
      <c r="L10832" s="4" t="s">
        <v>15</v>
      </c>
      <c r="M10832" s="4" t="s">
        <v>15</v>
      </c>
      <c r="N10832" s="4" t="s">
        <v>15</v>
      </c>
      <c r="O10832" s="4" t="s">
        <v>8</v>
      </c>
    </row>
    <row r="10833" spans="1:15">
      <c r="A10833" t="n">
        <v>100755</v>
      </c>
      <c r="B10833" s="57" t="n">
        <v>50</v>
      </c>
      <c r="C10833" s="7" t="n">
        <v>0</v>
      </c>
      <c r="D10833" s="7" t="n">
        <v>2000</v>
      </c>
      <c r="E10833" s="7" t="n">
        <v>0.400000005960464</v>
      </c>
      <c r="F10833" s="7" t="n">
        <v>200</v>
      </c>
      <c r="G10833" s="7" t="n">
        <v>0</v>
      </c>
      <c r="H10833" s="7" t="n">
        <v>0</v>
      </c>
      <c r="I10833" s="7" t="n">
        <v>0</v>
      </c>
      <c r="J10833" s="7" t="n">
        <v>65533</v>
      </c>
      <c r="K10833" s="7" t="n">
        <v>0</v>
      </c>
      <c r="L10833" s="7" t="n">
        <v>0</v>
      </c>
      <c r="M10833" s="7" t="n">
        <v>0</v>
      </c>
      <c r="N10833" s="7" t="n">
        <v>0</v>
      </c>
      <c r="O10833" s="7" t="s">
        <v>16</v>
      </c>
    </row>
    <row r="10834" spans="1:15">
      <c r="A10834" t="s">
        <v>4</v>
      </c>
      <c r="B10834" s="4" t="s">
        <v>5</v>
      </c>
      <c r="C10834" s="4" t="s">
        <v>11</v>
      </c>
    </row>
    <row r="10835" spans="1:15">
      <c r="A10835" t="n">
        <v>100794</v>
      </c>
      <c r="B10835" s="29" t="n">
        <v>16</v>
      </c>
      <c r="C10835" s="7" t="n">
        <v>500</v>
      </c>
    </row>
    <row r="10836" spans="1:15">
      <c r="A10836" t="s">
        <v>4</v>
      </c>
      <c r="B10836" s="4" t="s">
        <v>5</v>
      </c>
      <c r="C10836" s="4" t="s">
        <v>11</v>
      </c>
      <c r="D10836" s="4" t="s">
        <v>13</v>
      </c>
      <c r="E10836" s="4" t="s">
        <v>13</v>
      </c>
      <c r="F10836" s="4" t="s">
        <v>13</v>
      </c>
      <c r="G10836" s="4" t="s">
        <v>11</v>
      </c>
      <c r="H10836" s="4" t="s">
        <v>11</v>
      </c>
    </row>
    <row r="10837" spans="1:15">
      <c r="A10837" t="n">
        <v>100797</v>
      </c>
      <c r="B10837" s="37" t="n">
        <v>60</v>
      </c>
      <c r="C10837" s="7" t="n">
        <v>18</v>
      </c>
      <c r="D10837" s="7" t="n">
        <v>0</v>
      </c>
      <c r="E10837" s="7" t="n">
        <v>0</v>
      </c>
      <c r="F10837" s="7" t="n">
        <v>0</v>
      </c>
      <c r="G10837" s="7" t="n">
        <v>1000</v>
      </c>
      <c r="H10837" s="7" t="n">
        <v>0</v>
      </c>
    </row>
    <row r="10838" spans="1:15">
      <c r="A10838" t="s">
        <v>4</v>
      </c>
      <c r="B10838" s="4" t="s">
        <v>5</v>
      </c>
      <c r="C10838" s="4" t="s">
        <v>11</v>
      </c>
      <c r="D10838" s="4" t="s">
        <v>11</v>
      </c>
      <c r="E10838" s="4" t="s">
        <v>11</v>
      </c>
    </row>
    <row r="10839" spans="1:15">
      <c r="A10839" t="n">
        <v>100816</v>
      </c>
      <c r="B10839" s="72" t="n">
        <v>61</v>
      </c>
      <c r="C10839" s="7" t="n">
        <v>18</v>
      </c>
      <c r="D10839" s="7" t="n">
        <v>0</v>
      </c>
      <c r="E10839" s="7" t="n">
        <v>1000</v>
      </c>
    </row>
    <row r="10840" spans="1:15">
      <c r="A10840" t="s">
        <v>4</v>
      </c>
      <c r="B10840" s="4" t="s">
        <v>5</v>
      </c>
      <c r="C10840" s="4" t="s">
        <v>7</v>
      </c>
      <c r="D10840" s="4" t="s">
        <v>11</v>
      </c>
      <c r="E10840" s="4" t="s">
        <v>8</v>
      </c>
      <c r="F10840" s="4" t="s">
        <v>8</v>
      </c>
      <c r="G10840" s="4" t="s">
        <v>8</v>
      </c>
      <c r="H10840" s="4" t="s">
        <v>8</v>
      </c>
    </row>
    <row r="10841" spans="1:15">
      <c r="A10841" t="n">
        <v>100823</v>
      </c>
      <c r="B10841" s="38" t="n">
        <v>51</v>
      </c>
      <c r="C10841" s="7" t="n">
        <v>3</v>
      </c>
      <c r="D10841" s="7" t="n">
        <v>18</v>
      </c>
      <c r="E10841" s="7" t="s">
        <v>154</v>
      </c>
      <c r="F10841" s="7" t="s">
        <v>155</v>
      </c>
      <c r="G10841" s="7" t="s">
        <v>78</v>
      </c>
      <c r="H10841" s="7" t="s">
        <v>79</v>
      </c>
    </row>
    <row r="10842" spans="1:15">
      <c r="A10842" t="s">
        <v>4</v>
      </c>
      <c r="B10842" s="4" t="s">
        <v>5</v>
      </c>
      <c r="C10842" s="4" t="s">
        <v>11</v>
      </c>
    </row>
    <row r="10843" spans="1:15">
      <c r="A10843" t="n">
        <v>100836</v>
      </c>
      <c r="B10843" s="29" t="n">
        <v>16</v>
      </c>
      <c r="C10843" s="7" t="n">
        <v>1000</v>
      </c>
    </row>
    <row r="10844" spans="1:15">
      <c r="A10844" t="s">
        <v>4</v>
      </c>
      <c r="B10844" s="4" t="s">
        <v>5</v>
      </c>
      <c r="C10844" s="4" t="s">
        <v>7</v>
      </c>
      <c r="D10844" s="4" t="s">
        <v>11</v>
      </c>
      <c r="E10844" s="4" t="s">
        <v>8</v>
      </c>
    </row>
    <row r="10845" spans="1:15">
      <c r="A10845" t="n">
        <v>100839</v>
      </c>
      <c r="B10845" s="38" t="n">
        <v>51</v>
      </c>
      <c r="C10845" s="7" t="n">
        <v>4</v>
      </c>
      <c r="D10845" s="7" t="n">
        <v>18</v>
      </c>
      <c r="E10845" s="7" t="s">
        <v>206</v>
      </c>
    </row>
    <row r="10846" spans="1:15">
      <c r="A10846" t="s">
        <v>4</v>
      </c>
      <c r="B10846" s="4" t="s">
        <v>5</v>
      </c>
      <c r="C10846" s="4" t="s">
        <v>11</v>
      </c>
    </row>
    <row r="10847" spans="1:15">
      <c r="A10847" t="n">
        <v>100854</v>
      </c>
      <c r="B10847" s="29" t="n">
        <v>16</v>
      </c>
      <c r="C10847" s="7" t="n">
        <v>0</v>
      </c>
    </row>
    <row r="10848" spans="1:15">
      <c r="A10848" t="s">
        <v>4</v>
      </c>
      <c r="B10848" s="4" t="s">
        <v>5</v>
      </c>
      <c r="C10848" s="4" t="s">
        <v>11</v>
      </c>
      <c r="D10848" s="4" t="s">
        <v>7</v>
      </c>
      <c r="E10848" s="4" t="s">
        <v>15</v>
      </c>
      <c r="F10848" s="4" t="s">
        <v>55</v>
      </c>
      <c r="G10848" s="4" t="s">
        <v>7</v>
      </c>
      <c r="H10848" s="4" t="s">
        <v>7</v>
      </c>
    </row>
    <row r="10849" spans="1:15">
      <c r="A10849" t="n">
        <v>100857</v>
      </c>
      <c r="B10849" s="55" t="n">
        <v>26</v>
      </c>
      <c r="C10849" s="7" t="n">
        <v>18</v>
      </c>
      <c r="D10849" s="7" t="n">
        <v>17</v>
      </c>
      <c r="E10849" s="7" t="n">
        <v>17807</v>
      </c>
      <c r="F10849" s="7" t="s">
        <v>462</v>
      </c>
      <c r="G10849" s="7" t="n">
        <v>2</v>
      </c>
      <c r="H10849" s="7" t="n">
        <v>0</v>
      </c>
    </row>
    <row r="10850" spans="1:15">
      <c r="A10850" t="s">
        <v>4</v>
      </c>
      <c r="B10850" s="4" t="s">
        <v>5</v>
      </c>
    </row>
    <row r="10851" spans="1:15">
      <c r="A10851" t="n">
        <v>100876</v>
      </c>
      <c r="B10851" s="27" t="n">
        <v>28</v>
      </c>
    </row>
    <row r="10852" spans="1:15">
      <c r="A10852" t="s">
        <v>4</v>
      </c>
      <c r="B10852" s="4" t="s">
        <v>5</v>
      </c>
      <c r="C10852" s="4" t="s">
        <v>7</v>
      </c>
      <c r="D10852" s="4" t="s">
        <v>11</v>
      </c>
      <c r="E10852" s="4" t="s">
        <v>8</v>
      </c>
    </row>
    <row r="10853" spans="1:15">
      <c r="A10853" t="n">
        <v>100877</v>
      </c>
      <c r="B10853" s="38" t="n">
        <v>51</v>
      </c>
      <c r="C10853" s="7" t="n">
        <v>4</v>
      </c>
      <c r="D10853" s="7" t="n">
        <v>0</v>
      </c>
      <c r="E10853" s="7" t="s">
        <v>179</v>
      </c>
    </row>
    <row r="10854" spans="1:15">
      <c r="A10854" t="s">
        <v>4</v>
      </c>
      <c r="B10854" s="4" t="s">
        <v>5</v>
      </c>
      <c r="C10854" s="4" t="s">
        <v>11</v>
      </c>
    </row>
    <row r="10855" spans="1:15">
      <c r="A10855" t="n">
        <v>100891</v>
      </c>
      <c r="B10855" s="29" t="n">
        <v>16</v>
      </c>
      <c r="C10855" s="7" t="n">
        <v>0</v>
      </c>
    </row>
    <row r="10856" spans="1:15">
      <c r="A10856" t="s">
        <v>4</v>
      </c>
      <c r="B10856" s="4" t="s">
        <v>5</v>
      </c>
      <c r="C10856" s="4" t="s">
        <v>11</v>
      </c>
      <c r="D10856" s="4" t="s">
        <v>7</v>
      </c>
      <c r="E10856" s="4" t="s">
        <v>15</v>
      </c>
      <c r="F10856" s="4" t="s">
        <v>55</v>
      </c>
      <c r="G10856" s="4" t="s">
        <v>7</v>
      </c>
      <c r="H10856" s="4" t="s">
        <v>7</v>
      </c>
      <c r="I10856" s="4" t="s">
        <v>7</v>
      </c>
      <c r="J10856" s="4" t="s">
        <v>15</v>
      </c>
      <c r="K10856" s="4" t="s">
        <v>55</v>
      </c>
      <c r="L10856" s="4" t="s">
        <v>7</v>
      </c>
      <c r="M10856" s="4" t="s">
        <v>7</v>
      </c>
    </row>
    <row r="10857" spans="1:15">
      <c r="A10857" t="n">
        <v>100894</v>
      </c>
      <c r="B10857" s="55" t="n">
        <v>26</v>
      </c>
      <c r="C10857" s="7" t="n">
        <v>0</v>
      </c>
      <c r="D10857" s="7" t="n">
        <v>17</v>
      </c>
      <c r="E10857" s="7" t="n">
        <v>64087</v>
      </c>
      <c r="F10857" s="7" t="s">
        <v>895</v>
      </c>
      <c r="G10857" s="7" t="n">
        <v>2</v>
      </c>
      <c r="H10857" s="7" t="n">
        <v>3</v>
      </c>
      <c r="I10857" s="7" t="n">
        <v>17</v>
      </c>
      <c r="J10857" s="7" t="n">
        <v>64088</v>
      </c>
      <c r="K10857" s="7" t="s">
        <v>896</v>
      </c>
      <c r="L10857" s="7" t="n">
        <v>2</v>
      </c>
      <c r="M10857" s="7" t="n">
        <v>0</v>
      </c>
    </row>
    <row r="10858" spans="1:15">
      <c r="A10858" t="s">
        <v>4</v>
      </c>
      <c r="B10858" s="4" t="s">
        <v>5</v>
      </c>
    </row>
    <row r="10859" spans="1:15">
      <c r="A10859" t="n">
        <v>101059</v>
      </c>
      <c r="B10859" s="27" t="n">
        <v>28</v>
      </c>
    </row>
    <row r="10860" spans="1:15">
      <c r="A10860" t="s">
        <v>4</v>
      </c>
      <c r="B10860" s="4" t="s">
        <v>5</v>
      </c>
      <c r="C10860" s="4" t="s">
        <v>7</v>
      </c>
      <c r="D10860" s="4" t="s">
        <v>11</v>
      </c>
      <c r="E10860" s="4" t="s">
        <v>8</v>
      </c>
    </row>
    <row r="10861" spans="1:15">
      <c r="A10861" t="n">
        <v>101060</v>
      </c>
      <c r="B10861" s="38" t="n">
        <v>51</v>
      </c>
      <c r="C10861" s="7" t="n">
        <v>4</v>
      </c>
      <c r="D10861" s="7" t="n">
        <v>18</v>
      </c>
      <c r="E10861" s="7" t="s">
        <v>897</v>
      </c>
    </row>
    <row r="10862" spans="1:15">
      <c r="A10862" t="s">
        <v>4</v>
      </c>
      <c r="B10862" s="4" t="s">
        <v>5</v>
      </c>
      <c r="C10862" s="4" t="s">
        <v>11</v>
      </c>
    </row>
    <row r="10863" spans="1:15">
      <c r="A10863" t="n">
        <v>101073</v>
      </c>
      <c r="B10863" s="29" t="n">
        <v>16</v>
      </c>
      <c r="C10863" s="7" t="n">
        <v>0</v>
      </c>
    </row>
    <row r="10864" spans="1:15">
      <c r="A10864" t="s">
        <v>4</v>
      </c>
      <c r="B10864" s="4" t="s">
        <v>5</v>
      </c>
      <c r="C10864" s="4" t="s">
        <v>11</v>
      </c>
      <c r="D10864" s="4" t="s">
        <v>7</v>
      </c>
      <c r="E10864" s="4" t="s">
        <v>15</v>
      </c>
      <c r="F10864" s="4" t="s">
        <v>55</v>
      </c>
      <c r="G10864" s="4" t="s">
        <v>7</v>
      </c>
      <c r="H10864" s="4" t="s">
        <v>7</v>
      </c>
    </row>
    <row r="10865" spans="1:13">
      <c r="A10865" t="n">
        <v>101076</v>
      </c>
      <c r="B10865" s="55" t="n">
        <v>26</v>
      </c>
      <c r="C10865" s="7" t="n">
        <v>18</v>
      </c>
      <c r="D10865" s="7" t="n">
        <v>17</v>
      </c>
      <c r="E10865" s="7" t="n">
        <v>17808</v>
      </c>
      <c r="F10865" s="7" t="s">
        <v>898</v>
      </c>
      <c r="G10865" s="7" t="n">
        <v>2</v>
      </c>
      <c r="H10865" s="7" t="n">
        <v>0</v>
      </c>
    </row>
    <row r="10866" spans="1:13">
      <c r="A10866" t="s">
        <v>4</v>
      </c>
      <c r="B10866" s="4" t="s">
        <v>5</v>
      </c>
    </row>
    <row r="10867" spans="1:13">
      <c r="A10867" t="n">
        <v>101097</v>
      </c>
      <c r="B10867" s="27" t="n">
        <v>28</v>
      </c>
    </row>
    <row r="10868" spans="1:13">
      <c r="A10868" t="s">
        <v>4</v>
      </c>
      <c r="B10868" s="4" t="s">
        <v>5</v>
      </c>
      <c r="C10868" s="4" t="s">
        <v>11</v>
      </c>
      <c r="D10868" s="4" t="s">
        <v>7</v>
      </c>
    </row>
    <row r="10869" spans="1:13">
      <c r="A10869" t="n">
        <v>101098</v>
      </c>
      <c r="B10869" s="68" t="n">
        <v>89</v>
      </c>
      <c r="C10869" s="7" t="n">
        <v>65533</v>
      </c>
      <c r="D10869" s="7" t="n">
        <v>1</v>
      </c>
    </row>
    <row r="10870" spans="1:13">
      <c r="A10870" t="s">
        <v>4</v>
      </c>
      <c r="B10870" s="4" t="s">
        <v>5</v>
      </c>
      <c r="C10870" s="4" t="s">
        <v>7</v>
      </c>
      <c r="D10870" s="4" t="s">
        <v>11</v>
      </c>
      <c r="E10870" s="4" t="s">
        <v>13</v>
      </c>
    </row>
    <row r="10871" spans="1:13">
      <c r="A10871" t="n">
        <v>101102</v>
      </c>
      <c r="B10871" s="23" t="n">
        <v>58</v>
      </c>
      <c r="C10871" s="7" t="n">
        <v>101</v>
      </c>
      <c r="D10871" s="7" t="n">
        <v>500</v>
      </c>
      <c r="E10871" s="7" t="n">
        <v>1</v>
      </c>
    </row>
    <row r="10872" spans="1:13">
      <c r="A10872" t="s">
        <v>4</v>
      </c>
      <c r="B10872" s="4" t="s">
        <v>5</v>
      </c>
      <c r="C10872" s="4" t="s">
        <v>7</v>
      </c>
      <c r="D10872" s="4" t="s">
        <v>11</v>
      </c>
    </row>
    <row r="10873" spans="1:13">
      <c r="A10873" t="n">
        <v>101110</v>
      </c>
      <c r="B10873" s="23" t="n">
        <v>58</v>
      </c>
      <c r="C10873" s="7" t="n">
        <v>254</v>
      </c>
      <c r="D10873" s="7" t="n">
        <v>0</v>
      </c>
    </row>
    <row r="10874" spans="1:13">
      <c r="A10874" t="s">
        <v>4</v>
      </c>
      <c r="B10874" s="4" t="s">
        <v>5</v>
      </c>
      <c r="C10874" s="4" t="s">
        <v>7</v>
      </c>
      <c r="D10874" s="4" t="s">
        <v>7</v>
      </c>
      <c r="E10874" s="4" t="s">
        <v>13</v>
      </c>
      <c r="F10874" s="4" t="s">
        <v>13</v>
      </c>
      <c r="G10874" s="4" t="s">
        <v>13</v>
      </c>
      <c r="H10874" s="4" t="s">
        <v>11</v>
      </c>
    </row>
    <row r="10875" spans="1:13">
      <c r="A10875" t="n">
        <v>101114</v>
      </c>
      <c r="B10875" s="51" t="n">
        <v>45</v>
      </c>
      <c r="C10875" s="7" t="n">
        <v>2</v>
      </c>
      <c r="D10875" s="7" t="n">
        <v>3</v>
      </c>
      <c r="E10875" s="7" t="n">
        <v>-7.3899998664856</v>
      </c>
      <c r="F10875" s="7" t="n">
        <v>6.3600001335144</v>
      </c>
      <c r="G10875" s="7" t="n">
        <v>29.8400001525879</v>
      </c>
      <c r="H10875" s="7" t="n">
        <v>0</v>
      </c>
    </row>
    <row r="10876" spans="1:13">
      <c r="A10876" t="s">
        <v>4</v>
      </c>
      <c r="B10876" s="4" t="s">
        <v>5</v>
      </c>
      <c r="C10876" s="4" t="s">
        <v>7</v>
      </c>
      <c r="D10876" s="4" t="s">
        <v>7</v>
      </c>
      <c r="E10876" s="4" t="s">
        <v>13</v>
      </c>
      <c r="F10876" s="4" t="s">
        <v>13</v>
      </c>
      <c r="G10876" s="4" t="s">
        <v>13</v>
      </c>
      <c r="H10876" s="4" t="s">
        <v>11</v>
      </c>
      <c r="I10876" s="4" t="s">
        <v>7</v>
      </c>
    </row>
    <row r="10877" spans="1:13">
      <c r="A10877" t="n">
        <v>101131</v>
      </c>
      <c r="B10877" s="51" t="n">
        <v>45</v>
      </c>
      <c r="C10877" s="7" t="n">
        <v>4</v>
      </c>
      <c r="D10877" s="7" t="n">
        <v>3</v>
      </c>
      <c r="E10877" s="7" t="n">
        <v>355.489990234375</v>
      </c>
      <c r="F10877" s="7" t="n">
        <v>315.920013427734</v>
      </c>
      <c r="G10877" s="7" t="n">
        <v>10</v>
      </c>
      <c r="H10877" s="7" t="n">
        <v>0</v>
      </c>
      <c r="I10877" s="7" t="n">
        <v>0</v>
      </c>
    </row>
    <row r="10878" spans="1:13">
      <c r="A10878" t="s">
        <v>4</v>
      </c>
      <c r="B10878" s="4" t="s">
        <v>5</v>
      </c>
      <c r="C10878" s="4" t="s">
        <v>7</v>
      </c>
      <c r="D10878" s="4" t="s">
        <v>7</v>
      </c>
      <c r="E10878" s="4" t="s">
        <v>13</v>
      </c>
      <c r="F10878" s="4" t="s">
        <v>11</v>
      </c>
    </row>
    <row r="10879" spans="1:13">
      <c r="A10879" t="n">
        <v>101149</v>
      </c>
      <c r="B10879" s="51" t="n">
        <v>45</v>
      </c>
      <c r="C10879" s="7" t="n">
        <v>5</v>
      </c>
      <c r="D10879" s="7" t="n">
        <v>3</v>
      </c>
      <c r="E10879" s="7" t="n">
        <v>0.899999976158142</v>
      </c>
      <c r="F10879" s="7" t="n">
        <v>0</v>
      </c>
    </row>
    <row r="10880" spans="1:13">
      <c r="A10880" t="s">
        <v>4</v>
      </c>
      <c r="B10880" s="4" t="s">
        <v>5</v>
      </c>
      <c r="C10880" s="4" t="s">
        <v>7</v>
      </c>
      <c r="D10880" s="4" t="s">
        <v>7</v>
      </c>
      <c r="E10880" s="4" t="s">
        <v>13</v>
      </c>
      <c r="F10880" s="4" t="s">
        <v>11</v>
      </c>
    </row>
    <row r="10881" spans="1:9">
      <c r="A10881" t="n">
        <v>101158</v>
      </c>
      <c r="B10881" s="51" t="n">
        <v>45</v>
      </c>
      <c r="C10881" s="7" t="n">
        <v>11</v>
      </c>
      <c r="D10881" s="7" t="n">
        <v>3</v>
      </c>
      <c r="E10881" s="7" t="n">
        <v>40.2999992370605</v>
      </c>
      <c r="F10881" s="7" t="n">
        <v>0</v>
      </c>
    </row>
    <row r="10882" spans="1:9">
      <c r="A10882" t="s">
        <v>4</v>
      </c>
      <c r="B10882" s="4" t="s">
        <v>5</v>
      </c>
      <c r="C10882" s="4" t="s">
        <v>11</v>
      </c>
      <c r="D10882" s="4" t="s">
        <v>13</v>
      </c>
      <c r="E10882" s="4" t="s">
        <v>13</v>
      </c>
      <c r="F10882" s="4" t="s">
        <v>13</v>
      </c>
      <c r="G10882" s="4" t="s">
        <v>13</v>
      </c>
    </row>
    <row r="10883" spans="1:9">
      <c r="A10883" t="n">
        <v>101167</v>
      </c>
      <c r="B10883" s="36" t="n">
        <v>46</v>
      </c>
      <c r="C10883" s="7" t="n">
        <v>0</v>
      </c>
      <c r="D10883" s="7" t="n">
        <v>-6.94000005722046</v>
      </c>
      <c r="E10883" s="7" t="n">
        <v>5</v>
      </c>
      <c r="F10883" s="7" t="n">
        <v>29.8500003814697</v>
      </c>
      <c r="G10883" s="7" t="n">
        <v>-96.5999984741211</v>
      </c>
    </row>
    <row r="10884" spans="1:9">
      <c r="A10884" t="s">
        <v>4</v>
      </c>
      <c r="B10884" s="4" t="s">
        <v>5</v>
      </c>
      <c r="C10884" s="4" t="s">
        <v>7</v>
      </c>
      <c r="D10884" s="4" t="s">
        <v>11</v>
      </c>
    </row>
    <row r="10885" spans="1:9">
      <c r="A10885" t="n">
        <v>101186</v>
      </c>
      <c r="B10885" s="23" t="n">
        <v>58</v>
      </c>
      <c r="C10885" s="7" t="n">
        <v>255</v>
      </c>
      <c r="D10885" s="7" t="n">
        <v>0</v>
      </c>
    </row>
    <row r="10886" spans="1:9">
      <c r="A10886" t="s">
        <v>4</v>
      </c>
      <c r="B10886" s="4" t="s">
        <v>5</v>
      </c>
      <c r="C10886" s="4" t="s">
        <v>7</v>
      </c>
      <c r="D10886" s="4" t="s">
        <v>11</v>
      </c>
      <c r="E10886" s="4" t="s">
        <v>8</v>
      </c>
    </row>
    <row r="10887" spans="1:9">
      <c r="A10887" t="n">
        <v>101190</v>
      </c>
      <c r="B10887" s="38" t="n">
        <v>51</v>
      </c>
      <c r="C10887" s="7" t="n">
        <v>4</v>
      </c>
      <c r="D10887" s="7" t="n">
        <v>0</v>
      </c>
      <c r="E10887" s="7" t="s">
        <v>179</v>
      </c>
    </row>
    <row r="10888" spans="1:9">
      <c r="A10888" t="s">
        <v>4</v>
      </c>
      <c r="B10888" s="4" t="s">
        <v>5</v>
      </c>
      <c r="C10888" s="4" t="s">
        <v>11</v>
      </c>
    </row>
    <row r="10889" spans="1:9">
      <c r="A10889" t="n">
        <v>101204</v>
      </c>
      <c r="B10889" s="29" t="n">
        <v>16</v>
      </c>
      <c r="C10889" s="7" t="n">
        <v>0</v>
      </c>
    </row>
    <row r="10890" spans="1:9">
      <c r="A10890" t="s">
        <v>4</v>
      </c>
      <c r="B10890" s="4" t="s">
        <v>5</v>
      </c>
      <c r="C10890" s="4" t="s">
        <v>11</v>
      </c>
      <c r="D10890" s="4" t="s">
        <v>7</v>
      </c>
      <c r="E10890" s="4" t="s">
        <v>15</v>
      </c>
      <c r="F10890" s="4" t="s">
        <v>55</v>
      </c>
      <c r="G10890" s="4" t="s">
        <v>7</v>
      </c>
      <c r="H10890" s="4" t="s">
        <v>7</v>
      </c>
      <c r="I10890" s="4" t="s">
        <v>7</v>
      </c>
      <c r="J10890" s="4" t="s">
        <v>15</v>
      </c>
      <c r="K10890" s="4" t="s">
        <v>55</v>
      </c>
      <c r="L10890" s="4" t="s">
        <v>7</v>
      </c>
      <c r="M10890" s="4" t="s">
        <v>7</v>
      </c>
      <c r="N10890" s="4" t="s">
        <v>7</v>
      </c>
      <c r="O10890" s="4" t="s">
        <v>15</v>
      </c>
      <c r="P10890" s="4" t="s">
        <v>55</v>
      </c>
      <c r="Q10890" s="4" t="s">
        <v>7</v>
      </c>
      <c r="R10890" s="4" t="s">
        <v>7</v>
      </c>
    </row>
    <row r="10891" spans="1:9">
      <c r="A10891" t="n">
        <v>101207</v>
      </c>
      <c r="B10891" s="55" t="n">
        <v>26</v>
      </c>
      <c r="C10891" s="7" t="n">
        <v>0</v>
      </c>
      <c r="D10891" s="7" t="n">
        <v>17</v>
      </c>
      <c r="E10891" s="7" t="n">
        <v>64089</v>
      </c>
      <c r="F10891" s="7" t="s">
        <v>899</v>
      </c>
      <c r="G10891" s="7" t="n">
        <v>2</v>
      </c>
      <c r="H10891" s="7" t="n">
        <v>3</v>
      </c>
      <c r="I10891" s="7" t="n">
        <v>17</v>
      </c>
      <c r="J10891" s="7" t="n">
        <v>64090</v>
      </c>
      <c r="K10891" s="7" t="s">
        <v>900</v>
      </c>
      <c r="L10891" s="7" t="n">
        <v>2</v>
      </c>
      <c r="M10891" s="7" t="n">
        <v>3</v>
      </c>
      <c r="N10891" s="7" t="n">
        <v>17</v>
      </c>
      <c r="O10891" s="7" t="n">
        <v>64091</v>
      </c>
      <c r="P10891" s="7" t="s">
        <v>901</v>
      </c>
      <c r="Q10891" s="7" t="n">
        <v>2</v>
      </c>
      <c r="R10891" s="7" t="n">
        <v>0</v>
      </c>
    </row>
    <row r="10892" spans="1:9">
      <c r="A10892" t="s">
        <v>4</v>
      </c>
      <c r="B10892" s="4" t="s">
        <v>5</v>
      </c>
    </row>
    <row r="10893" spans="1:9">
      <c r="A10893" t="n">
        <v>101579</v>
      </c>
      <c r="B10893" s="27" t="n">
        <v>28</v>
      </c>
    </row>
    <row r="10894" spans="1:9">
      <c r="A10894" t="s">
        <v>4</v>
      </c>
      <c r="B10894" s="4" t="s">
        <v>5</v>
      </c>
      <c r="C10894" s="4" t="s">
        <v>11</v>
      </c>
      <c r="D10894" s="4" t="s">
        <v>7</v>
      </c>
      <c r="E10894" s="4" t="s">
        <v>13</v>
      </c>
      <c r="F10894" s="4" t="s">
        <v>11</v>
      </c>
    </row>
    <row r="10895" spans="1:9">
      <c r="A10895" t="n">
        <v>101580</v>
      </c>
      <c r="B10895" s="56" t="n">
        <v>59</v>
      </c>
      <c r="C10895" s="7" t="n">
        <v>18</v>
      </c>
      <c r="D10895" s="7" t="n">
        <v>8</v>
      </c>
      <c r="E10895" s="7" t="n">
        <v>0.150000005960464</v>
      </c>
      <c r="F10895" s="7" t="n">
        <v>0</v>
      </c>
    </row>
    <row r="10896" spans="1:9">
      <c r="A10896" t="s">
        <v>4</v>
      </c>
      <c r="B10896" s="4" t="s">
        <v>5</v>
      </c>
      <c r="C10896" s="4" t="s">
        <v>11</v>
      </c>
    </row>
    <row r="10897" spans="1:18">
      <c r="A10897" t="n">
        <v>101590</v>
      </c>
      <c r="B10897" s="29" t="n">
        <v>16</v>
      </c>
      <c r="C10897" s="7" t="n">
        <v>1500</v>
      </c>
    </row>
    <row r="10898" spans="1:18">
      <c r="A10898" t="s">
        <v>4</v>
      </c>
      <c r="B10898" s="4" t="s">
        <v>5</v>
      </c>
      <c r="C10898" s="4" t="s">
        <v>11</v>
      </c>
      <c r="D10898" s="4" t="s">
        <v>7</v>
      </c>
      <c r="E10898" s="4" t="s">
        <v>13</v>
      </c>
      <c r="F10898" s="4" t="s">
        <v>11</v>
      </c>
    </row>
    <row r="10899" spans="1:18">
      <c r="A10899" t="n">
        <v>101593</v>
      </c>
      <c r="B10899" s="56" t="n">
        <v>59</v>
      </c>
      <c r="C10899" s="7" t="n">
        <v>18</v>
      </c>
      <c r="D10899" s="7" t="n">
        <v>255</v>
      </c>
      <c r="E10899" s="7" t="n">
        <v>0</v>
      </c>
      <c r="F10899" s="7" t="n">
        <v>0</v>
      </c>
    </row>
    <row r="10900" spans="1:18">
      <c r="A10900" t="s">
        <v>4</v>
      </c>
      <c r="B10900" s="4" t="s">
        <v>5</v>
      </c>
      <c r="C10900" s="4" t="s">
        <v>11</v>
      </c>
    </row>
    <row r="10901" spans="1:18">
      <c r="A10901" t="n">
        <v>101603</v>
      </c>
      <c r="B10901" s="29" t="n">
        <v>16</v>
      </c>
      <c r="C10901" s="7" t="n">
        <v>300</v>
      </c>
    </row>
    <row r="10902" spans="1:18">
      <c r="A10902" t="s">
        <v>4</v>
      </c>
      <c r="B10902" s="4" t="s">
        <v>5</v>
      </c>
      <c r="C10902" s="4" t="s">
        <v>7</v>
      </c>
      <c r="D10902" s="4" t="s">
        <v>11</v>
      </c>
      <c r="E10902" s="4" t="s">
        <v>13</v>
      </c>
    </row>
    <row r="10903" spans="1:18">
      <c r="A10903" t="n">
        <v>101606</v>
      </c>
      <c r="B10903" s="23" t="n">
        <v>58</v>
      </c>
      <c r="C10903" s="7" t="n">
        <v>101</v>
      </c>
      <c r="D10903" s="7" t="n">
        <v>500</v>
      </c>
      <c r="E10903" s="7" t="n">
        <v>1</v>
      </c>
    </row>
    <row r="10904" spans="1:18">
      <c r="A10904" t="s">
        <v>4</v>
      </c>
      <c r="B10904" s="4" t="s">
        <v>5</v>
      </c>
      <c r="C10904" s="4" t="s">
        <v>7</v>
      </c>
      <c r="D10904" s="4" t="s">
        <v>11</v>
      </c>
    </row>
    <row r="10905" spans="1:18">
      <c r="A10905" t="n">
        <v>101614</v>
      </c>
      <c r="B10905" s="23" t="n">
        <v>58</v>
      </c>
      <c r="C10905" s="7" t="n">
        <v>254</v>
      </c>
      <c r="D10905" s="7" t="n">
        <v>0</v>
      </c>
    </row>
    <row r="10906" spans="1:18">
      <c r="A10906" t="s">
        <v>4</v>
      </c>
      <c r="B10906" s="4" t="s">
        <v>5</v>
      </c>
      <c r="C10906" s="4" t="s">
        <v>7</v>
      </c>
      <c r="D10906" s="4" t="s">
        <v>7</v>
      </c>
      <c r="E10906" s="4" t="s">
        <v>13</v>
      </c>
      <c r="F10906" s="4" t="s">
        <v>13</v>
      </c>
      <c r="G10906" s="4" t="s">
        <v>13</v>
      </c>
      <c r="H10906" s="4" t="s">
        <v>11</v>
      </c>
    </row>
    <row r="10907" spans="1:18">
      <c r="A10907" t="n">
        <v>101618</v>
      </c>
      <c r="B10907" s="51" t="n">
        <v>45</v>
      </c>
      <c r="C10907" s="7" t="n">
        <v>2</v>
      </c>
      <c r="D10907" s="7" t="n">
        <v>3</v>
      </c>
      <c r="E10907" s="7" t="n">
        <v>-7.28999996185303</v>
      </c>
      <c r="F10907" s="7" t="n">
        <v>6.34000015258789</v>
      </c>
      <c r="G10907" s="7" t="n">
        <v>29.7900009155273</v>
      </c>
      <c r="H10907" s="7" t="n">
        <v>0</v>
      </c>
    </row>
    <row r="10908" spans="1:18">
      <c r="A10908" t="s">
        <v>4</v>
      </c>
      <c r="B10908" s="4" t="s">
        <v>5</v>
      </c>
      <c r="C10908" s="4" t="s">
        <v>7</v>
      </c>
      <c r="D10908" s="4" t="s">
        <v>7</v>
      </c>
      <c r="E10908" s="4" t="s">
        <v>13</v>
      </c>
      <c r="F10908" s="4" t="s">
        <v>13</v>
      </c>
      <c r="G10908" s="4" t="s">
        <v>13</v>
      </c>
      <c r="H10908" s="4" t="s">
        <v>11</v>
      </c>
      <c r="I10908" s="4" t="s">
        <v>7</v>
      </c>
    </row>
    <row r="10909" spans="1:18">
      <c r="A10909" t="n">
        <v>101635</v>
      </c>
      <c r="B10909" s="51" t="n">
        <v>45</v>
      </c>
      <c r="C10909" s="7" t="n">
        <v>4</v>
      </c>
      <c r="D10909" s="7" t="n">
        <v>3</v>
      </c>
      <c r="E10909" s="7" t="n">
        <v>23.2700004577637</v>
      </c>
      <c r="F10909" s="7" t="n">
        <v>51.2000007629395</v>
      </c>
      <c r="G10909" s="7" t="n">
        <v>354</v>
      </c>
      <c r="H10909" s="7" t="n">
        <v>0</v>
      </c>
      <c r="I10909" s="7" t="n">
        <v>0</v>
      </c>
    </row>
    <row r="10910" spans="1:18">
      <c r="A10910" t="s">
        <v>4</v>
      </c>
      <c r="B10910" s="4" t="s">
        <v>5</v>
      </c>
      <c r="C10910" s="4" t="s">
        <v>7</v>
      </c>
      <c r="D10910" s="4" t="s">
        <v>7</v>
      </c>
      <c r="E10910" s="4" t="s">
        <v>13</v>
      </c>
      <c r="F10910" s="4" t="s">
        <v>11</v>
      </c>
    </row>
    <row r="10911" spans="1:18">
      <c r="A10911" t="n">
        <v>101653</v>
      </c>
      <c r="B10911" s="51" t="n">
        <v>45</v>
      </c>
      <c r="C10911" s="7" t="n">
        <v>5</v>
      </c>
      <c r="D10911" s="7" t="n">
        <v>3</v>
      </c>
      <c r="E10911" s="7" t="n">
        <v>1.20000004768372</v>
      </c>
      <c r="F10911" s="7" t="n">
        <v>0</v>
      </c>
    </row>
    <row r="10912" spans="1:18">
      <c r="A10912" t="s">
        <v>4</v>
      </c>
      <c r="B10912" s="4" t="s">
        <v>5</v>
      </c>
      <c r="C10912" s="4" t="s">
        <v>7</v>
      </c>
      <c r="D10912" s="4" t="s">
        <v>7</v>
      </c>
      <c r="E10912" s="4" t="s">
        <v>13</v>
      </c>
      <c r="F10912" s="4" t="s">
        <v>11</v>
      </c>
    </row>
    <row r="10913" spans="1:9">
      <c r="A10913" t="n">
        <v>101662</v>
      </c>
      <c r="B10913" s="51" t="n">
        <v>45</v>
      </c>
      <c r="C10913" s="7" t="n">
        <v>11</v>
      </c>
      <c r="D10913" s="7" t="n">
        <v>3</v>
      </c>
      <c r="E10913" s="7" t="n">
        <v>40.2999992370605</v>
      </c>
      <c r="F10913" s="7" t="n">
        <v>0</v>
      </c>
    </row>
    <row r="10914" spans="1:9">
      <c r="A10914" t="s">
        <v>4</v>
      </c>
      <c r="B10914" s="4" t="s">
        <v>5</v>
      </c>
      <c r="C10914" s="4" t="s">
        <v>7</v>
      </c>
      <c r="D10914" s="4" t="s">
        <v>7</v>
      </c>
      <c r="E10914" s="4" t="s">
        <v>13</v>
      </c>
      <c r="F10914" s="4" t="s">
        <v>11</v>
      </c>
    </row>
    <row r="10915" spans="1:9">
      <c r="A10915" t="n">
        <v>101671</v>
      </c>
      <c r="B10915" s="51" t="n">
        <v>45</v>
      </c>
      <c r="C10915" s="7" t="n">
        <v>5</v>
      </c>
      <c r="D10915" s="7" t="n">
        <v>3</v>
      </c>
      <c r="E10915" s="7" t="n">
        <v>1.03999996185303</v>
      </c>
      <c r="F10915" s="7" t="n">
        <v>1000</v>
      </c>
    </row>
    <row r="10916" spans="1:9">
      <c r="A10916" t="s">
        <v>4</v>
      </c>
      <c r="B10916" s="4" t="s">
        <v>5</v>
      </c>
      <c r="C10916" s="4" t="s">
        <v>7</v>
      </c>
      <c r="D10916" s="4" t="s">
        <v>11</v>
      </c>
      <c r="E10916" s="4" t="s">
        <v>8</v>
      </c>
      <c r="F10916" s="4" t="s">
        <v>8</v>
      </c>
      <c r="G10916" s="4" t="s">
        <v>8</v>
      </c>
      <c r="H10916" s="4" t="s">
        <v>8</v>
      </c>
    </row>
    <row r="10917" spans="1:9">
      <c r="A10917" t="n">
        <v>101680</v>
      </c>
      <c r="B10917" s="38" t="n">
        <v>51</v>
      </c>
      <c r="C10917" s="7" t="n">
        <v>3</v>
      </c>
      <c r="D10917" s="7" t="n">
        <v>18</v>
      </c>
      <c r="E10917" s="7" t="s">
        <v>155</v>
      </c>
      <c r="F10917" s="7" t="s">
        <v>218</v>
      </c>
      <c r="G10917" s="7" t="s">
        <v>16</v>
      </c>
      <c r="H10917" s="7" t="s">
        <v>86</v>
      </c>
    </row>
    <row r="10918" spans="1:9">
      <c r="A10918" t="s">
        <v>4</v>
      </c>
      <c r="B10918" s="4" t="s">
        <v>5</v>
      </c>
      <c r="C10918" s="4" t="s">
        <v>11</v>
      </c>
      <c r="D10918" s="4" t="s">
        <v>7</v>
      </c>
      <c r="E10918" s="4" t="s">
        <v>8</v>
      </c>
      <c r="F10918" s="4" t="s">
        <v>13</v>
      </c>
      <c r="G10918" s="4" t="s">
        <v>13</v>
      </c>
      <c r="H10918" s="4" t="s">
        <v>13</v>
      </c>
    </row>
    <row r="10919" spans="1:9">
      <c r="A10919" t="n">
        <v>101691</v>
      </c>
      <c r="B10919" s="42" t="n">
        <v>48</v>
      </c>
      <c r="C10919" s="7" t="n">
        <v>18</v>
      </c>
      <c r="D10919" s="7" t="n">
        <v>0</v>
      </c>
      <c r="E10919" s="7" t="s">
        <v>854</v>
      </c>
      <c r="F10919" s="7" t="n">
        <v>-1</v>
      </c>
      <c r="G10919" s="7" t="n">
        <v>1</v>
      </c>
      <c r="H10919" s="7" t="n">
        <v>0</v>
      </c>
    </row>
    <row r="10920" spans="1:9">
      <c r="A10920" t="s">
        <v>4</v>
      </c>
      <c r="B10920" s="4" t="s">
        <v>5</v>
      </c>
      <c r="C10920" s="4" t="s">
        <v>7</v>
      </c>
      <c r="D10920" s="4" t="s">
        <v>11</v>
      </c>
    </row>
    <row r="10921" spans="1:9">
      <c r="A10921" t="n">
        <v>101719</v>
      </c>
      <c r="B10921" s="23" t="n">
        <v>58</v>
      </c>
      <c r="C10921" s="7" t="n">
        <v>255</v>
      </c>
      <c r="D10921" s="7" t="n">
        <v>0</v>
      </c>
    </row>
    <row r="10922" spans="1:9">
      <c r="A10922" t="s">
        <v>4</v>
      </c>
      <c r="B10922" s="4" t="s">
        <v>5</v>
      </c>
      <c r="C10922" s="4" t="s">
        <v>7</v>
      </c>
      <c r="D10922" s="4" t="s">
        <v>13</v>
      </c>
      <c r="E10922" s="4" t="s">
        <v>13</v>
      </c>
      <c r="F10922" s="4" t="s">
        <v>13</v>
      </c>
    </row>
    <row r="10923" spans="1:9">
      <c r="A10923" t="n">
        <v>101723</v>
      </c>
      <c r="B10923" s="51" t="n">
        <v>45</v>
      </c>
      <c r="C10923" s="7" t="n">
        <v>9</v>
      </c>
      <c r="D10923" s="7" t="n">
        <v>0.00999999977648258</v>
      </c>
      <c r="E10923" s="7" t="n">
        <v>0.00999999977648258</v>
      </c>
      <c r="F10923" s="7" t="n">
        <v>0.5</v>
      </c>
    </row>
    <row r="10924" spans="1:9">
      <c r="A10924" t="s">
        <v>4</v>
      </c>
      <c r="B10924" s="4" t="s">
        <v>5</v>
      </c>
      <c r="C10924" s="4" t="s">
        <v>7</v>
      </c>
      <c r="D10924" s="4" t="s">
        <v>11</v>
      </c>
      <c r="E10924" s="4" t="s">
        <v>8</v>
      </c>
    </row>
    <row r="10925" spans="1:9">
      <c r="A10925" t="n">
        <v>101737</v>
      </c>
      <c r="B10925" s="38" t="n">
        <v>51</v>
      </c>
      <c r="C10925" s="7" t="n">
        <v>4</v>
      </c>
      <c r="D10925" s="7" t="n">
        <v>18</v>
      </c>
      <c r="E10925" s="7" t="s">
        <v>902</v>
      </c>
    </row>
    <row r="10926" spans="1:9">
      <c r="A10926" t="s">
        <v>4</v>
      </c>
      <c r="B10926" s="4" t="s">
        <v>5</v>
      </c>
      <c r="C10926" s="4" t="s">
        <v>11</v>
      </c>
    </row>
    <row r="10927" spans="1:9">
      <c r="A10927" t="n">
        <v>101765</v>
      </c>
      <c r="B10927" s="29" t="n">
        <v>16</v>
      </c>
      <c r="C10927" s="7" t="n">
        <v>0</v>
      </c>
    </row>
    <row r="10928" spans="1:9">
      <c r="A10928" t="s">
        <v>4</v>
      </c>
      <c r="B10928" s="4" t="s">
        <v>5</v>
      </c>
      <c r="C10928" s="4" t="s">
        <v>11</v>
      </c>
      <c r="D10928" s="4" t="s">
        <v>7</v>
      </c>
      <c r="E10928" s="4" t="s">
        <v>15</v>
      </c>
      <c r="F10928" s="4" t="s">
        <v>55</v>
      </c>
      <c r="G10928" s="4" t="s">
        <v>7</v>
      </c>
      <c r="H10928" s="4" t="s">
        <v>7</v>
      </c>
      <c r="I10928" s="4" t="s">
        <v>7</v>
      </c>
      <c r="J10928" s="4" t="s">
        <v>15</v>
      </c>
      <c r="K10928" s="4" t="s">
        <v>55</v>
      </c>
      <c r="L10928" s="4" t="s">
        <v>7</v>
      </c>
      <c r="M10928" s="4" t="s">
        <v>7</v>
      </c>
      <c r="N10928" s="4" t="s">
        <v>7</v>
      </c>
      <c r="O10928" s="4" t="s">
        <v>15</v>
      </c>
      <c r="P10928" s="4" t="s">
        <v>55</v>
      </c>
      <c r="Q10928" s="4" t="s">
        <v>7</v>
      </c>
      <c r="R10928" s="4" t="s">
        <v>7</v>
      </c>
    </row>
    <row r="10929" spans="1:18">
      <c r="A10929" t="n">
        <v>101768</v>
      </c>
      <c r="B10929" s="55" t="n">
        <v>26</v>
      </c>
      <c r="C10929" s="7" t="n">
        <v>18</v>
      </c>
      <c r="D10929" s="7" t="n">
        <v>17</v>
      </c>
      <c r="E10929" s="7" t="n">
        <v>17809</v>
      </c>
      <c r="F10929" s="7" t="s">
        <v>903</v>
      </c>
      <c r="G10929" s="7" t="n">
        <v>2</v>
      </c>
      <c r="H10929" s="7" t="n">
        <v>3</v>
      </c>
      <c r="I10929" s="7" t="n">
        <v>17</v>
      </c>
      <c r="J10929" s="7" t="n">
        <v>17810</v>
      </c>
      <c r="K10929" s="7" t="s">
        <v>904</v>
      </c>
      <c r="L10929" s="7" t="n">
        <v>2</v>
      </c>
      <c r="M10929" s="7" t="n">
        <v>3</v>
      </c>
      <c r="N10929" s="7" t="n">
        <v>17</v>
      </c>
      <c r="O10929" s="7" t="n">
        <v>17811</v>
      </c>
      <c r="P10929" s="7" t="s">
        <v>905</v>
      </c>
      <c r="Q10929" s="7" t="n">
        <v>2</v>
      </c>
      <c r="R10929" s="7" t="n">
        <v>0</v>
      </c>
    </row>
    <row r="10930" spans="1:18">
      <c r="A10930" t="s">
        <v>4</v>
      </c>
      <c r="B10930" s="4" t="s">
        <v>5</v>
      </c>
    </row>
    <row r="10931" spans="1:18">
      <c r="A10931" t="n">
        <v>102014</v>
      </c>
      <c r="B10931" s="27" t="n">
        <v>28</v>
      </c>
    </row>
    <row r="10932" spans="1:18">
      <c r="A10932" t="s">
        <v>4</v>
      </c>
      <c r="B10932" s="4" t="s">
        <v>5</v>
      </c>
      <c r="C10932" s="4" t="s">
        <v>11</v>
      </c>
      <c r="D10932" s="4" t="s">
        <v>7</v>
      </c>
    </row>
    <row r="10933" spans="1:18">
      <c r="A10933" t="n">
        <v>102015</v>
      </c>
      <c r="B10933" s="68" t="n">
        <v>89</v>
      </c>
      <c r="C10933" s="7" t="n">
        <v>65533</v>
      </c>
      <c r="D10933" s="7" t="n">
        <v>1</v>
      </c>
    </row>
    <row r="10934" spans="1:18">
      <c r="A10934" t="s">
        <v>4</v>
      </c>
      <c r="B10934" s="4" t="s">
        <v>5</v>
      </c>
      <c r="C10934" s="4" t="s">
        <v>11</v>
      </c>
      <c r="D10934" s="4" t="s">
        <v>11</v>
      </c>
      <c r="E10934" s="4" t="s">
        <v>11</v>
      </c>
    </row>
    <row r="10935" spans="1:18">
      <c r="A10935" t="n">
        <v>102019</v>
      </c>
      <c r="B10935" s="72" t="n">
        <v>61</v>
      </c>
      <c r="C10935" s="7" t="n">
        <v>18</v>
      </c>
      <c r="D10935" s="7" t="n">
        <v>65533</v>
      </c>
      <c r="E10935" s="7" t="n">
        <v>1000</v>
      </c>
    </row>
    <row r="10936" spans="1:18">
      <c r="A10936" t="s">
        <v>4</v>
      </c>
      <c r="B10936" s="4" t="s">
        <v>5</v>
      </c>
      <c r="C10936" s="4" t="s">
        <v>11</v>
      </c>
      <c r="D10936" s="4" t="s">
        <v>13</v>
      </c>
      <c r="E10936" s="4" t="s">
        <v>13</v>
      </c>
      <c r="F10936" s="4" t="s">
        <v>13</v>
      </c>
      <c r="G10936" s="4" t="s">
        <v>11</v>
      </c>
      <c r="H10936" s="4" t="s">
        <v>11</v>
      </c>
    </row>
    <row r="10937" spans="1:18">
      <c r="A10937" t="n">
        <v>102026</v>
      </c>
      <c r="B10937" s="37" t="n">
        <v>60</v>
      </c>
      <c r="C10937" s="7" t="n">
        <v>18</v>
      </c>
      <c r="D10937" s="7" t="n">
        <v>20</v>
      </c>
      <c r="E10937" s="7" t="n">
        <v>-10</v>
      </c>
      <c r="F10937" s="7" t="n">
        <v>0</v>
      </c>
      <c r="G10937" s="7" t="n">
        <v>1000</v>
      </c>
      <c r="H10937" s="7" t="n">
        <v>0</v>
      </c>
    </row>
    <row r="10938" spans="1:18">
      <c r="A10938" t="s">
        <v>4</v>
      </c>
      <c r="B10938" s="4" t="s">
        <v>5</v>
      </c>
      <c r="C10938" s="4" t="s">
        <v>11</v>
      </c>
    </row>
    <row r="10939" spans="1:18">
      <c r="A10939" t="n">
        <v>102045</v>
      </c>
      <c r="B10939" s="29" t="n">
        <v>16</v>
      </c>
      <c r="C10939" s="7" t="n">
        <v>500</v>
      </c>
    </row>
    <row r="10940" spans="1:18">
      <c r="A10940" t="s">
        <v>4</v>
      </c>
      <c r="B10940" s="4" t="s">
        <v>5</v>
      </c>
      <c r="C10940" s="4" t="s">
        <v>7</v>
      </c>
      <c r="D10940" s="4" t="s">
        <v>11</v>
      </c>
      <c r="E10940" s="4" t="s">
        <v>8</v>
      </c>
    </row>
    <row r="10941" spans="1:18">
      <c r="A10941" t="n">
        <v>102048</v>
      </c>
      <c r="B10941" s="38" t="n">
        <v>51</v>
      </c>
      <c r="C10941" s="7" t="n">
        <v>4</v>
      </c>
      <c r="D10941" s="7" t="n">
        <v>18</v>
      </c>
      <c r="E10941" s="7" t="s">
        <v>906</v>
      </c>
    </row>
    <row r="10942" spans="1:18">
      <c r="A10942" t="s">
        <v>4</v>
      </c>
      <c r="B10942" s="4" t="s">
        <v>5</v>
      </c>
      <c r="C10942" s="4" t="s">
        <v>11</v>
      </c>
    </row>
    <row r="10943" spans="1:18">
      <c r="A10943" t="n">
        <v>102067</v>
      </c>
      <c r="B10943" s="29" t="n">
        <v>16</v>
      </c>
      <c r="C10943" s="7" t="n">
        <v>0</v>
      </c>
    </row>
    <row r="10944" spans="1:18">
      <c r="A10944" t="s">
        <v>4</v>
      </c>
      <c r="B10944" s="4" t="s">
        <v>5</v>
      </c>
      <c r="C10944" s="4" t="s">
        <v>11</v>
      </c>
      <c r="D10944" s="4" t="s">
        <v>7</v>
      </c>
      <c r="E10944" s="4" t="s">
        <v>15</v>
      </c>
      <c r="F10944" s="4" t="s">
        <v>55</v>
      </c>
      <c r="G10944" s="4" t="s">
        <v>7</v>
      </c>
      <c r="H10944" s="4" t="s">
        <v>7</v>
      </c>
      <c r="I10944" s="4" t="s">
        <v>7</v>
      </c>
      <c r="J10944" s="4" t="s">
        <v>15</v>
      </c>
      <c r="K10944" s="4" t="s">
        <v>55</v>
      </c>
      <c r="L10944" s="4" t="s">
        <v>7</v>
      </c>
      <c r="M10944" s="4" t="s">
        <v>7</v>
      </c>
    </row>
    <row r="10945" spans="1:18">
      <c r="A10945" t="n">
        <v>102070</v>
      </c>
      <c r="B10945" s="55" t="n">
        <v>26</v>
      </c>
      <c r="C10945" s="7" t="n">
        <v>18</v>
      </c>
      <c r="D10945" s="7" t="n">
        <v>17</v>
      </c>
      <c r="E10945" s="7" t="n">
        <v>17812</v>
      </c>
      <c r="F10945" s="7" t="s">
        <v>907</v>
      </c>
      <c r="G10945" s="7" t="n">
        <v>2</v>
      </c>
      <c r="H10945" s="7" t="n">
        <v>3</v>
      </c>
      <c r="I10945" s="7" t="n">
        <v>17</v>
      </c>
      <c r="J10945" s="7" t="n">
        <v>17813</v>
      </c>
      <c r="K10945" s="7" t="s">
        <v>908</v>
      </c>
      <c r="L10945" s="7" t="n">
        <v>2</v>
      </c>
      <c r="M10945" s="7" t="n">
        <v>0</v>
      </c>
    </row>
    <row r="10946" spans="1:18">
      <c r="A10946" t="s">
        <v>4</v>
      </c>
      <c r="B10946" s="4" t="s">
        <v>5</v>
      </c>
    </row>
    <row r="10947" spans="1:18">
      <c r="A10947" t="n">
        <v>102275</v>
      </c>
      <c r="B10947" s="27" t="n">
        <v>28</v>
      </c>
    </row>
    <row r="10948" spans="1:18">
      <c r="A10948" t="s">
        <v>4</v>
      </c>
      <c r="B10948" s="4" t="s">
        <v>5</v>
      </c>
      <c r="C10948" s="4" t="s">
        <v>11</v>
      </c>
      <c r="D10948" s="4" t="s">
        <v>7</v>
      </c>
      <c r="E10948" s="4" t="s">
        <v>13</v>
      </c>
      <c r="F10948" s="4" t="s">
        <v>11</v>
      </c>
    </row>
    <row r="10949" spans="1:18">
      <c r="A10949" t="n">
        <v>102276</v>
      </c>
      <c r="B10949" s="56" t="n">
        <v>59</v>
      </c>
      <c r="C10949" s="7" t="n">
        <v>0</v>
      </c>
      <c r="D10949" s="7" t="n">
        <v>6</v>
      </c>
      <c r="E10949" s="7" t="n">
        <v>0</v>
      </c>
      <c r="F10949" s="7" t="n">
        <v>0</v>
      </c>
    </row>
    <row r="10950" spans="1:18">
      <c r="A10950" t="s">
        <v>4</v>
      </c>
      <c r="B10950" s="4" t="s">
        <v>5</v>
      </c>
      <c r="C10950" s="4" t="s">
        <v>11</v>
      </c>
    </row>
    <row r="10951" spans="1:18">
      <c r="A10951" t="n">
        <v>102286</v>
      </c>
      <c r="B10951" s="29" t="n">
        <v>16</v>
      </c>
      <c r="C10951" s="7" t="n">
        <v>1000</v>
      </c>
    </row>
    <row r="10952" spans="1:18">
      <c r="A10952" t="s">
        <v>4</v>
      </c>
      <c r="B10952" s="4" t="s">
        <v>5</v>
      </c>
      <c r="C10952" s="4" t="s">
        <v>7</v>
      </c>
      <c r="D10952" s="4" t="s">
        <v>11</v>
      </c>
      <c r="E10952" s="4" t="s">
        <v>8</v>
      </c>
    </row>
    <row r="10953" spans="1:18">
      <c r="A10953" t="n">
        <v>102289</v>
      </c>
      <c r="B10953" s="38" t="n">
        <v>51</v>
      </c>
      <c r="C10953" s="7" t="n">
        <v>4</v>
      </c>
      <c r="D10953" s="7" t="n">
        <v>0</v>
      </c>
      <c r="E10953" s="7" t="s">
        <v>909</v>
      </c>
    </row>
    <row r="10954" spans="1:18">
      <c r="A10954" t="s">
        <v>4</v>
      </c>
      <c r="B10954" s="4" t="s">
        <v>5</v>
      </c>
      <c r="C10954" s="4" t="s">
        <v>11</v>
      </c>
    </row>
    <row r="10955" spans="1:18">
      <c r="A10955" t="n">
        <v>102303</v>
      </c>
      <c r="B10955" s="29" t="n">
        <v>16</v>
      </c>
      <c r="C10955" s="7" t="n">
        <v>0</v>
      </c>
    </row>
    <row r="10956" spans="1:18">
      <c r="A10956" t="s">
        <v>4</v>
      </c>
      <c r="B10956" s="4" t="s">
        <v>5</v>
      </c>
      <c r="C10956" s="4" t="s">
        <v>11</v>
      </c>
      <c r="D10956" s="4" t="s">
        <v>7</v>
      </c>
      <c r="E10956" s="4" t="s">
        <v>15</v>
      </c>
      <c r="F10956" s="4" t="s">
        <v>55</v>
      </c>
      <c r="G10956" s="4" t="s">
        <v>7</v>
      </c>
      <c r="H10956" s="4" t="s">
        <v>7</v>
      </c>
    </row>
    <row r="10957" spans="1:18">
      <c r="A10957" t="n">
        <v>102306</v>
      </c>
      <c r="B10957" s="55" t="n">
        <v>26</v>
      </c>
      <c r="C10957" s="7" t="n">
        <v>0</v>
      </c>
      <c r="D10957" s="7" t="n">
        <v>17</v>
      </c>
      <c r="E10957" s="7" t="n">
        <v>64092</v>
      </c>
      <c r="F10957" s="7" t="s">
        <v>910</v>
      </c>
      <c r="G10957" s="7" t="n">
        <v>2</v>
      </c>
      <c r="H10957" s="7" t="n">
        <v>0</v>
      </c>
    </row>
    <row r="10958" spans="1:18">
      <c r="A10958" t="s">
        <v>4</v>
      </c>
      <c r="B10958" s="4" t="s">
        <v>5</v>
      </c>
    </row>
    <row r="10959" spans="1:18">
      <c r="A10959" t="n">
        <v>102382</v>
      </c>
      <c r="B10959" s="27" t="n">
        <v>28</v>
      </c>
    </row>
    <row r="10960" spans="1:18">
      <c r="A10960" t="s">
        <v>4</v>
      </c>
      <c r="B10960" s="4" t="s">
        <v>5</v>
      </c>
      <c r="C10960" s="4" t="s">
        <v>11</v>
      </c>
      <c r="D10960" s="4" t="s">
        <v>7</v>
      </c>
    </row>
    <row r="10961" spans="1:13">
      <c r="A10961" t="n">
        <v>102383</v>
      </c>
      <c r="B10961" s="68" t="n">
        <v>89</v>
      </c>
      <c r="C10961" s="7" t="n">
        <v>65533</v>
      </c>
      <c r="D10961" s="7" t="n">
        <v>1</v>
      </c>
    </row>
    <row r="10962" spans="1:13">
      <c r="A10962" t="s">
        <v>4</v>
      </c>
      <c r="B10962" s="4" t="s">
        <v>5</v>
      </c>
      <c r="C10962" s="4" t="s">
        <v>7</v>
      </c>
      <c r="D10962" s="4" t="s">
        <v>11</v>
      </c>
      <c r="E10962" s="4" t="s">
        <v>13</v>
      </c>
    </row>
    <row r="10963" spans="1:13">
      <c r="A10963" t="n">
        <v>102387</v>
      </c>
      <c r="B10963" s="23" t="n">
        <v>58</v>
      </c>
      <c r="C10963" s="7" t="n">
        <v>101</v>
      </c>
      <c r="D10963" s="7" t="n">
        <v>500</v>
      </c>
      <c r="E10963" s="7" t="n">
        <v>1</v>
      </c>
    </row>
    <row r="10964" spans="1:13">
      <c r="A10964" t="s">
        <v>4</v>
      </c>
      <c r="B10964" s="4" t="s">
        <v>5</v>
      </c>
      <c r="C10964" s="4" t="s">
        <v>7</v>
      </c>
      <c r="D10964" s="4" t="s">
        <v>11</v>
      </c>
    </row>
    <row r="10965" spans="1:13">
      <c r="A10965" t="n">
        <v>102395</v>
      </c>
      <c r="B10965" s="23" t="n">
        <v>58</v>
      </c>
      <c r="C10965" s="7" t="n">
        <v>254</v>
      </c>
      <c r="D10965" s="7" t="n">
        <v>0</v>
      </c>
    </row>
    <row r="10966" spans="1:13">
      <c r="A10966" t="s">
        <v>4</v>
      </c>
      <c r="B10966" s="4" t="s">
        <v>5</v>
      </c>
      <c r="C10966" s="4" t="s">
        <v>7</v>
      </c>
      <c r="D10966" s="4" t="s">
        <v>7</v>
      </c>
      <c r="E10966" s="4" t="s">
        <v>13</v>
      </c>
      <c r="F10966" s="4" t="s">
        <v>13</v>
      </c>
      <c r="G10966" s="4" t="s">
        <v>13</v>
      </c>
      <c r="H10966" s="4" t="s">
        <v>11</v>
      </c>
    </row>
    <row r="10967" spans="1:13">
      <c r="A10967" t="n">
        <v>102399</v>
      </c>
      <c r="B10967" s="51" t="n">
        <v>45</v>
      </c>
      <c r="C10967" s="7" t="n">
        <v>2</v>
      </c>
      <c r="D10967" s="7" t="n">
        <v>3</v>
      </c>
      <c r="E10967" s="7" t="n">
        <v>-7.40999984741211</v>
      </c>
      <c r="F10967" s="7" t="n">
        <v>6.30000019073486</v>
      </c>
      <c r="G10967" s="7" t="n">
        <v>29.7999992370605</v>
      </c>
      <c r="H10967" s="7" t="n">
        <v>0</v>
      </c>
    </row>
    <row r="10968" spans="1:13">
      <c r="A10968" t="s">
        <v>4</v>
      </c>
      <c r="B10968" s="4" t="s">
        <v>5</v>
      </c>
      <c r="C10968" s="4" t="s">
        <v>7</v>
      </c>
      <c r="D10968" s="4" t="s">
        <v>7</v>
      </c>
      <c r="E10968" s="4" t="s">
        <v>13</v>
      </c>
      <c r="F10968" s="4" t="s">
        <v>13</v>
      </c>
      <c r="G10968" s="4" t="s">
        <v>13</v>
      </c>
      <c r="H10968" s="4" t="s">
        <v>11</v>
      </c>
      <c r="I10968" s="4" t="s">
        <v>7</v>
      </c>
    </row>
    <row r="10969" spans="1:13">
      <c r="A10969" t="n">
        <v>102416</v>
      </c>
      <c r="B10969" s="51" t="n">
        <v>45</v>
      </c>
      <c r="C10969" s="7" t="n">
        <v>4</v>
      </c>
      <c r="D10969" s="7" t="n">
        <v>3</v>
      </c>
      <c r="E10969" s="7" t="n">
        <v>7.30999994277954</v>
      </c>
      <c r="F10969" s="7" t="n">
        <v>63.060001373291</v>
      </c>
      <c r="G10969" s="7" t="n">
        <v>356</v>
      </c>
      <c r="H10969" s="7" t="n">
        <v>0</v>
      </c>
      <c r="I10969" s="7" t="n">
        <v>0</v>
      </c>
    </row>
    <row r="10970" spans="1:13">
      <c r="A10970" t="s">
        <v>4</v>
      </c>
      <c r="B10970" s="4" t="s">
        <v>5</v>
      </c>
      <c r="C10970" s="4" t="s">
        <v>7</v>
      </c>
      <c r="D10970" s="4" t="s">
        <v>7</v>
      </c>
      <c r="E10970" s="4" t="s">
        <v>13</v>
      </c>
      <c r="F10970" s="4" t="s">
        <v>11</v>
      </c>
    </row>
    <row r="10971" spans="1:13">
      <c r="A10971" t="n">
        <v>102434</v>
      </c>
      <c r="B10971" s="51" t="n">
        <v>45</v>
      </c>
      <c r="C10971" s="7" t="n">
        <v>5</v>
      </c>
      <c r="D10971" s="7" t="n">
        <v>3</v>
      </c>
      <c r="E10971" s="7" t="n">
        <v>0.800000011920929</v>
      </c>
      <c r="F10971" s="7" t="n">
        <v>0</v>
      </c>
    </row>
    <row r="10972" spans="1:13">
      <c r="A10972" t="s">
        <v>4</v>
      </c>
      <c r="B10972" s="4" t="s">
        <v>5</v>
      </c>
      <c r="C10972" s="4" t="s">
        <v>7</v>
      </c>
      <c r="D10972" s="4" t="s">
        <v>7</v>
      </c>
      <c r="E10972" s="4" t="s">
        <v>13</v>
      </c>
      <c r="F10972" s="4" t="s">
        <v>11</v>
      </c>
    </row>
    <row r="10973" spans="1:13">
      <c r="A10973" t="n">
        <v>102443</v>
      </c>
      <c r="B10973" s="51" t="n">
        <v>45</v>
      </c>
      <c r="C10973" s="7" t="n">
        <v>11</v>
      </c>
      <c r="D10973" s="7" t="n">
        <v>3</v>
      </c>
      <c r="E10973" s="7" t="n">
        <v>40.2999992370605</v>
      </c>
      <c r="F10973" s="7" t="n">
        <v>0</v>
      </c>
    </row>
    <row r="10974" spans="1:13">
      <c r="A10974" t="s">
        <v>4</v>
      </c>
      <c r="B10974" s="4" t="s">
        <v>5</v>
      </c>
      <c r="C10974" s="4" t="s">
        <v>7</v>
      </c>
      <c r="D10974" s="4" t="s">
        <v>7</v>
      </c>
      <c r="E10974" s="4" t="s">
        <v>13</v>
      </c>
      <c r="F10974" s="4" t="s">
        <v>13</v>
      </c>
      <c r="G10974" s="4" t="s">
        <v>13</v>
      </c>
      <c r="H10974" s="4" t="s">
        <v>11</v>
      </c>
    </row>
    <row r="10975" spans="1:13">
      <c r="A10975" t="n">
        <v>102452</v>
      </c>
      <c r="B10975" s="51" t="n">
        <v>45</v>
      </c>
      <c r="C10975" s="7" t="n">
        <v>2</v>
      </c>
      <c r="D10975" s="7" t="n">
        <v>3</v>
      </c>
      <c r="E10975" s="7" t="n">
        <v>-7.40999984741211</v>
      </c>
      <c r="F10975" s="7" t="n">
        <v>6.34999990463257</v>
      </c>
      <c r="G10975" s="7" t="n">
        <v>29.7999992370605</v>
      </c>
      <c r="H10975" s="7" t="n">
        <v>25000</v>
      </c>
    </row>
    <row r="10976" spans="1:13">
      <c r="A10976" t="s">
        <v>4</v>
      </c>
      <c r="B10976" s="4" t="s">
        <v>5</v>
      </c>
      <c r="C10976" s="4" t="s">
        <v>7</v>
      </c>
      <c r="D10976" s="4" t="s">
        <v>7</v>
      </c>
      <c r="E10976" s="4" t="s">
        <v>13</v>
      </c>
      <c r="F10976" s="4" t="s">
        <v>13</v>
      </c>
      <c r="G10976" s="4" t="s">
        <v>13</v>
      </c>
      <c r="H10976" s="4" t="s">
        <v>11</v>
      </c>
      <c r="I10976" s="4" t="s">
        <v>7</v>
      </c>
    </row>
    <row r="10977" spans="1:9">
      <c r="A10977" t="n">
        <v>102469</v>
      </c>
      <c r="B10977" s="51" t="n">
        <v>45</v>
      </c>
      <c r="C10977" s="7" t="n">
        <v>4</v>
      </c>
      <c r="D10977" s="7" t="n">
        <v>3</v>
      </c>
      <c r="E10977" s="7" t="n">
        <v>18.3899993896484</v>
      </c>
      <c r="F10977" s="7" t="n">
        <v>71.7099990844727</v>
      </c>
      <c r="G10977" s="7" t="n">
        <v>356</v>
      </c>
      <c r="H10977" s="7" t="n">
        <v>25000</v>
      </c>
      <c r="I10977" s="7" t="n">
        <v>1</v>
      </c>
    </row>
    <row r="10978" spans="1:9">
      <c r="A10978" t="s">
        <v>4</v>
      </c>
      <c r="B10978" s="4" t="s">
        <v>5</v>
      </c>
      <c r="C10978" s="4" t="s">
        <v>7</v>
      </c>
      <c r="D10978" s="4" t="s">
        <v>7</v>
      </c>
      <c r="E10978" s="4" t="s">
        <v>13</v>
      </c>
      <c r="F10978" s="4" t="s">
        <v>11</v>
      </c>
    </row>
    <row r="10979" spans="1:9">
      <c r="A10979" t="n">
        <v>102487</v>
      </c>
      <c r="B10979" s="51" t="n">
        <v>45</v>
      </c>
      <c r="C10979" s="7" t="n">
        <v>5</v>
      </c>
      <c r="D10979" s="7" t="n">
        <v>3</v>
      </c>
      <c r="E10979" s="7" t="n">
        <v>0.699999988079071</v>
      </c>
      <c r="F10979" s="7" t="n">
        <v>25000</v>
      </c>
    </row>
    <row r="10980" spans="1:9">
      <c r="A10980" t="s">
        <v>4</v>
      </c>
      <c r="B10980" s="4" t="s">
        <v>5</v>
      </c>
      <c r="C10980" s="4" t="s">
        <v>7</v>
      </c>
      <c r="D10980" s="4" t="s">
        <v>7</v>
      </c>
      <c r="E10980" s="4" t="s">
        <v>13</v>
      </c>
      <c r="F10980" s="4" t="s">
        <v>11</v>
      </c>
    </row>
    <row r="10981" spans="1:9">
      <c r="A10981" t="n">
        <v>102496</v>
      </c>
      <c r="B10981" s="51" t="n">
        <v>45</v>
      </c>
      <c r="C10981" s="7" t="n">
        <v>11</v>
      </c>
      <c r="D10981" s="7" t="n">
        <v>3</v>
      </c>
      <c r="E10981" s="7" t="n">
        <v>40.2999992370605</v>
      </c>
      <c r="F10981" s="7" t="n">
        <v>25000</v>
      </c>
    </row>
    <row r="10982" spans="1:9">
      <c r="A10982" t="s">
        <v>4</v>
      </c>
      <c r="B10982" s="4" t="s">
        <v>5</v>
      </c>
      <c r="C10982" s="4" t="s">
        <v>7</v>
      </c>
      <c r="D10982" s="4" t="s">
        <v>11</v>
      </c>
      <c r="E10982" s="4" t="s">
        <v>8</v>
      </c>
      <c r="F10982" s="4" t="s">
        <v>8</v>
      </c>
      <c r="G10982" s="4" t="s">
        <v>8</v>
      </c>
      <c r="H10982" s="4" t="s">
        <v>8</v>
      </c>
    </row>
    <row r="10983" spans="1:9">
      <c r="A10983" t="n">
        <v>102505</v>
      </c>
      <c r="B10983" s="38" t="n">
        <v>51</v>
      </c>
      <c r="C10983" s="7" t="n">
        <v>3</v>
      </c>
      <c r="D10983" s="7" t="n">
        <v>18</v>
      </c>
      <c r="E10983" s="7" t="s">
        <v>769</v>
      </c>
      <c r="F10983" s="7" t="s">
        <v>218</v>
      </c>
      <c r="G10983" s="7" t="s">
        <v>16</v>
      </c>
      <c r="H10983" s="7" t="s">
        <v>68</v>
      </c>
    </row>
    <row r="10984" spans="1:9">
      <c r="A10984" t="s">
        <v>4</v>
      </c>
      <c r="B10984" s="4" t="s">
        <v>5</v>
      </c>
      <c r="C10984" s="4" t="s">
        <v>7</v>
      </c>
      <c r="D10984" s="4" t="s">
        <v>11</v>
      </c>
    </row>
    <row r="10985" spans="1:9">
      <c r="A10985" t="n">
        <v>102516</v>
      </c>
      <c r="B10985" s="23" t="n">
        <v>58</v>
      </c>
      <c r="C10985" s="7" t="n">
        <v>255</v>
      </c>
      <c r="D10985" s="7" t="n">
        <v>0</v>
      </c>
    </row>
    <row r="10986" spans="1:9">
      <c r="A10986" t="s">
        <v>4</v>
      </c>
      <c r="B10986" s="4" t="s">
        <v>5</v>
      </c>
      <c r="C10986" s="4" t="s">
        <v>11</v>
      </c>
      <c r="D10986" s="4" t="s">
        <v>11</v>
      </c>
      <c r="E10986" s="4" t="s">
        <v>11</v>
      </c>
    </row>
    <row r="10987" spans="1:9">
      <c r="A10987" t="n">
        <v>102520</v>
      </c>
      <c r="B10987" s="72" t="n">
        <v>61</v>
      </c>
      <c r="C10987" s="7" t="n">
        <v>18</v>
      </c>
      <c r="D10987" s="7" t="n">
        <v>0</v>
      </c>
      <c r="E10987" s="7" t="n">
        <v>1000</v>
      </c>
    </row>
    <row r="10988" spans="1:9">
      <c r="A10988" t="s">
        <v>4</v>
      </c>
      <c r="B10988" s="4" t="s">
        <v>5</v>
      </c>
      <c r="C10988" s="4" t="s">
        <v>11</v>
      </c>
      <c r="D10988" s="4" t="s">
        <v>13</v>
      </c>
      <c r="E10988" s="4" t="s">
        <v>13</v>
      </c>
      <c r="F10988" s="4" t="s">
        <v>13</v>
      </c>
      <c r="G10988" s="4" t="s">
        <v>11</v>
      </c>
      <c r="H10988" s="4" t="s">
        <v>11</v>
      </c>
    </row>
    <row r="10989" spans="1:9">
      <c r="A10989" t="n">
        <v>102527</v>
      </c>
      <c r="B10989" s="37" t="n">
        <v>60</v>
      </c>
      <c r="C10989" s="7" t="n">
        <v>18</v>
      </c>
      <c r="D10989" s="7" t="n">
        <v>0</v>
      </c>
      <c r="E10989" s="7" t="n">
        <v>0</v>
      </c>
      <c r="F10989" s="7" t="n">
        <v>0</v>
      </c>
      <c r="G10989" s="7" t="n">
        <v>500</v>
      </c>
      <c r="H10989" s="7" t="n">
        <v>0</v>
      </c>
    </row>
    <row r="10990" spans="1:9">
      <c r="A10990" t="s">
        <v>4</v>
      </c>
      <c r="B10990" s="4" t="s">
        <v>5</v>
      </c>
      <c r="C10990" s="4" t="s">
        <v>11</v>
      </c>
    </row>
    <row r="10991" spans="1:9">
      <c r="A10991" t="n">
        <v>102546</v>
      </c>
      <c r="B10991" s="29" t="n">
        <v>16</v>
      </c>
      <c r="C10991" s="7" t="n">
        <v>500</v>
      </c>
    </row>
    <row r="10992" spans="1:9">
      <c r="A10992" t="s">
        <v>4</v>
      </c>
      <c r="B10992" s="4" t="s">
        <v>5</v>
      </c>
      <c r="C10992" s="4" t="s">
        <v>7</v>
      </c>
      <c r="D10992" s="4" t="s">
        <v>11</v>
      </c>
      <c r="E10992" s="4" t="s">
        <v>8</v>
      </c>
    </row>
    <row r="10993" spans="1:9">
      <c r="A10993" t="n">
        <v>102549</v>
      </c>
      <c r="B10993" s="38" t="n">
        <v>51</v>
      </c>
      <c r="C10993" s="7" t="n">
        <v>4</v>
      </c>
      <c r="D10993" s="7" t="n">
        <v>18</v>
      </c>
      <c r="E10993" s="7" t="s">
        <v>911</v>
      </c>
    </row>
    <row r="10994" spans="1:9">
      <c r="A10994" t="s">
        <v>4</v>
      </c>
      <c r="B10994" s="4" t="s">
        <v>5</v>
      </c>
      <c r="C10994" s="4" t="s">
        <v>11</v>
      </c>
    </row>
    <row r="10995" spans="1:9">
      <c r="A10995" t="n">
        <v>102562</v>
      </c>
      <c r="B10995" s="29" t="n">
        <v>16</v>
      </c>
      <c r="C10995" s="7" t="n">
        <v>0</v>
      </c>
    </row>
    <row r="10996" spans="1:9">
      <c r="A10996" t="s">
        <v>4</v>
      </c>
      <c r="B10996" s="4" t="s">
        <v>5</v>
      </c>
      <c r="C10996" s="4" t="s">
        <v>11</v>
      </c>
      <c r="D10996" s="4" t="s">
        <v>7</v>
      </c>
      <c r="E10996" s="4" t="s">
        <v>15</v>
      </c>
      <c r="F10996" s="4" t="s">
        <v>55</v>
      </c>
      <c r="G10996" s="4" t="s">
        <v>7</v>
      </c>
      <c r="H10996" s="4" t="s">
        <v>7</v>
      </c>
      <c r="I10996" s="4" t="s">
        <v>7</v>
      </c>
      <c r="J10996" s="4" t="s">
        <v>15</v>
      </c>
      <c r="K10996" s="4" t="s">
        <v>55</v>
      </c>
      <c r="L10996" s="4" t="s">
        <v>7</v>
      </c>
      <c r="M10996" s="4" t="s">
        <v>7</v>
      </c>
      <c r="N10996" s="4" t="s">
        <v>7</v>
      </c>
      <c r="O10996" s="4" t="s">
        <v>15</v>
      </c>
      <c r="P10996" s="4" t="s">
        <v>55</v>
      </c>
      <c r="Q10996" s="4" t="s">
        <v>7</v>
      </c>
      <c r="R10996" s="4" t="s">
        <v>7</v>
      </c>
    </row>
    <row r="10997" spans="1:9">
      <c r="A10997" t="n">
        <v>102565</v>
      </c>
      <c r="B10997" s="55" t="n">
        <v>26</v>
      </c>
      <c r="C10997" s="7" t="n">
        <v>18</v>
      </c>
      <c r="D10997" s="7" t="n">
        <v>17</v>
      </c>
      <c r="E10997" s="7" t="n">
        <v>17814</v>
      </c>
      <c r="F10997" s="7" t="s">
        <v>912</v>
      </c>
      <c r="G10997" s="7" t="n">
        <v>2</v>
      </c>
      <c r="H10997" s="7" t="n">
        <v>3</v>
      </c>
      <c r="I10997" s="7" t="n">
        <v>17</v>
      </c>
      <c r="J10997" s="7" t="n">
        <v>17815</v>
      </c>
      <c r="K10997" s="7" t="s">
        <v>913</v>
      </c>
      <c r="L10997" s="7" t="n">
        <v>2</v>
      </c>
      <c r="M10997" s="7" t="n">
        <v>3</v>
      </c>
      <c r="N10997" s="7" t="n">
        <v>17</v>
      </c>
      <c r="O10997" s="7" t="n">
        <v>17816</v>
      </c>
      <c r="P10997" s="7" t="s">
        <v>914</v>
      </c>
      <c r="Q10997" s="7" t="n">
        <v>2</v>
      </c>
      <c r="R10997" s="7" t="n">
        <v>0</v>
      </c>
    </row>
    <row r="10998" spans="1:9">
      <c r="A10998" t="s">
        <v>4</v>
      </c>
      <c r="B10998" s="4" t="s">
        <v>5</v>
      </c>
    </row>
    <row r="10999" spans="1:9">
      <c r="A10999" t="n">
        <v>102737</v>
      </c>
      <c r="B10999" s="27" t="n">
        <v>28</v>
      </c>
    </row>
    <row r="11000" spans="1:9">
      <c r="A11000" t="s">
        <v>4</v>
      </c>
      <c r="B11000" s="4" t="s">
        <v>5</v>
      </c>
      <c r="C11000" s="4" t="s">
        <v>7</v>
      </c>
      <c r="D11000" s="4" t="s">
        <v>11</v>
      </c>
      <c r="E11000" s="4" t="s">
        <v>8</v>
      </c>
    </row>
    <row r="11001" spans="1:9">
      <c r="A11001" t="n">
        <v>102738</v>
      </c>
      <c r="B11001" s="38" t="n">
        <v>51</v>
      </c>
      <c r="C11001" s="7" t="n">
        <v>4</v>
      </c>
      <c r="D11001" s="7" t="n">
        <v>0</v>
      </c>
      <c r="E11001" s="7" t="s">
        <v>206</v>
      </c>
    </row>
    <row r="11002" spans="1:9">
      <c r="A11002" t="s">
        <v>4</v>
      </c>
      <c r="B11002" s="4" t="s">
        <v>5</v>
      </c>
      <c r="C11002" s="4" t="s">
        <v>11</v>
      </c>
    </row>
    <row r="11003" spans="1:9">
      <c r="A11003" t="n">
        <v>102753</v>
      </c>
      <c r="B11003" s="29" t="n">
        <v>16</v>
      </c>
      <c r="C11003" s="7" t="n">
        <v>0</v>
      </c>
    </row>
    <row r="11004" spans="1:9">
      <c r="A11004" t="s">
        <v>4</v>
      </c>
      <c r="B11004" s="4" t="s">
        <v>5</v>
      </c>
      <c r="C11004" s="4" t="s">
        <v>11</v>
      </c>
      <c r="D11004" s="4" t="s">
        <v>55</v>
      </c>
      <c r="E11004" s="4" t="s">
        <v>7</v>
      </c>
      <c r="F11004" s="4" t="s">
        <v>7</v>
      </c>
      <c r="G11004" s="4" t="s">
        <v>7</v>
      </c>
      <c r="H11004" s="4" t="s">
        <v>15</v>
      </c>
      <c r="I11004" s="4" t="s">
        <v>55</v>
      </c>
      <c r="J11004" s="4" t="s">
        <v>7</v>
      </c>
      <c r="K11004" s="4" t="s">
        <v>7</v>
      </c>
      <c r="L11004" s="4" t="s">
        <v>7</v>
      </c>
      <c r="M11004" s="4" t="s">
        <v>15</v>
      </c>
      <c r="N11004" s="4" t="s">
        <v>55</v>
      </c>
      <c r="O11004" s="4" t="s">
        <v>7</v>
      </c>
      <c r="P11004" s="4" t="s">
        <v>7</v>
      </c>
    </row>
    <row r="11005" spans="1:9">
      <c r="A11005" t="n">
        <v>102756</v>
      </c>
      <c r="B11005" s="55" t="n">
        <v>26</v>
      </c>
      <c r="C11005" s="7" t="n">
        <v>0</v>
      </c>
      <c r="D11005" s="7" t="s">
        <v>446</v>
      </c>
      <c r="E11005" s="7" t="n">
        <v>2</v>
      </c>
      <c r="F11005" s="7" t="n">
        <v>3</v>
      </c>
      <c r="G11005" s="7" t="n">
        <v>17</v>
      </c>
      <c r="H11005" s="7" t="n">
        <v>64093</v>
      </c>
      <c r="I11005" s="7" t="s">
        <v>915</v>
      </c>
      <c r="J11005" s="7" t="n">
        <v>2</v>
      </c>
      <c r="K11005" s="7" t="n">
        <v>3</v>
      </c>
      <c r="L11005" s="7" t="n">
        <v>17</v>
      </c>
      <c r="M11005" s="7" t="n">
        <v>64094</v>
      </c>
      <c r="N11005" s="7" t="s">
        <v>916</v>
      </c>
      <c r="O11005" s="7" t="n">
        <v>2</v>
      </c>
      <c r="P11005" s="7" t="n">
        <v>0</v>
      </c>
    </row>
    <row r="11006" spans="1:9">
      <c r="A11006" t="s">
        <v>4</v>
      </c>
      <c r="B11006" s="4" t="s">
        <v>5</v>
      </c>
    </row>
    <row r="11007" spans="1:9">
      <c r="A11007" t="n">
        <v>102911</v>
      </c>
      <c r="B11007" s="27" t="n">
        <v>28</v>
      </c>
    </row>
    <row r="11008" spans="1:9">
      <c r="A11008" t="s">
        <v>4</v>
      </c>
      <c r="B11008" s="4" t="s">
        <v>5</v>
      </c>
      <c r="C11008" s="4" t="s">
        <v>7</v>
      </c>
      <c r="D11008" s="4" t="s">
        <v>11</v>
      </c>
      <c r="E11008" s="4" t="s">
        <v>8</v>
      </c>
      <c r="F11008" s="4" t="s">
        <v>8</v>
      </c>
      <c r="G11008" s="4" t="s">
        <v>8</v>
      </c>
      <c r="H11008" s="4" t="s">
        <v>8</v>
      </c>
    </row>
    <row r="11009" spans="1:18">
      <c r="A11009" t="n">
        <v>102912</v>
      </c>
      <c r="B11009" s="38" t="n">
        <v>51</v>
      </c>
      <c r="C11009" s="7" t="n">
        <v>3</v>
      </c>
      <c r="D11009" s="7" t="n">
        <v>18</v>
      </c>
      <c r="E11009" s="7" t="s">
        <v>86</v>
      </c>
      <c r="F11009" s="7" t="s">
        <v>79</v>
      </c>
      <c r="G11009" s="7" t="s">
        <v>16</v>
      </c>
      <c r="H11009" s="7" t="s">
        <v>68</v>
      </c>
    </row>
    <row r="11010" spans="1:18">
      <c r="A11010" t="s">
        <v>4</v>
      </c>
      <c r="B11010" s="4" t="s">
        <v>5</v>
      </c>
      <c r="C11010" s="4" t="s">
        <v>11</v>
      </c>
      <c r="D11010" s="4" t="s">
        <v>7</v>
      </c>
      <c r="E11010" s="4" t="s">
        <v>7</v>
      </c>
      <c r="F11010" s="4" t="s">
        <v>8</v>
      </c>
    </row>
    <row r="11011" spans="1:18">
      <c r="A11011" t="n">
        <v>102923</v>
      </c>
      <c r="B11011" s="50" t="n">
        <v>20</v>
      </c>
      <c r="C11011" s="7" t="n">
        <v>18</v>
      </c>
      <c r="D11011" s="7" t="n">
        <v>2</v>
      </c>
      <c r="E11011" s="7" t="n">
        <v>10</v>
      </c>
      <c r="F11011" s="7" t="s">
        <v>223</v>
      </c>
    </row>
    <row r="11012" spans="1:18">
      <c r="A11012" t="s">
        <v>4</v>
      </c>
      <c r="B11012" s="4" t="s">
        <v>5</v>
      </c>
      <c r="C11012" s="4" t="s">
        <v>11</v>
      </c>
    </row>
    <row r="11013" spans="1:18">
      <c r="A11013" t="n">
        <v>102944</v>
      </c>
      <c r="B11013" s="29" t="n">
        <v>16</v>
      </c>
      <c r="C11013" s="7" t="n">
        <v>600</v>
      </c>
    </row>
    <row r="11014" spans="1:18">
      <c r="A11014" t="s">
        <v>4</v>
      </c>
      <c r="B11014" s="4" t="s">
        <v>5</v>
      </c>
      <c r="C11014" s="4" t="s">
        <v>7</v>
      </c>
      <c r="D11014" s="4" t="s">
        <v>11</v>
      </c>
      <c r="E11014" s="4" t="s">
        <v>11</v>
      </c>
      <c r="F11014" s="4" t="s">
        <v>11</v>
      </c>
      <c r="G11014" s="4" t="s">
        <v>11</v>
      </c>
      <c r="H11014" s="4" t="s">
        <v>11</v>
      </c>
      <c r="I11014" s="4" t="s">
        <v>8</v>
      </c>
      <c r="J11014" s="4" t="s">
        <v>13</v>
      </c>
      <c r="K11014" s="4" t="s">
        <v>13</v>
      </c>
      <c r="L11014" s="4" t="s">
        <v>13</v>
      </c>
      <c r="M11014" s="4" t="s">
        <v>15</v>
      </c>
      <c r="N11014" s="4" t="s">
        <v>15</v>
      </c>
      <c r="O11014" s="4" t="s">
        <v>13</v>
      </c>
      <c r="P11014" s="4" t="s">
        <v>13</v>
      </c>
      <c r="Q11014" s="4" t="s">
        <v>13</v>
      </c>
      <c r="R11014" s="4" t="s">
        <v>13</v>
      </c>
      <c r="S11014" s="4" t="s">
        <v>7</v>
      </c>
    </row>
    <row r="11015" spans="1:18">
      <c r="A11015" t="n">
        <v>102947</v>
      </c>
      <c r="B11015" s="81" t="n">
        <v>39</v>
      </c>
      <c r="C11015" s="7" t="n">
        <v>12</v>
      </c>
      <c r="D11015" s="7" t="n">
        <v>18</v>
      </c>
      <c r="E11015" s="7" t="n">
        <v>201</v>
      </c>
      <c r="F11015" s="7" t="n">
        <v>0</v>
      </c>
      <c r="G11015" s="7" t="n">
        <v>18</v>
      </c>
      <c r="H11015" s="7" t="n">
        <v>3</v>
      </c>
      <c r="I11015" s="7" t="s">
        <v>917</v>
      </c>
      <c r="J11015" s="7" t="n">
        <v>0</v>
      </c>
      <c r="K11015" s="7" t="n">
        <v>0</v>
      </c>
      <c r="L11015" s="7" t="n">
        <v>0</v>
      </c>
      <c r="M11015" s="7" t="n">
        <v>0</v>
      </c>
      <c r="N11015" s="7" t="n">
        <v>0</v>
      </c>
      <c r="O11015" s="7" t="n">
        <v>0</v>
      </c>
      <c r="P11015" s="7" t="n">
        <v>1</v>
      </c>
      <c r="Q11015" s="7" t="n">
        <v>1</v>
      </c>
      <c r="R11015" s="7" t="n">
        <v>1</v>
      </c>
      <c r="S11015" s="7" t="n">
        <v>100</v>
      </c>
    </row>
    <row r="11016" spans="1:18">
      <c r="A11016" t="s">
        <v>4</v>
      </c>
      <c r="B11016" s="4" t="s">
        <v>5</v>
      </c>
      <c r="C11016" s="4" t="s">
        <v>7</v>
      </c>
      <c r="D11016" s="4" t="s">
        <v>11</v>
      </c>
      <c r="E11016" s="4" t="s">
        <v>8</v>
      </c>
    </row>
    <row r="11017" spans="1:18">
      <c r="A11017" t="n">
        <v>103017</v>
      </c>
      <c r="B11017" s="38" t="n">
        <v>51</v>
      </c>
      <c r="C11017" s="7" t="n">
        <v>4</v>
      </c>
      <c r="D11017" s="7" t="n">
        <v>18</v>
      </c>
      <c r="E11017" s="7" t="s">
        <v>375</v>
      </c>
    </row>
    <row r="11018" spans="1:18">
      <c r="A11018" t="s">
        <v>4</v>
      </c>
      <c r="B11018" s="4" t="s">
        <v>5</v>
      </c>
      <c r="C11018" s="4" t="s">
        <v>11</v>
      </c>
    </row>
    <row r="11019" spans="1:18">
      <c r="A11019" t="n">
        <v>103031</v>
      </c>
      <c r="B11019" s="29" t="n">
        <v>16</v>
      </c>
      <c r="C11019" s="7" t="n">
        <v>0</v>
      </c>
    </row>
    <row r="11020" spans="1:18">
      <c r="A11020" t="s">
        <v>4</v>
      </c>
      <c r="B11020" s="4" t="s">
        <v>5</v>
      </c>
      <c r="C11020" s="4" t="s">
        <v>11</v>
      </c>
      <c r="D11020" s="4" t="s">
        <v>7</v>
      </c>
      <c r="E11020" s="4" t="s">
        <v>15</v>
      </c>
      <c r="F11020" s="4" t="s">
        <v>55</v>
      </c>
      <c r="G11020" s="4" t="s">
        <v>7</v>
      </c>
      <c r="H11020" s="4" t="s">
        <v>7</v>
      </c>
    </row>
    <row r="11021" spans="1:18">
      <c r="A11021" t="n">
        <v>103034</v>
      </c>
      <c r="B11021" s="55" t="n">
        <v>26</v>
      </c>
      <c r="C11021" s="7" t="n">
        <v>18</v>
      </c>
      <c r="D11021" s="7" t="n">
        <v>17</v>
      </c>
      <c r="E11021" s="7" t="n">
        <v>17817</v>
      </c>
      <c r="F11021" s="7" t="s">
        <v>918</v>
      </c>
      <c r="G11021" s="7" t="n">
        <v>2</v>
      </c>
      <c r="H11021" s="7" t="n">
        <v>0</v>
      </c>
    </row>
    <row r="11022" spans="1:18">
      <c r="A11022" t="s">
        <v>4</v>
      </c>
      <c r="B11022" s="4" t="s">
        <v>5</v>
      </c>
    </row>
    <row r="11023" spans="1:18">
      <c r="A11023" t="n">
        <v>103060</v>
      </c>
      <c r="B11023" s="27" t="n">
        <v>28</v>
      </c>
    </row>
    <row r="11024" spans="1:18">
      <c r="A11024" t="s">
        <v>4</v>
      </c>
      <c r="B11024" s="4" t="s">
        <v>5</v>
      </c>
      <c r="C11024" s="4" t="s">
        <v>11</v>
      </c>
      <c r="D11024" s="4" t="s">
        <v>7</v>
      </c>
    </row>
    <row r="11025" spans="1:19">
      <c r="A11025" t="n">
        <v>103061</v>
      </c>
      <c r="B11025" s="68" t="n">
        <v>89</v>
      </c>
      <c r="C11025" s="7" t="n">
        <v>65533</v>
      </c>
      <c r="D11025" s="7" t="n">
        <v>1</v>
      </c>
    </row>
    <row r="11026" spans="1:19">
      <c r="A11026" t="s">
        <v>4</v>
      </c>
      <c r="B11026" s="4" t="s">
        <v>5</v>
      </c>
      <c r="C11026" s="4" t="s">
        <v>11</v>
      </c>
    </row>
    <row r="11027" spans="1:19">
      <c r="A11027" t="n">
        <v>103065</v>
      </c>
      <c r="B11027" s="29" t="n">
        <v>16</v>
      </c>
      <c r="C11027" s="7" t="n">
        <v>1000</v>
      </c>
    </row>
    <row r="11028" spans="1:19">
      <c r="A11028" t="s">
        <v>4</v>
      </c>
      <c r="B11028" s="4" t="s">
        <v>5</v>
      </c>
      <c r="C11028" s="4" t="s">
        <v>7</v>
      </c>
      <c r="D11028" s="4" t="s">
        <v>13</v>
      </c>
      <c r="E11028" s="4" t="s">
        <v>11</v>
      </c>
      <c r="F11028" s="4" t="s">
        <v>7</v>
      </c>
    </row>
    <row r="11029" spans="1:19">
      <c r="A11029" t="n">
        <v>103068</v>
      </c>
      <c r="B11029" s="13" t="n">
        <v>49</v>
      </c>
      <c r="C11029" s="7" t="n">
        <v>3</v>
      </c>
      <c r="D11029" s="7" t="n">
        <v>1</v>
      </c>
      <c r="E11029" s="7" t="n">
        <v>500</v>
      </c>
      <c r="F11029" s="7" t="n">
        <v>0</v>
      </c>
    </row>
    <row r="11030" spans="1:19">
      <c r="A11030" t="s">
        <v>4</v>
      </c>
      <c r="B11030" s="4" t="s">
        <v>5</v>
      </c>
      <c r="C11030" s="4" t="s">
        <v>7</v>
      </c>
      <c r="D11030" s="4" t="s">
        <v>11</v>
      </c>
      <c r="E11030" s="4" t="s">
        <v>13</v>
      </c>
    </row>
    <row r="11031" spans="1:19">
      <c r="A11031" t="n">
        <v>103077</v>
      </c>
      <c r="B11031" s="23" t="n">
        <v>58</v>
      </c>
      <c r="C11031" s="7" t="n">
        <v>101</v>
      </c>
      <c r="D11031" s="7" t="n">
        <v>1000</v>
      </c>
      <c r="E11031" s="7" t="n">
        <v>1</v>
      </c>
    </row>
    <row r="11032" spans="1:19">
      <c r="A11032" t="s">
        <v>4</v>
      </c>
      <c r="B11032" s="4" t="s">
        <v>5</v>
      </c>
      <c r="C11032" s="4" t="s">
        <v>7</v>
      </c>
      <c r="D11032" s="4" t="s">
        <v>11</v>
      </c>
    </row>
    <row r="11033" spans="1:19">
      <c r="A11033" t="n">
        <v>103085</v>
      </c>
      <c r="B11033" s="23" t="n">
        <v>58</v>
      </c>
      <c r="C11033" s="7" t="n">
        <v>254</v>
      </c>
      <c r="D11033" s="7" t="n">
        <v>0</v>
      </c>
    </row>
    <row r="11034" spans="1:19">
      <c r="A11034" t="s">
        <v>4</v>
      </c>
      <c r="B11034" s="4" t="s">
        <v>5</v>
      </c>
      <c r="C11034" s="4" t="s">
        <v>7</v>
      </c>
    </row>
    <row r="11035" spans="1:19">
      <c r="A11035" t="n">
        <v>103089</v>
      </c>
      <c r="B11035" s="49" t="n">
        <v>116</v>
      </c>
      <c r="C11035" s="7" t="n">
        <v>0</v>
      </c>
    </row>
    <row r="11036" spans="1:19">
      <c r="A11036" t="s">
        <v>4</v>
      </c>
      <c r="B11036" s="4" t="s">
        <v>5</v>
      </c>
      <c r="C11036" s="4" t="s">
        <v>7</v>
      </c>
      <c r="D11036" s="4" t="s">
        <v>11</v>
      </c>
    </row>
    <row r="11037" spans="1:19">
      <c r="A11037" t="n">
        <v>103091</v>
      </c>
      <c r="B11037" s="49" t="n">
        <v>116</v>
      </c>
      <c r="C11037" s="7" t="n">
        <v>2</v>
      </c>
      <c r="D11037" s="7" t="n">
        <v>1</v>
      </c>
    </row>
    <row r="11038" spans="1:19">
      <c r="A11038" t="s">
        <v>4</v>
      </c>
      <c r="B11038" s="4" t="s">
        <v>5</v>
      </c>
      <c r="C11038" s="4" t="s">
        <v>7</v>
      </c>
      <c r="D11038" s="4" t="s">
        <v>15</v>
      </c>
    </row>
    <row r="11039" spans="1:19">
      <c r="A11039" t="n">
        <v>103095</v>
      </c>
      <c r="B11039" s="49" t="n">
        <v>116</v>
      </c>
      <c r="C11039" s="7" t="n">
        <v>5</v>
      </c>
      <c r="D11039" s="7" t="n">
        <v>1092616192</v>
      </c>
    </row>
    <row r="11040" spans="1:19">
      <c r="A11040" t="s">
        <v>4</v>
      </c>
      <c r="B11040" s="4" t="s">
        <v>5</v>
      </c>
      <c r="C11040" s="4" t="s">
        <v>7</v>
      </c>
      <c r="D11040" s="4" t="s">
        <v>11</v>
      </c>
    </row>
    <row r="11041" spans="1:6">
      <c r="A11041" t="n">
        <v>103101</v>
      </c>
      <c r="B11041" s="49" t="n">
        <v>116</v>
      </c>
      <c r="C11041" s="7" t="n">
        <v>6</v>
      </c>
      <c r="D11041" s="7" t="n">
        <v>1</v>
      </c>
    </row>
    <row r="11042" spans="1:6">
      <c r="A11042" t="s">
        <v>4</v>
      </c>
      <c r="B11042" s="4" t="s">
        <v>5</v>
      </c>
      <c r="C11042" s="4" t="s">
        <v>7</v>
      </c>
      <c r="D11042" s="4" t="s">
        <v>7</v>
      </c>
      <c r="E11042" s="4" t="s">
        <v>13</v>
      </c>
      <c r="F11042" s="4" t="s">
        <v>13</v>
      </c>
      <c r="G11042" s="4" t="s">
        <v>13</v>
      </c>
      <c r="H11042" s="4" t="s">
        <v>11</v>
      </c>
    </row>
    <row r="11043" spans="1:6">
      <c r="A11043" t="n">
        <v>103105</v>
      </c>
      <c r="B11043" s="51" t="n">
        <v>45</v>
      </c>
      <c r="C11043" s="7" t="n">
        <v>2</v>
      </c>
      <c r="D11043" s="7" t="n">
        <v>3</v>
      </c>
      <c r="E11043" s="7" t="n">
        <v>-6.67000007629395</v>
      </c>
      <c r="F11043" s="7" t="n">
        <v>6.42000007629395</v>
      </c>
      <c r="G11043" s="7" t="n">
        <v>29.8899993896484</v>
      </c>
      <c r="H11043" s="7" t="n">
        <v>0</v>
      </c>
    </row>
    <row r="11044" spans="1:6">
      <c r="A11044" t="s">
        <v>4</v>
      </c>
      <c r="B11044" s="4" t="s">
        <v>5</v>
      </c>
      <c r="C11044" s="4" t="s">
        <v>7</v>
      </c>
      <c r="D11044" s="4" t="s">
        <v>7</v>
      </c>
      <c r="E11044" s="4" t="s">
        <v>13</v>
      </c>
      <c r="F11044" s="4" t="s">
        <v>13</v>
      </c>
      <c r="G11044" s="4" t="s">
        <v>13</v>
      </c>
      <c r="H11044" s="4" t="s">
        <v>11</v>
      </c>
      <c r="I11044" s="4" t="s">
        <v>7</v>
      </c>
    </row>
    <row r="11045" spans="1:6">
      <c r="A11045" t="n">
        <v>103122</v>
      </c>
      <c r="B11045" s="51" t="n">
        <v>45</v>
      </c>
      <c r="C11045" s="7" t="n">
        <v>4</v>
      </c>
      <c r="D11045" s="7" t="n">
        <v>3</v>
      </c>
      <c r="E11045" s="7" t="n">
        <v>15.4700002670288</v>
      </c>
      <c r="F11045" s="7" t="n">
        <v>56.1100006103516</v>
      </c>
      <c r="G11045" s="7" t="n">
        <v>354</v>
      </c>
      <c r="H11045" s="7" t="n">
        <v>0</v>
      </c>
      <c r="I11045" s="7" t="n">
        <v>0</v>
      </c>
    </row>
    <row r="11046" spans="1:6">
      <c r="A11046" t="s">
        <v>4</v>
      </c>
      <c r="B11046" s="4" t="s">
        <v>5</v>
      </c>
      <c r="C11046" s="4" t="s">
        <v>7</v>
      </c>
      <c r="D11046" s="4" t="s">
        <v>7</v>
      </c>
      <c r="E11046" s="4" t="s">
        <v>13</v>
      </c>
      <c r="F11046" s="4" t="s">
        <v>11</v>
      </c>
    </row>
    <row r="11047" spans="1:6">
      <c r="A11047" t="n">
        <v>103140</v>
      </c>
      <c r="B11047" s="51" t="n">
        <v>45</v>
      </c>
      <c r="C11047" s="7" t="n">
        <v>5</v>
      </c>
      <c r="D11047" s="7" t="n">
        <v>3</v>
      </c>
      <c r="E11047" s="7" t="n">
        <v>1.5</v>
      </c>
      <c r="F11047" s="7" t="n">
        <v>0</v>
      </c>
    </row>
    <row r="11048" spans="1:6">
      <c r="A11048" t="s">
        <v>4</v>
      </c>
      <c r="B11048" s="4" t="s">
        <v>5</v>
      </c>
      <c r="C11048" s="4" t="s">
        <v>7</v>
      </c>
      <c r="D11048" s="4" t="s">
        <v>7</v>
      </c>
      <c r="E11048" s="4" t="s">
        <v>13</v>
      </c>
      <c r="F11048" s="4" t="s">
        <v>11</v>
      </c>
    </row>
    <row r="11049" spans="1:6">
      <c r="A11049" t="n">
        <v>103149</v>
      </c>
      <c r="B11049" s="51" t="n">
        <v>45</v>
      </c>
      <c r="C11049" s="7" t="n">
        <v>11</v>
      </c>
      <c r="D11049" s="7" t="n">
        <v>3</v>
      </c>
      <c r="E11049" s="7" t="n">
        <v>40.2999992370605</v>
      </c>
      <c r="F11049" s="7" t="n">
        <v>0</v>
      </c>
    </row>
    <row r="11050" spans="1:6">
      <c r="A11050" t="s">
        <v>4</v>
      </c>
      <c r="B11050" s="4" t="s">
        <v>5</v>
      </c>
      <c r="C11050" s="4" t="s">
        <v>7</v>
      </c>
      <c r="D11050" s="4" t="s">
        <v>7</v>
      </c>
      <c r="E11050" s="4" t="s">
        <v>13</v>
      </c>
      <c r="F11050" s="4" t="s">
        <v>13</v>
      </c>
      <c r="G11050" s="4" t="s">
        <v>13</v>
      </c>
      <c r="H11050" s="4" t="s">
        <v>11</v>
      </c>
    </row>
    <row r="11051" spans="1:6">
      <c r="A11051" t="n">
        <v>103158</v>
      </c>
      <c r="B11051" s="51" t="n">
        <v>45</v>
      </c>
      <c r="C11051" s="7" t="n">
        <v>2</v>
      </c>
      <c r="D11051" s="7" t="n">
        <v>3</v>
      </c>
      <c r="E11051" s="7" t="n">
        <v>-6.34000015258789</v>
      </c>
      <c r="F11051" s="7" t="n">
        <v>6.59000015258789</v>
      </c>
      <c r="G11051" s="7" t="n">
        <v>28.8899993896484</v>
      </c>
      <c r="H11051" s="7" t="n">
        <v>6000</v>
      </c>
    </row>
    <row r="11052" spans="1:6">
      <c r="A11052" t="s">
        <v>4</v>
      </c>
      <c r="B11052" s="4" t="s">
        <v>5</v>
      </c>
      <c r="C11052" s="4" t="s">
        <v>7</v>
      </c>
      <c r="D11052" s="4" t="s">
        <v>7</v>
      </c>
      <c r="E11052" s="4" t="s">
        <v>13</v>
      </c>
      <c r="F11052" s="4" t="s">
        <v>13</v>
      </c>
      <c r="G11052" s="4" t="s">
        <v>13</v>
      </c>
      <c r="H11052" s="4" t="s">
        <v>11</v>
      </c>
      <c r="I11052" s="4" t="s">
        <v>7</v>
      </c>
    </row>
    <row r="11053" spans="1:6">
      <c r="A11053" t="n">
        <v>103175</v>
      </c>
      <c r="B11053" s="51" t="n">
        <v>45</v>
      </c>
      <c r="C11053" s="7" t="n">
        <v>4</v>
      </c>
      <c r="D11053" s="7" t="n">
        <v>3</v>
      </c>
      <c r="E11053" s="7" t="n">
        <v>10.7700004577637</v>
      </c>
      <c r="F11053" s="7" t="n">
        <v>43.6100006103516</v>
      </c>
      <c r="G11053" s="7" t="n">
        <v>360</v>
      </c>
      <c r="H11053" s="7" t="n">
        <v>6000</v>
      </c>
      <c r="I11053" s="7" t="n">
        <v>1</v>
      </c>
    </row>
    <row r="11054" spans="1:6">
      <c r="A11054" t="s">
        <v>4</v>
      </c>
      <c r="B11054" s="4" t="s">
        <v>5</v>
      </c>
      <c r="C11054" s="4" t="s">
        <v>7</v>
      </c>
      <c r="D11054" s="4" t="s">
        <v>11</v>
      </c>
    </row>
    <row r="11055" spans="1:6">
      <c r="A11055" t="n">
        <v>103193</v>
      </c>
      <c r="B11055" s="23" t="n">
        <v>58</v>
      </c>
      <c r="C11055" s="7" t="n">
        <v>255</v>
      </c>
      <c r="D11055" s="7" t="n">
        <v>0</v>
      </c>
    </row>
    <row r="11056" spans="1:6">
      <c r="A11056" t="s">
        <v>4</v>
      </c>
      <c r="B11056" s="4" t="s">
        <v>5</v>
      </c>
      <c r="C11056" s="4" t="s">
        <v>7</v>
      </c>
      <c r="D11056" s="4" t="s">
        <v>11</v>
      </c>
    </row>
    <row r="11057" spans="1:9">
      <c r="A11057" t="n">
        <v>103197</v>
      </c>
      <c r="B11057" s="51" t="n">
        <v>45</v>
      </c>
      <c r="C11057" s="7" t="n">
        <v>7</v>
      </c>
      <c r="D11057" s="7" t="n">
        <v>255</v>
      </c>
    </row>
    <row r="11058" spans="1:9">
      <c r="A11058" t="s">
        <v>4</v>
      </c>
      <c r="B11058" s="4" t="s">
        <v>5</v>
      </c>
      <c r="C11058" s="4" t="s">
        <v>7</v>
      </c>
      <c r="D11058" s="4" t="s">
        <v>11</v>
      </c>
      <c r="E11058" s="4" t="s">
        <v>13</v>
      </c>
    </row>
    <row r="11059" spans="1:9">
      <c r="A11059" t="n">
        <v>103201</v>
      </c>
      <c r="B11059" s="23" t="n">
        <v>58</v>
      </c>
      <c r="C11059" s="7" t="n">
        <v>0</v>
      </c>
      <c r="D11059" s="7" t="n">
        <v>2000</v>
      </c>
      <c r="E11059" s="7" t="n">
        <v>1</v>
      </c>
    </row>
    <row r="11060" spans="1:9">
      <c r="A11060" t="s">
        <v>4</v>
      </c>
      <c r="B11060" s="4" t="s">
        <v>5</v>
      </c>
      <c r="C11060" s="4" t="s">
        <v>7</v>
      </c>
      <c r="D11060" s="4" t="s">
        <v>11</v>
      </c>
    </row>
    <row r="11061" spans="1:9">
      <c r="A11061" t="n">
        <v>103209</v>
      </c>
      <c r="B11061" s="23" t="n">
        <v>58</v>
      </c>
      <c r="C11061" s="7" t="n">
        <v>255</v>
      </c>
      <c r="D11061" s="7" t="n">
        <v>0</v>
      </c>
    </row>
    <row r="11062" spans="1:9">
      <c r="A11062" t="s">
        <v>4</v>
      </c>
      <c r="B11062" s="4" t="s">
        <v>5</v>
      </c>
      <c r="C11062" s="4" t="s">
        <v>7</v>
      </c>
      <c r="D11062" s="4" t="s">
        <v>11</v>
      </c>
      <c r="E11062" s="4" t="s">
        <v>11</v>
      </c>
      <c r="F11062" s="4" t="s">
        <v>15</v>
      </c>
    </row>
    <row r="11063" spans="1:9">
      <c r="A11063" t="n">
        <v>103213</v>
      </c>
      <c r="B11063" s="76" t="n">
        <v>84</v>
      </c>
      <c r="C11063" s="7" t="n">
        <v>1</v>
      </c>
      <c r="D11063" s="7" t="n">
        <v>0</v>
      </c>
      <c r="E11063" s="7" t="n">
        <v>0</v>
      </c>
      <c r="F11063" s="7" t="n">
        <v>0</v>
      </c>
    </row>
    <row r="11064" spans="1:9">
      <c r="A11064" t="s">
        <v>4</v>
      </c>
      <c r="B11064" s="4" t="s">
        <v>5</v>
      </c>
      <c r="C11064" s="4" t="s">
        <v>7</v>
      </c>
    </row>
    <row r="11065" spans="1:9">
      <c r="A11065" t="n">
        <v>103223</v>
      </c>
      <c r="B11065" s="28" t="n">
        <v>78</v>
      </c>
      <c r="C11065" s="7" t="n">
        <v>255</v>
      </c>
    </row>
    <row r="11066" spans="1:9">
      <c r="A11066" t="s">
        <v>4</v>
      </c>
      <c r="B11066" s="4" t="s">
        <v>5</v>
      </c>
      <c r="C11066" s="4" t="s">
        <v>7</v>
      </c>
      <c r="D11066" s="4" t="s">
        <v>11</v>
      </c>
      <c r="E11066" s="4" t="s">
        <v>7</v>
      </c>
    </row>
    <row r="11067" spans="1:9">
      <c r="A11067" t="n">
        <v>103225</v>
      </c>
      <c r="B11067" s="81" t="n">
        <v>39</v>
      </c>
      <c r="C11067" s="7" t="n">
        <v>11</v>
      </c>
      <c r="D11067" s="7" t="n">
        <v>65533</v>
      </c>
      <c r="E11067" s="7" t="n">
        <v>201</v>
      </c>
    </row>
    <row r="11068" spans="1:9">
      <c r="A11068" t="s">
        <v>4</v>
      </c>
      <c r="B11068" s="4" t="s">
        <v>5</v>
      </c>
      <c r="C11068" s="4" t="s">
        <v>7</v>
      </c>
      <c r="D11068" s="4" t="s">
        <v>11</v>
      </c>
      <c r="E11068" s="4" t="s">
        <v>7</v>
      </c>
    </row>
    <row r="11069" spans="1:9">
      <c r="A11069" t="n">
        <v>103230</v>
      </c>
      <c r="B11069" s="40" t="n">
        <v>36</v>
      </c>
      <c r="C11069" s="7" t="n">
        <v>9</v>
      </c>
      <c r="D11069" s="7" t="n">
        <v>0</v>
      </c>
      <c r="E11069" s="7" t="n">
        <v>0</v>
      </c>
    </row>
    <row r="11070" spans="1:9">
      <c r="A11070" t="s">
        <v>4</v>
      </c>
      <c r="B11070" s="4" t="s">
        <v>5</v>
      </c>
      <c r="C11070" s="4" t="s">
        <v>7</v>
      </c>
      <c r="D11070" s="4" t="s">
        <v>11</v>
      </c>
      <c r="E11070" s="4" t="s">
        <v>7</v>
      </c>
    </row>
    <row r="11071" spans="1:9">
      <c r="A11071" t="n">
        <v>103235</v>
      </c>
      <c r="B11071" s="40" t="n">
        <v>36</v>
      </c>
      <c r="C11071" s="7" t="n">
        <v>9</v>
      </c>
      <c r="D11071" s="7" t="n">
        <v>18</v>
      </c>
      <c r="E11071" s="7" t="n">
        <v>0</v>
      </c>
    </row>
    <row r="11072" spans="1:9">
      <c r="A11072" t="s">
        <v>4</v>
      </c>
      <c r="B11072" s="4" t="s">
        <v>5</v>
      </c>
      <c r="C11072" s="4" t="s">
        <v>11</v>
      </c>
    </row>
    <row r="11073" spans="1:6">
      <c r="A11073" t="n">
        <v>103240</v>
      </c>
      <c r="B11073" s="43" t="n">
        <v>12</v>
      </c>
      <c r="C11073" s="7" t="n">
        <v>10867</v>
      </c>
    </row>
    <row r="11074" spans="1:6">
      <c r="A11074" t="s">
        <v>4</v>
      </c>
      <c r="B11074" s="4" t="s">
        <v>5</v>
      </c>
      <c r="C11074" s="4" t="s">
        <v>11</v>
      </c>
    </row>
    <row r="11075" spans="1:6">
      <c r="A11075" t="n">
        <v>103243</v>
      </c>
      <c r="B11075" s="43" t="n">
        <v>12</v>
      </c>
      <c r="C11075" s="7" t="n">
        <v>6587</v>
      </c>
    </row>
    <row r="11076" spans="1:6">
      <c r="A11076" t="s">
        <v>4</v>
      </c>
      <c r="B11076" s="4" t="s">
        <v>5</v>
      </c>
      <c r="C11076" s="4" t="s">
        <v>7</v>
      </c>
      <c r="D11076" s="4" t="s">
        <v>15</v>
      </c>
    </row>
    <row r="11077" spans="1:6">
      <c r="A11077" t="n">
        <v>103246</v>
      </c>
      <c r="B11077" s="79" t="n">
        <v>137</v>
      </c>
      <c r="C11077" s="7" t="n">
        <v>6</v>
      </c>
      <c r="D11077" s="7" t="n">
        <v>16777216</v>
      </c>
    </row>
    <row r="11078" spans="1:6">
      <c r="A11078" t="s">
        <v>4</v>
      </c>
      <c r="B11078" s="4" t="s">
        <v>5</v>
      </c>
      <c r="C11078" s="4" t="s">
        <v>11</v>
      </c>
      <c r="D11078" s="4" t="s">
        <v>7</v>
      </c>
      <c r="E11078" s="4" t="s">
        <v>11</v>
      </c>
    </row>
    <row r="11079" spans="1:6">
      <c r="A11079" t="n">
        <v>103252</v>
      </c>
      <c r="B11079" s="58" t="n">
        <v>104</v>
      </c>
      <c r="C11079" s="7" t="n">
        <v>127</v>
      </c>
      <c r="D11079" s="7" t="n">
        <v>1</v>
      </c>
      <c r="E11079" s="7" t="n">
        <v>14</v>
      </c>
    </row>
    <row r="11080" spans="1:6">
      <c r="A11080" t="s">
        <v>4</v>
      </c>
      <c r="B11080" s="4" t="s">
        <v>5</v>
      </c>
    </row>
    <row r="11081" spans="1:6">
      <c r="A11081" t="n">
        <v>103258</v>
      </c>
      <c r="B11081" s="5" t="n">
        <v>1</v>
      </c>
    </row>
    <row r="11082" spans="1:6">
      <c r="A11082" t="s">
        <v>4</v>
      </c>
      <c r="B11082" s="4" t="s">
        <v>5</v>
      </c>
      <c r="C11082" s="4" t="s">
        <v>7</v>
      </c>
      <c r="D11082" s="4" t="s">
        <v>11</v>
      </c>
      <c r="E11082" s="4" t="s">
        <v>11</v>
      </c>
      <c r="F11082" s="4" t="s">
        <v>15</v>
      </c>
      <c r="G11082" s="4" t="s">
        <v>15</v>
      </c>
      <c r="H11082" s="4" t="s">
        <v>15</v>
      </c>
    </row>
    <row r="11083" spans="1:6">
      <c r="A11083" t="n">
        <v>103259</v>
      </c>
      <c r="B11083" s="77" t="n">
        <v>97</v>
      </c>
      <c r="C11083" s="7" t="n">
        <v>7</v>
      </c>
      <c r="D11083" s="7" t="n">
        <v>0</v>
      </c>
      <c r="E11083" s="7" t="n">
        <v>0</v>
      </c>
      <c r="F11083" s="7" t="n">
        <v>0</v>
      </c>
      <c r="G11083" s="7" t="n">
        <v>0</v>
      </c>
      <c r="H11083" s="7" t="n">
        <v>0</v>
      </c>
    </row>
    <row r="11084" spans="1:6">
      <c r="A11084" t="s">
        <v>4</v>
      </c>
      <c r="B11084" s="4" t="s">
        <v>5</v>
      </c>
      <c r="C11084" s="4" t="s">
        <v>11</v>
      </c>
      <c r="D11084" s="4" t="s">
        <v>13</v>
      </c>
      <c r="E11084" s="4" t="s">
        <v>13</v>
      </c>
      <c r="F11084" s="4" t="s">
        <v>13</v>
      </c>
      <c r="G11084" s="4" t="s">
        <v>13</v>
      </c>
    </row>
    <row r="11085" spans="1:6">
      <c r="A11085" t="n">
        <v>103277</v>
      </c>
      <c r="B11085" s="36" t="n">
        <v>46</v>
      </c>
      <c r="C11085" s="7" t="n">
        <v>61456</v>
      </c>
      <c r="D11085" s="7" t="n">
        <v>0</v>
      </c>
      <c r="E11085" s="7" t="n">
        <v>0</v>
      </c>
      <c r="F11085" s="7" t="n">
        <v>0</v>
      </c>
      <c r="G11085" s="7" t="n">
        <v>0</v>
      </c>
    </row>
    <row r="11086" spans="1:6">
      <c r="A11086" t="s">
        <v>4</v>
      </c>
      <c r="B11086" s="4" t="s">
        <v>5</v>
      </c>
      <c r="C11086" s="4" t="s">
        <v>7</v>
      </c>
      <c r="D11086" s="4" t="s">
        <v>11</v>
      </c>
    </row>
    <row r="11087" spans="1:6">
      <c r="A11087" t="n">
        <v>103296</v>
      </c>
      <c r="B11087" s="8" t="n">
        <v>162</v>
      </c>
      <c r="C11087" s="7" t="n">
        <v>1</v>
      </c>
      <c r="D11087" s="7" t="n">
        <v>0</v>
      </c>
    </row>
    <row r="11088" spans="1:6">
      <c r="A11088" t="s">
        <v>4</v>
      </c>
      <c r="B11088" s="4" t="s">
        <v>5</v>
      </c>
    </row>
    <row r="11089" spans="1:8">
      <c r="A11089" t="n">
        <v>103300</v>
      </c>
      <c r="B11089" s="5" t="n">
        <v>1</v>
      </c>
    </row>
    <row r="11090" spans="1:8" s="3" customFormat="1" customHeight="0">
      <c r="A11090" s="3" t="s">
        <v>2</v>
      </c>
      <c r="B11090" s="3" t="s">
        <v>919</v>
      </c>
    </row>
    <row r="11091" spans="1:8">
      <c r="A11091" t="s">
        <v>4</v>
      </c>
      <c r="B11091" s="4" t="s">
        <v>5</v>
      </c>
      <c r="C11091" s="4" t="s">
        <v>7</v>
      </c>
      <c r="D11091" s="4" t="s">
        <v>7</v>
      </c>
      <c r="E11091" s="4" t="s">
        <v>7</v>
      </c>
      <c r="F11091" s="4" t="s">
        <v>7</v>
      </c>
    </row>
    <row r="11092" spans="1:8">
      <c r="A11092" t="n">
        <v>103304</v>
      </c>
      <c r="B11092" s="9" t="n">
        <v>14</v>
      </c>
      <c r="C11092" s="7" t="n">
        <v>2</v>
      </c>
      <c r="D11092" s="7" t="n">
        <v>0</v>
      </c>
      <c r="E11092" s="7" t="n">
        <v>0</v>
      </c>
      <c r="F11092" s="7" t="n">
        <v>0</v>
      </c>
    </row>
    <row r="11093" spans="1:8">
      <c r="A11093" t="s">
        <v>4</v>
      </c>
      <c r="B11093" s="4" t="s">
        <v>5</v>
      </c>
      <c r="C11093" s="4" t="s">
        <v>7</v>
      </c>
      <c r="D11093" s="20" t="s">
        <v>35</v>
      </c>
      <c r="E11093" s="4" t="s">
        <v>5</v>
      </c>
      <c r="F11093" s="4" t="s">
        <v>7</v>
      </c>
      <c r="G11093" s="4" t="s">
        <v>11</v>
      </c>
      <c r="H11093" s="20" t="s">
        <v>36</v>
      </c>
      <c r="I11093" s="4" t="s">
        <v>7</v>
      </c>
      <c r="J11093" s="4" t="s">
        <v>15</v>
      </c>
      <c r="K11093" s="4" t="s">
        <v>7</v>
      </c>
      <c r="L11093" s="4" t="s">
        <v>7</v>
      </c>
      <c r="M11093" s="20" t="s">
        <v>35</v>
      </c>
      <c r="N11093" s="4" t="s">
        <v>5</v>
      </c>
      <c r="O11093" s="4" t="s">
        <v>7</v>
      </c>
      <c r="P11093" s="4" t="s">
        <v>11</v>
      </c>
      <c r="Q11093" s="20" t="s">
        <v>36</v>
      </c>
      <c r="R11093" s="4" t="s">
        <v>7</v>
      </c>
      <c r="S11093" s="4" t="s">
        <v>15</v>
      </c>
      <c r="T11093" s="4" t="s">
        <v>7</v>
      </c>
      <c r="U11093" s="4" t="s">
        <v>7</v>
      </c>
      <c r="V11093" s="4" t="s">
        <v>7</v>
      </c>
      <c r="W11093" s="4" t="s">
        <v>12</v>
      </c>
    </row>
    <row r="11094" spans="1:8">
      <c r="A11094" t="n">
        <v>103309</v>
      </c>
      <c r="B11094" s="10" t="n">
        <v>5</v>
      </c>
      <c r="C11094" s="7" t="n">
        <v>28</v>
      </c>
      <c r="D11094" s="20" t="s">
        <v>3</v>
      </c>
      <c r="E11094" s="8" t="n">
        <v>162</v>
      </c>
      <c r="F11094" s="7" t="n">
        <v>3</v>
      </c>
      <c r="G11094" s="7" t="n">
        <v>32863</v>
      </c>
      <c r="H11094" s="20" t="s">
        <v>3</v>
      </c>
      <c r="I11094" s="7" t="n">
        <v>0</v>
      </c>
      <c r="J11094" s="7" t="n">
        <v>1</v>
      </c>
      <c r="K11094" s="7" t="n">
        <v>2</v>
      </c>
      <c r="L11094" s="7" t="n">
        <v>28</v>
      </c>
      <c r="M11094" s="20" t="s">
        <v>3</v>
      </c>
      <c r="N11094" s="8" t="n">
        <v>162</v>
      </c>
      <c r="O11094" s="7" t="n">
        <v>3</v>
      </c>
      <c r="P11094" s="7" t="n">
        <v>32863</v>
      </c>
      <c r="Q11094" s="20" t="s">
        <v>3</v>
      </c>
      <c r="R11094" s="7" t="n">
        <v>0</v>
      </c>
      <c r="S11094" s="7" t="n">
        <v>2</v>
      </c>
      <c r="T11094" s="7" t="n">
        <v>2</v>
      </c>
      <c r="U11094" s="7" t="n">
        <v>11</v>
      </c>
      <c r="V11094" s="7" t="n">
        <v>1</v>
      </c>
      <c r="W11094" s="11" t="n">
        <f t="normal" ca="1">A11098</f>
        <v>0</v>
      </c>
    </row>
    <row r="11095" spans="1:8">
      <c r="A11095" t="s">
        <v>4</v>
      </c>
      <c r="B11095" s="4" t="s">
        <v>5</v>
      </c>
      <c r="C11095" s="4" t="s">
        <v>7</v>
      </c>
      <c r="D11095" s="4" t="s">
        <v>11</v>
      </c>
      <c r="E11095" s="4" t="s">
        <v>13</v>
      </c>
    </row>
    <row r="11096" spans="1:8">
      <c r="A11096" t="n">
        <v>103338</v>
      </c>
      <c r="B11096" s="23" t="n">
        <v>58</v>
      </c>
      <c r="C11096" s="7" t="n">
        <v>0</v>
      </c>
      <c r="D11096" s="7" t="n">
        <v>0</v>
      </c>
      <c r="E11096" s="7" t="n">
        <v>1</v>
      </c>
    </row>
    <row r="11097" spans="1:8">
      <c r="A11097" t="s">
        <v>4</v>
      </c>
      <c r="B11097" s="4" t="s">
        <v>5</v>
      </c>
      <c r="C11097" s="4" t="s">
        <v>7</v>
      </c>
      <c r="D11097" s="20" t="s">
        <v>35</v>
      </c>
      <c r="E11097" s="4" t="s">
        <v>5</v>
      </c>
      <c r="F11097" s="4" t="s">
        <v>7</v>
      </c>
      <c r="G11097" s="4" t="s">
        <v>11</v>
      </c>
      <c r="H11097" s="20" t="s">
        <v>36</v>
      </c>
      <c r="I11097" s="4" t="s">
        <v>7</v>
      </c>
      <c r="J11097" s="4" t="s">
        <v>15</v>
      </c>
      <c r="K11097" s="4" t="s">
        <v>7</v>
      </c>
      <c r="L11097" s="4" t="s">
        <v>7</v>
      </c>
      <c r="M11097" s="20" t="s">
        <v>35</v>
      </c>
      <c r="N11097" s="4" t="s">
        <v>5</v>
      </c>
      <c r="O11097" s="4" t="s">
        <v>7</v>
      </c>
      <c r="P11097" s="4" t="s">
        <v>11</v>
      </c>
      <c r="Q11097" s="20" t="s">
        <v>36</v>
      </c>
      <c r="R11097" s="4" t="s">
        <v>7</v>
      </c>
      <c r="S11097" s="4" t="s">
        <v>15</v>
      </c>
      <c r="T11097" s="4" t="s">
        <v>7</v>
      </c>
      <c r="U11097" s="4" t="s">
        <v>7</v>
      </c>
      <c r="V11097" s="4" t="s">
        <v>7</v>
      </c>
      <c r="W11097" s="4" t="s">
        <v>12</v>
      </c>
    </row>
    <row r="11098" spans="1:8">
      <c r="A11098" t="n">
        <v>103346</v>
      </c>
      <c r="B11098" s="10" t="n">
        <v>5</v>
      </c>
      <c r="C11098" s="7" t="n">
        <v>28</v>
      </c>
      <c r="D11098" s="20" t="s">
        <v>3</v>
      </c>
      <c r="E11098" s="8" t="n">
        <v>162</v>
      </c>
      <c r="F11098" s="7" t="n">
        <v>3</v>
      </c>
      <c r="G11098" s="7" t="n">
        <v>32863</v>
      </c>
      <c r="H11098" s="20" t="s">
        <v>3</v>
      </c>
      <c r="I11098" s="7" t="n">
        <v>0</v>
      </c>
      <c r="J11098" s="7" t="n">
        <v>1</v>
      </c>
      <c r="K11098" s="7" t="n">
        <v>3</v>
      </c>
      <c r="L11098" s="7" t="n">
        <v>28</v>
      </c>
      <c r="M11098" s="20" t="s">
        <v>3</v>
      </c>
      <c r="N11098" s="8" t="n">
        <v>162</v>
      </c>
      <c r="O11098" s="7" t="n">
        <v>3</v>
      </c>
      <c r="P11098" s="7" t="n">
        <v>32863</v>
      </c>
      <c r="Q11098" s="20" t="s">
        <v>3</v>
      </c>
      <c r="R11098" s="7" t="n">
        <v>0</v>
      </c>
      <c r="S11098" s="7" t="n">
        <v>2</v>
      </c>
      <c r="T11098" s="7" t="n">
        <v>3</v>
      </c>
      <c r="U11098" s="7" t="n">
        <v>9</v>
      </c>
      <c r="V11098" s="7" t="n">
        <v>1</v>
      </c>
      <c r="W11098" s="11" t="n">
        <f t="normal" ca="1">A11108</f>
        <v>0</v>
      </c>
    </row>
    <row r="11099" spans="1:8">
      <c r="A11099" t="s">
        <v>4</v>
      </c>
      <c r="B11099" s="4" t="s">
        <v>5</v>
      </c>
      <c r="C11099" s="4" t="s">
        <v>7</v>
      </c>
      <c r="D11099" s="20" t="s">
        <v>35</v>
      </c>
      <c r="E11099" s="4" t="s">
        <v>5</v>
      </c>
      <c r="F11099" s="4" t="s">
        <v>11</v>
      </c>
      <c r="G11099" s="4" t="s">
        <v>7</v>
      </c>
      <c r="H11099" s="4" t="s">
        <v>7</v>
      </c>
      <c r="I11099" s="4" t="s">
        <v>8</v>
      </c>
      <c r="J11099" s="20" t="s">
        <v>36</v>
      </c>
      <c r="K11099" s="4" t="s">
        <v>7</v>
      </c>
      <c r="L11099" s="4" t="s">
        <v>7</v>
      </c>
      <c r="M11099" s="20" t="s">
        <v>35</v>
      </c>
      <c r="N11099" s="4" t="s">
        <v>5</v>
      </c>
      <c r="O11099" s="4" t="s">
        <v>7</v>
      </c>
      <c r="P11099" s="20" t="s">
        <v>36</v>
      </c>
      <c r="Q11099" s="4" t="s">
        <v>7</v>
      </c>
      <c r="R11099" s="4" t="s">
        <v>15</v>
      </c>
      <c r="S11099" s="4" t="s">
        <v>7</v>
      </c>
      <c r="T11099" s="4" t="s">
        <v>7</v>
      </c>
      <c r="U11099" s="4" t="s">
        <v>7</v>
      </c>
      <c r="V11099" s="20" t="s">
        <v>35</v>
      </c>
      <c r="W11099" s="4" t="s">
        <v>5</v>
      </c>
      <c r="X11099" s="4" t="s">
        <v>7</v>
      </c>
      <c r="Y11099" s="20" t="s">
        <v>36</v>
      </c>
      <c r="Z11099" s="4" t="s">
        <v>7</v>
      </c>
      <c r="AA11099" s="4" t="s">
        <v>15</v>
      </c>
      <c r="AB11099" s="4" t="s">
        <v>7</v>
      </c>
      <c r="AC11099" s="4" t="s">
        <v>7</v>
      </c>
      <c r="AD11099" s="4" t="s">
        <v>7</v>
      </c>
      <c r="AE11099" s="4" t="s">
        <v>12</v>
      </c>
    </row>
    <row r="11100" spans="1:8">
      <c r="A11100" t="n">
        <v>103375</v>
      </c>
      <c r="B11100" s="10" t="n">
        <v>5</v>
      </c>
      <c r="C11100" s="7" t="n">
        <v>28</v>
      </c>
      <c r="D11100" s="20" t="s">
        <v>3</v>
      </c>
      <c r="E11100" s="41" t="n">
        <v>47</v>
      </c>
      <c r="F11100" s="7" t="n">
        <v>61456</v>
      </c>
      <c r="G11100" s="7" t="n">
        <v>2</v>
      </c>
      <c r="H11100" s="7" t="n">
        <v>0</v>
      </c>
      <c r="I11100" s="7" t="s">
        <v>105</v>
      </c>
      <c r="J11100" s="20" t="s">
        <v>3</v>
      </c>
      <c r="K11100" s="7" t="n">
        <v>8</v>
      </c>
      <c r="L11100" s="7" t="n">
        <v>28</v>
      </c>
      <c r="M11100" s="20" t="s">
        <v>3</v>
      </c>
      <c r="N11100" s="45" t="n">
        <v>74</v>
      </c>
      <c r="O11100" s="7" t="n">
        <v>65</v>
      </c>
      <c r="P11100" s="20" t="s">
        <v>3</v>
      </c>
      <c r="Q11100" s="7" t="n">
        <v>0</v>
      </c>
      <c r="R11100" s="7" t="n">
        <v>1</v>
      </c>
      <c r="S11100" s="7" t="n">
        <v>3</v>
      </c>
      <c r="T11100" s="7" t="n">
        <v>9</v>
      </c>
      <c r="U11100" s="7" t="n">
        <v>28</v>
      </c>
      <c r="V11100" s="20" t="s">
        <v>3</v>
      </c>
      <c r="W11100" s="45" t="n">
        <v>74</v>
      </c>
      <c r="X11100" s="7" t="n">
        <v>65</v>
      </c>
      <c r="Y11100" s="20" t="s">
        <v>3</v>
      </c>
      <c r="Z11100" s="7" t="n">
        <v>0</v>
      </c>
      <c r="AA11100" s="7" t="n">
        <v>2</v>
      </c>
      <c r="AB11100" s="7" t="n">
        <v>3</v>
      </c>
      <c r="AC11100" s="7" t="n">
        <v>9</v>
      </c>
      <c r="AD11100" s="7" t="n">
        <v>1</v>
      </c>
      <c r="AE11100" s="11" t="n">
        <f t="normal" ca="1">A11104</f>
        <v>0</v>
      </c>
    </row>
    <row r="11101" spans="1:8">
      <c r="A11101" t="s">
        <v>4</v>
      </c>
      <c r="B11101" s="4" t="s">
        <v>5</v>
      </c>
      <c r="C11101" s="4" t="s">
        <v>11</v>
      </c>
      <c r="D11101" s="4" t="s">
        <v>7</v>
      </c>
      <c r="E11101" s="4" t="s">
        <v>7</v>
      </c>
      <c r="F11101" s="4" t="s">
        <v>8</v>
      </c>
    </row>
    <row r="11102" spans="1:8">
      <c r="A11102" t="n">
        <v>103423</v>
      </c>
      <c r="B11102" s="41" t="n">
        <v>47</v>
      </c>
      <c r="C11102" s="7" t="n">
        <v>61456</v>
      </c>
      <c r="D11102" s="7" t="n">
        <v>0</v>
      </c>
      <c r="E11102" s="7" t="n">
        <v>0</v>
      </c>
      <c r="F11102" s="7" t="s">
        <v>106</v>
      </c>
    </row>
    <row r="11103" spans="1:8">
      <c r="A11103" t="s">
        <v>4</v>
      </c>
      <c r="B11103" s="4" t="s">
        <v>5</v>
      </c>
      <c r="C11103" s="4" t="s">
        <v>7</v>
      </c>
      <c r="D11103" s="4" t="s">
        <v>11</v>
      </c>
      <c r="E11103" s="4" t="s">
        <v>13</v>
      </c>
    </row>
    <row r="11104" spans="1:8">
      <c r="A11104" t="n">
        <v>103436</v>
      </c>
      <c r="B11104" s="23" t="n">
        <v>58</v>
      </c>
      <c r="C11104" s="7" t="n">
        <v>0</v>
      </c>
      <c r="D11104" s="7" t="n">
        <v>300</v>
      </c>
      <c r="E11104" s="7" t="n">
        <v>1</v>
      </c>
    </row>
    <row r="11105" spans="1:31">
      <c r="A11105" t="s">
        <v>4</v>
      </c>
      <c r="B11105" s="4" t="s">
        <v>5</v>
      </c>
      <c r="C11105" s="4" t="s">
        <v>7</v>
      </c>
      <c r="D11105" s="4" t="s">
        <v>11</v>
      </c>
    </row>
    <row r="11106" spans="1:31">
      <c r="A11106" t="n">
        <v>103444</v>
      </c>
      <c r="B11106" s="23" t="n">
        <v>58</v>
      </c>
      <c r="C11106" s="7" t="n">
        <v>255</v>
      </c>
      <c r="D11106" s="7" t="n">
        <v>0</v>
      </c>
    </row>
    <row r="11107" spans="1:31">
      <c r="A11107" t="s">
        <v>4</v>
      </c>
      <c r="B11107" s="4" t="s">
        <v>5</v>
      </c>
      <c r="C11107" s="4" t="s">
        <v>7</v>
      </c>
      <c r="D11107" s="4" t="s">
        <v>7</v>
      </c>
      <c r="E11107" s="4" t="s">
        <v>7</v>
      </c>
      <c r="F11107" s="4" t="s">
        <v>7</v>
      </c>
    </row>
    <row r="11108" spans="1:31">
      <c r="A11108" t="n">
        <v>103448</v>
      </c>
      <c r="B11108" s="9" t="n">
        <v>14</v>
      </c>
      <c r="C11108" s="7" t="n">
        <v>0</v>
      </c>
      <c r="D11108" s="7" t="n">
        <v>0</v>
      </c>
      <c r="E11108" s="7" t="n">
        <v>0</v>
      </c>
      <c r="F11108" s="7" t="n">
        <v>64</v>
      </c>
    </row>
    <row r="11109" spans="1:31">
      <c r="A11109" t="s">
        <v>4</v>
      </c>
      <c r="B11109" s="4" t="s">
        <v>5</v>
      </c>
      <c r="C11109" s="4" t="s">
        <v>7</v>
      </c>
      <c r="D11109" s="4" t="s">
        <v>11</v>
      </c>
    </row>
    <row r="11110" spans="1:31">
      <c r="A11110" t="n">
        <v>103453</v>
      </c>
      <c r="B11110" s="22" t="n">
        <v>22</v>
      </c>
      <c r="C11110" s="7" t="n">
        <v>0</v>
      </c>
      <c r="D11110" s="7" t="n">
        <v>32863</v>
      </c>
    </row>
    <row r="11111" spans="1:31">
      <c r="A11111" t="s">
        <v>4</v>
      </c>
      <c r="B11111" s="4" t="s">
        <v>5</v>
      </c>
      <c r="C11111" s="4" t="s">
        <v>7</v>
      </c>
      <c r="D11111" s="4" t="s">
        <v>11</v>
      </c>
    </row>
    <row r="11112" spans="1:31">
      <c r="A11112" t="n">
        <v>103457</v>
      </c>
      <c r="B11112" s="23" t="n">
        <v>58</v>
      </c>
      <c r="C11112" s="7" t="n">
        <v>5</v>
      </c>
      <c r="D11112" s="7" t="n">
        <v>300</v>
      </c>
    </row>
    <row r="11113" spans="1:31">
      <c r="A11113" t="s">
        <v>4</v>
      </c>
      <c r="B11113" s="4" t="s">
        <v>5</v>
      </c>
      <c r="C11113" s="4" t="s">
        <v>13</v>
      </c>
      <c r="D11113" s="4" t="s">
        <v>11</v>
      </c>
    </row>
    <row r="11114" spans="1:31">
      <c r="A11114" t="n">
        <v>103461</v>
      </c>
      <c r="B11114" s="46" t="n">
        <v>103</v>
      </c>
      <c r="C11114" s="7" t="n">
        <v>0</v>
      </c>
      <c r="D11114" s="7" t="n">
        <v>300</v>
      </c>
    </row>
    <row r="11115" spans="1:31">
      <c r="A11115" t="s">
        <v>4</v>
      </c>
      <c r="B11115" s="4" t="s">
        <v>5</v>
      </c>
      <c r="C11115" s="4" t="s">
        <v>7</v>
      </c>
    </row>
    <row r="11116" spans="1:31">
      <c r="A11116" t="n">
        <v>103468</v>
      </c>
      <c r="B11116" s="47" t="n">
        <v>64</v>
      </c>
      <c r="C11116" s="7" t="n">
        <v>7</v>
      </c>
    </row>
    <row r="11117" spans="1:31">
      <c r="A11117" t="s">
        <v>4</v>
      </c>
      <c r="B11117" s="4" t="s">
        <v>5</v>
      </c>
      <c r="C11117" s="4" t="s">
        <v>7</v>
      </c>
      <c r="D11117" s="4" t="s">
        <v>11</v>
      </c>
    </row>
    <row r="11118" spans="1:31">
      <c r="A11118" t="n">
        <v>103470</v>
      </c>
      <c r="B11118" s="48" t="n">
        <v>72</v>
      </c>
      <c r="C11118" s="7" t="n">
        <v>5</v>
      </c>
      <c r="D11118" s="7" t="n">
        <v>0</v>
      </c>
    </row>
    <row r="11119" spans="1:31">
      <c r="A11119" t="s">
        <v>4</v>
      </c>
      <c r="B11119" s="4" t="s">
        <v>5</v>
      </c>
      <c r="C11119" s="4" t="s">
        <v>7</v>
      </c>
      <c r="D11119" s="20" t="s">
        <v>35</v>
      </c>
      <c r="E11119" s="4" t="s">
        <v>5</v>
      </c>
      <c r="F11119" s="4" t="s">
        <v>7</v>
      </c>
      <c r="G11119" s="4" t="s">
        <v>11</v>
      </c>
      <c r="H11119" s="20" t="s">
        <v>36</v>
      </c>
      <c r="I11119" s="4" t="s">
        <v>7</v>
      </c>
      <c r="J11119" s="4" t="s">
        <v>15</v>
      </c>
      <c r="K11119" s="4" t="s">
        <v>7</v>
      </c>
      <c r="L11119" s="4" t="s">
        <v>7</v>
      </c>
      <c r="M11119" s="4" t="s">
        <v>12</v>
      </c>
    </row>
    <row r="11120" spans="1:31">
      <c r="A11120" t="n">
        <v>103474</v>
      </c>
      <c r="B11120" s="10" t="n">
        <v>5</v>
      </c>
      <c r="C11120" s="7" t="n">
        <v>28</v>
      </c>
      <c r="D11120" s="20" t="s">
        <v>3</v>
      </c>
      <c r="E11120" s="8" t="n">
        <v>162</v>
      </c>
      <c r="F11120" s="7" t="n">
        <v>4</v>
      </c>
      <c r="G11120" s="7" t="n">
        <v>32863</v>
      </c>
      <c r="H11120" s="20" t="s">
        <v>3</v>
      </c>
      <c r="I11120" s="7" t="n">
        <v>0</v>
      </c>
      <c r="J11120" s="7" t="n">
        <v>1</v>
      </c>
      <c r="K11120" s="7" t="n">
        <v>2</v>
      </c>
      <c r="L11120" s="7" t="n">
        <v>1</v>
      </c>
      <c r="M11120" s="11" t="n">
        <f t="normal" ca="1">A11126</f>
        <v>0</v>
      </c>
    </row>
    <row r="11121" spans="1:13">
      <c r="A11121" t="s">
        <v>4</v>
      </c>
      <c r="B11121" s="4" t="s">
        <v>5</v>
      </c>
      <c r="C11121" s="4" t="s">
        <v>7</v>
      </c>
      <c r="D11121" s="4" t="s">
        <v>8</v>
      </c>
    </row>
    <row r="11122" spans="1:13">
      <c r="A11122" t="n">
        <v>103491</v>
      </c>
      <c r="B11122" s="6" t="n">
        <v>2</v>
      </c>
      <c r="C11122" s="7" t="n">
        <v>10</v>
      </c>
      <c r="D11122" s="7" t="s">
        <v>107</v>
      </c>
    </row>
    <row r="11123" spans="1:13">
      <c r="A11123" t="s">
        <v>4</v>
      </c>
      <c r="B11123" s="4" t="s">
        <v>5</v>
      </c>
      <c r="C11123" s="4" t="s">
        <v>11</v>
      </c>
    </row>
    <row r="11124" spans="1:13">
      <c r="A11124" t="n">
        <v>103508</v>
      </c>
      <c r="B11124" s="29" t="n">
        <v>16</v>
      </c>
      <c r="C11124" s="7" t="n">
        <v>0</v>
      </c>
    </row>
    <row r="11125" spans="1:13">
      <c r="A11125" t="s">
        <v>4</v>
      </c>
      <c r="B11125" s="4" t="s">
        <v>5</v>
      </c>
      <c r="C11125" s="4" t="s">
        <v>7</v>
      </c>
      <c r="D11125" s="4" t="s">
        <v>11</v>
      </c>
      <c r="E11125" s="4" t="s">
        <v>11</v>
      </c>
      <c r="F11125" s="4" t="s">
        <v>11</v>
      </c>
      <c r="G11125" s="4" t="s">
        <v>11</v>
      </c>
      <c r="H11125" s="4" t="s">
        <v>11</v>
      </c>
      <c r="I11125" s="4" t="s">
        <v>11</v>
      </c>
      <c r="J11125" s="4" t="s">
        <v>11</v>
      </c>
      <c r="K11125" s="4" t="s">
        <v>11</v>
      </c>
      <c r="L11125" s="4" t="s">
        <v>11</v>
      </c>
      <c r="M11125" s="4" t="s">
        <v>11</v>
      </c>
      <c r="N11125" s="4" t="s">
        <v>15</v>
      </c>
      <c r="O11125" s="4" t="s">
        <v>15</v>
      </c>
      <c r="P11125" s="4" t="s">
        <v>15</v>
      </c>
      <c r="Q11125" s="4" t="s">
        <v>15</v>
      </c>
      <c r="R11125" s="4" t="s">
        <v>7</v>
      </c>
      <c r="S11125" s="4" t="s">
        <v>8</v>
      </c>
    </row>
    <row r="11126" spans="1:13">
      <c r="A11126" t="n">
        <v>103511</v>
      </c>
      <c r="B11126" s="24" t="n">
        <v>75</v>
      </c>
      <c r="C11126" s="7" t="n">
        <v>0</v>
      </c>
      <c r="D11126" s="7" t="n">
        <v>484</v>
      </c>
      <c r="E11126" s="7" t="n">
        <v>328</v>
      </c>
      <c r="F11126" s="7" t="n">
        <v>996</v>
      </c>
      <c r="G11126" s="7" t="n">
        <v>392</v>
      </c>
      <c r="H11126" s="7" t="n">
        <v>0</v>
      </c>
      <c r="I11126" s="7" t="n">
        <v>0</v>
      </c>
      <c r="J11126" s="7" t="n">
        <v>0</v>
      </c>
      <c r="K11126" s="7" t="n">
        <v>448</v>
      </c>
      <c r="L11126" s="7" t="n">
        <v>512</v>
      </c>
      <c r="M11126" s="7" t="n">
        <v>512</v>
      </c>
      <c r="N11126" s="7" t="n">
        <v>1065353216</v>
      </c>
      <c r="O11126" s="7" t="n">
        <v>1065353216</v>
      </c>
      <c r="P11126" s="7" t="n">
        <v>1065353216</v>
      </c>
      <c r="Q11126" s="7" t="n">
        <v>0</v>
      </c>
      <c r="R11126" s="7" t="n">
        <v>0</v>
      </c>
      <c r="S11126" s="7" t="s">
        <v>271</v>
      </c>
    </row>
    <row r="11127" spans="1:13">
      <c r="A11127" t="s">
        <v>4</v>
      </c>
      <c r="B11127" s="4" t="s">
        <v>5</v>
      </c>
      <c r="C11127" s="4" t="s">
        <v>7</v>
      </c>
      <c r="D11127" s="4" t="s">
        <v>11</v>
      </c>
      <c r="E11127" s="4" t="s">
        <v>11</v>
      </c>
      <c r="F11127" s="4" t="s">
        <v>11</v>
      </c>
      <c r="G11127" s="4" t="s">
        <v>11</v>
      </c>
      <c r="H11127" s="4" t="s">
        <v>11</v>
      </c>
      <c r="I11127" s="4" t="s">
        <v>11</v>
      </c>
      <c r="J11127" s="4" t="s">
        <v>11</v>
      </c>
      <c r="K11127" s="4" t="s">
        <v>11</v>
      </c>
      <c r="L11127" s="4" t="s">
        <v>11</v>
      </c>
      <c r="M11127" s="4" t="s">
        <v>11</v>
      </c>
      <c r="N11127" s="4" t="s">
        <v>15</v>
      </c>
      <c r="O11127" s="4" t="s">
        <v>15</v>
      </c>
      <c r="P11127" s="4" t="s">
        <v>15</v>
      </c>
      <c r="Q11127" s="4" t="s">
        <v>15</v>
      </c>
      <c r="R11127" s="4" t="s">
        <v>7</v>
      </c>
      <c r="S11127" s="4" t="s">
        <v>8</v>
      </c>
    </row>
    <row r="11128" spans="1:13">
      <c r="A11128" t="n">
        <v>103560</v>
      </c>
      <c r="B11128" s="24" t="n">
        <v>75</v>
      </c>
      <c r="C11128" s="7" t="n">
        <v>1</v>
      </c>
      <c r="D11128" s="7" t="n">
        <v>0</v>
      </c>
      <c r="E11128" s="7" t="n">
        <v>0</v>
      </c>
      <c r="F11128" s="7" t="n">
        <v>1024</v>
      </c>
      <c r="G11128" s="7" t="n">
        <v>720</v>
      </c>
      <c r="H11128" s="7" t="n">
        <v>0</v>
      </c>
      <c r="I11128" s="7" t="n">
        <v>0</v>
      </c>
      <c r="J11128" s="7" t="n">
        <v>0</v>
      </c>
      <c r="K11128" s="7" t="n">
        <v>0</v>
      </c>
      <c r="L11128" s="7" t="n">
        <v>1024</v>
      </c>
      <c r="M11128" s="7" t="n">
        <v>720</v>
      </c>
      <c r="N11128" s="7" t="n">
        <v>1065353216</v>
      </c>
      <c r="O11128" s="7" t="n">
        <v>1065353216</v>
      </c>
      <c r="P11128" s="7" t="n">
        <v>1065353216</v>
      </c>
      <c r="Q11128" s="7" t="n">
        <v>0</v>
      </c>
      <c r="R11128" s="7" t="n">
        <v>0</v>
      </c>
      <c r="S11128" s="7" t="s">
        <v>920</v>
      </c>
    </row>
    <row r="11129" spans="1:13">
      <c r="A11129" t="s">
        <v>4</v>
      </c>
      <c r="B11129" s="4" t="s">
        <v>5</v>
      </c>
      <c r="C11129" s="4" t="s">
        <v>7</v>
      </c>
      <c r="D11129" s="4" t="s">
        <v>7</v>
      </c>
      <c r="E11129" s="4" t="s">
        <v>7</v>
      </c>
      <c r="F11129" s="4" t="s">
        <v>13</v>
      </c>
      <c r="G11129" s="4" t="s">
        <v>13</v>
      </c>
      <c r="H11129" s="4" t="s">
        <v>13</v>
      </c>
      <c r="I11129" s="4" t="s">
        <v>13</v>
      </c>
      <c r="J11129" s="4" t="s">
        <v>13</v>
      </c>
    </row>
    <row r="11130" spans="1:13">
      <c r="A11130" t="n">
        <v>103609</v>
      </c>
      <c r="B11130" s="25" t="n">
        <v>76</v>
      </c>
      <c r="C11130" s="7" t="n">
        <v>1</v>
      </c>
      <c r="D11130" s="7" t="n">
        <v>9</v>
      </c>
      <c r="E11130" s="7" t="n">
        <v>2</v>
      </c>
      <c r="F11130" s="7" t="n">
        <v>0</v>
      </c>
      <c r="G11130" s="7" t="n">
        <v>0</v>
      </c>
      <c r="H11130" s="7" t="n">
        <v>0</v>
      </c>
      <c r="I11130" s="7" t="n">
        <v>0</v>
      </c>
      <c r="J11130" s="7" t="n">
        <v>0</v>
      </c>
    </row>
    <row r="11131" spans="1:13">
      <c r="A11131" t="s">
        <v>4</v>
      </c>
      <c r="B11131" s="4" t="s">
        <v>5</v>
      </c>
      <c r="C11131" s="4" t="s">
        <v>11</v>
      </c>
      <c r="D11131" s="4" t="s">
        <v>8</v>
      </c>
      <c r="E11131" s="4" t="s">
        <v>8</v>
      </c>
      <c r="F11131" s="4" t="s">
        <v>8</v>
      </c>
      <c r="G11131" s="4" t="s">
        <v>7</v>
      </c>
      <c r="H11131" s="4" t="s">
        <v>15</v>
      </c>
      <c r="I11131" s="4" t="s">
        <v>13</v>
      </c>
      <c r="J11131" s="4" t="s">
        <v>13</v>
      </c>
      <c r="K11131" s="4" t="s">
        <v>13</v>
      </c>
      <c r="L11131" s="4" t="s">
        <v>13</v>
      </c>
      <c r="M11131" s="4" t="s">
        <v>13</v>
      </c>
      <c r="N11131" s="4" t="s">
        <v>13</v>
      </c>
      <c r="O11131" s="4" t="s">
        <v>13</v>
      </c>
      <c r="P11131" s="4" t="s">
        <v>8</v>
      </c>
      <c r="Q11131" s="4" t="s">
        <v>8</v>
      </c>
      <c r="R11131" s="4" t="s">
        <v>15</v>
      </c>
      <c r="S11131" s="4" t="s">
        <v>7</v>
      </c>
      <c r="T11131" s="4" t="s">
        <v>15</v>
      </c>
      <c r="U11131" s="4" t="s">
        <v>15</v>
      </c>
      <c r="V11131" s="4" t="s">
        <v>11</v>
      </c>
    </row>
    <row r="11132" spans="1:13">
      <c r="A11132" t="n">
        <v>103633</v>
      </c>
      <c r="B11132" s="62" t="n">
        <v>19</v>
      </c>
      <c r="C11132" s="7" t="n">
        <v>2</v>
      </c>
      <c r="D11132" s="7" t="s">
        <v>921</v>
      </c>
      <c r="E11132" s="7" t="s">
        <v>922</v>
      </c>
      <c r="F11132" s="7" t="s">
        <v>16</v>
      </c>
      <c r="G11132" s="7" t="n">
        <v>0</v>
      </c>
      <c r="H11132" s="7" t="n">
        <v>1</v>
      </c>
      <c r="I11132" s="7" t="n">
        <v>0</v>
      </c>
      <c r="J11132" s="7" t="n">
        <v>0</v>
      </c>
      <c r="K11132" s="7" t="n">
        <v>0</v>
      </c>
      <c r="L11132" s="7" t="n">
        <v>0</v>
      </c>
      <c r="M11132" s="7" t="n">
        <v>1</v>
      </c>
      <c r="N11132" s="7" t="n">
        <v>1.60000002384186</v>
      </c>
      <c r="O11132" s="7" t="n">
        <v>0.0900000035762787</v>
      </c>
      <c r="P11132" s="7" t="s">
        <v>16</v>
      </c>
      <c r="Q11132" s="7" t="s">
        <v>16</v>
      </c>
      <c r="R11132" s="7" t="n">
        <v>-1</v>
      </c>
      <c r="S11132" s="7" t="n">
        <v>0</v>
      </c>
      <c r="T11132" s="7" t="n">
        <v>0</v>
      </c>
      <c r="U11132" s="7" t="n">
        <v>0</v>
      </c>
      <c r="V11132" s="7" t="n">
        <v>0</v>
      </c>
    </row>
    <row r="11133" spans="1:13">
      <c r="A11133" t="s">
        <v>4</v>
      </c>
      <c r="B11133" s="4" t="s">
        <v>5</v>
      </c>
      <c r="C11133" s="4" t="s">
        <v>11</v>
      </c>
      <c r="D11133" s="4" t="s">
        <v>7</v>
      </c>
      <c r="E11133" s="4" t="s">
        <v>7</v>
      </c>
      <c r="F11133" s="4" t="s">
        <v>8</v>
      </c>
    </row>
    <row r="11134" spans="1:13">
      <c r="A11134" t="n">
        <v>103707</v>
      </c>
      <c r="B11134" s="50" t="n">
        <v>20</v>
      </c>
      <c r="C11134" s="7" t="n">
        <v>0</v>
      </c>
      <c r="D11134" s="7" t="n">
        <v>3</v>
      </c>
      <c r="E11134" s="7" t="n">
        <v>10</v>
      </c>
      <c r="F11134" s="7" t="s">
        <v>108</v>
      </c>
    </row>
    <row r="11135" spans="1:13">
      <c r="A11135" t="s">
        <v>4</v>
      </c>
      <c r="B11135" s="4" t="s">
        <v>5</v>
      </c>
      <c r="C11135" s="4" t="s">
        <v>11</v>
      </c>
    </row>
    <row r="11136" spans="1:13">
      <c r="A11136" t="n">
        <v>103725</v>
      </c>
      <c r="B11136" s="29" t="n">
        <v>16</v>
      </c>
      <c r="C11136" s="7" t="n">
        <v>0</v>
      </c>
    </row>
    <row r="11137" spans="1:22">
      <c r="A11137" t="s">
        <v>4</v>
      </c>
      <c r="B11137" s="4" t="s">
        <v>5</v>
      </c>
      <c r="C11137" s="4" t="s">
        <v>11</v>
      </c>
      <c r="D11137" s="4" t="s">
        <v>7</v>
      </c>
      <c r="E11137" s="4" t="s">
        <v>7</v>
      </c>
      <c r="F11137" s="4" t="s">
        <v>8</v>
      </c>
    </row>
    <row r="11138" spans="1:22">
      <c r="A11138" t="n">
        <v>103728</v>
      </c>
      <c r="B11138" s="50" t="n">
        <v>20</v>
      </c>
      <c r="C11138" s="7" t="n">
        <v>2</v>
      </c>
      <c r="D11138" s="7" t="n">
        <v>3</v>
      </c>
      <c r="E11138" s="7" t="n">
        <v>10</v>
      </c>
      <c r="F11138" s="7" t="s">
        <v>108</v>
      </c>
    </row>
    <row r="11139" spans="1:22">
      <c r="A11139" t="s">
        <v>4</v>
      </c>
      <c r="B11139" s="4" t="s">
        <v>5</v>
      </c>
      <c r="C11139" s="4" t="s">
        <v>11</v>
      </c>
    </row>
    <row r="11140" spans="1:22">
      <c r="A11140" t="n">
        <v>103746</v>
      </c>
      <c r="B11140" s="29" t="n">
        <v>16</v>
      </c>
      <c r="C11140" s="7" t="n">
        <v>0</v>
      </c>
    </row>
    <row r="11141" spans="1:22">
      <c r="A11141" t="s">
        <v>4</v>
      </c>
      <c r="B11141" s="4" t="s">
        <v>5</v>
      </c>
      <c r="C11141" s="4" t="s">
        <v>11</v>
      </c>
      <c r="D11141" s="4" t="s">
        <v>15</v>
      </c>
    </row>
    <row r="11142" spans="1:22">
      <c r="A11142" t="n">
        <v>103749</v>
      </c>
      <c r="B11142" s="39" t="n">
        <v>43</v>
      </c>
      <c r="C11142" s="7" t="n">
        <v>2</v>
      </c>
      <c r="D11142" s="7" t="n">
        <v>1</v>
      </c>
    </row>
    <row r="11143" spans="1:22">
      <c r="A11143" t="s">
        <v>4</v>
      </c>
      <c r="B11143" s="4" t="s">
        <v>5</v>
      </c>
      <c r="C11143" s="4" t="s">
        <v>7</v>
      </c>
    </row>
    <row r="11144" spans="1:22">
      <c r="A11144" t="n">
        <v>103756</v>
      </c>
      <c r="B11144" s="49" t="n">
        <v>116</v>
      </c>
      <c r="C11144" s="7" t="n">
        <v>0</v>
      </c>
    </row>
    <row r="11145" spans="1:22">
      <c r="A11145" t="s">
        <v>4</v>
      </c>
      <c r="B11145" s="4" t="s">
        <v>5</v>
      </c>
      <c r="C11145" s="4" t="s">
        <v>7</v>
      </c>
      <c r="D11145" s="4" t="s">
        <v>11</v>
      </c>
    </row>
    <row r="11146" spans="1:22">
      <c r="A11146" t="n">
        <v>103758</v>
      </c>
      <c r="B11146" s="49" t="n">
        <v>116</v>
      </c>
      <c r="C11146" s="7" t="n">
        <v>2</v>
      </c>
      <c r="D11146" s="7" t="n">
        <v>1</v>
      </c>
    </row>
    <row r="11147" spans="1:22">
      <c r="A11147" t="s">
        <v>4</v>
      </c>
      <c r="B11147" s="4" t="s">
        <v>5</v>
      </c>
      <c r="C11147" s="4" t="s">
        <v>7</v>
      </c>
      <c r="D11147" s="4" t="s">
        <v>15</v>
      </c>
    </row>
    <row r="11148" spans="1:22">
      <c r="A11148" t="n">
        <v>103762</v>
      </c>
      <c r="B11148" s="49" t="n">
        <v>116</v>
      </c>
      <c r="C11148" s="7" t="n">
        <v>5</v>
      </c>
      <c r="D11148" s="7" t="n">
        <v>1106247680</v>
      </c>
    </row>
    <row r="11149" spans="1:22">
      <c r="A11149" t="s">
        <v>4</v>
      </c>
      <c r="B11149" s="4" t="s">
        <v>5</v>
      </c>
      <c r="C11149" s="4" t="s">
        <v>7</v>
      </c>
      <c r="D11149" s="4" t="s">
        <v>11</v>
      </c>
    </row>
    <row r="11150" spans="1:22">
      <c r="A11150" t="n">
        <v>103768</v>
      </c>
      <c r="B11150" s="49" t="n">
        <v>116</v>
      </c>
      <c r="C11150" s="7" t="n">
        <v>6</v>
      </c>
      <c r="D11150" s="7" t="n">
        <v>1</v>
      </c>
    </row>
    <row r="11151" spans="1:22">
      <c r="A11151" t="s">
        <v>4</v>
      </c>
      <c r="B11151" s="4" t="s">
        <v>5</v>
      </c>
      <c r="C11151" s="4" t="s">
        <v>7</v>
      </c>
      <c r="D11151" s="4" t="s">
        <v>11</v>
      </c>
      <c r="E11151" s="4" t="s">
        <v>11</v>
      </c>
      <c r="F11151" s="4" t="s">
        <v>15</v>
      </c>
    </row>
    <row r="11152" spans="1:22">
      <c r="A11152" t="n">
        <v>103772</v>
      </c>
      <c r="B11152" s="76" t="n">
        <v>84</v>
      </c>
      <c r="C11152" s="7" t="n">
        <v>0</v>
      </c>
      <c r="D11152" s="7" t="n">
        <v>0</v>
      </c>
      <c r="E11152" s="7" t="n">
        <v>0</v>
      </c>
      <c r="F11152" s="7" t="n">
        <v>1045220557</v>
      </c>
    </row>
    <row r="11153" spans="1:6">
      <c r="A11153" t="s">
        <v>4</v>
      </c>
      <c r="B11153" s="4" t="s">
        <v>5</v>
      </c>
      <c r="C11153" s="4" t="s">
        <v>11</v>
      </c>
      <c r="D11153" s="4" t="s">
        <v>13</v>
      </c>
      <c r="E11153" s="4" t="s">
        <v>13</v>
      </c>
      <c r="F11153" s="4" t="s">
        <v>13</v>
      </c>
      <c r="G11153" s="4" t="s">
        <v>13</v>
      </c>
    </row>
    <row r="11154" spans="1:6">
      <c r="A11154" t="n">
        <v>103782</v>
      </c>
      <c r="B11154" s="36" t="n">
        <v>46</v>
      </c>
      <c r="C11154" s="7" t="n">
        <v>2</v>
      </c>
      <c r="D11154" s="7" t="n">
        <v>7.6100001335144</v>
      </c>
      <c r="E11154" s="7" t="n">
        <v>0</v>
      </c>
      <c r="F11154" s="7" t="n">
        <v>46.0200004577637</v>
      </c>
      <c r="G11154" s="7" t="n">
        <v>272.200012207031</v>
      </c>
    </row>
    <row r="11155" spans="1:6">
      <c r="A11155" t="s">
        <v>4</v>
      </c>
      <c r="B11155" s="4" t="s">
        <v>5</v>
      </c>
      <c r="C11155" s="4" t="s">
        <v>11</v>
      </c>
      <c r="D11155" s="4" t="s">
        <v>13</v>
      </c>
      <c r="E11155" s="4" t="s">
        <v>13</v>
      </c>
      <c r="F11155" s="4" t="s">
        <v>13</v>
      </c>
      <c r="G11155" s="4" t="s">
        <v>13</v>
      </c>
    </row>
    <row r="11156" spans="1:6">
      <c r="A11156" t="n">
        <v>103801</v>
      </c>
      <c r="B11156" s="36" t="n">
        <v>46</v>
      </c>
      <c r="C11156" s="7" t="n">
        <v>0</v>
      </c>
      <c r="D11156" s="7" t="n">
        <v>4.78000020980835</v>
      </c>
      <c r="E11156" s="7" t="n">
        <v>0</v>
      </c>
      <c r="F11156" s="7" t="n">
        <v>45.3300018310547</v>
      </c>
      <c r="G11156" s="7" t="n">
        <v>-102.300003051758</v>
      </c>
    </row>
    <row r="11157" spans="1:6">
      <c r="A11157" t="s">
        <v>4</v>
      </c>
      <c r="B11157" s="4" t="s">
        <v>5</v>
      </c>
      <c r="C11157" s="4" t="s">
        <v>11</v>
      </c>
      <c r="D11157" s="4" t="s">
        <v>7</v>
      </c>
      <c r="E11157" s="4" t="s">
        <v>8</v>
      </c>
      <c r="F11157" s="4" t="s">
        <v>13</v>
      </c>
      <c r="G11157" s="4" t="s">
        <v>13</v>
      </c>
      <c r="H11157" s="4" t="s">
        <v>13</v>
      </c>
    </row>
    <row r="11158" spans="1:6">
      <c r="A11158" t="n">
        <v>103820</v>
      </c>
      <c r="B11158" s="42" t="n">
        <v>48</v>
      </c>
      <c r="C11158" s="7" t="n">
        <v>0</v>
      </c>
      <c r="D11158" s="7" t="n">
        <v>0</v>
      </c>
      <c r="E11158" s="7" t="s">
        <v>275</v>
      </c>
      <c r="F11158" s="7" t="n">
        <v>0</v>
      </c>
      <c r="G11158" s="7" t="n">
        <v>1</v>
      </c>
      <c r="H11158" s="7" t="n">
        <v>0</v>
      </c>
    </row>
    <row r="11159" spans="1:6">
      <c r="A11159" t="s">
        <v>4</v>
      </c>
      <c r="B11159" s="4" t="s">
        <v>5</v>
      </c>
      <c r="C11159" s="4" t="s">
        <v>7</v>
      </c>
      <c r="D11159" s="4" t="s">
        <v>11</v>
      </c>
      <c r="E11159" s="4" t="s">
        <v>8</v>
      </c>
      <c r="F11159" s="4" t="s">
        <v>8</v>
      </c>
      <c r="G11159" s="4" t="s">
        <v>8</v>
      </c>
      <c r="H11159" s="4" t="s">
        <v>8</v>
      </c>
    </row>
    <row r="11160" spans="1:6">
      <c r="A11160" t="n">
        <v>103845</v>
      </c>
      <c r="B11160" s="38" t="n">
        <v>51</v>
      </c>
      <c r="C11160" s="7" t="n">
        <v>3</v>
      </c>
      <c r="D11160" s="7" t="n">
        <v>0</v>
      </c>
      <c r="E11160" s="7" t="s">
        <v>101</v>
      </c>
      <c r="F11160" s="7" t="s">
        <v>99</v>
      </c>
      <c r="G11160" s="7" t="s">
        <v>78</v>
      </c>
      <c r="H11160" s="7" t="s">
        <v>79</v>
      </c>
    </row>
    <row r="11161" spans="1:6">
      <c r="A11161" t="s">
        <v>4</v>
      </c>
      <c r="B11161" s="4" t="s">
        <v>5</v>
      </c>
      <c r="C11161" s="4" t="s">
        <v>7</v>
      </c>
      <c r="D11161" s="4" t="s">
        <v>11</v>
      </c>
      <c r="E11161" s="4" t="s">
        <v>8</v>
      </c>
      <c r="F11161" s="4" t="s">
        <v>8</v>
      </c>
      <c r="G11161" s="4" t="s">
        <v>8</v>
      </c>
      <c r="H11161" s="4" t="s">
        <v>8</v>
      </c>
    </row>
    <row r="11162" spans="1:6">
      <c r="A11162" t="n">
        <v>103866</v>
      </c>
      <c r="B11162" s="38" t="n">
        <v>51</v>
      </c>
      <c r="C11162" s="7" t="n">
        <v>3</v>
      </c>
      <c r="D11162" s="7" t="n">
        <v>2</v>
      </c>
      <c r="E11162" s="7" t="s">
        <v>101</v>
      </c>
      <c r="F11162" s="7" t="s">
        <v>79</v>
      </c>
      <c r="G11162" s="7" t="s">
        <v>78</v>
      </c>
      <c r="H11162" s="7" t="s">
        <v>79</v>
      </c>
    </row>
    <row r="11163" spans="1:6">
      <c r="A11163" t="s">
        <v>4</v>
      </c>
      <c r="B11163" s="4" t="s">
        <v>5</v>
      </c>
      <c r="C11163" s="4" t="s">
        <v>7</v>
      </c>
      <c r="D11163" s="4" t="s">
        <v>11</v>
      </c>
      <c r="E11163" s="4" t="s">
        <v>7</v>
      </c>
      <c r="F11163" s="4" t="s">
        <v>8</v>
      </c>
      <c r="G11163" s="4" t="s">
        <v>8</v>
      </c>
      <c r="H11163" s="4" t="s">
        <v>8</v>
      </c>
      <c r="I11163" s="4" t="s">
        <v>8</v>
      </c>
      <c r="J11163" s="4" t="s">
        <v>8</v>
      </c>
      <c r="K11163" s="4" t="s">
        <v>8</v>
      </c>
      <c r="L11163" s="4" t="s">
        <v>8</v>
      </c>
      <c r="M11163" s="4" t="s">
        <v>8</v>
      </c>
      <c r="N11163" s="4" t="s">
        <v>8</v>
      </c>
      <c r="O11163" s="4" t="s">
        <v>8</v>
      </c>
      <c r="P11163" s="4" t="s">
        <v>8</v>
      </c>
      <c r="Q11163" s="4" t="s">
        <v>8</v>
      </c>
      <c r="R11163" s="4" t="s">
        <v>8</v>
      </c>
      <c r="S11163" s="4" t="s">
        <v>8</v>
      </c>
      <c r="T11163" s="4" t="s">
        <v>8</v>
      </c>
      <c r="U11163" s="4" t="s">
        <v>8</v>
      </c>
    </row>
    <row r="11164" spans="1:6">
      <c r="A11164" t="n">
        <v>103887</v>
      </c>
      <c r="B11164" s="40" t="n">
        <v>36</v>
      </c>
      <c r="C11164" s="7" t="n">
        <v>8</v>
      </c>
      <c r="D11164" s="7" t="n">
        <v>0</v>
      </c>
      <c r="E11164" s="7" t="n">
        <v>0</v>
      </c>
      <c r="F11164" s="7" t="s">
        <v>923</v>
      </c>
      <c r="G11164" s="7" t="s">
        <v>16</v>
      </c>
      <c r="H11164" s="7" t="s">
        <v>16</v>
      </c>
      <c r="I11164" s="7" t="s">
        <v>16</v>
      </c>
      <c r="J11164" s="7" t="s">
        <v>16</v>
      </c>
      <c r="K11164" s="7" t="s">
        <v>16</v>
      </c>
      <c r="L11164" s="7" t="s">
        <v>16</v>
      </c>
      <c r="M11164" s="7" t="s">
        <v>16</v>
      </c>
      <c r="N11164" s="7" t="s">
        <v>16</v>
      </c>
      <c r="O11164" s="7" t="s">
        <v>16</v>
      </c>
      <c r="P11164" s="7" t="s">
        <v>16</v>
      </c>
      <c r="Q11164" s="7" t="s">
        <v>16</v>
      </c>
      <c r="R11164" s="7" t="s">
        <v>16</v>
      </c>
      <c r="S11164" s="7" t="s">
        <v>16</v>
      </c>
      <c r="T11164" s="7" t="s">
        <v>16</v>
      </c>
      <c r="U11164" s="7" t="s">
        <v>16</v>
      </c>
    </row>
    <row r="11165" spans="1:6">
      <c r="A11165" t="s">
        <v>4</v>
      </c>
      <c r="B11165" s="4" t="s">
        <v>5</v>
      </c>
      <c r="C11165" s="4" t="s">
        <v>7</v>
      </c>
      <c r="D11165" s="4" t="s">
        <v>11</v>
      </c>
      <c r="E11165" s="4" t="s">
        <v>7</v>
      </c>
      <c r="F11165" s="4" t="s">
        <v>8</v>
      </c>
      <c r="G11165" s="4" t="s">
        <v>8</v>
      </c>
      <c r="H11165" s="4" t="s">
        <v>8</v>
      </c>
      <c r="I11165" s="4" t="s">
        <v>8</v>
      </c>
      <c r="J11165" s="4" t="s">
        <v>8</v>
      </c>
      <c r="K11165" s="4" t="s">
        <v>8</v>
      </c>
      <c r="L11165" s="4" t="s">
        <v>8</v>
      </c>
      <c r="M11165" s="4" t="s">
        <v>8</v>
      </c>
      <c r="N11165" s="4" t="s">
        <v>8</v>
      </c>
      <c r="O11165" s="4" t="s">
        <v>8</v>
      </c>
      <c r="P11165" s="4" t="s">
        <v>8</v>
      </c>
      <c r="Q11165" s="4" t="s">
        <v>8</v>
      </c>
      <c r="R11165" s="4" t="s">
        <v>8</v>
      </c>
      <c r="S11165" s="4" t="s">
        <v>8</v>
      </c>
      <c r="T11165" s="4" t="s">
        <v>8</v>
      </c>
      <c r="U11165" s="4" t="s">
        <v>8</v>
      </c>
    </row>
    <row r="11166" spans="1:6">
      <c r="A11166" t="n">
        <v>103917</v>
      </c>
      <c r="B11166" s="40" t="n">
        <v>36</v>
      </c>
      <c r="C11166" s="7" t="n">
        <v>8</v>
      </c>
      <c r="D11166" s="7" t="n">
        <v>2</v>
      </c>
      <c r="E11166" s="7" t="n">
        <v>0</v>
      </c>
      <c r="F11166" s="7" t="s">
        <v>923</v>
      </c>
      <c r="G11166" s="7" t="s">
        <v>16</v>
      </c>
      <c r="H11166" s="7" t="s">
        <v>16</v>
      </c>
      <c r="I11166" s="7" t="s">
        <v>16</v>
      </c>
      <c r="J11166" s="7" t="s">
        <v>16</v>
      </c>
      <c r="K11166" s="7" t="s">
        <v>16</v>
      </c>
      <c r="L11166" s="7" t="s">
        <v>16</v>
      </c>
      <c r="M11166" s="7" t="s">
        <v>16</v>
      </c>
      <c r="N11166" s="7" t="s">
        <v>16</v>
      </c>
      <c r="O11166" s="7" t="s">
        <v>16</v>
      </c>
      <c r="P11166" s="7" t="s">
        <v>16</v>
      </c>
      <c r="Q11166" s="7" t="s">
        <v>16</v>
      </c>
      <c r="R11166" s="7" t="s">
        <v>16</v>
      </c>
      <c r="S11166" s="7" t="s">
        <v>16</v>
      </c>
      <c r="T11166" s="7" t="s">
        <v>16</v>
      </c>
      <c r="U11166" s="7" t="s">
        <v>16</v>
      </c>
    </row>
    <row r="11167" spans="1:6">
      <c r="A11167" t="s">
        <v>4</v>
      </c>
      <c r="B11167" s="4" t="s">
        <v>5</v>
      </c>
      <c r="C11167" s="4" t="s">
        <v>7</v>
      </c>
      <c r="D11167" s="4" t="s">
        <v>7</v>
      </c>
      <c r="E11167" s="4" t="s">
        <v>13</v>
      </c>
      <c r="F11167" s="4" t="s">
        <v>13</v>
      </c>
      <c r="G11167" s="4" t="s">
        <v>13</v>
      </c>
      <c r="H11167" s="4" t="s">
        <v>11</v>
      </c>
    </row>
    <row r="11168" spans="1:6">
      <c r="A11168" t="n">
        <v>103947</v>
      </c>
      <c r="B11168" s="51" t="n">
        <v>45</v>
      </c>
      <c r="C11168" s="7" t="n">
        <v>2</v>
      </c>
      <c r="D11168" s="7" t="n">
        <v>3</v>
      </c>
      <c r="E11168" s="7" t="n">
        <v>-3</v>
      </c>
      <c r="F11168" s="7" t="n">
        <v>2.89000010490417</v>
      </c>
      <c r="G11168" s="7" t="n">
        <v>41.3699989318848</v>
      </c>
      <c r="H11168" s="7" t="n">
        <v>0</v>
      </c>
    </row>
    <row r="11169" spans="1:21">
      <c r="A11169" t="s">
        <v>4</v>
      </c>
      <c r="B11169" s="4" t="s">
        <v>5</v>
      </c>
      <c r="C11169" s="4" t="s">
        <v>7</v>
      </c>
      <c r="D11169" s="4" t="s">
        <v>7</v>
      </c>
      <c r="E11169" s="4" t="s">
        <v>13</v>
      </c>
      <c r="F11169" s="4" t="s">
        <v>13</v>
      </c>
      <c r="G11169" s="4" t="s">
        <v>13</v>
      </c>
      <c r="H11169" s="4" t="s">
        <v>11</v>
      </c>
      <c r="I11169" s="4" t="s">
        <v>7</v>
      </c>
    </row>
    <row r="11170" spans="1:21">
      <c r="A11170" t="n">
        <v>103964</v>
      </c>
      <c r="B11170" s="51" t="n">
        <v>45</v>
      </c>
      <c r="C11170" s="7" t="n">
        <v>4</v>
      </c>
      <c r="D11170" s="7" t="n">
        <v>3</v>
      </c>
      <c r="E11170" s="7" t="n">
        <v>0.649999976158142</v>
      </c>
      <c r="F11170" s="7" t="n">
        <v>105.529998779297</v>
      </c>
      <c r="G11170" s="7" t="n">
        <v>0</v>
      </c>
      <c r="H11170" s="7" t="n">
        <v>0</v>
      </c>
      <c r="I11170" s="7" t="n">
        <v>0</v>
      </c>
    </row>
    <row r="11171" spans="1:21">
      <c r="A11171" t="s">
        <v>4</v>
      </c>
      <c r="B11171" s="4" t="s">
        <v>5</v>
      </c>
      <c r="C11171" s="4" t="s">
        <v>7</v>
      </c>
      <c r="D11171" s="4" t="s">
        <v>7</v>
      </c>
      <c r="E11171" s="4" t="s">
        <v>13</v>
      </c>
      <c r="F11171" s="4" t="s">
        <v>11</v>
      </c>
    </row>
    <row r="11172" spans="1:21">
      <c r="A11172" t="n">
        <v>103982</v>
      </c>
      <c r="B11172" s="51" t="n">
        <v>45</v>
      </c>
      <c r="C11172" s="7" t="n">
        <v>5</v>
      </c>
      <c r="D11172" s="7" t="n">
        <v>3</v>
      </c>
      <c r="E11172" s="7" t="n">
        <v>2.40000009536743</v>
      </c>
      <c r="F11172" s="7" t="n">
        <v>0</v>
      </c>
    </row>
    <row r="11173" spans="1:21">
      <c r="A11173" t="s">
        <v>4</v>
      </c>
      <c r="B11173" s="4" t="s">
        <v>5</v>
      </c>
      <c r="C11173" s="4" t="s">
        <v>7</v>
      </c>
      <c r="D11173" s="4" t="s">
        <v>7</v>
      </c>
      <c r="E11173" s="4" t="s">
        <v>13</v>
      </c>
      <c r="F11173" s="4" t="s">
        <v>11</v>
      </c>
    </row>
    <row r="11174" spans="1:21">
      <c r="A11174" t="n">
        <v>103991</v>
      </c>
      <c r="B11174" s="51" t="n">
        <v>45</v>
      </c>
      <c r="C11174" s="7" t="n">
        <v>11</v>
      </c>
      <c r="D11174" s="7" t="n">
        <v>3</v>
      </c>
      <c r="E11174" s="7" t="n">
        <v>33.4000015258789</v>
      </c>
      <c r="F11174" s="7" t="n">
        <v>0</v>
      </c>
    </row>
    <row r="11175" spans="1:21">
      <c r="A11175" t="s">
        <v>4</v>
      </c>
      <c r="B11175" s="4" t="s">
        <v>5</v>
      </c>
      <c r="C11175" s="4" t="s">
        <v>11</v>
      </c>
      <c r="D11175" s="4" t="s">
        <v>13</v>
      </c>
      <c r="E11175" s="4" t="s">
        <v>13</v>
      </c>
      <c r="F11175" s="4" t="s">
        <v>13</v>
      </c>
      <c r="G11175" s="4" t="s">
        <v>11</v>
      </c>
      <c r="H11175" s="4" t="s">
        <v>11</v>
      </c>
    </row>
    <row r="11176" spans="1:21">
      <c r="A11176" t="n">
        <v>104000</v>
      </c>
      <c r="B11176" s="37" t="n">
        <v>60</v>
      </c>
      <c r="C11176" s="7" t="n">
        <v>0</v>
      </c>
      <c r="D11176" s="7" t="n">
        <v>0</v>
      </c>
      <c r="E11176" s="7" t="n">
        <v>20</v>
      </c>
      <c r="F11176" s="7" t="n">
        <v>0</v>
      </c>
      <c r="G11176" s="7" t="n">
        <v>0</v>
      </c>
      <c r="H11176" s="7" t="n">
        <v>0</v>
      </c>
    </row>
    <row r="11177" spans="1:21">
      <c r="A11177" t="s">
        <v>4</v>
      </c>
      <c r="B11177" s="4" t="s">
        <v>5</v>
      </c>
      <c r="C11177" s="4" t="s">
        <v>7</v>
      </c>
      <c r="D11177" s="4" t="s">
        <v>7</v>
      </c>
      <c r="E11177" s="4" t="s">
        <v>7</v>
      </c>
      <c r="F11177" s="4" t="s">
        <v>13</v>
      </c>
      <c r="G11177" s="4" t="s">
        <v>13</v>
      </c>
      <c r="H11177" s="4" t="s">
        <v>13</v>
      </c>
      <c r="I11177" s="4" t="s">
        <v>13</v>
      </c>
      <c r="J11177" s="4" t="s">
        <v>13</v>
      </c>
    </row>
    <row r="11178" spans="1:21">
      <c r="A11178" t="n">
        <v>104019</v>
      </c>
      <c r="B11178" s="25" t="n">
        <v>76</v>
      </c>
      <c r="C11178" s="7" t="n">
        <v>0</v>
      </c>
      <c r="D11178" s="7" t="n">
        <v>3</v>
      </c>
      <c r="E11178" s="7" t="n">
        <v>2</v>
      </c>
      <c r="F11178" s="7" t="n">
        <v>1</v>
      </c>
      <c r="G11178" s="7" t="n">
        <v>1</v>
      </c>
      <c r="H11178" s="7" t="n">
        <v>1</v>
      </c>
      <c r="I11178" s="7" t="n">
        <v>1</v>
      </c>
      <c r="J11178" s="7" t="n">
        <v>2000</v>
      </c>
    </row>
    <row r="11179" spans="1:21">
      <c r="A11179" t="s">
        <v>4</v>
      </c>
      <c r="B11179" s="4" t="s">
        <v>5</v>
      </c>
      <c r="C11179" s="4" t="s">
        <v>7</v>
      </c>
      <c r="D11179" s="4" t="s">
        <v>7</v>
      </c>
      <c r="E11179" s="4" t="s">
        <v>7</v>
      </c>
      <c r="F11179" s="4" t="s">
        <v>13</v>
      </c>
      <c r="G11179" s="4" t="s">
        <v>13</v>
      </c>
      <c r="H11179" s="4" t="s">
        <v>13</v>
      </c>
      <c r="I11179" s="4" t="s">
        <v>13</v>
      </c>
      <c r="J11179" s="4" t="s">
        <v>13</v>
      </c>
    </row>
    <row r="11180" spans="1:21">
      <c r="A11180" t="n">
        <v>104043</v>
      </c>
      <c r="B11180" s="25" t="n">
        <v>76</v>
      </c>
      <c r="C11180" s="7" t="n">
        <v>0</v>
      </c>
      <c r="D11180" s="7" t="n">
        <v>0</v>
      </c>
      <c r="E11180" s="7" t="n">
        <v>2</v>
      </c>
      <c r="F11180" s="7" t="n">
        <v>64</v>
      </c>
      <c r="G11180" s="7" t="n">
        <v>0</v>
      </c>
      <c r="H11180" s="7" t="n">
        <v>2000</v>
      </c>
      <c r="I11180" s="7" t="n">
        <v>0</v>
      </c>
      <c r="J11180" s="7" t="n">
        <v>0</v>
      </c>
    </row>
    <row r="11181" spans="1:21">
      <c r="A11181" t="s">
        <v>4</v>
      </c>
      <c r="B11181" s="4" t="s">
        <v>5</v>
      </c>
      <c r="C11181" s="4" t="s">
        <v>7</v>
      </c>
      <c r="D11181" s="4" t="s">
        <v>7</v>
      </c>
    </row>
    <row r="11182" spans="1:21">
      <c r="A11182" t="n">
        <v>104067</v>
      </c>
      <c r="B11182" s="26" t="n">
        <v>77</v>
      </c>
      <c r="C11182" s="7" t="n">
        <v>0</v>
      </c>
      <c r="D11182" s="7" t="n">
        <v>3</v>
      </c>
    </row>
    <row r="11183" spans="1:21">
      <c r="A11183" t="s">
        <v>4</v>
      </c>
      <c r="B11183" s="4" t="s">
        <v>5</v>
      </c>
      <c r="C11183" s="4" t="s">
        <v>7</v>
      </c>
      <c r="D11183" s="4" t="s">
        <v>7</v>
      </c>
    </row>
    <row r="11184" spans="1:21">
      <c r="A11184" t="n">
        <v>104070</v>
      </c>
      <c r="B11184" s="26" t="n">
        <v>77</v>
      </c>
      <c r="C11184" s="7" t="n">
        <v>0</v>
      </c>
      <c r="D11184" s="7" t="n">
        <v>0</v>
      </c>
    </row>
    <row r="11185" spans="1:10">
      <c r="A11185" t="s">
        <v>4</v>
      </c>
      <c r="B11185" s="4" t="s">
        <v>5</v>
      </c>
      <c r="C11185" s="4" t="s">
        <v>11</v>
      </c>
    </row>
    <row r="11186" spans="1:10">
      <c r="A11186" t="n">
        <v>104073</v>
      </c>
      <c r="B11186" s="29" t="n">
        <v>16</v>
      </c>
      <c r="C11186" s="7" t="n">
        <v>2000</v>
      </c>
    </row>
    <row r="11187" spans="1:10">
      <c r="A11187" t="s">
        <v>4</v>
      </c>
      <c r="B11187" s="4" t="s">
        <v>5</v>
      </c>
      <c r="C11187" s="4" t="s">
        <v>7</v>
      </c>
      <c r="D11187" s="4" t="s">
        <v>11</v>
      </c>
      <c r="E11187" s="4" t="s">
        <v>15</v>
      </c>
      <c r="F11187" s="4" t="s">
        <v>11</v>
      </c>
      <c r="G11187" s="4" t="s">
        <v>15</v>
      </c>
      <c r="H11187" s="4" t="s">
        <v>7</v>
      </c>
    </row>
    <row r="11188" spans="1:10">
      <c r="A11188" t="n">
        <v>104076</v>
      </c>
      <c r="B11188" s="13" t="n">
        <v>49</v>
      </c>
      <c r="C11188" s="7" t="n">
        <v>0</v>
      </c>
      <c r="D11188" s="7" t="n">
        <v>514</v>
      </c>
      <c r="E11188" s="7" t="n">
        <v>1065353216</v>
      </c>
      <c r="F11188" s="7" t="n">
        <v>0</v>
      </c>
      <c r="G11188" s="7" t="n">
        <v>0</v>
      </c>
      <c r="H11188" s="7" t="n">
        <v>0</v>
      </c>
    </row>
    <row r="11189" spans="1:10">
      <c r="A11189" t="s">
        <v>4</v>
      </c>
      <c r="B11189" s="4" t="s">
        <v>5</v>
      </c>
      <c r="C11189" s="4" t="s">
        <v>7</v>
      </c>
      <c r="D11189" s="4" t="s">
        <v>7</v>
      </c>
      <c r="E11189" s="4" t="s">
        <v>7</v>
      </c>
      <c r="F11189" s="4" t="s">
        <v>13</v>
      </c>
      <c r="G11189" s="4" t="s">
        <v>13</v>
      </c>
      <c r="H11189" s="4" t="s">
        <v>13</v>
      </c>
      <c r="I11189" s="4" t="s">
        <v>13</v>
      </c>
      <c r="J11189" s="4" t="s">
        <v>13</v>
      </c>
    </row>
    <row r="11190" spans="1:10">
      <c r="A11190" t="n">
        <v>104091</v>
      </c>
      <c r="B11190" s="25" t="n">
        <v>76</v>
      </c>
      <c r="C11190" s="7" t="n">
        <v>0</v>
      </c>
      <c r="D11190" s="7" t="n">
        <v>3</v>
      </c>
      <c r="E11190" s="7" t="n">
        <v>1</v>
      </c>
      <c r="F11190" s="7" t="n">
        <v>1</v>
      </c>
      <c r="G11190" s="7" t="n">
        <v>1</v>
      </c>
      <c r="H11190" s="7" t="n">
        <v>1</v>
      </c>
      <c r="I11190" s="7" t="n">
        <v>0</v>
      </c>
      <c r="J11190" s="7" t="n">
        <v>2000</v>
      </c>
    </row>
    <row r="11191" spans="1:10">
      <c r="A11191" t="s">
        <v>4</v>
      </c>
      <c r="B11191" s="4" t="s">
        <v>5</v>
      </c>
      <c r="C11191" s="4" t="s">
        <v>7</v>
      </c>
      <c r="D11191" s="4" t="s">
        <v>7</v>
      </c>
      <c r="E11191" s="4" t="s">
        <v>7</v>
      </c>
      <c r="F11191" s="4" t="s">
        <v>13</v>
      </c>
      <c r="G11191" s="4" t="s">
        <v>13</v>
      </c>
      <c r="H11191" s="4" t="s">
        <v>13</v>
      </c>
      <c r="I11191" s="4" t="s">
        <v>13</v>
      </c>
      <c r="J11191" s="4" t="s">
        <v>13</v>
      </c>
    </row>
    <row r="11192" spans="1:10">
      <c r="A11192" t="n">
        <v>104115</v>
      </c>
      <c r="B11192" s="25" t="n">
        <v>76</v>
      </c>
      <c r="C11192" s="7" t="n">
        <v>0</v>
      </c>
      <c r="D11192" s="7" t="n">
        <v>0</v>
      </c>
      <c r="E11192" s="7" t="n">
        <v>1</v>
      </c>
      <c r="F11192" s="7" t="n">
        <v>128</v>
      </c>
      <c r="G11192" s="7" t="n">
        <v>0</v>
      </c>
      <c r="H11192" s="7" t="n">
        <v>2000</v>
      </c>
      <c r="I11192" s="7" t="n">
        <v>0</v>
      </c>
      <c r="J11192" s="7" t="n">
        <v>0</v>
      </c>
    </row>
    <row r="11193" spans="1:10">
      <c r="A11193" t="s">
        <v>4</v>
      </c>
      <c r="B11193" s="4" t="s">
        <v>5</v>
      </c>
      <c r="C11193" s="4" t="s">
        <v>7</v>
      </c>
      <c r="D11193" s="4" t="s">
        <v>7</v>
      </c>
    </row>
    <row r="11194" spans="1:10">
      <c r="A11194" t="n">
        <v>104139</v>
      </c>
      <c r="B11194" s="26" t="n">
        <v>77</v>
      </c>
      <c r="C11194" s="7" t="n">
        <v>0</v>
      </c>
      <c r="D11194" s="7" t="n">
        <v>3</v>
      </c>
    </row>
    <row r="11195" spans="1:10">
      <c r="A11195" t="s">
        <v>4</v>
      </c>
      <c r="B11195" s="4" t="s">
        <v>5</v>
      </c>
      <c r="C11195" s="4" t="s">
        <v>7</v>
      </c>
      <c r="D11195" s="4" t="s">
        <v>7</v>
      </c>
    </row>
    <row r="11196" spans="1:10">
      <c r="A11196" t="n">
        <v>104142</v>
      </c>
      <c r="B11196" s="26" t="n">
        <v>77</v>
      </c>
      <c r="C11196" s="7" t="n">
        <v>0</v>
      </c>
      <c r="D11196" s="7" t="n">
        <v>0</v>
      </c>
    </row>
    <row r="11197" spans="1:10">
      <c r="A11197" t="s">
        <v>4</v>
      </c>
      <c r="B11197" s="4" t="s">
        <v>5</v>
      </c>
      <c r="C11197" s="4" t="s">
        <v>7</v>
      </c>
      <c r="D11197" s="4" t="s">
        <v>7</v>
      </c>
      <c r="E11197" s="4" t="s">
        <v>13</v>
      </c>
      <c r="F11197" s="4" t="s">
        <v>13</v>
      </c>
      <c r="G11197" s="4" t="s">
        <v>13</v>
      </c>
      <c r="H11197" s="4" t="s">
        <v>11</v>
      </c>
    </row>
    <row r="11198" spans="1:10">
      <c r="A11198" t="n">
        <v>104145</v>
      </c>
      <c r="B11198" s="51" t="n">
        <v>45</v>
      </c>
      <c r="C11198" s="7" t="n">
        <v>2</v>
      </c>
      <c r="D11198" s="7" t="n">
        <v>3</v>
      </c>
      <c r="E11198" s="7" t="n">
        <v>5.23999977111816</v>
      </c>
      <c r="F11198" s="7" t="n">
        <v>2.15000009536743</v>
      </c>
      <c r="G11198" s="7" t="n">
        <v>43.8600006103516</v>
      </c>
      <c r="H11198" s="7" t="n">
        <v>8000</v>
      </c>
    </row>
    <row r="11199" spans="1:10">
      <c r="A11199" t="s">
        <v>4</v>
      </c>
      <c r="B11199" s="4" t="s">
        <v>5</v>
      </c>
      <c r="C11199" s="4" t="s">
        <v>7</v>
      </c>
      <c r="D11199" s="4" t="s">
        <v>7</v>
      </c>
      <c r="E11199" s="4" t="s">
        <v>13</v>
      </c>
      <c r="F11199" s="4" t="s">
        <v>13</v>
      </c>
      <c r="G11199" s="4" t="s">
        <v>13</v>
      </c>
      <c r="H11199" s="4" t="s">
        <v>11</v>
      </c>
      <c r="I11199" s="4" t="s">
        <v>7</v>
      </c>
    </row>
    <row r="11200" spans="1:10">
      <c r="A11200" t="n">
        <v>104162</v>
      </c>
      <c r="B11200" s="51" t="n">
        <v>45</v>
      </c>
      <c r="C11200" s="7" t="n">
        <v>4</v>
      </c>
      <c r="D11200" s="7" t="n">
        <v>3</v>
      </c>
      <c r="E11200" s="7" t="n">
        <v>12.4799995422363</v>
      </c>
      <c r="F11200" s="7" t="n">
        <v>144.25</v>
      </c>
      <c r="G11200" s="7" t="n">
        <v>0</v>
      </c>
      <c r="H11200" s="7" t="n">
        <v>8000</v>
      </c>
      <c r="I11200" s="7" t="n">
        <v>0</v>
      </c>
    </row>
    <row r="11201" spans="1:10">
      <c r="A11201" t="s">
        <v>4</v>
      </c>
      <c r="B11201" s="4" t="s">
        <v>5</v>
      </c>
      <c r="C11201" s="4" t="s">
        <v>7</v>
      </c>
      <c r="D11201" s="4" t="s">
        <v>7</v>
      </c>
      <c r="E11201" s="4" t="s">
        <v>13</v>
      </c>
      <c r="F11201" s="4" t="s">
        <v>11</v>
      </c>
    </row>
    <row r="11202" spans="1:10">
      <c r="A11202" t="n">
        <v>104180</v>
      </c>
      <c r="B11202" s="51" t="n">
        <v>45</v>
      </c>
      <c r="C11202" s="7" t="n">
        <v>5</v>
      </c>
      <c r="D11202" s="7" t="n">
        <v>3</v>
      </c>
      <c r="E11202" s="7" t="n">
        <v>2.40000009536743</v>
      </c>
      <c r="F11202" s="7" t="n">
        <v>8000</v>
      </c>
    </row>
    <row r="11203" spans="1:10">
      <c r="A11203" t="s">
        <v>4</v>
      </c>
      <c r="B11203" s="4" t="s">
        <v>5</v>
      </c>
      <c r="C11203" s="4" t="s">
        <v>7</v>
      </c>
      <c r="D11203" s="4" t="s">
        <v>7</v>
      </c>
      <c r="E11203" s="4" t="s">
        <v>13</v>
      </c>
      <c r="F11203" s="4" t="s">
        <v>11</v>
      </c>
    </row>
    <row r="11204" spans="1:10">
      <c r="A11204" t="n">
        <v>104189</v>
      </c>
      <c r="B11204" s="51" t="n">
        <v>45</v>
      </c>
      <c r="C11204" s="7" t="n">
        <v>11</v>
      </c>
      <c r="D11204" s="7" t="n">
        <v>3</v>
      </c>
      <c r="E11204" s="7" t="n">
        <v>33.4000015258789</v>
      </c>
      <c r="F11204" s="7" t="n">
        <v>8000</v>
      </c>
    </row>
    <row r="11205" spans="1:10">
      <c r="A11205" t="s">
        <v>4</v>
      </c>
      <c r="B11205" s="4" t="s">
        <v>5</v>
      </c>
      <c r="C11205" s="4" t="s">
        <v>7</v>
      </c>
      <c r="D11205" s="4" t="s">
        <v>11</v>
      </c>
      <c r="E11205" s="4" t="s">
        <v>13</v>
      </c>
    </row>
    <row r="11206" spans="1:10">
      <c r="A11206" t="n">
        <v>104198</v>
      </c>
      <c r="B11206" s="23" t="n">
        <v>58</v>
      </c>
      <c r="C11206" s="7" t="n">
        <v>100</v>
      </c>
      <c r="D11206" s="7" t="n">
        <v>1000</v>
      </c>
      <c r="E11206" s="7" t="n">
        <v>1</v>
      </c>
    </row>
    <row r="11207" spans="1:10">
      <c r="A11207" t="s">
        <v>4</v>
      </c>
      <c r="B11207" s="4" t="s">
        <v>5</v>
      </c>
      <c r="C11207" s="4" t="s">
        <v>7</v>
      </c>
      <c r="D11207" s="4" t="s">
        <v>11</v>
      </c>
    </row>
    <row r="11208" spans="1:10">
      <c r="A11208" t="n">
        <v>104206</v>
      </c>
      <c r="B11208" s="23" t="n">
        <v>58</v>
      </c>
      <c r="C11208" s="7" t="n">
        <v>255</v>
      </c>
      <c r="D11208" s="7" t="n">
        <v>0</v>
      </c>
    </row>
    <row r="11209" spans="1:10">
      <c r="A11209" t="s">
        <v>4</v>
      </c>
      <c r="B11209" s="4" t="s">
        <v>5</v>
      </c>
      <c r="C11209" s="4" t="s">
        <v>7</v>
      </c>
      <c r="D11209" s="4" t="s">
        <v>11</v>
      </c>
    </row>
    <row r="11210" spans="1:10">
      <c r="A11210" t="n">
        <v>104210</v>
      </c>
      <c r="B11210" s="51" t="n">
        <v>45</v>
      </c>
      <c r="C11210" s="7" t="n">
        <v>7</v>
      </c>
      <c r="D11210" s="7" t="n">
        <v>255</v>
      </c>
    </row>
    <row r="11211" spans="1:10">
      <c r="A11211" t="s">
        <v>4</v>
      </c>
      <c r="B11211" s="4" t="s">
        <v>5</v>
      </c>
      <c r="C11211" s="4" t="s">
        <v>7</v>
      </c>
      <c r="D11211" s="4" t="s">
        <v>11</v>
      </c>
      <c r="E11211" s="4" t="s">
        <v>13</v>
      </c>
    </row>
    <row r="11212" spans="1:10">
      <c r="A11212" t="n">
        <v>104214</v>
      </c>
      <c r="B11212" s="23" t="n">
        <v>58</v>
      </c>
      <c r="C11212" s="7" t="n">
        <v>101</v>
      </c>
      <c r="D11212" s="7" t="n">
        <v>800</v>
      </c>
      <c r="E11212" s="7" t="n">
        <v>1</v>
      </c>
    </row>
    <row r="11213" spans="1:10">
      <c r="A11213" t="s">
        <v>4</v>
      </c>
      <c r="B11213" s="4" t="s">
        <v>5</v>
      </c>
      <c r="C11213" s="4" t="s">
        <v>7</v>
      </c>
      <c r="D11213" s="4" t="s">
        <v>11</v>
      </c>
    </row>
    <row r="11214" spans="1:10">
      <c r="A11214" t="n">
        <v>104222</v>
      </c>
      <c r="B11214" s="23" t="n">
        <v>58</v>
      </c>
      <c r="C11214" s="7" t="n">
        <v>254</v>
      </c>
      <c r="D11214" s="7" t="n">
        <v>0</v>
      </c>
    </row>
    <row r="11215" spans="1:10">
      <c r="A11215" t="s">
        <v>4</v>
      </c>
      <c r="B11215" s="4" t="s">
        <v>5</v>
      </c>
      <c r="C11215" s="4" t="s">
        <v>7</v>
      </c>
      <c r="D11215" s="4" t="s">
        <v>7</v>
      </c>
      <c r="E11215" s="4" t="s">
        <v>13</v>
      </c>
      <c r="F11215" s="4" t="s">
        <v>13</v>
      </c>
      <c r="G11215" s="4" t="s">
        <v>13</v>
      </c>
      <c r="H11215" s="4" t="s">
        <v>11</v>
      </c>
    </row>
    <row r="11216" spans="1:10">
      <c r="A11216" t="n">
        <v>104226</v>
      </c>
      <c r="B11216" s="51" t="n">
        <v>45</v>
      </c>
      <c r="C11216" s="7" t="n">
        <v>2</v>
      </c>
      <c r="D11216" s="7" t="n">
        <v>3</v>
      </c>
      <c r="E11216" s="7" t="n">
        <v>4.26999998092651</v>
      </c>
      <c r="F11216" s="7" t="n">
        <v>2.44000005722046</v>
      </c>
      <c r="G11216" s="7" t="n">
        <v>44.1500015258789</v>
      </c>
      <c r="H11216" s="7" t="n">
        <v>0</v>
      </c>
    </row>
    <row r="11217" spans="1:8">
      <c r="A11217" t="s">
        <v>4</v>
      </c>
      <c r="B11217" s="4" t="s">
        <v>5</v>
      </c>
      <c r="C11217" s="4" t="s">
        <v>7</v>
      </c>
      <c r="D11217" s="4" t="s">
        <v>7</v>
      </c>
      <c r="E11217" s="4" t="s">
        <v>13</v>
      </c>
      <c r="F11217" s="4" t="s">
        <v>13</v>
      </c>
      <c r="G11217" s="4" t="s">
        <v>13</v>
      </c>
      <c r="H11217" s="4" t="s">
        <v>11</v>
      </c>
      <c r="I11217" s="4" t="s">
        <v>7</v>
      </c>
    </row>
    <row r="11218" spans="1:8">
      <c r="A11218" t="n">
        <v>104243</v>
      </c>
      <c r="B11218" s="51" t="n">
        <v>45</v>
      </c>
      <c r="C11218" s="7" t="n">
        <v>4</v>
      </c>
      <c r="D11218" s="7" t="n">
        <v>3</v>
      </c>
      <c r="E11218" s="7" t="n">
        <v>357.880004882813</v>
      </c>
      <c r="F11218" s="7" t="n">
        <v>321.779998779297</v>
      </c>
      <c r="G11218" s="7" t="n">
        <v>0</v>
      </c>
      <c r="H11218" s="7" t="n">
        <v>0</v>
      </c>
      <c r="I11218" s="7" t="n">
        <v>0</v>
      </c>
    </row>
    <row r="11219" spans="1:8">
      <c r="A11219" t="s">
        <v>4</v>
      </c>
      <c r="B11219" s="4" t="s">
        <v>5</v>
      </c>
      <c r="C11219" s="4" t="s">
        <v>7</v>
      </c>
      <c r="D11219" s="4" t="s">
        <v>7</v>
      </c>
      <c r="E11219" s="4" t="s">
        <v>13</v>
      </c>
      <c r="F11219" s="4" t="s">
        <v>11</v>
      </c>
    </row>
    <row r="11220" spans="1:8">
      <c r="A11220" t="n">
        <v>104261</v>
      </c>
      <c r="B11220" s="51" t="n">
        <v>45</v>
      </c>
      <c r="C11220" s="7" t="n">
        <v>5</v>
      </c>
      <c r="D11220" s="7" t="n">
        <v>3</v>
      </c>
      <c r="E11220" s="7" t="n">
        <v>2.40000009536743</v>
      </c>
      <c r="F11220" s="7" t="n">
        <v>0</v>
      </c>
    </row>
    <row r="11221" spans="1:8">
      <c r="A11221" t="s">
        <v>4</v>
      </c>
      <c r="B11221" s="4" t="s">
        <v>5</v>
      </c>
      <c r="C11221" s="4" t="s">
        <v>7</v>
      </c>
      <c r="D11221" s="4" t="s">
        <v>7</v>
      </c>
      <c r="E11221" s="4" t="s">
        <v>13</v>
      </c>
      <c r="F11221" s="4" t="s">
        <v>11</v>
      </c>
    </row>
    <row r="11222" spans="1:8">
      <c r="A11222" t="n">
        <v>104270</v>
      </c>
      <c r="B11222" s="51" t="n">
        <v>45</v>
      </c>
      <c r="C11222" s="7" t="n">
        <v>11</v>
      </c>
      <c r="D11222" s="7" t="n">
        <v>3</v>
      </c>
      <c r="E11222" s="7" t="n">
        <v>33.4000015258789</v>
      </c>
      <c r="F11222" s="7" t="n">
        <v>0</v>
      </c>
    </row>
    <row r="11223" spans="1:8">
      <c r="A11223" t="s">
        <v>4</v>
      </c>
      <c r="B11223" s="4" t="s">
        <v>5</v>
      </c>
      <c r="C11223" s="4" t="s">
        <v>7</v>
      </c>
      <c r="D11223" s="4" t="s">
        <v>7</v>
      </c>
      <c r="E11223" s="4" t="s">
        <v>13</v>
      </c>
      <c r="F11223" s="4" t="s">
        <v>13</v>
      </c>
      <c r="G11223" s="4" t="s">
        <v>13</v>
      </c>
      <c r="H11223" s="4" t="s">
        <v>11</v>
      </c>
    </row>
    <row r="11224" spans="1:8">
      <c r="A11224" t="n">
        <v>104279</v>
      </c>
      <c r="B11224" s="51" t="n">
        <v>45</v>
      </c>
      <c r="C11224" s="7" t="n">
        <v>2</v>
      </c>
      <c r="D11224" s="7" t="n">
        <v>3</v>
      </c>
      <c r="E11224" s="7" t="n">
        <v>4.76999998092651</v>
      </c>
      <c r="F11224" s="7" t="n">
        <v>1.45000004768372</v>
      </c>
      <c r="G11224" s="7" t="n">
        <v>45.2599983215332</v>
      </c>
      <c r="H11224" s="7" t="n">
        <v>8000</v>
      </c>
    </row>
    <row r="11225" spans="1:8">
      <c r="A11225" t="s">
        <v>4</v>
      </c>
      <c r="B11225" s="4" t="s">
        <v>5</v>
      </c>
      <c r="C11225" s="4" t="s">
        <v>7</v>
      </c>
      <c r="D11225" s="4" t="s">
        <v>7</v>
      </c>
      <c r="E11225" s="4" t="s">
        <v>13</v>
      </c>
      <c r="F11225" s="4" t="s">
        <v>13</v>
      </c>
      <c r="G11225" s="4" t="s">
        <v>13</v>
      </c>
      <c r="H11225" s="4" t="s">
        <v>11</v>
      </c>
      <c r="I11225" s="4" t="s">
        <v>7</v>
      </c>
    </row>
    <row r="11226" spans="1:8">
      <c r="A11226" t="n">
        <v>104296</v>
      </c>
      <c r="B11226" s="51" t="n">
        <v>45</v>
      </c>
      <c r="C11226" s="7" t="n">
        <v>4</v>
      </c>
      <c r="D11226" s="7" t="n">
        <v>3</v>
      </c>
      <c r="E11226" s="7" t="n">
        <v>358.660003662109</v>
      </c>
      <c r="F11226" s="7" t="n">
        <v>283.079986572266</v>
      </c>
      <c r="G11226" s="7" t="n">
        <v>0</v>
      </c>
      <c r="H11226" s="7" t="n">
        <v>8000</v>
      </c>
      <c r="I11226" s="7" t="n">
        <v>0</v>
      </c>
    </row>
    <row r="11227" spans="1:8">
      <c r="A11227" t="s">
        <v>4</v>
      </c>
      <c r="B11227" s="4" t="s">
        <v>5</v>
      </c>
      <c r="C11227" s="4" t="s">
        <v>7</v>
      </c>
      <c r="D11227" s="4" t="s">
        <v>7</v>
      </c>
      <c r="E11227" s="4" t="s">
        <v>13</v>
      </c>
      <c r="F11227" s="4" t="s">
        <v>11</v>
      </c>
    </row>
    <row r="11228" spans="1:8">
      <c r="A11228" t="n">
        <v>104314</v>
      </c>
      <c r="B11228" s="51" t="n">
        <v>45</v>
      </c>
      <c r="C11228" s="7" t="n">
        <v>5</v>
      </c>
      <c r="D11228" s="7" t="n">
        <v>3</v>
      </c>
      <c r="E11228" s="7" t="n">
        <v>2</v>
      </c>
      <c r="F11228" s="7" t="n">
        <v>8000</v>
      </c>
    </row>
    <row r="11229" spans="1:8">
      <c r="A11229" t="s">
        <v>4</v>
      </c>
      <c r="B11229" s="4" t="s">
        <v>5</v>
      </c>
      <c r="C11229" s="4" t="s">
        <v>7</v>
      </c>
      <c r="D11229" s="4" t="s">
        <v>11</v>
      </c>
    </row>
    <row r="11230" spans="1:8">
      <c r="A11230" t="n">
        <v>104323</v>
      </c>
      <c r="B11230" s="23" t="n">
        <v>58</v>
      </c>
      <c r="C11230" s="7" t="n">
        <v>255</v>
      </c>
      <c r="D11230" s="7" t="n">
        <v>0</v>
      </c>
    </row>
    <row r="11231" spans="1:8">
      <c r="A11231" t="s">
        <v>4</v>
      </c>
      <c r="B11231" s="4" t="s">
        <v>5</v>
      </c>
      <c r="C11231" s="4" t="s">
        <v>7</v>
      </c>
      <c r="D11231" s="4" t="s">
        <v>11</v>
      </c>
    </row>
    <row r="11232" spans="1:8">
      <c r="A11232" t="n">
        <v>104327</v>
      </c>
      <c r="B11232" s="51" t="n">
        <v>45</v>
      </c>
      <c r="C11232" s="7" t="n">
        <v>7</v>
      </c>
      <c r="D11232" s="7" t="n">
        <v>255</v>
      </c>
    </row>
    <row r="11233" spans="1:9">
      <c r="A11233" t="s">
        <v>4</v>
      </c>
      <c r="B11233" s="4" t="s">
        <v>5</v>
      </c>
      <c r="C11233" s="4" t="s">
        <v>7</v>
      </c>
      <c r="D11233" s="4" t="s">
        <v>11</v>
      </c>
      <c r="E11233" s="4" t="s">
        <v>13</v>
      </c>
    </row>
    <row r="11234" spans="1:9">
      <c r="A11234" t="n">
        <v>104331</v>
      </c>
      <c r="B11234" s="23" t="n">
        <v>58</v>
      </c>
      <c r="C11234" s="7" t="n">
        <v>101</v>
      </c>
      <c r="D11234" s="7" t="n">
        <v>800</v>
      </c>
      <c r="E11234" s="7" t="n">
        <v>1</v>
      </c>
    </row>
    <row r="11235" spans="1:9">
      <c r="A11235" t="s">
        <v>4</v>
      </c>
      <c r="B11235" s="4" t="s">
        <v>5</v>
      </c>
      <c r="C11235" s="4" t="s">
        <v>7</v>
      </c>
      <c r="D11235" s="4" t="s">
        <v>11</v>
      </c>
    </row>
    <row r="11236" spans="1:9">
      <c r="A11236" t="n">
        <v>104339</v>
      </c>
      <c r="B11236" s="23" t="n">
        <v>58</v>
      </c>
      <c r="C11236" s="7" t="n">
        <v>254</v>
      </c>
      <c r="D11236" s="7" t="n">
        <v>0</v>
      </c>
    </row>
    <row r="11237" spans="1:9">
      <c r="A11237" t="s">
        <v>4</v>
      </c>
      <c r="B11237" s="4" t="s">
        <v>5</v>
      </c>
      <c r="C11237" s="4" t="s">
        <v>7</v>
      </c>
      <c r="D11237" s="4" t="s">
        <v>7</v>
      </c>
      <c r="E11237" s="4" t="s">
        <v>13</v>
      </c>
      <c r="F11237" s="4" t="s">
        <v>13</v>
      </c>
      <c r="G11237" s="4" t="s">
        <v>13</v>
      </c>
      <c r="H11237" s="4" t="s">
        <v>11</v>
      </c>
    </row>
    <row r="11238" spans="1:9">
      <c r="A11238" t="n">
        <v>104343</v>
      </c>
      <c r="B11238" s="51" t="n">
        <v>45</v>
      </c>
      <c r="C11238" s="7" t="n">
        <v>2</v>
      </c>
      <c r="D11238" s="7" t="n">
        <v>3</v>
      </c>
      <c r="E11238" s="7" t="n">
        <v>4.73999977111816</v>
      </c>
      <c r="F11238" s="7" t="n">
        <v>1.37000000476837</v>
      </c>
      <c r="G11238" s="7" t="n">
        <v>45.310001373291</v>
      </c>
      <c r="H11238" s="7" t="n">
        <v>0</v>
      </c>
    </row>
    <row r="11239" spans="1:9">
      <c r="A11239" t="s">
        <v>4</v>
      </c>
      <c r="B11239" s="4" t="s">
        <v>5</v>
      </c>
      <c r="C11239" s="4" t="s">
        <v>7</v>
      </c>
      <c r="D11239" s="4" t="s">
        <v>7</v>
      </c>
      <c r="E11239" s="4" t="s">
        <v>13</v>
      </c>
      <c r="F11239" s="4" t="s">
        <v>13</v>
      </c>
      <c r="G11239" s="4" t="s">
        <v>13</v>
      </c>
      <c r="H11239" s="4" t="s">
        <v>11</v>
      </c>
      <c r="I11239" s="4" t="s">
        <v>7</v>
      </c>
    </row>
    <row r="11240" spans="1:9">
      <c r="A11240" t="n">
        <v>104360</v>
      </c>
      <c r="B11240" s="51" t="n">
        <v>45</v>
      </c>
      <c r="C11240" s="7" t="n">
        <v>4</v>
      </c>
      <c r="D11240" s="7" t="n">
        <v>3</v>
      </c>
      <c r="E11240" s="7" t="n">
        <v>4.3899998664856</v>
      </c>
      <c r="F11240" s="7" t="n">
        <v>107.779998779297</v>
      </c>
      <c r="G11240" s="7" t="n">
        <v>0</v>
      </c>
      <c r="H11240" s="7" t="n">
        <v>0</v>
      </c>
      <c r="I11240" s="7" t="n">
        <v>0</v>
      </c>
    </row>
    <row r="11241" spans="1:9">
      <c r="A11241" t="s">
        <v>4</v>
      </c>
      <c r="B11241" s="4" t="s">
        <v>5</v>
      </c>
      <c r="C11241" s="4" t="s">
        <v>7</v>
      </c>
      <c r="D11241" s="4" t="s">
        <v>7</v>
      </c>
      <c r="E11241" s="4" t="s">
        <v>13</v>
      </c>
      <c r="F11241" s="4" t="s">
        <v>11</v>
      </c>
    </row>
    <row r="11242" spans="1:9">
      <c r="A11242" t="n">
        <v>104378</v>
      </c>
      <c r="B11242" s="51" t="n">
        <v>45</v>
      </c>
      <c r="C11242" s="7" t="n">
        <v>5</v>
      </c>
      <c r="D11242" s="7" t="n">
        <v>3</v>
      </c>
      <c r="E11242" s="7" t="n">
        <v>2</v>
      </c>
      <c r="F11242" s="7" t="n">
        <v>0</v>
      </c>
    </row>
    <row r="11243" spans="1:9">
      <c r="A11243" t="s">
        <v>4</v>
      </c>
      <c r="B11243" s="4" t="s">
        <v>5</v>
      </c>
      <c r="C11243" s="4" t="s">
        <v>7</v>
      </c>
      <c r="D11243" s="4" t="s">
        <v>7</v>
      </c>
      <c r="E11243" s="4" t="s">
        <v>13</v>
      </c>
      <c r="F11243" s="4" t="s">
        <v>11</v>
      </c>
    </row>
    <row r="11244" spans="1:9">
      <c r="A11244" t="n">
        <v>104387</v>
      </c>
      <c r="B11244" s="51" t="n">
        <v>45</v>
      </c>
      <c r="C11244" s="7" t="n">
        <v>11</v>
      </c>
      <c r="D11244" s="7" t="n">
        <v>3</v>
      </c>
      <c r="E11244" s="7" t="n">
        <v>33.4000015258789</v>
      </c>
      <c r="F11244" s="7" t="n">
        <v>0</v>
      </c>
    </row>
    <row r="11245" spans="1:9">
      <c r="A11245" t="s">
        <v>4</v>
      </c>
      <c r="B11245" s="4" t="s">
        <v>5</v>
      </c>
      <c r="C11245" s="4" t="s">
        <v>11</v>
      </c>
      <c r="D11245" s="4" t="s">
        <v>15</v>
      </c>
    </row>
    <row r="11246" spans="1:9">
      <c r="A11246" t="n">
        <v>104396</v>
      </c>
      <c r="B11246" s="63" t="n">
        <v>44</v>
      </c>
      <c r="C11246" s="7" t="n">
        <v>2</v>
      </c>
      <c r="D11246" s="7" t="n">
        <v>1</v>
      </c>
    </row>
    <row r="11247" spans="1:9">
      <c r="A11247" t="s">
        <v>4</v>
      </c>
      <c r="B11247" s="4" t="s">
        <v>5</v>
      </c>
      <c r="C11247" s="4" t="s">
        <v>7</v>
      </c>
      <c r="D11247" s="4" t="s">
        <v>11</v>
      </c>
    </row>
    <row r="11248" spans="1:9">
      <c r="A11248" t="n">
        <v>104403</v>
      </c>
      <c r="B11248" s="23" t="n">
        <v>58</v>
      </c>
      <c r="C11248" s="7" t="n">
        <v>255</v>
      </c>
      <c r="D11248" s="7" t="n">
        <v>0</v>
      </c>
    </row>
    <row r="11249" spans="1:9">
      <c r="A11249" t="s">
        <v>4</v>
      </c>
      <c r="B11249" s="4" t="s">
        <v>5</v>
      </c>
      <c r="C11249" s="4" t="s">
        <v>8</v>
      </c>
      <c r="D11249" s="4" t="s">
        <v>8</v>
      </c>
    </row>
    <row r="11250" spans="1:9">
      <c r="A11250" t="n">
        <v>104407</v>
      </c>
      <c r="B11250" s="52" t="n">
        <v>70</v>
      </c>
      <c r="C11250" s="7" t="s">
        <v>279</v>
      </c>
      <c r="D11250" s="7" t="s">
        <v>280</v>
      </c>
    </row>
    <row r="11251" spans="1:9">
      <c r="A11251" t="s">
        <v>4</v>
      </c>
      <c r="B11251" s="4" t="s">
        <v>5</v>
      </c>
      <c r="C11251" s="4" t="s">
        <v>11</v>
      </c>
    </row>
    <row r="11252" spans="1:9">
      <c r="A11252" t="n">
        <v>104424</v>
      </c>
      <c r="B11252" s="29" t="n">
        <v>16</v>
      </c>
      <c r="C11252" s="7" t="n">
        <v>1000</v>
      </c>
    </row>
    <row r="11253" spans="1:9">
      <c r="A11253" t="s">
        <v>4</v>
      </c>
      <c r="B11253" s="4" t="s">
        <v>5</v>
      </c>
      <c r="C11253" s="4" t="s">
        <v>7</v>
      </c>
      <c r="D11253" s="4" t="s">
        <v>11</v>
      </c>
      <c r="E11253" s="4" t="s">
        <v>11</v>
      </c>
      <c r="F11253" s="4" t="s">
        <v>7</v>
      </c>
    </row>
    <row r="11254" spans="1:9">
      <c r="A11254" t="n">
        <v>104427</v>
      </c>
      <c r="B11254" s="31" t="n">
        <v>25</v>
      </c>
      <c r="C11254" s="7" t="n">
        <v>1</v>
      </c>
      <c r="D11254" s="7" t="n">
        <v>100</v>
      </c>
      <c r="E11254" s="7" t="n">
        <v>500</v>
      </c>
      <c r="F11254" s="7" t="n">
        <v>5</v>
      </c>
    </row>
    <row r="11255" spans="1:9">
      <c r="A11255" t="s">
        <v>4</v>
      </c>
      <c r="B11255" s="4" t="s">
        <v>5</v>
      </c>
      <c r="C11255" s="4" t="s">
        <v>8</v>
      </c>
      <c r="D11255" s="4" t="s">
        <v>11</v>
      </c>
    </row>
    <row r="11256" spans="1:9">
      <c r="A11256" t="n">
        <v>104434</v>
      </c>
      <c r="B11256" s="67" t="n">
        <v>29</v>
      </c>
      <c r="C11256" s="7" t="s">
        <v>281</v>
      </c>
      <c r="D11256" s="7" t="n">
        <v>65533</v>
      </c>
    </row>
    <row r="11257" spans="1:9">
      <c r="A11257" t="s">
        <v>4</v>
      </c>
      <c r="B11257" s="4" t="s">
        <v>5</v>
      </c>
      <c r="C11257" s="4" t="s">
        <v>7</v>
      </c>
      <c r="D11257" s="4" t="s">
        <v>11</v>
      </c>
      <c r="E11257" s="4" t="s">
        <v>8</v>
      </c>
    </row>
    <row r="11258" spans="1:9">
      <c r="A11258" t="n">
        <v>104443</v>
      </c>
      <c r="B11258" s="38" t="n">
        <v>51</v>
      </c>
      <c r="C11258" s="7" t="n">
        <v>4</v>
      </c>
      <c r="D11258" s="7" t="n">
        <v>2</v>
      </c>
      <c r="E11258" s="7" t="s">
        <v>137</v>
      </c>
    </row>
    <row r="11259" spans="1:9">
      <c r="A11259" t="s">
        <v>4</v>
      </c>
      <c r="B11259" s="4" t="s">
        <v>5</v>
      </c>
      <c r="C11259" s="4" t="s">
        <v>11</v>
      </c>
    </row>
    <row r="11260" spans="1:9">
      <c r="A11260" t="n">
        <v>104456</v>
      </c>
      <c r="B11260" s="29" t="n">
        <v>16</v>
      </c>
      <c r="C11260" s="7" t="n">
        <v>0</v>
      </c>
    </row>
    <row r="11261" spans="1:9">
      <c r="A11261" t="s">
        <v>4</v>
      </c>
      <c r="B11261" s="4" t="s">
        <v>5</v>
      </c>
      <c r="C11261" s="4" t="s">
        <v>11</v>
      </c>
      <c r="D11261" s="4" t="s">
        <v>7</v>
      </c>
      <c r="E11261" s="4" t="s">
        <v>15</v>
      </c>
      <c r="F11261" s="4" t="s">
        <v>55</v>
      </c>
      <c r="G11261" s="4" t="s">
        <v>7</v>
      </c>
      <c r="H11261" s="4" t="s">
        <v>7</v>
      </c>
    </row>
    <row r="11262" spans="1:9">
      <c r="A11262" t="n">
        <v>104459</v>
      </c>
      <c r="B11262" s="55" t="n">
        <v>26</v>
      </c>
      <c r="C11262" s="7" t="n">
        <v>2</v>
      </c>
      <c r="D11262" s="7" t="n">
        <v>17</v>
      </c>
      <c r="E11262" s="7" t="n">
        <v>64095</v>
      </c>
      <c r="F11262" s="7" t="s">
        <v>924</v>
      </c>
      <c r="G11262" s="7" t="n">
        <v>2</v>
      </c>
      <c r="H11262" s="7" t="n">
        <v>0</v>
      </c>
    </row>
    <row r="11263" spans="1:9">
      <c r="A11263" t="s">
        <v>4</v>
      </c>
      <c r="B11263" s="4" t="s">
        <v>5</v>
      </c>
    </row>
    <row r="11264" spans="1:9">
      <c r="A11264" t="n">
        <v>104518</v>
      </c>
      <c r="B11264" s="27" t="n">
        <v>28</v>
      </c>
    </row>
    <row r="11265" spans="1:8">
      <c r="A11265" t="s">
        <v>4</v>
      </c>
      <c r="B11265" s="4" t="s">
        <v>5</v>
      </c>
      <c r="C11265" s="4" t="s">
        <v>11</v>
      </c>
      <c r="D11265" s="4" t="s">
        <v>7</v>
      </c>
    </row>
    <row r="11266" spans="1:8">
      <c r="A11266" t="n">
        <v>104519</v>
      </c>
      <c r="B11266" s="68" t="n">
        <v>89</v>
      </c>
      <c r="C11266" s="7" t="n">
        <v>65533</v>
      </c>
      <c r="D11266" s="7" t="n">
        <v>1</v>
      </c>
    </row>
    <row r="11267" spans="1:8">
      <c r="A11267" t="s">
        <v>4</v>
      </c>
      <c r="B11267" s="4" t="s">
        <v>5</v>
      </c>
      <c r="C11267" s="4" t="s">
        <v>7</v>
      </c>
      <c r="D11267" s="4" t="s">
        <v>11</v>
      </c>
      <c r="E11267" s="4" t="s">
        <v>11</v>
      </c>
      <c r="F11267" s="4" t="s">
        <v>7</v>
      </c>
    </row>
    <row r="11268" spans="1:8">
      <c r="A11268" t="n">
        <v>104523</v>
      </c>
      <c r="B11268" s="31" t="n">
        <v>25</v>
      </c>
      <c r="C11268" s="7" t="n">
        <v>1</v>
      </c>
      <c r="D11268" s="7" t="n">
        <v>65535</v>
      </c>
      <c r="E11268" s="7" t="n">
        <v>65535</v>
      </c>
      <c r="F11268" s="7" t="n">
        <v>0</v>
      </c>
    </row>
    <row r="11269" spans="1:8">
      <c r="A11269" t="s">
        <v>4</v>
      </c>
      <c r="B11269" s="4" t="s">
        <v>5</v>
      </c>
      <c r="C11269" s="4" t="s">
        <v>8</v>
      </c>
      <c r="D11269" s="4" t="s">
        <v>11</v>
      </c>
    </row>
    <row r="11270" spans="1:8">
      <c r="A11270" t="n">
        <v>104530</v>
      </c>
      <c r="B11270" s="67" t="n">
        <v>29</v>
      </c>
      <c r="C11270" s="7" t="s">
        <v>16</v>
      </c>
      <c r="D11270" s="7" t="n">
        <v>65533</v>
      </c>
    </row>
    <row r="11271" spans="1:8">
      <c r="A11271" t="s">
        <v>4</v>
      </c>
      <c r="B11271" s="4" t="s">
        <v>5</v>
      </c>
      <c r="C11271" s="4" t="s">
        <v>11</v>
      </c>
      <c r="D11271" s="4" t="s">
        <v>7</v>
      </c>
      <c r="E11271" s="4" t="s">
        <v>13</v>
      </c>
      <c r="F11271" s="4" t="s">
        <v>11</v>
      </c>
    </row>
    <row r="11272" spans="1:8">
      <c r="A11272" t="n">
        <v>104534</v>
      </c>
      <c r="B11272" s="56" t="n">
        <v>59</v>
      </c>
      <c r="C11272" s="7" t="n">
        <v>0</v>
      </c>
      <c r="D11272" s="7" t="n">
        <v>13</v>
      </c>
      <c r="E11272" s="7" t="n">
        <v>0.150000005960464</v>
      </c>
      <c r="F11272" s="7" t="n">
        <v>0</v>
      </c>
    </row>
    <row r="11273" spans="1:8">
      <c r="A11273" t="s">
        <v>4</v>
      </c>
      <c r="B11273" s="4" t="s">
        <v>5</v>
      </c>
      <c r="C11273" s="4" t="s">
        <v>11</v>
      </c>
    </row>
    <row r="11274" spans="1:8">
      <c r="A11274" t="n">
        <v>104544</v>
      </c>
      <c r="B11274" s="29" t="n">
        <v>16</v>
      </c>
      <c r="C11274" s="7" t="n">
        <v>1000</v>
      </c>
    </row>
    <row r="11275" spans="1:8">
      <c r="A11275" t="s">
        <v>4</v>
      </c>
      <c r="B11275" s="4" t="s">
        <v>5</v>
      </c>
      <c r="C11275" s="4" t="s">
        <v>11</v>
      </c>
      <c r="D11275" s="4" t="s">
        <v>13</v>
      </c>
      <c r="E11275" s="4" t="s">
        <v>13</v>
      </c>
      <c r="F11275" s="4" t="s">
        <v>13</v>
      </c>
      <c r="G11275" s="4" t="s">
        <v>11</v>
      </c>
      <c r="H11275" s="4" t="s">
        <v>11</v>
      </c>
    </row>
    <row r="11276" spans="1:8">
      <c r="A11276" t="n">
        <v>104547</v>
      </c>
      <c r="B11276" s="37" t="n">
        <v>60</v>
      </c>
      <c r="C11276" s="7" t="n">
        <v>0</v>
      </c>
      <c r="D11276" s="7" t="n">
        <v>0</v>
      </c>
      <c r="E11276" s="7" t="n">
        <v>0</v>
      </c>
      <c r="F11276" s="7" t="n">
        <v>0</v>
      </c>
      <c r="G11276" s="7" t="n">
        <v>1000</v>
      </c>
      <c r="H11276" s="7" t="n">
        <v>0</v>
      </c>
    </row>
    <row r="11277" spans="1:8">
      <c r="A11277" t="s">
        <v>4</v>
      </c>
      <c r="B11277" s="4" t="s">
        <v>5</v>
      </c>
      <c r="C11277" s="4" t="s">
        <v>11</v>
      </c>
      <c r="D11277" s="4" t="s">
        <v>11</v>
      </c>
      <c r="E11277" s="4" t="s">
        <v>11</v>
      </c>
    </row>
    <row r="11278" spans="1:8">
      <c r="A11278" t="n">
        <v>104566</v>
      </c>
      <c r="B11278" s="72" t="n">
        <v>61</v>
      </c>
      <c r="C11278" s="7" t="n">
        <v>0</v>
      </c>
      <c r="D11278" s="7" t="n">
        <v>2</v>
      </c>
      <c r="E11278" s="7" t="n">
        <v>1000</v>
      </c>
    </row>
    <row r="11279" spans="1:8">
      <c r="A11279" t="s">
        <v>4</v>
      </c>
      <c r="B11279" s="4" t="s">
        <v>5</v>
      </c>
      <c r="C11279" s="4" t="s">
        <v>11</v>
      </c>
      <c r="D11279" s="4" t="s">
        <v>11</v>
      </c>
      <c r="E11279" s="4" t="s">
        <v>11</v>
      </c>
    </row>
    <row r="11280" spans="1:8">
      <c r="A11280" t="n">
        <v>104573</v>
      </c>
      <c r="B11280" s="72" t="n">
        <v>61</v>
      </c>
      <c r="C11280" s="7" t="n">
        <v>2</v>
      </c>
      <c r="D11280" s="7" t="n">
        <v>0</v>
      </c>
      <c r="E11280" s="7" t="n">
        <v>1000</v>
      </c>
    </row>
    <row r="11281" spans="1:8">
      <c r="A11281" t="s">
        <v>4</v>
      </c>
      <c r="B11281" s="4" t="s">
        <v>5</v>
      </c>
      <c r="C11281" s="4" t="s">
        <v>11</v>
      </c>
      <c r="D11281" s="4" t="s">
        <v>13</v>
      </c>
      <c r="E11281" s="4" t="s">
        <v>13</v>
      </c>
      <c r="F11281" s="4" t="s">
        <v>7</v>
      </c>
    </row>
    <row r="11282" spans="1:8">
      <c r="A11282" t="n">
        <v>104580</v>
      </c>
      <c r="B11282" s="65" t="n">
        <v>52</v>
      </c>
      <c r="C11282" s="7" t="n">
        <v>0</v>
      </c>
      <c r="D11282" s="7" t="n">
        <v>332.399993896484</v>
      </c>
      <c r="E11282" s="7" t="n">
        <v>5</v>
      </c>
      <c r="F11282" s="7" t="n">
        <v>0</v>
      </c>
    </row>
    <row r="11283" spans="1:8">
      <c r="A11283" t="s">
        <v>4</v>
      </c>
      <c r="B11283" s="4" t="s">
        <v>5</v>
      </c>
      <c r="C11283" s="4" t="s">
        <v>11</v>
      </c>
    </row>
    <row r="11284" spans="1:8">
      <c r="A11284" t="n">
        <v>104592</v>
      </c>
      <c r="B11284" s="66" t="n">
        <v>54</v>
      </c>
      <c r="C11284" s="7" t="n">
        <v>0</v>
      </c>
    </row>
    <row r="11285" spans="1:8">
      <c r="A11285" t="s">
        <v>4</v>
      </c>
      <c r="B11285" s="4" t="s">
        <v>5</v>
      </c>
      <c r="C11285" s="4" t="s">
        <v>7</v>
      </c>
      <c r="D11285" s="4" t="s">
        <v>11</v>
      </c>
      <c r="E11285" s="4" t="s">
        <v>13</v>
      </c>
    </row>
    <row r="11286" spans="1:8">
      <c r="A11286" t="n">
        <v>104595</v>
      </c>
      <c r="B11286" s="23" t="n">
        <v>58</v>
      </c>
      <c r="C11286" s="7" t="n">
        <v>101</v>
      </c>
      <c r="D11286" s="7" t="n">
        <v>500</v>
      </c>
      <c r="E11286" s="7" t="n">
        <v>1</v>
      </c>
    </row>
    <row r="11287" spans="1:8">
      <c r="A11287" t="s">
        <v>4</v>
      </c>
      <c r="B11287" s="4" t="s">
        <v>5</v>
      </c>
      <c r="C11287" s="4" t="s">
        <v>7</v>
      </c>
      <c r="D11287" s="4" t="s">
        <v>11</v>
      </c>
    </row>
    <row r="11288" spans="1:8">
      <c r="A11288" t="n">
        <v>104603</v>
      </c>
      <c r="B11288" s="23" t="n">
        <v>58</v>
      </c>
      <c r="C11288" s="7" t="n">
        <v>254</v>
      </c>
      <c r="D11288" s="7" t="n">
        <v>0</v>
      </c>
    </row>
    <row r="11289" spans="1:8">
      <c r="A11289" t="s">
        <v>4</v>
      </c>
      <c r="B11289" s="4" t="s">
        <v>5</v>
      </c>
      <c r="C11289" s="4" t="s">
        <v>7</v>
      </c>
      <c r="D11289" s="4" t="s">
        <v>7</v>
      </c>
      <c r="E11289" s="4" t="s">
        <v>13</v>
      </c>
      <c r="F11289" s="4" t="s">
        <v>13</v>
      </c>
      <c r="G11289" s="4" t="s">
        <v>13</v>
      </c>
      <c r="H11289" s="4" t="s">
        <v>11</v>
      </c>
    </row>
    <row r="11290" spans="1:8">
      <c r="A11290" t="n">
        <v>104607</v>
      </c>
      <c r="B11290" s="51" t="n">
        <v>45</v>
      </c>
      <c r="C11290" s="7" t="n">
        <v>2</v>
      </c>
      <c r="D11290" s="7" t="n">
        <v>3</v>
      </c>
      <c r="E11290" s="7" t="n">
        <v>4.92999982833862</v>
      </c>
      <c r="F11290" s="7" t="n">
        <v>1.46000003814697</v>
      </c>
      <c r="G11290" s="7" t="n">
        <v>45.6699981689453</v>
      </c>
      <c r="H11290" s="7" t="n">
        <v>0</v>
      </c>
    </row>
    <row r="11291" spans="1:8">
      <c r="A11291" t="s">
        <v>4</v>
      </c>
      <c r="B11291" s="4" t="s">
        <v>5</v>
      </c>
      <c r="C11291" s="4" t="s">
        <v>7</v>
      </c>
      <c r="D11291" s="4" t="s">
        <v>7</v>
      </c>
      <c r="E11291" s="4" t="s">
        <v>13</v>
      </c>
      <c r="F11291" s="4" t="s">
        <v>13</v>
      </c>
      <c r="G11291" s="4" t="s">
        <v>13</v>
      </c>
      <c r="H11291" s="4" t="s">
        <v>11</v>
      </c>
      <c r="I11291" s="4" t="s">
        <v>7</v>
      </c>
    </row>
    <row r="11292" spans="1:8">
      <c r="A11292" t="n">
        <v>104624</v>
      </c>
      <c r="B11292" s="51" t="n">
        <v>45</v>
      </c>
      <c r="C11292" s="7" t="n">
        <v>4</v>
      </c>
      <c r="D11292" s="7" t="n">
        <v>3</v>
      </c>
      <c r="E11292" s="7" t="n">
        <v>5.69000005722046</v>
      </c>
      <c r="F11292" s="7" t="n">
        <v>260.239990234375</v>
      </c>
      <c r="G11292" s="7" t="n">
        <v>0</v>
      </c>
      <c r="H11292" s="7" t="n">
        <v>0</v>
      </c>
      <c r="I11292" s="7" t="n">
        <v>0</v>
      </c>
    </row>
    <row r="11293" spans="1:8">
      <c r="A11293" t="s">
        <v>4</v>
      </c>
      <c r="B11293" s="4" t="s">
        <v>5</v>
      </c>
      <c r="C11293" s="4" t="s">
        <v>7</v>
      </c>
      <c r="D11293" s="4" t="s">
        <v>7</v>
      </c>
      <c r="E11293" s="4" t="s">
        <v>13</v>
      </c>
      <c r="F11293" s="4" t="s">
        <v>11</v>
      </c>
    </row>
    <row r="11294" spans="1:8">
      <c r="A11294" t="n">
        <v>104642</v>
      </c>
      <c r="B11294" s="51" t="n">
        <v>45</v>
      </c>
      <c r="C11294" s="7" t="n">
        <v>5</v>
      </c>
      <c r="D11294" s="7" t="n">
        <v>3</v>
      </c>
      <c r="E11294" s="7" t="n">
        <v>1.70000004768372</v>
      </c>
      <c r="F11294" s="7" t="n">
        <v>0</v>
      </c>
    </row>
    <row r="11295" spans="1:8">
      <c r="A11295" t="s">
        <v>4</v>
      </c>
      <c r="B11295" s="4" t="s">
        <v>5</v>
      </c>
      <c r="C11295" s="4" t="s">
        <v>7</v>
      </c>
      <c r="D11295" s="4" t="s">
        <v>7</v>
      </c>
      <c r="E11295" s="4" t="s">
        <v>13</v>
      </c>
      <c r="F11295" s="4" t="s">
        <v>11</v>
      </c>
    </row>
    <row r="11296" spans="1:8">
      <c r="A11296" t="n">
        <v>104651</v>
      </c>
      <c r="B11296" s="51" t="n">
        <v>45</v>
      </c>
      <c r="C11296" s="7" t="n">
        <v>11</v>
      </c>
      <c r="D11296" s="7" t="n">
        <v>3</v>
      </c>
      <c r="E11296" s="7" t="n">
        <v>34</v>
      </c>
      <c r="F11296" s="7" t="n">
        <v>0</v>
      </c>
    </row>
    <row r="11297" spans="1:9">
      <c r="A11297" t="s">
        <v>4</v>
      </c>
      <c r="B11297" s="4" t="s">
        <v>5</v>
      </c>
      <c r="C11297" s="4" t="s">
        <v>7</v>
      </c>
      <c r="D11297" s="4" t="s">
        <v>7</v>
      </c>
      <c r="E11297" s="4" t="s">
        <v>13</v>
      </c>
      <c r="F11297" s="4" t="s">
        <v>13</v>
      </c>
      <c r="G11297" s="4" t="s">
        <v>13</v>
      </c>
      <c r="H11297" s="4" t="s">
        <v>11</v>
      </c>
    </row>
    <row r="11298" spans="1:9">
      <c r="A11298" t="n">
        <v>104660</v>
      </c>
      <c r="B11298" s="51" t="n">
        <v>45</v>
      </c>
      <c r="C11298" s="7" t="n">
        <v>2</v>
      </c>
      <c r="D11298" s="7" t="n">
        <v>3</v>
      </c>
      <c r="E11298" s="7" t="n">
        <v>4.84999990463257</v>
      </c>
      <c r="F11298" s="7" t="n">
        <v>1.4099999666214</v>
      </c>
      <c r="G11298" s="7" t="n">
        <v>45.7999992370605</v>
      </c>
      <c r="H11298" s="7" t="n">
        <v>5500</v>
      </c>
    </row>
    <row r="11299" spans="1:9">
      <c r="A11299" t="s">
        <v>4</v>
      </c>
      <c r="B11299" s="4" t="s">
        <v>5</v>
      </c>
      <c r="C11299" s="4" t="s">
        <v>7</v>
      </c>
      <c r="D11299" s="4" t="s">
        <v>7</v>
      </c>
      <c r="E11299" s="4" t="s">
        <v>13</v>
      </c>
      <c r="F11299" s="4" t="s">
        <v>13</v>
      </c>
      <c r="G11299" s="4" t="s">
        <v>13</v>
      </c>
      <c r="H11299" s="4" t="s">
        <v>11</v>
      </c>
      <c r="I11299" s="4" t="s">
        <v>7</v>
      </c>
    </row>
    <row r="11300" spans="1:9">
      <c r="A11300" t="n">
        <v>104677</v>
      </c>
      <c r="B11300" s="51" t="n">
        <v>45</v>
      </c>
      <c r="C11300" s="7" t="n">
        <v>4</v>
      </c>
      <c r="D11300" s="7" t="n">
        <v>3</v>
      </c>
      <c r="E11300" s="7" t="n">
        <v>5.46999979019165</v>
      </c>
      <c r="F11300" s="7" t="n">
        <v>232.490005493164</v>
      </c>
      <c r="G11300" s="7" t="n">
        <v>0</v>
      </c>
      <c r="H11300" s="7" t="n">
        <v>5500</v>
      </c>
      <c r="I11300" s="7" t="n">
        <v>0</v>
      </c>
    </row>
    <row r="11301" spans="1:9">
      <c r="A11301" t="s">
        <v>4</v>
      </c>
      <c r="B11301" s="4" t="s">
        <v>5</v>
      </c>
      <c r="C11301" s="4" t="s">
        <v>11</v>
      </c>
      <c r="D11301" s="4" t="s">
        <v>7</v>
      </c>
      <c r="E11301" s="4" t="s">
        <v>7</v>
      </c>
      <c r="F11301" s="4" t="s">
        <v>8</v>
      </c>
    </row>
    <row r="11302" spans="1:9">
      <c r="A11302" t="n">
        <v>104695</v>
      </c>
      <c r="B11302" s="50" t="n">
        <v>20</v>
      </c>
      <c r="C11302" s="7" t="n">
        <v>2</v>
      </c>
      <c r="D11302" s="7" t="n">
        <v>2</v>
      </c>
      <c r="E11302" s="7" t="n">
        <v>11</v>
      </c>
      <c r="F11302" s="7" t="s">
        <v>283</v>
      </c>
    </row>
    <row r="11303" spans="1:9">
      <c r="A11303" t="s">
        <v>4</v>
      </c>
      <c r="B11303" s="4" t="s">
        <v>5</v>
      </c>
      <c r="C11303" s="4" t="s">
        <v>7</v>
      </c>
    </row>
    <row r="11304" spans="1:9">
      <c r="A11304" t="n">
        <v>104722</v>
      </c>
      <c r="B11304" s="49" t="n">
        <v>116</v>
      </c>
      <c r="C11304" s="7" t="n">
        <v>0</v>
      </c>
    </row>
    <row r="11305" spans="1:9">
      <c r="A11305" t="s">
        <v>4</v>
      </c>
      <c r="B11305" s="4" t="s">
        <v>5</v>
      </c>
      <c r="C11305" s="4" t="s">
        <v>7</v>
      </c>
      <c r="D11305" s="4" t="s">
        <v>11</v>
      </c>
    </row>
    <row r="11306" spans="1:9">
      <c r="A11306" t="n">
        <v>104724</v>
      </c>
      <c r="B11306" s="49" t="n">
        <v>116</v>
      </c>
      <c r="C11306" s="7" t="n">
        <v>2</v>
      </c>
      <c r="D11306" s="7" t="n">
        <v>1</v>
      </c>
    </row>
    <row r="11307" spans="1:9">
      <c r="A11307" t="s">
        <v>4</v>
      </c>
      <c r="B11307" s="4" t="s">
        <v>5</v>
      </c>
      <c r="C11307" s="4" t="s">
        <v>7</v>
      </c>
      <c r="D11307" s="4" t="s">
        <v>15</v>
      </c>
    </row>
    <row r="11308" spans="1:9">
      <c r="A11308" t="n">
        <v>104728</v>
      </c>
      <c r="B11308" s="49" t="n">
        <v>116</v>
      </c>
      <c r="C11308" s="7" t="n">
        <v>5</v>
      </c>
      <c r="D11308" s="7" t="n">
        <v>1084227584</v>
      </c>
    </row>
    <row r="11309" spans="1:9">
      <c r="A11309" t="s">
        <v>4</v>
      </c>
      <c r="B11309" s="4" t="s">
        <v>5</v>
      </c>
      <c r="C11309" s="4" t="s">
        <v>7</v>
      </c>
      <c r="D11309" s="4" t="s">
        <v>11</v>
      </c>
    </row>
    <row r="11310" spans="1:9">
      <c r="A11310" t="n">
        <v>104734</v>
      </c>
      <c r="B11310" s="49" t="n">
        <v>116</v>
      </c>
      <c r="C11310" s="7" t="n">
        <v>6</v>
      </c>
      <c r="D11310" s="7" t="n">
        <v>1</v>
      </c>
    </row>
    <row r="11311" spans="1:9">
      <c r="A11311" t="s">
        <v>4</v>
      </c>
      <c r="B11311" s="4" t="s">
        <v>5</v>
      </c>
      <c r="C11311" s="4" t="s">
        <v>7</v>
      </c>
      <c r="D11311" s="4" t="s">
        <v>11</v>
      </c>
    </row>
    <row r="11312" spans="1:9">
      <c r="A11312" t="n">
        <v>104738</v>
      </c>
      <c r="B11312" s="23" t="n">
        <v>58</v>
      </c>
      <c r="C11312" s="7" t="n">
        <v>255</v>
      </c>
      <c r="D11312" s="7" t="n">
        <v>0</v>
      </c>
    </row>
    <row r="11313" spans="1:9">
      <c r="A11313" t="s">
        <v>4</v>
      </c>
      <c r="B11313" s="4" t="s">
        <v>5</v>
      </c>
      <c r="C11313" s="4" t="s">
        <v>11</v>
      </c>
    </row>
    <row r="11314" spans="1:9">
      <c r="A11314" t="n">
        <v>104742</v>
      </c>
      <c r="B11314" s="29" t="n">
        <v>16</v>
      </c>
      <c r="C11314" s="7" t="n">
        <v>800</v>
      </c>
    </row>
    <row r="11315" spans="1:9">
      <c r="A11315" t="s">
        <v>4</v>
      </c>
      <c r="B11315" s="4" t="s">
        <v>5</v>
      </c>
      <c r="C11315" s="4" t="s">
        <v>8</v>
      </c>
      <c r="D11315" s="4" t="s">
        <v>8</v>
      </c>
    </row>
    <row r="11316" spans="1:9">
      <c r="A11316" t="n">
        <v>104745</v>
      </c>
      <c r="B11316" s="52" t="n">
        <v>70</v>
      </c>
      <c r="C11316" s="7" t="s">
        <v>279</v>
      </c>
      <c r="D11316" s="7" t="s">
        <v>284</v>
      </c>
    </row>
    <row r="11317" spans="1:9">
      <c r="A11317" t="s">
        <v>4</v>
      </c>
      <c r="B11317" s="4" t="s">
        <v>5</v>
      </c>
      <c r="C11317" s="4" t="s">
        <v>7</v>
      </c>
      <c r="D11317" s="4" t="s">
        <v>11</v>
      </c>
    </row>
    <row r="11318" spans="1:9">
      <c r="A11318" t="n">
        <v>104763</v>
      </c>
      <c r="B11318" s="51" t="n">
        <v>45</v>
      </c>
      <c r="C11318" s="7" t="n">
        <v>7</v>
      </c>
      <c r="D11318" s="7" t="n">
        <v>255</v>
      </c>
    </row>
    <row r="11319" spans="1:9">
      <c r="A11319" t="s">
        <v>4</v>
      </c>
      <c r="B11319" s="4" t="s">
        <v>5</v>
      </c>
      <c r="C11319" s="4" t="s">
        <v>7</v>
      </c>
      <c r="D11319" s="4" t="s">
        <v>11</v>
      </c>
      <c r="E11319" s="4" t="s">
        <v>8</v>
      </c>
    </row>
    <row r="11320" spans="1:9">
      <c r="A11320" t="n">
        <v>104767</v>
      </c>
      <c r="B11320" s="38" t="n">
        <v>51</v>
      </c>
      <c r="C11320" s="7" t="n">
        <v>4</v>
      </c>
      <c r="D11320" s="7" t="n">
        <v>0</v>
      </c>
      <c r="E11320" s="7" t="s">
        <v>179</v>
      </c>
    </row>
    <row r="11321" spans="1:9">
      <c r="A11321" t="s">
        <v>4</v>
      </c>
      <c r="B11321" s="4" t="s">
        <v>5</v>
      </c>
      <c r="C11321" s="4" t="s">
        <v>11</v>
      </c>
    </row>
    <row r="11322" spans="1:9">
      <c r="A11322" t="n">
        <v>104781</v>
      </c>
      <c r="B11322" s="29" t="n">
        <v>16</v>
      </c>
      <c r="C11322" s="7" t="n">
        <v>0</v>
      </c>
    </row>
    <row r="11323" spans="1:9">
      <c r="A11323" t="s">
        <v>4</v>
      </c>
      <c r="B11323" s="4" t="s">
        <v>5</v>
      </c>
      <c r="C11323" s="4" t="s">
        <v>11</v>
      </c>
      <c r="D11323" s="4" t="s">
        <v>7</v>
      </c>
      <c r="E11323" s="4" t="s">
        <v>15</v>
      </c>
      <c r="F11323" s="4" t="s">
        <v>55</v>
      </c>
      <c r="G11323" s="4" t="s">
        <v>7</v>
      </c>
      <c r="H11323" s="4" t="s">
        <v>7</v>
      </c>
      <c r="I11323" s="4" t="s">
        <v>7</v>
      </c>
      <c r="J11323" s="4" t="s">
        <v>15</v>
      </c>
      <c r="K11323" s="4" t="s">
        <v>55</v>
      </c>
      <c r="L11323" s="4" t="s">
        <v>7</v>
      </c>
      <c r="M11323" s="4" t="s">
        <v>7</v>
      </c>
    </row>
    <row r="11324" spans="1:9">
      <c r="A11324" t="n">
        <v>104784</v>
      </c>
      <c r="B11324" s="55" t="n">
        <v>26</v>
      </c>
      <c r="C11324" s="7" t="n">
        <v>0</v>
      </c>
      <c r="D11324" s="7" t="n">
        <v>17</v>
      </c>
      <c r="E11324" s="7" t="n">
        <v>64096</v>
      </c>
      <c r="F11324" s="7" t="s">
        <v>925</v>
      </c>
      <c r="G11324" s="7" t="n">
        <v>2</v>
      </c>
      <c r="H11324" s="7" t="n">
        <v>3</v>
      </c>
      <c r="I11324" s="7" t="n">
        <v>17</v>
      </c>
      <c r="J11324" s="7" t="n">
        <v>64097</v>
      </c>
      <c r="K11324" s="7" t="s">
        <v>926</v>
      </c>
      <c r="L11324" s="7" t="n">
        <v>2</v>
      </c>
      <c r="M11324" s="7" t="n">
        <v>0</v>
      </c>
    </row>
    <row r="11325" spans="1:9">
      <c r="A11325" t="s">
        <v>4</v>
      </c>
      <c r="B11325" s="4" t="s">
        <v>5</v>
      </c>
    </row>
    <row r="11326" spans="1:9">
      <c r="A11326" t="n">
        <v>104928</v>
      </c>
      <c r="B11326" s="27" t="n">
        <v>28</v>
      </c>
    </row>
    <row r="11327" spans="1:9">
      <c r="A11327" t="s">
        <v>4</v>
      </c>
      <c r="B11327" s="4" t="s">
        <v>5</v>
      </c>
      <c r="C11327" s="4" t="s">
        <v>7</v>
      </c>
      <c r="D11327" s="4" t="s">
        <v>11</v>
      </c>
      <c r="E11327" s="4" t="s">
        <v>13</v>
      </c>
    </row>
    <row r="11328" spans="1:9">
      <c r="A11328" t="n">
        <v>104929</v>
      </c>
      <c r="B11328" s="23" t="n">
        <v>58</v>
      </c>
      <c r="C11328" s="7" t="n">
        <v>101</v>
      </c>
      <c r="D11328" s="7" t="n">
        <v>500</v>
      </c>
      <c r="E11328" s="7" t="n">
        <v>1</v>
      </c>
    </row>
    <row r="11329" spans="1:13">
      <c r="A11329" t="s">
        <v>4</v>
      </c>
      <c r="B11329" s="4" t="s">
        <v>5</v>
      </c>
      <c r="C11329" s="4" t="s">
        <v>7</v>
      </c>
      <c r="D11329" s="4" t="s">
        <v>11</v>
      </c>
    </row>
    <row r="11330" spans="1:13">
      <c r="A11330" t="n">
        <v>104937</v>
      </c>
      <c r="B11330" s="23" t="n">
        <v>58</v>
      </c>
      <c r="C11330" s="7" t="n">
        <v>254</v>
      </c>
      <c r="D11330" s="7" t="n">
        <v>0</v>
      </c>
    </row>
    <row r="11331" spans="1:13">
      <c r="A11331" t="s">
        <v>4</v>
      </c>
      <c r="B11331" s="4" t="s">
        <v>5</v>
      </c>
      <c r="C11331" s="4" t="s">
        <v>7</v>
      </c>
      <c r="D11331" s="4" t="s">
        <v>7</v>
      </c>
      <c r="E11331" s="4" t="s">
        <v>13</v>
      </c>
      <c r="F11331" s="4" t="s">
        <v>13</v>
      </c>
      <c r="G11331" s="4" t="s">
        <v>13</v>
      </c>
      <c r="H11331" s="4" t="s">
        <v>11</v>
      </c>
    </row>
    <row r="11332" spans="1:13">
      <c r="A11332" t="n">
        <v>104941</v>
      </c>
      <c r="B11332" s="51" t="n">
        <v>45</v>
      </c>
      <c r="C11332" s="7" t="n">
        <v>2</v>
      </c>
      <c r="D11332" s="7" t="n">
        <v>3</v>
      </c>
      <c r="E11332" s="7" t="n">
        <v>4.96999979019165</v>
      </c>
      <c r="F11332" s="7" t="n">
        <v>1.41999995708466</v>
      </c>
      <c r="G11332" s="7" t="n">
        <v>46.3800010681152</v>
      </c>
      <c r="H11332" s="7" t="n">
        <v>0</v>
      </c>
    </row>
    <row r="11333" spans="1:13">
      <c r="A11333" t="s">
        <v>4</v>
      </c>
      <c r="B11333" s="4" t="s">
        <v>5</v>
      </c>
      <c r="C11333" s="4" t="s">
        <v>7</v>
      </c>
      <c r="D11333" s="4" t="s">
        <v>7</v>
      </c>
      <c r="E11333" s="4" t="s">
        <v>13</v>
      </c>
      <c r="F11333" s="4" t="s">
        <v>13</v>
      </c>
      <c r="G11333" s="4" t="s">
        <v>13</v>
      </c>
      <c r="H11333" s="4" t="s">
        <v>11</v>
      </c>
      <c r="I11333" s="4" t="s">
        <v>7</v>
      </c>
    </row>
    <row r="11334" spans="1:13">
      <c r="A11334" t="n">
        <v>104958</v>
      </c>
      <c r="B11334" s="51" t="n">
        <v>45</v>
      </c>
      <c r="C11334" s="7" t="n">
        <v>4</v>
      </c>
      <c r="D11334" s="7" t="n">
        <v>3</v>
      </c>
      <c r="E11334" s="7" t="n">
        <v>8.30000019073486</v>
      </c>
      <c r="F11334" s="7" t="n">
        <v>213.210006713867</v>
      </c>
      <c r="G11334" s="7" t="n">
        <v>0</v>
      </c>
      <c r="H11334" s="7" t="n">
        <v>0</v>
      </c>
      <c r="I11334" s="7" t="n">
        <v>0</v>
      </c>
    </row>
    <row r="11335" spans="1:13">
      <c r="A11335" t="s">
        <v>4</v>
      </c>
      <c r="B11335" s="4" t="s">
        <v>5</v>
      </c>
      <c r="C11335" s="4" t="s">
        <v>7</v>
      </c>
      <c r="D11335" s="4" t="s">
        <v>7</v>
      </c>
      <c r="E11335" s="4" t="s">
        <v>13</v>
      </c>
      <c r="F11335" s="4" t="s">
        <v>11</v>
      </c>
    </row>
    <row r="11336" spans="1:13">
      <c r="A11336" t="n">
        <v>104976</v>
      </c>
      <c r="B11336" s="51" t="n">
        <v>45</v>
      </c>
      <c r="C11336" s="7" t="n">
        <v>5</v>
      </c>
      <c r="D11336" s="7" t="n">
        <v>3</v>
      </c>
      <c r="E11336" s="7" t="n">
        <v>1</v>
      </c>
      <c r="F11336" s="7" t="n">
        <v>0</v>
      </c>
    </row>
    <row r="11337" spans="1:13">
      <c r="A11337" t="s">
        <v>4</v>
      </c>
      <c r="B11337" s="4" t="s">
        <v>5</v>
      </c>
      <c r="C11337" s="4" t="s">
        <v>7</v>
      </c>
      <c r="D11337" s="4" t="s">
        <v>7</v>
      </c>
      <c r="E11337" s="4" t="s">
        <v>13</v>
      </c>
      <c r="F11337" s="4" t="s">
        <v>11</v>
      </c>
    </row>
    <row r="11338" spans="1:13">
      <c r="A11338" t="n">
        <v>104985</v>
      </c>
      <c r="B11338" s="51" t="n">
        <v>45</v>
      </c>
      <c r="C11338" s="7" t="n">
        <v>11</v>
      </c>
      <c r="D11338" s="7" t="n">
        <v>3</v>
      </c>
      <c r="E11338" s="7" t="n">
        <v>34</v>
      </c>
      <c r="F11338" s="7" t="n">
        <v>0</v>
      </c>
    </row>
    <row r="11339" spans="1:13">
      <c r="A11339" t="s">
        <v>4</v>
      </c>
      <c r="B11339" s="4" t="s">
        <v>5</v>
      </c>
      <c r="C11339" s="4" t="s">
        <v>7</v>
      </c>
      <c r="D11339" s="4" t="s">
        <v>11</v>
      </c>
    </row>
    <row r="11340" spans="1:13">
      <c r="A11340" t="n">
        <v>104994</v>
      </c>
      <c r="B11340" s="23" t="n">
        <v>58</v>
      </c>
      <c r="C11340" s="7" t="n">
        <v>255</v>
      </c>
      <c r="D11340" s="7" t="n">
        <v>0</v>
      </c>
    </row>
    <row r="11341" spans="1:13">
      <c r="A11341" t="s">
        <v>4</v>
      </c>
      <c r="B11341" s="4" t="s">
        <v>5</v>
      </c>
      <c r="C11341" s="4" t="s">
        <v>7</v>
      </c>
      <c r="D11341" s="4" t="s">
        <v>11</v>
      </c>
      <c r="E11341" s="4" t="s">
        <v>8</v>
      </c>
    </row>
    <row r="11342" spans="1:13">
      <c r="A11342" t="n">
        <v>104998</v>
      </c>
      <c r="B11342" s="38" t="n">
        <v>51</v>
      </c>
      <c r="C11342" s="7" t="n">
        <v>4</v>
      </c>
      <c r="D11342" s="7" t="n">
        <v>2</v>
      </c>
      <c r="E11342" s="7" t="s">
        <v>137</v>
      </c>
    </row>
    <row r="11343" spans="1:13">
      <c r="A11343" t="s">
        <v>4</v>
      </c>
      <c r="B11343" s="4" t="s">
        <v>5</v>
      </c>
      <c r="C11343" s="4" t="s">
        <v>11</v>
      </c>
    </row>
    <row r="11344" spans="1:13">
      <c r="A11344" t="n">
        <v>105011</v>
      </c>
      <c r="B11344" s="29" t="n">
        <v>16</v>
      </c>
      <c r="C11344" s="7" t="n">
        <v>0</v>
      </c>
    </row>
    <row r="11345" spans="1:9">
      <c r="A11345" t="s">
        <v>4</v>
      </c>
      <c r="B11345" s="4" t="s">
        <v>5</v>
      </c>
      <c r="C11345" s="4" t="s">
        <v>11</v>
      </c>
      <c r="D11345" s="4" t="s">
        <v>7</v>
      </c>
      <c r="E11345" s="4" t="s">
        <v>15</v>
      </c>
      <c r="F11345" s="4" t="s">
        <v>55</v>
      </c>
      <c r="G11345" s="4" t="s">
        <v>7</v>
      </c>
      <c r="H11345" s="4" t="s">
        <v>7</v>
      </c>
      <c r="I11345" s="4" t="s">
        <v>7</v>
      </c>
      <c r="J11345" s="4" t="s">
        <v>15</v>
      </c>
      <c r="K11345" s="4" t="s">
        <v>55</v>
      </c>
      <c r="L11345" s="4" t="s">
        <v>7</v>
      </c>
      <c r="M11345" s="4" t="s">
        <v>7</v>
      </c>
    </row>
    <row r="11346" spans="1:9">
      <c r="A11346" t="n">
        <v>105014</v>
      </c>
      <c r="B11346" s="55" t="n">
        <v>26</v>
      </c>
      <c r="C11346" s="7" t="n">
        <v>2</v>
      </c>
      <c r="D11346" s="7" t="n">
        <v>17</v>
      </c>
      <c r="E11346" s="7" t="n">
        <v>64098</v>
      </c>
      <c r="F11346" s="7" t="s">
        <v>927</v>
      </c>
      <c r="G11346" s="7" t="n">
        <v>2</v>
      </c>
      <c r="H11346" s="7" t="n">
        <v>3</v>
      </c>
      <c r="I11346" s="7" t="n">
        <v>17</v>
      </c>
      <c r="J11346" s="7" t="n">
        <v>64099</v>
      </c>
      <c r="K11346" s="7" t="s">
        <v>928</v>
      </c>
      <c r="L11346" s="7" t="n">
        <v>2</v>
      </c>
      <c r="M11346" s="7" t="n">
        <v>0</v>
      </c>
    </row>
    <row r="11347" spans="1:9">
      <c r="A11347" t="s">
        <v>4</v>
      </c>
      <c r="B11347" s="4" t="s">
        <v>5</v>
      </c>
    </row>
    <row r="11348" spans="1:9">
      <c r="A11348" t="n">
        <v>105125</v>
      </c>
      <c r="B11348" s="27" t="n">
        <v>28</v>
      </c>
    </row>
    <row r="11349" spans="1:9">
      <c r="A11349" t="s">
        <v>4</v>
      </c>
      <c r="B11349" s="4" t="s">
        <v>5</v>
      </c>
      <c r="C11349" s="4" t="s">
        <v>7</v>
      </c>
      <c r="D11349" s="4" t="s">
        <v>11</v>
      </c>
      <c r="E11349" s="4" t="s">
        <v>8</v>
      </c>
      <c r="F11349" s="4" t="s">
        <v>8</v>
      </c>
      <c r="G11349" s="4" t="s">
        <v>8</v>
      </c>
      <c r="H11349" s="4" t="s">
        <v>8</v>
      </c>
    </row>
    <row r="11350" spans="1:9">
      <c r="A11350" t="n">
        <v>105126</v>
      </c>
      <c r="B11350" s="38" t="n">
        <v>51</v>
      </c>
      <c r="C11350" s="7" t="n">
        <v>3</v>
      </c>
      <c r="D11350" s="7" t="n">
        <v>2</v>
      </c>
      <c r="E11350" s="7" t="s">
        <v>295</v>
      </c>
      <c r="F11350" s="7" t="s">
        <v>79</v>
      </c>
      <c r="G11350" s="7" t="s">
        <v>78</v>
      </c>
      <c r="H11350" s="7" t="s">
        <v>79</v>
      </c>
    </row>
    <row r="11351" spans="1:9">
      <c r="A11351" t="s">
        <v>4</v>
      </c>
      <c r="B11351" s="4" t="s">
        <v>5</v>
      </c>
      <c r="C11351" s="4" t="s">
        <v>11</v>
      </c>
      <c r="D11351" s="4" t="s">
        <v>13</v>
      </c>
      <c r="E11351" s="4" t="s">
        <v>13</v>
      </c>
      <c r="F11351" s="4" t="s">
        <v>13</v>
      </c>
      <c r="G11351" s="4" t="s">
        <v>11</v>
      </c>
      <c r="H11351" s="4" t="s">
        <v>11</v>
      </c>
    </row>
    <row r="11352" spans="1:9">
      <c r="A11352" t="n">
        <v>105139</v>
      </c>
      <c r="B11352" s="37" t="n">
        <v>60</v>
      </c>
      <c r="C11352" s="7" t="n">
        <v>2</v>
      </c>
      <c r="D11352" s="7" t="n">
        <v>-45</v>
      </c>
      <c r="E11352" s="7" t="n">
        <v>0</v>
      </c>
      <c r="F11352" s="7" t="n">
        <v>0</v>
      </c>
      <c r="G11352" s="7" t="n">
        <v>1000</v>
      </c>
      <c r="H11352" s="7" t="n">
        <v>0</v>
      </c>
    </row>
    <row r="11353" spans="1:9">
      <c r="A11353" t="s">
        <v>4</v>
      </c>
      <c r="B11353" s="4" t="s">
        <v>5</v>
      </c>
      <c r="C11353" s="4" t="s">
        <v>11</v>
      </c>
    </row>
    <row r="11354" spans="1:9">
      <c r="A11354" t="n">
        <v>105158</v>
      </c>
      <c r="B11354" s="29" t="n">
        <v>16</v>
      </c>
      <c r="C11354" s="7" t="n">
        <v>1000</v>
      </c>
    </row>
    <row r="11355" spans="1:9">
      <c r="A11355" t="s">
        <v>4</v>
      </c>
      <c r="B11355" s="4" t="s">
        <v>5</v>
      </c>
      <c r="C11355" s="4" t="s">
        <v>7</v>
      </c>
      <c r="D11355" s="4" t="s">
        <v>11</v>
      </c>
      <c r="E11355" s="4" t="s">
        <v>8</v>
      </c>
      <c r="F11355" s="4" t="s">
        <v>8</v>
      </c>
      <c r="G11355" s="4" t="s">
        <v>8</v>
      </c>
      <c r="H11355" s="4" t="s">
        <v>8</v>
      </c>
    </row>
    <row r="11356" spans="1:9">
      <c r="A11356" t="n">
        <v>105161</v>
      </c>
      <c r="B11356" s="38" t="n">
        <v>51</v>
      </c>
      <c r="C11356" s="7" t="n">
        <v>3</v>
      </c>
      <c r="D11356" s="7" t="n">
        <v>2</v>
      </c>
      <c r="E11356" s="7" t="s">
        <v>296</v>
      </c>
      <c r="F11356" s="7" t="s">
        <v>79</v>
      </c>
      <c r="G11356" s="7" t="s">
        <v>78</v>
      </c>
      <c r="H11356" s="7" t="s">
        <v>79</v>
      </c>
    </row>
    <row r="11357" spans="1:9">
      <c r="A11357" t="s">
        <v>4</v>
      </c>
      <c r="B11357" s="4" t="s">
        <v>5</v>
      </c>
      <c r="C11357" s="4" t="s">
        <v>11</v>
      </c>
      <c r="D11357" s="4" t="s">
        <v>13</v>
      </c>
      <c r="E11357" s="4" t="s">
        <v>13</v>
      </c>
      <c r="F11357" s="4" t="s">
        <v>13</v>
      </c>
      <c r="G11357" s="4" t="s">
        <v>11</v>
      </c>
      <c r="H11357" s="4" t="s">
        <v>11</v>
      </c>
    </row>
    <row r="11358" spans="1:9">
      <c r="A11358" t="n">
        <v>105175</v>
      </c>
      <c r="B11358" s="37" t="n">
        <v>60</v>
      </c>
      <c r="C11358" s="7" t="n">
        <v>2</v>
      </c>
      <c r="D11358" s="7" t="n">
        <v>45</v>
      </c>
      <c r="E11358" s="7" t="n">
        <v>0</v>
      </c>
      <c r="F11358" s="7" t="n">
        <v>0</v>
      </c>
      <c r="G11358" s="7" t="n">
        <v>1000</v>
      </c>
      <c r="H11358" s="7" t="n">
        <v>0</v>
      </c>
    </row>
    <row r="11359" spans="1:9">
      <c r="A11359" t="s">
        <v>4</v>
      </c>
      <c r="B11359" s="4" t="s">
        <v>5</v>
      </c>
      <c r="C11359" s="4" t="s">
        <v>11</v>
      </c>
    </row>
    <row r="11360" spans="1:9">
      <c r="A11360" t="n">
        <v>105194</v>
      </c>
      <c r="B11360" s="29" t="n">
        <v>16</v>
      </c>
      <c r="C11360" s="7" t="n">
        <v>1200</v>
      </c>
    </row>
    <row r="11361" spans="1:13">
      <c r="A11361" t="s">
        <v>4</v>
      </c>
      <c r="B11361" s="4" t="s">
        <v>5</v>
      </c>
      <c r="C11361" s="4" t="s">
        <v>7</v>
      </c>
      <c r="D11361" s="4" t="s">
        <v>11</v>
      </c>
      <c r="E11361" s="4" t="s">
        <v>8</v>
      </c>
      <c r="F11361" s="4" t="s">
        <v>8</v>
      </c>
      <c r="G11361" s="4" t="s">
        <v>8</v>
      </c>
      <c r="H11361" s="4" t="s">
        <v>8</v>
      </c>
    </row>
    <row r="11362" spans="1:13">
      <c r="A11362" t="n">
        <v>105197</v>
      </c>
      <c r="B11362" s="38" t="n">
        <v>51</v>
      </c>
      <c r="C11362" s="7" t="n">
        <v>3</v>
      </c>
      <c r="D11362" s="7" t="n">
        <v>2</v>
      </c>
      <c r="E11362" s="7" t="s">
        <v>86</v>
      </c>
      <c r="F11362" s="7" t="s">
        <v>16</v>
      </c>
      <c r="G11362" s="7" t="s">
        <v>78</v>
      </c>
      <c r="H11362" s="7" t="s">
        <v>79</v>
      </c>
    </row>
    <row r="11363" spans="1:13">
      <c r="A11363" t="s">
        <v>4</v>
      </c>
      <c r="B11363" s="4" t="s">
        <v>5</v>
      </c>
      <c r="C11363" s="4" t="s">
        <v>11</v>
      </c>
      <c r="D11363" s="4" t="s">
        <v>13</v>
      </c>
      <c r="E11363" s="4" t="s">
        <v>13</v>
      </c>
      <c r="F11363" s="4" t="s">
        <v>13</v>
      </c>
      <c r="G11363" s="4" t="s">
        <v>11</v>
      </c>
      <c r="H11363" s="4" t="s">
        <v>11</v>
      </c>
    </row>
    <row r="11364" spans="1:13">
      <c r="A11364" t="n">
        <v>105209</v>
      </c>
      <c r="B11364" s="37" t="n">
        <v>60</v>
      </c>
      <c r="C11364" s="7" t="n">
        <v>2</v>
      </c>
      <c r="D11364" s="7" t="n">
        <v>0</v>
      </c>
      <c r="E11364" s="7" t="n">
        <v>0</v>
      </c>
      <c r="F11364" s="7" t="n">
        <v>0</v>
      </c>
      <c r="G11364" s="7" t="n">
        <v>1000</v>
      </c>
      <c r="H11364" s="7" t="n">
        <v>0</v>
      </c>
    </row>
    <row r="11365" spans="1:13">
      <c r="A11365" t="s">
        <v>4</v>
      </c>
      <c r="B11365" s="4" t="s">
        <v>5</v>
      </c>
      <c r="C11365" s="4" t="s">
        <v>11</v>
      </c>
    </row>
    <row r="11366" spans="1:13">
      <c r="A11366" t="n">
        <v>105228</v>
      </c>
      <c r="B11366" s="29" t="n">
        <v>16</v>
      </c>
      <c r="C11366" s="7" t="n">
        <v>1000</v>
      </c>
    </row>
    <row r="11367" spans="1:13">
      <c r="A11367" t="s">
        <v>4</v>
      </c>
      <c r="B11367" s="4" t="s">
        <v>5</v>
      </c>
      <c r="C11367" s="4" t="s">
        <v>7</v>
      </c>
      <c r="D11367" s="4" t="s">
        <v>11</v>
      </c>
      <c r="E11367" s="4" t="s">
        <v>8</v>
      </c>
    </row>
    <row r="11368" spans="1:13">
      <c r="A11368" t="n">
        <v>105231</v>
      </c>
      <c r="B11368" s="38" t="n">
        <v>51</v>
      </c>
      <c r="C11368" s="7" t="n">
        <v>4</v>
      </c>
      <c r="D11368" s="7" t="n">
        <v>2</v>
      </c>
      <c r="E11368" s="7" t="s">
        <v>242</v>
      </c>
    </row>
    <row r="11369" spans="1:13">
      <c r="A11369" t="s">
        <v>4</v>
      </c>
      <c r="B11369" s="4" t="s">
        <v>5</v>
      </c>
      <c r="C11369" s="4" t="s">
        <v>11</v>
      </c>
    </row>
    <row r="11370" spans="1:13">
      <c r="A11370" t="n">
        <v>105245</v>
      </c>
      <c r="B11370" s="29" t="n">
        <v>16</v>
      </c>
      <c r="C11370" s="7" t="n">
        <v>0</v>
      </c>
    </row>
    <row r="11371" spans="1:13">
      <c r="A11371" t="s">
        <v>4</v>
      </c>
      <c r="B11371" s="4" t="s">
        <v>5</v>
      </c>
      <c r="C11371" s="4" t="s">
        <v>11</v>
      </c>
      <c r="D11371" s="4" t="s">
        <v>7</v>
      </c>
      <c r="E11371" s="4" t="s">
        <v>15</v>
      </c>
      <c r="F11371" s="4" t="s">
        <v>55</v>
      </c>
      <c r="G11371" s="4" t="s">
        <v>7</v>
      </c>
      <c r="H11371" s="4" t="s">
        <v>7</v>
      </c>
      <c r="I11371" s="4" t="s">
        <v>7</v>
      </c>
      <c r="J11371" s="4" t="s">
        <v>15</v>
      </c>
      <c r="K11371" s="4" t="s">
        <v>55</v>
      </c>
      <c r="L11371" s="4" t="s">
        <v>7</v>
      </c>
      <c r="M11371" s="4" t="s">
        <v>7</v>
      </c>
    </row>
    <row r="11372" spans="1:13">
      <c r="A11372" t="n">
        <v>105248</v>
      </c>
      <c r="B11372" s="55" t="n">
        <v>26</v>
      </c>
      <c r="C11372" s="7" t="n">
        <v>2</v>
      </c>
      <c r="D11372" s="7" t="n">
        <v>17</v>
      </c>
      <c r="E11372" s="7" t="n">
        <v>64100</v>
      </c>
      <c r="F11372" s="7" t="s">
        <v>929</v>
      </c>
      <c r="G11372" s="7" t="n">
        <v>2</v>
      </c>
      <c r="H11372" s="7" t="n">
        <v>3</v>
      </c>
      <c r="I11372" s="7" t="n">
        <v>17</v>
      </c>
      <c r="J11372" s="7" t="n">
        <v>64101</v>
      </c>
      <c r="K11372" s="7" t="s">
        <v>930</v>
      </c>
      <c r="L11372" s="7" t="n">
        <v>2</v>
      </c>
      <c r="M11372" s="7" t="n">
        <v>0</v>
      </c>
    </row>
    <row r="11373" spans="1:13">
      <c r="A11373" t="s">
        <v>4</v>
      </c>
      <c r="B11373" s="4" t="s">
        <v>5</v>
      </c>
    </row>
    <row r="11374" spans="1:13">
      <c r="A11374" t="n">
        <v>105342</v>
      </c>
      <c r="B11374" s="27" t="n">
        <v>28</v>
      </c>
    </row>
    <row r="11375" spans="1:13">
      <c r="A11375" t="s">
        <v>4</v>
      </c>
      <c r="B11375" s="4" t="s">
        <v>5</v>
      </c>
      <c r="C11375" s="4" t="s">
        <v>7</v>
      </c>
      <c r="D11375" s="4" t="s">
        <v>11</v>
      </c>
      <c r="E11375" s="4" t="s">
        <v>8</v>
      </c>
    </row>
    <row r="11376" spans="1:13">
      <c r="A11376" t="n">
        <v>105343</v>
      </c>
      <c r="B11376" s="38" t="n">
        <v>51</v>
      </c>
      <c r="C11376" s="7" t="n">
        <v>4</v>
      </c>
      <c r="D11376" s="7" t="n">
        <v>0</v>
      </c>
      <c r="E11376" s="7" t="s">
        <v>179</v>
      </c>
    </row>
    <row r="11377" spans="1:13">
      <c r="A11377" t="s">
        <v>4</v>
      </c>
      <c r="B11377" s="4" t="s">
        <v>5</v>
      </c>
      <c r="C11377" s="4" t="s">
        <v>11</v>
      </c>
    </row>
    <row r="11378" spans="1:13">
      <c r="A11378" t="n">
        <v>105357</v>
      </c>
      <c r="B11378" s="29" t="n">
        <v>16</v>
      </c>
      <c r="C11378" s="7" t="n">
        <v>0</v>
      </c>
    </row>
    <row r="11379" spans="1:13">
      <c r="A11379" t="s">
        <v>4</v>
      </c>
      <c r="B11379" s="4" t="s">
        <v>5</v>
      </c>
      <c r="C11379" s="4" t="s">
        <v>11</v>
      </c>
      <c r="D11379" s="4" t="s">
        <v>7</v>
      </c>
      <c r="E11379" s="4" t="s">
        <v>15</v>
      </c>
      <c r="F11379" s="4" t="s">
        <v>55</v>
      </c>
      <c r="G11379" s="4" t="s">
        <v>7</v>
      </c>
      <c r="H11379" s="4" t="s">
        <v>7</v>
      </c>
      <c r="I11379" s="4" t="s">
        <v>7</v>
      </c>
      <c r="J11379" s="4" t="s">
        <v>15</v>
      </c>
      <c r="K11379" s="4" t="s">
        <v>55</v>
      </c>
      <c r="L11379" s="4" t="s">
        <v>7</v>
      </c>
      <c r="M11379" s="4" t="s">
        <v>7</v>
      </c>
      <c r="N11379" s="4" t="s">
        <v>7</v>
      </c>
      <c r="O11379" s="4" t="s">
        <v>15</v>
      </c>
      <c r="P11379" s="4" t="s">
        <v>55</v>
      </c>
      <c r="Q11379" s="4" t="s">
        <v>7</v>
      </c>
      <c r="R11379" s="4" t="s">
        <v>7</v>
      </c>
    </row>
    <row r="11380" spans="1:13">
      <c r="A11380" t="n">
        <v>105360</v>
      </c>
      <c r="B11380" s="55" t="n">
        <v>26</v>
      </c>
      <c r="C11380" s="7" t="n">
        <v>0</v>
      </c>
      <c r="D11380" s="7" t="n">
        <v>17</v>
      </c>
      <c r="E11380" s="7" t="n">
        <v>64102</v>
      </c>
      <c r="F11380" s="7" t="s">
        <v>931</v>
      </c>
      <c r="G11380" s="7" t="n">
        <v>2</v>
      </c>
      <c r="H11380" s="7" t="n">
        <v>3</v>
      </c>
      <c r="I11380" s="7" t="n">
        <v>17</v>
      </c>
      <c r="J11380" s="7" t="n">
        <v>64103</v>
      </c>
      <c r="K11380" s="7" t="s">
        <v>932</v>
      </c>
      <c r="L11380" s="7" t="n">
        <v>2</v>
      </c>
      <c r="M11380" s="7" t="n">
        <v>3</v>
      </c>
      <c r="N11380" s="7" t="n">
        <v>17</v>
      </c>
      <c r="O11380" s="7" t="n">
        <v>64104</v>
      </c>
      <c r="P11380" s="7" t="s">
        <v>933</v>
      </c>
      <c r="Q11380" s="7" t="n">
        <v>2</v>
      </c>
      <c r="R11380" s="7" t="n">
        <v>0</v>
      </c>
    </row>
    <row r="11381" spans="1:13">
      <c r="A11381" t="s">
        <v>4</v>
      </c>
      <c r="B11381" s="4" t="s">
        <v>5</v>
      </c>
    </row>
    <row r="11382" spans="1:13">
      <c r="A11382" t="n">
        <v>105586</v>
      </c>
      <c r="B11382" s="27" t="n">
        <v>28</v>
      </c>
    </row>
    <row r="11383" spans="1:13">
      <c r="A11383" t="s">
        <v>4</v>
      </c>
      <c r="B11383" s="4" t="s">
        <v>5</v>
      </c>
      <c r="C11383" s="4" t="s">
        <v>7</v>
      </c>
      <c r="D11383" s="4" t="s">
        <v>11</v>
      </c>
      <c r="E11383" s="4" t="s">
        <v>8</v>
      </c>
    </row>
    <row r="11384" spans="1:13">
      <c r="A11384" t="n">
        <v>105587</v>
      </c>
      <c r="B11384" s="38" t="n">
        <v>51</v>
      </c>
      <c r="C11384" s="7" t="n">
        <v>4</v>
      </c>
      <c r="D11384" s="7" t="n">
        <v>2</v>
      </c>
      <c r="E11384" s="7" t="s">
        <v>491</v>
      </c>
    </row>
    <row r="11385" spans="1:13">
      <c r="A11385" t="s">
        <v>4</v>
      </c>
      <c r="B11385" s="4" t="s">
        <v>5</v>
      </c>
      <c r="C11385" s="4" t="s">
        <v>11</v>
      </c>
    </row>
    <row r="11386" spans="1:13">
      <c r="A11386" t="n">
        <v>105601</v>
      </c>
      <c r="B11386" s="29" t="n">
        <v>16</v>
      </c>
      <c r="C11386" s="7" t="n">
        <v>0</v>
      </c>
    </row>
    <row r="11387" spans="1:13">
      <c r="A11387" t="s">
        <v>4</v>
      </c>
      <c r="B11387" s="4" t="s">
        <v>5</v>
      </c>
      <c r="C11387" s="4" t="s">
        <v>11</v>
      </c>
      <c r="D11387" s="4" t="s">
        <v>7</v>
      </c>
      <c r="E11387" s="4" t="s">
        <v>15</v>
      </c>
      <c r="F11387" s="4" t="s">
        <v>55</v>
      </c>
      <c r="G11387" s="4" t="s">
        <v>7</v>
      </c>
      <c r="H11387" s="4" t="s">
        <v>7</v>
      </c>
    </row>
    <row r="11388" spans="1:13">
      <c r="A11388" t="n">
        <v>105604</v>
      </c>
      <c r="B11388" s="55" t="n">
        <v>26</v>
      </c>
      <c r="C11388" s="7" t="n">
        <v>2</v>
      </c>
      <c r="D11388" s="7" t="n">
        <v>17</v>
      </c>
      <c r="E11388" s="7" t="n">
        <v>64105</v>
      </c>
      <c r="F11388" s="7" t="s">
        <v>566</v>
      </c>
      <c r="G11388" s="7" t="n">
        <v>2</v>
      </c>
      <c r="H11388" s="7" t="n">
        <v>0</v>
      </c>
    </row>
    <row r="11389" spans="1:13">
      <c r="A11389" t="s">
        <v>4</v>
      </c>
      <c r="B11389" s="4" t="s">
        <v>5</v>
      </c>
    </row>
    <row r="11390" spans="1:13">
      <c r="A11390" t="n">
        <v>105632</v>
      </c>
      <c r="B11390" s="27" t="n">
        <v>28</v>
      </c>
    </row>
    <row r="11391" spans="1:13">
      <c r="A11391" t="s">
        <v>4</v>
      </c>
      <c r="B11391" s="4" t="s">
        <v>5</v>
      </c>
      <c r="C11391" s="4" t="s">
        <v>11</v>
      </c>
      <c r="D11391" s="4" t="s">
        <v>7</v>
      </c>
    </row>
    <row r="11392" spans="1:13">
      <c r="A11392" t="n">
        <v>105633</v>
      </c>
      <c r="B11392" s="68" t="n">
        <v>89</v>
      </c>
      <c r="C11392" s="7" t="n">
        <v>65533</v>
      </c>
      <c r="D11392" s="7" t="n">
        <v>1</v>
      </c>
    </row>
    <row r="11393" spans="1:18">
      <c r="A11393" t="s">
        <v>4</v>
      </c>
      <c r="B11393" s="4" t="s">
        <v>5</v>
      </c>
      <c r="C11393" s="4" t="s">
        <v>7</v>
      </c>
      <c r="D11393" s="4" t="s">
        <v>11</v>
      </c>
      <c r="E11393" s="4" t="s">
        <v>13</v>
      </c>
    </row>
    <row r="11394" spans="1:18">
      <c r="A11394" t="n">
        <v>105637</v>
      </c>
      <c r="B11394" s="23" t="n">
        <v>58</v>
      </c>
      <c r="C11394" s="7" t="n">
        <v>101</v>
      </c>
      <c r="D11394" s="7" t="n">
        <v>500</v>
      </c>
      <c r="E11394" s="7" t="n">
        <v>1</v>
      </c>
    </row>
    <row r="11395" spans="1:18">
      <c r="A11395" t="s">
        <v>4</v>
      </c>
      <c r="B11395" s="4" t="s">
        <v>5</v>
      </c>
      <c r="C11395" s="4" t="s">
        <v>7</v>
      </c>
      <c r="D11395" s="4" t="s">
        <v>11</v>
      </c>
    </row>
    <row r="11396" spans="1:18">
      <c r="A11396" t="n">
        <v>105645</v>
      </c>
      <c r="B11396" s="23" t="n">
        <v>58</v>
      </c>
      <c r="C11396" s="7" t="n">
        <v>254</v>
      </c>
      <c r="D11396" s="7" t="n">
        <v>0</v>
      </c>
    </row>
    <row r="11397" spans="1:18">
      <c r="A11397" t="s">
        <v>4</v>
      </c>
      <c r="B11397" s="4" t="s">
        <v>5</v>
      </c>
      <c r="C11397" s="4" t="s">
        <v>7</v>
      </c>
      <c r="D11397" s="4" t="s">
        <v>11</v>
      </c>
      <c r="E11397" s="4" t="s">
        <v>8</v>
      </c>
      <c r="F11397" s="4" t="s">
        <v>8</v>
      </c>
      <c r="G11397" s="4" t="s">
        <v>8</v>
      </c>
      <c r="H11397" s="4" t="s">
        <v>8</v>
      </c>
    </row>
    <row r="11398" spans="1:18">
      <c r="A11398" t="n">
        <v>105649</v>
      </c>
      <c r="B11398" s="38" t="n">
        <v>51</v>
      </c>
      <c r="C11398" s="7" t="n">
        <v>3</v>
      </c>
      <c r="D11398" s="7" t="n">
        <v>0</v>
      </c>
      <c r="E11398" s="7" t="s">
        <v>65</v>
      </c>
      <c r="F11398" s="7" t="s">
        <v>99</v>
      </c>
      <c r="G11398" s="7" t="s">
        <v>78</v>
      </c>
      <c r="H11398" s="7" t="s">
        <v>79</v>
      </c>
    </row>
    <row r="11399" spans="1:18">
      <c r="A11399" t="s">
        <v>4</v>
      </c>
      <c r="B11399" s="4" t="s">
        <v>5</v>
      </c>
      <c r="C11399" s="4" t="s">
        <v>7</v>
      </c>
      <c r="D11399" s="4" t="s">
        <v>11</v>
      </c>
      <c r="E11399" s="4" t="s">
        <v>8</v>
      </c>
      <c r="F11399" s="4" t="s">
        <v>8</v>
      </c>
      <c r="G11399" s="4" t="s">
        <v>8</v>
      </c>
      <c r="H11399" s="4" t="s">
        <v>8</v>
      </c>
    </row>
    <row r="11400" spans="1:18">
      <c r="A11400" t="n">
        <v>105670</v>
      </c>
      <c r="B11400" s="38" t="n">
        <v>51</v>
      </c>
      <c r="C11400" s="7" t="n">
        <v>3</v>
      </c>
      <c r="D11400" s="7" t="n">
        <v>2</v>
      </c>
      <c r="E11400" s="7" t="s">
        <v>101</v>
      </c>
      <c r="F11400" s="7" t="s">
        <v>232</v>
      </c>
      <c r="G11400" s="7" t="s">
        <v>78</v>
      </c>
      <c r="H11400" s="7" t="s">
        <v>79</v>
      </c>
    </row>
    <row r="11401" spans="1:18">
      <c r="A11401" t="s">
        <v>4</v>
      </c>
      <c r="B11401" s="4" t="s">
        <v>5</v>
      </c>
      <c r="C11401" s="4" t="s">
        <v>11</v>
      </c>
      <c r="D11401" s="4" t="s">
        <v>11</v>
      </c>
      <c r="E11401" s="4" t="s">
        <v>11</v>
      </c>
    </row>
    <row r="11402" spans="1:18">
      <c r="A11402" t="n">
        <v>105691</v>
      </c>
      <c r="B11402" s="72" t="n">
        <v>61</v>
      </c>
      <c r="C11402" s="7" t="n">
        <v>0</v>
      </c>
      <c r="D11402" s="7" t="n">
        <v>65533</v>
      </c>
      <c r="E11402" s="7" t="n">
        <v>0</v>
      </c>
    </row>
    <row r="11403" spans="1:18">
      <c r="A11403" t="s">
        <v>4</v>
      </c>
      <c r="B11403" s="4" t="s">
        <v>5</v>
      </c>
      <c r="C11403" s="4" t="s">
        <v>11</v>
      </c>
      <c r="D11403" s="4" t="s">
        <v>11</v>
      </c>
      <c r="E11403" s="4" t="s">
        <v>11</v>
      </c>
    </row>
    <row r="11404" spans="1:18">
      <c r="A11404" t="n">
        <v>105698</v>
      </c>
      <c r="B11404" s="72" t="n">
        <v>61</v>
      </c>
      <c r="C11404" s="7" t="n">
        <v>2</v>
      </c>
      <c r="D11404" s="7" t="n">
        <v>65533</v>
      </c>
      <c r="E11404" s="7" t="n">
        <v>0</v>
      </c>
    </row>
    <row r="11405" spans="1:18">
      <c r="A11405" t="s">
        <v>4</v>
      </c>
      <c r="B11405" s="4" t="s">
        <v>5</v>
      </c>
      <c r="C11405" s="4" t="s">
        <v>7</v>
      </c>
    </row>
    <row r="11406" spans="1:18">
      <c r="A11406" t="n">
        <v>105705</v>
      </c>
      <c r="B11406" s="49" t="n">
        <v>116</v>
      </c>
      <c r="C11406" s="7" t="n">
        <v>0</v>
      </c>
    </row>
    <row r="11407" spans="1:18">
      <c r="A11407" t="s">
        <v>4</v>
      </c>
      <c r="B11407" s="4" t="s">
        <v>5</v>
      </c>
      <c r="C11407" s="4" t="s">
        <v>7</v>
      </c>
      <c r="D11407" s="4" t="s">
        <v>11</v>
      </c>
    </row>
    <row r="11408" spans="1:18">
      <c r="A11408" t="n">
        <v>105707</v>
      </c>
      <c r="B11408" s="49" t="n">
        <v>116</v>
      </c>
      <c r="C11408" s="7" t="n">
        <v>2</v>
      </c>
      <c r="D11408" s="7" t="n">
        <v>1</v>
      </c>
    </row>
    <row r="11409" spans="1:8">
      <c r="A11409" t="s">
        <v>4</v>
      </c>
      <c r="B11409" s="4" t="s">
        <v>5</v>
      </c>
      <c r="C11409" s="4" t="s">
        <v>7</v>
      </c>
      <c r="D11409" s="4" t="s">
        <v>15</v>
      </c>
    </row>
    <row r="11410" spans="1:8">
      <c r="A11410" t="n">
        <v>105711</v>
      </c>
      <c r="B11410" s="49" t="n">
        <v>116</v>
      </c>
      <c r="C11410" s="7" t="n">
        <v>5</v>
      </c>
      <c r="D11410" s="7" t="n">
        <v>1106247680</v>
      </c>
    </row>
    <row r="11411" spans="1:8">
      <c r="A11411" t="s">
        <v>4</v>
      </c>
      <c r="B11411" s="4" t="s">
        <v>5</v>
      </c>
      <c r="C11411" s="4" t="s">
        <v>7</v>
      </c>
      <c r="D11411" s="4" t="s">
        <v>11</v>
      </c>
    </row>
    <row r="11412" spans="1:8">
      <c r="A11412" t="n">
        <v>105717</v>
      </c>
      <c r="B11412" s="49" t="n">
        <v>116</v>
      </c>
      <c r="C11412" s="7" t="n">
        <v>6</v>
      </c>
      <c r="D11412" s="7" t="n">
        <v>1</v>
      </c>
    </row>
    <row r="11413" spans="1:8">
      <c r="A11413" t="s">
        <v>4</v>
      </c>
      <c r="B11413" s="4" t="s">
        <v>5</v>
      </c>
      <c r="C11413" s="4" t="s">
        <v>7</v>
      </c>
      <c r="D11413" s="4" t="s">
        <v>7</v>
      </c>
      <c r="E11413" s="4" t="s">
        <v>13</v>
      </c>
      <c r="F11413" s="4" t="s">
        <v>13</v>
      </c>
      <c r="G11413" s="4" t="s">
        <v>13</v>
      </c>
      <c r="H11413" s="4" t="s">
        <v>11</v>
      </c>
    </row>
    <row r="11414" spans="1:8">
      <c r="A11414" t="n">
        <v>105721</v>
      </c>
      <c r="B11414" s="51" t="n">
        <v>45</v>
      </c>
      <c r="C11414" s="7" t="n">
        <v>2</v>
      </c>
      <c r="D11414" s="7" t="n">
        <v>3</v>
      </c>
      <c r="E11414" s="7" t="n">
        <v>4.53000020980835</v>
      </c>
      <c r="F11414" s="7" t="n">
        <v>1.30999994277954</v>
      </c>
      <c r="G11414" s="7" t="n">
        <v>46.2700004577637</v>
      </c>
      <c r="H11414" s="7" t="n">
        <v>0</v>
      </c>
    </row>
    <row r="11415" spans="1:8">
      <c r="A11415" t="s">
        <v>4</v>
      </c>
      <c r="B11415" s="4" t="s">
        <v>5</v>
      </c>
      <c r="C11415" s="4" t="s">
        <v>7</v>
      </c>
      <c r="D11415" s="4" t="s">
        <v>7</v>
      </c>
      <c r="E11415" s="4" t="s">
        <v>13</v>
      </c>
      <c r="F11415" s="4" t="s">
        <v>13</v>
      </c>
      <c r="G11415" s="4" t="s">
        <v>13</v>
      </c>
      <c r="H11415" s="4" t="s">
        <v>11</v>
      </c>
      <c r="I11415" s="4" t="s">
        <v>7</v>
      </c>
    </row>
    <row r="11416" spans="1:8">
      <c r="A11416" t="n">
        <v>105738</v>
      </c>
      <c r="B11416" s="51" t="n">
        <v>45</v>
      </c>
      <c r="C11416" s="7" t="n">
        <v>4</v>
      </c>
      <c r="D11416" s="7" t="n">
        <v>3</v>
      </c>
      <c r="E11416" s="7" t="n">
        <v>12.8699998855591</v>
      </c>
      <c r="F11416" s="7" t="n">
        <v>80.0199966430664</v>
      </c>
      <c r="G11416" s="7" t="n">
        <v>0</v>
      </c>
      <c r="H11416" s="7" t="n">
        <v>0</v>
      </c>
      <c r="I11416" s="7" t="n">
        <v>0</v>
      </c>
    </row>
    <row r="11417" spans="1:8">
      <c r="A11417" t="s">
        <v>4</v>
      </c>
      <c r="B11417" s="4" t="s">
        <v>5</v>
      </c>
      <c r="C11417" s="4" t="s">
        <v>7</v>
      </c>
      <c r="D11417" s="4" t="s">
        <v>7</v>
      </c>
      <c r="E11417" s="4" t="s">
        <v>13</v>
      </c>
      <c r="F11417" s="4" t="s">
        <v>11</v>
      </c>
    </row>
    <row r="11418" spans="1:8">
      <c r="A11418" t="n">
        <v>105756</v>
      </c>
      <c r="B11418" s="51" t="n">
        <v>45</v>
      </c>
      <c r="C11418" s="7" t="n">
        <v>5</v>
      </c>
      <c r="D11418" s="7" t="n">
        <v>3</v>
      </c>
      <c r="E11418" s="7" t="n">
        <v>3</v>
      </c>
      <c r="F11418" s="7" t="n">
        <v>0</v>
      </c>
    </row>
    <row r="11419" spans="1:8">
      <c r="A11419" t="s">
        <v>4</v>
      </c>
      <c r="B11419" s="4" t="s">
        <v>5</v>
      </c>
      <c r="C11419" s="4" t="s">
        <v>7</v>
      </c>
      <c r="D11419" s="4" t="s">
        <v>7</v>
      </c>
      <c r="E11419" s="4" t="s">
        <v>13</v>
      </c>
      <c r="F11419" s="4" t="s">
        <v>11</v>
      </c>
    </row>
    <row r="11420" spans="1:8">
      <c r="A11420" t="n">
        <v>105765</v>
      </c>
      <c r="B11420" s="51" t="n">
        <v>45</v>
      </c>
      <c r="C11420" s="7" t="n">
        <v>11</v>
      </c>
      <c r="D11420" s="7" t="n">
        <v>3</v>
      </c>
      <c r="E11420" s="7" t="n">
        <v>34</v>
      </c>
      <c r="F11420" s="7" t="n">
        <v>0</v>
      </c>
    </row>
    <row r="11421" spans="1:8">
      <c r="A11421" t="s">
        <v>4</v>
      </c>
      <c r="B11421" s="4" t="s">
        <v>5</v>
      </c>
      <c r="C11421" s="4" t="s">
        <v>7</v>
      </c>
      <c r="D11421" s="4" t="s">
        <v>7</v>
      </c>
      <c r="E11421" s="4" t="s">
        <v>13</v>
      </c>
      <c r="F11421" s="4" t="s">
        <v>13</v>
      </c>
      <c r="G11421" s="4" t="s">
        <v>13</v>
      </c>
      <c r="H11421" s="4" t="s">
        <v>11</v>
      </c>
    </row>
    <row r="11422" spans="1:8">
      <c r="A11422" t="n">
        <v>105774</v>
      </c>
      <c r="B11422" s="51" t="n">
        <v>45</v>
      </c>
      <c r="C11422" s="7" t="n">
        <v>2</v>
      </c>
      <c r="D11422" s="7" t="n">
        <v>3</v>
      </c>
      <c r="E11422" s="7" t="n">
        <v>4.53000020980835</v>
      </c>
      <c r="F11422" s="7" t="n">
        <v>2.30999994277954</v>
      </c>
      <c r="G11422" s="7" t="n">
        <v>46.2700004577637</v>
      </c>
      <c r="H11422" s="7" t="n">
        <v>5000</v>
      </c>
    </row>
    <row r="11423" spans="1:8">
      <c r="A11423" t="s">
        <v>4</v>
      </c>
      <c r="B11423" s="4" t="s">
        <v>5</v>
      </c>
      <c r="C11423" s="4" t="s">
        <v>7</v>
      </c>
      <c r="D11423" s="4" t="s">
        <v>11</v>
      </c>
    </row>
    <row r="11424" spans="1:8">
      <c r="A11424" t="n">
        <v>105791</v>
      </c>
      <c r="B11424" s="23" t="n">
        <v>58</v>
      </c>
      <c r="C11424" s="7" t="n">
        <v>255</v>
      </c>
      <c r="D11424" s="7" t="n">
        <v>0</v>
      </c>
    </row>
    <row r="11425" spans="1:9">
      <c r="A11425" t="s">
        <v>4</v>
      </c>
      <c r="B11425" s="4" t="s">
        <v>5</v>
      </c>
      <c r="C11425" s="4" t="s">
        <v>11</v>
      </c>
      <c r="D11425" s="4" t="s">
        <v>13</v>
      </c>
      <c r="E11425" s="4" t="s">
        <v>13</v>
      </c>
      <c r="F11425" s="4" t="s">
        <v>7</v>
      </c>
    </row>
    <row r="11426" spans="1:9">
      <c r="A11426" t="n">
        <v>105795</v>
      </c>
      <c r="B11426" s="65" t="n">
        <v>52</v>
      </c>
      <c r="C11426" s="7" t="n">
        <v>0</v>
      </c>
      <c r="D11426" s="7" t="n">
        <v>255</v>
      </c>
      <c r="E11426" s="7" t="n">
        <v>5</v>
      </c>
      <c r="F11426" s="7" t="n">
        <v>0</v>
      </c>
    </row>
    <row r="11427" spans="1:9">
      <c r="A11427" t="s">
        <v>4</v>
      </c>
      <c r="B11427" s="4" t="s">
        <v>5</v>
      </c>
      <c r="C11427" s="4" t="s">
        <v>11</v>
      </c>
    </row>
    <row r="11428" spans="1:9">
      <c r="A11428" t="n">
        <v>105807</v>
      </c>
      <c r="B11428" s="29" t="n">
        <v>16</v>
      </c>
      <c r="C11428" s="7" t="n">
        <v>100</v>
      </c>
    </row>
    <row r="11429" spans="1:9">
      <c r="A11429" t="s">
        <v>4</v>
      </c>
      <c r="B11429" s="4" t="s">
        <v>5</v>
      </c>
      <c r="C11429" s="4" t="s">
        <v>11</v>
      </c>
      <c r="D11429" s="4" t="s">
        <v>13</v>
      </c>
      <c r="E11429" s="4" t="s">
        <v>13</v>
      </c>
      <c r="F11429" s="4" t="s">
        <v>7</v>
      </c>
    </row>
    <row r="11430" spans="1:9">
      <c r="A11430" t="n">
        <v>105810</v>
      </c>
      <c r="B11430" s="65" t="n">
        <v>52</v>
      </c>
      <c r="C11430" s="7" t="n">
        <v>2</v>
      </c>
      <c r="D11430" s="7" t="n">
        <v>255</v>
      </c>
      <c r="E11430" s="7" t="n">
        <v>5</v>
      </c>
      <c r="F11430" s="7" t="n">
        <v>0</v>
      </c>
    </row>
    <row r="11431" spans="1:9">
      <c r="A11431" t="s">
        <v>4</v>
      </c>
      <c r="B11431" s="4" t="s">
        <v>5</v>
      </c>
      <c r="C11431" s="4" t="s">
        <v>11</v>
      </c>
    </row>
    <row r="11432" spans="1:9">
      <c r="A11432" t="n">
        <v>105822</v>
      </c>
      <c r="B11432" s="66" t="n">
        <v>54</v>
      </c>
      <c r="C11432" s="7" t="n">
        <v>0</v>
      </c>
    </row>
    <row r="11433" spans="1:9">
      <c r="A11433" t="s">
        <v>4</v>
      </c>
      <c r="B11433" s="4" t="s">
        <v>5</v>
      </c>
      <c r="C11433" s="4" t="s">
        <v>11</v>
      </c>
      <c r="D11433" s="4" t="s">
        <v>11</v>
      </c>
      <c r="E11433" s="4" t="s">
        <v>13</v>
      </c>
      <c r="F11433" s="4" t="s">
        <v>13</v>
      </c>
      <c r="G11433" s="4" t="s">
        <v>13</v>
      </c>
      <c r="H11433" s="4" t="s">
        <v>13</v>
      </c>
      <c r="I11433" s="4" t="s">
        <v>7</v>
      </c>
      <c r="J11433" s="4" t="s">
        <v>11</v>
      </c>
    </row>
    <row r="11434" spans="1:9">
      <c r="A11434" t="n">
        <v>105825</v>
      </c>
      <c r="B11434" s="53" t="n">
        <v>55</v>
      </c>
      <c r="C11434" s="7" t="n">
        <v>0</v>
      </c>
      <c r="D11434" s="7" t="n">
        <v>65024</v>
      </c>
      <c r="E11434" s="7" t="n">
        <v>0</v>
      </c>
      <c r="F11434" s="7" t="n">
        <v>0</v>
      </c>
      <c r="G11434" s="7" t="n">
        <v>6</v>
      </c>
      <c r="H11434" s="7" t="n">
        <v>1.20000004768372</v>
      </c>
      <c r="I11434" s="7" t="n">
        <v>1</v>
      </c>
      <c r="J11434" s="7" t="n">
        <v>0</v>
      </c>
    </row>
    <row r="11435" spans="1:9">
      <c r="A11435" t="s">
        <v>4</v>
      </c>
      <c r="B11435" s="4" t="s">
        <v>5</v>
      </c>
      <c r="C11435" s="4" t="s">
        <v>11</v>
      </c>
    </row>
    <row r="11436" spans="1:9">
      <c r="A11436" t="n">
        <v>105849</v>
      </c>
      <c r="B11436" s="66" t="n">
        <v>54</v>
      </c>
      <c r="C11436" s="7" t="n">
        <v>2</v>
      </c>
    </row>
    <row r="11437" spans="1:9">
      <c r="A11437" t="s">
        <v>4</v>
      </c>
      <c r="B11437" s="4" t="s">
        <v>5</v>
      </c>
      <c r="C11437" s="4" t="s">
        <v>11</v>
      </c>
    </row>
    <row r="11438" spans="1:9">
      <c r="A11438" t="n">
        <v>105852</v>
      </c>
      <c r="B11438" s="29" t="n">
        <v>16</v>
      </c>
      <c r="C11438" s="7" t="n">
        <v>200</v>
      </c>
    </row>
    <row r="11439" spans="1:9">
      <c r="A11439" t="s">
        <v>4</v>
      </c>
      <c r="B11439" s="4" t="s">
        <v>5</v>
      </c>
      <c r="C11439" s="4" t="s">
        <v>11</v>
      </c>
      <c r="D11439" s="4" t="s">
        <v>11</v>
      </c>
      <c r="E11439" s="4" t="s">
        <v>13</v>
      </c>
      <c r="F11439" s="4" t="s">
        <v>13</v>
      </c>
      <c r="G11439" s="4" t="s">
        <v>13</v>
      </c>
      <c r="H11439" s="4" t="s">
        <v>13</v>
      </c>
      <c r="I11439" s="4" t="s">
        <v>7</v>
      </c>
      <c r="J11439" s="4" t="s">
        <v>11</v>
      </c>
    </row>
    <row r="11440" spans="1:9">
      <c r="A11440" t="n">
        <v>105855</v>
      </c>
      <c r="B11440" s="53" t="n">
        <v>55</v>
      </c>
      <c r="C11440" s="7" t="n">
        <v>2</v>
      </c>
      <c r="D11440" s="7" t="n">
        <v>65024</v>
      </c>
      <c r="E11440" s="7" t="n">
        <v>0</v>
      </c>
      <c r="F11440" s="7" t="n">
        <v>0</v>
      </c>
      <c r="G11440" s="7" t="n">
        <v>6</v>
      </c>
      <c r="H11440" s="7" t="n">
        <v>1.20000004768372</v>
      </c>
      <c r="I11440" s="7" t="n">
        <v>1</v>
      </c>
      <c r="J11440" s="7" t="n">
        <v>0</v>
      </c>
    </row>
    <row r="11441" spans="1:10">
      <c r="A11441" t="s">
        <v>4</v>
      </c>
      <c r="B11441" s="4" t="s">
        <v>5</v>
      </c>
      <c r="C11441" s="4" t="s">
        <v>11</v>
      </c>
    </row>
    <row r="11442" spans="1:10">
      <c r="A11442" t="n">
        <v>105879</v>
      </c>
      <c r="B11442" s="29" t="n">
        <v>16</v>
      </c>
      <c r="C11442" s="7" t="n">
        <v>2000</v>
      </c>
    </row>
    <row r="11443" spans="1:10">
      <c r="A11443" t="s">
        <v>4</v>
      </c>
      <c r="B11443" s="4" t="s">
        <v>5</v>
      </c>
      <c r="C11443" s="4" t="s">
        <v>7</v>
      </c>
      <c r="D11443" s="4" t="s">
        <v>11</v>
      </c>
      <c r="E11443" s="4" t="s">
        <v>13</v>
      </c>
    </row>
    <row r="11444" spans="1:10">
      <c r="A11444" t="n">
        <v>105882</v>
      </c>
      <c r="B11444" s="23" t="n">
        <v>58</v>
      </c>
      <c r="C11444" s="7" t="n">
        <v>0</v>
      </c>
      <c r="D11444" s="7" t="n">
        <v>1000</v>
      </c>
      <c r="E11444" s="7" t="n">
        <v>1</v>
      </c>
    </row>
    <row r="11445" spans="1:10">
      <c r="A11445" t="s">
        <v>4</v>
      </c>
      <c r="B11445" s="4" t="s">
        <v>5</v>
      </c>
      <c r="C11445" s="4" t="s">
        <v>7</v>
      </c>
      <c r="D11445" s="4" t="s">
        <v>11</v>
      </c>
    </row>
    <row r="11446" spans="1:10">
      <c r="A11446" t="n">
        <v>105890</v>
      </c>
      <c r="B11446" s="23" t="n">
        <v>58</v>
      </c>
      <c r="C11446" s="7" t="n">
        <v>255</v>
      </c>
      <c r="D11446" s="7" t="n">
        <v>0</v>
      </c>
    </row>
    <row r="11447" spans="1:10">
      <c r="A11447" t="s">
        <v>4</v>
      </c>
      <c r="B11447" s="4" t="s">
        <v>5</v>
      </c>
      <c r="C11447" s="4" t="s">
        <v>11</v>
      </c>
      <c r="D11447" s="4" t="s">
        <v>7</v>
      </c>
    </row>
    <row r="11448" spans="1:10">
      <c r="A11448" t="n">
        <v>105894</v>
      </c>
      <c r="B11448" s="54" t="n">
        <v>56</v>
      </c>
      <c r="C11448" s="7" t="n">
        <v>0</v>
      </c>
      <c r="D11448" s="7" t="n">
        <v>1</v>
      </c>
    </row>
    <row r="11449" spans="1:10">
      <c r="A11449" t="s">
        <v>4</v>
      </c>
      <c r="B11449" s="4" t="s">
        <v>5</v>
      </c>
      <c r="C11449" s="4" t="s">
        <v>11</v>
      </c>
      <c r="D11449" s="4" t="s">
        <v>7</v>
      </c>
    </row>
    <row r="11450" spans="1:10">
      <c r="A11450" t="n">
        <v>105898</v>
      </c>
      <c r="B11450" s="54" t="n">
        <v>56</v>
      </c>
      <c r="C11450" s="7" t="n">
        <v>2</v>
      </c>
      <c r="D11450" s="7" t="n">
        <v>1</v>
      </c>
    </row>
    <row r="11451" spans="1:10">
      <c r="A11451" t="s">
        <v>4</v>
      </c>
      <c r="B11451" s="4" t="s">
        <v>5</v>
      </c>
      <c r="C11451" s="4" t="s">
        <v>11</v>
      </c>
      <c r="D11451" s="4" t="s">
        <v>13</v>
      </c>
      <c r="E11451" s="4" t="s">
        <v>13</v>
      </c>
      <c r="F11451" s="4" t="s">
        <v>13</v>
      </c>
      <c r="G11451" s="4" t="s">
        <v>13</v>
      </c>
    </row>
    <row r="11452" spans="1:10">
      <c r="A11452" t="n">
        <v>105902</v>
      </c>
      <c r="B11452" s="36" t="n">
        <v>46</v>
      </c>
      <c r="C11452" s="7" t="n">
        <v>0</v>
      </c>
      <c r="D11452" s="7" t="n">
        <v>-2.79999995231628</v>
      </c>
      <c r="E11452" s="7" t="n">
        <v>5.01000022888184</v>
      </c>
      <c r="F11452" s="7" t="n">
        <v>47.7099990844727</v>
      </c>
      <c r="G11452" s="7" t="n">
        <v>93.1999969482422</v>
      </c>
    </row>
    <row r="11453" spans="1:10">
      <c r="A11453" t="s">
        <v>4</v>
      </c>
      <c r="B11453" s="4" t="s">
        <v>5</v>
      </c>
      <c r="C11453" s="4" t="s">
        <v>11</v>
      </c>
      <c r="D11453" s="4" t="s">
        <v>13</v>
      </c>
      <c r="E11453" s="4" t="s">
        <v>13</v>
      </c>
      <c r="F11453" s="4" t="s">
        <v>13</v>
      </c>
      <c r="G11453" s="4" t="s">
        <v>13</v>
      </c>
    </row>
    <row r="11454" spans="1:10">
      <c r="A11454" t="n">
        <v>105921</v>
      </c>
      <c r="B11454" s="36" t="n">
        <v>46</v>
      </c>
      <c r="C11454" s="7" t="n">
        <v>2</v>
      </c>
      <c r="D11454" s="7" t="n">
        <v>-2.52999997138977</v>
      </c>
      <c r="E11454" s="7" t="n">
        <v>5.01000022888184</v>
      </c>
      <c r="F11454" s="7" t="n">
        <v>48.3499984741211</v>
      </c>
      <c r="G11454" s="7" t="n">
        <v>92.0999984741211</v>
      </c>
    </row>
    <row r="11455" spans="1:10">
      <c r="A11455" t="s">
        <v>4</v>
      </c>
      <c r="B11455" s="4" t="s">
        <v>5</v>
      </c>
      <c r="C11455" s="4" t="s">
        <v>11</v>
      </c>
      <c r="D11455" s="4" t="s">
        <v>11</v>
      </c>
      <c r="E11455" s="4" t="s">
        <v>11</v>
      </c>
    </row>
    <row r="11456" spans="1:10">
      <c r="A11456" t="n">
        <v>105940</v>
      </c>
      <c r="B11456" s="72" t="n">
        <v>61</v>
      </c>
      <c r="C11456" s="7" t="n">
        <v>0</v>
      </c>
      <c r="D11456" s="7" t="n">
        <v>65533</v>
      </c>
      <c r="E11456" s="7" t="n">
        <v>0</v>
      </c>
    </row>
    <row r="11457" spans="1:7">
      <c r="A11457" t="s">
        <v>4</v>
      </c>
      <c r="B11457" s="4" t="s">
        <v>5</v>
      </c>
      <c r="C11457" s="4" t="s">
        <v>11</v>
      </c>
      <c r="D11457" s="4" t="s">
        <v>11</v>
      </c>
      <c r="E11457" s="4" t="s">
        <v>11</v>
      </c>
    </row>
    <row r="11458" spans="1:7">
      <c r="A11458" t="n">
        <v>105947</v>
      </c>
      <c r="B11458" s="72" t="n">
        <v>61</v>
      </c>
      <c r="C11458" s="7" t="n">
        <v>2</v>
      </c>
      <c r="D11458" s="7" t="n">
        <v>65533</v>
      </c>
      <c r="E11458" s="7" t="n">
        <v>0</v>
      </c>
    </row>
    <row r="11459" spans="1:7">
      <c r="A11459" t="s">
        <v>4</v>
      </c>
      <c r="B11459" s="4" t="s">
        <v>5</v>
      </c>
      <c r="C11459" s="4" t="s">
        <v>7</v>
      </c>
      <c r="D11459" s="4" t="s">
        <v>7</v>
      </c>
      <c r="E11459" s="4" t="s">
        <v>13</v>
      </c>
      <c r="F11459" s="4" t="s">
        <v>13</v>
      </c>
      <c r="G11459" s="4" t="s">
        <v>13</v>
      </c>
      <c r="H11459" s="4" t="s">
        <v>11</v>
      </c>
    </row>
    <row r="11460" spans="1:7">
      <c r="A11460" t="n">
        <v>105954</v>
      </c>
      <c r="B11460" s="51" t="n">
        <v>45</v>
      </c>
      <c r="C11460" s="7" t="n">
        <v>2</v>
      </c>
      <c r="D11460" s="7" t="n">
        <v>3</v>
      </c>
      <c r="E11460" s="7" t="n">
        <v>4.63000011444092</v>
      </c>
      <c r="F11460" s="7" t="n">
        <v>7.19000005722046</v>
      </c>
      <c r="G11460" s="7" t="n">
        <v>46.8600006103516</v>
      </c>
      <c r="H11460" s="7" t="n">
        <v>0</v>
      </c>
    </row>
    <row r="11461" spans="1:7">
      <c r="A11461" t="s">
        <v>4</v>
      </c>
      <c r="B11461" s="4" t="s">
        <v>5</v>
      </c>
      <c r="C11461" s="4" t="s">
        <v>7</v>
      </c>
      <c r="D11461" s="4" t="s">
        <v>7</v>
      </c>
      <c r="E11461" s="4" t="s">
        <v>13</v>
      </c>
      <c r="F11461" s="4" t="s">
        <v>13</v>
      </c>
      <c r="G11461" s="4" t="s">
        <v>13</v>
      </c>
      <c r="H11461" s="4" t="s">
        <v>11</v>
      </c>
      <c r="I11461" s="4" t="s">
        <v>7</v>
      </c>
    </row>
    <row r="11462" spans="1:7">
      <c r="A11462" t="n">
        <v>105971</v>
      </c>
      <c r="B11462" s="51" t="n">
        <v>45</v>
      </c>
      <c r="C11462" s="7" t="n">
        <v>4</v>
      </c>
      <c r="D11462" s="7" t="n">
        <v>3</v>
      </c>
      <c r="E11462" s="7" t="n">
        <v>8</v>
      </c>
      <c r="F11462" s="7" t="n">
        <v>248.259994506836</v>
      </c>
      <c r="G11462" s="7" t="n">
        <v>0</v>
      </c>
      <c r="H11462" s="7" t="n">
        <v>0</v>
      </c>
      <c r="I11462" s="7" t="n">
        <v>0</v>
      </c>
    </row>
    <row r="11463" spans="1:7">
      <c r="A11463" t="s">
        <v>4</v>
      </c>
      <c r="B11463" s="4" t="s">
        <v>5</v>
      </c>
      <c r="C11463" s="4" t="s">
        <v>7</v>
      </c>
      <c r="D11463" s="4" t="s">
        <v>7</v>
      </c>
      <c r="E11463" s="4" t="s">
        <v>13</v>
      </c>
      <c r="F11463" s="4" t="s">
        <v>11</v>
      </c>
    </row>
    <row r="11464" spans="1:7">
      <c r="A11464" t="n">
        <v>105989</v>
      </c>
      <c r="B11464" s="51" t="n">
        <v>45</v>
      </c>
      <c r="C11464" s="7" t="n">
        <v>5</v>
      </c>
      <c r="D11464" s="7" t="n">
        <v>3</v>
      </c>
      <c r="E11464" s="7" t="n">
        <v>2.29999995231628</v>
      </c>
      <c r="F11464" s="7" t="n">
        <v>0</v>
      </c>
    </row>
    <row r="11465" spans="1:7">
      <c r="A11465" t="s">
        <v>4</v>
      </c>
      <c r="B11465" s="4" t="s">
        <v>5</v>
      </c>
      <c r="C11465" s="4" t="s">
        <v>7</v>
      </c>
      <c r="D11465" s="4" t="s">
        <v>7</v>
      </c>
      <c r="E11465" s="4" t="s">
        <v>13</v>
      </c>
      <c r="F11465" s="4" t="s">
        <v>11</v>
      </c>
    </row>
    <row r="11466" spans="1:7">
      <c r="A11466" t="n">
        <v>105998</v>
      </c>
      <c r="B11466" s="51" t="n">
        <v>45</v>
      </c>
      <c r="C11466" s="7" t="n">
        <v>11</v>
      </c>
      <c r="D11466" s="7" t="n">
        <v>3</v>
      </c>
      <c r="E11466" s="7" t="n">
        <v>34</v>
      </c>
      <c r="F11466" s="7" t="n">
        <v>0</v>
      </c>
    </row>
    <row r="11467" spans="1:7">
      <c r="A11467" t="s">
        <v>4</v>
      </c>
      <c r="B11467" s="4" t="s">
        <v>5</v>
      </c>
      <c r="C11467" s="4" t="s">
        <v>7</v>
      </c>
      <c r="D11467" s="4" t="s">
        <v>7</v>
      </c>
      <c r="E11467" s="4" t="s">
        <v>13</v>
      </c>
      <c r="F11467" s="4" t="s">
        <v>13</v>
      </c>
      <c r="G11467" s="4" t="s">
        <v>13</v>
      </c>
      <c r="H11467" s="4" t="s">
        <v>11</v>
      </c>
    </row>
    <row r="11468" spans="1:7">
      <c r="A11468" t="n">
        <v>106007</v>
      </c>
      <c r="B11468" s="51" t="n">
        <v>45</v>
      </c>
      <c r="C11468" s="7" t="n">
        <v>2</v>
      </c>
      <c r="D11468" s="7" t="n">
        <v>3</v>
      </c>
      <c r="E11468" s="7" t="n">
        <v>-0.560000002384186</v>
      </c>
      <c r="F11468" s="7" t="n">
        <v>6.34000015258789</v>
      </c>
      <c r="G11468" s="7" t="n">
        <v>47.1399993896484</v>
      </c>
      <c r="H11468" s="7" t="n">
        <v>6000</v>
      </c>
    </row>
    <row r="11469" spans="1:7">
      <c r="A11469" t="s">
        <v>4</v>
      </c>
      <c r="B11469" s="4" t="s">
        <v>5</v>
      </c>
      <c r="C11469" s="4" t="s">
        <v>7</v>
      </c>
      <c r="D11469" s="4" t="s">
        <v>7</v>
      </c>
      <c r="E11469" s="4" t="s">
        <v>13</v>
      </c>
      <c r="F11469" s="4" t="s">
        <v>13</v>
      </c>
      <c r="G11469" s="4" t="s">
        <v>13</v>
      </c>
      <c r="H11469" s="4" t="s">
        <v>11</v>
      </c>
      <c r="I11469" s="4" t="s">
        <v>7</v>
      </c>
    </row>
    <row r="11470" spans="1:7">
      <c r="A11470" t="n">
        <v>106024</v>
      </c>
      <c r="B11470" s="51" t="n">
        <v>45</v>
      </c>
      <c r="C11470" s="7" t="n">
        <v>4</v>
      </c>
      <c r="D11470" s="7" t="n">
        <v>3</v>
      </c>
      <c r="E11470" s="7" t="n">
        <v>5.32999992370605</v>
      </c>
      <c r="F11470" s="7" t="n">
        <v>130.860000610352</v>
      </c>
      <c r="G11470" s="7" t="n">
        <v>0</v>
      </c>
      <c r="H11470" s="7" t="n">
        <v>6000</v>
      </c>
      <c r="I11470" s="7" t="n">
        <v>0</v>
      </c>
    </row>
    <row r="11471" spans="1:7">
      <c r="A11471" t="s">
        <v>4</v>
      </c>
      <c r="B11471" s="4" t="s">
        <v>5</v>
      </c>
      <c r="C11471" s="4" t="s">
        <v>7</v>
      </c>
      <c r="D11471" s="4" t="s">
        <v>11</v>
      </c>
      <c r="E11471" s="4" t="s">
        <v>13</v>
      </c>
    </row>
    <row r="11472" spans="1:7">
      <c r="A11472" t="n">
        <v>106042</v>
      </c>
      <c r="B11472" s="23" t="n">
        <v>58</v>
      </c>
      <c r="C11472" s="7" t="n">
        <v>100</v>
      </c>
      <c r="D11472" s="7" t="n">
        <v>1000</v>
      </c>
      <c r="E11472" s="7" t="n">
        <v>1</v>
      </c>
    </row>
    <row r="11473" spans="1:9">
      <c r="A11473" t="s">
        <v>4</v>
      </c>
      <c r="B11473" s="4" t="s">
        <v>5</v>
      </c>
      <c r="C11473" s="4" t="s">
        <v>7</v>
      </c>
      <c r="D11473" s="4" t="s">
        <v>11</v>
      </c>
    </row>
    <row r="11474" spans="1:9">
      <c r="A11474" t="n">
        <v>106050</v>
      </c>
      <c r="B11474" s="23" t="n">
        <v>58</v>
      </c>
      <c r="C11474" s="7" t="n">
        <v>255</v>
      </c>
      <c r="D11474" s="7" t="n">
        <v>0</v>
      </c>
    </row>
    <row r="11475" spans="1:9">
      <c r="A11475" t="s">
        <v>4</v>
      </c>
      <c r="B11475" s="4" t="s">
        <v>5</v>
      </c>
      <c r="C11475" s="4" t="s">
        <v>8</v>
      </c>
      <c r="D11475" s="4" t="s">
        <v>8</v>
      </c>
    </row>
    <row r="11476" spans="1:9">
      <c r="A11476" t="n">
        <v>106054</v>
      </c>
      <c r="B11476" s="52" t="n">
        <v>70</v>
      </c>
      <c r="C11476" s="7" t="s">
        <v>934</v>
      </c>
      <c r="D11476" s="7" t="s">
        <v>109</v>
      </c>
    </row>
    <row r="11477" spans="1:9">
      <c r="A11477" t="s">
        <v>4</v>
      </c>
      <c r="B11477" s="4" t="s">
        <v>5</v>
      </c>
      <c r="C11477" s="4" t="s">
        <v>11</v>
      </c>
    </row>
    <row r="11478" spans="1:9">
      <c r="A11478" t="n">
        <v>106071</v>
      </c>
      <c r="B11478" s="29" t="n">
        <v>16</v>
      </c>
      <c r="C11478" s="7" t="n">
        <v>3000</v>
      </c>
    </row>
    <row r="11479" spans="1:9">
      <c r="A11479" t="s">
        <v>4</v>
      </c>
      <c r="B11479" s="4" t="s">
        <v>5</v>
      </c>
      <c r="C11479" s="4" t="s">
        <v>11</v>
      </c>
      <c r="D11479" s="4" t="s">
        <v>7</v>
      </c>
      <c r="E11479" s="4" t="s">
        <v>13</v>
      </c>
      <c r="F11479" s="4" t="s">
        <v>11</v>
      </c>
    </row>
    <row r="11480" spans="1:9">
      <c r="A11480" t="n">
        <v>106074</v>
      </c>
      <c r="B11480" s="56" t="n">
        <v>59</v>
      </c>
      <c r="C11480" s="7" t="n">
        <v>2</v>
      </c>
      <c r="D11480" s="7" t="n">
        <v>9</v>
      </c>
      <c r="E11480" s="7" t="n">
        <v>0.150000005960464</v>
      </c>
      <c r="F11480" s="7" t="n">
        <v>0</v>
      </c>
    </row>
    <row r="11481" spans="1:9">
      <c r="A11481" t="s">
        <v>4</v>
      </c>
      <c r="B11481" s="4" t="s">
        <v>5</v>
      </c>
      <c r="C11481" s="4" t="s">
        <v>11</v>
      </c>
      <c r="D11481" s="4" t="s">
        <v>13</v>
      </c>
      <c r="E11481" s="4" t="s">
        <v>13</v>
      </c>
      <c r="F11481" s="4" t="s">
        <v>13</v>
      </c>
      <c r="G11481" s="4" t="s">
        <v>11</v>
      </c>
      <c r="H11481" s="4" t="s">
        <v>11</v>
      </c>
    </row>
    <row r="11482" spans="1:9">
      <c r="A11482" t="n">
        <v>106084</v>
      </c>
      <c r="B11482" s="37" t="n">
        <v>60</v>
      </c>
      <c r="C11482" s="7" t="n">
        <v>2</v>
      </c>
      <c r="D11482" s="7" t="n">
        <v>-45</v>
      </c>
      <c r="E11482" s="7" t="n">
        <v>0</v>
      </c>
      <c r="F11482" s="7" t="n">
        <v>0</v>
      </c>
      <c r="G11482" s="7" t="n">
        <v>1000</v>
      </c>
      <c r="H11482" s="7" t="n">
        <v>0</v>
      </c>
    </row>
    <row r="11483" spans="1:9">
      <c r="A11483" t="s">
        <v>4</v>
      </c>
      <c r="B11483" s="4" t="s">
        <v>5</v>
      </c>
      <c r="C11483" s="4" t="s">
        <v>11</v>
      </c>
    </row>
    <row r="11484" spans="1:9">
      <c r="A11484" t="n">
        <v>106103</v>
      </c>
      <c r="B11484" s="29" t="n">
        <v>16</v>
      </c>
      <c r="C11484" s="7" t="n">
        <v>1000</v>
      </c>
    </row>
    <row r="11485" spans="1:9">
      <c r="A11485" t="s">
        <v>4</v>
      </c>
      <c r="B11485" s="4" t="s">
        <v>5</v>
      </c>
      <c r="C11485" s="4" t="s">
        <v>11</v>
      </c>
      <c r="D11485" s="4" t="s">
        <v>13</v>
      </c>
      <c r="E11485" s="4" t="s">
        <v>13</v>
      </c>
      <c r="F11485" s="4" t="s">
        <v>13</v>
      </c>
      <c r="G11485" s="4" t="s">
        <v>11</v>
      </c>
      <c r="H11485" s="4" t="s">
        <v>11</v>
      </c>
    </row>
    <row r="11486" spans="1:9">
      <c r="A11486" t="n">
        <v>106106</v>
      </c>
      <c r="B11486" s="37" t="n">
        <v>60</v>
      </c>
      <c r="C11486" s="7" t="n">
        <v>2</v>
      </c>
      <c r="D11486" s="7" t="n">
        <v>45</v>
      </c>
      <c r="E11486" s="7" t="n">
        <v>0</v>
      </c>
      <c r="F11486" s="7" t="n">
        <v>0</v>
      </c>
      <c r="G11486" s="7" t="n">
        <v>1000</v>
      </c>
      <c r="H11486" s="7" t="n">
        <v>0</v>
      </c>
    </row>
    <row r="11487" spans="1:9">
      <c r="A11487" t="s">
        <v>4</v>
      </c>
      <c r="B11487" s="4" t="s">
        <v>5</v>
      </c>
      <c r="C11487" s="4" t="s">
        <v>11</v>
      </c>
    </row>
    <row r="11488" spans="1:9">
      <c r="A11488" t="n">
        <v>106125</v>
      </c>
      <c r="B11488" s="29" t="n">
        <v>16</v>
      </c>
      <c r="C11488" s="7" t="n">
        <v>1000</v>
      </c>
    </row>
    <row r="11489" spans="1:8">
      <c r="A11489" t="s">
        <v>4</v>
      </c>
      <c r="B11489" s="4" t="s">
        <v>5</v>
      </c>
      <c r="C11489" s="4" t="s">
        <v>11</v>
      </c>
      <c r="D11489" s="4" t="s">
        <v>13</v>
      </c>
      <c r="E11489" s="4" t="s">
        <v>13</v>
      </c>
      <c r="F11489" s="4" t="s">
        <v>13</v>
      </c>
      <c r="G11489" s="4" t="s">
        <v>11</v>
      </c>
      <c r="H11489" s="4" t="s">
        <v>11</v>
      </c>
    </row>
    <row r="11490" spans="1:8">
      <c r="A11490" t="n">
        <v>106128</v>
      </c>
      <c r="B11490" s="37" t="n">
        <v>60</v>
      </c>
      <c r="C11490" s="7" t="n">
        <v>2</v>
      </c>
      <c r="D11490" s="7" t="n">
        <v>0</v>
      </c>
      <c r="E11490" s="7" t="n">
        <v>0</v>
      </c>
      <c r="F11490" s="7" t="n">
        <v>0</v>
      </c>
      <c r="G11490" s="7" t="n">
        <v>500</v>
      </c>
      <c r="H11490" s="7" t="n">
        <v>0</v>
      </c>
    </row>
    <row r="11491" spans="1:8">
      <c r="A11491" t="s">
        <v>4</v>
      </c>
      <c r="B11491" s="4" t="s">
        <v>5</v>
      </c>
      <c r="C11491" s="4" t="s">
        <v>11</v>
      </c>
    </row>
    <row r="11492" spans="1:8">
      <c r="A11492" t="n">
        <v>106147</v>
      </c>
      <c r="B11492" s="29" t="n">
        <v>16</v>
      </c>
      <c r="C11492" s="7" t="n">
        <v>1000</v>
      </c>
    </row>
    <row r="11493" spans="1:8">
      <c r="A11493" t="s">
        <v>4</v>
      </c>
      <c r="B11493" s="4" t="s">
        <v>5</v>
      </c>
      <c r="C11493" s="4" t="s">
        <v>7</v>
      </c>
      <c r="D11493" s="4" t="s">
        <v>11</v>
      </c>
    </row>
    <row r="11494" spans="1:8">
      <c r="A11494" t="n">
        <v>106150</v>
      </c>
      <c r="B11494" s="51" t="n">
        <v>45</v>
      </c>
      <c r="C11494" s="7" t="n">
        <v>7</v>
      </c>
      <c r="D11494" s="7" t="n">
        <v>255</v>
      </c>
    </row>
    <row r="11495" spans="1:8">
      <c r="A11495" t="s">
        <v>4</v>
      </c>
      <c r="B11495" s="4" t="s">
        <v>5</v>
      </c>
      <c r="C11495" s="4" t="s">
        <v>7</v>
      </c>
      <c r="D11495" s="4" t="s">
        <v>11</v>
      </c>
      <c r="E11495" s="4" t="s">
        <v>13</v>
      </c>
    </row>
    <row r="11496" spans="1:8">
      <c r="A11496" t="n">
        <v>106154</v>
      </c>
      <c r="B11496" s="23" t="n">
        <v>58</v>
      </c>
      <c r="C11496" s="7" t="n">
        <v>0</v>
      </c>
      <c r="D11496" s="7" t="n">
        <v>1000</v>
      </c>
      <c r="E11496" s="7" t="n">
        <v>1</v>
      </c>
    </row>
    <row r="11497" spans="1:8">
      <c r="A11497" t="s">
        <v>4</v>
      </c>
      <c r="B11497" s="4" t="s">
        <v>5</v>
      </c>
      <c r="C11497" s="4" t="s">
        <v>7</v>
      </c>
      <c r="D11497" s="4" t="s">
        <v>11</v>
      </c>
    </row>
    <row r="11498" spans="1:8">
      <c r="A11498" t="n">
        <v>106162</v>
      </c>
      <c r="B11498" s="23" t="n">
        <v>58</v>
      </c>
      <c r="C11498" s="7" t="n">
        <v>255</v>
      </c>
      <c r="D11498" s="7" t="n">
        <v>0</v>
      </c>
    </row>
    <row r="11499" spans="1:8">
      <c r="A11499" t="s">
        <v>4</v>
      </c>
      <c r="B11499" s="4" t="s">
        <v>5</v>
      </c>
      <c r="C11499" s="4" t="s">
        <v>8</v>
      </c>
      <c r="D11499" s="4" t="s">
        <v>8</v>
      </c>
    </row>
    <row r="11500" spans="1:8">
      <c r="A11500" t="n">
        <v>106166</v>
      </c>
      <c r="B11500" s="52" t="n">
        <v>70</v>
      </c>
      <c r="C11500" s="7" t="s">
        <v>934</v>
      </c>
      <c r="D11500" s="7" t="s">
        <v>118</v>
      </c>
    </row>
    <row r="11501" spans="1:8">
      <c r="A11501" t="s">
        <v>4</v>
      </c>
      <c r="B11501" s="4" t="s">
        <v>5</v>
      </c>
      <c r="C11501" s="4" t="s">
        <v>11</v>
      </c>
      <c r="D11501" s="4" t="s">
        <v>11</v>
      </c>
      <c r="E11501" s="4" t="s">
        <v>11</v>
      </c>
    </row>
    <row r="11502" spans="1:8">
      <c r="A11502" t="n">
        <v>106182</v>
      </c>
      <c r="B11502" s="72" t="n">
        <v>61</v>
      </c>
      <c r="C11502" s="7" t="n">
        <v>0</v>
      </c>
      <c r="D11502" s="7" t="n">
        <v>65533</v>
      </c>
      <c r="E11502" s="7" t="n">
        <v>1000</v>
      </c>
    </row>
    <row r="11503" spans="1:8">
      <c r="A11503" t="s">
        <v>4</v>
      </c>
      <c r="B11503" s="4" t="s">
        <v>5</v>
      </c>
      <c r="C11503" s="4" t="s">
        <v>11</v>
      </c>
      <c r="D11503" s="4" t="s">
        <v>11</v>
      </c>
      <c r="E11503" s="4" t="s">
        <v>11</v>
      </c>
    </row>
    <row r="11504" spans="1:8">
      <c r="A11504" t="n">
        <v>106189</v>
      </c>
      <c r="B11504" s="72" t="n">
        <v>61</v>
      </c>
      <c r="C11504" s="7" t="n">
        <v>2</v>
      </c>
      <c r="D11504" s="7" t="n">
        <v>65533</v>
      </c>
      <c r="E11504" s="7" t="n">
        <v>1000</v>
      </c>
    </row>
    <row r="11505" spans="1:8">
      <c r="A11505" t="s">
        <v>4</v>
      </c>
      <c r="B11505" s="4" t="s">
        <v>5</v>
      </c>
      <c r="C11505" s="4" t="s">
        <v>11</v>
      </c>
      <c r="D11505" s="4" t="s">
        <v>13</v>
      </c>
      <c r="E11505" s="4" t="s">
        <v>13</v>
      </c>
      <c r="F11505" s="4" t="s">
        <v>13</v>
      </c>
      <c r="G11505" s="4" t="s">
        <v>13</v>
      </c>
    </row>
    <row r="11506" spans="1:8">
      <c r="A11506" t="n">
        <v>106196</v>
      </c>
      <c r="B11506" s="36" t="n">
        <v>46</v>
      </c>
      <c r="C11506" s="7" t="n">
        <v>0</v>
      </c>
      <c r="D11506" s="7" t="n">
        <v>-2.66000008583069</v>
      </c>
      <c r="E11506" s="7" t="n">
        <v>5.01000022888184</v>
      </c>
      <c r="F11506" s="7" t="n">
        <v>32.189998626709</v>
      </c>
      <c r="G11506" s="7" t="n">
        <v>90</v>
      </c>
    </row>
    <row r="11507" spans="1:8">
      <c r="A11507" t="s">
        <v>4</v>
      </c>
      <c r="B11507" s="4" t="s">
        <v>5</v>
      </c>
      <c r="C11507" s="4" t="s">
        <v>11</v>
      </c>
      <c r="D11507" s="4" t="s">
        <v>13</v>
      </c>
      <c r="E11507" s="4" t="s">
        <v>13</v>
      </c>
      <c r="F11507" s="4" t="s">
        <v>13</v>
      </c>
      <c r="G11507" s="4" t="s">
        <v>13</v>
      </c>
    </row>
    <row r="11508" spans="1:8">
      <c r="A11508" t="n">
        <v>106215</v>
      </c>
      <c r="B11508" s="36" t="n">
        <v>46</v>
      </c>
      <c r="C11508" s="7" t="n">
        <v>2</v>
      </c>
      <c r="D11508" s="7" t="n">
        <v>-3.16000008583069</v>
      </c>
      <c r="E11508" s="7" t="n">
        <v>5.01000022888184</v>
      </c>
      <c r="F11508" s="7" t="n">
        <v>31.7900009155273</v>
      </c>
      <c r="G11508" s="7" t="n">
        <v>90</v>
      </c>
    </row>
    <row r="11509" spans="1:8">
      <c r="A11509" t="s">
        <v>4</v>
      </c>
      <c r="B11509" s="4" t="s">
        <v>5</v>
      </c>
      <c r="C11509" s="4" t="s">
        <v>7</v>
      </c>
      <c r="D11509" s="4" t="s">
        <v>7</v>
      </c>
      <c r="E11509" s="4" t="s">
        <v>13</v>
      </c>
      <c r="F11509" s="4" t="s">
        <v>13</v>
      </c>
      <c r="G11509" s="4" t="s">
        <v>13</v>
      </c>
      <c r="H11509" s="4" t="s">
        <v>11</v>
      </c>
    </row>
    <row r="11510" spans="1:8">
      <c r="A11510" t="n">
        <v>106234</v>
      </c>
      <c r="B11510" s="51" t="n">
        <v>45</v>
      </c>
      <c r="C11510" s="7" t="n">
        <v>2</v>
      </c>
      <c r="D11510" s="7" t="n">
        <v>3</v>
      </c>
      <c r="E11510" s="7" t="n">
        <v>6.82000017166138</v>
      </c>
      <c r="F11510" s="7" t="n">
        <v>6.17999982833862</v>
      </c>
      <c r="G11510" s="7" t="n">
        <v>32.2799987792969</v>
      </c>
      <c r="H11510" s="7" t="n">
        <v>0</v>
      </c>
    </row>
    <row r="11511" spans="1:8">
      <c r="A11511" t="s">
        <v>4</v>
      </c>
      <c r="B11511" s="4" t="s">
        <v>5</v>
      </c>
      <c r="C11511" s="4" t="s">
        <v>7</v>
      </c>
      <c r="D11511" s="4" t="s">
        <v>7</v>
      </c>
      <c r="E11511" s="4" t="s">
        <v>13</v>
      </c>
      <c r="F11511" s="4" t="s">
        <v>13</v>
      </c>
      <c r="G11511" s="4" t="s">
        <v>13</v>
      </c>
      <c r="H11511" s="4" t="s">
        <v>11</v>
      </c>
      <c r="I11511" s="4" t="s">
        <v>7</v>
      </c>
    </row>
    <row r="11512" spans="1:8">
      <c r="A11512" t="n">
        <v>106251</v>
      </c>
      <c r="B11512" s="51" t="n">
        <v>45</v>
      </c>
      <c r="C11512" s="7" t="n">
        <v>4</v>
      </c>
      <c r="D11512" s="7" t="n">
        <v>3</v>
      </c>
      <c r="E11512" s="7" t="n">
        <v>358.239990234375</v>
      </c>
      <c r="F11512" s="7" t="n">
        <v>344.200012207031</v>
      </c>
      <c r="G11512" s="7" t="n">
        <v>0</v>
      </c>
      <c r="H11512" s="7" t="n">
        <v>0</v>
      </c>
      <c r="I11512" s="7" t="n">
        <v>0</v>
      </c>
    </row>
    <row r="11513" spans="1:8">
      <c r="A11513" t="s">
        <v>4</v>
      </c>
      <c r="B11513" s="4" t="s">
        <v>5</v>
      </c>
      <c r="C11513" s="4" t="s">
        <v>7</v>
      </c>
      <c r="D11513" s="4" t="s">
        <v>7</v>
      </c>
      <c r="E11513" s="4" t="s">
        <v>13</v>
      </c>
      <c r="F11513" s="4" t="s">
        <v>11</v>
      </c>
    </row>
    <row r="11514" spans="1:8">
      <c r="A11514" t="n">
        <v>106269</v>
      </c>
      <c r="B11514" s="51" t="n">
        <v>45</v>
      </c>
      <c r="C11514" s="7" t="n">
        <v>5</v>
      </c>
      <c r="D11514" s="7" t="n">
        <v>3</v>
      </c>
      <c r="E11514" s="7" t="n">
        <v>3.40000009536743</v>
      </c>
      <c r="F11514" s="7" t="n">
        <v>0</v>
      </c>
    </row>
    <row r="11515" spans="1:8">
      <c r="A11515" t="s">
        <v>4</v>
      </c>
      <c r="B11515" s="4" t="s">
        <v>5</v>
      </c>
      <c r="C11515" s="4" t="s">
        <v>7</v>
      </c>
      <c r="D11515" s="4" t="s">
        <v>7</v>
      </c>
      <c r="E11515" s="4" t="s">
        <v>13</v>
      </c>
      <c r="F11515" s="4" t="s">
        <v>11</v>
      </c>
    </row>
    <row r="11516" spans="1:8">
      <c r="A11516" t="n">
        <v>106278</v>
      </c>
      <c r="B11516" s="51" t="n">
        <v>45</v>
      </c>
      <c r="C11516" s="7" t="n">
        <v>11</v>
      </c>
      <c r="D11516" s="7" t="n">
        <v>3</v>
      </c>
      <c r="E11516" s="7" t="n">
        <v>40.2999992370605</v>
      </c>
      <c r="F11516" s="7" t="n">
        <v>0</v>
      </c>
    </row>
    <row r="11517" spans="1:8">
      <c r="A11517" t="s">
        <v>4</v>
      </c>
      <c r="B11517" s="4" t="s">
        <v>5</v>
      </c>
      <c r="C11517" s="4" t="s">
        <v>7</v>
      </c>
      <c r="D11517" s="4" t="s">
        <v>7</v>
      </c>
      <c r="E11517" s="4" t="s">
        <v>13</v>
      </c>
      <c r="F11517" s="4" t="s">
        <v>13</v>
      </c>
      <c r="G11517" s="4" t="s">
        <v>13</v>
      </c>
      <c r="H11517" s="4" t="s">
        <v>11</v>
      </c>
    </row>
    <row r="11518" spans="1:8">
      <c r="A11518" t="n">
        <v>106287</v>
      </c>
      <c r="B11518" s="51" t="n">
        <v>45</v>
      </c>
      <c r="C11518" s="7" t="n">
        <v>2</v>
      </c>
      <c r="D11518" s="7" t="n">
        <v>3</v>
      </c>
      <c r="E11518" s="7" t="n">
        <v>-2.55999994277954</v>
      </c>
      <c r="F11518" s="7" t="n">
        <v>6.17999982833862</v>
      </c>
      <c r="G11518" s="7" t="n">
        <v>32.1800003051758</v>
      </c>
      <c r="H11518" s="7" t="n">
        <v>6000</v>
      </c>
    </row>
    <row r="11519" spans="1:8">
      <c r="A11519" t="s">
        <v>4</v>
      </c>
      <c r="B11519" s="4" t="s">
        <v>5</v>
      </c>
      <c r="C11519" s="4" t="s">
        <v>7</v>
      </c>
      <c r="D11519" s="4" t="s">
        <v>7</v>
      </c>
      <c r="E11519" s="4" t="s">
        <v>13</v>
      </c>
      <c r="F11519" s="4" t="s">
        <v>13</v>
      </c>
      <c r="G11519" s="4" t="s">
        <v>13</v>
      </c>
      <c r="H11519" s="4" t="s">
        <v>11</v>
      </c>
      <c r="I11519" s="4" t="s">
        <v>7</v>
      </c>
    </row>
    <row r="11520" spans="1:8">
      <c r="A11520" t="n">
        <v>106304</v>
      </c>
      <c r="B11520" s="51" t="n">
        <v>45</v>
      </c>
      <c r="C11520" s="7" t="n">
        <v>4</v>
      </c>
      <c r="D11520" s="7" t="n">
        <v>3</v>
      </c>
      <c r="E11520" s="7" t="n">
        <v>12.2700004577637</v>
      </c>
      <c r="F11520" s="7" t="n">
        <v>75.7099990844727</v>
      </c>
      <c r="G11520" s="7" t="n">
        <v>0</v>
      </c>
      <c r="H11520" s="7" t="n">
        <v>6000</v>
      </c>
      <c r="I11520" s="7" t="n">
        <v>1</v>
      </c>
    </row>
    <row r="11521" spans="1:9">
      <c r="A11521" t="s">
        <v>4</v>
      </c>
      <c r="B11521" s="4" t="s">
        <v>5</v>
      </c>
      <c r="C11521" s="4" t="s">
        <v>7</v>
      </c>
      <c r="D11521" s="4" t="s">
        <v>7</v>
      </c>
      <c r="E11521" s="4" t="s">
        <v>13</v>
      </c>
      <c r="F11521" s="4" t="s">
        <v>11</v>
      </c>
    </row>
    <row r="11522" spans="1:9">
      <c r="A11522" t="n">
        <v>106322</v>
      </c>
      <c r="B11522" s="51" t="n">
        <v>45</v>
      </c>
      <c r="C11522" s="7" t="n">
        <v>5</v>
      </c>
      <c r="D11522" s="7" t="n">
        <v>3</v>
      </c>
      <c r="E11522" s="7" t="n">
        <v>2.70000004768372</v>
      </c>
      <c r="F11522" s="7" t="n">
        <v>6000</v>
      </c>
    </row>
    <row r="11523" spans="1:9">
      <c r="A11523" t="s">
        <v>4</v>
      </c>
      <c r="B11523" s="4" t="s">
        <v>5</v>
      </c>
      <c r="C11523" s="4" t="s">
        <v>7</v>
      </c>
      <c r="D11523" s="4" t="s">
        <v>11</v>
      </c>
      <c r="E11523" s="4" t="s">
        <v>13</v>
      </c>
    </row>
    <row r="11524" spans="1:9">
      <c r="A11524" t="n">
        <v>106331</v>
      </c>
      <c r="B11524" s="23" t="n">
        <v>58</v>
      </c>
      <c r="C11524" s="7" t="n">
        <v>100</v>
      </c>
      <c r="D11524" s="7" t="n">
        <v>1000</v>
      </c>
      <c r="E11524" s="7" t="n">
        <v>1</v>
      </c>
    </row>
    <row r="11525" spans="1:9">
      <c r="A11525" t="s">
        <v>4</v>
      </c>
      <c r="B11525" s="4" t="s">
        <v>5</v>
      </c>
      <c r="C11525" s="4" t="s">
        <v>7</v>
      </c>
      <c r="D11525" s="4" t="s">
        <v>11</v>
      </c>
    </row>
    <row r="11526" spans="1:9">
      <c r="A11526" t="n">
        <v>106339</v>
      </c>
      <c r="B11526" s="23" t="n">
        <v>58</v>
      </c>
      <c r="C11526" s="7" t="n">
        <v>255</v>
      </c>
      <c r="D11526" s="7" t="n">
        <v>0</v>
      </c>
    </row>
    <row r="11527" spans="1:9">
      <c r="A11527" t="s">
        <v>4</v>
      </c>
      <c r="B11527" s="4" t="s">
        <v>5</v>
      </c>
      <c r="C11527" s="4" t="s">
        <v>8</v>
      </c>
      <c r="D11527" s="4" t="s">
        <v>8</v>
      </c>
    </row>
    <row r="11528" spans="1:9">
      <c r="A11528" t="n">
        <v>106343</v>
      </c>
      <c r="B11528" s="52" t="n">
        <v>70</v>
      </c>
      <c r="C11528" s="7" t="s">
        <v>24</v>
      </c>
      <c r="D11528" s="7" t="s">
        <v>109</v>
      </c>
    </row>
    <row r="11529" spans="1:9">
      <c r="A11529" t="s">
        <v>4</v>
      </c>
      <c r="B11529" s="4" t="s">
        <v>5</v>
      </c>
      <c r="C11529" s="4" t="s">
        <v>11</v>
      </c>
    </row>
    <row r="11530" spans="1:9">
      <c r="A11530" t="n">
        <v>106360</v>
      </c>
      <c r="B11530" s="29" t="n">
        <v>16</v>
      </c>
      <c r="C11530" s="7" t="n">
        <v>4000</v>
      </c>
    </row>
    <row r="11531" spans="1:9">
      <c r="A11531" t="s">
        <v>4</v>
      </c>
      <c r="B11531" s="4" t="s">
        <v>5</v>
      </c>
      <c r="C11531" s="4" t="s">
        <v>11</v>
      </c>
      <c r="D11531" s="4" t="s">
        <v>7</v>
      </c>
      <c r="E11531" s="4" t="s">
        <v>13</v>
      </c>
      <c r="F11531" s="4" t="s">
        <v>11</v>
      </c>
    </row>
    <row r="11532" spans="1:9">
      <c r="A11532" t="n">
        <v>106363</v>
      </c>
      <c r="B11532" s="56" t="n">
        <v>59</v>
      </c>
      <c r="C11532" s="7" t="n">
        <v>0</v>
      </c>
      <c r="D11532" s="7" t="n">
        <v>9</v>
      </c>
      <c r="E11532" s="7" t="n">
        <v>0.150000005960464</v>
      </c>
      <c r="F11532" s="7" t="n">
        <v>0</v>
      </c>
    </row>
    <row r="11533" spans="1:9">
      <c r="A11533" t="s">
        <v>4</v>
      </c>
      <c r="B11533" s="4" t="s">
        <v>5</v>
      </c>
      <c r="C11533" s="4" t="s">
        <v>11</v>
      </c>
    </row>
    <row r="11534" spans="1:9">
      <c r="A11534" t="n">
        <v>106373</v>
      </c>
      <c r="B11534" s="29" t="n">
        <v>16</v>
      </c>
      <c r="C11534" s="7" t="n">
        <v>1800</v>
      </c>
    </row>
    <row r="11535" spans="1:9">
      <c r="A11535" t="s">
        <v>4</v>
      </c>
      <c r="B11535" s="4" t="s">
        <v>5</v>
      </c>
      <c r="C11535" s="4" t="s">
        <v>7</v>
      </c>
      <c r="D11535" s="4" t="s">
        <v>11</v>
      </c>
    </row>
    <row r="11536" spans="1:9">
      <c r="A11536" t="n">
        <v>106376</v>
      </c>
      <c r="B11536" s="51" t="n">
        <v>45</v>
      </c>
      <c r="C11536" s="7" t="n">
        <v>7</v>
      </c>
      <c r="D11536" s="7" t="n">
        <v>255</v>
      </c>
    </row>
    <row r="11537" spans="1:6">
      <c r="A11537" t="s">
        <v>4</v>
      </c>
      <c r="B11537" s="4" t="s">
        <v>5</v>
      </c>
      <c r="C11537" s="4" t="s">
        <v>7</v>
      </c>
      <c r="D11537" s="4" t="s">
        <v>11</v>
      </c>
      <c r="E11537" s="4" t="s">
        <v>13</v>
      </c>
    </row>
    <row r="11538" spans="1:6">
      <c r="A11538" t="n">
        <v>106380</v>
      </c>
      <c r="B11538" s="23" t="n">
        <v>58</v>
      </c>
      <c r="C11538" s="7" t="n">
        <v>0</v>
      </c>
      <c r="D11538" s="7" t="n">
        <v>1000</v>
      </c>
      <c r="E11538" s="7" t="n">
        <v>1</v>
      </c>
    </row>
    <row r="11539" spans="1:6">
      <c r="A11539" t="s">
        <v>4</v>
      </c>
      <c r="B11539" s="4" t="s">
        <v>5</v>
      </c>
      <c r="C11539" s="4" t="s">
        <v>7</v>
      </c>
      <c r="D11539" s="4" t="s">
        <v>11</v>
      </c>
    </row>
    <row r="11540" spans="1:6">
      <c r="A11540" t="n">
        <v>106388</v>
      </c>
      <c r="B11540" s="23" t="n">
        <v>58</v>
      </c>
      <c r="C11540" s="7" t="n">
        <v>255</v>
      </c>
      <c r="D11540" s="7" t="n">
        <v>0</v>
      </c>
    </row>
    <row r="11541" spans="1:6">
      <c r="A11541" t="s">
        <v>4</v>
      </c>
      <c r="B11541" s="4" t="s">
        <v>5</v>
      </c>
      <c r="C11541" s="4" t="s">
        <v>8</v>
      </c>
      <c r="D11541" s="4" t="s">
        <v>8</v>
      </c>
    </row>
    <row r="11542" spans="1:6">
      <c r="A11542" t="n">
        <v>106392</v>
      </c>
      <c r="B11542" s="52" t="n">
        <v>70</v>
      </c>
      <c r="C11542" s="7" t="s">
        <v>24</v>
      </c>
      <c r="D11542" s="7" t="s">
        <v>118</v>
      </c>
    </row>
    <row r="11543" spans="1:6">
      <c r="A11543" t="s">
        <v>4</v>
      </c>
      <c r="B11543" s="4" t="s">
        <v>5</v>
      </c>
      <c r="C11543" s="4" t="s">
        <v>11</v>
      </c>
      <c r="D11543" s="4" t="s">
        <v>13</v>
      </c>
      <c r="E11543" s="4" t="s">
        <v>13</v>
      </c>
      <c r="F11543" s="4" t="s">
        <v>13</v>
      </c>
      <c r="G11543" s="4" t="s">
        <v>13</v>
      </c>
    </row>
    <row r="11544" spans="1:6">
      <c r="A11544" t="n">
        <v>106408</v>
      </c>
      <c r="B11544" s="36" t="n">
        <v>46</v>
      </c>
      <c r="C11544" s="7" t="n">
        <v>0</v>
      </c>
      <c r="D11544" s="7" t="n">
        <v>-10.9899997711182</v>
      </c>
      <c r="E11544" s="7" t="n">
        <v>5.01000022888184</v>
      </c>
      <c r="F11544" s="7" t="n">
        <v>32.4300003051758</v>
      </c>
      <c r="G11544" s="7" t="n">
        <v>270</v>
      </c>
    </row>
    <row r="11545" spans="1:6">
      <c r="A11545" t="s">
        <v>4</v>
      </c>
      <c r="B11545" s="4" t="s">
        <v>5</v>
      </c>
      <c r="C11545" s="4" t="s">
        <v>11</v>
      </c>
      <c r="D11545" s="4" t="s">
        <v>13</v>
      </c>
      <c r="E11545" s="4" t="s">
        <v>13</v>
      </c>
      <c r="F11545" s="4" t="s">
        <v>13</v>
      </c>
      <c r="G11545" s="4" t="s">
        <v>13</v>
      </c>
    </row>
    <row r="11546" spans="1:6">
      <c r="A11546" t="n">
        <v>106427</v>
      </c>
      <c r="B11546" s="36" t="n">
        <v>46</v>
      </c>
      <c r="C11546" s="7" t="n">
        <v>2</v>
      </c>
      <c r="D11546" s="7" t="n">
        <v>-10.5500001907349</v>
      </c>
      <c r="E11546" s="7" t="n">
        <v>5.01000022888184</v>
      </c>
      <c r="F11546" s="7" t="n">
        <v>31.5499992370605</v>
      </c>
      <c r="G11546" s="7" t="n">
        <v>270</v>
      </c>
    </row>
    <row r="11547" spans="1:6">
      <c r="A11547" t="s">
        <v>4</v>
      </c>
      <c r="B11547" s="4" t="s">
        <v>5</v>
      </c>
      <c r="C11547" s="4" t="s">
        <v>7</v>
      </c>
      <c r="D11547" s="4" t="s">
        <v>7</v>
      </c>
      <c r="E11547" s="4" t="s">
        <v>13</v>
      </c>
      <c r="F11547" s="4" t="s">
        <v>13</v>
      </c>
      <c r="G11547" s="4" t="s">
        <v>13</v>
      </c>
      <c r="H11547" s="4" t="s">
        <v>11</v>
      </c>
    </row>
    <row r="11548" spans="1:6">
      <c r="A11548" t="n">
        <v>106446</v>
      </c>
      <c r="B11548" s="51" t="n">
        <v>45</v>
      </c>
      <c r="C11548" s="7" t="n">
        <v>2</v>
      </c>
      <c r="D11548" s="7" t="n">
        <v>3</v>
      </c>
      <c r="E11548" s="7" t="n">
        <v>-14.1199998855591</v>
      </c>
      <c r="F11548" s="7" t="n">
        <v>6.75</v>
      </c>
      <c r="G11548" s="7" t="n">
        <v>31.9300003051758</v>
      </c>
      <c r="H11548" s="7" t="n">
        <v>0</v>
      </c>
    </row>
    <row r="11549" spans="1:6">
      <c r="A11549" t="s">
        <v>4</v>
      </c>
      <c r="B11549" s="4" t="s">
        <v>5</v>
      </c>
      <c r="C11549" s="4" t="s">
        <v>7</v>
      </c>
      <c r="D11549" s="4" t="s">
        <v>7</v>
      </c>
      <c r="E11549" s="4" t="s">
        <v>13</v>
      </c>
      <c r="F11549" s="4" t="s">
        <v>13</v>
      </c>
      <c r="G11549" s="4" t="s">
        <v>13</v>
      </c>
      <c r="H11549" s="4" t="s">
        <v>11</v>
      </c>
      <c r="I11549" s="4" t="s">
        <v>7</v>
      </c>
    </row>
    <row r="11550" spans="1:6">
      <c r="A11550" t="n">
        <v>106463</v>
      </c>
      <c r="B11550" s="51" t="n">
        <v>45</v>
      </c>
      <c r="C11550" s="7" t="n">
        <v>4</v>
      </c>
      <c r="D11550" s="7" t="n">
        <v>3</v>
      </c>
      <c r="E11550" s="7" t="n">
        <v>7.63000011444092</v>
      </c>
      <c r="F11550" s="7" t="n">
        <v>90</v>
      </c>
      <c r="G11550" s="7" t="n">
        <v>0</v>
      </c>
      <c r="H11550" s="7" t="n">
        <v>0</v>
      </c>
      <c r="I11550" s="7" t="n">
        <v>0</v>
      </c>
    </row>
    <row r="11551" spans="1:6">
      <c r="A11551" t="s">
        <v>4</v>
      </c>
      <c r="B11551" s="4" t="s">
        <v>5</v>
      </c>
      <c r="C11551" s="4" t="s">
        <v>7</v>
      </c>
      <c r="D11551" s="4" t="s">
        <v>7</v>
      </c>
      <c r="E11551" s="4" t="s">
        <v>13</v>
      </c>
      <c r="F11551" s="4" t="s">
        <v>11</v>
      </c>
    </row>
    <row r="11552" spans="1:6">
      <c r="A11552" t="n">
        <v>106481</v>
      </c>
      <c r="B11552" s="51" t="n">
        <v>45</v>
      </c>
      <c r="C11552" s="7" t="n">
        <v>5</v>
      </c>
      <c r="D11552" s="7" t="n">
        <v>3</v>
      </c>
      <c r="E11552" s="7" t="n">
        <v>2.09999990463257</v>
      </c>
      <c r="F11552" s="7" t="n">
        <v>0</v>
      </c>
    </row>
    <row r="11553" spans="1:9">
      <c r="A11553" t="s">
        <v>4</v>
      </c>
      <c r="B11553" s="4" t="s">
        <v>5</v>
      </c>
      <c r="C11553" s="4" t="s">
        <v>7</v>
      </c>
      <c r="D11553" s="4" t="s">
        <v>7</v>
      </c>
      <c r="E11553" s="4" t="s">
        <v>13</v>
      </c>
      <c r="F11553" s="4" t="s">
        <v>11</v>
      </c>
    </row>
    <row r="11554" spans="1:9">
      <c r="A11554" t="n">
        <v>106490</v>
      </c>
      <c r="B11554" s="51" t="n">
        <v>45</v>
      </c>
      <c r="C11554" s="7" t="n">
        <v>11</v>
      </c>
      <c r="D11554" s="7" t="n">
        <v>3</v>
      </c>
      <c r="E11554" s="7" t="n">
        <v>40.2999992370605</v>
      </c>
      <c r="F11554" s="7" t="n">
        <v>0</v>
      </c>
    </row>
    <row r="11555" spans="1:9">
      <c r="A11555" t="s">
        <v>4</v>
      </c>
      <c r="B11555" s="4" t="s">
        <v>5</v>
      </c>
      <c r="C11555" s="4" t="s">
        <v>7</v>
      </c>
      <c r="D11555" s="4" t="s">
        <v>7</v>
      </c>
      <c r="E11555" s="4" t="s">
        <v>13</v>
      </c>
      <c r="F11555" s="4" t="s">
        <v>13</v>
      </c>
      <c r="G11555" s="4" t="s">
        <v>13</v>
      </c>
      <c r="H11555" s="4" t="s">
        <v>11</v>
      </c>
    </row>
    <row r="11556" spans="1:9">
      <c r="A11556" t="n">
        <v>106499</v>
      </c>
      <c r="B11556" s="51" t="n">
        <v>45</v>
      </c>
      <c r="C11556" s="7" t="n">
        <v>2</v>
      </c>
      <c r="D11556" s="7" t="n">
        <v>3</v>
      </c>
      <c r="E11556" s="7" t="n">
        <v>-9.10000038146973</v>
      </c>
      <c r="F11556" s="7" t="n">
        <v>6.75</v>
      </c>
      <c r="G11556" s="7" t="n">
        <v>31.9699993133545</v>
      </c>
      <c r="H11556" s="7" t="n">
        <v>6000</v>
      </c>
    </row>
    <row r="11557" spans="1:9">
      <c r="A11557" t="s">
        <v>4</v>
      </c>
      <c r="B11557" s="4" t="s">
        <v>5</v>
      </c>
      <c r="C11557" s="4" t="s">
        <v>7</v>
      </c>
      <c r="D11557" s="4" t="s">
        <v>7</v>
      </c>
      <c r="E11557" s="4" t="s">
        <v>13</v>
      </c>
      <c r="F11557" s="4" t="s">
        <v>13</v>
      </c>
      <c r="G11557" s="4" t="s">
        <v>13</v>
      </c>
      <c r="H11557" s="4" t="s">
        <v>11</v>
      </c>
      <c r="I11557" s="4" t="s">
        <v>7</v>
      </c>
    </row>
    <row r="11558" spans="1:9">
      <c r="A11558" t="n">
        <v>106516</v>
      </c>
      <c r="B11558" s="51" t="n">
        <v>45</v>
      </c>
      <c r="C11558" s="7" t="n">
        <v>4</v>
      </c>
      <c r="D11558" s="7" t="n">
        <v>3</v>
      </c>
      <c r="E11558" s="7" t="n">
        <v>0.0299999993294477</v>
      </c>
      <c r="F11558" s="7" t="n">
        <v>90</v>
      </c>
      <c r="G11558" s="7" t="n">
        <v>0</v>
      </c>
      <c r="H11558" s="7" t="n">
        <v>6000</v>
      </c>
      <c r="I11558" s="7" t="n">
        <v>0</v>
      </c>
    </row>
    <row r="11559" spans="1:9">
      <c r="A11559" t="s">
        <v>4</v>
      </c>
      <c r="B11559" s="4" t="s">
        <v>5</v>
      </c>
      <c r="C11559" s="4" t="s">
        <v>7</v>
      </c>
      <c r="D11559" s="4" t="s">
        <v>7</v>
      </c>
      <c r="E11559" s="4" t="s">
        <v>13</v>
      </c>
      <c r="F11559" s="4" t="s">
        <v>11</v>
      </c>
    </row>
    <row r="11560" spans="1:9">
      <c r="A11560" t="n">
        <v>106534</v>
      </c>
      <c r="B11560" s="51" t="n">
        <v>45</v>
      </c>
      <c r="C11560" s="7" t="n">
        <v>5</v>
      </c>
      <c r="D11560" s="7" t="n">
        <v>3</v>
      </c>
      <c r="E11560" s="7" t="n">
        <v>1.79999995231628</v>
      </c>
      <c r="F11560" s="7" t="n">
        <v>6000</v>
      </c>
    </row>
    <row r="11561" spans="1:9">
      <c r="A11561" t="s">
        <v>4</v>
      </c>
      <c r="B11561" s="4" t="s">
        <v>5</v>
      </c>
      <c r="C11561" s="4" t="s">
        <v>8</v>
      </c>
      <c r="D11561" s="4" t="s">
        <v>8</v>
      </c>
    </row>
    <row r="11562" spans="1:9">
      <c r="A11562" t="n">
        <v>106543</v>
      </c>
      <c r="B11562" s="52" t="n">
        <v>70</v>
      </c>
      <c r="C11562" s="7" t="s">
        <v>25</v>
      </c>
      <c r="D11562" s="7" t="s">
        <v>109</v>
      </c>
    </row>
    <row r="11563" spans="1:9">
      <c r="A11563" t="s">
        <v>4</v>
      </c>
      <c r="B11563" s="4" t="s">
        <v>5</v>
      </c>
      <c r="C11563" s="4" t="s">
        <v>7</v>
      </c>
      <c r="D11563" s="4" t="s">
        <v>11</v>
      </c>
      <c r="E11563" s="4" t="s">
        <v>13</v>
      </c>
    </row>
    <row r="11564" spans="1:9">
      <c r="A11564" t="n">
        <v>106560</v>
      </c>
      <c r="B11564" s="23" t="n">
        <v>58</v>
      </c>
      <c r="C11564" s="7" t="n">
        <v>100</v>
      </c>
      <c r="D11564" s="7" t="n">
        <v>1000</v>
      </c>
      <c r="E11564" s="7" t="n">
        <v>1</v>
      </c>
    </row>
    <row r="11565" spans="1:9">
      <c r="A11565" t="s">
        <v>4</v>
      </c>
      <c r="B11565" s="4" t="s">
        <v>5</v>
      </c>
      <c r="C11565" s="4" t="s">
        <v>7</v>
      </c>
      <c r="D11565" s="4" t="s">
        <v>11</v>
      </c>
    </row>
    <row r="11566" spans="1:9">
      <c r="A11566" t="n">
        <v>106568</v>
      </c>
      <c r="B11566" s="23" t="n">
        <v>58</v>
      </c>
      <c r="C11566" s="7" t="n">
        <v>255</v>
      </c>
      <c r="D11566" s="7" t="n">
        <v>0</v>
      </c>
    </row>
    <row r="11567" spans="1:9">
      <c r="A11567" t="s">
        <v>4</v>
      </c>
      <c r="B11567" s="4" t="s">
        <v>5</v>
      </c>
      <c r="C11567" s="4" t="s">
        <v>7</v>
      </c>
      <c r="D11567" s="4" t="s">
        <v>8</v>
      </c>
      <c r="E11567" s="4" t="s">
        <v>11</v>
      </c>
    </row>
    <row r="11568" spans="1:9">
      <c r="A11568" t="n">
        <v>106572</v>
      </c>
      <c r="B11568" s="15" t="n">
        <v>94</v>
      </c>
      <c r="C11568" s="7" t="n">
        <v>1</v>
      </c>
      <c r="D11568" s="7" t="s">
        <v>25</v>
      </c>
      <c r="E11568" s="7" t="n">
        <v>512</v>
      </c>
    </row>
    <row r="11569" spans="1:9">
      <c r="A11569" t="s">
        <v>4</v>
      </c>
      <c r="B11569" s="4" t="s">
        <v>5</v>
      </c>
      <c r="C11569" s="4" t="s">
        <v>11</v>
      </c>
    </row>
    <row r="11570" spans="1:9">
      <c r="A11570" t="n">
        <v>106586</v>
      </c>
      <c r="B11570" s="29" t="n">
        <v>16</v>
      </c>
      <c r="C11570" s="7" t="n">
        <v>4000</v>
      </c>
    </row>
    <row r="11571" spans="1:9">
      <c r="A11571" t="s">
        <v>4</v>
      </c>
      <c r="B11571" s="4" t="s">
        <v>5</v>
      </c>
      <c r="C11571" s="4" t="s">
        <v>11</v>
      </c>
      <c r="D11571" s="4" t="s">
        <v>7</v>
      </c>
      <c r="E11571" s="4" t="s">
        <v>13</v>
      </c>
      <c r="F11571" s="4" t="s">
        <v>11</v>
      </c>
    </row>
    <row r="11572" spans="1:9">
      <c r="A11572" t="n">
        <v>106589</v>
      </c>
      <c r="B11572" s="56" t="n">
        <v>59</v>
      </c>
      <c r="C11572" s="7" t="n">
        <v>0</v>
      </c>
      <c r="D11572" s="7" t="n">
        <v>9</v>
      </c>
      <c r="E11572" s="7" t="n">
        <v>0.150000005960464</v>
      </c>
      <c r="F11572" s="7" t="n">
        <v>0</v>
      </c>
    </row>
    <row r="11573" spans="1:9">
      <c r="A11573" t="s">
        <v>4</v>
      </c>
      <c r="B11573" s="4" t="s">
        <v>5</v>
      </c>
      <c r="C11573" s="4" t="s">
        <v>11</v>
      </c>
      <c r="D11573" s="4" t="s">
        <v>7</v>
      </c>
      <c r="E11573" s="4" t="s">
        <v>13</v>
      </c>
      <c r="F11573" s="4" t="s">
        <v>11</v>
      </c>
    </row>
    <row r="11574" spans="1:9">
      <c r="A11574" t="n">
        <v>106599</v>
      </c>
      <c r="B11574" s="56" t="n">
        <v>59</v>
      </c>
      <c r="C11574" s="7" t="n">
        <v>2</v>
      </c>
      <c r="D11574" s="7" t="n">
        <v>9</v>
      </c>
      <c r="E11574" s="7" t="n">
        <v>0.150000005960464</v>
      </c>
      <c r="F11574" s="7" t="n">
        <v>0</v>
      </c>
    </row>
    <row r="11575" spans="1:9">
      <c r="A11575" t="s">
        <v>4</v>
      </c>
      <c r="B11575" s="4" t="s">
        <v>5</v>
      </c>
      <c r="C11575" s="4" t="s">
        <v>11</v>
      </c>
    </row>
    <row r="11576" spans="1:9">
      <c r="A11576" t="n">
        <v>106609</v>
      </c>
      <c r="B11576" s="29" t="n">
        <v>16</v>
      </c>
      <c r="C11576" s="7" t="n">
        <v>1500</v>
      </c>
    </row>
    <row r="11577" spans="1:9">
      <c r="A11577" t="s">
        <v>4</v>
      </c>
      <c r="B11577" s="4" t="s">
        <v>5</v>
      </c>
      <c r="C11577" s="4" t="s">
        <v>7</v>
      </c>
      <c r="D11577" s="4" t="s">
        <v>11</v>
      </c>
    </row>
    <row r="11578" spans="1:9">
      <c r="A11578" t="n">
        <v>106612</v>
      </c>
      <c r="B11578" s="51" t="n">
        <v>45</v>
      </c>
      <c r="C11578" s="7" t="n">
        <v>7</v>
      </c>
      <c r="D11578" s="7" t="n">
        <v>255</v>
      </c>
    </row>
    <row r="11579" spans="1:9">
      <c r="A11579" t="s">
        <v>4</v>
      </c>
      <c r="B11579" s="4" t="s">
        <v>5</v>
      </c>
      <c r="C11579" s="4" t="s">
        <v>7</v>
      </c>
      <c r="D11579" s="4" t="s">
        <v>11</v>
      </c>
      <c r="E11579" s="4" t="s">
        <v>13</v>
      </c>
    </row>
    <row r="11580" spans="1:9">
      <c r="A11580" t="n">
        <v>106616</v>
      </c>
      <c r="B11580" s="23" t="n">
        <v>58</v>
      </c>
      <c r="C11580" s="7" t="n">
        <v>0</v>
      </c>
      <c r="D11580" s="7" t="n">
        <v>2000</v>
      </c>
      <c r="E11580" s="7" t="n">
        <v>1</v>
      </c>
    </row>
    <row r="11581" spans="1:9">
      <c r="A11581" t="s">
        <v>4</v>
      </c>
      <c r="B11581" s="4" t="s">
        <v>5</v>
      </c>
      <c r="C11581" s="4" t="s">
        <v>7</v>
      </c>
      <c r="D11581" s="4" t="s">
        <v>11</v>
      </c>
    </row>
    <row r="11582" spans="1:9">
      <c r="A11582" t="n">
        <v>106624</v>
      </c>
      <c r="B11582" s="23" t="n">
        <v>58</v>
      </c>
      <c r="C11582" s="7" t="n">
        <v>255</v>
      </c>
      <c r="D11582" s="7" t="n">
        <v>0</v>
      </c>
    </row>
    <row r="11583" spans="1:9">
      <c r="A11583" t="s">
        <v>4</v>
      </c>
      <c r="B11583" s="4" t="s">
        <v>5</v>
      </c>
      <c r="C11583" s="4" t="s">
        <v>7</v>
      </c>
      <c r="D11583" s="4" t="s">
        <v>7</v>
      </c>
      <c r="E11583" s="4" t="s">
        <v>13</v>
      </c>
      <c r="F11583" s="4" t="s">
        <v>13</v>
      </c>
      <c r="G11583" s="4" t="s">
        <v>13</v>
      </c>
      <c r="H11583" s="4" t="s">
        <v>11</v>
      </c>
    </row>
    <row r="11584" spans="1:9">
      <c r="A11584" t="n">
        <v>106628</v>
      </c>
      <c r="B11584" s="51" t="n">
        <v>45</v>
      </c>
      <c r="C11584" s="7" t="n">
        <v>2</v>
      </c>
      <c r="D11584" s="7" t="n">
        <v>3</v>
      </c>
      <c r="E11584" s="7" t="n">
        <v>-7.84000015258789</v>
      </c>
      <c r="F11584" s="7" t="n">
        <v>7.17000007629395</v>
      </c>
      <c r="G11584" s="7" t="n">
        <v>31.6599998474121</v>
      </c>
      <c r="H11584" s="7" t="n">
        <v>0</v>
      </c>
    </row>
    <row r="11585" spans="1:8">
      <c r="A11585" t="s">
        <v>4</v>
      </c>
      <c r="B11585" s="4" t="s">
        <v>5</v>
      </c>
      <c r="C11585" s="4" t="s">
        <v>7</v>
      </c>
      <c r="D11585" s="4" t="s">
        <v>7</v>
      </c>
      <c r="E11585" s="4" t="s">
        <v>13</v>
      </c>
      <c r="F11585" s="4" t="s">
        <v>13</v>
      </c>
      <c r="G11585" s="4" t="s">
        <v>13</v>
      </c>
      <c r="H11585" s="4" t="s">
        <v>11</v>
      </c>
      <c r="I11585" s="4" t="s">
        <v>7</v>
      </c>
    </row>
    <row r="11586" spans="1:8">
      <c r="A11586" t="n">
        <v>106645</v>
      </c>
      <c r="B11586" s="51" t="n">
        <v>45</v>
      </c>
      <c r="C11586" s="7" t="n">
        <v>4</v>
      </c>
      <c r="D11586" s="7" t="n">
        <v>3</v>
      </c>
      <c r="E11586" s="7" t="n">
        <v>9.01000022888184</v>
      </c>
      <c r="F11586" s="7" t="n">
        <v>55.7900009155273</v>
      </c>
      <c r="G11586" s="7" t="n">
        <v>0</v>
      </c>
      <c r="H11586" s="7" t="n">
        <v>0</v>
      </c>
      <c r="I11586" s="7" t="n">
        <v>0</v>
      </c>
    </row>
    <row r="11587" spans="1:8">
      <c r="A11587" t="s">
        <v>4</v>
      </c>
      <c r="B11587" s="4" t="s">
        <v>5</v>
      </c>
      <c r="C11587" s="4" t="s">
        <v>7</v>
      </c>
      <c r="D11587" s="4" t="s">
        <v>7</v>
      </c>
      <c r="E11587" s="4" t="s">
        <v>13</v>
      </c>
      <c r="F11587" s="4" t="s">
        <v>11</v>
      </c>
    </row>
    <row r="11588" spans="1:8">
      <c r="A11588" t="n">
        <v>106663</v>
      </c>
      <c r="B11588" s="51" t="n">
        <v>45</v>
      </c>
      <c r="C11588" s="7" t="n">
        <v>5</v>
      </c>
      <c r="D11588" s="7" t="n">
        <v>3</v>
      </c>
      <c r="E11588" s="7" t="n">
        <v>2.40000009536743</v>
      </c>
      <c r="F11588" s="7" t="n">
        <v>0</v>
      </c>
    </row>
    <row r="11589" spans="1:8">
      <c r="A11589" t="s">
        <v>4</v>
      </c>
      <c r="B11589" s="4" t="s">
        <v>5</v>
      </c>
      <c r="C11589" s="4" t="s">
        <v>7</v>
      </c>
      <c r="D11589" s="4" t="s">
        <v>7</v>
      </c>
      <c r="E11589" s="4" t="s">
        <v>13</v>
      </c>
      <c r="F11589" s="4" t="s">
        <v>11</v>
      </c>
    </row>
    <row r="11590" spans="1:8">
      <c r="A11590" t="n">
        <v>106672</v>
      </c>
      <c r="B11590" s="51" t="n">
        <v>45</v>
      </c>
      <c r="C11590" s="7" t="n">
        <v>11</v>
      </c>
      <c r="D11590" s="7" t="n">
        <v>3</v>
      </c>
      <c r="E11590" s="7" t="n">
        <v>40.2999992370605</v>
      </c>
      <c r="F11590" s="7" t="n">
        <v>0</v>
      </c>
    </row>
    <row r="11591" spans="1:8">
      <c r="A11591" t="s">
        <v>4</v>
      </c>
      <c r="B11591" s="4" t="s">
        <v>5</v>
      </c>
      <c r="C11591" s="4" t="s">
        <v>7</v>
      </c>
      <c r="D11591" s="4" t="s">
        <v>7</v>
      </c>
      <c r="E11591" s="4" t="s">
        <v>13</v>
      </c>
      <c r="F11591" s="4" t="s">
        <v>13</v>
      </c>
      <c r="G11591" s="4" t="s">
        <v>13</v>
      </c>
      <c r="H11591" s="4" t="s">
        <v>11</v>
      </c>
    </row>
    <row r="11592" spans="1:8">
      <c r="A11592" t="n">
        <v>106681</v>
      </c>
      <c r="B11592" s="51" t="n">
        <v>45</v>
      </c>
      <c r="C11592" s="7" t="n">
        <v>2</v>
      </c>
      <c r="D11592" s="7" t="n">
        <v>3</v>
      </c>
      <c r="E11592" s="7" t="n">
        <v>-6.8899998664856</v>
      </c>
      <c r="F11592" s="7" t="n">
        <v>6.26999998092651</v>
      </c>
      <c r="G11592" s="7" t="n">
        <v>30.0599994659424</v>
      </c>
      <c r="H11592" s="7" t="n">
        <v>6000</v>
      </c>
    </row>
    <row r="11593" spans="1:8">
      <c r="A11593" t="s">
        <v>4</v>
      </c>
      <c r="B11593" s="4" t="s">
        <v>5</v>
      </c>
      <c r="C11593" s="4" t="s">
        <v>7</v>
      </c>
      <c r="D11593" s="4" t="s">
        <v>7</v>
      </c>
      <c r="E11593" s="4" t="s">
        <v>13</v>
      </c>
      <c r="F11593" s="4" t="s">
        <v>13</v>
      </c>
      <c r="G11593" s="4" t="s">
        <v>13</v>
      </c>
      <c r="H11593" s="4" t="s">
        <v>11</v>
      </c>
      <c r="I11593" s="4" t="s">
        <v>7</v>
      </c>
    </row>
    <row r="11594" spans="1:8">
      <c r="A11594" t="n">
        <v>106698</v>
      </c>
      <c r="B11594" s="51" t="n">
        <v>45</v>
      </c>
      <c r="C11594" s="7" t="n">
        <v>4</v>
      </c>
      <c r="D11594" s="7" t="n">
        <v>3</v>
      </c>
      <c r="E11594" s="7" t="n">
        <v>6.73999977111816</v>
      </c>
      <c r="F11594" s="7" t="n">
        <v>13.6199998855591</v>
      </c>
      <c r="G11594" s="7" t="n">
        <v>0</v>
      </c>
      <c r="H11594" s="7" t="n">
        <v>6000</v>
      </c>
      <c r="I11594" s="7" t="n">
        <v>1</v>
      </c>
    </row>
    <row r="11595" spans="1:8">
      <c r="A11595" t="s">
        <v>4</v>
      </c>
      <c r="B11595" s="4" t="s">
        <v>5</v>
      </c>
      <c r="C11595" s="4" t="s">
        <v>11</v>
      </c>
      <c r="D11595" s="4" t="s">
        <v>13</v>
      </c>
      <c r="E11595" s="4" t="s">
        <v>13</v>
      </c>
      <c r="F11595" s="4" t="s">
        <v>13</v>
      </c>
      <c r="G11595" s="4" t="s">
        <v>13</v>
      </c>
    </row>
    <row r="11596" spans="1:8">
      <c r="A11596" t="n">
        <v>106716</v>
      </c>
      <c r="B11596" s="36" t="n">
        <v>46</v>
      </c>
      <c r="C11596" s="7" t="n">
        <v>0</v>
      </c>
      <c r="D11596" s="7" t="n">
        <v>-6.51000022888184</v>
      </c>
      <c r="E11596" s="7" t="n">
        <v>5</v>
      </c>
      <c r="F11596" s="7" t="n">
        <v>29.8999996185303</v>
      </c>
      <c r="G11596" s="7" t="n">
        <v>208</v>
      </c>
    </row>
    <row r="11597" spans="1:8">
      <c r="A11597" t="s">
        <v>4</v>
      </c>
      <c r="B11597" s="4" t="s">
        <v>5</v>
      </c>
      <c r="C11597" s="4" t="s">
        <v>11</v>
      </c>
      <c r="D11597" s="4" t="s">
        <v>13</v>
      </c>
      <c r="E11597" s="4" t="s">
        <v>13</v>
      </c>
      <c r="F11597" s="4" t="s">
        <v>13</v>
      </c>
      <c r="G11597" s="4" t="s">
        <v>13</v>
      </c>
    </row>
    <row r="11598" spans="1:8">
      <c r="A11598" t="n">
        <v>106735</v>
      </c>
      <c r="B11598" s="36" t="n">
        <v>46</v>
      </c>
      <c r="C11598" s="7" t="n">
        <v>2</v>
      </c>
      <c r="D11598" s="7" t="n">
        <v>-7.44999980926514</v>
      </c>
      <c r="E11598" s="7" t="n">
        <v>5</v>
      </c>
      <c r="F11598" s="7" t="n">
        <v>29.7999992370605</v>
      </c>
      <c r="G11598" s="7" t="n">
        <v>151.199996948242</v>
      </c>
    </row>
    <row r="11599" spans="1:8">
      <c r="A11599" t="s">
        <v>4</v>
      </c>
      <c r="B11599" s="4" t="s">
        <v>5</v>
      </c>
      <c r="C11599" s="4" t="s">
        <v>8</v>
      </c>
      <c r="D11599" s="4" t="s">
        <v>8</v>
      </c>
    </row>
    <row r="11600" spans="1:8">
      <c r="A11600" t="n">
        <v>106754</v>
      </c>
      <c r="B11600" s="52" t="n">
        <v>70</v>
      </c>
      <c r="C11600" s="7" t="s">
        <v>25</v>
      </c>
      <c r="D11600" s="7" t="s">
        <v>118</v>
      </c>
    </row>
    <row r="11601" spans="1:9">
      <c r="A11601" t="s">
        <v>4</v>
      </c>
      <c r="B11601" s="4" t="s">
        <v>5</v>
      </c>
      <c r="C11601" s="4" t="s">
        <v>11</v>
      </c>
      <c r="D11601" s="4" t="s">
        <v>11</v>
      </c>
      <c r="E11601" s="4" t="s">
        <v>11</v>
      </c>
    </row>
    <row r="11602" spans="1:9">
      <c r="A11602" t="n">
        <v>106770</v>
      </c>
      <c r="B11602" s="72" t="n">
        <v>61</v>
      </c>
      <c r="C11602" s="7" t="n">
        <v>2</v>
      </c>
      <c r="D11602" s="7" t="n">
        <v>0</v>
      </c>
      <c r="E11602" s="7" t="n">
        <v>0</v>
      </c>
    </row>
    <row r="11603" spans="1:9">
      <c r="A11603" t="s">
        <v>4</v>
      </c>
      <c r="B11603" s="4" t="s">
        <v>5</v>
      </c>
      <c r="C11603" s="4" t="s">
        <v>11</v>
      </c>
      <c r="D11603" s="4" t="s">
        <v>11</v>
      </c>
      <c r="E11603" s="4" t="s">
        <v>11</v>
      </c>
    </row>
    <row r="11604" spans="1:9">
      <c r="A11604" t="n">
        <v>106777</v>
      </c>
      <c r="B11604" s="72" t="n">
        <v>61</v>
      </c>
      <c r="C11604" s="7" t="n">
        <v>0</v>
      </c>
      <c r="D11604" s="7" t="n">
        <v>2</v>
      </c>
      <c r="E11604" s="7" t="n">
        <v>0</v>
      </c>
    </row>
    <row r="11605" spans="1:9">
      <c r="A11605" t="s">
        <v>4</v>
      </c>
      <c r="B11605" s="4" t="s">
        <v>5</v>
      </c>
      <c r="C11605" s="4" t="s">
        <v>7</v>
      </c>
      <c r="D11605" s="4" t="s">
        <v>11</v>
      </c>
      <c r="E11605" s="4" t="s">
        <v>13</v>
      </c>
    </row>
    <row r="11606" spans="1:9">
      <c r="A11606" t="n">
        <v>106784</v>
      </c>
      <c r="B11606" s="23" t="n">
        <v>58</v>
      </c>
      <c r="C11606" s="7" t="n">
        <v>100</v>
      </c>
      <c r="D11606" s="7" t="n">
        <v>1000</v>
      </c>
      <c r="E11606" s="7" t="n">
        <v>1</v>
      </c>
    </row>
    <row r="11607" spans="1:9">
      <c r="A11607" t="s">
        <v>4</v>
      </c>
      <c r="B11607" s="4" t="s">
        <v>5</v>
      </c>
      <c r="C11607" s="4" t="s">
        <v>7</v>
      </c>
      <c r="D11607" s="4" t="s">
        <v>11</v>
      </c>
    </row>
    <row r="11608" spans="1:9">
      <c r="A11608" t="n">
        <v>106792</v>
      </c>
      <c r="B11608" s="23" t="n">
        <v>58</v>
      </c>
      <c r="C11608" s="7" t="n">
        <v>255</v>
      </c>
      <c r="D11608" s="7" t="n">
        <v>0</v>
      </c>
    </row>
    <row r="11609" spans="1:9">
      <c r="A11609" t="s">
        <v>4</v>
      </c>
      <c r="B11609" s="4" t="s">
        <v>5</v>
      </c>
      <c r="C11609" s="4" t="s">
        <v>11</v>
      </c>
    </row>
    <row r="11610" spans="1:9">
      <c r="A11610" t="n">
        <v>106796</v>
      </c>
      <c r="B11610" s="29" t="n">
        <v>16</v>
      </c>
      <c r="C11610" s="7" t="n">
        <v>1000</v>
      </c>
    </row>
    <row r="11611" spans="1:9">
      <c r="A11611" t="s">
        <v>4</v>
      </c>
      <c r="B11611" s="4" t="s">
        <v>5</v>
      </c>
      <c r="C11611" s="4" t="s">
        <v>7</v>
      </c>
      <c r="D11611" s="4" t="s">
        <v>11</v>
      </c>
    </row>
    <row r="11612" spans="1:9">
      <c r="A11612" t="n">
        <v>106799</v>
      </c>
      <c r="B11612" s="51" t="n">
        <v>45</v>
      </c>
      <c r="C11612" s="7" t="n">
        <v>7</v>
      </c>
      <c r="D11612" s="7" t="n">
        <v>255</v>
      </c>
    </row>
    <row r="11613" spans="1:9">
      <c r="A11613" t="s">
        <v>4</v>
      </c>
      <c r="B11613" s="4" t="s">
        <v>5</v>
      </c>
      <c r="C11613" s="4" t="s">
        <v>7</v>
      </c>
      <c r="D11613" s="4" t="s">
        <v>11</v>
      </c>
      <c r="E11613" s="4" t="s">
        <v>13</v>
      </c>
    </row>
    <row r="11614" spans="1:9">
      <c r="A11614" t="n">
        <v>106803</v>
      </c>
      <c r="B11614" s="23" t="n">
        <v>58</v>
      </c>
      <c r="C11614" s="7" t="n">
        <v>101</v>
      </c>
      <c r="D11614" s="7" t="n">
        <v>500</v>
      </c>
      <c r="E11614" s="7" t="n">
        <v>1</v>
      </c>
    </row>
    <row r="11615" spans="1:9">
      <c r="A11615" t="s">
        <v>4</v>
      </c>
      <c r="B11615" s="4" t="s">
        <v>5</v>
      </c>
      <c r="C11615" s="4" t="s">
        <v>7</v>
      </c>
      <c r="D11615" s="4" t="s">
        <v>11</v>
      </c>
    </row>
    <row r="11616" spans="1:9">
      <c r="A11616" t="n">
        <v>106811</v>
      </c>
      <c r="B11616" s="23" t="n">
        <v>58</v>
      </c>
      <c r="C11616" s="7" t="n">
        <v>254</v>
      </c>
      <c r="D11616" s="7" t="n">
        <v>0</v>
      </c>
    </row>
    <row r="11617" spans="1:5">
      <c r="A11617" t="s">
        <v>4</v>
      </c>
      <c r="B11617" s="4" t="s">
        <v>5</v>
      </c>
      <c r="C11617" s="4" t="s">
        <v>7</v>
      </c>
      <c r="D11617" s="4" t="s">
        <v>11</v>
      </c>
      <c r="E11617" s="4" t="s">
        <v>8</v>
      </c>
      <c r="F11617" s="4" t="s">
        <v>8</v>
      </c>
      <c r="G11617" s="4" t="s">
        <v>8</v>
      </c>
      <c r="H11617" s="4" t="s">
        <v>8</v>
      </c>
    </row>
    <row r="11618" spans="1:5">
      <c r="A11618" t="n">
        <v>106815</v>
      </c>
      <c r="B11618" s="38" t="n">
        <v>51</v>
      </c>
      <c r="C11618" s="7" t="n">
        <v>3</v>
      </c>
      <c r="D11618" s="7" t="n">
        <v>2</v>
      </c>
      <c r="E11618" s="7" t="s">
        <v>79</v>
      </c>
      <c r="F11618" s="7" t="s">
        <v>79</v>
      </c>
      <c r="G11618" s="7" t="s">
        <v>78</v>
      </c>
      <c r="H11618" s="7" t="s">
        <v>79</v>
      </c>
    </row>
    <row r="11619" spans="1:5">
      <c r="A11619" t="s">
        <v>4</v>
      </c>
      <c r="B11619" s="4" t="s">
        <v>5</v>
      </c>
      <c r="C11619" s="4" t="s">
        <v>7</v>
      </c>
      <c r="D11619" s="4" t="s">
        <v>11</v>
      </c>
      <c r="E11619" s="4" t="s">
        <v>11</v>
      </c>
      <c r="F11619" s="4" t="s">
        <v>15</v>
      </c>
      <c r="G11619" s="4" t="s">
        <v>15</v>
      </c>
      <c r="H11619" s="4" t="s">
        <v>15</v>
      </c>
    </row>
    <row r="11620" spans="1:5">
      <c r="A11620" t="n">
        <v>106828</v>
      </c>
      <c r="B11620" s="77" t="n">
        <v>97</v>
      </c>
      <c r="C11620" s="7" t="n">
        <v>6</v>
      </c>
      <c r="D11620" s="7" t="n">
        <v>0</v>
      </c>
      <c r="E11620" s="7" t="n">
        <v>0</v>
      </c>
      <c r="F11620" s="7" t="n">
        <v>-1065143501</v>
      </c>
      <c r="G11620" s="7" t="n">
        <v>1101004800</v>
      </c>
      <c r="H11620" s="7" t="n">
        <v>1101004800</v>
      </c>
    </row>
    <row r="11621" spans="1:5">
      <c r="A11621" t="s">
        <v>4</v>
      </c>
      <c r="B11621" s="4" t="s">
        <v>5</v>
      </c>
      <c r="C11621" s="4" t="s">
        <v>7</v>
      </c>
      <c r="D11621" s="4" t="s">
        <v>7</v>
      </c>
      <c r="E11621" s="4" t="s">
        <v>13</v>
      </c>
      <c r="F11621" s="4" t="s">
        <v>13</v>
      </c>
      <c r="G11621" s="4" t="s">
        <v>13</v>
      </c>
      <c r="H11621" s="4" t="s">
        <v>11</v>
      </c>
    </row>
    <row r="11622" spans="1:5">
      <c r="A11622" t="n">
        <v>106846</v>
      </c>
      <c r="B11622" s="51" t="n">
        <v>45</v>
      </c>
      <c r="C11622" s="7" t="n">
        <v>2</v>
      </c>
      <c r="D11622" s="7" t="n">
        <v>3</v>
      </c>
      <c r="E11622" s="7" t="n">
        <v>-6.86999988555908</v>
      </c>
      <c r="F11622" s="7" t="n">
        <v>6.42999982833862</v>
      </c>
      <c r="G11622" s="7" t="n">
        <v>29.8400001525879</v>
      </c>
      <c r="H11622" s="7" t="n">
        <v>0</v>
      </c>
    </row>
    <row r="11623" spans="1:5">
      <c r="A11623" t="s">
        <v>4</v>
      </c>
      <c r="B11623" s="4" t="s">
        <v>5</v>
      </c>
      <c r="C11623" s="4" t="s">
        <v>7</v>
      </c>
      <c r="D11623" s="4" t="s">
        <v>7</v>
      </c>
      <c r="E11623" s="4" t="s">
        <v>13</v>
      </c>
      <c r="F11623" s="4" t="s">
        <v>13</v>
      </c>
      <c r="G11623" s="4" t="s">
        <v>13</v>
      </c>
      <c r="H11623" s="4" t="s">
        <v>11</v>
      </c>
      <c r="I11623" s="4" t="s">
        <v>7</v>
      </c>
    </row>
    <row r="11624" spans="1:5">
      <c r="A11624" t="n">
        <v>106863</v>
      </c>
      <c r="B11624" s="51" t="n">
        <v>45</v>
      </c>
      <c r="C11624" s="7" t="n">
        <v>4</v>
      </c>
      <c r="D11624" s="7" t="n">
        <v>3</v>
      </c>
      <c r="E11624" s="7" t="n">
        <v>18.2999992370605</v>
      </c>
      <c r="F11624" s="7" t="n">
        <v>135.5</v>
      </c>
      <c r="G11624" s="7" t="n">
        <v>0</v>
      </c>
      <c r="H11624" s="7" t="n">
        <v>0</v>
      </c>
      <c r="I11624" s="7" t="n">
        <v>0</v>
      </c>
    </row>
    <row r="11625" spans="1:5">
      <c r="A11625" t="s">
        <v>4</v>
      </c>
      <c r="B11625" s="4" t="s">
        <v>5</v>
      </c>
      <c r="C11625" s="4" t="s">
        <v>7</v>
      </c>
      <c r="D11625" s="4" t="s">
        <v>7</v>
      </c>
      <c r="E11625" s="4" t="s">
        <v>13</v>
      </c>
      <c r="F11625" s="4" t="s">
        <v>11</v>
      </c>
    </row>
    <row r="11626" spans="1:5">
      <c r="A11626" t="n">
        <v>106881</v>
      </c>
      <c r="B11626" s="51" t="n">
        <v>45</v>
      </c>
      <c r="C11626" s="7" t="n">
        <v>5</v>
      </c>
      <c r="D11626" s="7" t="n">
        <v>3</v>
      </c>
      <c r="E11626" s="7" t="n">
        <v>1.29999995231628</v>
      </c>
      <c r="F11626" s="7" t="n">
        <v>0</v>
      </c>
    </row>
    <row r="11627" spans="1:5">
      <c r="A11627" t="s">
        <v>4</v>
      </c>
      <c r="B11627" s="4" t="s">
        <v>5</v>
      </c>
      <c r="C11627" s="4" t="s">
        <v>7</v>
      </c>
      <c r="D11627" s="4" t="s">
        <v>7</v>
      </c>
      <c r="E11627" s="4" t="s">
        <v>13</v>
      </c>
      <c r="F11627" s="4" t="s">
        <v>11</v>
      </c>
    </row>
    <row r="11628" spans="1:5">
      <c r="A11628" t="n">
        <v>106890</v>
      </c>
      <c r="B11628" s="51" t="n">
        <v>45</v>
      </c>
      <c r="C11628" s="7" t="n">
        <v>11</v>
      </c>
      <c r="D11628" s="7" t="n">
        <v>3</v>
      </c>
      <c r="E11628" s="7" t="n">
        <v>40.2999992370605</v>
      </c>
      <c r="F11628" s="7" t="n">
        <v>0</v>
      </c>
    </row>
    <row r="11629" spans="1:5">
      <c r="A11629" t="s">
        <v>4</v>
      </c>
      <c r="B11629" s="4" t="s">
        <v>5</v>
      </c>
      <c r="C11629" s="4" t="s">
        <v>7</v>
      </c>
      <c r="D11629" s="4" t="s">
        <v>11</v>
      </c>
    </row>
    <row r="11630" spans="1:5">
      <c r="A11630" t="n">
        <v>106899</v>
      </c>
      <c r="B11630" s="23" t="n">
        <v>58</v>
      </c>
      <c r="C11630" s="7" t="n">
        <v>255</v>
      </c>
      <c r="D11630" s="7" t="n">
        <v>0</v>
      </c>
    </row>
    <row r="11631" spans="1:5">
      <c r="A11631" t="s">
        <v>4</v>
      </c>
      <c r="B11631" s="4" t="s">
        <v>5</v>
      </c>
      <c r="C11631" s="4" t="s">
        <v>7</v>
      </c>
      <c r="D11631" s="4" t="s">
        <v>11</v>
      </c>
      <c r="E11631" s="4" t="s">
        <v>8</v>
      </c>
    </row>
    <row r="11632" spans="1:5">
      <c r="A11632" t="n">
        <v>106903</v>
      </c>
      <c r="B11632" s="38" t="n">
        <v>51</v>
      </c>
      <c r="C11632" s="7" t="n">
        <v>4</v>
      </c>
      <c r="D11632" s="7" t="n">
        <v>2</v>
      </c>
      <c r="E11632" s="7" t="s">
        <v>224</v>
      </c>
    </row>
    <row r="11633" spans="1:9">
      <c r="A11633" t="s">
        <v>4</v>
      </c>
      <c r="B11633" s="4" t="s">
        <v>5</v>
      </c>
      <c r="C11633" s="4" t="s">
        <v>11</v>
      </c>
    </row>
    <row r="11634" spans="1:9">
      <c r="A11634" t="n">
        <v>106917</v>
      </c>
      <c r="B11634" s="29" t="n">
        <v>16</v>
      </c>
      <c r="C11634" s="7" t="n">
        <v>0</v>
      </c>
    </row>
    <row r="11635" spans="1:9">
      <c r="A11635" t="s">
        <v>4</v>
      </c>
      <c r="B11635" s="4" t="s">
        <v>5</v>
      </c>
      <c r="C11635" s="4" t="s">
        <v>11</v>
      </c>
      <c r="D11635" s="4" t="s">
        <v>7</v>
      </c>
      <c r="E11635" s="4" t="s">
        <v>15</v>
      </c>
      <c r="F11635" s="4" t="s">
        <v>55</v>
      </c>
      <c r="G11635" s="4" t="s">
        <v>7</v>
      </c>
      <c r="H11635" s="4" t="s">
        <v>7</v>
      </c>
      <c r="I11635" s="4" t="s">
        <v>7</v>
      </c>
      <c r="J11635" s="4" t="s">
        <v>15</v>
      </c>
      <c r="K11635" s="4" t="s">
        <v>55</v>
      </c>
      <c r="L11635" s="4" t="s">
        <v>7</v>
      </c>
      <c r="M11635" s="4" t="s">
        <v>7</v>
      </c>
    </row>
    <row r="11636" spans="1:9">
      <c r="A11636" t="n">
        <v>106920</v>
      </c>
      <c r="B11636" s="55" t="n">
        <v>26</v>
      </c>
      <c r="C11636" s="7" t="n">
        <v>2</v>
      </c>
      <c r="D11636" s="7" t="n">
        <v>17</v>
      </c>
      <c r="E11636" s="7" t="n">
        <v>64106</v>
      </c>
      <c r="F11636" s="7" t="s">
        <v>935</v>
      </c>
      <c r="G11636" s="7" t="n">
        <v>2</v>
      </c>
      <c r="H11636" s="7" t="n">
        <v>3</v>
      </c>
      <c r="I11636" s="7" t="n">
        <v>17</v>
      </c>
      <c r="J11636" s="7" t="n">
        <v>64107</v>
      </c>
      <c r="K11636" s="7" t="s">
        <v>936</v>
      </c>
      <c r="L11636" s="7" t="n">
        <v>2</v>
      </c>
      <c r="M11636" s="7" t="n">
        <v>0</v>
      </c>
    </row>
    <row r="11637" spans="1:9">
      <c r="A11637" t="s">
        <v>4</v>
      </c>
      <c r="B11637" s="4" t="s">
        <v>5</v>
      </c>
    </row>
    <row r="11638" spans="1:9">
      <c r="A11638" t="n">
        <v>107116</v>
      </c>
      <c r="B11638" s="27" t="n">
        <v>28</v>
      </c>
    </row>
    <row r="11639" spans="1:9">
      <c r="A11639" t="s">
        <v>4</v>
      </c>
      <c r="B11639" s="4" t="s">
        <v>5</v>
      </c>
      <c r="C11639" s="4" t="s">
        <v>7</v>
      </c>
      <c r="D11639" s="4" t="s">
        <v>11</v>
      </c>
      <c r="E11639" s="4" t="s">
        <v>8</v>
      </c>
    </row>
    <row r="11640" spans="1:9">
      <c r="A11640" t="n">
        <v>107117</v>
      </c>
      <c r="B11640" s="38" t="n">
        <v>51</v>
      </c>
      <c r="C11640" s="7" t="n">
        <v>4</v>
      </c>
      <c r="D11640" s="7" t="n">
        <v>0</v>
      </c>
      <c r="E11640" s="7" t="s">
        <v>242</v>
      </c>
    </row>
    <row r="11641" spans="1:9">
      <c r="A11641" t="s">
        <v>4</v>
      </c>
      <c r="B11641" s="4" t="s">
        <v>5</v>
      </c>
      <c r="C11641" s="4" t="s">
        <v>11</v>
      </c>
    </row>
    <row r="11642" spans="1:9">
      <c r="A11642" t="n">
        <v>107131</v>
      </c>
      <c r="B11642" s="29" t="n">
        <v>16</v>
      </c>
      <c r="C11642" s="7" t="n">
        <v>0</v>
      </c>
    </row>
    <row r="11643" spans="1:9">
      <c r="A11643" t="s">
        <v>4</v>
      </c>
      <c r="B11643" s="4" t="s">
        <v>5</v>
      </c>
      <c r="C11643" s="4" t="s">
        <v>11</v>
      </c>
      <c r="D11643" s="4" t="s">
        <v>7</v>
      </c>
      <c r="E11643" s="4" t="s">
        <v>15</v>
      </c>
      <c r="F11643" s="4" t="s">
        <v>55</v>
      </c>
      <c r="G11643" s="4" t="s">
        <v>7</v>
      </c>
      <c r="H11643" s="4" t="s">
        <v>7</v>
      </c>
      <c r="I11643" s="4" t="s">
        <v>7</v>
      </c>
      <c r="J11643" s="4" t="s">
        <v>15</v>
      </c>
      <c r="K11643" s="4" t="s">
        <v>55</v>
      </c>
      <c r="L11643" s="4" t="s">
        <v>7</v>
      </c>
      <c r="M11643" s="4" t="s">
        <v>7</v>
      </c>
    </row>
    <row r="11644" spans="1:9">
      <c r="A11644" t="n">
        <v>107134</v>
      </c>
      <c r="B11644" s="55" t="n">
        <v>26</v>
      </c>
      <c r="C11644" s="7" t="n">
        <v>0</v>
      </c>
      <c r="D11644" s="7" t="n">
        <v>17</v>
      </c>
      <c r="E11644" s="7" t="n">
        <v>64108</v>
      </c>
      <c r="F11644" s="7" t="s">
        <v>937</v>
      </c>
      <c r="G11644" s="7" t="n">
        <v>2</v>
      </c>
      <c r="H11644" s="7" t="n">
        <v>3</v>
      </c>
      <c r="I11644" s="7" t="n">
        <v>17</v>
      </c>
      <c r="J11644" s="7" t="n">
        <v>64109</v>
      </c>
      <c r="K11644" s="7" t="s">
        <v>938</v>
      </c>
      <c r="L11644" s="7" t="n">
        <v>2</v>
      </c>
      <c r="M11644" s="7" t="n">
        <v>0</v>
      </c>
    </row>
    <row r="11645" spans="1:9">
      <c r="A11645" t="s">
        <v>4</v>
      </c>
      <c r="B11645" s="4" t="s">
        <v>5</v>
      </c>
    </row>
    <row r="11646" spans="1:9">
      <c r="A11646" t="n">
        <v>107281</v>
      </c>
      <c r="B11646" s="27" t="n">
        <v>28</v>
      </c>
    </row>
    <row r="11647" spans="1:9">
      <c r="A11647" t="s">
        <v>4</v>
      </c>
      <c r="B11647" s="4" t="s">
        <v>5</v>
      </c>
      <c r="C11647" s="4" t="s">
        <v>7</v>
      </c>
      <c r="D11647" s="4" t="s">
        <v>11</v>
      </c>
      <c r="E11647" s="4" t="s">
        <v>8</v>
      </c>
    </row>
    <row r="11648" spans="1:9">
      <c r="A11648" t="n">
        <v>107282</v>
      </c>
      <c r="B11648" s="38" t="n">
        <v>51</v>
      </c>
      <c r="C11648" s="7" t="n">
        <v>4</v>
      </c>
      <c r="D11648" s="7" t="n">
        <v>2</v>
      </c>
      <c r="E11648" s="7" t="s">
        <v>219</v>
      </c>
    </row>
    <row r="11649" spans="1:13">
      <c r="A11649" t="s">
        <v>4</v>
      </c>
      <c r="B11649" s="4" t="s">
        <v>5</v>
      </c>
      <c r="C11649" s="4" t="s">
        <v>11</v>
      </c>
    </row>
    <row r="11650" spans="1:13">
      <c r="A11650" t="n">
        <v>107295</v>
      </c>
      <c r="B11650" s="29" t="n">
        <v>16</v>
      </c>
      <c r="C11650" s="7" t="n">
        <v>0</v>
      </c>
    </row>
    <row r="11651" spans="1:13">
      <c r="A11651" t="s">
        <v>4</v>
      </c>
      <c r="B11651" s="4" t="s">
        <v>5</v>
      </c>
      <c r="C11651" s="4" t="s">
        <v>11</v>
      </c>
      <c r="D11651" s="4" t="s">
        <v>7</v>
      </c>
      <c r="E11651" s="4" t="s">
        <v>15</v>
      </c>
      <c r="F11651" s="4" t="s">
        <v>55</v>
      </c>
      <c r="G11651" s="4" t="s">
        <v>7</v>
      </c>
      <c r="H11651" s="4" t="s">
        <v>7</v>
      </c>
      <c r="I11651" s="4" t="s">
        <v>7</v>
      </c>
      <c r="J11651" s="4" t="s">
        <v>15</v>
      </c>
      <c r="K11651" s="4" t="s">
        <v>55</v>
      </c>
      <c r="L11651" s="4" t="s">
        <v>7</v>
      </c>
      <c r="M11651" s="4" t="s">
        <v>7</v>
      </c>
    </row>
    <row r="11652" spans="1:13">
      <c r="A11652" t="n">
        <v>107298</v>
      </c>
      <c r="B11652" s="55" t="n">
        <v>26</v>
      </c>
      <c r="C11652" s="7" t="n">
        <v>2</v>
      </c>
      <c r="D11652" s="7" t="n">
        <v>17</v>
      </c>
      <c r="E11652" s="7" t="n">
        <v>64110</v>
      </c>
      <c r="F11652" s="7" t="s">
        <v>939</v>
      </c>
      <c r="G11652" s="7" t="n">
        <v>2</v>
      </c>
      <c r="H11652" s="7" t="n">
        <v>3</v>
      </c>
      <c r="I11652" s="7" t="n">
        <v>17</v>
      </c>
      <c r="J11652" s="7" t="n">
        <v>64111</v>
      </c>
      <c r="K11652" s="7" t="s">
        <v>940</v>
      </c>
      <c r="L11652" s="7" t="n">
        <v>2</v>
      </c>
      <c r="M11652" s="7" t="n">
        <v>0</v>
      </c>
    </row>
    <row r="11653" spans="1:13">
      <c r="A11653" t="s">
        <v>4</v>
      </c>
      <c r="B11653" s="4" t="s">
        <v>5</v>
      </c>
    </row>
    <row r="11654" spans="1:13">
      <c r="A11654" t="n">
        <v>107481</v>
      </c>
      <c r="B11654" s="27" t="n">
        <v>28</v>
      </c>
    </row>
    <row r="11655" spans="1:13">
      <c r="A11655" t="s">
        <v>4</v>
      </c>
      <c r="B11655" s="4" t="s">
        <v>5</v>
      </c>
      <c r="C11655" s="4" t="s">
        <v>7</v>
      </c>
      <c r="D11655" s="4" t="s">
        <v>11</v>
      </c>
      <c r="E11655" s="4" t="s">
        <v>8</v>
      </c>
    </row>
    <row r="11656" spans="1:13">
      <c r="A11656" t="n">
        <v>107482</v>
      </c>
      <c r="B11656" s="38" t="n">
        <v>51</v>
      </c>
      <c r="C11656" s="7" t="n">
        <v>4</v>
      </c>
      <c r="D11656" s="7" t="n">
        <v>0</v>
      </c>
      <c r="E11656" s="7" t="s">
        <v>242</v>
      </c>
    </row>
    <row r="11657" spans="1:13">
      <c r="A11657" t="s">
        <v>4</v>
      </c>
      <c r="B11657" s="4" t="s">
        <v>5</v>
      </c>
      <c r="C11657" s="4" t="s">
        <v>11</v>
      </c>
    </row>
    <row r="11658" spans="1:13">
      <c r="A11658" t="n">
        <v>107496</v>
      </c>
      <c r="B11658" s="29" t="n">
        <v>16</v>
      </c>
      <c r="C11658" s="7" t="n">
        <v>0</v>
      </c>
    </row>
    <row r="11659" spans="1:13">
      <c r="A11659" t="s">
        <v>4</v>
      </c>
      <c r="B11659" s="4" t="s">
        <v>5</v>
      </c>
      <c r="C11659" s="4" t="s">
        <v>11</v>
      </c>
      <c r="D11659" s="4" t="s">
        <v>7</v>
      </c>
      <c r="E11659" s="4" t="s">
        <v>15</v>
      </c>
      <c r="F11659" s="4" t="s">
        <v>55</v>
      </c>
      <c r="G11659" s="4" t="s">
        <v>7</v>
      </c>
      <c r="H11659" s="4" t="s">
        <v>7</v>
      </c>
      <c r="I11659" s="4" t="s">
        <v>7</v>
      </c>
      <c r="J11659" s="4" t="s">
        <v>15</v>
      </c>
      <c r="K11659" s="4" t="s">
        <v>55</v>
      </c>
      <c r="L11659" s="4" t="s">
        <v>7</v>
      </c>
      <c r="M11659" s="4" t="s">
        <v>7</v>
      </c>
      <c r="N11659" s="4" t="s">
        <v>7</v>
      </c>
      <c r="O11659" s="4" t="s">
        <v>15</v>
      </c>
      <c r="P11659" s="4" t="s">
        <v>55</v>
      </c>
      <c r="Q11659" s="4" t="s">
        <v>7</v>
      </c>
      <c r="R11659" s="4" t="s">
        <v>7</v>
      </c>
    </row>
    <row r="11660" spans="1:13">
      <c r="A11660" t="n">
        <v>107499</v>
      </c>
      <c r="B11660" s="55" t="n">
        <v>26</v>
      </c>
      <c r="C11660" s="7" t="n">
        <v>0</v>
      </c>
      <c r="D11660" s="7" t="n">
        <v>17</v>
      </c>
      <c r="E11660" s="7" t="n">
        <v>64112</v>
      </c>
      <c r="F11660" s="7" t="s">
        <v>941</v>
      </c>
      <c r="G11660" s="7" t="n">
        <v>2</v>
      </c>
      <c r="H11660" s="7" t="n">
        <v>3</v>
      </c>
      <c r="I11660" s="7" t="n">
        <v>17</v>
      </c>
      <c r="J11660" s="7" t="n">
        <v>64113</v>
      </c>
      <c r="K11660" s="7" t="s">
        <v>942</v>
      </c>
      <c r="L11660" s="7" t="n">
        <v>2</v>
      </c>
      <c r="M11660" s="7" t="n">
        <v>3</v>
      </c>
      <c r="N11660" s="7" t="n">
        <v>17</v>
      </c>
      <c r="O11660" s="7" t="n">
        <v>64114</v>
      </c>
      <c r="P11660" s="7" t="s">
        <v>943</v>
      </c>
      <c r="Q11660" s="7" t="n">
        <v>2</v>
      </c>
      <c r="R11660" s="7" t="n">
        <v>0</v>
      </c>
    </row>
    <row r="11661" spans="1:13">
      <c r="A11661" t="s">
        <v>4</v>
      </c>
      <c r="B11661" s="4" t="s">
        <v>5</v>
      </c>
    </row>
    <row r="11662" spans="1:13">
      <c r="A11662" t="n">
        <v>107812</v>
      </c>
      <c r="B11662" s="27" t="n">
        <v>28</v>
      </c>
    </row>
    <row r="11663" spans="1:13">
      <c r="A11663" t="s">
        <v>4</v>
      </c>
      <c r="B11663" s="4" t="s">
        <v>5</v>
      </c>
      <c r="C11663" s="4" t="s">
        <v>7</v>
      </c>
      <c r="D11663" s="4" t="s">
        <v>11</v>
      </c>
      <c r="E11663" s="4" t="s">
        <v>8</v>
      </c>
    </row>
    <row r="11664" spans="1:13">
      <c r="A11664" t="n">
        <v>107813</v>
      </c>
      <c r="B11664" s="38" t="n">
        <v>51</v>
      </c>
      <c r="C11664" s="7" t="n">
        <v>4</v>
      </c>
      <c r="D11664" s="7" t="n">
        <v>2</v>
      </c>
      <c r="E11664" s="7" t="s">
        <v>574</v>
      </c>
    </row>
    <row r="11665" spans="1:18">
      <c r="A11665" t="s">
        <v>4</v>
      </c>
      <c r="B11665" s="4" t="s">
        <v>5</v>
      </c>
      <c r="C11665" s="4" t="s">
        <v>11</v>
      </c>
    </row>
    <row r="11666" spans="1:18">
      <c r="A11666" t="n">
        <v>107826</v>
      </c>
      <c r="B11666" s="29" t="n">
        <v>16</v>
      </c>
      <c r="C11666" s="7" t="n">
        <v>0</v>
      </c>
    </row>
    <row r="11667" spans="1:18">
      <c r="A11667" t="s">
        <v>4</v>
      </c>
      <c r="B11667" s="4" t="s">
        <v>5</v>
      </c>
      <c r="C11667" s="4" t="s">
        <v>11</v>
      </c>
      <c r="D11667" s="4" t="s">
        <v>7</v>
      </c>
      <c r="E11667" s="4" t="s">
        <v>15</v>
      </c>
      <c r="F11667" s="4" t="s">
        <v>55</v>
      </c>
      <c r="G11667" s="4" t="s">
        <v>7</v>
      </c>
      <c r="H11667" s="4" t="s">
        <v>7</v>
      </c>
    </row>
    <row r="11668" spans="1:18">
      <c r="A11668" t="n">
        <v>107829</v>
      </c>
      <c r="B11668" s="55" t="n">
        <v>26</v>
      </c>
      <c r="C11668" s="7" t="n">
        <v>2</v>
      </c>
      <c r="D11668" s="7" t="n">
        <v>17</v>
      </c>
      <c r="E11668" s="7" t="n">
        <v>64115</v>
      </c>
      <c r="F11668" s="7" t="s">
        <v>944</v>
      </c>
      <c r="G11668" s="7" t="n">
        <v>2</v>
      </c>
      <c r="H11668" s="7" t="n">
        <v>0</v>
      </c>
    </row>
    <row r="11669" spans="1:18">
      <c r="A11669" t="s">
        <v>4</v>
      </c>
      <c r="B11669" s="4" t="s">
        <v>5</v>
      </c>
    </row>
    <row r="11670" spans="1:18">
      <c r="A11670" t="n">
        <v>107845</v>
      </c>
      <c r="B11670" s="27" t="n">
        <v>28</v>
      </c>
    </row>
    <row r="11671" spans="1:18">
      <c r="A11671" t="s">
        <v>4</v>
      </c>
      <c r="B11671" s="4" t="s">
        <v>5</v>
      </c>
      <c r="C11671" s="4" t="s">
        <v>11</v>
      </c>
      <c r="D11671" s="4" t="s">
        <v>7</v>
      </c>
    </row>
    <row r="11672" spans="1:18">
      <c r="A11672" t="n">
        <v>107846</v>
      </c>
      <c r="B11672" s="68" t="n">
        <v>89</v>
      </c>
      <c r="C11672" s="7" t="n">
        <v>65533</v>
      </c>
      <c r="D11672" s="7" t="n">
        <v>1</v>
      </c>
    </row>
    <row r="11673" spans="1:18">
      <c r="A11673" t="s">
        <v>4</v>
      </c>
      <c r="B11673" s="4" t="s">
        <v>5</v>
      </c>
      <c r="C11673" s="4" t="s">
        <v>7</v>
      </c>
      <c r="D11673" s="4" t="s">
        <v>11</v>
      </c>
      <c r="E11673" s="4" t="s">
        <v>7</v>
      </c>
    </row>
    <row r="11674" spans="1:18">
      <c r="A11674" t="n">
        <v>107850</v>
      </c>
      <c r="B11674" s="13" t="n">
        <v>49</v>
      </c>
      <c r="C11674" s="7" t="n">
        <v>1</v>
      </c>
      <c r="D11674" s="7" t="n">
        <v>3000</v>
      </c>
      <c r="E11674" s="7" t="n">
        <v>0</v>
      </c>
    </row>
    <row r="11675" spans="1:18">
      <c r="A11675" t="s">
        <v>4</v>
      </c>
      <c r="B11675" s="4" t="s">
        <v>5</v>
      </c>
      <c r="C11675" s="4" t="s">
        <v>7</v>
      </c>
      <c r="D11675" s="4" t="s">
        <v>11</v>
      </c>
      <c r="E11675" s="4" t="s">
        <v>8</v>
      </c>
      <c r="F11675" s="4" t="s">
        <v>8</v>
      </c>
      <c r="G11675" s="4" t="s">
        <v>8</v>
      </c>
      <c r="H11675" s="4" t="s">
        <v>8</v>
      </c>
    </row>
    <row r="11676" spans="1:18">
      <c r="A11676" t="n">
        <v>107855</v>
      </c>
      <c r="B11676" s="38" t="n">
        <v>51</v>
      </c>
      <c r="C11676" s="7" t="n">
        <v>3</v>
      </c>
      <c r="D11676" s="7" t="n">
        <v>2</v>
      </c>
      <c r="E11676" s="7" t="s">
        <v>319</v>
      </c>
      <c r="F11676" s="7" t="s">
        <v>79</v>
      </c>
      <c r="G11676" s="7" t="s">
        <v>78</v>
      </c>
      <c r="H11676" s="7" t="s">
        <v>79</v>
      </c>
    </row>
    <row r="11677" spans="1:18">
      <c r="A11677" t="s">
        <v>4</v>
      </c>
      <c r="B11677" s="4" t="s">
        <v>5</v>
      </c>
      <c r="C11677" s="4" t="s">
        <v>11</v>
      </c>
      <c r="D11677" s="4" t="s">
        <v>7</v>
      </c>
      <c r="E11677" s="4" t="s">
        <v>13</v>
      </c>
      <c r="F11677" s="4" t="s">
        <v>11</v>
      </c>
    </row>
    <row r="11678" spans="1:18">
      <c r="A11678" t="n">
        <v>107868</v>
      </c>
      <c r="B11678" s="56" t="n">
        <v>59</v>
      </c>
      <c r="C11678" s="7" t="n">
        <v>2</v>
      </c>
      <c r="D11678" s="7" t="n">
        <v>9</v>
      </c>
      <c r="E11678" s="7" t="n">
        <v>0.150000005960464</v>
      </c>
      <c r="F11678" s="7" t="n">
        <v>0</v>
      </c>
    </row>
    <row r="11679" spans="1:18">
      <c r="A11679" t="s">
        <v>4</v>
      </c>
      <c r="B11679" s="4" t="s">
        <v>5</v>
      </c>
      <c r="C11679" s="4" t="s">
        <v>11</v>
      </c>
    </row>
    <row r="11680" spans="1:18">
      <c r="A11680" t="n">
        <v>107878</v>
      </c>
      <c r="B11680" s="29" t="n">
        <v>16</v>
      </c>
      <c r="C11680" s="7" t="n">
        <v>1800</v>
      </c>
    </row>
    <row r="11681" spans="1:8">
      <c r="A11681" t="s">
        <v>4</v>
      </c>
      <c r="B11681" s="4" t="s">
        <v>5</v>
      </c>
      <c r="C11681" s="4" t="s">
        <v>7</v>
      </c>
      <c r="D11681" s="4" t="s">
        <v>11</v>
      </c>
      <c r="E11681" s="4" t="s">
        <v>13</v>
      </c>
    </row>
    <row r="11682" spans="1:8">
      <c r="A11682" t="n">
        <v>107881</v>
      </c>
      <c r="B11682" s="23" t="n">
        <v>58</v>
      </c>
      <c r="C11682" s="7" t="n">
        <v>101</v>
      </c>
      <c r="D11682" s="7" t="n">
        <v>800</v>
      </c>
      <c r="E11682" s="7" t="n">
        <v>1</v>
      </c>
    </row>
    <row r="11683" spans="1:8">
      <c r="A11683" t="s">
        <v>4</v>
      </c>
      <c r="B11683" s="4" t="s">
        <v>5</v>
      </c>
      <c r="C11683" s="4" t="s">
        <v>7</v>
      </c>
      <c r="D11683" s="4" t="s">
        <v>11</v>
      </c>
    </row>
    <row r="11684" spans="1:8">
      <c r="A11684" t="n">
        <v>107889</v>
      </c>
      <c r="B11684" s="23" t="n">
        <v>58</v>
      </c>
      <c r="C11684" s="7" t="n">
        <v>254</v>
      </c>
      <c r="D11684" s="7" t="n">
        <v>0</v>
      </c>
    </row>
    <row r="11685" spans="1:8">
      <c r="A11685" t="s">
        <v>4</v>
      </c>
      <c r="B11685" s="4" t="s">
        <v>5</v>
      </c>
      <c r="C11685" s="4" t="s">
        <v>7</v>
      </c>
      <c r="D11685" s="4" t="s">
        <v>7</v>
      </c>
      <c r="E11685" s="4" t="s">
        <v>13</v>
      </c>
      <c r="F11685" s="4" t="s">
        <v>13</v>
      </c>
      <c r="G11685" s="4" t="s">
        <v>13</v>
      </c>
      <c r="H11685" s="4" t="s">
        <v>11</v>
      </c>
    </row>
    <row r="11686" spans="1:8">
      <c r="A11686" t="n">
        <v>107893</v>
      </c>
      <c r="B11686" s="51" t="n">
        <v>45</v>
      </c>
      <c r="C11686" s="7" t="n">
        <v>2</v>
      </c>
      <c r="D11686" s="7" t="n">
        <v>3</v>
      </c>
      <c r="E11686" s="7" t="n">
        <v>-7.36999988555908</v>
      </c>
      <c r="F11686" s="7" t="n">
        <v>6.42999982833862</v>
      </c>
      <c r="G11686" s="7" t="n">
        <v>29.8199996948242</v>
      </c>
      <c r="H11686" s="7" t="n">
        <v>0</v>
      </c>
    </row>
    <row r="11687" spans="1:8">
      <c r="A11687" t="s">
        <v>4</v>
      </c>
      <c r="B11687" s="4" t="s">
        <v>5</v>
      </c>
      <c r="C11687" s="4" t="s">
        <v>7</v>
      </c>
      <c r="D11687" s="4" t="s">
        <v>7</v>
      </c>
      <c r="E11687" s="4" t="s">
        <v>13</v>
      </c>
      <c r="F11687" s="4" t="s">
        <v>13</v>
      </c>
      <c r="G11687" s="4" t="s">
        <v>13</v>
      </c>
      <c r="H11687" s="4" t="s">
        <v>11</v>
      </c>
      <c r="I11687" s="4" t="s">
        <v>7</v>
      </c>
    </row>
    <row r="11688" spans="1:8">
      <c r="A11688" t="n">
        <v>107910</v>
      </c>
      <c r="B11688" s="51" t="n">
        <v>45</v>
      </c>
      <c r="C11688" s="7" t="n">
        <v>4</v>
      </c>
      <c r="D11688" s="7" t="n">
        <v>3</v>
      </c>
      <c r="E11688" s="7" t="n">
        <v>5.6100001335144</v>
      </c>
      <c r="F11688" s="7" t="n">
        <v>70.7099990844727</v>
      </c>
      <c r="G11688" s="7" t="n">
        <v>356</v>
      </c>
      <c r="H11688" s="7" t="n">
        <v>0</v>
      </c>
      <c r="I11688" s="7" t="n">
        <v>0</v>
      </c>
    </row>
    <row r="11689" spans="1:8">
      <c r="A11689" t="s">
        <v>4</v>
      </c>
      <c r="B11689" s="4" t="s">
        <v>5</v>
      </c>
      <c r="C11689" s="4" t="s">
        <v>7</v>
      </c>
      <c r="D11689" s="4" t="s">
        <v>7</v>
      </c>
      <c r="E11689" s="4" t="s">
        <v>13</v>
      </c>
      <c r="F11689" s="4" t="s">
        <v>11</v>
      </c>
    </row>
    <row r="11690" spans="1:8">
      <c r="A11690" t="n">
        <v>107928</v>
      </c>
      <c r="B11690" s="51" t="n">
        <v>45</v>
      </c>
      <c r="C11690" s="7" t="n">
        <v>5</v>
      </c>
      <c r="D11690" s="7" t="n">
        <v>3</v>
      </c>
      <c r="E11690" s="7" t="n">
        <v>0.800000011920929</v>
      </c>
      <c r="F11690" s="7" t="n">
        <v>0</v>
      </c>
    </row>
    <row r="11691" spans="1:8">
      <c r="A11691" t="s">
        <v>4</v>
      </c>
      <c r="B11691" s="4" t="s">
        <v>5</v>
      </c>
      <c r="C11691" s="4" t="s">
        <v>7</v>
      </c>
      <c r="D11691" s="4" t="s">
        <v>7</v>
      </c>
      <c r="E11691" s="4" t="s">
        <v>13</v>
      </c>
      <c r="F11691" s="4" t="s">
        <v>11</v>
      </c>
    </row>
    <row r="11692" spans="1:8">
      <c r="A11692" t="n">
        <v>107937</v>
      </c>
      <c r="B11692" s="51" t="n">
        <v>45</v>
      </c>
      <c r="C11692" s="7" t="n">
        <v>11</v>
      </c>
      <c r="D11692" s="7" t="n">
        <v>3</v>
      </c>
      <c r="E11692" s="7" t="n">
        <v>40.2999992370605</v>
      </c>
      <c r="F11692" s="7" t="n">
        <v>0</v>
      </c>
    </row>
    <row r="11693" spans="1:8">
      <c r="A11693" t="s">
        <v>4</v>
      </c>
      <c r="B11693" s="4" t="s">
        <v>5</v>
      </c>
      <c r="C11693" s="4" t="s">
        <v>7</v>
      </c>
    </row>
    <row r="11694" spans="1:8">
      <c r="A11694" t="n">
        <v>107946</v>
      </c>
      <c r="B11694" s="49" t="n">
        <v>116</v>
      </c>
      <c r="C11694" s="7" t="n">
        <v>0</v>
      </c>
    </row>
    <row r="11695" spans="1:8">
      <c r="A11695" t="s">
        <v>4</v>
      </c>
      <c r="B11695" s="4" t="s">
        <v>5</v>
      </c>
      <c r="C11695" s="4" t="s">
        <v>7</v>
      </c>
      <c r="D11695" s="4" t="s">
        <v>11</v>
      </c>
    </row>
    <row r="11696" spans="1:8">
      <c r="A11696" t="n">
        <v>107948</v>
      </c>
      <c r="B11696" s="49" t="n">
        <v>116</v>
      </c>
      <c r="C11696" s="7" t="n">
        <v>2</v>
      </c>
      <c r="D11696" s="7" t="n">
        <v>1</v>
      </c>
    </row>
    <row r="11697" spans="1:9">
      <c r="A11697" t="s">
        <v>4</v>
      </c>
      <c r="B11697" s="4" t="s">
        <v>5</v>
      </c>
      <c r="C11697" s="4" t="s">
        <v>7</v>
      </c>
      <c r="D11697" s="4" t="s">
        <v>15</v>
      </c>
    </row>
    <row r="11698" spans="1:9">
      <c r="A11698" t="n">
        <v>107952</v>
      </c>
      <c r="B11698" s="49" t="n">
        <v>116</v>
      </c>
      <c r="C11698" s="7" t="n">
        <v>5</v>
      </c>
      <c r="D11698" s="7" t="n">
        <v>1077936128</v>
      </c>
    </row>
    <row r="11699" spans="1:9">
      <c r="A11699" t="s">
        <v>4</v>
      </c>
      <c r="B11699" s="4" t="s">
        <v>5</v>
      </c>
      <c r="C11699" s="4" t="s">
        <v>7</v>
      </c>
      <c r="D11699" s="4" t="s">
        <v>11</v>
      </c>
    </row>
    <row r="11700" spans="1:9">
      <c r="A11700" t="n">
        <v>107958</v>
      </c>
      <c r="B11700" s="49" t="n">
        <v>116</v>
      </c>
      <c r="C11700" s="7" t="n">
        <v>6</v>
      </c>
      <c r="D11700" s="7" t="n">
        <v>1</v>
      </c>
    </row>
    <row r="11701" spans="1:9">
      <c r="A11701" t="s">
        <v>4</v>
      </c>
      <c r="B11701" s="4" t="s">
        <v>5</v>
      </c>
      <c r="C11701" s="4" t="s">
        <v>11</v>
      </c>
      <c r="D11701" s="4" t="s">
        <v>11</v>
      </c>
      <c r="E11701" s="4" t="s">
        <v>13</v>
      </c>
      <c r="F11701" s="4" t="s">
        <v>7</v>
      </c>
    </row>
    <row r="11702" spans="1:9">
      <c r="A11702" t="n">
        <v>107962</v>
      </c>
      <c r="B11702" s="73" t="n">
        <v>53</v>
      </c>
      <c r="C11702" s="7" t="n">
        <v>0</v>
      </c>
      <c r="D11702" s="7" t="n">
        <v>2</v>
      </c>
      <c r="E11702" s="7" t="n">
        <v>0</v>
      </c>
      <c r="F11702" s="7" t="n">
        <v>0</v>
      </c>
    </row>
    <row r="11703" spans="1:9">
      <c r="A11703" t="s">
        <v>4</v>
      </c>
      <c r="B11703" s="4" t="s">
        <v>5</v>
      </c>
      <c r="C11703" s="4" t="s">
        <v>7</v>
      </c>
      <c r="D11703" s="4" t="s">
        <v>11</v>
      </c>
    </row>
    <row r="11704" spans="1:9">
      <c r="A11704" t="n">
        <v>107972</v>
      </c>
      <c r="B11704" s="23" t="n">
        <v>58</v>
      </c>
      <c r="C11704" s="7" t="n">
        <v>255</v>
      </c>
      <c r="D11704" s="7" t="n">
        <v>0</v>
      </c>
    </row>
    <row r="11705" spans="1:9">
      <c r="A11705" t="s">
        <v>4</v>
      </c>
      <c r="B11705" s="4" t="s">
        <v>5</v>
      </c>
      <c r="C11705" s="4" t="s">
        <v>11</v>
      </c>
      <c r="D11705" s="4" t="s">
        <v>11</v>
      </c>
      <c r="E11705" s="4" t="s">
        <v>13</v>
      </c>
      <c r="F11705" s="4" t="s">
        <v>7</v>
      </c>
    </row>
    <row r="11706" spans="1:9">
      <c r="A11706" t="n">
        <v>107976</v>
      </c>
      <c r="B11706" s="73" t="n">
        <v>53</v>
      </c>
      <c r="C11706" s="7" t="n">
        <v>2</v>
      </c>
      <c r="D11706" s="7" t="n">
        <v>0</v>
      </c>
      <c r="E11706" s="7" t="n">
        <v>5</v>
      </c>
      <c r="F11706" s="7" t="n">
        <v>0</v>
      </c>
    </row>
    <row r="11707" spans="1:9">
      <c r="A11707" t="s">
        <v>4</v>
      </c>
      <c r="B11707" s="4" t="s">
        <v>5</v>
      </c>
      <c r="C11707" s="4" t="s">
        <v>11</v>
      </c>
    </row>
    <row r="11708" spans="1:9">
      <c r="A11708" t="n">
        <v>107986</v>
      </c>
      <c r="B11708" s="66" t="n">
        <v>54</v>
      </c>
      <c r="C11708" s="7" t="n">
        <v>2</v>
      </c>
    </row>
    <row r="11709" spans="1:9">
      <c r="A11709" t="s">
        <v>4</v>
      </c>
      <c r="B11709" s="4" t="s">
        <v>5</v>
      </c>
      <c r="C11709" s="4" t="s">
        <v>7</v>
      </c>
      <c r="D11709" s="4" t="s">
        <v>7</v>
      </c>
    </row>
    <row r="11710" spans="1:9">
      <c r="A11710" t="n">
        <v>107989</v>
      </c>
      <c r="B11710" s="13" t="n">
        <v>49</v>
      </c>
      <c r="C11710" s="7" t="n">
        <v>2</v>
      </c>
      <c r="D11710" s="7" t="n">
        <v>0</v>
      </c>
    </row>
    <row r="11711" spans="1:9">
      <c r="A11711" t="s">
        <v>4</v>
      </c>
      <c r="B11711" s="4" t="s">
        <v>5</v>
      </c>
      <c r="C11711" s="4" t="s">
        <v>7</v>
      </c>
      <c r="D11711" s="4" t="s">
        <v>11</v>
      </c>
      <c r="E11711" s="4" t="s">
        <v>15</v>
      </c>
      <c r="F11711" s="4" t="s">
        <v>11</v>
      </c>
      <c r="G11711" s="4" t="s">
        <v>15</v>
      </c>
      <c r="H11711" s="4" t="s">
        <v>7</v>
      </c>
    </row>
    <row r="11712" spans="1:9">
      <c r="A11712" t="n">
        <v>107992</v>
      </c>
      <c r="B11712" s="13" t="n">
        <v>49</v>
      </c>
      <c r="C11712" s="7" t="n">
        <v>0</v>
      </c>
      <c r="D11712" s="7" t="n">
        <v>551</v>
      </c>
      <c r="E11712" s="7" t="n">
        <v>1061997773</v>
      </c>
      <c r="F11712" s="7" t="n">
        <v>0</v>
      </c>
      <c r="G11712" s="7" t="n">
        <v>0</v>
      </c>
      <c r="H11712" s="7" t="n">
        <v>0</v>
      </c>
    </row>
    <row r="11713" spans="1:8">
      <c r="A11713" t="s">
        <v>4</v>
      </c>
      <c r="B11713" s="4" t="s">
        <v>5</v>
      </c>
      <c r="C11713" s="4" t="s">
        <v>7</v>
      </c>
      <c r="D11713" s="4" t="s">
        <v>11</v>
      </c>
    </row>
    <row r="11714" spans="1:8">
      <c r="A11714" t="n">
        <v>108007</v>
      </c>
      <c r="B11714" s="13" t="n">
        <v>49</v>
      </c>
      <c r="C11714" s="7" t="n">
        <v>6</v>
      </c>
      <c r="D11714" s="7" t="n">
        <v>551</v>
      </c>
    </row>
    <row r="11715" spans="1:8">
      <c r="A11715" t="s">
        <v>4</v>
      </c>
      <c r="B11715" s="4" t="s">
        <v>5</v>
      </c>
      <c r="C11715" s="4" t="s">
        <v>11</v>
      </c>
    </row>
    <row r="11716" spans="1:8">
      <c r="A11716" t="n">
        <v>108011</v>
      </c>
      <c r="B11716" s="29" t="n">
        <v>16</v>
      </c>
      <c r="C11716" s="7" t="n">
        <v>500</v>
      </c>
    </row>
    <row r="11717" spans="1:8">
      <c r="A11717" t="s">
        <v>4</v>
      </c>
      <c r="B11717" s="4" t="s">
        <v>5</v>
      </c>
      <c r="C11717" s="4" t="s">
        <v>7</v>
      </c>
      <c r="D11717" s="4" t="s">
        <v>11</v>
      </c>
      <c r="E11717" s="4" t="s">
        <v>8</v>
      </c>
    </row>
    <row r="11718" spans="1:8">
      <c r="A11718" t="n">
        <v>108014</v>
      </c>
      <c r="B11718" s="38" t="n">
        <v>51</v>
      </c>
      <c r="C11718" s="7" t="n">
        <v>4</v>
      </c>
      <c r="D11718" s="7" t="n">
        <v>2</v>
      </c>
      <c r="E11718" s="7" t="s">
        <v>709</v>
      </c>
    </row>
    <row r="11719" spans="1:8">
      <c r="A11719" t="s">
        <v>4</v>
      </c>
      <c r="B11719" s="4" t="s">
        <v>5</v>
      </c>
      <c r="C11719" s="4" t="s">
        <v>11</v>
      </c>
    </row>
    <row r="11720" spans="1:8">
      <c r="A11720" t="n">
        <v>108028</v>
      </c>
      <c r="B11720" s="29" t="n">
        <v>16</v>
      </c>
      <c r="C11720" s="7" t="n">
        <v>0</v>
      </c>
    </row>
    <row r="11721" spans="1:8">
      <c r="A11721" t="s">
        <v>4</v>
      </c>
      <c r="B11721" s="4" t="s">
        <v>5</v>
      </c>
      <c r="C11721" s="4" t="s">
        <v>11</v>
      </c>
      <c r="D11721" s="4" t="s">
        <v>7</v>
      </c>
      <c r="E11721" s="4" t="s">
        <v>15</v>
      </c>
      <c r="F11721" s="4" t="s">
        <v>55</v>
      </c>
      <c r="G11721" s="4" t="s">
        <v>7</v>
      </c>
      <c r="H11721" s="4" t="s">
        <v>7</v>
      </c>
      <c r="I11721" s="4" t="s">
        <v>7</v>
      </c>
      <c r="J11721" s="4" t="s">
        <v>15</v>
      </c>
      <c r="K11721" s="4" t="s">
        <v>55</v>
      </c>
      <c r="L11721" s="4" t="s">
        <v>7</v>
      </c>
      <c r="M11721" s="4" t="s">
        <v>7</v>
      </c>
    </row>
    <row r="11722" spans="1:8">
      <c r="A11722" t="n">
        <v>108031</v>
      </c>
      <c r="B11722" s="55" t="n">
        <v>26</v>
      </c>
      <c r="C11722" s="7" t="n">
        <v>2</v>
      </c>
      <c r="D11722" s="7" t="n">
        <v>17</v>
      </c>
      <c r="E11722" s="7" t="n">
        <v>6800</v>
      </c>
      <c r="F11722" s="7" t="s">
        <v>945</v>
      </c>
      <c r="G11722" s="7" t="n">
        <v>2</v>
      </c>
      <c r="H11722" s="7" t="n">
        <v>3</v>
      </c>
      <c r="I11722" s="7" t="n">
        <v>17</v>
      </c>
      <c r="J11722" s="7" t="n">
        <v>6801</v>
      </c>
      <c r="K11722" s="7" t="s">
        <v>946</v>
      </c>
      <c r="L11722" s="7" t="n">
        <v>2</v>
      </c>
      <c r="M11722" s="7" t="n">
        <v>0</v>
      </c>
    </row>
    <row r="11723" spans="1:8">
      <c r="A11723" t="s">
        <v>4</v>
      </c>
      <c r="B11723" s="4" t="s">
        <v>5</v>
      </c>
    </row>
    <row r="11724" spans="1:8">
      <c r="A11724" t="n">
        <v>108146</v>
      </c>
      <c r="B11724" s="27" t="n">
        <v>28</v>
      </c>
    </row>
    <row r="11725" spans="1:8">
      <c r="A11725" t="s">
        <v>4</v>
      </c>
      <c r="B11725" s="4" t="s">
        <v>5</v>
      </c>
      <c r="C11725" s="4" t="s">
        <v>7</v>
      </c>
      <c r="D11725" s="4" t="s">
        <v>11</v>
      </c>
      <c r="E11725" s="4" t="s">
        <v>8</v>
      </c>
    </row>
    <row r="11726" spans="1:8">
      <c r="A11726" t="n">
        <v>108147</v>
      </c>
      <c r="B11726" s="38" t="n">
        <v>51</v>
      </c>
      <c r="C11726" s="7" t="n">
        <v>4</v>
      </c>
      <c r="D11726" s="7" t="n">
        <v>0</v>
      </c>
      <c r="E11726" s="7" t="s">
        <v>179</v>
      </c>
    </row>
    <row r="11727" spans="1:8">
      <c r="A11727" t="s">
        <v>4</v>
      </c>
      <c r="B11727" s="4" t="s">
        <v>5</v>
      </c>
      <c r="C11727" s="4" t="s">
        <v>11</v>
      </c>
    </row>
    <row r="11728" spans="1:8">
      <c r="A11728" t="n">
        <v>108161</v>
      </c>
      <c r="B11728" s="29" t="n">
        <v>16</v>
      </c>
      <c r="C11728" s="7" t="n">
        <v>0</v>
      </c>
    </row>
    <row r="11729" spans="1:13">
      <c r="A11729" t="s">
        <v>4</v>
      </c>
      <c r="B11729" s="4" t="s">
        <v>5</v>
      </c>
      <c r="C11729" s="4" t="s">
        <v>11</v>
      </c>
      <c r="D11729" s="4" t="s">
        <v>7</v>
      </c>
      <c r="E11729" s="4" t="s">
        <v>15</v>
      </c>
      <c r="F11729" s="4" t="s">
        <v>55</v>
      </c>
      <c r="G11729" s="4" t="s">
        <v>7</v>
      </c>
      <c r="H11729" s="4" t="s">
        <v>7</v>
      </c>
    </row>
    <row r="11730" spans="1:13">
      <c r="A11730" t="n">
        <v>108164</v>
      </c>
      <c r="B11730" s="55" t="n">
        <v>26</v>
      </c>
      <c r="C11730" s="7" t="n">
        <v>0</v>
      </c>
      <c r="D11730" s="7" t="n">
        <v>17</v>
      </c>
      <c r="E11730" s="7" t="n">
        <v>64116</v>
      </c>
      <c r="F11730" s="7" t="s">
        <v>947</v>
      </c>
      <c r="G11730" s="7" t="n">
        <v>2</v>
      </c>
      <c r="H11730" s="7" t="n">
        <v>0</v>
      </c>
    </row>
    <row r="11731" spans="1:13">
      <c r="A11731" t="s">
        <v>4</v>
      </c>
      <c r="B11731" s="4" t="s">
        <v>5</v>
      </c>
    </row>
    <row r="11732" spans="1:13">
      <c r="A11732" t="n">
        <v>108196</v>
      </c>
      <c r="B11732" s="27" t="n">
        <v>28</v>
      </c>
    </row>
    <row r="11733" spans="1:13">
      <c r="A11733" t="s">
        <v>4</v>
      </c>
      <c r="B11733" s="4" t="s">
        <v>5</v>
      </c>
      <c r="C11733" s="4" t="s">
        <v>11</v>
      </c>
      <c r="D11733" s="4" t="s">
        <v>7</v>
      </c>
    </row>
    <row r="11734" spans="1:13">
      <c r="A11734" t="n">
        <v>108197</v>
      </c>
      <c r="B11734" s="68" t="n">
        <v>89</v>
      </c>
      <c r="C11734" s="7" t="n">
        <v>65533</v>
      </c>
      <c r="D11734" s="7" t="n">
        <v>1</v>
      </c>
    </row>
    <row r="11735" spans="1:13">
      <c r="A11735" t="s">
        <v>4</v>
      </c>
      <c r="B11735" s="4" t="s">
        <v>5</v>
      </c>
      <c r="C11735" s="4" t="s">
        <v>7</v>
      </c>
      <c r="D11735" s="4" t="s">
        <v>13</v>
      </c>
      <c r="E11735" s="4" t="s">
        <v>11</v>
      </c>
      <c r="F11735" s="4" t="s">
        <v>7</v>
      </c>
    </row>
    <row r="11736" spans="1:13">
      <c r="A11736" t="n">
        <v>108201</v>
      </c>
      <c r="B11736" s="13" t="n">
        <v>49</v>
      </c>
      <c r="C11736" s="7" t="n">
        <v>3</v>
      </c>
      <c r="D11736" s="7" t="n">
        <v>0.600000023841858</v>
      </c>
      <c r="E11736" s="7" t="n">
        <v>500</v>
      </c>
      <c r="F11736" s="7" t="n">
        <v>0</v>
      </c>
    </row>
    <row r="11737" spans="1:13">
      <c r="A11737" t="s">
        <v>4</v>
      </c>
      <c r="B11737" s="4" t="s">
        <v>5</v>
      </c>
      <c r="C11737" s="4" t="s">
        <v>7</v>
      </c>
      <c r="D11737" s="4" t="s">
        <v>7</v>
      </c>
      <c r="E11737" s="4" t="s">
        <v>7</v>
      </c>
      <c r="F11737" s="4" t="s">
        <v>13</v>
      </c>
      <c r="G11737" s="4" t="s">
        <v>13</v>
      </c>
      <c r="H11737" s="4" t="s">
        <v>13</v>
      </c>
      <c r="I11737" s="4" t="s">
        <v>13</v>
      </c>
      <c r="J11737" s="4" t="s">
        <v>13</v>
      </c>
    </row>
    <row r="11738" spans="1:13">
      <c r="A11738" t="n">
        <v>108210</v>
      </c>
      <c r="B11738" s="25" t="n">
        <v>76</v>
      </c>
      <c r="C11738" s="7" t="n">
        <v>1</v>
      </c>
      <c r="D11738" s="7" t="n">
        <v>3</v>
      </c>
      <c r="E11738" s="7" t="n">
        <v>0</v>
      </c>
      <c r="F11738" s="7" t="n">
        <v>1</v>
      </c>
      <c r="G11738" s="7" t="n">
        <v>1</v>
      </c>
      <c r="H11738" s="7" t="n">
        <v>1</v>
      </c>
      <c r="I11738" s="7" t="n">
        <v>1</v>
      </c>
      <c r="J11738" s="7" t="n">
        <v>1000</v>
      </c>
    </row>
    <row r="11739" spans="1:13">
      <c r="A11739" t="s">
        <v>4</v>
      </c>
      <c r="B11739" s="4" t="s">
        <v>5</v>
      </c>
      <c r="C11739" s="4" t="s">
        <v>7</v>
      </c>
      <c r="D11739" s="4" t="s">
        <v>7</v>
      </c>
    </row>
    <row r="11740" spans="1:13">
      <c r="A11740" t="n">
        <v>108234</v>
      </c>
      <c r="B11740" s="26" t="n">
        <v>77</v>
      </c>
      <c r="C11740" s="7" t="n">
        <v>1</v>
      </c>
      <c r="D11740" s="7" t="n">
        <v>3</v>
      </c>
    </row>
    <row r="11741" spans="1:13">
      <c r="A11741" t="s">
        <v>4</v>
      </c>
      <c r="B11741" s="4" t="s">
        <v>5</v>
      </c>
      <c r="C11741" s="4" t="s">
        <v>11</v>
      </c>
    </row>
    <row r="11742" spans="1:13">
      <c r="A11742" t="n">
        <v>108237</v>
      </c>
      <c r="B11742" s="29" t="n">
        <v>16</v>
      </c>
      <c r="C11742" s="7" t="n">
        <v>2000</v>
      </c>
    </row>
    <row r="11743" spans="1:13">
      <c r="A11743" t="s">
        <v>4</v>
      </c>
      <c r="B11743" s="4" t="s">
        <v>5</v>
      </c>
      <c r="C11743" s="4" t="s">
        <v>7</v>
      </c>
      <c r="D11743" s="4" t="s">
        <v>13</v>
      </c>
      <c r="E11743" s="4" t="s">
        <v>11</v>
      </c>
      <c r="F11743" s="4" t="s">
        <v>7</v>
      </c>
    </row>
    <row r="11744" spans="1:13">
      <c r="A11744" t="n">
        <v>108240</v>
      </c>
      <c r="B11744" s="13" t="n">
        <v>49</v>
      </c>
      <c r="C11744" s="7" t="n">
        <v>3</v>
      </c>
      <c r="D11744" s="7" t="n">
        <v>0.800000011920929</v>
      </c>
      <c r="E11744" s="7" t="n">
        <v>1000</v>
      </c>
      <c r="F11744" s="7" t="n">
        <v>0</v>
      </c>
    </row>
    <row r="11745" spans="1:10">
      <c r="A11745" t="s">
        <v>4</v>
      </c>
      <c r="B11745" s="4" t="s">
        <v>5</v>
      </c>
      <c r="C11745" s="4" t="s">
        <v>7</v>
      </c>
      <c r="D11745" s="4" t="s">
        <v>7</v>
      </c>
      <c r="E11745" s="4" t="s">
        <v>7</v>
      </c>
      <c r="F11745" s="4" t="s">
        <v>13</v>
      </c>
      <c r="G11745" s="4" t="s">
        <v>13</v>
      </c>
      <c r="H11745" s="4" t="s">
        <v>13</v>
      </c>
      <c r="I11745" s="4" t="s">
        <v>13</v>
      </c>
      <c r="J11745" s="4" t="s">
        <v>13</v>
      </c>
    </row>
    <row r="11746" spans="1:10">
      <c r="A11746" t="n">
        <v>108249</v>
      </c>
      <c r="B11746" s="25" t="n">
        <v>76</v>
      </c>
      <c r="C11746" s="7" t="n">
        <v>1</v>
      </c>
      <c r="D11746" s="7" t="n">
        <v>3</v>
      </c>
      <c r="E11746" s="7" t="n">
        <v>0</v>
      </c>
      <c r="F11746" s="7" t="n">
        <v>1</v>
      </c>
      <c r="G11746" s="7" t="n">
        <v>1</v>
      </c>
      <c r="H11746" s="7" t="n">
        <v>1</v>
      </c>
      <c r="I11746" s="7" t="n">
        <v>0</v>
      </c>
      <c r="J11746" s="7" t="n">
        <v>1000</v>
      </c>
    </row>
    <row r="11747" spans="1:10">
      <c r="A11747" t="s">
        <v>4</v>
      </c>
      <c r="B11747" s="4" t="s">
        <v>5</v>
      </c>
      <c r="C11747" s="4" t="s">
        <v>7</v>
      </c>
      <c r="D11747" s="4" t="s">
        <v>7</v>
      </c>
    </row>
    <row r="11748" spans="1:10">
      <c r="A11748" t="n">
        <v>108273</v>
      </c>
      <c r="B11748" s="26" t="n">
        <v>77</v>
      </c>
      <c r="C11748" s="7" t="n">
        <v>1</v>
      </c>
      <c r="D11748" s="7" t="n">
        <v>3</v>
      </c>
    </row>
    <row r="11749" spans="1:10">
      <c r="A11749" t="s">
        <v>4</v>
      </c>
      <c r="B11749" s="4" t="s">
        <v>5</v>
      </c>
      <c r="C11749" s="4" t="s">
        <v>7</v>
      </c>
      <c r="D11749" s="4" t="s">
        <v>11</v>
      </c>
      <c r="E11749" s="4" t="s">
        <v>8</v>
      </c>
    </row>
    <row r="11750" spans="1:10">
      <c r="A11750" t="n">
        <v>108276</v>
      </c>
      <c r="B11750" s="38" t="n">
        <v>51</v>
      </c>
      <c r="C11750" s="7" t="n">
        <v>4</v>
      </c>
      <c r="D11750" s="7" t="n">
        <v>0</v>
      </c>
      <c r="E11750" s="7" t="s">
        <v>179</v>
      </c>
    </row>
    <row r="11751" spans="1:10">
      <c r="A11751" t="s">
        <v>4</v>
      </c>
      <c r="B11751" s="4" t="s">
        <v>5</v>
      </c>
      <c r="C11751" s="4" t="s">
        <v>11</v>
      </c>
    </row>
    <row r="11752" spans="1:10">
      <c r="A11752" t="n">
        <v>108290</v>
      </c>
      <c r="B11752" s="29" t="n">
        <v>16</v>
      </c>
      <c r="C11752" s="7" t="n">
        <v>0</v>
      </c>
    </row>
    <row r="11753" spans="1:10">
      <c r="A11753" t="s">
        <v>4</v>
      </c>
      <c r="B11753" s="4" t="s">
        <v>5</v>
      </c>
      <c r="C11753" s="4" t="s">
        <v>11</v>
      </c>
      <c r="D11753" s="4" t="s">
        <v>7</v>
      </c>
      <c r="E11753" s="4" t="s">
        <v>15</v>
      </c>
      <c r="F11753" s="4" t="s">
        <v>55</v>
      </c>
      <c r="G11753" s="4" t="s">
        <v>7</v>
      </c>
      <c r="H11753" s="4" t="s">
        <v>7</v>
      </c>
      <c r="I11753" s="4" t="s">
        <v>7</v>
      </c>
      <c r="J11753" s="4" t="s">
        <v>15</v>
      </c>
      <c r="K11753" s="4" t="s">
        <v>55</v>
      </c>
      <c r="L11753" s="4" t="s">
        <v>7</v>
      </c>
      <c r="M11753" s="4" t="s">
        <v>7</v>
      </c>
    </row>
    <row r="11754" spans="1:10">
      <c r="A11754" t="n">
        <v>108293</v>
      </c>
      <c r="B11754" s="55" t="n">
        <v>26</v>
      </c>
      <c r="C11754" s="7" t="n">
        <v>0</v>
      </c>
      <c r="D11754" s="7" t="n">
        <v>17</v>
      </c>
      <c r="E11754" s="7" t="n">
        <v>64117</v>
      </c>
      <c r="F11754" s="7" t="s">
        <v>948</v>
      </c>
      <c r="G11754" s="7" t="n">
        <v>2</v>
      </c>
      <c r="H11754" s="7" t="n">
        <v>3</v>
      </c>
      <c r="I11754" s="7" t="n">
        <v>17</v>
      </c>
      <c r="J11754" s="7" t="n">
        <v>64118</v>
      </c>
      <c r="K11754" s="7" t="s">
        <v>949</v>
      </c>
      <c r="L11754" s="7" t="n">
        <v>2</v>
      </c>
      <c r="M11754" s="7" t="n">
        <v>0</v>
      </c>
    </row>
    <row r="11755" spans="1:10">
      <c r="A11755" t="s">
        <v>4</v>
      </c>
      <c r="B11755" s="4" t="s">
        <v>5</v>
      </c>
    </row>
    <row r="11756" spans="1:10">
      <c r="A11756" t="n">
        <v>108506</v>
      </c>
      <c r="B11756" s="27" t="n">
        <v>28</v>
      </c>
    </row>
    <row r="11757" spans="1:10">
      <c r="A11757" t="s">
        <v>4</v>
      </c>
      <c r="B11757" s="4" t="s">
        <v>5</v>
      </c>
      <c r="C11757" s="4" t="s">
        <v>7</v>
      </c>
      <c r="D11757" s="4" t="s">
        <v>11</v>
      </c>
      <c r="E11757" s="4" t="s">
        <v>8</v>
      </c>
    </row>
    <row r="11758" spans="1:10">
      <c r="A11758" t="n">
        <v>108507</v>
      </c>
      <c r="B11758" s="38" t="n">
        <v>51</v>
      </c>
      <c r="C11758" s="7" t="n">
        <v>4</v>
      </c>
      <c r="D11758" s="7" t="n">
        <v>2</v>
      </c>
      <c r="E11758" s="7" t="s">
        <v>491</v>
      </c>
    </row>
    <row r="11759" spans="1:10">
      <c r="A11759" t="s">
        <v>4</v>
      </c>
      <c r="B11759" s="4" t="s">
        <v>5</v>
      </c>
      <c r="C11759" s="4" t="s">
        <v>11</v>
      </c>
    </row>
    <row r="11760" spans="1:10">
      <c r="A11760" t="n">
        <v>108521</v>
      </c>
      <c r="B11760" s="29" t="n">
        <v>16</v>
      </c>
      <c r="C11760" s="7" t="n">
        <v>0</v>
      </c>
    </row>
    <row r="11761" spans="1:13">
      <c r="A11761" t="s">
        <v>4</v>
      </c>
      <c r="B11761" s="4" t="s">
        <v>5</v>
      </c>
      <c r="C11761" s="4" t="s">
        <v>11</v>
      </c>
      <c r="D11761" s="4" t="s">
        <v>7</v>
      </c>
      <c r="E11761" s="4" t="s">
        <v>15</v>
      </c>
      <c r="F11761" s="4" t="s">
        <v>55</v>
      </c>
      <c r="G11761" s="4" t="s">
        <v>7</v>
      </c>
      <c r="H11761" s="4" t="s">
        <v>7</v>
      </c>
      <c r="I11761" s="4" t="s">
        <v>7</v>
      </c>
      <c r="J11761" s="4" t="s">
        <v>15</v>
      </c>
      <c r="K11761" s="4" t="s">
        <v>55</v>
      </c>
      <c r="L11761" s="4" t="s">
        <v>7</v>
      </c>
      <c r="M11761" s="4" t="s">
        <v>7</v>
      </c>
      <c r="N11761" s="4" t="s">
        <v>7</v>
      </c>
      <c r="O11761" s="4" t="s">
        <v>15</v>
      </c>
      <c r="P11761" s="4" t="s">
        <v>55</v>
      </c>
      <c r="Q11761" s="4" t="s">
        <v>7</v>
      </c>
      <c r="R11761" s="4" t="s">
        <v>7</v>
      </c>
      <c r="S11761" s="4" t="s">
        <v>7</v>
      </c>
      <c r="T11761" s="4" t="s">
        <v>15</v>
      </c>
      <c r="U11761" s="4" t="s">
        <v>55</v>
      </c>
      <c r="V11761" s="4" t="s">
        <v>7</v>
      </c>
      <c r="W11761" s="4" t="s">
        <v>7</v>
      </c>
      <c r="X11761" s="4" t="s">
        <v>7</v>
      </c>
      <c r="Y11761" s="4" t="s">
        <v>15</v>
      </c>
      <c r="Z11761" s="4" t="s">
        <v>55</v>
      </c>
      <c r="AA11761" s="4" t="s">
        <v>7</v>
      </c>
      <c r="AB11761" s="4" t="s">
        <v>7</v>
      </c>
    </row>
    <row r="11762" spans="1:13">
      <c r="A11762" t="n">
        <v>108524</v>
      </c>
      <c r="B11762" s="55" t="n">
        <v>26</v>
      </c>
      <c r="C11762" s="7" t="n">
        <v>2</v>
      </c>
      <c r="D11762" s="7" t="n">
        <v>17</v>
      </c>
      <c r="E11762" s="7" t="n">
        <v>6802</v>
      </c>
      <c r="F11762" s="7" t="s">
        <v>950</v>
      </c>
      <c r="G11762" s="7" t="n">
        <v>2</v>
      </c>
      <c r="H11762" s="7" t="n">
        <v>3</v>
      </c>
      <c r="I11762" s="7" t="n">
        <v>17</v>
      </c>
      <c r="J11762" s="7" t="n">
        <v>6803</v>
      </c>
      <c r="K11762" s="7" t="s">
        <v>951</v>
      </c>
      <c r="L11762" s="7" t="n">
        <v>2</v>
      </c>
      <c r="M11762" s="7" t="n">
        <v>3</v>
      </c>
      <c r="N11762" s="7" t="n">
        <v>17</v>
      </c>
      <c r="O11762" s="7" t="n">
        <v>6804</v>
      </c>
      <c r="P11762" s="7" t="s">
        <v>952</v>
      </c>
      <c r="Q11762" s="7" t="n">
        <v>2</v>
      </c>
      <c r="R11762" s="7" t="n">
        <v>3</v>
      </c>
      <c r="S11762" s="7" t="n">
        <v>17</v>
      </c>
      <c r="T11762" s="7" t="n">
        <v>6805</v>
      </c>
      <c r="U11762" s="7" t="s">
        <v>953</v>
      </c>
      <c r="V11762" s="7" t="n">
        <v>2</v>
      </c>
      <c r="W11762" s="7" t="n">
        <v>3</v>
      </c>
      <c r="X11762" s="7" t="n">
        <v>17</v>
      </c>
      <c r="Y11762" s="7" t="n">
        <v>6806</v>
      </c>
      <c r="Z11762" s="7" t="s">
        <v>954</v>
      </c>
      <c r="AA11762" s="7" t="n">
        <v>2</v>
      </c>
      <c r="AB11762" s="7" t="n">
        <v>0</v>
      </c>
    </row>
    <row r="11763" spans="1:13">
      <c r="A11763" t="s">
        <v>4</v>
      </c>
      <c r="B11763" s="4" t="s">
        <v>5</v>
      </c>
    </row>
    <row r="11764" spans="1:13">
      <c r="A11764" t="n">
        <v>109046</v>
      </c>
      <c r="B11764" s="27" t="n">
        <v>28</v>
      </c>
    </row>
    <row r="11765" spans="1:13">
      <c r="A11765" t="s">
        <v>4</v>
      </c>
      <c r="B11765" s="4" t="s">
        <v>5</v>
      </c>
      <c r="C11765" s="4" t="s">
        <v>7</v>
      </c>
      <c r="D11765" s="4" t="s">
        <v>11</v>
      </c>
      <c r="E11765" s="4" t="s">
        <v>8</v>
      </c>
    </row>
    <row r="11766" spans="1:13">
      <c r="A11766" t="n">
        <v>109047</v>
      </c>
      <c r="B11766" s="38" t="n">
        <v>51</v>
      </c>
      <c r="C11766" s="7" t="n">
        <v>4</v>
      </c>
      <c r="D11766" s="7" t="n">
        <v>0</v>
      </c>
      <c r="E11766" s="7" t="s">
        <v>147</v>
      </c>
    </row>
    <row r="11767" spans="1:13">
      <c r="A11767" t="s">
        <v>4</v>
      </c>
      <c r="B11767" s="4" t="s">
        <v>5</v>
      </c>
      <c r="C11767" s="4" t="s">
        <v>11</v>
      </c>
    </row>
    <row r="11768" spans="1:13">
      <c r="A11768" t="n">
        <v>109061</v>
      </c>
      <c r="B11768" s="29" t="n">
        <v>16</v>
      </c>
      <c r="C11768" s="7" t="n">
        <v>0</v>
      </c>
    </row>
    <row r="11769" spans="1:13">
      <c r="A11769" t="s">
        <v>4</v>
      </c>
      <c r="B11769" s="4" t="s">
        <v>5</v>
      </c>
      <c r="C11769" s="4" t="s">
        <v>11</v>
      </c>
      <c r="D11769" s="4" t="s">
        <v>7</v>
      </c>
      <c r="E11769" s="4" t="s">
        <v>15</v>
      </c>
      <c r="F11769" s="4" t="s">
        <v>55</v>
      </c>
      <c r="G11769" s="4" t="s">
        <v>7</v>
      </c>
      <c r="H11769" s="4" t="s">
        <v>7</v>
      </c>
    </row>
    <row r="11770" spans="1:13">
      <c r="A11770" t="n">
        <v>109064</v>
      </c>
      <c r="B11770" s="55" t="n">
        <v>26</v>
      </c>
      <c r="C11770" s="7" t="n">
        <v>0</v>
      </c>
      <c r="D11770" s="7" t="n">
        <v>17</v>
      </c>
      <c r="E11770" s="7" t="n">
        <v>64119</v>
      </c>
      <c r="F11770" s="7" t="s">
        <v>955</v>
      </c>
      <c r="G11770" s="7" t="n">
        <v>2</v>
      </c>
      <c r="H11770" s="7" t="n">
        <v>0</v>
      </c>
    </row>
    <row r="11771" spans="1:13">
      <c r="A11771" t="s">
        <v>4</v>
      </c>
      <c r="B11771" s="4" t="s">
        <v>5</v>
      </c>
    </row>
    <row r="11772" spans="1:13">
      <c r="A11772" t="n">
        <v>109102</v>
      </c>
      <c r="B11772" s="27" t="n">
        <v>28</v>
      </c>
    </row>
    <row r="11773" spans="1:13">
      <c r="A11773" t="s">
        <v>4</v>
      </c>
      <c r="B11773" s="4" t="s">
        <v>5</v>
      </c>
      <c r="C11773" s="4" t="s">
        <v>7</v>
      </c>
      <c r="D11773" s="4" t="s">
        <v>11</v>
      </c>
      <c r="E11773" s="4" t="s">
        <v>8</v>
      </c>
    </row>
    <row r="11774" spans="1:13">
      <c r="A11774" t="n">
        <v>109103</v>
      </c>
      <c r="B11774" s="38" t="n">
        <v>51</v>
      </c>
      <c r="C11774" s="7" t="n">
        <v>4</v>
      </c>
      <c r="D11774" s="7" t="n">
        <v>2</v>
      </c>
      <c r="E11774" s="7" t="s">
        <v>242</v>
      </c>
    </row>
    <row r="11775" spans="1:13">
      <c r="A11775" t="s">
        <v>4</v>
      </c>
      <c r="B11775" s="4" t="s">
        <v>5</v>
      </c>
      <c r="C11775" s="4" t="s">
        <v>11</v>
      </c>
    </row>
    <row r="11776" spans="1:13">
      <c r="A11776" t="n">
        <v>109117</v>
      </c>
      <c r="B11776" s="29" t="n">
        <v>16</v>
      </c>
      <c r="C11776" s="7" t="n">
        <v>0</v>
      </c>
    </row>
    <row r="11777" spans="1:28">
      <c r="A11777" t="s">
        <v>4</v>
      </c>
      <c r="B11777" s="4" t="s">
        <v>5</v>
      </c>
      <c r="C11777" s="4" t="s">
        <v>11</v>
      </c>
      <c r="D11777" s="4" t="s">
        <v>7</v>
      </c>
      <c r="E11777" s="4" t="s">
        <v>15</v>
      </c>
      <c r="F11777" s="4" t="s">
        <v>55</v>
      </c>
      <c r="G11777" s="4" t="s">
        <v>7</v>
      </c>
      <c r="H11777" s="4" t="s">
        <v>7</v>
      </c>
      <c r="I11777" s="4" t="s">
        <v>7</v>
      </c>
      <c r="J11777" s="4" t="s">
        <v>15</v>
      </c>
      <c r="K11777" s="4" t="s">
        <v>55</v>
      </c>
      <c r="L11777" s="4" t="s">
        <v>7</v>
      </c>
      <c r="M11777" s="4" t="s">
        <v>7</v>
      </c>
      <c r="N11777" s="4" t="s">
        <v>7</v>
      </c>
      <c r="O11777" s="4" t="s">
        <v>15</v>
      </c>
      <c r="P11777" s="4" t="s">
        <v>55</v>
      </c>
      <c r="Q11777" s="4" t="s">
        <v>7</v>
      </c>
      <c r="R11777" s="4" t="s">
        <v>7</v>
      </c>
      <c r="S11777" s="4" t="s">
        <v>7</v>
      </c>
      <c r="T11777" s="4" t="s">
        <v>15</v>
      </c>
      <c r="U11777" s="4" t="s">
        <v>55</v>
      </c>
      <c r="V11777" s="4" t="s">
        <v>7</v>
      </c>
      <c r="W11777" s="4" t="s">
        <v>7</v>
      </c>
    </row>
    <row r="11778" spans="1:28">
      <c r="A11778" t="n">
        <v>109120</v>
      </c>
      <c r="B11778" s="55" t="n">
        <v>26</v>
      </c>
      <c r="C11778" s="7" t="n">
        <v>2</v>
      </c>
      <c r="D11778" s="7" t="n">
        <v>17</v>
      </c>
      <c r="E11778" s="7" t="n">
        <v>6807</v>
      </c>
      <c r="F11778" s="7" t="s">
        <v>956</v>
      </c>
      <c r="G11778" s="7" t="n">
        <v>2</v>
      </c>
      <c r="H11778" s="7" t="n">
        <v>3</v>
      </c>
      <c r="I11778" s="7" t="n">
        <v>17</v>
      </c>
      <c r="J11778" s="7" t="n">
        <v>6808</v>
      </c>
      <c r="K11778" s="7" t="s">
        <v>957</v>
      </c>
      <c r="L11778" s="7" t="n">
        <v>2</v>
      </c>
      <c r="M11778" s="7" t="n">
        <v>3</v>
      </c>
      <c r="N11778" s="7" t="n">
        <v>17</v>
      </c>
      <c r="O11778" s="7" t="n">
        <v>6809</v>
      </c>
      <c r="P11778" s="7" t="s">
        <v>958</v>
      </c>
      <c r="Q11778" s="7" t="n">
        <v>2</v>
      </c>
      <c r="R11778" s="7" t="n">
        <v>3</v>
      </c>
      <c r="S11778" s="7" t="n">
        <v>17</v>
      </c>
      <c r="T11778" s="7" t="n">
        <v>6810</v>
      </c>
      <c r="U11778" s="7" t="s">
        <v>959</v>
      </c>
      <c r="V11778" s="7" t="n">
        <v>2</v>
      </c>
      <c r="W11778" s="7" t="n">
        <v>0</v>
      </c>
    </row>
    <row r="11779" spans="1:28">
      <c r="A11779" t="s">
        <v>4</v>
      </c>
      <c r="B11779" s="4" t="s">
        <v>5</v>
      </c>
    </row>
    <row r="11780" spans="1:28">
      <c r="A11780" t="n">
        <v>109464</v>
      </c>
      <c r="B11780" s="27" t="n">
        <v>28</v>
      </c>
    </row>
    <row r="11781" spans="1:28">
      <c r="A11781" t="s">
        <v>4</v>
      </c>
      <c r="B11781" s="4" t="s">
        <v>5</v>
      </c>
      <c r="C11781" s="4" t="s">
        <v>11</v>
      </c>
      <c r="D11781" s="4" t="s">
        <v>7</v>
      </c>
    </row>
    <row r="11782" spans="1:28">
      <c r="A11782" t="n">
        <v>109465</v>
      </c>
      <c r="B11782" s="68" t="n">
        <v>89</v>
      </c>
      <c r="C11782" s="7" t="n">
        <v>65533</v>
      </c>
      <c r="D11782" s="7" t="n">
        <v>1</v>
      </c>
    </row>
    <row r="11783" spans="1:28">
      <c r="A11783" t="s">
        <v>4</v>
      </c>
      <c r="B11783" s="4" t="s">
        <v>5</v>
      </c>
      <c r="C11783" s="4" t="s">
        <v>7</v>
      </c>
      <c r="D11783" s="4" t="s">
        <v>11</v>
      </c>
      <c r="E11783" s="4" t="s">
        <v>13</v>
      </c>
    </row>
    <row r="11784" spans="1:28">
      <c r="A11784" t="n">
        <v>109469</v>
      </c>
      <c r="B11784" s="23" t="n">
        <v>58</v>
      </c>
      <c r="C11784" s="7" t="n">
        <v>101</v>
      </c>
      <c r="D11784" s="7" t="n">
        <v>500</v>
      </c>
      <c r="E11784" s="7" t="n">
        <v>1</v>
      </c>
    </row>
    <row r="11785" spans="1:28">
      <c r="A11785" t="s">
        <v>4</v>
      </c>
      <c r="B11785" s="4" t="s">
        <v>5</v>
      </c>
      <c r="C11785" s="4" t="s">
        <v>7</v>
      </c>
      <c r="D11785" s="4" t="s">
        <v>11</v>
      </c>
    </row>
    <row r="11786" spans="1:28">
      <c r="A11786" t="n">
        <v>109477</v>
      </c>
      <c r="B11786" s="23" t="n">
        <v>58</v>
      </c>
      <c r="C11786" s="7" t="n">
        <v>254</v>
      </c>
      <c r="D11786" s="7" t="n">
        <v>0</v>
      </c>
    </row>
    <row r="11787" spans="1:28">
      <c r="A11787" t="s">
        <v>4</v>
      </c>
      <c r="B11787" s="4" t="s">
        <v>5</v>
      </c>
      <c r="C11787" s="4" t="s">
        <v>7</v>
      </c>
      <c r="D11787" s="4" t="s">
        <v>7</v>
      </c>
      <c r="E11787" s="4" t="s">
        <v>13</v>
      </c>
      <c r="F11787" s="4" t="s">
        <v>13</v>
      </c>
      <c r="G11787" s="4" t="s">
        <v>13</v>
      </c>
      <c r="H11787" s="4" t="s">
        <v>11</v>
      </c>
    </row>
    <row r="11788" spans="1:28">
      <c r="A11788" t="n">
        <v>109481</v>
      </c>
      <c r="B11788" s="51" t="n">
        <v>45</v>
      </c>
      <c r="C11788" s="7" t="n">
        <v>2</v>
      </c>
      <c r="D11788" s="7" t="n">
        <v>3</v>
      </c>
      <c r="E11788" s="7" t="n">
        <v>-6.86999988555908</v>
      </c>
      <c r="F11788" s="7" t="n">
        <v>6.46000003814697</v>
      </c>
      <c r="G11788" s="7" t="n">
        <v>29.9200000762939</v>
      </c>
      <c r="H11788" s="7" t="n">
        <v>0</v>
      </c>
    </row>
    <row r="11789" spans="1:28">
      <c r="A11789" t="s">
        <v>4</v>
      </c>
      <c r="B11789" s="4" t="s">
        <v>5</v>
      </c>
      <c r="C11789" s="4" t="s">
        <v>7</v>
      </c>
      <c r="D11789" s="4" t="s">
        <v>7</v>
      </c>
      <c r="E11789" s="4" t="s">
        <v>13</v>
      </c>
      <c r="F11789" s="4" t="s">
        <v>13</v>
      </c>
      <c r="G11789" s="4" t="s">
        <v>13</v>
      </c>
      <c r="H11789" s="4" t="s">
        <v>11</v>
      </c>
      <c r="I11789" s="4" t="s">
        <v>7</v>
      </c>
    </row>
    <row r="11790" spans="1:28">
      <c r="A11790" t="n">
        <v>109498</v>
      </c>
      <c r="B11790" s="51" t="n">
        <v>45</v>
      </c>
      <c r="C11790" s="7" t="n">
        <v>4</v>
      </c>
      <c r="D11790" s="7" t="n">
        <v>3</v>
      </c>
      <c r="E11790" s="7" t="n">
        <v>9.21000003814697</v>
      </c>
      <c r="F11790" s="7" t="n">
        <v>50.6699981689453</v>
      </c>
      <c r="G11790" s="7" t="n">
        <v>8</v>
      </c>
      <c r="H11790" s="7" t="n">
        <v>0</v>
      </c>
      <c r="I11790" s="7" t="n">
        <v>0</v>
      </c>
    </row>
    <row r="11791" spans="1:28">
      <c r="A11791" t="s">
        <v>4</v>
      </c>
      <c r="B11791" s="4" t="s">
        <v>5</v>
      </c>
      <c r="C11791" s="4" t="s">
        <v>7</v>
      </c>
      <c r="D11791" s="4" t="s">
        <v>7</v>
      </c>
      <c r="E11791" s="4" t="s">
        <v>13</v>
      </c>
      <c r="F11791" s="4" t="s">
        <v>11</v>
      </c>
    </row>
    <row r="11792" spans="1:28">
      <c r="A11792" t="n">
        <v>109516</v>
      </c>
      <c r="B11792" s="51" t="n">
        <v>45</v>
      </c>
      <c r="C11792" s="7" t="n">
        <v>5</v>
      </c>
      <c r="D11792" s="7" t="n">
        <v>3</v>
      </c>
      <c r="E11792" s="7" t="n">
        <v>1.10000002384186</v>
      </c>
      <c r="F11792" s="7" t="n">
        <v>0</v>
      </c>
    </row>
    <row r="11793" spans="1:23">
      <c r="A11793" t="s">
        <v>4</v>
      </c>
      <c r="B11793" s="4" t="s">
        <v>5</v>
      </c>
      <c r="C11793" s="4" t="s">
        <v>7</v>
      </c>
      <c r="D11793" s="4" t="s">
        <v>7</v>
      </c>
      <c r="E11793" s="4" t="s">
        <v>13</v>
      </c>
      <c r="F11793" s="4" t="s">
        <v>11</v>
      </c>
    </row>
    <row r="11794" spans="1:23">
      <c r="A11794" t="n">
        <v>109525</v>
      </c>
      <c r="B11794" s="51" t="n">
        <v>45</v>
      </c>
      <c r="C11794" s="7" t="n">
        <v>11</v>
      </c>
      <c r="D11794" s="7" t="n">
        <v>3</v>
      </c>
      <c r="E11794" s="7" t="n">
        <v>40.2999992370605</v>
      </c>
      <c r="F11794" s="7" t="n">
        <v>0</v>
      </c>
    </row>
    <row r="11795" spans="1:23">
      <c r="A11795" t="s">
        <v>4</v>
      </c>
      <c r="B11795" s="4" t="s">
        <v>5</v>
      </c>
      <c r="C11795" s="4" t="s">
        <v>7</v>
      </c>
      <c r="D11795" s="4" t="s">
        <v>11</v>
      </c>
    </row>
    <row r="11796" spans="1:23">
      <c r="A11796" t="n">
        <v>109534</v>
      </c>
      <c r="B11796" s="23" t="n">
        <v>58</v>
      </c>
      <c r="C11796" s="7" t="n">
        <v>255</v>
      </c>
      <c r="D11796" s="7" t="n">
        <v>0</v>
      </c>
    </row>
    <row r="11797" spans="1:23">
      <c r="A11797" t="s">
        <v>4</v>
      </c>
      <c r="B11797" s="4" t="s">
        <v>5</v>
      </c>
      <c r="C11797" s="4" t="s">
        <v>7</v>
      </c>
      <c r="D11797" s="4" t="s">
        <v>11</v>
      </c>
      <c r="E11797" s="4" t="s">
        <v>8</v>
      </c>
    </row>
    <row r="11798" spans="1:23">
      <c r="A11798" t="n">
        <v>109538</v>
      </c>
      <c r="B11798" s="38" t="n">
        <v>51</v>
      </c>
      <c r="C11798" s="7" t="n">
        <v>4</v>
      </c>
      <c r="D11798" s="7" t="n">
        <v>0</v>
      </c>
      <c r="E11798" s="7" t="s">
        <v>173</v>
      </c>
    </row>
    <row r="11799" spans="1:23">
      <c r="A11799" t="s">
        <v>4</v>
      </c>
      <c r="B11799" s="4" t="s">
        <v>5</v>
      </c>
      <c r="C11799" s="4" t="s">
        <v>11</v>
      </c>
    </row>
    <row r="11800" spans="1:23">
      <c r="A11800" t="n">
        <v>109551</v>
      </c>
      <c r="B11800" s="29" t="n">
        <v>16</v>
      </c>
      <c r="C11800" s="7" t="n">
        <v>0</v>
      </c>
    </row>
    <row r="11801" spans="1:23">
      <c r="A11801" t="s">
        <v>4</v>
      </c>
      <c r="B11801" s="4" t="s">
        <v>5</v>
      </c>
      <c r="C11801" s="4" t="s">
        <v>11</v>
      </c>
      <c r="D11801" s="4" t="s">
        <v>7</v>
      </c>
      <c r="E11801" s="4" t="s">
        <v>15</v>
      </c>
      <c r="F11801" s="4" t="s">
        <v>55</v>
      </c>
      <c r="G11801" s="4" t="s">
        <v>7</v>
      </c>
      <c r="H11801" s="4" t="s">
        <v>7</v>
      </c>
      <c r="I11801" s="4" t="s">
        <v>7</v>
      </c>
      <c r="J11801" s="4" t="s">
        <v>15</v>
      </c>
      <c r="K11801" s="4" t="s">
        <v>55</v>
      </c>
      <c r="L11801" s="4" t="s">
        <v>7</v>
      </c>
      <c r="M11801" s="4" t="s">
        <v>7</v>
      </c>
      <c r="N11801" s="4" t="s">
        <v>7</v>
      </c>
      <c r="O11801" s="4" t="s">
        <v>15</v>
      </c>
      <c r="P11801" s="4" t="s">
        <v>55</v>
      </c>
      <c r="Q11801" s="4" t="s">
        <v>7</v>
      </c>
      <c r="R11801" s="4" t="s">
        <v>7</v>
      </c>
    </row>
    <row r="11802" spans="1:23">
      <c r="A11802" t="n">
        <v>109554</v>
      </c>
      <c r="B11802" s="55" t="n">
        <v>26</v>
      </c>
      <c r="C11802" s="7" t="n">
        <v>0</v>
      </c>
      <c r="D11802" s="7" t="n">
        <v>17</v>
      </c>
      <c r="E11802" s="7" t="n">
        <v>64120</v>
      </c>
      <c r="F11802" s="7" t="s">
        <v>960</v>
      </c>
      <c r="G11802" s="7" t="n">
        <v>2</v>
      </c>
      <c r="H11802" s="7" t="n">
        <v>3</v>
      </c>
      <c r="I11802" s="7" t="n">
        <v>17</v>
      </c>
      <c r="J11802" s="7" t="n">
        <v>64121</v>
      </c>
      <c r="K11802" s="7" t="s">
        <v>961</v>
      </c>
      <c r="L11802" s="7" t="n">
        <v>2</v>
      </c>
      <c r="M11802" s="7" t="n">
        <v>3</v>
      </c>
      <c r="N11802" s="7" t="n">
        <v>17</v>
      </c>
      <c r="O11802" s="7" t="n">
        <v>64122</v>
      </c>
      <c r="P11802" s="7" t="s">
        <v>962</v>
      </c>
      <c r="Q11802" s="7" t="n">
        <v>2</v>
      </c>
      <c r="R11802" s="7" t="n">
        <v>0</v>
      </c>
    </row>
    <row r="11803" spans="1:23">
      <c r="A11803" t="s">
        <v>4</v>
      </c>
      <c r="B11803" s="4" t="s">
        <v>5</v>
      </c>
    </row>
    <row r="11804" spans="1:23">
      <c r="A11804" t="n">
        <v>109900</v>
      </c>
      <c r="B11804" s="27" t="n">
        <v>28</v>
      </c>
    </row>
    <row r="11805" spans="1:23">
      <c r="A11805" t="s">
        <v>4</v>
      </c>
      <c r="B11805" s="4" t="s">
        <v>5</v>
      </c>
      <c r="C11805" s="4" t="s">
        <v>7</v>
      </c>
      <c r="D11805" s="4" t="s">
        <v>11</v>
      </c>
      <c r="E11805" s="4" t="s">
        <v>8</v>
      </c>
    </row>
    <row r="11806" spans="1:23">
      <c r="A11806" t="n">
        <v>109901</v>
      </c>
      <c r="B11806" s="38" t="n">
        <v>51</v>
      </c>
      <c r="C11806" s="7" t="n">
        <v>4</v>
      </c>
      <c r="D11806" s="7" t="n">
        <v>2</v>
      </c>
      <c r="E11806" s="7" t="s">
        <v>192</v>
      </c>
    </row>
    <row r="11807" spans="1:23">
      <c r="A11807" t="s">
        <v>4</v>
      </c>
      <c r="B11807" s="4" t="s">
        <v>5</v>
      </c>
      <c r="C11807" s="4" t="s">
        <v>11</v>
      </c>
    </row>
    <row r="11808" spans="1:23">
      <c r="A11808" t="n">
        <v>109914</v>
      </c>
      <c r="B11808" s="29" t="n">
        <v>16</v>
      </c>
      <c r="C11808" s="7" t="n">
        <v>0</v>
      </c>
    </row>
    <row r="11809" spans="1:18">
      <c r="A11809" t="s">
        <v>4</v>
      </c>
      <c r="B11809" s="4" t="s">
        <v>5</v>
      </c>
      <c r="C11809" s="4" t="s">
        <v>11</v>
      </c>
      <c r="D11809" s="4" t="s">
        <v>7</v>
      </c>
      <c r="E11809" s="4" t="s">
        <v>15</v>
      </c>
      <c r="F11809" s="4" t="s">
        <v>55</v>
      </c>
      <c r="G11809" s="4" t="s">
        <v>7</v>
      </c>
      <c r="H11809" s="4" t="s">
        <v>7</v>
      </c>
      <c r="I11809" s="4" t="s">
        <v>7</v>
      </c>
      <c r="J11809" s="4" t="s">
        <v>15</v>
      </c>
      <c r="K11809" s="4" t="s">
        <v>55</v>
      </c>
      <c r="L11809" s="4" t="s">
        <v>7</v>
      </c>
      <c r="M11809" s="4" t="s">
        <v>7</v>
      </c>
    </row>
    <row r="11810" spans="1:18">
      <c r="A11810" t="n">
        <v>109917</v>
      </c>
      <c r="B11810" s="55" t="n">
        <v>26</v>
      </c>
      <c r="C11810" s="7" t="n">
        <v>2</v>
      </c>
      <c r="D11810" s="7" t="n">
        <v>17</v>
      </c>
      <c r="E11810" s="7" t="n">
        <v>6811</v>
      </c>
      <c r="F11810" s="7" t="s">
        <v>963</v>
      </c>
      <c r="G11810" s="7" t="n">
        <v>2</v>
      </c>
      <c r="H11810" s="7" t="n">
        <v>3</v>
      </c>
      <c r="I11810" s="7" t="n">
        <v>17</v>
      </c>
      <c r="J11810" s="7" t="n">
        <v>6812</v>
      </c>
      <c r="K11810" s="7" t="s">
        <v>964</v>
      </c>
      <c r="L11810" s="7" t="n">
        <v>2</v>
      </c>
      <c r="M11810" s="7" t="n">
        <v>0</v>
      </c>
    </row>
    <row r="11811" spans="1:18">
      <c r="A11811" t="s">
        <v>4</v>
      </c>
      <c r="B11811" s="4" t="s">
        <v>5</v>
      </c>
    </row>
    <row r="11812" spans="1:18">
      <c r="A11812" t="n">
        <v>110160</v>
      </c>
      <c r="B11812" s="27" t="n">
        <v>28</v>
      </c>
    </row>
    <row r="11813" spans="1:18">
      <c r="A11813" t="s">
        <v>4</v>
      </c>
      <c r="B11813" s="4" t="s">
        <v>5</v>
      </c>
      <c r="C11813" s="4" t="s">
        <v>7</v>
      </c>
      <c r="D11813" s="4" t="s">
        <v>11</v>
      </c>
      <c r="E11813" s="4" t="s">
        <v>8</v>
      </c>
    </row>
    <row r="11814" spans="1:18">
      <c r="A11814" t="n">
        <v>110161</v>
      </c>
      <c r="B11814" s="38" t="n">
        <v>51</v>
      </c>
      <c r="C11814" s="7" t="n">
        <v>4</v>
      </c>
      <c r="D11814" s="7" t="n">
        <v>0</v>
      </c>
      <c r="E11814" s="7" t="s">
        <v>147</v>
      </c>
    </row>
    <row r="11815" spans="1:18">
      <c r="A11815" t="s">
        <v>4</v>
      </c>
      <c r="B11815" s="4" t="s">
        <v>5</v>
      </c>
      <c r="C11815" s="4" t="s">
        <v>11</v>
      </c>
    </row>
    <row r="11816" spans="1:18">
      <c r="A11816" t="n">
        <v>110175</v>
      </c>
      <c r="B11816" s="29" t="n">
        <v>16</v>
      </c>
      <c r="C11816" s="7" t="n">
        <v>0</v>
      </c>
    </row>
    <row r="11817" spans="1:18">
      <c r="A11817" t="s">
        <v>4</v>
      </c>
      <c r="B11817" s="4" t="s">
        <v>5</v>
      </c>
      <c r="C11817" s="4" t="s">
        <v>11</v>
      </c>
      <c r="D11817" s="4" t="s">
        <v>7</v>
      </c>
      <c r="E11817" s="4" t="s">
        <v>15</v>
      </c>
      <c r="F11817" s="4" t="s">
        <v>55</v>
      </c>
      <c r="G11817" s="4" t="s">
        <v>7</v>
      </c>
      <c r="H11817" s="4" t="s">
        <v>7</v>
      </c>
    </row>
    <row r="11818" spans="1:18">
      <c r="A11818" t="n">
        <v>110178</v>
      </c>
      <c r="B11818" s="55" t="n">
        <v>26</v>
      </c>
      <c r="C11818" s="7" t="n">
        <v>0</v>
      </c>
      <c r="D11818" s="7" t="n">
        <v>17</v>
      </c>
      <c r="E11818" s="7" t="n">
        <v>64123</v>
      </c>
      <c r="F11818" s="7" t="s">
        <v>965</v>
      </c>
      <c r="G11818" s="7" t="n">
        <v>2</v>
      </c>
      <c r="H11818" s="7" t="n">
        <v>0</v>
      </c>
    </row>
    <row r="11819" spans="1:18">
      <c r="A11819" t="s">
        <v>4</v>
      </c>
      <c r="B11819" s="4" t="s">
        <v>5</v>
      </c>
    </row>
    <row r="11820" spans="1:18">
      <c r="A11820" t="n">
        <v>110214</v>
      </c>
      <c r="B11820" s="27" t="n">
        <v>28</v>
      </c>
    </row>
    <row r="11821" spans="1:18">
      <c r="A11821" t="s">
        <v>4</v>
      </c>
      <c r="B11821" s="4" t="s">
        <v>5</v>
      </c>
      <c r="C11821" s="4" t="s">
        <v>7</v>
      </c>
      <c r="D11821" s="4" t="s">
        <v>11</v>
      </c>
      <c r="E11821" s="4" t="s">
        <v>8</v>
      </c>
    </row>
    <row r="11822" spans="1:18">
      <c r="A11822" t="n">
        <v>110215</v>
      </c>
      <c r="B11822" s="38" t="n">
        <v>51</v>
      </c>
      <c r="C11822" s="7" t="n">
        <v>4</v>
      </c>
      <c r="D11822" s="7" t="n">
        <v>2</v>
      </c>
      <c r="E11822" s="7" t="s">
        <v>574</v>
      </c>
    </row>
    <row r="11823" spans="1:18">
      <c r="A11823" t="s">
        <v>4</v>
      </c>
      <c r="B11823" s="4" t="s">
        <v>5</v>
      </c>
      <c r="C11823" s="4" t="s">
        <v>11</v>
      </c>
    </row>
    <row r="11824" spans="1:18">
      <c r="A11824" t="n">
        <v>110228</v>
      </c>
      <c r="B11824" s="29" t="n">
        <v>16</v>
      </c>
      <c r="C11824" s="7" t="n">
        <v>0</v>
      </c>
    </row>
    <row r="11825" spans="1:13">
      <c r="A11825" t="s">
        <v>4</v>
      </c>
      <c r="B11825" s="4" t="s">
        <v>5</v>
      </c>
      <c r="C11825" s="4" t="s">
        <v>11</v>
      </c>
      <c r="D11825" s="4" t="s">
        <v>7</v>
      </c>
      <c r="E11825" s="4" t="s">
        <v>15</v>
      </c>
      <c r="F11825" s="4" t="s">
        <v>55</v>
      </c>
      <c r="G11825" s="4" t="s">
        <v>7</v>
      </c>
      <c r="H11825" s="4" t="s">
        <v>7</v>
      </c>
      <c r="I11825" s="4" t="s">
        <v>7</v>
      </c>
      <c r="J11825" s="4" t="s">
        <v>15</v>
      </c>
      <c r="K11825" s="4" t="s">
        <v>55</v>
      </c>
      <c r="L11825" s="4" t="s">
        <v>7</v>
      </c>
      <c r="M11825" s="4" t="s">
        <v>7</v>
      </c>
      <c r="N11825" s="4" t="s">
        <v>7</v>
      </c>
      <c r="O11825" s="4" t="s">
        <v>15</v>
      </c>
      <c r="P11825" s="4" t="s">
        <v>55</v>
      </c>
      <c r="Q11825" s="4" t="s">
        <v>7</v>
      </c>
      <c r="R11825" s="4" t="s">
        <v>7</v>
      </c>
      <c r="S11825" s="4" t="s">
        <v>7</v>
      </c>
      <c r="T11825" s="4" t="s">
        <v>15</v>
      </c>
      <c r="U11825" s="4" t="s">
        <v>55</v>
      </c>
      <c r="V11825" s="4" t="s">
        <v>7</v>
      </c>
      <c r="W11825" s="4" t="s">
        <v>7</v>
      </c>
    </row>
    <row r="11826" spans="1:13">
      <c r="A11826" t="n">
        <v>110231</v>
      </c>
      <c r="B11826" s="55" t="n">
        <v>26</v>
      </c>
      <c r="C11826" s="7" t="n">
        <v>2</v>
      </c>
      <c r="D11826" s="7" t="n">
        <v>17</v>
      </c>
      <c r="E11826" s="7" t="n">
        <v>6813</v>
      </c>
      <c r="F11826" s="7" t="s">
        <v>966</v>
      </c>
      <c r="G11826" s="7" t="n">
        <v>2</v>
      </c>
      <c r="H11826" s="7" t="n">
        <v>3</v>
      </c>
      <c r="I11826" s="7" t="n">
        <v>17</v>
      </c>
      <c r="J11826" s="7" t="n">
        <v>6814</v>
      </c>
      <c r="K11826" s="7" t="s">
        <v>967</v>
      </c>
      <c r="L11826" s="7" t="n">
        <v>2</v>
      </c>
      <c r="M11826" s="7" t="n">
        <v>3</v>
      </c>
      <c r="N11826" s="7" t="n">
        <v>17</v>
      </c>
      <c r="O11826" s="7" t="n">
        <v>6815</v>
      </c>
      <c r="P11826" s="7" t="s">
        <v>968</v>
      </c>
      <c r="Q11826" s="7" t="n">
        <v>2</v>
      </c>
      <c r="R11826" s="7" t="n">
        <v>3</v>
      </c>
      <c r="S11826" s="7" t="n">
        <v>17</v>
      </c>
      <c r="T11826" s="7" t="n">
        <v>6816</v>
      </c>
      <c r="U11826" s="7" t="s">
        <v>969</v>
      </c>
      <c r="V11826" s="7" t="n">
        <v>2</v>
      </c>
      <c r="W11826" s="7" t="n">
        <v>0</v>
      </c>
    </row>
    <row r="11827" spans="1:13">
      <c r="A11827" t="s">
        <v>4</v>
      </c>
      <c r="B11827" s="4" t="s">
        <v>5</v>
      </c>
    </row>
    <row r="11828" spans="1:13">
      <c r="A11828" t="n">
        <v>110718</v>
      </c>
      <c r="B11828" s="27" t="n">
        <v>28</v>
      </c>
    </row>
    <row r="11829" spans="1:13">
      <c r="A11829" t="s">
        <v>4</v>
      </c>
      <c r="B11829" s="4" t="s">
        <v>5</v>
      </c>
      <c r="C11829" s="4" t="s">
        <v>11</v>
      </c>
      <c r="D11829" s="4" t="s">
        <v>7</v>
      </c>
    </row>
    <row r="11830" spans="1:13">
      <c r="A11830" t="n">
        <v>110719</v>
      </c>
      <c r="B11830" s="68" t="n">
        <v>89</v>
      </c>
      <c r="C11830" s="7" t="n">
        <v>65533</v>
      </c>
      <c r="D11830" s="7" t="n">
        <v>1</v>
      </c>
    </row>
    <row r="11831" spans="1:13">
      <c r="A11831" t="s">
        <v>4</v>
      </c>
      <c r="B11831" s="4" t="s">
        <v>5</v>
      </c>
      <c r="C11831" s="4" t="s">
        <v>11</v>
      </c>
      <c r="D11831" s="4" t="s">
        <v>7</v>
      </c>
      <c r="E11831" s="4" t="s">
        <v>13</v>
      </c>
      <c r="F11831" s="4" t="s">
        <v>11</v>
      </c>
    </row>
    <row r="11832" spans="1:13">
      <c r="A11832" t="n">
        <v>110723</v>
      </c>
      <c r="B11832" s="56" t="n">
        <v>59</v>
      </c>
      <c r="C11832" s="7" t="n">
        <v>0</v>
      </c>
      <c r="D11832" s="7" t="n">
        <v>13</v>
      </c>
      <c r="E11832" s="7" t="n">
        <v>0.150000005960464</v>
      </c>
      <c r="F11832" s="7" t="n">
        <v>0</v>
      </c>
    </row>
    <row r="11833" spans="1:13">
      <c r="A11833" t="s">
        <v>4</v>
      </c>
      <c r="B11833" s="4" t="s">
        <v>5</v>
      </c>
      <c r="C11833" s="4" t="s">
        <v>11</v>
      </c>
    </row>
    <row r="11834" spans="1:13">
      <c r="A11834" t="n">
        <v>110733</v>
      </c>
      <c r="B11834" s="29" t="n">
        <v>16</v>
      </c>
      <c r="C11834" s="7" t="n">
        <v>1300</v>
      </c>
    </row>
    <row r="11835" spans="1:13">
      <c r="A11835" t="s">
        <v>4</v>
      </c>
      <c r="B11835" s="4" t="s">
        <v>5</v>
      </c>
      <c r="C11835" s="4" t="s">
        <v>7</v>
      </c>
      <c r="D11835" s="4" t="s">
        <v>11</v>
      </c>
      <c r="E11835" s="4" t="s">
        <v>13</v>
      </c>
    </row>
    <row r="11836" spans="1:13">
      <c r="A11836" t="n">
        <v>110736</v>
      </c>
      <c r="B11836" s="23" t="n">
        <v>58</v>
      </c>
      <c r="C11836" s="7" t="n">
        <v>101</v>
      </c>
      <c r="D11836" s="7" t="n">
        <v>500</v>
      </c>
      <c r="E11836" s="7" t="n">
        <v>1</v>
      </c>
    </row>
    <row r="11837" spans="1:13">
      <c r="A11837" t="s">
        <v>4</v>
      </c>
      <c r="B11837" s="4" t="s">
        <v>5</v>
      </c>
      <c r="C11837" s="4" t="s">
        <v>7</v>
      </c>
      <c r="D11837" s="4" t="s">
        <v>11</v>
      </c>
    </row>
    <row r="11838" spans="1:13">
      <c r="A11838" t="n">
        <v>110744</v>
      </c>
      <c r="B11838" s="23" t="n">
        <v>58</v>
      </c>
      <c r="C11838" s="7" t="n">
        <v>254</v>
      </c>
      <c r="D11838" s="7" t="n">
        <v>0</v>
      </c>
    </row>
    <row r="11839" spans="1:13">
      <c r="A11839" t="s">
        <v>4</v>
      </c>
      <c r="B11839" s="4" t="s">
        <v>5</v>
      </c>
      <c r="C11839" s="4" t="s">
        <v>7</v>
      </c>
      <c r="D11839" s="4" t="s">
        <v>7</v>
      </c>
      <c r="E11839" s="4" t="s">
        <v>13</v>
      </c>
      <c r="F11839" s="4" t="s">
        <v>13</v>
      </c>
      <c r="G11839" s="4" t="s">
        <v>13</v>
      </c>
      <c r="H11839" s="4" t="s">
        <v>11</v>
      </c>
    </row>
    <row r="11840" spans="1:13">
      <c r="A11840" t="n">
        <v>110748</v>
      </c>
      <c r="B11840" s="51" t="n">
        <v>45</v>
      </c>
      <c r="C11840" s="7" t="n">
        <v>2</v>
      </c>
      <c r="D11840" s="7" t="n">
        <v>3</v>
      </c>
      <c r="E11840" s="7" t="n">
        <v>-6.6100001335144</v>
      </c>
      <c r="F11840" s="7" t="n">
        <v>6.44000005722046</v>
      </c>
      <c r="G11840" s="7" t="n">
        <v>29.9300003051758</v>
      </c>
      <c r="H11840" s="7" t="n">
        <v>0</v>
      </c>
    </row>
    <row r="11841" spans="1:23">
      <c r="A11841" t="s">
        <v>4</v>
      </c>
      <c r="B11841" s="4" t="s">
        <v>5</v>
      </c>
      <c r="C11841" s="4" t="s">
        <v>7</v>
      </c>
      <c r="D11841" s="4" t="s">
        <v>7</v>
      </c>
      <c r="E11841" s="4" t="s">
        <v>13</v>
      </c>
      <c r="F11841" s="4" t="s">
        <v>13</v>
      </c>
      <c r="G11841" s="4" t="s">
        <v>13</v>
      </c>
      <c r="H11841" s="4" t="s">
        <v>11</v>
      </c>
      <c r="I11841" s="4" t="s">
        <v>7</v>
      </c>
    </row>
    <row r="11842" spans="1:23">
      <c r="A11842" t="n">
        <v>110765</v>
      </c>
      <c r="B11842" s="51" t="n">
        <v>45</v>
      </c>
      <c r="C11842" s="7" t="n">
        <v>4</v>
      </c>
      <c r="D11842" s="7" t="n">
        <v>3</v>
      </c>
      <c r="E11842" s="7" t="n">
        <v>357</v>
      </c>
      <c r="F11842" s="7" t="n">
        <v>284.700012207031</v>
      </c>
      <c r="G11842" s="7" t="n">
        <v>4</v>
      </c>
      <c r="H11842" s="7" t="n">
        <v>0</v>
      </c>
      <c r="I11842" s="7" t="n">
        <v>0</v>
      </c>
    </row>
    <row r="11843" spans="1:23">
      <c r="A11843" t="s">
        <v>4</v>
      </c>
      <c r="B11843" s="4" t="s">
        <v>5</v>
      </c>
      <c r="C11843" s="4" t="s">
        <v>7</v>
      </c>
      <c r="D11843" s="4" t="s">
        <v>7</v>
      </c>
      <c r="E11843" s="4" t="s">
        <v>13</v>
      </c>
      <c r="F11843" s="4" t="s">
        <v>11</v>
      </c>
    </row>
    <row r="11844" spans="1:23">
      <c r="A11844" t="n">
        <v>110783</v>
      </c>
      <c r="B11844" s="51" t="n">
        <v>45</v>
      </c>
      <c r="C11844" s="7" t="n">
        <v>5</v>
      </c>
      <c r="D11844" s="7" t="n">
        <v>3</v>
      </c>
      <c r="E11844" s="7" t="n">
        <v>1</v>
      </c>
      <c r="F11844" s="7" t="n">
        <v>0</v>
      </c>
    </row>
    <row r="11845" spans="1:23">
      <c r="A11845" t="s">
        <v>4</v>
      </c>
      <c r="B11845" s="4" t="s">
        <v>5</v>
      </c>
      <c r="C11845" s="4" t="s">
        <v>7</v>
      </c>
      <c r="D11845" s="4" t="s">
        <v>7</v>
      </c>
      <c r="E11845" s="4" t="s">
        <v>13</v>
      </c>
      <c r="F11845" s="4" t="s">
        <v>11</v>
      </c>
    </row>
    <row r="11846" spans="1:23">
      <c r="A11846" t="n">
        <v>110792</v>
      </c>
      <c r="B11846" s="51" t="n">
        <v>45</v>
      </c>
      <c r="C11846" s="7" t="n">
        <v>11</v>
      </c>
      <c r="D11846" s="7" t="n">
        <v>3</v>
      </c>
      <c r="E11846" s="7" t="n">
        <v>40.2999992370605</v>
      </c>
      <c r="F11846" s="7" t="n">
        <v>0</v>
      </c>
    </row>
    <row r="11847" spans="1:23">
      <c r="A11847" t="s">
        <v>4</v>
      </c>
      <c r="B11847" s="4" t="s">
        <v>5</v>
      </c>
      <c r="C11847" s="4" t="s">
        <v>7</v>
      </c>
      <c r="D11847" s="4" t="s">
        <v>11</v>
      </c>
      <c r="E11847" s="4" t="s">
        <v>8</v>
      </c>
      <c r="F11847" s="4" t="s">
        <v>8</v>
      </c>
      <c r="G11847" s="4" t="s">
        <v>8</v>
      </c>
      <c r="H11847" s="4" t="s">
        <v>8</v>
      </c>
    </row>
    <row r="11848" spans="1:23">
      <c r="A11848" t="n">
        <v>110801</v>
      </c>
      <c r="B11848" s="38" t="n">
        <v>51</v>
      </c>
      <c r="C11848" s="7" t="n">
        <v>3</v>
      </c>
      <c r="D11848" s="7" t="n">
        <v>0</v>
      </c>
      <c r="E11848" s="7" t="s">
        <v>86</v>
      </c>
      <c r="F11848" s="7" t="s">
        <v>99</v>
      </c>
      <c r="G11848" s="7" t="s">
        <v>78</v>
      </c>
      <c r="H11848" s="7" t="s">
        <v>79</v>
      </c>
    </row>
    <row r="11849" spans="1:23">
      <c r="A11849" t="s">
        <v>4</v>
      </c>
      <c r="B11849" s="4" t="s">
        <v>5</v>
      </c>
      <c r="C11849" s="4" t="s">
        <v>7</v>
      </c>
      <c r="D11849" s="4" t="s">
        <v>11</v>
      </c>
    </row>
    <row r="11850" spans="1:23">
      <c r="A11850" t="n">
        <v>110814</v>
      </c>
      <c r="B11850" s="23" t="n">
        <v>58</v>
      </c>
      <c r="C11850" s="7" t="n">
        <v>255</v>
      </c>
      <c r="D11850" s="7" t="n">
        <v>0</v>
      </c>
    </row>
    <row r="11851" spans="1:23">
      <c r="A11851" t="s">
        <v>4</v>
      </c>
      <c r="B11851" s="4" t="s">
        <v>5</v>
      </c>
      <c r="C11851" s="4" t="s">
        <v>7</v>
      </c>
      <c r="D11851" s="4" t="s">
        <v>11</v>
      </c>
      <c r="E11851" s="4" t="s">
        <v>8</v>
      </c>
    </row>
    <row r="11852" spans="1:23">
      <c r="A11852" t="n">
        <v>110818</v>
      </c>
      <c r="B11852" s="38" t="n">
        <v>51</v>
      </c>
      <c r="C11852" s="7" t="n">
        <v>4</v>
      </c>
      <c r="D11852" s="7" t="n">
        <v>0</v>
      </c>
      <c r="E11852" s="7" t="s">
        <v>173</v>
      </c>
    </row>
    <row r="11853" spans="1:23">
      <c r="A11853" t="s">
        <v>4</v>
      </c>
      <c r="B11853" s="4" t="s">
        <v>5</v>
      </c>
      <c r="C11853" s="4" t="s">
        <v>11</v>
      </c>
    </row>
    <row r="11854" spans="1:23">
      <c r="A11854" t="n">
        <v>110831</v>
      </c>
      <c r="B11854" s="29" t="n">
        <v>16</v>
      </c>
      <c r="C11854" s="7" t="n">
        <v>0</v>
      </c>
    </row>
    <row r="11855" spans="1:23">
      <c r="A11855" t="s">
        <v>4</v>
      </c>
      <c r="B11855" s="4" t="s">
        <v>5</v>
      </c>
      <c r="C11855" s="4" t="s">
        <v>11</v>
      </c>
      <c r="D11855" s="4" t="s">
        <v>7</v>
      </c>
      <c r="E11855" s="4" t="s">
        <v>15</v>
      </c>
      <c r="F11855" s="4" t="s">
        <v>55</v>
      </c>
      <c r="G11855" s="4" t="s">
        <v>7</v>
      </c>
      <c r="H11855" s="4" t="s">
        <v>7</v>
      </c>
      <c r="I11855" s="4" t="s">
        <v>7</v>
      </c>
      <c r="J11855" s="4" t="s">
        <v>15</v>
      </c>
      <c r="K11855" s="4" t="s">
        <v>55</v>
      </c>
      <c r="L11855" s="4" t="s">
        <v>7</v>
      </c>
      <c r="M11855" s="4" t="s">
        <v>7</v>
      </c>
      <c r="N11855" s="4" t="s">
        <v>7</v>
      </c>
      <c r="O11855" s="4" t="s">
        <v>15</v>
      </c>
      <c r="P11855" s="4" t="s">
        <v>55</v>
      </c>
      <c r="Q11855" s="4" t="s">
        <v>7</v>
      </c>
      <c r="R11855" s="4" t="s">
        <v>7</v>
      </c>
      <c r="S11855" s="4" t="s">
        <v>7</v>
      </c>
      <c r="T11855" s="4" t="s">
        <v>15</v>
      </c>
      <c r="U11855" s="4" t="s">
        <v>55</v>
      </c>
      <c r="V11855" s="4" t="s">
        <v>7</v>
      </c>
      <c r="W11855" s="4" t="s">
        <v>7</v>
      </c>
    </row>
    <row r="11856" spans="1:23">
      <c r="A11856" t="n">
        <v>110834</v>
      </c>
      <c r="B11856" s="55" t="n">
        <v>26</v>
      </c>
      <c r="C11856" s="7" t="n">
        <v>0</v>
      </c>
      <c r="D11856" s="7" t="n">
        <v>17</v>
      </c>
      <c r="E11856" s="7" t="n">
        <v>64124</v>
      </c>
      <c r="F11856" s="7" t="s">
        <v>970</v>
      </c>
      <c r="G11856" s="7" t="n">
        <v>2</v>
      </c>
      <c r="H11856" s="7" t="n">
        <v>3</v>
      </c>
      <c r="I11856" s="7" t="n">
        <v>17</v>
      </c>
      <c r="J11856" s="7" t="n">
        <v>64125</v>
      </c>
      <c r="K11856" s="7" t="s">
        <v>971</v>
      </c>
      <c r="L11856" s="7" t="n">
        <v>2</v>
      </c>
      <c r="M11856" s="7" t="n">
        <v>3</v>
      </c>
      <c r="N11856" s="7" t="n">
        <v>17</v>
      </c>
      <c r="O11856" s="7" t="n">
        <v>64126</v>
      </c>
      <c r="P11856" s="7" t="s">
        <v>972</v>
      </c>
      <c r="Q11856" s="7" t="n">
        <v>2</v>
      </c>
      <c r="R11856" s="7" t="n">
        <v>3</v>
      </c>
      <c r="S11856" s="7" t="n">
        <v>17</v>
      </c>
      <c r="T11856" s="7" t="n">
        <v>64127</v>
      </c>
      <c r="U11856" s="7" t="s">
        <v>973</v>
      </c>
      <c r="V11856" s="7" t="n">
        <v>2</v>
      </c>
      <c r="W11856" s="7" t="n">
        <v>0</v>
      </c>
    </row>
    <row r="11857" spans="1:23">
      <c r="A11857" t="s">
        <v>4</v>
      </c>
      <c r="B11857" s="4" t="s">
        <v>5</v>
      </c>
    </row>
    <row r="11858" spans="1:23">
      <c r="A11858" t="n">
        <v>111180</v>
      </c>
      <c r="B11858" s="27" t="n">
        <v>28</v>
      </c>
    </row>
    <row r="11859" spans="1:23">
      <c r="A11859" t="s">
        <v>4</v>
      </c>
      <c r="B11859" s="4" t="s">
        <v>5</v>
      </c>
      <c r="C11859" s="4" t="s">
        <v>11</v>
      </c>
      <c r="D11859" s="4" t="s">
        <v>7</v>
      </c>
    </row>
    <row r="11860" spans="1:23">
      <c r="A11860" t="n">
        <v>111181</v>
      </c>
      <c r="B11860" s="68" t="n">
        <v>89</v>
      </c>
      <c r="C11860" s="7" t="n">
        <v>65533</v>
      </c>
      <c r="D11860" s="7" t="n">
        <v>1</v>
      </c>
    </row>
    <row r="11861" spans="1:23">
      <c r="A11861" t="s">
        <v>4</v>
      </c>
      <c r="B11861" s="4" t="s">
        <v>5</v>
      </c>
      <c r="C11861" s="4" t="s">
        <v>7</v>
      </c>
      <c r="D11861" s="4" t="s">
        <v>11</v>
      </c>
      <c r="E11861" s="4" t="s">
        <v>13</v>
      </c>
    </row>
    <row r="11862" spans="1:23">
      <c r="A11862" t="n">
        <v>111185</v>
      </c>
      <c r="B11862" s="23" t="n">
        <v>58</v>
      </c>
      <c r="C11862" s="7" t="n">
        <v>101</v>
      </c>
      <c r="D11862" s="7" t="n">
        <v>500</v>
      </c>
      <c r="E11862" s="7" t="n">
        <v>1</v>
      </c>
    </row>
    <row r="11863" spans="1:23">
      <c r="A11863" t="s">
        <v>4</v>
      </c>
      <c r="B11863" s="4" t="s">
        <v>5</v>
      </c>
      <c r="C11863" s="4" t="s">
        <v>7</v>
      </c>
      <c r="D11863" s="4" t="s">
        <v>11</v>
      </c>
    </row>
    <row r="11864" spans="1:23">
      <c r="A11864" t="n">
        <v>111193</v>
      </c>
      <c r="B11864" s="23" t="n">
        <v>58</v>
      </c>
      <c r="C11864" s="7" t="n">
        <v>254</v>
      </c>
      <c r="D11864" s="7" t="n">
        <v>0</v>
      </c>
    </row>
    <row r="11865" spans="1:23">
      <c r="A11865" t="s">
        <v>4</v>
      </c>
      <c r="B11865" s="4" t="s">
        <v>5</v>
      </c>
      <c r="C11865" s="4" t="s">
        <v>7</v>
      </c>
      <c r="D11865" s="4" t="s">
        <v>7</v>
      </c>
      <c r="E11865" s="4" t="s">
        <v>13</v>
      </c>
      <c r="F11865" s="4" t="s">
        <v>13</v>
      </c>
      <c r="G11865" s="4" t="s">
        <v>13</v>
      </c>
      <c r="H11865" s="4" t="s">
        <v>11</v>
      </c>
    </row>
    <row r="11866" spans="1:23">
      <c r="A11866" t="n">
        <v>111197</v>
      </c>
      <c r="B11866" s="51" t="n">
        <v>45</v>
      </c>
      <c r="C11866" s="7" t="n">
        <v>2</v>
      </c>
      <c r="D11866" s="7" t="n">
        <v>3</v>
      </c>
      <c r="E11866" s="7" t="n">
        <v>-7.3600001335144</v>
      </c>
      <c r="F11866" s="7" t="n">
        <v>6.42999982833862</v>
      </c>
      <c r="G11866" s="7" t="n">
        <v>29.8199996948242</v>
      </c>
      <c r="H11866" s="7" t="n">
        <v>0</v>
      </c>
    </row>
    <row r="11867" spans="1:23">
      <c r="A11867" t="s">
        <v>4</v>
      </c>
      <c r="B11867" s="4" t="s">
        <v>5</v>
      </c>
      <c r="C11867" s="4" t="s">
        <v>7</v>
      </c>
      <c r="D11867" s="4" t="s">
        <v>7</v>
      </c>
      <c r="E11867" s="4" t="s">
        <v>13</v>
      </c>
      <c r="F11867" s="4" t="s">
        <v>13</v>
      </c>
      <c r="G11867" s="4" t="s">
        <v>13</v>
      </c>
      <c r="H11867" s="4" t="s">
        <v>11</v>
      </c>
      <c r="I11867" s="4" t="s">
        <v>7</v>
      </c>
    </row>
    <row r="11868" spans="1:23">
      <c r="A11868" t="n">
        <v>111214</v>
      </c>
      <c r="B11868" s="51" t="n">
        <v>45</v>
      </c>
      <c r="C11868" s="7" t="n">
        <v>4</v>
      </c>
      <c r="D11868" s="7" t="n">
        <v>3</v>
      </c>
      <c r="E11868" s="7" t="n">
        <v>8.11999988555908</v>
      </c>
      <c r="F11868" s="7" t="n">
        <v>69.9499969482422</v>
      </c>
      <c r="G11868" s="7" t="n">
        <v>354</v>
      </c>
      <c r="H11868" s="7" t="n">
        <v>0</v>
      </c>
      <c r="I11868" s="7" t="n">
        <v>0</v>
      </c>
    </row>
    <row r="11869" spans="1:23">
      <c r="A11869" t="s">
        <v>4</v>
      </c>
      <c r="B11869" s="4" t="s">
        <v>5</v>
      </c>
      <c r="C11869" s="4" t="s">
        <v>7</v>
      </c>
      <c r="D11869" s="4" t="s">
        <v>7</v>
      </c>
      <c r="E11869" s="4" t="s">
        <v>13</v>
      </c>
      <c r="F11869" s="4" t="s">
        <v>11</v>
      </c>
    </row>
    <row r="11870" spans="1:23">
      <c r="A11870" t="n">
        <v>111232</v>
      </c>
      <c r="B11870" s="51" t="n">
        <v>45</v>
      </c>
      <c r="C11870" s="7" t="n">
        <v>5</v>
      </c>
      <c r="D11870" s="7" t="n">
        <v>3</v>
      </c>
      <c r="E11870" s="7" t="n">
        <v>0.800000011920929</v>
      </c>
      <c r="F11870" s="7" t="n">
        <v>0</v>
      </c>
    </row>
    <row r="11871" spans="1:23">
      <c r="A11871" t="s">
        <v>4</v>
      </c>
      <c r="B11871" s="4" t="s">
        <v>5</v>
      </c>
      <c r="C11871" s="4" t="s">
        <v>7</v>
      </c>
      <c r="D11871" s="4" t="s">
        <v>7</v>
      </c>
      <c r="E11871" s="4" t="s">
        <v>13</v>
      </c>
      <c r="F11871" s="4" t="s">
        <v>11</v>
      </c>
    </row>
    <row r="11872" spans="1:23">
      <c r="A11872" t="n">
        <v>111241</v>
      </c>
      <c r="B11872" s="51" t="n">
        <v>45</v>
      </c>
      <c r="C11872" s="7" t="n">
        <v>11</v>
      </c>
      <c r="D11872" s="7" t="n">
        <v>3</v>
      </c>
      <c r="E11872" s="7" t="n">
        <v>40.2999992370605</v>
      </c>
      <c r="F11872" s="7" t="n">
        <v>0</v>
      </c>
    </row>
    <row r="11873" spans="1:9">
      <c r="A11873" t="s">
        <v>4</v>
      </c>
      <c r="B11873" s="4" t="s">
        <v>5</v>
      </c>
      <c r="C11873" s="4" t="s">
        <v>7</v>
      </c>
      <c r="D11873" s="4" t="s">
        <v>11</v>
      </c>
    </row>
    <row r="11874" spans="1:9">
      <c r="A11874" t="n">
        <v>111250</v>
      </c>
      <c r="B11874" s="23" t="n">
        <v>58</v>
      </c>
      <c r="C11874" s="7" t="n">
        <v>255</v>
      </c>
      <c r="D11874" s="7" t="n">
        <v>0</v>
      </c>
    </row>
    <row r="11875" spans="1:9">
      <c r="A11875" t="s">
        <v>4</v>
      </c>
      <c r="B11875" s="4" t="s">
        <v>5</v>
      </c>
      <c r="C11875" s="4" t="s">
        <v>7</v>
      </c>
      <c r="D11875" s="4" t="s">
        <v>11</v>
      </c>
      <c r="E11875" s="4" t="s">
        <v>8</v>
      </c>
    </row>
    <row r="11876" spans="1:9">
      <c r="A11876" t="n">
        <v>111254</v>
      </c>
      <c r="B11876" s="38" t="n">
        <v>51</v>
      </c>
      <c r="C11876" s="7" t="n">
        <v>4</v>
      </c>
      <c r="D11876" s="7" t="n">
        <v>2</v>
      </c>
      <c r="E11876" s="7" t="s">
        <v>238</v>
      </c>
    </row>
    <row r="11877" spans="1:9">
      <c r="A11877" t="s">
        <v>4</v>
      </c>
      <c r="B11877" s="4" t="s">
        <v>5</v>
      </c>
      <c r="C11877" s="4" t="s">
        <v>11</v>
      </c>
    </row>
    <row r="11878" spans="1:9">
      <c r="A11878" t="n">
        <v>111268</v>
      </c>
      <c r="B11878" s="29" t="n">
        <v>16</v>
      </c>
      <c r="C11878" s="7" t="n">
        <v>0</v>
      </c>
    </row>
    <row r="11879" spans="1:9">
      <c r="A11879" t="s">
        <v>4</v>
      </c>
      <c r="B11879" s="4" t="s">
        <v>5</v>
      </c>
      <c r="C11879" s="4" t="s">
        <v>11</v>
      </c>
      <c r="D11879" s="4" t="s">
        <v>7</v>
      </c>
      <c r="E11879" s="4" t="s">
        <v>15</v>
      </c>
      <c r="F11879" s="4" t="s">
        <v>55</v>
      </c>
      <c r="G11879" s="4" t="s">
        <v>7</v>
      </c>
      <c r="H11879" s="4" t="s">
        <v>7</v>
      </c>
      <c r="I11879" s="4" t="s">
        <v>7</v>
      </c>
      <c r="J11879" s="4" t="s">
        <v>15</v>
      </c>
      <c r="K11879" s="4" t="s">
        <v>55</v>
      </c>
      <c r="L11879" s="4" t="s">
        <v>7</v>
      </c>
      <c r="M11879" s="4" t="s">
        <v>7</v>
      </c>
      <c r="N11879" s="4" t="s">
        <v>7</v>
      </c>
      <c r="O11879" s="4" t="s">
        <v>15</v>
      </c>
      <c r="P11879" s="4" t="s">
        <v>55</v>
      </c>
      <c r="Q11879" s="4" t="s">
        <v>7</v>
      </c>
      <c r="R11879" s="4" t="s">
        <v>7</v>
      </c>
    </row>
    <row r="11880" spans="1:9">
      <c r="A11880" t="n">
        <v>111271</v>
      </c>
      <c r="B11880" s="55" t="n">
        <v>26</v>
      </c>
      <c r="C11880" s="7" t="n">
        <v>2</v>
      </c>
      <c r="D11880" s="7" t="n">
        <v>17</v>
      </c>
      <c r="E11880" s="7" t="n">
        <v>6817</v>
      </c>
      <c r="F11880" s="7" t="s">
        <v>974</v>
      </c>
      <c r="G11880" s="7" t="n">
        <v>2</v>
      </c>
      <c r="H11880" s="7" t="n">
        <v>3</v>
      </c>
      <c r="I11880" s="7" t="n">
        <v>17</v>
      </c>
      <c r="J11880" s="7" t="n">
        <v>6818</v>
      </c>
      <c r="K11880" s="7" t="s">
        <v>975</v>
      </c>
      <c r="L11880" s="7" t="n">
        <v>2</v>
      </c>
      <c r="M11880" s="7" t="n">
        <v>3</v>
      </c>
      <c r="N11880" s="7" t="n">
        <v>17</v>
      </c>
      <c r="O11880" s="7" t="n">
        <v>6819</v>
      </c>
      <c r="P11880" s="7" t="s">
        <v>976</v>
      </c>
      <c r="Q11880" s="7" t="n">
        <v>2</v>
      </c>
      <c r="R11880" s="7" t="n">
        <v>0</v>
      </c>
    </row>
    <row r="11881" spans="1:9">
      <c r="A11881" t="s">
        <v>4</v>
      </c>
      <c r="B11881" s="4" t="s">
        <v>5</v>
      </c>
    </row>
    <row r="11882" spans="1:9">
      <c r="A11882" t="n">
        <v>111515</v>
      </c>
      <c r="B11882" s="27" t="n">
        <v>28</v>
      </c>
    </row>
    <row r="11883" spans="1:9">
      <c r="A11883" t="s">
        <v>4</v>
      </c>
      <c r="B11883" s="4" t="s">
        <v>5</v>
      </c>
      <c r="C11883" s="4" t="s">
        <v>7</v>
      </c>
      <c r="D11883" s="4" t="s">
        <v>11</v>
      </c>
      <c r="E11883" s="4" t="s">
        <v>8</v>
      </c>
    </row>
    <row r="11884" spans="1:9">
      <c r="A11884" t="n">
        <v>111516</v>
      </c>
      <c r="B11884" s="38" t="n">
        <v>51</v>
      </c>
      <c r="C11884" s="7" t="n">
        <v>4</v>
      </c>
      <c r="D11884" s="7" t="n">
        <v>0</v>
      </c>
      <c r="E11884" s="7" t="s">
        <v>977</v>
      </c>
    </row>
    <row r="11885" spans="1:9">
      <c r="A11885" t="s">
        <v>4</v>
      </c>
      <c r="B11885" s="4" t="s">
        <v>5</v>
      </c>
      <c r="C11885" s="4" t="s">
        <v>11</v>
      </c>
    </row>
    <row r="11886" spans="1:9">
      <c r="A11886" t="n">
        <v>111529</v>
      </c>
      <c r="B11886" s="29" t="n">
        <v>16</v>
      </c>
      <c r="C11886" s="7" t="n">
        <v>0</v>
      </c>
    </row>
    <row r="11887" spans="1:9">
      <c r="A11887" t="s">
        <v>4</v>
      </c>
      <c r="B11887" s="4" t="s">
        <v>5</v>
      </c>
      <c r="C11887" s="4" t="s">
        <v>11</v>
      </c>
      <c r="D11887" s="4" t="s">
        <v>7</v>
      </c>
      <c r="E11887" s="4" t="s">
        <v>15</v>
      </c>
      <c r="F11887" s="4" t="s">
        <v>55</v>
      </c>
      <c r="G11887" s="4" t="s">
        <v>7</v>
      </c>
      <c r="H11887" s="4" t="s">
        <v>7</v>
      </c>
    </row>
    <row r="11888" spans="1:9">
      <c r="A11888" t="n">
        <v>111532</v>
      </c>
      <c r="B11888" s="55" t="n">
        <v>26</v>
      </c>
      <c r="C11888" s="7" t="n">
        <v>0</v>
      </c>
      <c r="D11888" s="7" t="n">
        <v>17</v>
      </c>
      <c r="E11888" s="7" t="n">
        <v>64128</v>
      </c>
      <c r="F11888" s="7" t="s">
        <v>978</v>
      </c>
      <c r="G11888" s="7" t="n">
        <v>2</v>
      </c>
      <c r="H11888" s="7" t="n">
        <v>0</v>
      </c>
    </row>
    <row r="11889" spans="1:18">
      <c r="A11889" t="s">
        <v>4</v>
      </c>
      <c r="B11889" s="4" t="s">
        <v>5</v>
      </c>
    </row>
    <row r="11890" spans="1:18">
      <c r="A11890" t="n">
        <v>111565</v>
      </c>
      <c r="B11890" s="27" t="n">
        <v>28</v>
      </c>
    </row>
    <row r="11891" spans="1:18">
      <c r="A11891" t="s">
        <v>4</v>
      </c>
      <c r="B11891" s="4" t="s">
        <v>5</v>
      </c>
      <c r="C11891" s="4" t="s">
        <v>11</v>
      </c>
      <c r="D11891" s="4" t="s">
        <v>7</v>
      </c>
    </row>
    <row r="11892" spans="1:18">
      <c r="A11892" t="n">
        <v>111566</v>
      </c>
      <c r="B11892" s="68" t="n">
        <v>89</v>
      </c>
      <c r="C11892" s="7" t="n">
        <v>65533</v>
      </c>
      <c r="D11892" s="7" t="n">
        <v>1</v>
      </c>
    </row>
    <row r="11893" spans="1:18">
      <c r="A11893" t="s">
        <v>4</v>
      </c>
      <c r="B11893" s="4" t="s">
        <v>5</v>
      </c>
      <c r="C11893" s="4" t="s">
        <v>7</v>
      </c>
      <c r="D11893" s="4" t="s">
        <v>11</v>
      </c>
      <c r="E11893" s="4" t="s">
        <v>13</v>
      </c>
    </row>
    <row r="11894" spans="1:18">
      <c r="A11894" t="n">
        <v>111570</v>
      </c>
      <c r="B11894" s="23" t="n">
        <v>58</v>
      </c>
      <c r="C11894" s="7" t="n">
        <v>101</v>
      </c>
      <c r="D11894" s="7" t="n">
        <v>500</v>
      </c>
      <c r="E11894" s="7" t="n">
        <v>1</v>
      </c>
    </row>
    <row r="11895" spans="1:18">
      <c r="A11895" t="s">
        <v>4</v>
      </c>
      <c r="B11895" s="4" t="s">
        <v>5</v>
      </c>
      <c r="C11895" s="4" t="s">
        <v>7</v>
      </c>
      <c r="D11895" s="4" t="s">
        <v>11</v>
      </c>
    </row>
    <row r="11896" spans="1:18">
      <c r="A11896" t="n">
        <v>111578</v>
      </c>
      <c r="B11896" s="23" t="n">
        <v>58</v>
      </c>
      <c r="C11896" s="7" t="n">
        <v>254</v>
      </c>
      <c r="D11896" s="7" t="n">
        <v>0</v>
      </c>
    </row>
    <row r="11897" spans="1:18">
      <c r="A11897" t="s">
        <v>4</v>
      </c>
      <c r="B11897" s="4" t="s">
        <v>5</v>
      </c>
      <c r="C11897" s="4" t="s">
        <v>11</v>
      </c>
      <c r="D11897" s="4" t="s">
        <v>13</v>
      </c>
      <c r="E11897" s="4" t="s">
        <v>13</v>
      </c>
      <c r="F11897" s="4" t="s">
        <v>13</v>
      </c>
      <c r="G11897" s="4" t="s">
        <v>13</v>
      </c>
    </row>
    <row r="11898" spans="1:18">
      <c r="A11898" t="n">
        <v>111582</v>
      </c>
      <c r="B11898" s="36" t="n">
        <v>46</v>
      </c>
      <c r="C11898" s="7" t="n">
        <v>2</v>
      </c>
      <c r="D11898" s="7" t="n">
        <v>-7.40999984741211</v>
      </c>
      <c r="E11898" s="7" t="n">
        <v>5</v>
      </c>
      <c r="F11898" s="7" t="n">
        <v>29.7999992370605</v>
      </c>
      <c r="G11898" s="7" t="n">
        <v>83.9000015258789</v>
      </c>
    </row>
    <row r="11899" spans="1:18">
      <c r="A11899" t="s">
        <v>4</v>
      </c>
      <c r="B11899" s="4" t="s">
        <v>5</v>
      </c>
      <c r="C11899" s="4" t="s">
        <v>11</v>
      </c>
      <c r="D11899" s="4" t="s">
        <v>13</v>
      </c>
      <c r="E11899" s="4" t="s">
        <v>13</v>
      </c>
      <c r="F11899" s="4" t="s">
        <v>13</v>
      </c>
      <c r="G11899" s="4" t="s">
        <v>11</v>
      </c>
      <c r="H11899" s="4" t="s">
        <v>11</v>
      </c>
    </row>
    <row r="11900" spans="1:18">
      <c r="A11900" t="n">
        <v>111601</v>
      </c>
      <c r="B11900" s="37" t="n">
        <v>60</v>
      </c>
      <c r="C11900" s="7" t="n">
        <v>2</v>
      </c>
      <c r="D11900" s="7" t="n">
        <v>0</v>
      </c>
      <c r="E11900" s="7" t="n">
        <v>0</v>
      </c>
      <c r="F11900" s="7" t="n">
        <v>0</v>
      </c>
      <c r="G11900" s="7" t="n">
        <v>0</v>
      </c>
      <c r="H11900" s="7" t="n">
        <v>1</v>
      </c>
    </row>
    <row r="11901" spans="1:18">
      <c r="A11901" t="s">
        <v>4</v>
      </c>
      <c r="B11901" s="4" t="s">
        <v>5</v>
      </c>
      <c r="C11901" s="4" t="s">
        <v>11</v>
      </c>
      <c r="D11901" s="4" t="s">
        <v>13</v>
      </c>
      <c r="E11901" s="4" t="s">
        <v>13</v>
      </c>
      <c r="F11901" s="4" t="s">
        <v>13</v>
      </c>
      <c r="G11901" s="4" t="s">
        <v>11</v>
      </c>
      <c r="H11901" s="4" t="s">
        <v>11</v>
      </c>
    </row>
    <row r="11902" spans="1:18">
      <c r="A11902" t="n">
        <v>111620</v>
      </c>
      <c r="B11902" s="37" t="n">
        <v>60</v>
      </c>
      <c r="C11902" s="7" t="n">
        <v>2</v>
      </c>
      <c r="D11902" s="7" t="n">
        <v>0</v>
      </c>
      <c r="E11902" s="7" t="n">
        <v>0</v>
      </c>
      <c r="F11902" s="7" t="n">
        <v>0</v>
      </c>
      <c r="G11902" s="7" t="n">
        <v>0</v>
      </c>
      <c r="H11902" s="7" t="n">
        <v>0</v>
      </c>
    </row>
    <row r="11903" spans="1:18">
      <c r="A11903" t="s">
        <v>4</v>
      </c>
      <c r="B11903" s="4" t="s">
        <v>5</v>
      </c>
      <c r="C11903" s="4" t="s">
        <v>11</v>
      </c>
      <c r="D11903" s="4" t="s">
        <v>11</v>
      </c>
      <c r="E11903" s="4" t="s">
        <v>11</v>
      </c>
    </row>
    <row r="11904" spans="1:18">
      <c r="A11904" t="n">
        <v>111639</v>
      </c>
      <c r="B11904" s="72" t="n">
        <v>61</v>
      </c>
      <c r="C11904" s="7" t="n">
        <v>2</v>
      </c>
      <c r="D11904" s="7" t="n">
        <v>65533</v>
      </c>
      <c r="E11904" s="7" t="n">
        <v>0</v>
      </c>
    </row>
    <row r="11905" spans="1:8">
      <c r="A11905" t="s">
        <v>4</v>
      </c>
      <c r="B11905" s="4" t="s">
        <v>5</v>
      </c>
      <c r="C11905" s="4" t="s">
        <v>7</v>
      </c>
      <c r="D11905" s="4" t="s">
        <v>7</v>
      </c>
      <c r="E11905" s="4" t="s">
        <v>13</v>
      </c>
      <c r="F11905" s="4" t="s">
        <v>13</v>
      </c>
      <c r="G11905" s="4" t="s">
        <v>13</v>
      </c>
      <c r="H11905" s="4" t="s">
        <v>11</v>
      </c>
    </row>
    <row r="11906" spans="1:8">
      <c r="A11906" t="n">
        <v>111646</v>
      </c>
      <c r="B11906" s="51" t="n">
        <v>45</v>
      </c>
      <c r="C11906" s="7" t="n">
        <v>2</v>
      </c>
      <c r="D11906" s="7" t="n">
        <v>3</v>
      </c>
      <c r="E11906" s="7" t="n">
        <v>-6.96000003814697</v>
      </c>
      <c r="F11906" s="7" t="n">
        <v>5.80000019073486</v>
      </c>
      <c r="G11906" s="7" t="n">
        <v>29.9099998474121</v>
      </c>
      <c r="H11906" s="7" t="n">
        <v>0</v>
      </c>
    </row>
    <row r="11907" spans="1:8">
      <c r="A11907" t="s">
        <v>4</v>
      </c>
      <c r="B11907" s="4" t="s">
        <v>5</v>
      </c>
      <c r="C11907" s="4" t="s">
        <v>7</v>
      </c>
      <c r="D11907" s="4" t="s">
        <v>7</v>
      </c>
      <c r="E11907" s="4" t="s">
        <v>13</v>
      </c>
      <c r="F11907" s="4" t="s">
        <v>13</v>
      </c>
      <c r="G11907" s="4" t="s">
        <v>13</v>
      </c>
      <c r="H11907" s="4" t="s">
        <v>11</v>
      </c>
      <c r="I11907" s="4" t="s">
        <v>7</v>
      </c>
    </row>
    <row r="11908" spans="1:8">
      <c r="A11908" t="n">
        <v>111663</v>
      </c>
      <c r="B11908" s="51" t="n">
        <v>45</v>
      </c>
      <c r="C11908" s="7" t="n">
        <v>4</v>
      </c>
      <c r="D11908" s="7" t="n">
        <v>3</v>
      </c>
      <c r="E11908" s="7" t="n">
        <v>28.8400001525879</v>
      </c>
      <c r="F11908" s="7" t="n">
        <v>322.989990234375</v>
      </c>
      <c r="G11908" s="7" t="n">
        <v>354</v>
      </c>
      <c r="H11908" s="7" t="n">
        <v>0</v>
      </c>
      <c r="I11908" s="7" t="n">
        <v>0</v>
      </c>
    </row>
    <row r="11909" spans="1:8">
      <c r="A11909" t="s">
        <v>4</v>
      </c>
      <c r="B11909" s="4" t="s">
        <v>5</v>
      </c>
      <c r="C11909" s="4" t="s">
        <v>7</v>
      </c>
      <c r="D11909" s="4" t="s">
        <v>7</v>
      </c>
      <c r="E11909" s="4" t="s">
        <v>13</v>
      </c>
      <c r="F11909" s="4" t="s">
        <v>11</v>
      </c>
    </row>
    <row r="11910" spans="1:8">
      <c r="A11910" t="n">
        <v>111681</v>
      </c>
      <c r="B11910" s="51" t="n">
        <v>45</v>
      </c>
      <c r="C11910" s="7" t="n">
        <v>5</v>
      </c>
      <c r="D11910" s="7" t="n">
        <v>3</v>
      </c>
      <c r="E11910" s="7" t="n">
        <v>1.10000002384186</v>
      </c>
      <c r="F11910" s="7" t="n">
        <v>0</v>
      </c>
    </row>
    <row r="11911" spans="1:8">
      <c r="A11911" t="s">
        <v>4</v>
      </c>
      <c r="B11911" s="4" t="s">
        <v>5</v>
      </c>
      <c r="C11911" s="4" t="s">
        <v>7</v>
      </c>
      <c r="D11911" s="4" t="s">
        <v>7</v>
      </c>
      <c r="E11911" s="4" t="s">
        <v>13</v>
      </c>
      <c r="F11911" s="4" t="s">
        <v>11</v>
      </c>
    </row>
    <row r="11912" spans="1:8">
      <c r="A11912" t="n">
        <v>111690</v>
      </c>
      <c r="B11912" s="51" t="n">
        <v>45</v>
      </c>
      <c r="C11912" s="7" t="n">
        <v>11</v>
      </c>
      <c r="D11912" s="7" t="n">
        <v>3</v>
      </c>
      <c r="E11912" s="7" t="n">
        <v>40.2999992370605</v>
      </c>
      <c r="F11912" s="7" t="n">
        <v>0</v>
      </c>
    </row>
    <row r="11913" spans="1:8">
      <c r="A11913" t="s">
        <v>4</v>
      </c>
      <c r="B11913" s="4" t="s">
        <v>5</v>
      </c>
      <c r="C11913" s="4" t="s">
        <v>7</v>
      </c>
      <c r="D11913" s="4" t="s">
        <v>7</v>
      </c>
      <c r="E11913" s="4" t="s">
        <v>13</v>
      </c>
      <c r="F11913" s="4" t="s">
        <v>13</v>
      </c>
      <c r="G11913" s="4" t="s">
        <v>13</v>
      </c>
      <c r="H11913" s="4" t="s">
        <v>11</v>
      </c>
    </row>
    <row r="11914" spans="1:8">
      <c r="A11914" t="n">
        <v>111699</v>
      </c>
      <c r="B11914" s="51" t="n">
        <v>45</v>
      </c>
      <c r="C11914" s="7" t="n">
        <v>2</v>
      </c>
      <c r="D11914" s="7" t="n">
        <v>3</v>
      </c>
      <c r="E11914" s="7" t="n">
        <v>-6.80000019073486</v>
      </c>
      <c r="F11914" s="7" t="n">
        <v>6.3899998664856</v>
      </c>
      <c r="G11914" s="7" t="n">
        <v>30.0200004577637</v>
      </c>
      <c r="H11914" s="7" t="n">
        <v>4000</v>
      </c>
    </row>
    <row r="11915" spans="1:8">
      <c r="A11915" t="s">
        <v>4</v>
      </c>
      <c r="B11915" s="4" t="s">
        <v>5</v>
      </c>
      <c r="C11915" s="4" t="s">
        <v>7</v>
      </c>
      <c r="D11915" s="4" t="s">
        <v>7</v>
      </c>
      <c r="E11915" s="4" t="s">
        <v>13</v>
      </c>
      <c r="F11915" s="4" t="s">
        <v>13</v>
      </c>
      <c r="G11915" s="4" t="s">
        <v>13</v>
      </c>
      <c r="H11915" s="4" t="s">
        <v>11</v>
      </c>
      <c r="I11915" s="4" t="s">
        <v>7</v>
      </c>
    </row>
    <row r="11916" spans="1:8">
      <c r="A11916" t="n">
        <v>111716</v>
      </c>
      <c r="B11916" s="51" t="n">
        <v>45</v>
      </c>
      <c r="C11916" s="7" t="n">
        <v>4</v>
      </c>
      <c r="D11916" s="7" t="n">
        <v>3</v>
      </c>
      <c r="E11916" s="7" t="n">
        <v>6.61999988555908</v>
      </c>
      <c r="F11916" s="7" t="n">
        <v>31.1900005340576</v>
      </c>
      <c r="G11916" s="7" t="n">
        <v>354</v>
      </c>
      <c r="H11916" s="7" t="n">
        <v>4000</v>
      </c>
      <c r="I11916" s="7" t="n">
        <v>1</v>
      </c>
    </row>
    <row r="11917" spans="1:8">
      <c r="A11917" t="s">
        <v>4</v>
      </c>
      <c r="B11917" s="4" t="s">
        <v>5</v>
      </c>
      <c r="C11917" s="4" t="s">
        <v>7</v>
      </c>
      <c r="D11917" s="4" t="s">
        <v>7</v>
      </c>
      <c r="E11917" s="4" t="s">
        <v>13</v>
      </c>
      <c r="F11917" s="4" t="s">
        <v>11</v>
      </c>
    </row>
    <row r="11918" spans="1:8">
      <c r="A11918" t="n">
        <v>111734</v>
      </c>
      <c r="B11918" s="51" t="n">
        <v>45</v>
      </c>
      <c r="C11918" s="7" t="n">
        <v>5</v>
      </c>
      <c r="D11918" s="7" t="n">
        <v>3</v>
      </c>
      <c r="E11918" s="7" t="n">
        <v>0.899999976158142</v>
      </c>
      <c r="F11918" s="7" t="n">
        <v>4000</v>
      </c>
    </row>
    <row r="11919" spans="1:8">
      <c r="A11919" t="s">
        <v>4</v>
      </c>
      <c r="B11919" s="4" t="s">
        <v>5</v>
      </c>
      <c r="C11919" s="4" t="s">
        <v>11</v>
      </c>
      <c r="D11919" s="4" t="s">
        <v>7</v>
      </c>
      <c r="E11919" s="4" t="s">
        <v>8</v>
      </c>
      <c r="F11919" s="4" t="s">
        <v>13</v>
      </c>
      <c r="G11919" s="4" t="s">
        <v>13</v>
      </c>
      <c r="H11919" s="4" t="s">
        <v>13</v>
      </c>
    </row>
    <row r="11920" spans="1:8">
      <c r="A11920" t="n">
        <v>111743</v>
      </c>
      <c r="B11920" s="42" t="n">
        <v>48</v>
      </c>
      <c r="C11920" s="7" t="n">
        <v>0</v>
      </c>
      <c r="D11920" s="7" t="n">
        <v>0</v>
      </c>
      <c r="E11920" s="7" t="s">
        <v>210</v>
      </c>
      <c r="F11920" s="7" t="n">
        <v>0</v>
      </c>
      <c r="G11920" s="7" t="n">
        <v>1</v>
      </c>
      <c r="H11920" s="7" t="n">
        <v>0</v>
      </c>
    </row>
    <row r="11921" spans="1:9">
      <c r="A11921" t="s">
        <v>4</v>
      </c>
      <c r="B11921" s="4" t="s">
        <v>5</v>
      </c>
      <c r="C11921" s="4" t="s">
        <v>11</v>
      </c>
      <c r="D11921" s="4" t="s">
        <v>7</v>
      </c>
      <c r="E11921" s="4" t="s">
        <v>8</v>
      </c>
      <c r="F11921" s="4" t="s">
        <v>13</v>
      </c>
      <c r="G11921" s="4" t="s">
        <v>13</v>
      </c>
      <c r="H11921" s="4" t="s">
        <v>13</v>
      </c>
    </row>
    <row r="11922" spans="1:9">
      <c r="A11922" t="n">
        <v>111768</v>
      </c>
      <c r="B11922" s="42" t="n">
        <v>48</v>
      </c>
      <c r="C11922" s="7" t="n">
        <v>2</v>
      </c>
      <c r="D11922" s="7" t="n">
        <v>0</v>
      </c>
      <c r="E11922" s="7" t="s">
        <v>210</v>
      </c>
      <c r="F11922" s="7" t="n">
        <v>0</v>
      </c>
      <c r="G11922" s="7" t="n">
        <v>1</v>
      </c>
      <c r="H11922" s="7" t="n">
        <v>0</v>
      </c>
    </row>
    <row r="11923" spans="1:9">
      <c r="A11923" t="s">
        <v>4</v>
      </c>
      <c r="B11923" s="4" t="s">
        <v>5</v>
      </c>
      <c r="C11923" s="4" t="s">
        <v>7</v>
      </c>
      <c r="D11923" s="4" t="s">
        <v>11</v>
      </c>
      <c r="E11923" s="4" t="s">
        <v>8</v>
      </c>
      <c r="F11923" s="4" t="s">
        <v>8</v>
      </c>
      <c r="G11923" s="4" t="s">
        <v>8</v>
      </c>
      <c r="H11923" s="4" t="s">
        <v>8</v>
      </c>
    </row>
    <row r="11924" spans="1:9">
      <c r="A11924" t="n">
        <v>111793</v>
      </c>
      <c r="B11924" s="38" t="n">
        <v>51</v>
      </c>
      <c r="C11924" s="7" t="n">
        <v>3</v>
      </c>
      <c r="D11924" s="7" t="n">
        <v>0</v>
      </c>
      <c r="E11924" s="7" t="s">
        <v>232</v>
      </c>
      <c r="F11924" s="7" t="s">
        <v>99</v>
      </c>
      <c r="G11924" s="7" t="s">
        <v>78</v>
      </c>
      <c r="H11924" s="7" t="s">
        <v>79</v>
      </c>
    </row>
    <row r="11925" spans="1:9">
      <c r="A11925" t="s">
        <v>4</v>
      </c>
      <c r="B11925" s="4" t="s">
        <v>5</v>
      </c>
      <c r="C11925" s="4" t="s">
        <v>7</v>
      </c>
      <c r="D11925" s="4" t="s">
        <v>11</v>
      </c>
      <c r="E11925" s="4" t="s">
        <v>8</v>
      </c>
      <c r="F11925" s="4" t="s">
        <v>8</v>
      </c>
      <c r="G11925" s="4" t="s">
        <v>8</v>
      </c>
      <c r="H11925" s="4" t="s">
        <v>8</v>
      </c>
    </row>
    <row r="11926" spans="1:9">
      <c r="A11926" t="n">
        <v>111806</v>
      </c>
      <c r="B11926" s="38" t="n">
        <v>51</v>
      </c>
      <c r="C11926" s="7" t="n">
        <v>3</v>
      </c>
      <c r="D11926" s="7" t="n">
        <v>2</v>
      </c>
      <c r="E11926" s="7" t="s">
        <v>98</v>
      </c>
      <c r="F11926" s="7" t="s">
        <v>79</v>
      </c>
      <c r="G11926" s="7" t="s">
        <v>78</v>
      </c>
      <c r="H11926" s="7" t="s">
        <v>79</v>
      </c>
    </row>
    <row r="11927" spans="1:9">
      <c r="A11927" t="s">
        <v>4</v>
      </c>
      <c r="B11927" s="4" t="s">
        <v>5</v>
      </c>
      <c r="C11927" s="4" t="s">
        <v>7</v>
      </c>
      <c r="D11927" s="4" t="s">
        <v>11</v>
      </c>
    </row>
    <row r="11928" spans="1:9">
      <c r="A11928" t="n">
        <v>111819</v>
      </c>
      <c r="B11928" s="23" t="n">
        <v>58</v>
      </c>
      <c r="C11928" s="7" t="n">
        <v>255</v>
      </c>
      <c r="D11928" s="7" t="n">
        <v>0</v>
      </c>
    </row>
    <row r="11929" spans="1:9">
      <c r="A11929" t="s">
        <v>4</v>
      </c>
      <c r="B11929" s="4" t="s">
        <v>5</v>
      </c>
      <c r="C11929" s="4" t="s">
        <v>11</v>
      </c>
    </row>
    <row r="11930" spans="1:9">
      <c r="A11930" t="n">
        <v>111823</v>
      </c>
      <c r="B11930" s="29" t="n">
        <v>16</v>
      </c>
      <c r="C11930" s="7" t="n">
        <v>1000</v>
      </c>
    </row>
    <row r="11931" spans="1:9">
      <c r="A11931" t="s">
        <v>4</v>
      </c>
      <c r="B11931" s="4" t="s">
        <v>5</v>
      </c>
      <c r="C11931" s="4" t="s">
        <v>11</v>
      </c>
      <c r="D11931" s="4" t="s">
        <v>13</v>
      </c>
      <c r="E11931" s="4" t="s">
        <v>13</v>
      </c>
      <c r="F11931" s="4" t="s">
        <v>13</v>
      </c>
      <c r="G11931" s="4" t="s">
        <v>11</v>
      </c>
      <c r="H11931" s="4" t="s">
        <v>11</v>
      </c>
    </row>
    <row r="11932" spans="1:9">
      <c r="A11932" t="n">
        <v>111826</v>
      </c>
      <c r="B11932" s="37" t="n">
        <v>60</v>
      </c>
      <c r="C11932" s="7" t="n">
        <v>2</v>
      </c>
      <c r="D11932" s="7" t="n">
        <v>0</v>
      </c>
      <c r="E11932" s="7" t="n">
        <v>-20</v>
      </c>
      <c r="F11932" s="7" t="n">
        <v>0</v>
      </c>
      <c r="G11932" s="7" t="n">
        <v>1000</v>
      </c>
      <c r="H11932" s="7" t="n">
        <v>0</v>
      </c>
    </row>
    <row r="11933" spans="1:9">
      <c r="A11933" t="s">
        <v>4</v>
      </c>
      <c r="B11933" s="4" t="s">
        <v>5</v>
      </c>
      <c r="C11933" s="4" t="s">
        <v>11</v>
      </c>
      <c r="D11933" s="4" t="s">
        <v>7</v>
      </c>
      <c r="E11933" s="4" t="s">
        <v>8</v>
      </c>
      <c r="F11933" s="4" t="s">
        <v>13</v>
      </c>
      <c r="G11933" s="4" t="s">
        <v>13</v>
      </c>
      <c r="H11933" s="4" t="s">
        <v>13</v>
      </c>
    </row>
    <row r="11934" spans="1:9">
      <c r="A11934" t="n">
        <v>111845</v>
      </c>
      <c r="B11934" s="42" t="n">
        <v>48</v>
      </c>
      <c r="C11934" s="7" t="n">
        <v>0</v>
      </c>
      <c r="D11934" s="7" t="n">
        <v>0</v>
      </c>
      <c r="E11934" s="7" t="s">
        <v>923</v>
      </c>
      <c r="F11934" s="7" t="n">
        <v>-1</v>
      </c>
      <c r="G11934" s="7" t="n">
        <v>1</v>
      </c>
      <c r="H11934" s="7" t="n">
        <v>0</v>
      </c>
    </row>
    <row r="11935" spans="1:9">
      <c r="A11935" t="s">
        <v>4</v>
      </c>
      <c r="B11935" s="4" t="s">
        <v>5</v>
      </c>
      <c r="C11935" s="4" t="s">
        <v>11</v>
      </c>
      <c r="D11935" s="4" t="s">
        <v>7</v>
      </c>
      <c r="E11935" s="4" t="s">
        <v>8</v>
      </c>
      <c r="F11935" s="4" t="s">
        <v>13</v>
      </c>
      <c r="G11935" s="4" t="s">
        <v>13</v>
      </c>
      <c r="H11935" s="4" t="s">
        <v>13</v>
      </c>
    </row>
    <row r="11936" spans="1:9">
      <c r="A11936" t="n">
        <v>111871</v>
      </c>
      <c r="B11936" s="42" t="n">
        <v>48</v>
      </c>
      <c r="C11936" s="7" t="n">
        <v>2</v>
      </c>
      <c r="D11936" s="7" t="n">
        <v>0</v>
      </c>
      <c r="E11936" s="7" t="s">
        <v>923</v>
      </c>
      <c r="F11936" s="7" t="n">
        <v>-1</v>
      </c>
      <c r="G11936" s="7" t="n">
        <v>1</v>
      </c>
      <c r="H11936" s="7" t="n">
        <v>0</v>
      </c>
    </row>
    <row r="11937" spans="1:8">
      <c r="A11937" t="s">
        <v>4</v>
      </c>
      <c r="B11937" s="4" t="s">
        <v>5</v>
      </c>
      <c r="C11937" s="4" t="s">
        <v>11</v>
      </c>
    </row>
    <row r="11938" spans="1:8">
      <c r="A11938" t="n">
        <v>111897</v>
      </c>
      <c r="B11938" s="29" t="n">
        <v>16</v>
      </c>
      <c r="C11938" s="7" t="n">
        <v>500</v>
      </c>
    </row>
    <row r="11939" spans="1:8">
      <c r="A11939" t="s">
        <v>4</v>
      </c>
      <c r="B11939" s="4" t="s">
        <v>5</v>
      </c>
      <c r="C11939" s="4" t="s">
        <v>7</v>
      </c>
      <c r="D11939" s="4" t="s">
        <v>11</v>
      </c>
      <c r="E11939" s="4" t="s">
        <v>13</v>
      </c>
      <c r="F11939" s="4" t="s">
        <v>11</v>
      </c>
      <c r="G11939" s="4" t="s">
        <v>15</v>
      </c>
      <c r="H11939" s="4" t="s">
        <v>15</v>
      </c>
      <c r="I11939" s="4" t="s">
        <v>11</v>
      </c>
      <c r="J11939" s="4" t="s">
        <v>11</v>
      </c>
      <c r="K11939" s="4" t="s">
        <v>15</v>
      </c>
      <c r="L11939" s="4" t="s">
        <v>15</v>
      </c>
      <c r="M11939" s="4" t="s">
        <v>15</v>
      </c>
      <c r="N11939" s="4" t="s">
        <v>15</v>
      </c>
      <c r="O11939" s="4" t="s">
        <v>8</v>
      </c>
    </row>
    <row r="11940" spans="1:8">
      <c r="A11940" t="n">
        <v>111900</v>
      </c>
      <c r="B11940" s="57" t="n">
        <v>50</v>
      </c>
      <c r="C11940" s="7" t="n">
        <v>0</v>
      </c>
      <c r="D11940" s="7" t="n">
        <v>2000</v>
      </c>
      <c r="E11940" s="7" t="n">
        <v>0.400000005960464</v>
      </c>
      <c r="F11940" s="7" t="n">
        <v>200</v>
      </c>
      <c r="G11940" s="7" t="n">
        <v>0</v>
      </c>
      <c r="H11940" s="7" t="n">
        <v>0</v>
      </c>
      <c r="I11940" s="7" t="n">
        <v>0</v>
      </c>
      <c r="J11940" s="7" t="n">
        <v>65533</v>
      </c>
      <c r="K11940" s="7" t="n">
        <v>0</v>
      </c>
      <c r="L11940" s="7" t="n">
        <v>0</v>
      </c>
      <c r="M11940" s="7" t="n">
        <v>0</v>
      </c>
      <c r="N11940" s="7" t="n">
        <v>0</v>
      </c>
      <c r="O11940" s="7" t="s">
        <v>16</v>
      </c>
    </row>
    <row r="11941" spans="1:8">
      <c r="A11941" t="s">
        <v>4</v>
      </c>
      <c r="B11941" s="4" t="s">
        <v>5</v>
      </c>
      <c r="C11941" s="4" t="s">
        <v>11</v>
      </c>
      <c r="D11941" s="4" t="s">
        <v>15</v>
      </c>
      <c r="E11941" s="4" t="s">
        <v>7</v>
      </c>
    </row>
    <row r="11942" spans="1:8">
      <c r="A11942" t="n">
        <v>111939</v>
      </c>
      <c r="B11942" s="78" t="n">
        <v>35</v>
      </c>
      <c r="C11942" s="7" t="n">
        <v>0</v>
      </c>
      <c r="D11942" s="7" t="n">
        <v>0</v>
      </c>
      <c r="E11942" s="7" t="n">
        <v>0</v>
      </c>
    </row>
    <row r="11943" spans="1:8">
      <c r="A11943" t="s">
        <v>4</v>
      </c>
      <c r="B11943" s="4" t="s">
        <v>5</v>
      </c>
      <c r="C11943" s="4" t="s">
        <v>11</v>
      </c>
      <c r="D11943" s="4" t="s">
        <v>15</v>
      </c>
      <c r="E11943" s="4" t="s">
        <v>7</v>
      </c>
    </row>
    <row r="11944" spans="1:8">
      <c r="A11944" t="n">
        <v>111947</v>
      </c>
      <c r="B11944" s="78" t="n">
        <v>35</v>
      </c>
      <c r="C11944" s="7" t="n">
        <v>2</v>
      </c>
      <c r="D11944" s="7" t="n">
        <v>0</v>
      </c>
      <c r="E11944" s="7" t="n">
        <v>0</v>
      </c>
    </row>
    <row r="11945" spans="1:8">
      <c r="A11945" t="s">
        <v>4</v>
      </c>
      <c r="B11945" s="4" t="s">
        <v>5</v>
      </c>
      <c r="C11945" s="4" t="s">
        <v>7</v>
      </c>
      <c r="D11945" s="4" t="s">
        <v>11</v>
      </c>
    </row>
    <row r="11946" spans="1:8">
      <c r="A11946" t="n">
        <v>111955</v>
      </c>
      <c r="B11946" s="51" t="n">
        <v>45</v>
      </c>
      <c r="C11946" s="7" t="n">
        <v>7</v>
      </c>
      <c r="D11946" s="7" t="n">
        <v>255</v>
      </c>
    </row>
    <row r="11947" spans="1:8">
      <c r="A11947" t="s">
        <v>4</v>
      </c>
      <c r="B11947" s="4" t="s">
        <v>5</v>
      </c>
      <c r="C11947" s="4" t="s">
        <v>7</v>
      </c>
      <c r="D11947" s="4" t="s">
        <v>7</v>
      </c>
      <c r="E11947" s="4" t="s">
        <v>13</v>
      </c>
      <c r="F11947" s="4" t="s">
        <v>13</v>
      </c>
      <c r="G11947" s="4" t="s">
        <v>13</v>
      </c>
      <c r="H11947" s="4" t="s">
        <v>11</v>
      </c>
      <c r="I11947" s="4" t="s">
        <v>7</v>
      </c>
    </row>
    <row r="11948" spans="1:8">
      <c r="A11948" t="n">
        <v>111959</v>
      </c>
      <c r="B11948" s="51" t="n">
        <v>45</v>
      </c>
      <c r="C11948" s="7" t="n">
        <v>4</v>
      </c>
      <c r="D11948" s="7" t="n">
        <v>3</v>
      </c>
      <c r="E11948" s="7" t="n">
        <v>15.9799995422363</v>
      </c>
      <c r="F11948" s="7" t="n">
        <v>42.2799987792969</v>
      </c>
      <c r="G11948" s="7" t="n">
        <v>354</v>
      </c>
      <c r="H11948" s="7" t="n">
        <v>30000</v>
      </c>
      <c r="I11948" s="7" t="n">
        <v>1</v>
      </c>
    </row>
    <row r="11949" spans="1:8">
      <c r="A11949" t="s">
        <v>4</v>
      </c>
      <c r="B11949" s="4" t="s">
        <v>5</v>
      </c>
      <c r="C11949" s="4" t="s">
        <v>11</v>
      </c>
    </row>
    <row r="11950" spans="1:8">
      <c r="A11950" t="n">
        <v>111977</v>
      </c>
      <c r="B11950" s="29" t="n">
        <v>16</v>
      </c>
      <c r="C11950" s="7" t="n">
        <v>500</v>
      </c>
    </row>
    <row r="11951" spans="1:8">
      <c r="A11951" t="s">
        <v>4</v>
      </c>
      <c r="B11951" s="4" t="s">
        <v>5</v>
      </c>
      <c r="C11951" s="4" t="s">
        <v>7</v>
      </c>
      <c r="D11951" s="4" t="s">
        <v>11</v>
      </c>
      <c r="E11951" s="4" t="s">
        <v>8</v>
      </c>
    </row>
    <row r="11952" spans="1:8">
      <c r="A11952" t="n">
        <v>111980</v>
      </c>
      <c r="B11952" s="38" t="n">
        <v>51</v>
      </c>
      <c r="C11952" s="7" t="n">
        <v>4</v>
      </c>
      <c r="D11952" s="7" t="n">
        <v>2</v>
      </c>
      <c r="E11952" s="7" t="s">
        <v>242</v>
      </c>
    </row>
    <row r="11953" spans="1:15">
      <c r="A11953" t="s">
        <v>4</v>
      </c>
      <c r="B11953" s="4" t="s">
        <v>5</v>
      </c>
      <c r="C11953" s="4" t="s">
        <v>11</v>
      </c>
    </row>
    <row r="11954" spans="1:15">
      <c r="A11954" t="n">
        <v>111994</v>
      </c>
      <c r="B11954" s="29" t="n">
        <v>16</v>
      </c>
      <c r="C11954" s="7" t="n">
        <v>0</v>
      </c>
    </row>
    <row r="11955" spans="1:15">
      <c r="A11955" t="s">
        <v>4</v>
      </c>
      <c r="B11955" s="4" t="s">
        <v>5</v>
      </c>
      <c r="C11955" s="4" t="s">
        <v>11</v>
      </c>
      <c r="D11955" s="4" t="s">
        <v>7</v>
      </c>
      <c r="E11955" s="4" t="s">
        <v>15</v>
      </c>
      <c r="F11955" s="4" t="s">
        <v>55</v>
      </c>
      <c r="G11955" s="4" t="s">
        <v>7</v>
      </c>
      <c r="H11955" s="4" t="s">
        <v>7</v>
      </c>
    </row>
    <row r="11956" spans="1:15">
      <c r="A11956" t="n">
        <v>111997</v>
      </c>
      <c r="B11956" s="55" t="n">
        <v>26</v>
      </c>
      <c r="C11956" s="7" t="n">
        <v>2</v>
      </c>
      <c r="D11956" s="7" t="n">
        <v>17</v>
      </c>
      <c r="E11956" s="7" t="n">
        <v>6820</v>
      </c>
      <c r="F11956" s="7" t="s">
        <v>979</v>
      </c>
      <c r="G11956" s="7" t="n">
        <v>2</v>
      </c>
      <c r="H11956" s="7" t="n">
        <v>0</v>
      </c>
    </row>
    <row r="11957" spans="1:15">
      <c r="A11957" t="s">
        <v>4</v>
      </c>
      <c r="B11957" s="4" t="s">
        <v>5</v>
      </c>
    </row>
    <row r="11958" spans="1:15">
      <c r="A11958" t="n">
        <v>112031</v>
      </c>
      <c r="B11958" s="27" t="n">
        <v>28</v>
      </c>
    </row>
    <row r="11959" spans="1:15">
      <c r="A11959" t="s">
        <v>4</v>
      </c>
      <c r="B11959" s="4" t="s">
        <v>5</v>
      </c>
      <c r="C11959" s="4" t="s">
        <v>11</v>
      </c>
      <c r="D11959" s="4" t="s">
        <v>13</v>
      </c>
      <c r="E11959" s="4" t="s">
        <v>13</v>
      </c>
      <c r="F11959" s="4" t="s">
        <v>13</v>
      </c>
      <c r="G11959" s="4" t="s">
        <v>11</v>
      </c>
      <c r="H11959" s="4" t="s">
        <v>11</v>
      </c>
    </row>
    <row r="11960" spans="1:15">
      <c r="A11960" t="n">
        <v>112032</v>
      </c>
      <c r="B11960" s="37" t="n">
        <v>60</v>
      </c>
      <c r="C11960" s="7" t="n">
        <v>2</v>
      </c>
      <c r="D11960" s="7" t="n">
        <v>0</v>
      </c>
      <c r="E11960" s="7" t="n">
        <v>3</v>
      </c>
      <c r="F11960" s="7" t="n">
        <v>0</v>
      </c>
      <c r="G11960" s="7" t="n">
        <v>1000</v>
      </c>
      <c r="H11960" s="7" t="n">
        <v>0</v>
      </c>
    </row>
    <row r="11961" spans="1:15">
      <c r="A11961" t="s">
        <v>4</v>
      </c>
      <c r="B11961" s="4" t="s">
        <v>5</v>
      </c>
      <c r="C11961" s="4" t="s">
        <v>11</v>
      </c>
    </row>
    <row r="11962" spans="1:15">
      <c r="A11962" t="n">
        <v>112051</v>
      </c>
      <c r="B11962" s="29" t="n">
        <v>16</v>
      </c>
      <c r="C11962" s="7" t="n">
        <v>500</v>
      </c>
    </row>
    <row r="11963" spans="1:15">
      <c r="A11963" t="s">
        <v>4</v>
      </c>
      <c r="B11963" s="4" t="s">
        <v>5</v>
      </c>
      <c r="C11963" s="4" t="s">
        <v>7</v>
      </c>
      <c r="D11963" s="4" t="s">
        <v>11</v>
      </c>
      <c r="E11963" s="4" t="s">
        <v>8</v>
      </c>
    </row>
    <row r="11964" spans="1:15">
      <c r="A11964" t="n">
        <v>112054</v>
      </c>
      <c r="B11964" s="38" t="n">
        <v>51</v>
      </c>
      <c r="C11964" s="7" t="n">
        <v>4</v>
      </c>
      <c r="D11964" s="7" t="n">
        <v>2</v>
      </c>
      <c r="E11964" s="7" t="s">
        <v>977</v>
      </c>
    </row>
    <row r="11965" spans="1:15">
      <c r="A11965" t="s">
        <v>4</v>
      </c>
      <c r="B11965" s="4" t="s">
        <v>5</v>
      </c>
      <c r="C11965" s="4" t="s">
        <v>11</v>
      </c>
    </row>
    <row r="11966" spans="1:15">
      <c r="A11966" t="n">
        <v>112067</v>
      </c>
      <c r="B11966" s="29" t="n">
        <v>16</v>
      </c>
      <c r="C11966" s="7" t="n">
        <v>0</v>
      </c>
    </row>
    <row r="11967" spans="1:15">
      <c r="A11967" t="s">
        <v>4</v>
      </c>
      <c r="B11967" s="4" t="s">
        <v>5</v>
      </c>
      <c r="C11967" s="4" t="s">
        <v>11</v>
      </c>
      <c r="D11967" s="4" t="s">
        <v>7</v>
      </c>
      <c r="E11967" s="4" t="s">
        <v>15</v>
      </c>
      <c r="F11967" s="4" t="s">
        <v>55</v>
      </c>
      <c r="G11967" s="4" t="s">
        <v>7</v>
      </c>
      <c r="H11967" s="4" t="s">
        <v>7</v>
      </c>
    </row>
    <row r="11968" spans="1:15">
      <c r="A11968" t="n">
        <v>112070</v>
      </c>
      <c r="B11968" s="55" t="n">
        <v>26</v>
      </c>
      <c r="C11968" s="7" t="n">
        <v>2</v>
      </c>
      <c r="D11968" s="7" t="n">
        <v>17</v>
      </c>
      <c r="E11968" s="7" t="n">
        <v>6821</v>
      </c>
      <c r="F11968" s="7" t="s">
        <v>980</v>
      </c>
      <c r="G11968" s="7" t="n">
        <v>2</v>
      </c>
      <c r="H11968" s="7" t="n">
        <v>0</v>
      </c>
    </row>
    <row r="11969" spans="1:8">
      <c r="A11969" t="s">
        <v>4</v>
      </c>
      <c r="B11969" s="4" t="s">
        <v>5</v>
      </c>
    </row>
    <row r="11970" spans="1:8">
      <c r="A11970" t="n">
        <v>112166</v>
      </c>
      <c r="B11970" s="27" t="n">
        <v>28</v>
      </c>
    </row>
    <row r="11971" spans="1:8">
      <c r="A11971" t="s">
        <v>4</v>
      </c>
      <c r="B11971" s="4" t="s">
        <v>5</v>
      </c>
      <c r="C11971" s="4" t="s">
        <v>7</v>
      </c>
      <c r="D11971" s="4" t="s">
        <v>11</v>
      </c>
      <c r="E11971" s="4" t="s">
        <v>8</v>
      </c>
    </row>
    <row r="11972" spans="1:8">
      <c r="A11972" t="n">
        <v>112167</v>
      </c>
      <c r="B11972" s="38" t="n">
        <v>51</v>
      </c>
      <c r="C11972" s="7" t="n">
        <v>4</v>
      </c>
      <c r="D11972" s="7" t="n">
        <v>0</v>
      </c>
      <c r="E11972" s="7" t="s">
        <v>179</v>
      </c>
    </row>
    <row r="11973" spans="1:8">
      <c r="A11973" t="s">
        <v>4</v>
      </c>
      <c r="B11973" s="4" t="s">
        <v>5</v>
      </c>
      <c r="C11973" s="4" t="s">
        <v>11</v>
      </c>
    </row>
    <row r="11974" spans="1:8">
      <c r="A11974" t="n">
        <v>112181</v>
      </c>
      <c r="B11974" s="29" t="n">
        <v>16</v>
      </c>
      <c r="C11974" s="7" t="n">
        <v>0</v>
      </c>
    </row>
    <row r="11975" spans="1:8">
      <c r="A11975" t="s">
        <v>4</v>
      </c>
      <c r="B11975" s="4" t="s">
        <v>5</v>
      </c>
      <c r="C11975" s="4" t="s">
        <v>11</v>
      </c>
      <c r="D11975" s="4" t="s">
        <v>7</v>
      </c>
      <c r="E11975" s="4" t="s">
        <v>15</v>
      </c>
      <c r="F11975" s="4" t="s">
        <v>55</v>
      </c>
      <c r="G11975" s="4" t="s">
        <v>7</v>
      </c>
      <c r="H11975" s="4" t="s">
        <v>7</v>
      </c>
      <c r="I11975" s="4" t="s">
        <v>7</v>
      </c>
      <c r="J11975" s="4" t="s">
        <v>15</v>
      </c>
      <c r="K11975" s="4" t="s">
        <v>55</v>
      </c>
      <c r="L11975" s="4" t="s">
        <v>7</v>
      </c>
      <c r="M11975" s="4" t="s">
        <v>7</v>
      </c>
    </row>
    <row r="11976" spans="1:8">
      <c r="A11976" t="n">
        <v>112184</v>
      </c>
      <c r="B11976" s="55" t="n">
        <v>26</v>
      </c>
      <c r="C11976" s="7" t="n">
        <v>0</v>
      </c>
      <c r="D11976" s="7" t="n">
        <v>17</v>
      </c>
      <c r="E11976" s="7" t="n">
        <v>64129</v>
      </c>
      <c r="F11976" s="7" t="s">
        <v>981</v>
      </c>
      <c r="G11976" s="7" t="n">
        <v>2</v>
      </c>
      <c r="H11976" s="7" t="n">
        <v>3</v>
      </c>
      <c r="I11976" s="7" t="n">
        <v>17</v>
      </c>
      <c r="J11976" s="7" t="n">
        <v>64130</v>
      </c>
      <c r="K11976" s="7" t="s">
        <v>982</v>
      </c>
      <c r="L11976" s="7" t="n">
        <v>2</v>
      </c>
      <c r="M11976" s="7" t="n">
        <v>0</v>
      </c>
    </row>
    <row r="11977" spans="1:8">
      <c r="A11977" t="s">
        <v>4</v>
      </c>
      <c r="B11977" s="4" t="s">
        <v>5</v>
      </c>
    </row>
    <row r="11978" spans="1:8">
      <c r="A11978" t="n">
        <v>112259</v>
      </c>
      <c r="B11978" s="27" t="n">
        <v>28</v>
      </c>
    </row>
    <row r="11979" spans="1:8">
      <c r="A11979" t="s">
        <v>4</v>
      </c>
      <c r="B11979" s="4" t="s">
        <v>5</v>
      </c>
      <c r="C11979" s="4" t="s">
        <v>11</v>
      </c>
      <c r="D11979" s="4" t="s">
        <v>7</v>
      </c>
    </row>
    <row r="11980" spans="1:8">
      <c r="A11980" t="n">
        <v>112260</v>
      </c>
      <c r="B11980" s="68" t="n">
        <v>89</v>
      </c>
      <c r="C11980" s="7" t="n">
        <v>65533</v>
      </c>
      <c r="D11980" s="7" t="n">
        <v>1</v>
      </c>
    </row>
    <row r="11981" spans="1:8">
      <c r="A11981" t="s">
        <v>4</v>
      </c>
      <c r="B11981" s="4" t="s">
        <v>5</v>
      </c>
      <c r="C11981" s="4" t="s">
        <v>11</v>
      </c>
    </row>
    <row r="11982" spans="1:8">
      <c r="A11982" t="n">
        <v>112264</v>
      </c>
      <c r="B11982" s="29" t="n">
        <v>16</v>
      </c>
      <c r="C11982" s="7" t="n">
        <v>1000</v>
      </c>
    </row>
    <row r="11983" spans="1:8">
      <c r="A11983" t="s">
        <v>4</v>
      </c>
      <c r="B11983" s="4" t="s">
        <v>5</v>
      </c>
      <c r="C11983" s="4" t="s">
        <v>7</v>
      </c>
      <c r="D11983" s="4" t="s">
        <v>13</v>
      </c>
      <c r="E11983" s="4" t="s">
        <v>11</v>
      </c>
      <c r="F11983" s="4" t="s">
        <v>7</v>
      </c>
    </row>
    <row r="11984" spans="1:8">
      <c r="A11984" t="n">
        <v>112267</v>
      </c>
      <c r="B11984" s="13" t="n">
        <v>49</v>
      </c>
      <c r="C11984" s="7" t="n">
        <v>3</v>
      </c>
      <c r="D11984" s="7" t="n">
        <v>1</v>
      </c>
      <c r="E11984" s="7" t="n">
        <v>1000</v>
      </c>
      <c r="F11984" s="7" t="n">
        <v>0</v>
      </c>
    </row>
    <row r="11985" spans="1:13">
      <c r="A11985" t="s">
        <v>4</v>
      </c>
      <c r="B11985" s="4" t="s">
        <v>5</v>
      </c>
      <c r="C11985" s="4" t="s">
        <v>7</v>
      </c>
      <c r="D11985" s="4" t="s">
        <v>11</v>
      </c>
      <c r="E11985" s="4" t="s">
        <v>13</v>
      </c>
    </row>
    <row r="11986" spans="1:13">
      <c r="A11986" t="n">
        <v>112276</v>
      </c>
      <c r="B11986" s="23" t="n">
        <v>58</v>
      </c>
      <c r="C11986" s="7" t="n">
        <v>101</v>
      </c>
      <c r="D11986" s="7" t="n">
        <v>1000</v>
      </c>
      <c r="E11986" s="7" t="n">
        <v>1</v>
      </c>
    </row>
    <row r="11987" spans="1:13">
      <c r="A11987" t="s">
        <v>4</v>
      </c>
      <c r="B11987" s="4" t="s">
        <v>5</v>
      </c>
      <c r="C11987" s="4" t="s">
        <v>7</v>
      </c>
      <c r="D11987" s="4" t="s">
        <v>11</v>
      </c>
    </row>
    <row r="11988" spans="1:13">
      <c r="A11988" t="n">
        <v>112284</v>
      </c>
      <c r="B11988" s="23" t="n">
        <v>58</v>
      </c>
      <c r="C11988" s="7" t="n">
        <v>254</v>
      </c>
      <c r="D11988" s="7" t="n">
        <v>0</v>
      </c>
    </row>
    <row r="11989" spans="1:13">
      <c r="A11989" t="s">
        <v>4</v>
      </c>
      <c r="B11989" s="4" t="s">
        <v>5</v>
      </c>
      <c r="C11989" s="4" t="s">
        <v>7</v>
      </c>
    </row>
    <row r="11990" spans="1:13">
      <c r="A11990" t="n">
        <v>112288</v>
      </c>
      <c r="B11990" s="49" t="n">
        <v>116</v>
      </c>
      <c r="C11990" s="7" t="n">
        <v>0</v>
      </c>
    </row>
    <row r="11991" spans="1:13">
      <c r="A11991" t="s">
        <v>4</v>
      </c>
      <c r="B11991" s="4" t="s">
        <v>5</v>
      </c>
      <c r="C11991" s="4" t="s">
        <v>7</v>
      </c>
      <c r="D11991" s="4" t="s">
        <v>11</v>
      </c>
    </row>
    <row r="11992" spans="1:13">
      <c r="A11992" t="n">
        <v>112290</v>
      </c>
      <c r="B11992" s="49" t="n">
        <v>116</v>
      </c>
      <c r="C11992" s="7" t="n">
        <v>2</v>
      </c>
      <c r="D11992" s="7" t="n">
        <v>1</v>
      </c>
    </row>
    <row r="11993" spans="1:13">
      <c r="A11993" t="s">
        <v>4</v>
      </c>
      <c r="B11993" s="4" t="s">
        <v>5</v>
      </c>
      <c r="C11993" s="4" t="s">
        <v>7</v>
      </c>
      <c r="D11993" s="4" t="s">
        <v>15</v>
      </c>
    </row>
    <row r="11994" spans="1:13">
      <c r="A11994" t="n">
        <v>112294</v>
      </c>
      <c r="B11994" s="49" t="n">
        <v>116</v>
      </c>
      <c r="C11994" s="7" t="n">
        <v>5</v>
      </c>
      <c r="D11994" s="7" t="n">
        <v>1092616192</v>
      </c>
    </row>
    <row r="11995" spans="1:13">
      <c r="A11995" t="s">
        <v>4</v>
      </c>
      <c r="B11995" s="4" t="s">
        <v>5</v>
      </c>
      <c r="C11995" s="4" t="s">
        <v>7</v>
      </c>
      <c r="D11995" s="4" t="s">
        <v>11</v>
      </c>
    </row>
    <row r="11996" spans="1:13">
      <c r="A11996" t="n">
        <v>112300</v>
      </c>
      <c r="B11996" s="49" t="n">
        <v>116</v>
      </c>
      <c r="C11996" s="7" t="n">
        <v>6</v>
      </c>
      <c r="D11996" s="7" t="n">
        <v>1</v>
      </c>
    </row>
    <row r="11997" spans="1:13">
      <c r="A11997" t="s">
        <v>4</v>
      </c>
      <c r="B11997" s="4" t="s">
        <v>5</v>
      </c>
      <c r="C11997" s="4" t="s">
        <v>7</v>
      </c>
      <c r="D11997" s="4" t="s">
        <v>7</v>
      </c>
      <c r="E11997" s="4" t="s">
        <v>13</v>
      </c>
      <c r="F11997" s="4" t="s">
        <v>13</v>
      </c>
      <c r="G11997" s="4" t="s">
        <v>13</v>
      </c>
      <c r="H11997" s="4" t="s">
        <v>11</v>
      </c>
    </row>
    <row r="11998" spans="1:13">
      <c r="A11998" t="n">
        <v>112304</v>
      </c>
      <c r="B11998" s="51" t="n">
        <v>45</v>
      </c>
      <c r="C11998" s="7" t="n">
        <v>2</v>
      </c>
      <c r="D11998" s="7" t="n">
        <v>3</v>
      </c>
      <c r="E11998" s="7" t="n">
        <v>-6.67000007629395</v>
      </c>
      <c r="F11998" s="7" t="n">
        <v>6.42000007629395</v>
      </c>
      <c r="G11998" s="7" t="n">
        <v>29.8899993896484</v>
      </c>
      <c r="H11998" s="7" t="n">
        <v>0</v>
      </c>
    </row>
    <row r="11999" spans="1:13">
      <c r="A11999" t="s">
        <v>4</v>
      </c>
      <c r="B11999" s="4" t="s">
        <v>5</v>
      </c>
      <c r="C11999" s="4" t="s">
        <v>7</v>
      </c>
      <c r="D11999" s="4" t="s">
        <v>7</v>
      </c>
      <c r="E11999" s="4" t="s">
        <v>13</v>
      </c>
      <c r="F11999" s="4" t="s">
        <v>13</v>
      </c>
      <c r="G11999" s="4" t="s">
        <v>13</v>
      </c>
      <c r="H11999" s="4" t="s">
        <v>11</v>
      </c>
      <c r="I11999" s="4" t="s">
        <v>7</v>
      </c>
    </row>
    <row r="12000" spans="1:13">
      <c r="A12000" t="n">
        <v>112321</v>
      </c>
      <c r="B12000" s="51" t="n">
        <v>45</v>
      </c>
      <c r="C12000" s="7" t="n">
        <v>4</v>
      </c>
      <c r="D12000" s="7" t="n">
        <v>3</v>
      </c>
      <c r="E12000" s="7" t="n">
        <v>15.4700002670288</v>
      </c>
      <c r="F12000" s="7" t="n">
        <v>56.1100006103516</v>
      </c>
      <c r="G12000" s="7" t="n">
        <v>354</v>
      </c>
      <c r="H12000" s="7" t="n">
        <v>0</v>
      </c>
      <c r="I12000" s="7" t="n">
        <v>0</v>
      </c>
    </row>
    <row r="12001" spans="1:9">
      <c r="A12001" t="s">
        <v>4</v>
      </c>
      <c r="B12001" s="4" t="s">
        <v>5</v>
      </c>
      <c r="C12001" s="4" t="s">
        <v>7</v>
      </c>
      <c r="D12001" s="4" t="s">
        <v>7</v>
      </c>
      <c r="E12001" s="4" t="s">
        <v>13</v>
      </c>
      <c r="F12001" s="4" t="s">
        <v>11</v>
      </c>
    </row>
    <row r="12002" spans="1:9">
      <c r="A12002" t="n">
        <v>112339</v>
      </c>
      <c r="B12002" s="51" t="n">
        <v>45</v>
      </c>
      <c r="C12002" s="7" t="n">
        <v>5</v>
      </c>
      <c r="D12002" s="7" t="n">
        <v>3</v>
      </c>
      <c r="E12002" s="7" t="n">
        <v>1.5</v>
      </c>
      <c r="F12002" s="7" t="n">
        <v>0</v>
      </c>
    </row>
    <row r="12003" spans="1:9">
      <c r="A12003" t="s">
        <v>4</v>
      </c>
      <c r="B12003" s="4" t="s">
        <v>5</v>
      </c>
      <c r="C12003" s="4" t="s">
        <v>7</v>
      </c>
      <c r="D12003" s="4" t="s">
        <v>7</v>
      </c>
      <c r="E12003" s="4" t="s">
        <v>13</v>
      </c>
      <c r="F12003" s="4" t="s">
        <v>11</v>
      </c>
    </row>
    <row r="12004" spans="1:9">
      <c r="A12004" t="n">
        <v>112348</v>
      </c>
      <c r="B12004" s="51" t="n">
        <v>45</v>
      </c>
      <c r="C12004" s="7" t="n">
        <v>11</v>
      </c>
      <c r="D12004" s="7" t="n">
        <v>3</v>
      </c>
      <c r="E12004" s="7" t="n">
        <v>40.2999992370605</v>
      </c>
      <c r="F12004" s="7" t="n">
        <v>0</v>
      </c>
    </row>
    <row r="12005" spans="1:9">
      <c r="A12005" t="s">
        <v>4</v>
      </c>
      <c r="B12005" s="4" t="s">
        <v>5</v>
      </c>
      <c r="C12005" s="4" t="s">
        <v>7</v>
      </c>
      <c r="D12005" s="4" t="s">
        <v>7</v>
      </c>
      <c r="E12005" s="4" t="s">
        <v>13</v>
      </c>
      <c r="F12005" s="4" t="s">
        <v>13</v>
      </c>
      <c r="G12005" s="4" t="s">
        <v>13</v>
      </c>
      <c r="H12005" s="4" t="s">
        <v>11</v>
      </c>
    </row>
    <row r="12006" spans="1:9">
      <c r="A12006" t="n">
        <v>112357</v>
      </c>
      <c r="B12006" s="51" t="n">
        <v>45</v>
      </c>
      <c r="C12006" s="7" t="n">
        <v>2</v>
      </c>
      <c r="D12006" s="7" t="n">
        <v>3</v>
      </c>
      <c r="E12006" s="7" t="n">
        <v>-6.34000015258789</v>
      </c>
      <c r="F12006" s="7" t="n">
        <v>6.59000015258789</v>
      </c>
      <c r="G12006" s="7" t="n">
        <v>28.8899993896484</v>
      </c>
      <c r="H12006" s="7" t="n">
        <v>6000</v>
      </c>
    </row>
    <row r="12007" spans="1:9">
      <c r="A12007" t="s">
        <v>4</v>
      </c>
      <c r="B12007" s="4" t="s">
        <v>5</v>
      </c>
      <c r="C12007" s="4" t="s">
        <v>7</v>
      </c>
      <c r="D12007" s="4" t="s">
        <v>7</v>
      </c>
      <c r="E12007" s="4" t="s">
        <v>13</v>
      </c>
      <c r="F12007" s="4" t="s">
        <v>13</v>
      </c>
      <c r="G12007" s="4" t="s">
        <v>13</v>
      </c>
      <c r="H12007" s="4" t="s">
        <v>11</v>
      </c>
      <c r="I12007" s="4" t="s">
        <v>7</v>
      </c>
    </row>
    <row r="12008" spans="1:9">
      <c r="A12008" t="n">
        <v>112374</v>
      </c>
      <c r="B12008" s="51" t="n">
        <v>45</v>
      </c>
      <c r="C12008" s="7" t="n">
        <v>4</v>
      </c>
      <c r="D12008" s="7" t="n">
        <v>3</v>
      </c>
      <c r="E12008" s="7" t="n">
        <v>10.7700004577637</v>
      </c>
      <c r="F12008" s="7" t="n">
        <v>43.6100006103516</v>
      </c>
      <c r="G12008" s="7" t="n">
        <v>360</v>
      </c>
      <c r="H12008" s="7" t="n">
        <v>6000</v>
      </c>
      <c r="I12008" s="7" t="n">
        <v>1</v>
      </c>
    </row>
    <row r="12009" spans="1:9">
      <c r="A12009" t="s">
        <v>4</v>
      </c>
      <c r="B12009" s="4" t="s">
        <v>5</v>
      </c>
      <c r="C12009" s="4" t="s">
        <v>7</v>
      </c>
      <c r="D12009" s="4" t="s">
        <v>11</v>
      </c>
    </row>
    <row r="12010" spans="1:9">
      <c r="A12010" t="n">
        <v>112392</v>
      </c>
      <c r="B12010" s="23" t="n">
        <v>58</v>
      </c>
      <c r="C12010" s="7" t="n">
        <v>255</v>
      </c>
      <c r="D12010" s="7" t="n">
        <v>0</v>
      </c>
    </row>
    <row r="12011" spans="1:9">
      <c r="A12011" t="s">
        <v>4</v>
      </c>
      <c r="B12011" s="4" t="s">
        <v>5</v>
      </c>
      <c r="C12011" s="4" t="s">
        <v>7</v>
      </c>
      <c r="D12011" s="4" t="s">
        <v>11</v>
      </c>
    </row>
    <row r="12012" spans="1:9">
      <c r="A12012" t="n">
        <v>112396</v>
      </c>
      <c r="B12012" s="51" t="n">
        <v>45</v>
      </c>
      <c r="C12012" s="7" t="n">
        <v>7</v>
      </c>
      <c r="D12012" s="7" t="n">
        <v>255</v>
      </c>
    </row>
    <row r="12013" spans="1:9">
      <c r="A12013" t="s">
        <v>4</v>
      </c>
      <c r="B12013" s="4" t="s">
        <v>5</v>
      </c>
      <c r="C12013" s="4" t="s">
        <v>7</v>
      </c>
      <c r="D12013" s="4" t="s">
        <v>11</v>
      </c>
      <c r="E12013" s="4" t="s">
        <v>13</v>
      </c>
    </row>
    <row r="12014" spans="1:9">
      <c r="A12014" t="n">
        <v>112400</v>
      </c>
      <c r="B12014" s="23" t="n">
        <v>58</v>
      </c>
      <c r="C12014" s="7" t="n">
        <v>0</v>
      </c>
      <c r="D12014" s="7" t="n">
        <v>2000</v>
      </c>
      <c r="E12014" s="7" t="n">
        <v>1</v>
      </c>
    </row>
    <row r="12015" spans="1:9">
      <c r="A12015" t="s">
        <v>4</v>
      </c>
      <c r="B12015" s="4" t="s">
        <v>5</v>
      </c>
      <c r="C12015" s="4" t="s">
        <v>7</v>
      </c>
      <c r="D12015" s="4" t="s">
        <v>11</v>
      </c>
    </row>
    <row r="12016" spans="1:9">
      <c r="A12016" t="n">
        <v>112408</v>
      </c>
      <c r="B12016" s="23" t="n">
        <v>58</v>
      </c>
      <c r="C12016" s="7" t="n">
        <v>255</v>
      </c>
      <c r="D12016" s="7" t="n">
        <v>0</v>
      </c>
    </row>
    <row r="12017" spans="1:9">
      <c r="A12017" t="s">
        <v>4</v>
      </c>
      <c r="B12017" s="4" t="s">
        <v>5</v>
      </c>
      <c r="C12017" s="4" t="s">
        <v>7</v>
      </c>
      <c r="D12017" s="4" t="s">
        <v>11</v>
      </c>
      <c r="E12017" s="4" t="s">
        <v>11</v>
      </c>
      <c r="F12017" s="4" t="s">
        <v>15</v>
      </c>
    </row>
    <row r="12018" spans="1:9">
      <c r="A12018" t="n">
        <v>112412</v>
      </c>
      <c r="B12018" s="76" t="n">
        <v>84</v>
      </c>
      <c r="C12018" s="7" t="n">
        <v>1</v>
      </c>
      <c r="D12018" s="7" t="n">
        <v>0</v>
      </c>
      <c r="E12018" s="7" t="n">
        <v>0</v>
      </c>
      <c r="F12018" s="7" t="n">
        <v>0</v>
      </c>
    </row>
    <row r="12019" spans="1:9">
      <c r="A12019" t="s">
        <v>4</v>
      </c>
      <c r="B12019" s="4" t="s">
        <v>5</v>
      </c>
      <c r="C12019" s="4" t="s">
        <v>7</v>
      </c>
    </row>
    <row r="12020" spans="1:9">
      <c r="A12020" t="n">
        <v>112422</v>
      </c>
      <c r="B12020" s="28" t="n">
        <v>78</v>
      </c>
      <c r="C12020" s="7" t="n">
        <v>255</v>
      </c>
    </row>
    <row r="12021" spans="1:9">
      <c r="A12021" t="s">
        <v>4</v>
      </c>
      <c r="B12021" s="4" t="s">
        <v>5</v>
      </c>
      <c r="C12021" s="4" t="s">
        <v>7</v>
      </c>
      <c r="D12021" s="4" t="s">
        <v>11</v>
      </c>
      <c r="E12021" s="4" t="s">
        <v>7</v>
      </c>
    </row>
    <row r="12022" spans="1:9">
      <c r="A12022" t="n">
        <v>112424</v>
      </c>
      <c r="B12022" s="40" t="n">
        <v>36</v>
      </c>
      <c r="C12022" s="7" t="n">
        <v>9</v>
      </c>
      <c r="D12022" s="7" t="n">
        <v>0</v>
      </c>
      <c r="E12022" s="7" t="n">
        <v>0</v>
      </c>
    </row>
    <row r="12023" spans="1:9">
      <c r="A12023" t="s">
        <v>4</v>
      </c>
      <c r="B12023" s="4" t="s">
        <v>5</v>
      </c>
      <c r="C12023" s="4" t="s">
        <v>7</v>
      </c>
      <c r="D12023" s="4" t="s">
        <v>11</v>
      </c>
      <c r="E12023" s="4" t="s">
        <v>7</v>
      </c>
    </row>
    <row r="12024" spans="1:9">
      <c r="A12024" t="n">
        <v>112429</v>
      </c>
      <c r="B12024" s="40" t="n">
        <v>36</v>
      </c>
      <c r="C12024" s="7" t="n">
        <v>9</v>
      </c>
      <c r="D12024" s="7" t="n">
        <v>2</v>
      </c>
      <c r="E12024" s="7" t="n">
        <v>0</v>
      </c>
    </row>
    <row r="12025" spans="1:9">
      <c r="A12025" t="s">
        <v>4</v>
      </c>
      <c r="B12025" s="4" t="s">
        <v>5</v>
      </c>
      <c r="C12025" s="4" t="s">
        <v>11</v>
      </c>
    </row>
    <row r="12026" spans="1:9">
      <c r="A12026" t="n">
        <v>112434</v>
      </c>
      <c r="B12026" s="43" t="n">
        <v>12</v>
      </c>
      <c r="C12026" s="7" t="n">
        <v>10811</v>
      </c>
    </row>
    <row r="12027" spans="1:9">
      <c r="A12027" t="s">
        <v>4</v>
      </c>
      <c r="B12027" s="4" t="s">
        <v>5</v>
      </c>
      <c r="C12027" s="4" t="s">
        <v>11</v>
      </c>
    </row>
    <row r="12028" spans="1:9">
      <c r="A12028" t="n">
        <v>112437</v>
      </c>
      <c r="B12028" s="43" t="n">
        <v>12</v>
      </c>
      <c r="C12028" s="7" t="n">
        <v>6577</v>
      </c>
    </row>
    <row r="12029" spans="1:9">
      <c r="A12029" t="s">
        <v>4</v>
      </c>
      <c r="B12029" s="4" t="s">
        <v>5</v>
      </c>
      <c r="C12029" s="4" t="s">
        <v>7</v>
      </c>
      <c r="D12029" s="4" t="s">
        <v>15</v>
      </c>
    </row>
    <row r="12030" spans="1:9">
      <c r="A12030" t="n">
        <v>112440</v>
      </c>
      <c r="B12030" s="79" t="n">
        <v>137</v>
      </c>
      <c r="C12030" s="7" t="n">
        <v>6</v>
      </c>
      <c r="D12030" s="7" t="n">
        <v>16</v>
      </c>
    </row>
    <row r="12031" spans="1:9">
      <c r="A12031" t="s">
        <v>4</v>
      </c>
      <c r="B12031" s="4" t="s">
        <v>5</v>
      </c>
      <c r="C12031" s="4" t="s">
        <v>11</v>
      </c>
      <c r="D12031" s="4" t="s">
        <v>7</v>
      </c>
      <c r="E12031" s="4" t="s">
        <v>11</v>
      </c>
    </row>
    <row r="12032" spans="1:9">
      <c r="A12032" t="n">
        <v>112446</v>
      </c>
      <c r="B12032" s="58" t="n">
        <v>104</v>
      </c>
      <c r="C12032" s="7" t="n">
        <v>127</v>
      </c>
      <c r="D12032" s="7" t="n">
        <v>1</v>
      </c>
      <c r="E12032" s="7" t="n">
        <v>4</v>
      </c>
    </row>
    <row r="12033" spans="1:6">
      <c r="A12033" t="s">
        <v>4</v>
      </c>
      <c r="B12033" s="4" t="s">
        <v>5</v>
      </c>
    </row>
    <row r="12034" spans="1:6">
      <c r="A12034" t="n">
        <v>112452</v>
      </c>
      <c r="B12034" s="5" t="n">
        <v>1</v>
      </c>
    </row>
    <row r="12035" spans="1:6">
      <c r="A12035" t="s">
        <v>4</v>
      </c>
      <c r="B12035" s="4" t="s">
        <v>5</v>
      </c>
      <c r="C12035" s="4" t="s">
        <v>7</v>
      </c>
      <c r="D12035" s="4" t="s">
        <v>11</v>
      </c>
      <c r="E12035" s="4" t="s">
        <v>11</v>
      </c>
      <c r="F12035" s="4" t="s">
        <v>15</v>
      </c>
      <c r="G12035" s="4" t="s">
        <v>15</v>
      </c>
      <c r="H12035" s="4" t="s">
        <v>15</v>
      </c>
    </row>
    <row r="12036" spans="1:6">
      <c r="A12036" t="n">
        <v>112453</v>
      </c>
      <c r="B12036" s="77" t="n">
        <v>97</v>
      </c>
      <c r="C12036" s="7" t="n">
        <v>7</v>
      </c>
      <c r="D12036" s="7" t="n">
        <v>0</v>
      </c>
      <c r="E12036" s="7" t="n">
        <v>0</v>
      </c>
      <c r="F12036" s="7" t="n">
        <v>0</v>
      </c>
      <c r="G12036" s="7" t="n">
        <v>0</v>
      </c>
      <c r="H12036" s="7" t="n">
        <v>0</v>
      </c>
    </row>
    <row r="12037" spans="1:6">
      <c r="A12037" t="s">
        <v>4</v>
      </c>
      <c r="B12037" s="4" t="s">
        <v>5</v>
      </c>
      <c r="C12037" s="4" t="s">
        <v>11</v>
      </c>
      <c r="D12037" s="4" t="s">
        <v>13</v>
      </c>
      <c r="E12037" s="4" t="s">
        <v>13</v>
      </c>
      <c r="F12037" s="4" t="s">
        <v>13</v>
      </c>
      <c r="G12037" s="4" t="s">
        <v>13</v>
      </c>
    </row>
    <row r="12038" spans="1:6">
      <c r="A12038" t="n">
        <v>112471</v>
      </c>
      <c r="B12038" s="36" t="n">
        <v>46</v>
      </c>
      <c r="C12038" s="7" t="n">
        <v>61456</v>
      </c>
      <c r="D12038" s="7" t="n">
        <v>0</v>
      </c>
      <c r="E12038" s="7" t="n">
        <v>0</v>
      </c>
      <c r="F12038" s="7" t="n">
        <v>0</v>
      </c>
      <c r="G12038" s="7" t="n">
        <v>0</v>
      </c>
    </row>
    <row r="12039" spans="1:6">
      <c r="A12039" t="s">
        <v>4</v>
      </c>
      <c r="B12039" s="4" t="s">
        <v>5</v>
      </c>
      <c r="C12039" s="4" t="s">
        <v>7</v>
      </c>
      <c r="D12039" s="4" t="s">
        <v>11</v>
      </c>
    </row>
    <row r="12040" spans="1:6">
      <c r="A12040" t="n">
        <v>112490</v>
      </c>
      <c r="B12040" s="8" t="n">
        <v>162</v>
      </c>
      <c r="C12040" s="7" t="n">
        <v>1</v>
      </c>
      <c r="D12040" s="7" t="n">
        <v>0</v>
      </c>
    </row>
    <row r="12041" spans="1:6">
      <c r="A12041" t="s">
        <v>4</v>
      </c>
      <c r="B12041" s="4" t="s">
        <v>5</v>
      </c>
    </row>
    <row r="12042" spans="1:6">
      <c r="A12042" t="n">
        <v>112494</v>
      </c>
      <c r="B12042" s="5" t="n">
        <v>1</v>
      </c>
    </row>
    <row r="12043" spans="1:6" s="3" customFormat="1" customHeight="0">
      <c r="A12043" s="3" t="s">
        <v>2</v>
      </c>
      <c r="B12043" s="3" t="s">
        <v>983</v>
      </c>
    </row>
    <row r="12044" spans="1:6">
      <c r="A12044" t="s">
        <v>4</v>
      </c>
      <c r="B12044" s="4" t="s">
        <v>5</v>
      </c>
      <c r="C12044" s="4" t="s">
        <v>7</v>
      </c>
      <c r="D12044" s="4" t="s">
        <v>7</v>
      </c>
      <c r="E12044" s="4" t="s">
        <v>7</v>
      </c>
      <c r="F12044" s="4" t="s">
        <v>7</v>
      </c>
    </row>
    <row r="12045" spans="1:6">
      <c r="A12045" t="n">
        <v>112496</v>
      </c>
      <c r="B12045" s="9" t="n">
        <v>14</v>
      </c>
      <c r="C12045" s="7" t="n">
        <v>2</v>
      </c>
      <c r="D12045" s="7" t="n">
        <v>0</v>
      </c>
      <c r="E12045" s="7" t="n">
        <v>0</v>
      </c>
      <c r="F12045" s="7" t="n">
        <v>0</v>
      </c>
    </row>
    <row r="12046" spans="1:6">
      <c r="A12046" t="s">
        <v>4</v>
      </c>
      <c r="B12046" s="4" t="s">
        <v>5</v>
      </c>
      <c r="C12046" s="4" t="s">
        <v>7</v>
      </c>
      <c r="D12046" s="20" t="s">
        <v>35</v>
      </c>
      <c r="E12046" s="4" t="s">
        <v>5</v>
      </c>
      <c r="F12046" s="4" t="s">
        <v>7</v>
      </c>
      <c r="G12046" s="4" t="s">
        <v>11</v>
      </c>
      <c r="H12046" s="20" t="s">
        <v>36</v>
      </c>
      <c r="I12046" s="4" t="s">
        <v>7</v>
      </c>
      <c r="J12046" s="4" t="s">
        <v>15</v>
      </c>
      <c r="K12046" s="4" t="s">
        <v>7</v>
      </c>
      <c r="L12046" s="4" t="s">
        <v>7</v>
      </c>
      <c r="M12046" s="20" t="s">
        <v>35</v>
      </c>
      <c r="N12046" s="4" t="s">
        <v>5</v>
      </c>
      <c r="O12046" s="4" t="s">
        <v>7</v>
      </c>
      <c r="P12046" s="4" t="s">
        <v>11</v>
      </c>
      <c r="Q12046" s="20" t="s">
        <v>36</v>
      </c>
      <c r="R12046" s="4" t="s">
        <v>7</v>
      </c>
      <c r="S12046" s="4" t="s">
        <v>15</v>
      </c>
      <c r="T12046" s="4" t="s">
        <v>7</v>
      </c>
      <c r="U12046" s="4" t="s">
        <v>7</v>
      </c>
      <c r="V12046" s="4" t="s">
        <v>7</v>
      </c>
      <c r="W12046" s="4" t="s">
        <v>12</v>
      </c>
    </row>
    <row r="12047" spans="1:6">
      <c r="A12047" t="n">
        <v>112501</v>
      </c>
      <c r="B12047" s="10" t="n">
        <v>5</v>
      </c>
      <c r="C12047" s="7" t="n">
        <v>28</v>
      </c>
      <c r="D12047" s="20" t="s">
        <v>3</v>
      </c>
      <c r="E12047" s="8" t="n">
        <v>162</v>
      </c>
      <c r="F12047" s="7" t="n">
        <v>3</v>
      </c>
      <c r="G12047" s="7" t="n">
        <v>32875</v>
      </c>
      <c r="H12047" s="20" t="s">
        <v>3</v>
      </c>
      <c r="I12047" s="7" t="n">
        <v>0</v>
      </c>
      <c r="J12047" s="7" t="n">
        <v>1</v>
      </c>
      <c r="K12047" s="7" t="n">
        <v>2</v>
      </c>
      <c r="L12047" s="7" t="n">
        <v>28</v>
      </c>
      <c r="M12047" s="20" t="s">
        <v>3</v>
      </c>
      <c r="N12047" s="8" t="n">
        <v>162</v>
      </c>
      <c r="O12047" s="7" t="n">
        <v>3</v>
      </c>
      <c r="P12047" s="7" t="n">
        <v>32875</v>
      </c>
      <c r="Q12047" s="20" t="s">
        <v>3</v>
      </c>
      <c r="R12047" s="7" t="n">
        <v>0</v>
      </c>
      <c r="S12047" s="7" t="n">
        <v>2</v>
      </c>
      <c r="T12047" s="7" t="n">
        <v>2</v>
      </c>
      <c r="U12047" s="7" t="n">
        <v>11</v>
      </c>
      <c r="V12047" s="7" t="n">
        <v>1</v>
      </c>
      <c r="W12047" s="11" t="n">
        <f t="normal" ca="1">A12051</f>
        <v>0</v>
      </c>
    </row>
    <row r="12048" spans="1:6">
      <c r="A12048" t="s">
        <v>4</v>
      </c>
      <c r="B12048" s="4" t="s">
        <v>5</v>
      </c>
      <c r="C12048" s="4" t="s">
        <v>7</v>
      </c>
      <c r="D12048" s="4" t="s">
        <v>11</v>
      </c>
      <c r="E12048" s="4" t="s">
        <v>13</v>
      </c>
    </row>
    <row r="12049" spans="1:23">
      <c r="A12049" t="n">
        <v>112530</v>
      </c>
      <c r="B12049" s="23" t="n">
        <v>58</v>
      </c>
      <c r="C12049" s="7" t="n">
        <v>0</v>
      </c>
      <c r="D12049" s="7" t="n">
        <v>0</v>
      </c>
      <c r="E12049" s="7" t="n">
        <v>1</v>
      </c>
    </row>
    <row r="12050" spans="1:23">
      <c r="A12050" t="s">
        <v>4</v>
      </c>
      <c r="B12050" s="4" t="s">
        <v>5</v>
      </c>
      <c r="C12050" s="4" t="s">
        <v>7</v>
      </c>
      <c r="D12050" s="20" t="s">
        <v>35</v>
      </c>
      <c r="E12050" s="4" t="s">
        <v>5</v>
      </c>
      <c r="F12050" s="4" t="s">
        <v>7</v>
      </c>
      <c r="G12050" s="4" t="s">
        <v>11</v>
      </c>
      <c r="H12050" s="20" t="s">
        <v>36</v>
      </c>
      <c r="I12050" s="4" t="s">
        <v>7</v>
      </c>
      <c r="J12050" s="4" t="s">
        <v>15</v>
      </c>
      <c r="K12050" s="4" t="s">
        <v>7</v>
      </c>
      <c r="L12050" s="4" t="s">
        <v>7</v>
      </c>
      <c r="M12050" s="20" t="s">
        <v>35</v>
      </c>
      <c r="N12050" s="4" t="s">
        <v>5</v>
      </c>
      <c r="O12050" s="4" t="s">
        <v>7</v>
      </c>
      <c r="P12050" s="4" t="s">
        <v>11</v>
      </c>
      <c r="Q12050" s="20" t="s">
        <v>36</v>
      </c>
      <c r="R12050" s="4" t="s">
        <v>7</v>
      </c>
      <c r="S12050" s="4" t="s">
        <v>15</v>
      </c>
      <c r="T12050" s="4" t="s">
        <v>7</v>
      </c>
      <c r="U12050" s="4" t="s">
        <v>7</v>
      </c>
      <c r="V12050" s="4" t="s">
        <v>7</v>
      </c>
      <c r="W12050" s="4" t="s">
        <v>12</v>
      </c>
    </row>
    <row r="12051" spans="1:23">
      <c r="A12051" t="n">
        <v>112538</v>
      </c>
      <c r="B12051" s="10" t="n">
        <v>5</v>
      </c>
      <c r="C12051" s="7" t="n">
        <v>28</v>
      </c>
      <c r="D12051" s="20" t="s">
        <v>3</v>
      </c>
      <c r="E12051" s="8" t="n">
        <v>162</v>
      </c>
      <c r="F12051" s="7" t="n">
        <v>3</v>
      </c>
      <c r="G12051" s="7" t="n">
        <v>32875</v>
      </c>
      <c r="H12051" s="20" t="s">
        <v>3</v>
      </c>
      <c r="I12051" s="7" t="n">
        <v>0</v>
      </c>
      <c r="J12051" s="7" t="n">
        <v>1</v>
      </c>
      <c r="K12051" s="7" t="n">
        <v>3</v>
      </c>
      <c r="L12051" s="7" t="n">
        <v>28</v>
      </c>
      <c r="M12051" s="20" t="s">
        <v>3</v>
      </c>
      <c r="N12051" s="8" t="n">
        <v>162</v>
      </c>
      <c r="O12051" s="7" t="n">
        <v>3</v>
      </c>
      <c r="P12051" s="7" t="n">
        <v>32875</v>
      </c>
      <c r="Q12051" s="20" t="s">
        <v>3</v>
      </c>
      <c r="R12051" s="7" t="n">
        <v>0</v>
      </c>
      <c r="S12051" s="7" t="n">
        <v>2</v>
      </c>
      <c r="T12051" s="7" t="n">
        <v>3</v>
      </c>
      <c r="U12051" s="7" t="n">
        <v>9</v>
      </c>
      <c r="V12051" s="7" t="n">
        <v>1</v>
      </c>
      <c r="W12051" s="11" t="n">
        <f t="normal" ca="1">A12061</f>
        <v>0</v>
      </c>
    </row>
    <row r="12052" spans="1:23">
      <c r="A12052" t="s">
        <v>4</v>
      </c>
      <c r="B12052" s="4" t="s">
        <v>5</v>
      </c>
      <c r="C12052" s="4" t="s">
        <v>7</v>
      </c>
      <c r="D12052" s="20" t="s">
        <v>35</v>
      </c>
      <c r="E12052" s="4" t="s">
        <v>5</v>
      </c>
      <c r="F12052" s="4" t="s">
        <v>11</v>
      </c>
      <c r="G12052" s="4" t="s">
        <v>7</v>
      </c>
      <c r="H12052" s="4" t="s">
        <v>7</v>
      </c>
      <c r="I12052" s="4" t="s">
        <v>8</v>
      </c>
      <c r="J12052" s="20" t="s">
        <v>36</v>
      </c>
      <c r="K12052" s="4" t="s">
        <v>7</v>
      </c>
      <c r="L12052" s="4" t="s">
        <v>7</v>
      </c>
      <c r="M12052" s="20" t="s">
        <v>35</v>
      </c>
      <c r="N12052" s="4" t="s">
        <v>5</v>
      </c>
      <c r="O12052" s="4" t="s">
        <v>7</v>
      </c>
      <c r="P12052" s="20" t="s">
        <v>36</v>
      </c>
      <c r="Q12052" s="4" t="s">
        <v>7</v>
      </c>
      <c r="R12052" s="4" t="s">
        <v>15</v>
      </c>
      <c r="S12052" s="4" t="s">
        <v>7</v>
      </c>
      <c r="T12052" s="4" t="s">
        <v>7</v>
      </c>
      <c r="U12052" s="4" t="s">
        <v>7</v>
      </c>
      <c r="V12052" s="20" t="s">
        <v>35</v>
      </c>
      <c r="W12052" s="4" t="s">
        <v>5</v>
      </c>
      <c r="X12052" s="4" t="s">
        <v>7</v>
      </c>
      <c r="Y12052" s="20" t="s">
        <v>36</v>
      </c>
      <c r="Z12052" s="4" t="s">
        <v>7</v>
      </c>
      <c r="AA12052" s="4" t="s">
        <v>15</v>
      </c>
      <c r="AB12052" s="4" t="s">
        <v>7</v>
      </c>
      <c r="AC12052" s="4" t="s">
        <v>7</v>
      </c>
      <c r="AD12052" s="4" t="s">
        <v>7</v>
      </c>
      <c r="AE12052" s="4" t="s">
        <v>12</v>
      </c>
    </row>
    <row r="12053" spans="1:23">
      <c r="A12053" t="n">
        <v>112567</v>
      </c>
      <c r="B12053" s="10" t="n">
        <v>5</v>
      </c>
      <c r="C12053" s="7" t="n">
        <v>28</v>
      </c>
      <c r="D12053" s="20" t="s">
        <v>3</v>
      </c>
      <c r="E12053" s="41" t="n">
        <v>47</v>
      </c>
      <c r="F12053" s="7" t="n">
        <v>61456</v>
      </c>
      <c r="G12053" s="7" t="n">
        <v>2</v>
      </c>
      <c r="H12053" s="7" t="n">
        <v>0</v>
      </c>
      <c r="I12053" s="7" t="s">
        <v>105</v>
      </c>
      <c r="J12053" s="20" t="s">
        <v>3</v>
      </c>
      <c r="K12053" s="7" t="n">
        <v>8</v>
      </c>
      <c r="L12053" s="7" t="n">
        <v>28</v>
      </c>
      <c r="M12053" s="20" t="s">
        <v>3</v>
      </c>
      <c r="N12053" s="45" t="n">
        <v>74</v>
      </c>
      <c r="O12053" s="7" t="n">
        <v>65</v>
      </c>
      <c r="P12053" s="20" t="s">
        <v>3</v>
      </c>
      <c r="Q12053" s="7" t="n">
        <v>0</v>
      </c>
      <c r="R12053" s="7" t="n">
        <v>1</v>
      </c>
      <c r="S12053" s="7" t="n">
        <v>3</v>
      </c>
      <c r="T12053" s="7" t="n">
        <v>9</v>
      </c>
      <c r="U12053" s="7" t="n">
        <v>28</v>
      </c>
      <c r="V12053" s="20" t="s">
        <v>3</v>
      </c>
      <c r="W12053" s="45" t="n">
        <v>74</v>
      </c>
      <c r="X12053" s="7" t="n">
        <v>65</v>
      </c>
      <c r="Y12053" s="20" t="s">
        <v>3</v>
      </c>
      <c r="Z12053" s="7" t="n">
        <v>0</v>
      </c>
      <c r="AA12053" s="7" t="n">
        <v>2</v>
      </c>
      <c r="AB12053" s="7" t="n">
        <v>3</v>
      </c>
      <c r="AC12053" s="7" t="n">
        <v>9</v>
      </c>
      <c r="AD12053" s="7" t="n">
        <v>1</v>
      </c>
      <c r="AE12053" s="11" t="n">
        <f t="normal" ca="1">A12057</f>
        <v>0</v>
      </c>
    </row>
    <row r="12054" spans="1:23">
      <c r="A12054" t="s">
        <v>4</v>
      </c>
      <c r="B12054" s="4" t="s">
        <v>5</v>
      </c>
      <c r="C12054" s="4" t="s">
        <v>11</v>
      </c>
      <c r="D12054" s="4" t="s">
        <v>7</v>
      </c>
      <c r="E12054" s="4" t="s">
        <v>7</v>
      </c>
      <c r="F12054" s="4" t="s">
        <v>8</v>
      </c>
    </row>
    <row r="12055" spans="1:23">
      <c r="A12055" t="n">
        <v>112615</v>
      </c>
      <c r="B12055" s="41" t="n">
        <v>47</v>
      </c>
      <c r="C12055" s="7" t="n">
        <v>61456</v>
      </c>
      <c r="D12055" s="7" t="n">
        <v>0</v>
      </c>
      <c r="E12055" s="7" t="n">
        <v>0</v>
      </c>
      <c r="F12055" s="7" t="s">
        <v>106</v>
      </c>
    </row>
    <row r="12056" spans="1:23">
      <c r="A12056" t="s">
        <v>4</v>
      </c>
      <c r="B12056" s="4" t="s">
        <v>5</v>
      </c>
      <c r="C12056" s="4" t="s">
        <v>7</v>
      </c>
      <c r="D12056" s="4" t="s">
        <v>11</v>
      </c>
      <c r="E12056" s="4" t="s">
        <v>13</v>
      </c>
    </row>
    <row r="12057" spans="1:23">
      <c r="A12057" t="n">
        <v>112628</v>
      </c>
      <c r="B12057" s="23" t="n">
        <v>58</v>
      </c>
      <c r="C12057" s="7" t="n">
        <v>0</v>
      </c>
      <c r="D12057" s="7" t="n">
        <v>300</v>
      </c>
      <c r="E12057" s="7" t="n">
        <v>1</v>
      </c>
    </row>
    <row r="12058" spans="1:23">
      <c r="A12058" t="s">
        <v>4</v>
      </c>
      <c r="B12058" s="4" t="s">
        <v>5</v>
      </c>
      <c r="C12058" s="4" t="s">
        <v>7</v>
      </c>
      <c r="D12058" s="4" t="s">
        <v>11</v>
      </c>
    </row>
    <row r="12059" spans="1:23">
      <c r="A12059" t="n">
        <v>112636</v>
      </c>
      <c r="B12059" s="23" t="n">
        <v>58</v>
      </c>
      <c r="C12059" s="7" t="n">
        <v>255</v>
      </c>
      <c r="D12059" s="7" t="n">
        <v>0</v>
      </c>
    </row>
    <row r="12060" spans="1:23">
      <c r="A12060" t="s">
        <v>4</v>
      </c>
      <c r="B12060" s="4" t="s">
        <v>5</v>
      </c>
      <c r="C12060" s="4" t="s">
        <v>7</v>
      </c>
      <c r="D12060" s="4" t="s">
        <v>7</v>
      </c>
      <c r="E12060" s="4" t="s">
        <v>7</v>
      </c>
      <c r="F12060" s="4" t="s">
        <v>7</v>
      </c>
    </row>
    <row r="12061" spans="1:23">
      <c r="A12061" t="n">
        <v>112640</v>
      </c>
      <c r="B12061" s="9" t="n">
        <v>14</v>
      </c>
      <c r="C12061" s="7" t="n">
        <v>0</v>
      </c>
      <c r="D12061" s="7" t="n">
        <v>0</v>
      </c>
      <c r="E12061" s="7" t="n">
        <v>0</v>
      </c>
      <c r="F12061" s="7" t="n">
        <v>64</v>
      </c>
    </row>
    <row r="12062" spans="1:23">
      <c r="A12062" t="s">
        <v>4</v>
      </c>
      <c r="B12062" s="4" t="s">
        <v>5</v>
      </c>
      <c r="C12062" s="4" t="s">
        <v>7</v>
      </c>
      <c r="D12062" s="4" t="s">
        <v>11</v>
      </c>
    </row>
    <row r="12063" spans="1:23">
      <c r="A12063" t="n">
        <v>112645</v>
      </c>
      <c r="B12063" s="22" t="n">
        <v>22</v>
      </c>
      <c r="C12063" s="7" t="n">
        <v>0</v>
      </c>
      <c r="D12063" s="7" t="n">
        <v>32875</v>
      </c>
    </row>
    <row r="12064" spans="1:23">
      <c r="A12064" t="s">
        <v>4</v>
      </c>
      <c r="B12064" s="4" t="s">
        <v>5</v>
      </c>
      <c r="C12064" s="4" t="s">
        <v>7</v>
      </c>
      <c r="D12064" s="4" t="s">
        <v>11</v>
      </c>
    </row>
    <row r="12065" spans="1:31">
      <c r="A12065" t="n">
        <v>112649</v>
      </c>
      <c r="B12065" s="23" t="n">
        <v>58</v>
      </c>
      <c r="C12065" s="7" t="n">
        <v>5</v>
      </c>
      <c r="D12065" s="7" t="n">
        <v>300</v>
      </c>
    </row>
    <row r="12066" spans="1:31">
      <c r="A12066" t="s">
        <v>4</v>
      </c>
      <c r="B12066" s="4" t="s">
        <v>5</v>
      </c>
      <c r="C12066" s="4" t="s">
        <v>13</v>
      </c>
      <c r="D12066" s="4" t="s">
        <v>11</v>
      </c>
    </row>
    <row r="12067" spans="1:31">
      <c r="A12067" t="n">
        <v>112653</v>
      </c>
      <c r="B12067" s="46" t="n">
        <v>103</v>
      </c>
      <c r="C12067" s="7" t="n">
        <v>0</v>
      </c>
      <c r="D12067" s="7" t="n">
        <v>300</v>
      </c>
    </row>
    <row r="12068" spans="1:31">
      <c r="A12068" t="s">
        <v>4</v>
      </c>
      <c r="B12068" s="4" t="s">
        <v>5</v>
      </c>
      <c r="C12068" s="4" t="s">
        <v>7</v>
      </c>
    </row>
    <row r="12069" spans="1:31">
      <c r="A12069" t="n">
        <v>112660</v>
      </c>
      <c r="B12069" s="47" t="n">
        <v>64</v>
      </c>
      <c r="C12069" s="7" t="n">
        <v>7</v>
      </c>
    </row>
    <row r="12070" spans="1:31">
      <c r="A12070" t="s">
        <v>4</v>
      </c>
      <c r="B12070" s="4" t="s">
        <v>5</v>
      </c>
      <c r="C12070" s="4" t="s">
        <v>7</v>
      </c>
      <c r="D12070" s="4" t="s">
        <v>11</v>
      </c>
    </row>
    <row r="12071" spans="1:31">
      <c r="A12071" t="n">
        <v>112662</v>
      </c>
      <c r="B12071" s="48" t="n">
        <v>72</v>
      </c>
      <c r="C12071" s="7" t="n">
        <v>5</v>
      </c>
      <c r="D12071" s="7" t="n">
        <v>0</v>
      </c>
    </row>
    <row r="12072" spans="1:31">
      <c r="A12072" t="s">
        <v>4</v>
      </c>
      <c r="B12072" s="4" t="s">
        <v>5</v>
      </c>
      <c r="C12072" s="4" t="s">
        <v>7</v>
      </c>
      <c r="D12072" s="20" t="s">
        <v>35</v>
      </c>
      <c r="E12072" s="4" t="s">
        <v>5</v>
      </c>
      <c r="F12072" s="4" t="s">
        <v>7</v>
      </c>
      <c r="G12072" s="4" t="s">
        <v>11</v>
      </c>
      <c r="H12072" s="20" t="s">
        <v>36</v>
      </c>
      <c r="I12072" s="4" t="s">
        <v>7</v>
      </c>
      <c r="J12072" s="4" t="s">
        <v>15</v>
      </c>
      <c r="K12072" s="4" t="s">
        <v>7</v>
      </c>
      <c r="L12072" s="4" t="s">
        <v>7</v>
      </c>
      <c r="M12072" s="4" t="s">
        <v>12</v>
      </c>
    </row>
    <row r="12073" spans="1:31">
      <c r="A12073" t="n">
        <v>112666</v>
      </c>
      <c r="B12073" s="10" t="n">
        <v>5</v>
      </c>
      <c r="C12073" s="7" t="n">
        <v>28</v>
      </c>
      <c r="D12073" s="20" t="s">
        <v>3</v>
      </c>
      <c r="E12073" s="8" t="n">
        <v>162</v>
      </c>
      <c r="F12073" s="7" t="n">
        <v>4</v>
      </c>
      <c r="G12073" s="7" t="n">
        <v>32875</v>
      </c>
      <c r="H12073" s="20" t="s">
        <v>3</v>
      </c>
      <c r="I12073" s="7" t="n">
        <v>0</v>
      </c>
      <c r="J12073" s="7" t="n">
        <v>1</v>
      </c>
      <c r="K12073" s="7" t="n">
        <v>2</v>
      </c>
      <c r="L12073" s="7" t="n">
        <v>1</v>
      </c>
      <c r="M12073" s="11" t="n">
        <f t="normal" ca="1">A12079</f>
        <v>0</v>
      </c>
    </row>
    <row r="12074" spans="1:31">
      <c r="A12074" t="s">
        <v>4</v>
      </c>
      <c r="B12074" s="4" t="s">
        <v>5</v>
      </c>
      <c r="C12074" s="4" t="s">
        <v>7</v>
      </c>
      <c r="D12074" s="4" t="s">
        <v>8</v>
      </c>
    </row>
    <row r="12075" spans="1:31">
      <c r="A12075" t="n">
        <v>112683</v>
      </c>
      <c r="B12075" s="6" t="n">
        <v>2</v>
      </c>
      <c r="C12075" s="7" t="n">
        <v>10</v>
      </c>
      <c r="D12075" s="7" t="s">
        <v>107</v>
      </c>
    </row>
    <row r="12076" spans="1:31">
      <c r="A12076" t="s">
        <v>4</v>
      </c>
      <c r="B12076" s="4" t="s">
        <v>5</v>
      </c>
      <c r="C12076" s="4" t="s">
        <v>11</v>
      </c>
    </row>
    <row r="12077" spans="1:31">
      <c r="A12077" t="n">
        <v>112700</v>
      </c>
      <c r="B12077" s="29" t="n">
        <v>16</v>
      </c>
      <c r="C12077" s="7" t="n">
        <v>0</v>
      </c>
    </row>
    <row r="12078" spans="1:31">
      <c r="A12078" t="s">
        <v>4</v>
      </c>
      <c r="B12078" s="4" t="s">
        <v>5</v>
      </c>
      <c r="C12078" s="4" t="s">
        <v>7</v>
      </c>
      <c r="D12078" s="4" t="s">
        <v>11</v>
      </c>
      <c r="E12078" s="4" t="s">
        <v>11</v>
      </c>
      <c r="F12078" s="4" t="s">
        <v>11</v>
      </c>
      <c r="G12078" s="4" t="s">
        <v>11</v>
      </c>
      <c r="H12078" s="4" t="s">
        <v>11</v>
      </c>
      <c r="I12078" s="4" t="s">
        <v>11</v>
      </c>
      <c r="J12078" s="4" t="s">
        <v>11</v>
      </c>
      <c r="K12078" s="4" t="s">
        <v>11</v>
      </c>
      <c r="L12078" s="4" t="s">
        <v>11</v>
      </c>
      <c r="M12078" s="4" t="s">
        <v>11</v>
      </c>
      <c r="N12078" s="4" t="s">
        <v>15</v>
      </c>
      <c r="O12078" s="4" t="s">
        <v>15</v>
      </c>
      <c r="P12078" s="4" t="s">
        <v>15</v>
      </c>
      <c r="Q12078" s="4" t="s">
        <v>15</v>
      </c>
      <c r="R12078" s="4" t="s">
        <v>7</v>
      </c>
      <c r="S12078" s="4" t="s">
        <v>8</v>
      </c>
    </row>
    <row r="12079" spans="1:31">
      <c r="A12079" t="n">
        <v>112703</v>
      </c>
      <c r="B12079" s="24" t="n">
        <v>75</v>
      </c>
      <c r="C12079" s="7" t="n">
        <v>0</v>
      </c>
      <c r="D12079" s="7" t="n">
        <v>484</v>
      </c>
      <c r="E12079" s="7" t="n">
        <v>328</v>
      </c>
      <c r="F12079" s="7" t="n">
        <v>996</v>
      </c>
      <c r="G12079" s="7" t="n">
        <v>392</v>
      </c>
      <c r="H12079" s="7" t="n">
        <v>0</v>
      </c>
      <c r="I12079" s="7" t="n">
        <v>0</v>
      </c>
      <c r="J12079" s="7" t="n">
        <v>0</v>
      </c>
      <c r="K12079" s="7" t="n">
        <v>448</v>
      </c>
      <c r="L12079" s="7" t="n">
        <v>512</v>
      </c>
      <c r="M12079" s="7" t="n">
        <v>512</v>
      </c>
      <c r="N12079" s="7" t="n">
        <v>1065353216</v>
      </c>
      <c r="O12079" s="7" t="n">
        <v>1065353216</v>
      </c>
      <c r="P12079" s="7" t="n">
        <v>1065353216</v>
      </c>
      <c r="Q12079" s="7" t="n">
        <v>0</v>
      </c>
      <c r="R12079" s="7" t="n">
        <v>0</v>
      </c>
      <c r="S12079" s="7" t="s">
        <v>271</v>
      </c>
    </row>
    <row r="12080" spans="1:31">
      <c r="A12080" t="s">
        <v>4</v>
      </c>
      <c r="B12080" s="4" t="s">
        <v>5</v>
      </c>
      <c r="C12080" s="4" t="s">
        <v>7</v>
      </c>
      <c r="D12080" s="4" t="s">
        <v>11</v>
      </c>
      <c r="E12080" s="4" t="s">
        <v>11</v>
      </c>
      <c r="F12080" s="4" t="s">
        <v>11</v>
      </c>
      <c r="G12080" s="4" t="s">
        <v>11</v>
      </c>
      <c r="H12080" s="4" t="s">
        <v>11</v>
      </c>
      <c r="I12080" s="4" t="s">
        <v>11</v>
      </c>
      <c r="J12080" s="4" t="s">
        <v>11</v>
      </c>
      <c r="K12080" s="4" t="s">
        <v>11</v>
      </c>
      <c r="L12080" s="4" t="s">
        <v>11</v>
      </c>
      <c r="M12080" s="4" t="s">
        <v>11</v>
      </c>
      <c r="N12080" s="4" t="s">
        <v>15</v>
      </c>
      <c r="O12080" s="4" t="s">
        <v>15</v>
      </c>
      <c r="P12080" s="4" t="s">
        <v>15</v>
      </c>
      <c r="Q12080" s="4" t="s">
        <v>15</v>
      </c>
      <c r="R12080" s="4" t="s">
        <v>7</v>
      </c>
      <c r="S12080" s="4" t="s">
        <v>8</v>
      </c>
    </row>
    <row r="12081" spans="1:19">
      <c r="A12081" t="n">
        <v>112752</v>
      </c>
      <c r="B12081" s="24" t="n">
        <v>75</v>
      </c>
      <c r="C12081" s="7" t="n">
        <v>1</v>
      </c>
      <c r="D12081" s="7" t="n">
        <v>0</v>
      </c>
      <c r="E12081" s="7" t="n">
        <v>0</v>
      </c>
      <c r="F12081" s="7" t="n">
        <v>1024</v>
      </c>
      <c r="G12081" s="7" t="n">
        <v>720</v>
      </c>
      <c r="H12081" s="7" t="n">
        <v>0</v>
      </c>
      <c r="I12081" s="7" t="n">
        <v>0</v>
      </c>
      <c r="J12081" s="7" t="n">
        <v>0</v>
      </c>
      <c r="K12081" s="7" t="n">
        <v>0</v>
      </c>
      <c r="L12081" s="7" t="n">
        <v>1024</v>
      </c>
      <c r="M12081" s="7" t="n">
        <v>720</v>
      </c>
      <c r="N12081" s="7" t="n">
        <v>1065353216</v>
      </c>
      <c r="O12081" s="7" t="n">
        <v>1065353216</v>
      </c>
      <c r="P12081" s="7" t="n">
        <v>1065353216</v>
      </c>
      <c r="Q12081" s="7" t="n">
        <v>0</v>
      </c>
      <c r="R12081" s="7" t="n">
        <v>0</v>
      </c>
      <c r="S12081" s="7" t="s">
        <v>984</v>
      </c>
    </row>
    <row r="12082" spans="1:19">
      <c r="A12082" t="s">
        <v>4</v>
      </c>
      <c r="B12082" s="4" t="s">
        <v>5</v>
      </c>
      <c r="C12082" s="4" t="s">
        <v>7</v>
      </c>
      <c r="D12082" s="4" t="s">
        <v>7</v>
      </c>
      <c r="E12082" s="4" t="s">
        <v>7</v>
      </c>
      <c r="F12082" s="4" t="s">
        <v>13</v>
      </c>
      <c r="G12082" s="4" t="s">
        <v>13</v>
      </c>
      <c r="H12082" s="4" t="s">
        <v>13</v>
      </c>
      <c r="I12082" s="4" t="s">
        <v>13</v>
      </c>
      <c r="J12082" s="4" t="s">
        <v>13</v>
      </c>
    </row>
    <row r="12083" spans="1:19">
      <c r="A12083" t="n">
        <v>112800</v>
      </c>
      <c r="B12083" s="25" t="n">
        <v>76</v>
      </c>
      <c r="C12083" s="7" t="n">
        <v>1</v>
      </c>
      <c r="D12083" s="7" t="n">
        <v>9</v>
      </c>
      <c r="E12083" s="7" t="n">
        <v>2</v>
      </c>
      <c r="F12083" s="7" t="n">
        <v>0</v>
      </c>
      <c r="G12083" s="7" t="n">
        <v>0</v>
      </c>
      <c r="H12083" s="7" t="n">
        <v>0</v>
      </c>
      <c r="I12083" s="7" t="n">
        <v>0</v>
      </c>
      <c r="J12083" s="7" t="n">
        <v>0</v>
      </c>
    </row>
    <row r="12084" spans="1:19">
      <c r="A12084" t="s">
        <v>4</v>
      </c>
      <c r="B12084" s="4" t="s">
        <v>5</v>
      </c>
      <c r="C12084" s="4" t="s">
        <v>11</v>
      </c>
      <c r="D12084" s="4" t="s">
        <v>8</v>
      </c>
      <c r="E12084" s="4" t="s">
        <v>8</v>
      </c>
      <c r="F12084" s="4" t="s">
        <v>8</v>
      </c>
      <c r="G12084" s="4" t="s">
        <v>7</v>
      </c>
      <c r="H12084" s="4" t="s">
        <v>15</v>
      </c>
      <c r="I12084" s="4" t="s">
        <v>13</v>
      </c>
      <c r="J12084" s="4" t="s">
        <v>13</v>
      </c>
      <c r="K12084" s="4" t="s">
        <v>13</v>
      </c>
      <c r="L12084" s="4" t="s">
        <v>13</v>
      </c>
      <c r="M12084" s="4" t="s">
        <v>13</v>
      </c>
      <c r="N12084" s="4" t="s">
        <v>13</v>
      </c>
      <c r="O12084" s="4" t="s">
        <v>13</v>
      </c>
      <c r="P12084" s="4" t="s">
        <v>8</v>
      </c>
      <c r="Q12084" s="4" t="s">
        <v>8</v>
      </c>
      <c r="R12084" s="4" t="s">
        <v>15</v>
      </c>
      <c r="S12084" s="4" t="s">
        <v>7</v>
      </c>
      <c r="T12084" s="4" t="s">
        <v>15</v>
      </c>
      <c r="U12084" s="4" t="s">
        <v>15</v>
      </c>
      <c r="V12084" s="4" t="s">
        <v>11</v>
      </c>
    </row>
    <row r="12085" spans="1:19">
      <c r="A12085" t="n">
        <v>112824</v>
      </c>
      <c r="B12085" s="62" t="n">
        <v>19</v>
      </c>
      <c r="C12085" s="7" t="n">
        <v>4</v>
      </c>
      <c r="D12085" s="7" t="s">
        <v>985</v>
      </c>
      <c r="E12085" s="7" t="s">
        <v>986</v>
      </c>
      <c r="F12085" s="7" t="s">
        <v>16</v>
      </c>
      <c r="G12085" s="7" t="n">
        <v>0</v>
      </c>
      <c r="H12085" s="7" t="n">
        <v>1</v>
      </c>
      <c r="I12085" s="7" t="n">
        <v>0</v>
      </c>
      <c r="J12085" s="7" t="n">
        <v>0</v>
      </c>
      <c r="K12085" s="7" t="n">
        <v>0</v>
      </c>
      <c r="L12085" s="7" t="n">
        <v>0</v>
      </c>
      <c r="M12085" s="7" t="n">
        <v>1</v>
      </c>
      <c r="N12085" s="7" t="n">
        <v>1.60000002384186</v>
      </c>
      <c r="O12085" s="7" t="n">
        <v>0.0900000035762787</v>
      </c>
      <c r="P12085" s="7" t="s">
        <v>16</v>
      </c>
      <c r="Q12085" s="7" t="s">
        <v>16</v>
      </c>
      <c r="R12085" s="7" t="n">
        <v>-1</v>
      </c>
      <c r="S12085" s="7" t="n">
        <v>0</v>
      </c>
      <c r="T12085" s="7" t="n">
        <v>0</v>
      </c>
      <c r="U12085" s="7" t="n">
        <v>0</v>
      </c>
      <c r="V12085" s="7" t="n">
        <v>0</v>
      </c>
    </row>
    <row r="12086" spans="1:19">
      <c r="A12086" t="s">
        <v>4</v>
      </c>
      <c r="B12086" s="4" t="s">
        <v>5</v>
      </c>
      <c r="C12086" s="4" t="s">
        <v>11</v>
      </c>
      <c r="D12086" s="4" t="s">
        <v>7</v>
      </c>
      <c r="E12086" s="4" t="s">
        <v>7</v>
      </c>
      <c r="F12086" s="4" t="s">
        <v>8</v>
      </c>
    </row>
    <row r="12087" spans="1:19">
      <c r="A12087" t="n">
        <v>112899</v>
      </c>
      <c r="B12087" s="50" t="n">
        <v>20</v>
      </c>
      <c r="C12087" s="7" t="n">
        <v>0</v>
      </c>
      <c r="D12087" s="7" t="n">
        <v>3</v>
      </c>
      <c r="E12087" s="7" t="n">
        <v>10</v>
      </c>
      <c r="F12087" s="7" t="s">
        <v>108</v>
      </c>
    </row>
    <row r="12088" spans="1:19">
      <c r="A12088" t="s">
        <v>4</v>
      </c>
      <c r="B12088" s="4" t="s">
        <v>5</v>
      </c>
      <c r="C12088" s="4" t="s">
        <v>11</v>
      </c>
    </row>
    <row r="12089" spans="1:19">
      <c r="A12089" t="n">
        <v>112917</v>
      </c>
      <c r="B12089" s="29" t="n">
        <v>16</v>
      </c>
      <c r="C12089" s="7" t="n">
        <v>0</v>
      </c>
    </row>
    <row r="12090" spans="1:19">
      <c r="A12090" t="s">
        <v>4</v>
      </c>
      <c r="B12090" s="4" t="s">
        <v>5</v>
      </c>
      <c r="C12090" s="4" t="s">
        <v>11</v>
      </c>
      <c r="D12090" s="4" t="s">
        <v>7</v>
      </c>
      <c r="E12090" s="4" t="s">
        <v>7</v>
      </c>
      <c r="F12090" s="4" t="s">
        <v>8</v>
      </c>
    </row>
    <row r="12091" spans="1:19">
      <c r="A12091" t="n">
        <v>112920</v>
      </c>
      <c r="B12091" s="50" t="n">
        <v>20</v>
      </c>
      <c r="C12091" s="7" t="n">
        <v>4</v>
      </c>
      <c r="D12091" s="7" t="n">
        <v>3</v>
      </c>
      <c r="E12091" s="7" t="n">
        <v>10</v>
      </c>
      <c r="F12091" s="7" t="s">
        <v>108</v>
      </c>
    </row>
    <row r="12092" spans="1:19">
      <c r="A12092" t="s">
        <v>4</v>
      </c>
      <c r="B12092" s="4" t="s">
        <v>5</v>
      </c>
      <c r="C12092" s="4" t="s">
        <v>11</v>
      </c>
    </row>
    <row r="12093" spans="1:19">
      <c r="A12093" t="n">
        <v>112938</v>
      </c>
      <c r="B12093" s="29" t="n">
        <v>16</v>
      </c>
      <c r="C12093" s="7" t="n">
        <v>0</v>
      </c>
    </row>
    <row r="12094" spans="1:19">
      <c r="A12094" t="s">
        <v>4</v>
      </c>
      <c r="B12094" s="4" t="s">
        <v>5</v>
      </c>
      <c r="C12094" s="4" t="s">
        <v>11</v>
      </c>
      <c r="D12094" s="4" t="s">
        <v>15</v>
      </c>
    </row>
    <row r="12095" spans="1:19">
      <c r="A12095" t="n">
        <v>112941</v>
      </c>
      <c r="B12095" s="39" t="n">
        <v>43</v>
      </c>
      <c r="C12095" s="7" t="n">
        <v>4</v>
      </c>
      <c r="D12095" s="7" t="n">
        <v>1</v>
      </c>
    </row>
    <row r="12096" spans="1:19">
      <c r="A12096" t="s">
        <v>4</v>
      </c>
      <c r="B12096" s="4" t="s">
        <v>5</v>
      </c>
      <c r="C12096" s="4" t="s">
        <v>7</v>
      </c>
    </row>
    <row r="12097" spans="1:22">
      <c r="A12097" t="n">
        <v>112948</v>
      </c>
      <c r="B12097" s="49" t="n">
        <v>116</v>
      </c>
      <c r="C12097" s="7" t="n">
        <v>0</v>
      </c>
    </row>
    <row r="12098" spans="1:22">
      <c r="A12098" t="s">
        <v>4</v>
      </c>
      <c r="B12098" s="4" t="s">
        <v>5</v>
      </c>
      <c r="C12098" s="4" t="s">
        <v>7</v>
      </c>
      <c r="D12098" s="4" t="s">
        <v>11</v>
      </c>
    </row>
    <row r="12099" spans="1:22">
      <c r="A12099" t="n">
        <v>112950</v>
      </c>
      <c r="B12099" s="49" t="n">
        <v>116</v>
      </c>
      <c r="C12099" s="7" t="n">
        <v>2</v>
      </c>
      <c r="D12099" s="7" t="n">
        <v>1</v>
      </c>
    </row>
    <row r="12100" spans="1:22">
      <c r="A12100" t="s">
        <v>4</v>
      </c>
      <c r="B12100" s="4" t="s">
        <v>5</v>
      </c>
      <c r="C12100" s="4" t="s">
        <v>7</v>
      </c>
      <c r="D12100" s="4" t="s">
        <v>15</v>
      </c>
    </row>
    <row r="12101" spans="1:22">
      <c r="A12101" t="n">
        <v>112954</v>
      </c>
      <c r="B12101" s="49" t="n">
        <v>116</v>
      </c>
      <c r="C12101" s="7" t="n">
        <v>5</v>
      </c>
      <c r="D12101" s="7" t="n">
        <v>1106247680</v>
      </c>
    </row>
    <row r="12102" spans="1:22">
      <c r="A12102" t="s">
        <v>4</v>
      </c>
      <c r="B12102" s="4" t="s">
        <v>5</v>
      </c>
      <c r="C12102" s="4" t="s">
        <v>7</v>
      </c>
      <c r="D12102" s="4" t="s">
        <v>11</v>
      </c>
    </row>
    <row r="12103" spans="1:22">
      <c r="A12103" t="n">
        <v>112960</v>
      </c>
      <c r="B12103" s="49" t="n">
        <v>116</v>
      </c>
      <c r="C12103" s="7" t="n">
        <v>6</v>
      </c>
      <c r="D12103" s="7" t="n">
        <v>1</v>
      </c>
    </row>
    <row r="12104" spans="1:22">
      <c r="A12104" t="s">
        <v>4</v>
      </c>
      <c r="B12104" s="4" t="s">
        <v>5</v>
      </c>
      <c r="C12104" s="4" t="s">
        <v>7</v>
      </c>
      <c r="D12104" s="4" t="s">
        <v>11</v>
      </c>
      <c r="E12104" s="4" t="s">
        <v>11</v>
      </c>
      <c r="F12104" s="4" t="s">
        <v>15</v>
      </c>
    </row>
    <row r="12105" spans="1:22">
      <c r="A12105" t="n">
        <v>112964</v>
      </c>
      <c r="B12105" s="76" t="n">
        <v>84</v>
      </c>
      <c r="C12105" s="7" t="n">
        <v>0</v>
      </c>
      <c r="D12105" s="7" t="n">
        <v>0</v>
      </c>
      <c r="E12105" s="7" t="n">
        <v>0</v>
      </c>
      <c r="F12105" s="7" t="n">
        <v>1045220557</v>
      </c>
    </row>
    <row r="12106" spans="1:22">
      <c r="A12106" t="s">
        <v>4</v>
      </c>
      <c r="B12106" s="4" t="s">
        <v>5</v>
      </c>
      <c r="C12106" s="4" t="s">
        <v>11</v>
      </c>
      <c r="D12106" s="4" t="s">
        <v>13</v>
      </c>
      <c r="E12106" s="4" t="s">
        <v>13</v>
      </c>
      <c r="F12106" s="4" t="s">
        <v>13</v>
      </c>
      <c r="G12106" s="4" t="s">
        <v>13</v>
      </c>
    </row>
    <row r="12107" spans="1:22">
      <c r="A12107" t="n">
        <v>112974</v>
      </c>
      <c r="B12107" s="36" t="n">
        <v>46</v>
      </c>
      <c r="C12107" s="7" t="n">
        <v>4</v>
      </c>
      <c r="D12107" s="7" t="n">
        <v>7.6100001335144</v>
      </c>
      <c r="E12107" s="7" t="n">
        <v>0</v>
      </c>
      <c r="F12107" s="7" t="n">
        <v>46.0200004577637</v>
      </c>
      <c r="G12107" s="7" t="n">
        <v>272.200012207031</v>
      </c>
    </row>
    <row r="12108" spans="1:22">
      <c r="A12108" t="s">
        <v>4</v>
      </c>
      <c r="B12108" s="4" t="s">
        <v>5</v>
      </c>
      <c r="C12108" s="4" t="s">
        <v>11</v>
      </c>
      <c r="D12108" s="4" t="s">
        <v>13</v>
      </c>
      <c r="E12108" s="4" t="s">
        <v>13</v>
      </c>
      <c r="F12108" s="4" t="s">
        <v>13</v>
      </c>
      <c r="G12108" s="4" t="s">
        <v>13</v>
      </c>
    </row>
    <row r="12109" spans="1:22">
      <c r="A12109" t="n">
        <v>112993</v>
      </c>
      <c r="B12109" s="36" t="n">
        <v>46</v>
      </c>
      <c r="C12109" s="7" t="n">
        <v>0</v>
      </c>
      <c r="D12109" s="7" t="n">
        <v>4.78000020980835</v>
      </c>
      <c r="E12109" s="7" t="n">
        <v>0</v>
      </c>
      <c r="F12109" s="7" t="n">
        <v>45.3300018310547</v>
      </c>
      <c r="G12109" s="7" t="n">
        <v>-102.300003051758</v>
      </c>
    </row>
    <row r="12110" spans="1:22">
      <c r="A12110" t="s">
        <v>4</v>
      </c>
      <c r="B12110" s="4" t="s">
        <v>5</v>
      </c>
      <c r="C12110" s="4" t="s">
        <v>11</v>
      </c>
      <c r="D12110" s="4" t="s">
        <v>7</v>
      </c>
      <c r="E12110" s="4" t="s">
        <v>8</v>
      </c>
      <c r="F12110" s="4" t="s">
        <v>13</v>
      </c>
      <c r="G12110" s="4" t="s">
        <v>13</v>
      </c>
      <c r="H12110" s="4" t="s">
        <v>13</v>
      </c>
    </row>
    <row r="12111" spans="1:22">
      <c r="A12111" t="n">
        <v>113012</v>
      </c>
      <c r="B12111" s="42" t="n">
        <v>48</v>
      </c>
      <c r="C12111" s="7" t="n">
        <v>0</v>
      </c>
      <c r="D12111" s="7" t="n">
        <v>0</v>
      </c>
      <c r="E12111" s="7" t="s">
        <v>275</v>
      </c>
      <c r="F12111" s="7" t="n">
        <v>0</v>
      </c>
      <c r="G12111" s="7" t="n">
        <v>1</v>
      </c>
      <c r="H12111" s="7" t="n">
        <v>0</v>
      </c>
    </row>
    <row r="12112" spans="1:22">
      <c r="A12112" t="s">
        <v>4</v>
      </c>
      <c r="B12112" s="4" t="s">
        <v>5</v>
      </c>
      <c r="C12112" s="4" t="s">
        <v>7</v>
      </c>
      <c r="D12112" s="4" t="s">
        <v>11</v>
      </c>
      <c r="E12112" s="4" t="s">
        <v>8</v>
      </c>
      <c r="F12112" s="4" t="s">
        <v>8</v>
      </c>
      <c r="G12112" s="4" t="s">
        <v>8</v>
      </c>
      <c r="H12112" s="4" t="s">
        <v>8</v>
      </c>
    </row>
    <row r="12113" spans="1:8">
      <c r="A12113" t="n">
        <v>113037</v>
      </c>
      <c r="B12113" s="38" t="n">
        <v>51</v>
      </c>
      <c r="C12113" s="7" t="n">
        <v>3</v>
      </c>
      <c r="D12113" s="7" t="n">
        <v>0</v>
      </c>
      <c r="E12113" s="7" t="s">
        <v>101</v>
      </c>
      <c r="F12113" s="7" t="s">
        <v>99</v>
      </c>
      <c r="G12113" s="7" t="s">
        <v>78</v>
      </c>
      <c r="H12113" s="7" t="s">
        <v>79</v>
      </c>
    </row>
    <row r="12114" spans="1:8">
      <c r="A12114" t="s">
        <v>4</v>
      </c>
      <c r="B12114" s="4" t="s">
        <v>5</v>
      </c>
      <c r="C12114" s="4" t="s">
        <v>7</v>
      </c>
      <c r="D12114" s="4" t="s">
        <v>11</v>
      </c>
      <c r="E12114" s="4" t="s">
        <v>8</v>
      </c>
      <c r="F12114" s="4" t="s">
        <v>8</v>
      </c>
      <c r="G12114" s="4" t="s">
        <v>8</v>
      </c>
      <c r="H12114" s="4" t="s">
        <v>8</v>
      </c>
    </row>
    <row r="12115" spans="1:8">
      <c r="A12115" t="n">
        <v>113058</v>
      </c>
      <c r="B12115" s="38" t="n">
        <v>51</v>
      </c>
      <c r="C12115" s="7" t="n">
        <v>3</v>
      </c>
      <c r="D12115" s="7" t="n">
        <v>4</v>
      </c>
      <c r="E12115" s="7" t="s">
        <v>101</v>
      </c>
      <c r="F12115" s="7" t="s">
        <v>99</v>
      </c>
      <c r="G12115" s="7" t="s">
        <v>78</v>
      </c>
      <c r="H12115" s="7" t="s">
        <v>79</v>
      </c>
    </row>
    <row r="12116" spans="1:8">
      <c r="A12116" t="s">
        <v>4</v>
      </c>
      <c r="B12116" s="4" t="s">
        <v>5</v>
      </c>
      <c r="C12116" s="4" t="s">
        <v>7</v>
      </c>
      <c r="D12116" s="4" t="s">
        <v>11</v>
      </c>
      <c r="E12116" s="4" t="s">
        <v>7</v>
      </c>
      <c r="F12116" s="4" t="s">
        <v>8</v>
      </c>
      <c r="G12116" s="4" t="s">
        <v>8</v>
      </c>
      <c r="H12116" s="4" t="s">
        <v>8</v>
      </c>
      <c r="I12116" s="4" t="s">
        <v>8</v>
      </c>
      <c r="J12116" s="4" t="s">
        <v>8</v>
      </c>
      <c r="K12116" s="4" t="s">
        <v>8</v>
      </c>
      <c r="L12116" s="4" t="s">
        <v>8</v>
      </c>
      <c r="M12116" s="4" t="s">
        <v>8</v>
      </c>
      <c r="N12116" s="4" t="s">
        <v>8</v>
      </c>
      <c r="O12116" s="4" t="s">
        <v>8</v>
      </c>
      <c r="P12116" s="4" t="s">
        <v>8</v>
      </c>
      <c r="Q12116" s="4" t="s">
        <v>8</v>
      </c>
      <c r="R12116" s="4" t="s">
        <v>8</v>
      </c>
      <c r="S12116" s="4" t="s">
        <v>8</v>
      </c>
      <c r="T12116" s="4" t="s">
        <v>8</v>
      </c>
      <c r="U12116" s="4" t="s">
        <v>8</v>
      </c>
    </row>
    <row r="12117" spans="1:8">
      <c r="A12117" t="n">
        <v>113079</v>
      </c>
      <c r="B12117" s="40" t="n">
        <v>36</v>
      </c>
      <c r="C12117" s="7" t="n">
        <v>8</v>
      </c>
      <c r="D12117" s="7" t="n">
        <v>0</v>
      </c>
      <c r="E12117" s="7" t="n">
        <v>0</v>
      </c>
      <c r="F12117" s="7" t="s">
        <v>987</v>
      </c>
      <c r="G12117" s="7" t="s">
        <v>16</v>
      </c>
      <c r="H12117" s="7" t="s">
        <v>16</v>
      </c>
      <c r="I12117" s="7" t="s">
        <v>16</v>
      </c>
      <c r="J12117" s="7" t="s">
        <v>16</v>
      </c>
      <c r="K12117" s="7" t="s">
        <v>16</v>
      </c>
      <c r="L12117" s="7" t="s">
        <v>16</v>
      </c>
      <c r="M12117" s="7" t="s">
        <v>16</v>
      </c>
      <c r="N12117" s="7" t="s">
        <v>16</v>
      </c>
      <c r="O12117" s="7" t="s">
        <v>16</v>
      </c>
      <c r="P12117" s="7" t="s">
        <v>16</v>
      </c>
      <c r="Q12117" s="7" t="s">
        <v>16</v>
      </c>
      <c r="R12117" s="7" t="s">
        <v>16</v>
      </c>
      <c r="S12117" s="7" t="s">
        <v>16</v>
      </c>
      <c r="T12117" s="7" t="s">
        <v>16</v>
      </c>
      <c r="U12117" s="7" t="s">
        <v>16</v>
      </c>
    </row>
    <row r="12118" spans="1:8">
      <c r="A12118" t="s">
        <v>4</v>
      </c>
      <c r="B12118" s="4" t="s">
        <v>5</v>
      </c>
      <c r="C12118" s="4" t="s">
        <v>7</v>
      </c>
      <c r="D12118" s="4" t="s">
        <v>11</v>
      </c>
      <c r="E12118" s="4" t="s">
        <v>7</v>
      </c>
      <c r="F12118" s="4" t="s">
        <v>8</v>
      </c>
      <c r="G12118" s="4" t="s">
        <v>8</v>
      </c>
      <c r="H12118" s="4" t="s">
        <v>8</v>
      </c>
      <c r="I12118" s="4" t="s">
        <v>8</v>
      </c>
      <c r="J12118" s="4" t="s">
        <v>8</v>
      </c>
      <c r="K12118" s="4" t="s">
        <v>8</v>
      </c>
      <c r="L12118" s="4" t="s">
        <v>8</v>
      </c>
      <c r="M12118" s="4" t="s">
        <v>8</v>
      </c>
      <c r="N12118" s="4" t="s">
        <v>8</v>
      </c>
      <c r="O12118" s="4" t="s">
        <v>8</v>
      </c>
      <c r="P12118" s="4" t="s">
        <v>8</v>
      </c>
      <c r="Q12118" s="4" t="s">
        <v>8</v>
      </c>
      <c r="R12118" s="4" t="s">
        <v>8</v>
      </c>
      <c r="S12118" s="4" t="s">
        <v>8</v>
      </c>
      <c r="T12118" s="4" t="s">
        <v>8</v>
      </c>
      <c r="U12118" s="4" t="s">
        <v>8</v>
      </c>
    </row>
    <row r="12119" spans="1:8">
      <c r="A12119" t="n">
        <v>113109</v>
      </c>
      <c r="B12119" s="40" t="n">
        <v>36</v>
      </c>
      <c r="C12119" s="7" t="n">
        <v>8</v>
      </c>
      <c r="D12119" s="7" t="n">
        <v>4</v>
      </c>
      <c r="E12119" s="7" t="n">
        <v>0</v>
      </c>
      <c r="F12119" s="7" t="s">
        <v>987</v>
      </c>
      <c r="G12119" s="7" t="s">
        <v>16</v>
      </c>
      <c r="H12119" s="7" t="s">
        <v>16</v>
      </c>
      <c r="I12119" s="7" t="s">
        <v>16</v>
      </c>
      <c r="J12119" s="7" t="s">
        <v>16</v>
      </c>
      <c r="K12119" s="7" t="s">
        <v>16</v>
      </c>
      <c r="L12119" s="7" t="s">
        <v>16</v>
      </c>
      <c r="M12119" s="7" t="s">
        <v>16</v>
      </c>
      <c r="N12119" s="7" t="s">
        <v>16</v>
      </c>
      <c r="O12119" s="7" t="s">
        <v>16</v>
      </c>
      <c r="P12119" s="7" t="s">
        <v>16</v>
      </c>
      <c r="Q12119" s="7" t="s">
        <v>16</v>
      </c>
      <c r="R12119" s="7" t="s">
        <v>16</v>
      </c>
      <c r="S12119" s="7" t="s">
        <v>16</v>
      </c>
      <c r="T12119" s="7" t="s">
        <v>16</v>
      </c>
      <c r="U12119" s="7" t="s">
        <v>16</v>
      </c>
    </row>
    <row r="12120" spans="1:8">
      <c r="A12120" t="s">
        <v>4</v>
      </c>
      <c r="B12120" s="4" t="s">
        <v>5</v>
      </c>
      <c r="C12120" s="4" t="s">
        <v>7</v>
      </c>
      <c r="D12120" s="4" t="s">
        <v>7</v>
      </c>
      <c r="E12120" s="4" t="s">
        <v>13</v>
      </c>
      <c r="F12120" s="4" t="s">
        <v>13</v>
      </c>
      <c r="G12120" s="4" t="s">
        <v>13</v>
      </c>
      <c r="H12120" s="4" t="s">
        <v>11</v>
      </c>
    </row>
    <row r="12121" spans="1:8">
      <c r="A12121" t="n">
        <v>113139</v>
      </c>
      <c r="B12121" s="51" t="n">
        <v>45</v>
      </c>
      <c r="C12121" s="7" t="n">
        <v>2</v>
      </c>
      <c r="D12121" s="7" t="n">
        <v>3</v>
      </c>
      <c r="E12121" s="7" t="n">
        <v>-3</v>
      </c>
      <c r="F12121" s="7" t="n">
        <v>2.89000010490417</v>
      </c>
      <c r="G12121" s="7" t="n">
        <v>41.3699989318848</v>
      </c>
      <c r="H12121" s="7" t="n">
        <v>0</v>
      </c>
    </row>
    <row r="12122" spans="1:8">
      <c r="A12122" t="s">
        <v>4</v>
      </c>
      <c r="B12122" s="4" t="s">
        <v>5</v>
      </c>
      <c r="C12122" s="4" t="s">
        <v>7</v>
      </c>
      <c r="D12122" s="4" t="s">
        <v>7</v>
      </c>
      <c r="E12122" s="4" t="s">
        <v>13</v>
      </c>
      <c r="F12122" s="4" t="s">
        <v>13</v>
      </c>
      <c r="G12122" s="4" t="s">
        <v>13</v>
      </c>
      <c r="H12122" s="4" t="s">
        <v>11</v>
      </c>
      <c r="I12122" s="4" t="s">
        <v>7</v>
      </c>
    </row>
    <row r="12123" spans="1:8">
      <c r="A12123" t="n">
        <v>113156</v>
      </c>
      <c r="B12123" s="51" t="n">
        <v>45</v>
      </c>
      <c r="C12123" s="7" t="n">
        <v>4</v>
      </c>
      <c r="D12123" s="7" t="n">
        <v>3</v>
      </c>
      <c r="E12123" s="7" t="n">
        <v>0.649999976158142</v>
      </c>
      <c r="F12123" s="7" t="n">
        <v>105.529998779297</v>
      </c>
      <c r="G12123" s="7" t="n">
        <v>0</v>
      </c>
      <c r="H12123" s="7" t="n">
        <v>0</v>
      </c>
      <c r="I12123" s="7" t="n">
        <v>0</v>
      </c>
    </row>
    <row r="12124" spans="1:8">
      <c r="A12124" t="s">
        <v>4</v>
      </c>
      <c r="B12124" s="4" t="s">
        <v>5</v>
      </c>
      <c r="C12124" s="4" t="s">
        <v>7</v>
      </c>
      <c r="D12124" s="4" t="s">
        <v>7</v>
      </c>
      <c r="E12124" s="4" t="s">
        <v>13</v>
      </c>
      <c r="F12124" s="4" t="s">
        <v>11</v>
      </c>
    </row>
    <row r="12125" spans="1:8">
      <c r="A12125" t="n">
        <v>113174</v>
      </c>
      <c r="B12125" s="51" t="n">
        <v>45</v>
      </c>
      <c r="C12125" s="7" t="n">
        <v>5</v>
      </c>
      <c r="D12125" s="7" t="n">
        <v>3</v>
      </c>
      <c r="E12125" s="7" t="n">
        <v>2.40000009536743</v>
      </c>
      <c r="F12125" s="7" t="n">
        <v>0</v>
      </c>
    </row>
    <row r="12126" spans="1:8">
      <c r="A12126" t="s">
        <v>4</v>
      </c>
      <c r="B12126" s="4" t="s">
        <v>5</v>
      </c>
      <c r="C12126" s="4" t="s">
        <v>7</v>
      </c>
      <c r="D12126" s="4" t="s">
        <v>7</v>
      </c>
      <c r="E12126" s="4" t="s">
        <v>13</v>
      </c>
      <c r="F12126" s="4" t="s">
        <v>11</v>
      </c>
    </row>
    <row r="12127" spans="1:8">
      <c r="A12127" t="n">
        <v>113183</v>
      </c>
      <c r="B12127" s="51" t="n">
        <v>45</v>
      </c>
      <c r="C12127" s="7" t="n">
        <v>11</v>
      </c>
      <c r="D12127" s="7" t="n">
        <v>3</v>
      </c>
      <c r="E12127" s="7" t="n">
        <v>33.4000015258789</v>
      </c>
      <c r="F12127" s="7" t="n">
        <v>0</v>
      </c>
    </row>
    <row r="12128" spans="1:8">
      <c r="A12128" t="s">
        <v>4</v>
      </c>
      <c r="B12128" s="4" t="s">
        <v>5</v>
      </c>
      <c r="C12128" s="4" t="s">
        <v>11</v>
      </c>
      <c r="D12128" s="4" t="s">
        <v>13</v>
      </c>
      <c r="E12128" s="4" t="s">
        <v>13</v>
      </c>
      <c r="F12128" s="4" t="s">
        <v>13</v>
      </c>
      <c r="G12128" s="4" t="s">
        <v>11</v>
      </c>
      <c r="H12128" s="4" t="s">
        <v>11</v>
      </c>
    </row>
    <row r="12129" spans="1:21">
      <c r="A12129" t="n">
        <v>113192</v>
      </c>
      <c r="B12129" s="37" t="n">
        <v>60</v>
      </c>
      <c r="C12129" s="7" t="n">
        <v>0</v>
      </c>
      <c r="D12129" s="7" t="n">
        <v>0</v>
      </c>
      <c r="E12129" s="7" t="n">
        <v>20</v>
      </c>
      <c r="F12129" s="7" t="n">
        <v>0</v>
      </c>
      <c r="G12129" s="7" t="n">
        <v>0</v>
      </c>
      <c r="H12129" s="7" t="n">
        <v>0</v>
      </c>
    </row>
    <row r="12130" spans="1:21">
      <c r="A12130" t="s">
        <v>4</v>
      </c>
      <c r="B12130" s="4" t="s">
        <v>5</v>
      </c>
      <c r="C12130" s="4" t="s">
        <v>7</v>
      </c>
      <c r="D12130" s="4" t="s">
        <v>7</v>
      </c>
      <c r="E12130" s="4" t="s">
        <v>7</v>
      </c>
      <c r="F12130" s="4" t="s">
        <v>13</v>
      </c>
      <c r="G12130" s="4" t="s">
        <v>13</v>
      </c>
      <c r="H12130" s="4" t="s">
        <v>13</v>
      </c>
      <c r="I12130" s="4" t="s">
        <v>13</v>
      </c>
      <c r="J12130" s="4" t="s">
        <v>13</v>
      </c>
    </row>
    <row r="12131" spans="1:21">
      <c r="A12131" t="n">
        <v>113211</v>
      </c>
      <c r="B12131" s="25" t="n">
        <v>76</v>
      </c>
      <c r="C12131" s="7" t="n">
        <v>0</v>
      </c>
      <c r="D12131" s="7" t="n">
        <v>3</v>
      </c>
      <c r="E12131" s="7" t="n">
        <v>2</v>
      </c>
      <c r="F12131" s="7" t="n">
        <v>1</v>
      </c>
      <c r="G12131" s="7" t="n">
        <v>1</v>
      </c>
      <c r="H12131" s="7" t="n">
        <v>1</v>
      </c>
      <c r="I12131" s="7" t="n">
        <v>1</v>
      </c>
      <c r="J12131" s="7" t="n">
        <v>2000</v>
      </c>
    </row>
    <row r="12132" spans="1:21">
      <c r="A12132" t="s">
        <v>4</v>
      </c>
      <c r="B12132" s="4" t="s">
        <v>5</v>
      </c>
      <c r="C12132" s="4" t="s">
        <v>7</v>
      </c>
      <c r="D12132" s="4" t="s">
        <v>7</v>
      </c>
      <c r="E12132" s="4" t="s">
        <v>7</v>
      </c>
      <c r="F12132" s="4" t="s">
        <v>13</v>
      </c>
      <c r="G12132" s="4" t="s">
        <v>13</v>
      </c>
      <c r="H12132" s="4" t="s">
        <v>13</v>
      </c>
      <c r="I12132" s="4" t="s">
        <v>13</v>
      </c>
      <c r="J12132" s="4" t="s">
        <v>13</v>
      </c>
    </row>
    <row r="12133" spans="1:21">
      <c r="A12133" t="n">
        <v>113235</v>
      </c>
      <c r="B12133" s="25" t="n">
        <v>76</v>
      </c>
      <c r="C12133" s="7" t="n">
        <v>0</v>
      </c>
      <c r="D12133" s="7" t="n">
        <v>0</v>
      </c>
      <c r="E12133" s="7" t="n">
        <v>2</v>
      </c>
      <c r="F12133" s="7" t="n">
        <v>64</v>
      </c>
      <c r="G12133" s="7" t="n">
        <v>0</v>
      </c>
      <c r="H12133" s="7" t="n">
        <v>2000</v>
      </c>
      <c r="I12133" s="7" t="n">
        <v>0</v>
      </c>
      <c r="J12133" s="7" t="n">
        <v>0</v>
      </c>
    </row>
    <row r="12134" spans="1:21">
      <c r="A12134" t="s">
        <v>4</v>
      </c>
      <c r="B12134" s="4" t="s">
        <v>5</v>
      </c>
      <c r="C12134" s="4" t="s">
        <v>7</v>
      </c>
      <c r="D12134" s="4" t="s">
        <v>7</v>
      </c>
    </row>
    <row r="12135" spans="1:21">
      <c r="A12135" t="n">
        <v>113259</v>
      </c>
      <c r="B12135" s="26" t="n">
        <v>77</v>
      </c>
      <c r="C12135" s="7" t="n">
        <v>0</v>
      </c>
      <c r="D12135" s="7" t="n">
        <v>3</v>
      </c>
    </row>
    <row r="12136" spans="1:21">
      <c r="A12136" t="s">
        <v>4</v>
      </c>
      <c r="B12136" s="4" t="s">
        <v>5</v>
      </c>
      <c r="C12136" s="4" t="s">
        <v>7</v>
      </c>
      <c r="D12136" s="4" t="s">
        <v>7</v>
      </c>
    </row>
    <row r="12137" spans="1:21">
      <c r="A12137" t="n">
        <v>113262</v>
      </c>
      <c r="B12137" s="26" t="n">
        <v>77</v>
      </c>
      <c r="C12137" s="7" t="n">
        <v>0</v>
      </c>
      <c r="D12137" s="7" t="n">
        <v>0</v>
      </c>
    </row>
    <row r="12138" spans="1:21">
      <c r="A12138" t="s">
        <v>4</v>
      </c>
      <c r="B12138" s="4" t="s">
        <v>5</v>
      </c>
      <c r="C12138" s="4" t="s">
        <v>11</v>
      </c>
    </row>
    <row r="12139" spans="1:21">
      <c r="A12139" t="n">
        <v>113265</v>
      </c>
      <c r="B12139" s="29" t="n">
        <v>16</v>
      </c>
      <c r="C12139" s="7" t="n">
        <v>2000</v>
      </c>
    </row>
    <row r="12140" spans="1:21">
      <c r="A12140" t="s">
        <v>4</v>
      </c>
      <c r="B12140" s="4" t="s">
        <v>5</v>
      </c>
      <c r="C12140" s="4" t="s">
        <v>7</v>
      </c>
      <c r="D12140" s="4" t="s">
        <v>11</v>
      </c>
      <c r="E12140" s="4" t="s">
        <v>15</v>
      </c>
      <c r="F12140" s="4" t="s">
        <v>11</v>
      </c>
      <c r="G12140" s="4" t="s">
        <v>15</v>
      </c>
      <c r="H12140" s="4" t="s">
        <v>7</v>
      </c>
    </row>
    <row r="12141" spans="1:21">
      <c r="A12141" t="n">
        <v>113268</v>
      </c>
      <c r="B12141" s="13" t="n">
        <v>49</v>
      </c>
      <c r="C12141" s="7" t="n">
        <v>0</v>
      </c>
      <c r="D12141" s="7" t="n">
        <v>514</v>
      </c>
      <c r="E12141" s="7" t="n">
        <v>1065353216</v>
      </c>
      <c r="F12141" s="7" t="n">
        <v>0</v>
      </c>
      <c r="G12141" s="7" t="n">
        <v>0</v>
      </c>
      <c r="H12141" s="7" t="n">
        <v>0</v>
      </c>
    </row>
    <row r="12142" spans="1:21">
      <c r="A12142" t="s">
        <v>4</v>
      </c>
      <c r="B12142" s="4" t="s">
        <v>5</v>
      </c>
      <c r="C12142" s="4" t="s">
        <v>7</v>
      </c>
      <c r="D12142" s="4" t="s">
        <v>7</v>
      </c>
      <c r="E12142" s="4" t="s">
        <v>7</v>
      </c>
      <c r="F12142" s="4" t="s">
        <v>13</v>
      </c>
      <c r="G12142" s="4" t="s">
        <v>13</v>
      </c>
      <c r="H12142" s="4" t="s">
        <v>13</v>
      </c>
      <c r="I12142" s="4" t="s">
        <v>13</v>
      </c>
      <c r="J12142" s="4" t="s">
        <v>13</v>
      </c>
    </row>
    <row r="12143" spans="1:21">
      <c r="A12143" t="n">
        <v>113283</v>
      </c>
      <c r="B12143" s="25" t="n">
        <v>76</v>
      </c>
      <c r="C12143" s="7" t="n">
        <v>0</v>
      </c>
      <c r="D12143" s="7" t="n">
        <v>3</v>
      </c>
      <c r="E12143" s="7" t="n">
        <v>1</v>
      </c>
      <c r="F12143" s="7" t="n">
        <v>1</v>
      </c>
      <c r="G12143" s="7" t="n">
        <v>1</v>
      </c>
      <c r="H12143" s="7" t="n">
        <v>1</v>
      </c>
      <c r="I12143" s="7" t="n">
        <v>0</v>
      </c>
      <c r="J12143" s="7" t="n">
        <v>2000</v>
      </c>
    </row>
    <row r="12144" spans="1:21">
      <c r="A12144" t="s">
        <v>4</v>
      </c>
      <c r="B12144" s="4" t="s">
        <v>5</v>
      </c>
      <c r="C12144" s="4" t="s">
        <v>7</v>
      </c>
      <c r="D12144" s="4" t="s">
        <v>7</v>
      </c>
      <c r="E12144" s="4" t="s">
        <v>7</v>
      </c>
      <c r="F12144" s="4" t="s">
        <v>13</v>
      </c>
      <c r="G12144" s="4" t="s">
        <v>13</v>
      </c>
      <c r="H12144" s="4" t="s">
        <v>13</v>
      </c>
      <c r="I12144" s="4" t="s">
        <v>13</v>
      </c>
      <c r="J12144" s="4" t="s">
        <v>13</v>
      </c>
    </row>
    <row r="12145" spans="1:10">
      <c r="A12145" t="n">
        <v>113307</v>
      </c>
      <c r="B12145" s="25" t="n">
        <v>76</v>
      </c>
      <c r="C12145" s="7" t="n">
        <v>0</v>
      </c>
      <c r="D12145" s="7" t="n">
        <v>0</v>
      </c>
      <c r="E12145" s="7" t="n">
        <v>1</v>
      </c>
      <c r="F12145" s="7" t="n">
        <v>128</v>
      </c>
      <c r="G12145" s="7" t="n">
        <v>0</v>
      </c>
      <c r="H12145" s="7" t="n">
        <v>2000</v>
      </c>
      <c r="I12145" s="7" t="n">
        <v>0</v>
      </c>
      <c r="J12145" s="7" t="n">
        <v>0</v>
      </c>
    </row>
    <row r="12146" spans="1:10">
      <c r="A12146" t="s">
        <v>4</v>
      </c>
      <c r="B12146" s="4" t="s">
        <v>5</v>
      </c>
      <c r="C12146" s="4" t="s">
        <v>7</v>
      </c>
      <c r="D12146" s="4" t="s">
        <v>7</v>
      </c>
    </row>
    <row r="12147" spans="1:10">
      <c r="A12147" t="n">
        <v>113331</v>
      </c>
      <c r="B12147" s="26" t="n">
        <v>77</v>
      </c>
      <c r="C12147" s="7" t="n">
        <v>0</v>
      </c>
      <c r="D12147" s="7" t="n">
        <v>3</v>
      </c>
    </row>
    <row r="12148" spans="1:10">
      <c r="A12148" t="s">
        <v>4</v>
      </c>
      <c r="B12148" s="4" t="s">
        <v>5</v>
      </c>
      <c r="C12148" s="4" t="s">
        <v>7</v>
      </c>
      <c r="D12148" s="4" t="s">
        <v>7</v>
      </c>
    </row>
    <row r="12149" spans="1:10">
      <c r="A12149" t="n">
        <v>113334</v>
      </c>
      <c r="B12149" s="26" t="n">
        <v>77</v>
      </c>
      <c r="C12149" s="7" t="n">
        <v>0</v>
      </c>
      <c r="D12149" s="7" t="n">
        <v>0</v>
      </c>
    </row>
    <row r="12150" spans="1:10">
      <c r="A12150" t="s">
        <v>4</v>
      </c>
      <c r="B12150" s="4" t="s">
        <v>5</v>
      </c>
      <c r="C12150" s="4" t="s">
        <v>7</v>
      </c>
      <c r="D12150" s="4" t="s">
        <v>7</v>
      </c>
      <c r="E12150" s="4" t="s">
        <v>13</v>
      </c>
      <c r="F12150" s="4" t="s">
        <v>13</v>
      </c>
      <c r="G12150" s="4" t="s">
        <v>13</v>
      </c>
      <c r="H12150" s="4" t="s">
        <v>11</v>
      </c>
    </row>
    <row r="12151" spans="1:10">
      <c r="A12151" t="n">
        <v>113337</v>
      </c>
      <c r="B12151" s="51" t="n">
        <v>45</v>
      </c>
      <c r="C12151" s="7" t="n">
        <v>2</v>
      </c>
      <c r="D12151" s="7" t="n">
        <v>3</v>
      </c>
      <c r="E12151" s="7" t="n">
        <v>5.23999977111816</v>
      </c>
      <c r="F12151" s="7" t="n">
        <v>2.15000009536743</v>
      </c>
      <c r="G12151" s="7" t="n">
        <v>43.8600006103516</v>
      </c>
      <c r="H12151" s="7" t="n">
        <v>8000</v>
      </c>
    </row>
    <row r="12152" spans="1:10">
      <c r="A12152" t="s">
        <v>4</v>
      </c>
      <c r="B12152" s="4" t="s">
        <v>5</v>
      </c>
      <c r="C12152" s="4" t="s">
        <v>7</v>
      </c>
      <c r="D12152" s="4" t="s">
        <v>7</v>
      </c>
      <c r="E12152" s="4" t="s">
        <v>13</v>
      </c>
      <c r="F12152" s="4" t="s">
        <v>13</v>
      </c>
      <c r="G12152" s="4" t="s">
        <v>13</v>
      </c>
      <c r="H12152" s="4" t="s">
        <v>11</v>
      </c>
      <c r="I12152" s="4" t="s">
        <v>7</v>
      </c>
    </row>
    <row r="12153" spans="1:10">
      <c r="A12153" t="n">
        <v>113354</v>
      </c>
      <c r="B12153" s="51" t="n">
        <v>45</v>
      </c>
      <c r="C12153" s="7" t="n">
        <v>4</v>
      </c>
      <c r="D12153" s="7" t="n">
        <v>3</v>
      </c>
      <c r="E12153" s="7" t="n">
        <v>12.4799995422363</v>
      </c>
      <c r="F12153" s="7" t="n">
        <v>144.25</v>
      </c>
      <c r="G12153" s="7" t="n">
        <v>0</v>
      </c>
      <c r="H12153" s="7" t="n">
        <v>8000</v>
      </c>
      <c r="I12153" s="7" t="n">
        <v>0</v>
      </c>
    </row>
    <row r="12154" spans="1:10">
      <c r="A12154" t="s">
        <v>4</v>
      </c>
      <c r="B12154" s="4" t="s">
        <v>5</v>
      </c>
      <c r="C12154" s="4" t="s">
        <v>7</v>
      </c>
      <c r="D12154" s="4" t="s">
        <v>7</v>
      </c>
      <c r="E12154" s="4" t="s">
        <v>13</v>
      </c>
      <c r="F12154" s="4" t="s">
        <v>11</v>
      </c>
    </row>
    <row r="12155" spans="1:10">
      <c r="A12155" t="n">
        <v>113372</v>
      </c>
      <c r="B12155" s="51" t="n">
        <v>45</v>
      </c>
      <c r="C12155" s="7" t="n">
        <v>5</v>
      </c>
      <c r="D12155" s="7" t="n">
        <v>3</v>
      </c>
      <c r="E12155" s="7" t="n">
        <v>2.40000009536743</v>
      </c>
      <c r="F12155" s="7" t="n">
        <v>8000</v>
      </c>
    </row>
    <row r="12156" spans="1:10">
      <c r="A12156" t="s">
        <v>4</v>
      </c>
      <c r="B12156" s="4" t="s">
        <v>5</v>
      </c>
      <c r="C12156" s="4" t="s">
        <v>7</v>
      </c>
      <c r="D12156" s="4" t="s">
        <v>7</v>
      </c>
      <c r="E12156" s="4" t="s">
        <v>13</v>
      </c>
      <c r="F12156" s="4" t="s">
        <v>11</v>
      </c>
    </row>
    <row r="12157" spans="1:10">
      <c r="A12157" t="n">
        <v>113381</v>
      </c>
      <c r="B12157" s="51" t="n">
        <v>45</v>
      </c>
      <c r="C12157" s="7" t="n">
        <v>11</v>
      </c>
      <c r="D12157" s="7" t="n">
        <v>3</v>
      </c>
      <c r="E12157" s="7" t="n">
        <v>33.4000015258789</v>
      </c>
      <c r="F12157" s="7" t="n">
        <v>8000</v>
      </c>
    </row>
    <row r="12158" spans="1:10">
      <c r="A12158" t="s">
        <v>4</v>
      </c>
      <c r="B12158" s="4" t="s">
        <v>5</v>
      </c>
      <c r="C12158" s="4" t="s">
        <v>7</v>
      </c>
      <c r="D12158" s="4" t="s">
        <v>11</v>
      </c>
      <c r="E12158" s="4" t="s">
        <v>13</v>
      </c>
    </row>
    <row r="12159" spans="1:10">
      <c r="A12159" t="n">
        <v>113390</v>
      </c>
      <c r="B12159" s="23" t="n">
        <v>58</v>
      </c>
      <c r="C12159" s="7" t="n">
        <v>100</v>
      </c>
      <c r="D12159" s="7" t="n">
        <v>1000</v>
      </c>
      <c r="E12159" s="7" t="n">
        <v>1</v>
      </c>
    </row>
    <row r="12160" spans="1:10">
      <c r="A12160" t="s">
        <v>4</v>
      </c>
      <c r="B12160" s="4" t="s">
        <v>5</v>
      </c>
      <c r="C12160" s="4" t="s">
        <v>7</v>
      </c>
      <c r="D12160" s="4" t="s">
        <v>11</v>
      </c>
    </row>
    <row r="12161" spans="1:10">
      <c r="A12161" t="n">
        <v>113398</v>
      </c>
      <c r="B12161" s="23" t="n">
        <v>58</v>
      </c>
      <c r="C12161" s="7" t="n">
        <v>255</v>
      </c>
      <c r="D12161" s="7" t="n">
        <v>0</v>
      </c>
    </row>
    <row r="12162" spans="1:10">
      <c r="A12162" t="s">
        <v>4</v>
      </c>
      <c r="B12162" s="4" t="s">
        <v>5</v>
      </c>
      <c r="C12162" s="4" t="s">
        <v>7</v>
      </c>
      <c r="D12162" s="4" t="s">
        <v>11</v>
      </c>
    </row>
    <row r="12163" spans="1:10">
      <c r="A12163" t="n">
        <v>113402</v>
      </c>
      <c r="B12163" s="51" t="n">
        <v>45</v>
      </c>
      <c r="C12163" s="7" t="n">
        <v>7</v>
      </c>
      <c r="D12163" s="7" t="n">
        <v>255</v>
      </c>
    </row>
    <row r="12164" spans="1:10">
      <c r="A12164" t="s">
        <v>4</v>
      </c>
      <c r="B12164" s="4" t="s">
        <v>5</v>
      </c>
      <c r="C12164" s="4" t="s">
        <v>7</v>
      </c>
      <c r="D12164" s="4" t="s">
        <v>11</v>
      </c>
      <c r="E12164" s="4" t="s">
        <v>13</v>
      </c>
    </row>
    <row r="12165" spans="1:10">
      <c r="A12165" t="n">
        <v>113406</v>
      </c>
      <c r="B12165" s="23" t="n">
        <v>58</v>
      </c>
      <c r="C12165" s="7" t="n">
        <v>101</v>
      </c>
      <c r="D12165" s="7" t="n">
        <v>800</v>
      </c>
      <c r="E12165" s="7" t="n">
        <v>1</v>
      </c>
    </row>
    <row r="12166" spans="1:10">
      <c r="A12166" t="s">
        <v>4</v>
      </c>
      <c r="B12166" s="4" t="s">
        <v>5</v>
      </c>
      <c r="C12166" s="4" t="s">
        <v>7</v>
      </c>
      <c r="D12166" s="4" t="s">
        <v>11</v>
      </c>
    </row>
    <row r="12167" spans="1:10">
      <c r="A12167" t="n">
        <v>113414</v>
      </c>
      <c r="B12167" s="23" t="n">
        <v>58</v>
      </c>
      <c r="C12167" s="7" t="n">
        <v>254</v>
      </c>
      <c r="D12167" s="7" t="n">
        <v>0</v>
      </c>
    </row>
    <row r="12168" spans="1:10">
      <c r="A12168" t="s">
        <v>4</v>
      </c>
      <c r="B12168" s="4" t="s">
        <v>5</v>
      </c>
      <c r="C12168" s="4" t="s">
        <v>7</v>
      </c>
      <c r="D12168" s="4" t="s">
        <v>7</v>
      </c>
      <c r="E12168" s="4" t="s">
        <v>13</v>
      </c>
      <c r="F12168" s="4" t="s">
        <v>13</v>
      </c>
      <c r="G12168" s="4" t="s">
        <v>13</v>
      </c>
      <c r="H12168" s="4" t="s">
        <v>11</v>
      </c>
    </row>
    <row r="12169" spans="1:10">
      <c r="A12169" t="n">
        <v>113418</v>
      </c>
      <c r="B12169" s="51" t="n">
        <v>45</v>
      </c>
      <c r="C12169" s="7" t="n">
        <v>2</v>
      </c>
      <c r="D12169" s="7" t="n">
        <v>3</v>
      </c>
      <c r="E12169" s="7" t="n">
        <v>4.26999998092651</v>
      </c>
      <c r="F12169" s="7" t="n">
        <v>2.44000005722046</v>
      </c>
      <c r="G12169" s="7" t="n">
        <v>44.1500015258789</v>
      </c>
      <c r="H12169" s="7" t="n">
        <v>0</v>
      </c>
    </row>
    <row r="12170" spans="1:10">
      <c r="A12170" t="s">
        <v>4</v>
      </c>
      <c r="B12170" s="4" t="s">
        <v>5</v>
      </c>
      <c r="C12170" s="4" t="s">
        <v>7</v>
      </c>
      <c r="D12170" s="4" t="s">
        <v>7</v>
      </c>
      <c r="E12170" s="4" t="s">
        <v>13</v>
      </c>
      <c r="F12170" s="4" t="s">
        <v>13</v>
      </c>
      <c r="G12170" s="4" t="s">
        <v>13</v>
      </c>
      <c r="H12170" s="4" t="s">
        <v>11</v>
      </c>
      <c r="I12170" s="4" t="s">
        <v>7</v>
      </c>
    </row>
    <row r="12171" spans="1:10">
      <c r="A12171" t="n">
        <v>113435</v>
      </c>
      <c r="B12171" s="51" t="n">
        <v>45</v>
      </c>
      <c r="C12171" s="7" t="n">
        <v>4</v>
      </c>
      <c r="D12171" s="7" t="n">
        <v>3</v>
      </c>
      <c r="E12171" s="7" t="n">
        <v>357.880004882813</v>
      </c>
      <c r="F12171" s="7" t="n">
        <v>321.779998779297</v>
      </c>
      <c r="G12171" s="7" t="n">
        <v>0</v>
      </c>
      <c r="H12171" s="7" t="n">
        <v>0</v>
      </c>
      <c r="I12171" s="7" t="n">
        <v>0</v>
      </c>
    </row>
    <row r="12172" spans="1:10">
      <c r="A12172" t="s">
        <v>4</v>
      </c>
      <c r="B12172" s="4" t="s">
        <v>5</v>
      </c>
      <c r="C12172" s="4" t="s">
        <v>7</v>
      </c>
      <c r="D12172" s="4" t="s">
        <v>7</v>
      </c>
      <c r="E12172" s="4" t="s">
        <v>13</v>
      </c>
      <c r="F12172" s="4" t="s">
        <v>11</v>
      </c>
    </row>
    <row r="12173" spans="1:10">
      <c r="A12173" t="n">
        <v>113453</v>
      </c>
      <c r="B12173" s="51" t="n">
        <v>45</v>
      </c>
      <c r="C12173" s="7" t="n">
        <v>5</v>
      </c>
      <c r="D12173" s="7" t="n">
        <v>3</v>
      </c>
      <c r="E12173" s="7" t="n">
        <v>2.40000009536743</v>
      </c>
      <c r="F12173" s="7" t="n">
        <v>0</v>
      </c>
    </row>
    <row r="12174" spans="1:10">
      <c r="A12174" t="s">
        <v>4</v>
      </c>
      <c r="B12174" s="4" t="s">
        <v>5</v>
      </c>
      <c r="C12174" s="4" t="s">
        <v>7</v>
      </c>
      <c r="D12174" s="4" t="s">
        <v>7</v>
      </c>
      <c r="E12174" s="4" t="s">
        <v>13</v>
      </c>
      <c r="F12174" s="4" t="s">
        <v>11</v>
      </c>
    </row>
    <row r="12175" spans="1:10">
      <c r="A12175" t="n">
        <v>113462</v>
      </c>
      <c r="B12175" s="51" t="n">
        <v>45</v>
      </c>
      <c r="C12175" s="7" t="n">
        <v>11</v>
      </c>
      <c r="D12175" s="7" t="n">
        <v>3</v>
      </c>
      <c r="E12175" s="7" t="n">
        <v>33.4000015258789</v>
      </c>
      <c r="F12175" s="7" t="n">
        <v>0</v>
      </c>
    </row>
    <row r="12176" spans="1:10">
      <c r="A12176" t="s">
        <v>4</v>
      </c>
      <c r="B12176" s="4" t="s">
        <v>5</v>
      </c>
      <c r="C12176" s="4" t="s">
        <v>7</v>
      </c>
      <c r="D12176" s="4" t="s">
        <v>7</v>
      </c>
      <c r="E12176" s="4" t="s">
        <v>13</v>
      </c>
      <c r="F12176" s="4" t="s">
        <v>13</v>
      </c>
      <c r="G12176" s="4" t="s">
        <v>13</v>
      </c>
      <c r="H12176" s="4" t="s">
        <v>11</v>
      </c>
    </row>
    <row r="12177" spans="1:9">
      <c r="A12177" t="n">
        <v>113471</v>
      </c>
      <c r="B12177" s="51" t="n">
        <v>45</v>
      </c>
      <c r="C12177" s="7" t="n">
        <v>2</v>
      </c>
      <c r="D12177" s="7" t="n">
        <v>3</v>
      </c>
      <c r="E12177" s="7" t="n">
        <v>4.76999998092651</v>
      </c>
      <c r="F12177" s="7" t="n">
        <v>1.45000004768372</v>
      </c>
      <c r="G12177" s="7" t="n">
        <v>45.2599983215332</v>
      </c>
      <c r="H12177" s="7" t="n">
        <v>8000</v>
      </c>
    </row>
    <row r="12178" spans="1:9">
      <c r="A12178" t="s">
        <v>4</v>
      </c>
      <c r="B12178" s="4" t="s">
        <v>5</v>
      </c>
      <c r="C12178" s="4" t="s">
        <v>7</v>
      </c>
      <c r="D12178" s="4" t="s">
        <v>7</v>
      </c>
      <c r="E12178" s="4" t="s">
        <v>13</v>
      </c>
      <c r="F12178" s="4" t="s">
        <v>13</v>
      </c>
      <c r="G12178" s="4" t="s">
        <v>13</v>
      </c>
      <c r="H12178" s="4" t="s">
        <v>11</v>
      </c>
      <c r="I12178" s="4" t="s">
        <v>7</v>
      </c>
    </row>
    <row r="12179" spans="1:9">
      <c r="A12179" t="n">
        <v>113488</v>
      </c>
      <c r="B12179" s="51" t="n">
        <v>45</v>
      </c>
      <c r="C12179" s="7" t="n">
        <v>4</v>
      </c>
      <c r="D12179" s="7" t="n">
        <v>3</v>
      </c>
      <c r="E12179" s="7" t="n">
        <v>358.660003662109</v>
      </c>
      <c r="F12179" s="7" t="n">
        <v>283.079986572266</v>
      </c>
      <c r="G12179" s="7" t="n">
        <v>0</v>
      </c>
      <c r="H12179" s="7" t="n">
        <v>8000</v>
      </c>
      <c r="I12179" s="7" t="n">
        <v>0</v>
      </c>
    </row>
    <row r="12180" spans="1:9">
      <c r="A12180" t="s">
        <v>4</v>
      </c>
      <c r="B12180" s="4" t="s">
        <v>5</v>
      </c>
      <c r="C12180" s="4" t="s">
        <v>7</v>
      </c>
      <c r="D12180" s="4" t="s">
        <v>7</v>
      </c>
      <c r="E12180" s="4" t="s">
        <v>13</v>
      </c>
      <c r="F12180" s="4" t="s">
        <v>11</v>
      </c>
    </row>
    <row r="12181" spans="1:9">
      <c r="A12181" t="n">
        <v>113506</v>
      </c>
      <c r="B12181" s="51" t="n">
        <v>45</v>
      </c>
      <c r="C12181" s="7" t="n">
        <v>5</v>
      </c>
      <c r="D12181" s="7" t="n">
        <v>3</v>
      </c>
      <c r="E12181" s="7" t="n">
        <v>2</v>
      </c>
      <c r="F12181" s="7" t="n">
        <v>8000</v>
      </c>
    </row>
    <row r="12182" spans="1:9">
      <c r="A12182" t="s">
        <v>4</v>
      </c>
      <c r="B12182" s="4" t="s">
        <v>5</v>
      </c>
      <c r="C12182" s="4" t="s">
        <v>7</v>
      </c>
      <c r="D12182" s="4" t="s">
        <v>11</v>
      </c>
    </row>
    <row r="12183" spans="1:9">
      <c r="A12183" t="n">
        <v>113515</v>
      </c>
      <c r="B12183" s="23" t="n">
        <v>58</v>
      </c>
      <c r="C12183" s="7" t="n">
        <v>255</v>
      </c>
      <c r="D12183" s="7" t="n">
        <v>0</v>
      </c>
    </row>
    <row r="12184" spans="1:9">
      <c r="A12184" t="s">
        <v>4</v>
      </c>
      <c r="B12184" s="4" t="s">
        <v>5</v>
      </c>
      <c r="C12184" s="4" t="s">
        <v>7</v>
      </c>
      <c r="D12184" s="4" t="s">
        <v>11</v>
      </c>
    </row>
    <row r="12185" spans="1:9">
      <c r="A12185" t="n">
        <v>113519</v>
      </c>
      <c r="B12185" s="51" t="n">
        <v>45</v>
      </c>
      <c r="C12185" s="7" t="n">
        <v>7</v>
      </c>
      <c r="D12185" s="7" t="n">
        <v>255</v>
      </c>
    </row>
    <row r="12186" spans="1:9">
      <c r="A12186" t="s">
        <v>4</v>
      </c>
      <c r="B12186" s="4" t="s">
        <v>5</v>
      </c>
      <c r="C12186" s="4" t="s">
        <v>7</v>
      </c>
      <c r="D12186" s="4" t="s">
        <v>11</v>
      </c>
      <c r="E12186" s="4" t="s">
        <v>13</v>
      </c>
    </row>
    <row r="12187" spans="1:9">
      <c r="A12187" t="n">
        <v>113523</v>
      </c>
      <c r="B12187" s="23" t="n">
        <v>58</v>
      </c>
      <c r="C12187" s="7" t="n">
        <v>101</v>
      </c>
      <c r="D12187" s="7" t="n">
        <v>800</v>
      </c>
      <c r="E12187" s="7" t="n">
        <v>1</v>
      </c>
    </row>
    <row r="12188" spans="1:9">
      <c r="A12188" t="s">
        <v>4</v>
      </c>
      <c r="B12188" s="4" t="s">
        <v>5</v>
      </c>
      <c r="C12188" s="4" t="s">
        <v>7</v>
      </c>
      <c r="D12188" s="4" t="s">
        <v>11</v>
      </c>
    </row>
    <row r="12189" spans="1:9">
      <c r="A12189" t="n">
        <v>113531</v>
      </c>
      <c r="B12189" s="23" t="n">
        <v>58</v>
      </c>
      <c r="C12189" s="7" t="n">
        <v>254</v>
      </c>
      <c r="D12189" s="7" t="n">
        <v>0</v>
      </c>
    </row>
    <row r="12190" spans="1:9">
      <c r="A12190" t="s">
        <v>4</v>
      </c>
      <c r="B12190" s="4" t="s">
        <v>5</v>
      </c>
      <c r="C12190" s="4" t="s">
        <v>7</v>
      </c>
      <c r="D12190" s="4" t="s">
        <v>7</v>
      </c>
      <c r="E12190" s="4" t="s">
        <v>13</v>
      </c>
      <c r="F12190" s="4" t="s">
        <v>13</v>
      </c>
      <c r="G12190" s="4" t="s">
        <v>13</v>
      </c>
      <c r="H12190" s="4" t="s">
        <v>11</v>
      </c>
    </row>
    <row r="12191" spans="1:9">
      <c r="A12191" t="n">
        <v>113535</v>
      </c>
      <c r="B12191" s="51" t="n">
        <v>45</v>
      </c>
      <c r="C12191" s="7" t="n">
        <v>2</v>
      </c>
      <c r="D12191" s="7" t="n">
        <v>3</v>
      </c>
      <c r="E12191" s="7" t="n">
        <v>4.73999977111816</v>
      </c>
      <c r="F12191" s="7" t="n">
        <v>1.37000000476837</v>
      </c>
      <c r="G12191" s="7" t="n">
        <v>45.310001373291</v>
      </c>
      <c r="H12191" s="7" t="n">
        <v>0</v>
      </c>
    </row>
    <row r="12192" spans="1:9">
      <c r="A12192" t="s">
        <v>4</v>
      </c>
      <c r="B12192" s="4" t="s">
        <v>5</v>
      </c>
      <c r="C12192" s="4" t="s">
        <v>7</v>
      </c>
      <c r="D12192" s="4" t="s">
        <v>7</v>
      </c>
      <c r="E12192" s="4" t="s">
        <v>13</v>
      </c>
      <c r="F12192" s="4" t="s">
        <v>13</v>
      </c>
      <c r="G12192" s="4" t="s">
        <v>13</v>
      </c>
      <c r="H12192" s="4" t="s">
        <v>11</v>
      </c>
      <c r="I12192" s="4" t="s">
        <v>7</v>
      </c>
    </row>
    <row r="12193" spans="1:9">
      <c r="A12193" t="n">
        <v>113552</v>
      </c>
      <c r="B12193" s="51" t="n">
        <v>45</v>
      </c>
      <c r="C12193" s="7" t="n">
        <v>4</v>
      </c>
      <c r="D12193" s="7" t="n">
        <v>3</v>
      </c>
      <c r="E12193" s="7" t="n">
        <v>4.3899998664856</v>
      </c>
      <c r="F12193" s="7" t="n">
        <v>107.779998779297</v>
      </c>
      <c r="G12193" s="7" t="n">
        <v>0</v>
      </c>
      <c r="H12193" s="7" t="n">
        <v>0</v>
      </c>
      <c r="I12193" s="7" t="n">
        <v>0</v>
      </c>
    </row>
    <row r="12194" spans="1:9">
      <c r="A12194" t="s">
        <v>4</v>
      </c>
      <c r="B12194" s="4" t="s">
        <v>5</v>
      </c>
      <c r="C12194" s="4" t="s">
        <v>7</v>
      </c>
      <c r="D12194" s="4" t="s">
        <v>7</v>
      </c>
      <c r="E12194" s="4" t="s">
        <v>13</v>
      </c>
      <c r="F12194" s="4" t="s">
        <v>11</v>
      </c>
    </row>
    <row r="12195" spans="1:9">
      <c r="A12195" t="n">
        <v>113570</v>
      </c>
      <c r="B12195" s="51" t="n">
        <v>45</v>
      </c>
      <c r="C12195" s="7" t="n">
        <v>5</v>
      </c>
      <c r="D12195" s="7" t="n">
        <v>3</v>
      </c>
      <c r="E12195" s="7" t="n">
        <v>2</v>
      </c>
      <c r="F12195" s="7" t="n">
        <v>0</v>
      </c>
    </row>
    <row r="12196" spans="1:9">
      <c r="A12196" t="s">
        <v>4</v>
      </c>
      <c r="B12196" s="4" t="s">
        <v>5</v>
      </c>
      <c r="C12196" s="4" t="s">
        <v>7</v>
      </c>
      <c r="D12196" s="4" t="s">
        <v>7</v>
      </c>
      <c r="E12196" s="4" t="s">
        <v>13</v>
      </c>
      <c r="F12196" s="4" t="s">
        <v>11</v>
      </c>
    </row>
    <row r="12197" spans="1:9">
      <c r="A12197" t="n">
        <v>113579</v>
      </c>
      <c r="B12197" s="51" t="n">
        <v>45</v>
      </c>
      <c r="C12197" s="7" t="n">
        <v>11</v>
      </c>
      <c r="D12197" s="7" t="n">
        <v>3</v>
      </c>
      <c r="E12197" s="7" t="n">
        <v>33.4000015258789</v>
      </c>
      <c r="F12197" s="7" t="n">
        <v>0</v>
      </c>
    </row>
    <row r="12198" spans="1:9">
      <c r="A12198" t="s">
        <v>4</v>
      </c>
      <c r="B12198" s="4" t="s">
        <v>5</v>
      </c>
      <c r="C12198" s="4" t="s">
        <v>11</v>
      </c>
      <c r="D12198" s="4" t="s">
        <v>15</v>
      </c>
    </row>
    <row r="12199" spans="1:9">
      <c r="A12199" t="n">
        <v>113588</v>
      </c>
      <c r="B12199" s="63" t="n">
        <v>44</v>
      </c>
      <c r="C12199" s="7" t="n">
        <v>4</v>
      </c>
      <c r="D12199" s="7" t="n">
        <v>1</v>
      </c>
    </row>
    <row r="12200" spans="1:9">
      <c r="A12200" t="s">
        <v>4</v>
      </c>
      <c r="B12200" s="4" t="s">
        <v>5</v>
      </c>
      <c r="C12200" s="4" t="s">
        <v>7</v>
      </c>
      <c r="D12200" s="4" t="s">
        <v>11</v>
      </c>
    </row>
    <row r="12201" spans="1:9">
      <c r="A12201" t="n">
        <v>113595</v>
      </c>
      <c r="B12201" s="23" t="n">
        <v>58</v>
      </c>
      <c r="C12201" s="7" t="n">
        <v>255</v>
      </c>
      <c r="D12201" s="7" t="n">
        <v>0</v>
      </c>
    </row>
    <row r="12202" spans="1:9">
      <c r="A12202" t="s">
        <v>4</v>
      </c>
      <c r="B12202" s="4" t="s">
        <v>5</v>
      </c>
      <c r="C12202" s="4" t="s">
        <v>8</v>
      </c>
      <c r="D12202" s="4" t="s">
        <v>8</v>
      </c>
    </row>
    <row r="12203" spans="1:9">
      <c r="A12203" t="n">
        <v>113599</v>
      </c>
      <c r="B12203" s="52" t="n">
        <v>70</v>
      </c>
      <c r="C12203" s="7" t="s">
        <v>279</v>
      </c>
      <c r="D12203" s="7" t="s">
        <v>280</v>
      </c>
    </row>
    <row r="12204" spans="1:9">
      <c r="A12204" t="s">
        <v>4</v>
      </c>
      <c r="B12204" s="4" t="s">
        <v>5</v>
      </c>
      <c r="C12204" s="4" t="s">
        <v>11</v>
      </c>
    </row>
    <row r="12205" spans="1:9">
      <c r="A12205" t="n">
        <v>113616</v>
      </c>
      <c r="B12205" s="29" t="n">
        <v>16</v>
      </c>
      <c r="C12205" s="7" t="n">
        <v>1000</v>
      </c>
    </row>
    <row r="12206" spans="1:9">
      <c r="A12206" t="s">
        <v>4</v>
      </c>
      <c r="B12206" s="4" t="s">
        <v>5</v>
      </c>
      <c r="C12206" s="4" t="s">
        <v>7</v>
      </c>
      <c r="D12206" s="4" t="s">
        <v>11</v>
      </c>
      <c r="E12206" s="4" t="s">
        <v>11</v>
      </c>
      <c r="F12206" s="4" t="s">
        <v>7</v>
      </c>
    </row>
    <row r="12207" spans="1:9">
      <c r="A12207" t="n">
        <v>113619</v>
      </c>
      <c r="B12207" s="31" t="n">
        <v>25</v>
      </c>
      <c r="C12207" s="7" t="n">
        <v>1</v>
      </c>
      <c r="D12207" s="7" t="n">
        <v>100</v>
      </c>
      <c r="E12207" s="7" t="n">
        <v>500</v>
      </c>
      <c r="F12207" s="7" t="n">
        <v>5</v>
      </c>
    </row>
    <row r="12208" spans="1:9">
      <c r="A12208" t="s">
        <v>4</v>
      </c>
      <c r="B12208" s="4" t="s">
        <v>5</v>
      </c>
      <c r="C12208" s="4" t="s">
        <v>8</v>
      </c>
      <c r="D12208" s="4" t="s">
        <v>11</v>
      </c>
    </row>
    <row r="12209" spans="1:9">
      <c r="A12209" t="n">
        <v>113626</v>
      </c>
      <c r="B12209" s="67" t="n">
        <v>29</v>
      </c>
      <c r="C12209" s="7" t="s">
        <v>281</v>
      </c>
      <c r="D12209" s="7" t="n">
        <v>65533</v>
      </c>
    </row>
    <row r="12210" spans="1:9">
      <c r="A12210" t="s">
        <v>4</v>
      </c>
      <c r="B12210" s="4" t="s">
        <v>5</v>
      </c>
      <c r="C12210" s="4" t="s">
        <v>7</v>
      </c>
      <c r="D12210" s="4" t="s">
        <v>11</v>
      </c>
      <c r="E12210" s="4" t="s">
        <v>8</v>
      </c>
    </row>
    <row r="12211" spans="1:9">
      <c r="A12211" t="n">
        <v>113635</v>
      </c>
      <c r="B12211" s="38" t="n">
        <v>51</v>
      </c>
      <c r="C12211" s="7" t="n">
        <v>4</v>
      </c>
      <c r="D12211" s="7" t="n">
        <v>4</v>
      </c>
      <c r="E12211" s="7" t="s">
        <v>285</v>
      </c>
    </row>
    <row r="12212" spans="1:9">
      <c r="A12212" t="s">
        <v>4</v>
      </c>
      <c r="B12212" s="4" t="s">
        <v>5</v>
      </c>
      <c r="C12212" s="4" t="s">
        <v>11</v>
      </c>
    </row>
    <row r="12213" spans="1:9">
      <c r="A12213" t="n">
        <v>113648</v>
      </c>
      <c r="B12213" s="29" t="n">
        <v>16</v>
      </c>
      <c r="C12213" s="7" t="n">
        <v>0</v>
      </c>
    </row>
    <row r="12214" spans="1:9">
      <c r="A12214" t="s">
        <v>4</v>
      </c>
      <c r="B12214" s="4" t="s">
        <v>5</v>
      </c>
      <c r="C12214" s="4" t="s">
        <v>11</v>
      </c>
      <c r="D12214" s="4" t="s">
        <v>7</v>
      </c>
      <c r="E12214" s="4" t="s">
        <v>15</v>
      </c>
      <c r="F12214" s="4" t="s">
        <v>55</v>
      </c>
      <c r="G12214" s="4" t="s">
        <v>7</v>
      </c>
      <c r="H12214" s="4" t="s">
        <v>7</v>
      </c>
    </row>
    <row r="12215" spans="1:9">
      <c r="A12215" t="n">
        <v>113651</v>
      </c>
      <c r="B12215" s="55" t="n">
        <v>26</v>
      </c>
      <c r="C12215" s="7" t="n">
        <v>4</v>
      </c>
      <c r="D12215" s="7" t="n">
        <v>17</v>
      </c>
      <c r="E12215" s="7" t="n">
        <v>64131</v>
      </c>
      <c r="F12215" s="7" t="s">
        <v>988</v>
      </c>
      <c r="G12215" s="7" t="n">
        <v>2</v>
      </c>
      <c r="H12215" s="7" t="n">
        <v>0</v>
      </c>
    </row>
    <row r="12216" spans="1:9">
      <c r="A12216" t="s">
        <v>4</v>
      </c>
      <c r="B12216" s="4" t="s">
        <v>5</v>
      </c>
    </row>
    <row r="12217" spans="1:9">
      <c r="A12217" t="n">
        <v>113679</v>
      </c>
      <c r="B12217" s="27" t="n">
        <v>28</v>
      </c>
    </row>
    <row r="12218" spans="1:9">
      <c r="A12218" t="s">
        <v>4</v>
      </c>
      <c r="B12218" s="4" t="s">
        <v>5</v>
      </c>
      <c r="C12218" s="4" t="s">
        <v>11</v>
      </c>
      <c r="D12218" s="4" t="s">
        <v>7</v>
      </c>
    </row>
    <row r="12219" spans="1:9">
      <c r="A12219" t="n">
        <v>113680</v>
      </c>
      <c r="B12219" s="68" t="n">
        <v>89</v>
      </c>
      <c r="C12219" s="7" t="n">
        <v>65533</v>
      </c>
      <c r="D12219" s="7" t="n">
        <v>1</v>
      </c>
    </row>
    <row r="12220" spans="1:9">
      <c r="A12220" t="s">
        <v>4</v>
      </c>
      <c r="B12220" s="4" t="s">
        <v>5</v>
      </c>
      <c r="C12220" s="4" t="s">
        <v>7</v>
      </c>
      <c r="D12220" s="4" t="s">
        <v>11</v>
      </c>
      <c r="E12220" s="4" t="s">
        <v>11</v>
      </c>
      <c r="F12220" s="4" t="s">
        <v>7</v>
      </c>
    </row>
    <row r="12221" spans="1:9">
      <c r="A12221" t="n">
        <v>113684</v>
      </c>
      <c r="B12221" s="31" t="n">
        <v>25</v>
      </c>
      <c r="C12221" s="7" t="n">
        <v>1</v>
      </c>
      <c r="D12221" s="7" t="n">
        <v>65535</v>
      </c>
      <c r="E12221" s="7" t="n">
        <v>65535</v>
      </c>
      <c r="F12221" s="7" t="n">
        <v>0</v>
      </c>
    </row>
    <row r="12222" spans="1:9">
      <c r="A12222" t="s">
        <v>4</v>
      </c>
      <c r="B12222" s="4" t="s">
        <v>5</v>
      </c>
      <c r="C12222" s="4" t="s">
        <v>8</v>
      </c>
      <c r="D12222" s="4" t="s">
        <v>11</v>
      </c>
    </row>
    <row r="12223" spans="1:9">
      <c r="A12223" t="n">
        <v>113691</v>
      </c>
      <c r="B12223" s="67" t="n">
        <v>29</v>
      </c>
      <c r="C12223" s="7" t="s">
        <v>16</v>
      </c>
      <c r="D12223" s="7" t="n">
        <v>65533</v>
      </c>
    </row>
    <row r="12224" spans="1:9">
      <c r="A12224" t="s">
        <v>4</v>
      </c>
      <c r="B12224" s="4" t="s">
        <v>5</v>
      </c>
      <c r="C12224" s="4" t="s">
        <v>11</v>
      </c>
      <c r="D12224" s="4" t="s">
        <v>7</v>
      </c>
      <c r="E12224" s="4" t="s">
        <v>13</v>
      </c>
      <c r="F12224" s="4" t="s">
        <v>11</v>
      </c>
    </row>
    <row r="12225" spans="1:8">
      <c r="A12225" t="n">
        <v>113695</v>
      </c>
      <c r="B12225" s="56" t="n">
        <v>59</v>
      </c>
      <c r="C12225" s="7" t="n">
        <v>0</v>
      </c>
      <c r="D12225" s="7" t="n">
        <v>13</v>
      </c>
      <c r="E12225" s="7" t="n">
        <v>0.150000005960464</v>
      </c>
      <c r="F12225" s="7" t="n">
        <v>0</v>
      </c>
    </row>
    <row r="12226" spans="1:8">
      <c r="A12226" t="s">
        <v>4</v>
      </c>
      <c r="B12226" s="4" t="s">
        <v>5</v>
      </c>
      <c r="C12226" s="4" t="s">
        <v>11</v>
      </c>
    </row>
    <row r="12227" spans="1:8">
      <c r="A12227" t="n">
        <v>113705</v>
      </c>
      <c r="B12227" s="29" t="n">
        <v>16</v>
      </c>
      <c r="C12227" s="7" t="n">
        <v>1000</v>
      </c>
    </row>
    <row r="12228" spans="1:8">
      <c r="A12228" t="s">
        <v>4</v>
      </c>
      <c r="B12228" s="4" t="s">
        <v>5</v>
      </c>
      <c r="C12228" s="4" t="s">
        <v>11</v>
      </c>
      <c r="D12228" s="4" t="s">
        <v>13</v>
      </c>
      <c r="E12228" s="4" t="s">
        <v>13</v>
      </c>
      <c r="F12228" s="4" t="s">
        <v>13</v>
      </c>
      <c r="G12228" s="4" t="s">
        <v>11</v>
      </c>
      <c r="H12228" s="4" t="s">
        <v>11</v>
      </c>
    </row>
    <row r="12229" spans="1:8">
      <c r="A12229" t="n">
        <v>113708</v>
      </c>
      <c r="B12229" s="37" t="n">
        <v>60</v>
      </c>
      <c r="C12229" s="7" t="n">
        <v>0</v>
      </c>
      <c r="D12229" s="7" t="n">
        <v>0</v>
      </c>
      <c r="E12229" s="7" t="n">
        <v>0</v>
      </c>
      <c r="F12229" s="7" t="n">
        <v>0</v>
      </c>
      <c r="G12229" s="7" t="n">
        <v>1000</v>
      </c>
      <c r="H12229" s="7" t="n">
        <v>0</v>
      </c>
    </row>
    <row r="12230" spans="1:8">
      <c r="A12230" t="s">
        <v>4</v>
      </c>
      <c r="B12230" s="4" t="s">
        <v>5</v>
      </c>
      <c r="C12230" s="4" t="s">
        <v>11</v>
      </c>
      <c r="D12230" s="4" t="s">
        <v>11</v>
      </c>
      <c r="E12230" s="4" t="s">
        <v>11</v>
      </c>
    </row>
    <row r="12231" spans="1:8">
      <c r="A12231" t="n">
        <v>113727</v>
      </c>
      <c r="B12231" s="72" t="n">
        <v>61</v>
      </c>
      <c r="C12231" s="7" t="n">
        <v>0</v>
      </c>
      <c r="D12231" s="7" t="n">
        <v>4</v>
      </c>
      <c r="E12231" s="7" t="n">
        <v>1000</v>
      </c>
    </row>
    <row r="12232" spans="1:8">
      <c r="A12232" t="s">
        <v>4</v>
      </c>
      <c r="B12232" s="4" t="s">
        <v>5</v>
      </c>
      <c r="C12232" s="4" t="s">
        <v>11</v>
      </c>
      <c r="D12232" s="4" t="s">
        <v>11</v>
      </c>
      <c r="E12232" s="4" t="s">
        <v>11</v>
      </c>
    </row>
    <row r="12233" spans="1:8">
      <c r="A12233" t="n">
        <v>113734</v>
      </c>
      <c r="B12233" s="72" t="n">
        <v>61</v>
      </c>
      <c r="C12233" s="7" t="n">
        <v>4</v>
      </c>
      <c r="D12233" s="7" t="n">
        <v>0</v>
      </c>
      <c r="E12233" s="7" t="n">
        <v>1000</v>
      </c>
    </row>
    <row r="12234" spans="1:8">
      <c r="A12234" t="s">
        <v>4</v>
      </c>
      <c r="B12234" s="4" t="s">
        <v>5</v>
      </c>
      <c r="C12234" s="4" t="s">
        <v>11</v>
      </c>
      <c r="D12234" s="4" t="s">
        <v>13</v>
      </c>
      <c r="E12234" s="4" t="s">
        <v>13</v>
      </c>
      <c r="F12234" s="4" t="s">
        <v>7</v>
      </c>
    </row>
    <row r="12235" spans="1:8">
      <c r="A12235" t="n">
        <v>113741</v>
      </c>
      <c r="B12235" s="65" t="n">
        <v>52</v>
      </c>
      <c r="C12235" s="7" t="n">
        <v>0</v>
      </c>
      <c r="D12235" s="7" t="n">
        <v>332.399993896484</v>
      </c>
      <c r="E12235" s="7" t="n">
        <v>5</v>
      </c>
      <c r="F12235" s="7" t="n">
        <v>0</v>
      </c>
    </row>
    <row r="12236" spans="1:8">
      <c r="A12236" t="s">
        <v>4</v>
      </c>
      <c r="B12236" s="4" t="s">
        <v>5</v>
      </c>
      <c r="C12236" s="4" t="s">
        <v>11</v>
      </c>
    </row>
    <row r="12237" spans="1:8">
      <c r="A12237" t="n">
        <v>113753</v>
      </c>
      <c r="B12237" s="66" t="n">
        <v>54</v>
      </c>
      <c r="C12237" s="7" t="n">
        <v>0</v>
      </c>
    </row>
    <row r="12238" spans="1:8">
      <c r="A12238" t="s">
        <v>4</v>
      </c>
      <c r="B12238" s="4" t="s">
        <v>5</v>
      </c>
      <c r="C12238" s="4" t="s">
        <v>7</v>
      </c>
      <c r="D12238" s="4" t="s">
        <v>11</v>
      </c>
      <c r="E12238" s="4" t="s">
        <v>13</v>
      </c>
    </row>
    <row r="12239" spans="1:8">
      <c r="A12239" t="n">
        <v>113756</v>
      </c>
      <c r="B12239" s="23" t="n">
        <v>58</v>
      </c>
      <c r="C12239" s="7" t="n">
        <v>101</v>
      </c>
      <c r="D12239" s="7" t="n">
        <v>500</v>
      </c>
      <c r="E12239" s="7" t="n">
        <v>1</v>
      </c>
    </row>
    <row r="12240" spans="1:8">
      <c r="A12240" t="s">
        <v>4</v>
      </c>
      <c r="B12240" s="4" t="s">
        <v>5</v>
      </c>
      <c r="C12240" s="4" t="s">
        <v>7</v>
      </c>
      <c r="D12240" s="4" t="s">
        <v>11</v>
      </c>
    </row>
    <row r="12241" spans="1:8">
      <c r="A12241" t="n">
        <v>113764</v>
      </c>
      <c r="B12241" s="23" t="n">
        <v>58</v>
      </c>
      <c r="C12241" s="7" t="n">
        <v>254</v>
      </c>
      <c r="D12241" s="7" t="n">
        <v>0</v>
      </c>
    </row>
    <row r="12242" spans="1:8">
      <c r="A12242" t="s">
        <v>4</v>
      </c>
      <c r="B12242" s="4" t="s">
        <v>5</v>
      </c>
      <c r="C12242" s="4" t="s">
        <v>7</v>
      </c>
      <c r="D12242" s="4" t="s">
        <v>7</v>
      </c>
      <c r="E12242" s="4" t="s">
        <v>13</v>
      </c>
      <c r="F12242" s="4" t="s">
        <v>13</v>
      </c>
      <c r="G12242" s="4" t="s">
        <v>13</v>
      </c>
      <c r="H12242" s="4" t="s">
        <v>11</v>
      </c>
    </row>
    <row r="12243" spans="1:8">
      <c r="A12243" t="n">
        <v>113768</v>
      </c>
      <c r="B12243" s="51" t="n">
        <v>45</v>
      </c>
      <c r="C12243" s="7" t="n">
        <v>2</v>
      </c>
      <c r="D12243" s="7" t="n">
        <v>3</v>
      </c>
      <c r="E12243" s="7" t="n">
        <v>4.92999982833862</v>
      </c>
      <c r="F12243" s="7" t="n">
        <v>1.46000003814697</v>
      </c>
      <c r="G12243" s="7" t="n">
        <v>45.6699981689453</v>
      </c>
      <c r="H12243" s="7" t="n">
        <v>0</v>
      </c>
    </row>
    <row r="12244" spans="1:8">
      <c r="A12244" t="s">
        <v>4</v>
      </c>
      <c r="B12244" s="4" t="s">
        <v>5</v>
      </c>
      <c r="C12244" s="4" t="s">
        <v>7</v>
      </c>
      <c r="D12244" s="4" t="s">
        <v>7</v>
      </c>
      <c r="E12244" s="4" t="s">
        <v>13</v>
      </c>
      <c r="F12244" s="4" t="s">
        <v>13</v>
      </c>
      <c r="G12244" s="4" t="s">
        <v>13</v>
      </c>
      <c r="H12244" s="4" t="s">
        <v>11</v>
      </c>
      <c r="I12244" s="4" t="s">
        <v>7</v>
      </c>
    </row>
    <row r="12245" spans="1:8">
      <c r="A12245" t="n">
        <v>113785</v>
      </c>
      <c r="B12245" s="51" t="n">
        <v>45</v>
      </c>
      <c r="C12245" s="7" t="n">
        <v>4</v>
      </c>
      <c r="D12245" s="7" t="n">
        <v>3</v>
      </c>
      <c r="E12245" s="7" t="n">
        <v>5.69000005722046</v>
      </c>
      <c r="F12245" s="7" t="n">
        <v>260.239990234375</v>
      </c>
      <c r="G12245" s="7" t="n">
        <v>0</v>
      </c>
      <c r="H12245" s="7" t="n">
        <v>0</v>
      </c>
      <c r="I12245" s="7" t="n">
        <v>0</v>
      </c>
    </row>
    <row r="12246" spans="1:8">
      <c r="A12246" t="s">
        <v>4</v>
      </c>
      <c r="B12246" s="4" t="s">
        <v>5</v>
      </c>
      <c r="C12246" s="4" t="s">
        <v>7</v>
      </c>
      <c r="D12246" s="4" t="s">
        <v>7</v>
      </c>
      <c r="E12246" s="4" t="s">
        <v>13</v>
      </c>
      <c r="F12246" s="4" t="s">
        <v>11</v>
      </c>
    </row>
    <row r="12247" spans="1:8">
      <c r="A12247" t="n">
        <v>113803</v>
      </c>
      <c r="B12247" s="51" t="n">
        <v>45</v>
      </c>
      <c r="C12247" s="7" t="n">
        <v>5</v>
      </c>
      <c r="D12247" s="7" t="n">
        <v>3</v>
      </c>
      <c r="E12247" s="7" t="n">
        <v>1.70000004768372</v>
      </c>
      <c r="F12247" s="7" t="n">
        <v>0</v>
      </c>
    </row>
    <row r="12248" spans="1:8">
      <c r="A12248" t="s">
        <v>4</v>
      </c>
      <c r="B12248" s="4" t="s">
        <v>5</v>
      </c>
      <c r="C12248" s="4" t="s">
        <v>7</v>
      </c>
      <c r="D12248" s="4" t="s">
        <v>7</v>
      </c>
      <c r="E12248" s="4" t="s">
        <v>13</v>
      </c>
      <c r="F12248" s="4" t="s">
        <v>11</v>
      </c>
    </row>
    <row r="12249" spans="1:8">
      <c r="A12249" t="n">
        <v>113812</v>
      </c>
      <c r="B12249" s="51" t="n">
        <v>45</v>
      </c>
      <c r="C12249" s="7" t="n">
        <v>11</v>
      </c>
      <c r="D12249" s="7" t="n">
        <v>3</v>
      </c>
      <c r="E12249" s="7" t="n">
        <v>34</v>
      </c>
      <c r="F12249" s="7" t="n">
        <v>0</v>
      </c>
    </row>
    <row r="12250" spans="1:8">
      <c r="A12250" t="s">
        <v>4</v>
      </c>
      <c r="B12250" s="4" t="s">
        <v>5</v>
      </c>
      <c r="C12250" s="4" t="s">
        <v>7</v>
      </c>
      <c r="D12250" s="4" t="s">
        <v>7</v>
      </c>
      <c r="E12250" s="4" t="s">
        <v>13</v>
      </c>
      <c r="F12250" s="4" t="s">
        <v>13</v>
      </c>
      <c r="G12250" s="4" t="s">
        <v>13</v>
      </c>
      <c r="H12250" s="4" t="s">
        <v>11</v>
      </c>
    </row>
    <row r="12251" spans="1:8">
      <c r="A12251" t="n">
        <v>113821</v>
      </c>
      <c r="B12251" s="51" t="n">
        <v>45</v>
      </c>
      <c r="C12251" s="7" t="n">
        <v>2</v>
      </c>
      <c r="D12251" s="7" t="n">
        <v>3</v>
      </c>
      <c r="E12251" s="7" t="n">
        <v>4.84999990463257</v>
      </c>
      <c r="F12251" s="7" t="n">
        <v>1.4099999666214</v>
      </c>
      <c r="G12251" s="7" t="n">
        <v>45.7999992370605</v>
      </c>
      <c r="H12251" s="7" t="n">
        <v>5500</v>
      </c>
    </row>
    <row r="12252" spans="1:8">
      <c r="A12252" t="s">
        <v>4</v>
      </c>
      <c r="B12252" s="4" t="s">
        <v>5</v>
      </c>
      <c r="C12252" s="4" t="s">
        <v>7</v>
      </c>
      <c r="D12252" s="4" t="s">
        <v>7</v>
      </c>
      <c r="E12252" s="4" t="s">
        <v>13</v>
      </c>
      <c r="F12252" s="4" t="s">
        <v>13</v>
      </c>
      <c r="G12252" s="4" t="s">
        <v>13</v>
      </c>
      <c r="H12252" s="4" t="s">
        <v>11</v>
      </c>
      <c r="I12252" s="4" t="s">
        <v>7</v>
      </c>
    </row>
    <row r="12253" spans="1:8">
      <c r="A12253" t="n">
        <v>113838</v>
      </c>
      <c r="B12253" s="51" t="n">
        <v>45</v>
      </c>
      <c r="C12253" s="7" t="n">
        <v>4</v>
      </c>
      <c r="D12253" s="7" t="n">
        <v>3</v>
      </c>
      <c r="E12253" s="7" t="n">
        <v>5.46999979019165</v>
      </c>
      <c r="F12253" s="7" t="n">
        <v>232.490005493164</v>
      </c>
      <c r="G12253" s="7" t="n">
        <v>0</v>
      </c>
      <c r="H12253" s="7" t="n">
        <v>5500</v>
      </c>
      <c r="I12253" s="7" t="n">
        <v>0</v>
      </c>
    </row>
    <row r="12254" spans="1:8">
      <c r="A12254" t="s">
        <v>4</v>
      </c>
      <c r="B12254" s="4" t="s">
        <v>5</v>
      </c>
      <c r="C12254" s="4" t="s">
        <v>11</v>
      </c>
      <c r="D12254" s="4" t="s">
        <v>7</v>
      </c>
      <c r="E12254" s="4" t="s">
        <v>7</v>
      </c>
      <c r="F12254" s="4" t="s">
        <v>8</v>
      </c>
    </row>
    <row r="12255" spans="1:8">
      <c r="A12255" t="n">
        <v>113856</v>
      </c>
      <c r="B12255" s="50" t="n">
        <v>20</v>
      </c>
      <c r="C12255" s="7" t="n">
        <v>4</v>
      </c>
      <c r="D12255" s="7" t="n">
        <v>2</v>
      </c>
      <c r="E12255" s="7" t="n">
        <v>11</v>
      </c>
      <c r="F12255" s="7" t="s">
        <v>283</v>
      </c>
    </row>
    <row r="12256" spans="1:8">
      <c r="A12256" t="s">
        <v>4</v>
      </c>
      <c r="B12256" s="4" t="s">
        <v>5</v>
      </c>
      <c r="C12256" s="4" t="s">
        <v>7</v>
      </c>
    </row>
    <row r="12257" spans="1:9">
      <c r="A12257" t="n">
        <v>113883</v>
      </c>
      <c r="B12257" s="49" t="n">
        <v>116</v>
      </c>
      <c r="C12257" s="7" t="n">
        <v>0</v>
      </c>
    </row>
    <row r="12258" spans="1:9">
      <c r="A12258" t="s">
        <v>4</v>
      </c>
      <c r="B12258" s="4" t="s">
        <v>5</v>
      </c>
      <c r="C12258" s="4" t="s">
        <v>7</v>
      </c>
      <c r="D12258" s="4" t="s">
        <v>11</v>
      </c>
    </row>
    <row r="12259" spans="1:9">
      <c r="A12259" t="n">
        <v>113885</v>
      </c>
      <c r="B12259" s="49" t="n">
        <v>116</v>
      </c>
      <c r="C12259" s="7" t="n">
        <v>2</v>
      </c>
      <c r="D12259" s="7" t="n">
        <v>1</v>
      </c>
    </row>
    <row r="12260" spans="1:9">
      <c r="A12260" t="s">
        <v>4</v>
      </c>
      <c r="B12260" s="4" t="s">
        <v>5</v>
      </c>
      <c r="C12260" s="4" t="s">
        <v>7</v>
      </c>
      <c r="D12260" s="4" t="s">
        <v>15</v>
      </c>
    </row>
    <row r="12261" spans="1:9">
      <c r="A12261" t="n">
        <v>113889</v>
      </c>
      <c r="B12261" s="49" t="n">
        <v>116</v>
      </c>
      <c r="C12261" s="7" t="n">
        <v>5</v>
      </c>
      <c r="D12261" s="7" t="n">
        <v>1084227584</v>
      </c>
    </row>
    <row r="12262" spans="1:9">
      <c r="A12262" t="s">
        <v>4</v>
      </c>
      <c r="B12262" s="4" t="s">
        <v>5</v>
      </c>
      <c r="C12262" s="4" t="s">
        <v>7</v>
      </c>
      <c r="D12262" s="4" t="s">
        <v>11</v>
      </c>
    </row>
    <row r="12263" spans="1:9">
      <c r="A12263" t="n">
        <v>113895</v>
      </c>
      <c r="B12263" s="49" t="n">
        <v>116</v>
      </c>
      <c r="C12263" s="7" t="n">
        <v>6</v>
      </c>
      <c r="D12263" s="7" t="n">
        <v>1</v>
      </c>
    </row>
    <row r="12264" spans="1:9">
      <c r="A12264" t="s">
        <v>4</v>
      </c>
      <c r="B12264" s="4" t="s">
        <v>5</v>
      </c>
      <c r="C12264" s="4" t="s">
        <v>7</v>
      </c>
      <c r="D12264" s="4" t="s">
        <v>11</v>
      </c>
    </row>
    <row r="12265" spans="1:9">
      <c r="A12265" t="n">
        <v>113899</v>
      </c>
      <c r="B12265" s="23" t="n">
        <v>58</v>
      </c>
      <c r="C12265" s="7" t="n">
        <v>255</v>
      </c>
      <c r="D12265" s="7" t="n">
        <v>0</v>
      </c>
    </row>
    <row r="12266" spans="1:9">
      <c r="A12266" t="s">
        <v>4</v>
      </c>
      <c r="B12266" s="4" t="s">
        <v>5</v>
      </c>
      <c r="C12266" s="4" t="s">
        <v>11</v>
      </c>
    </row>
    <row r="12267" spans="1:9">
      <c r="A12267" t="n">
        <v>113903</v>
      </c>
      <c r="B12267" s="29" t="n">
        <v>16</v>
      </c>
      <c r="C12267" s="7" t="n">
        <v>800</v>
      </c>
    </row>
    <row r="12268" spans="1:9">
      <c r="A12268" t="s">
        <v>4</v>
      </c>
      <c r="B12268" s="4" t="s">
        <v>5</v>
      </c>
      <c r="C12268" s="4" t="s">
        <v>8</v>
      </c>
      <c r="D12268" s="4" t="s">
        <v>8</v>
      </c>
    </row>
    <row r="12269" spans="1:9">
      <c r="A12269" t="n">
        <v>113906</v>
      </c>
      <c r="B12269" s="52" t="n">
        <v>70</v>
      </c>
      <c r="C12269" s="7" t="s">
        <v>279</v>
      </c>
      <c r="D12269" s="7" t="s">
        <v>284</v>
      </c>
    </row>
    <row r="12270" spans="1:9">
      <c r="A12270" t="s">
        <v>4</v>
      </c>
      <c r="B12270" s="4" t="s">
        <v>5</v>
      </c>
      <c r="C12270" s="4" t="s">
        <v>7</v>
      </c>
      <c r="D12270" s="4" t="s">
        <v>11</v>
      </c>
    </row>
    <row r="12271" spans="1:9">
      <c r="A12271" t="n">
        <v>113924</v>
      </c>
      <c r="B12271" s="51" t="n">
        <v>45</v>
      </c>
      <c r="C12271" s="7" t="n">
        <v>7</v>
      </c>
      <c r="D12271" s="7" t="n">
        <v>255</v>
      </c>
    </row>
    <row r="12272" spans="1:9">
      <c r="A12272" t="s">
        <v>4</v>
      </c>
      <c r="B12272" s="4" t="s">
        <v>5</v>
      </c>
      <c r="C12272" s="4" t="s">
        <v>7</v>
      </c>
      <c r="D12272" s="4" t="s">
        <v>11</v>
      </c>
      <c r="E12272" s="4" t="s">
        <v>8</v>
      </c>
    </row>
    <row r="12273" spans="1:5">
      <c r="A12273" t="n">
        <v>113928</v>
      </c>
      <c r="B12273" s="38" t="n">
        <v>51</v>
      </c>
      <c r="C12273" s="7" t="n">
        <v>4</v>
      </c>
      <c r="D12273" s="7" t="n">
        <v>0</v>
      </c>
      <c r="E12273" s="7" t="s">
        <v>179</v>
      </c>
    </row>
    <row r="12274" spans="1:5">
      <c r="A12274" t="s">
        <v>4</v>
      </c>
      <c r="B12274" s="4" t="s">
        <v>5</v>
      </c>
      <c r="C12274" s="4" t="s">
        <v>11</v>
      </c>
    </row>
    <row r="12275" spans="1:5">
      <c r="A12275" t="n">
        <v>113942</v>
      </c>
      <c r="B12275" s="29" t="n">
        <v>16</v>
      </c>
      <c r="C12275" s="7" t="n">
        <v>0</v>
      </c>
    </row>
    <row r="12276" spans="1:5">
      <c r="A12276" t="s">
        <v>4</v>
      </c>
      <c r="B12276" s="4" t="s">
        <v>5</v>
      </c>
      <c r="C12276" s="4" t="s">
        <v>11</v>
      </c>
      <c r="D12276" s="4" t="s">
        <v>7</v>
      </c>
      <c r="E12276" s="4" t="s">
        <v>15</v>
      </c>
      <c r="F12276" s="4" t="s">
        <v>55</v>
      </c>
      <c r="G12276" s="4" t="s">
        <v>7</v>
      </c>
      <c r="H12276" s="4" t="s">
        <v>7</v>
      </c>
      <c r="I12276" s="4" t="s">
        <v>7</v>
      </c>
      <c r="J12276" s="4" t="s">
        <v>15</v>
      </c>
      <c r="K12276" s="4" t="s">
        <v>55</v>
      </c>
      <c r="L12276" s="4" t="s">
        <v>7</v>
      </c>
      <c r="M12276" s="4" t="s">
        <v>7</v>
      </c>
    </row>
    <row r="12277" spans="1:5">
      <c r="A12277" t="n">
        <v>113945</v>
      </c>
      <c r="B12277" s="55" t="n">
        <v>26</v>
      </c>
      <c r="C12277" s="7" t="n">
        <v>0</v>
      </c>
      <c r="D12277" s="7" t="n">
        <v>17</v>
      </c>
      <c r="E12277" s="7" t="n">
        <v>64132</v>
      </c>
      <c r="F12277" s="7" t="s">
        <v>989</v>
      </c>
      <c r="G12277" s="7" t="n">
        <v>2</v>
      </c>
      <c r="H12277" s="7" t="n">
        <v>3</v>
      </c>
      <c r="I12277" s="7" t="n">
        <v>17</v>
      </c>
      <c r="J12277" s="7" t="n">
        <v>64133</v>
      </c>
      <c r="K12277" s="7" t="s">
        <v>990</v>
      </c>
      <c r="L12277" s="7" t="n">
        <v>2</v>
      </c>
      <c r="M12277" s="7" t="n">
        <v>0</v>
      </c>
    </row>
    <row r="12278" spans="1:5">
      <c r="A12278" t="s">
        <v>4</v>
      </c>
      <c r="B12278" s="4" t="s">
        <v>5</v>
      </c>
    </row>
    <row r="12279" spans="1:5">
      <c r="A12279" t="n">
        <v>114062</v>
      </c>
      <c r="B12279" s="27" t="n">
        <v>28</v>
      </c>
    </row>
    <row r="12280" spans="1:5">
      <c r="A12280" t="s">
        <v>4</v>
      </c>
      <c r="B12280" s="4" t="s">
        <v>5</v>
      </c>
      <c r="C12280" s="4" t="s">
        <v>7</v>
      </c>
      <c r="D12280" s="4" t="s">
        <v>11</v>
      </c>
      <c r="E12280" s="4" t="s">
        <v>13</v>
      </c>
    </row>
    <row r="12281" spans="1:5">
      <c r="A12281" t="n">
        <v>114063</v>
      </c>
      <c r="B12281" s="23" t="n">
        <v>58</v>
      </c>
      <c r="C12281" s="7" t="n">
        <v>101</v>
      </c>
      <c r="D12281" s="7" t="n">
        <v>500</v>
      </c>
      <c r="E12281" s="7" t="n">
        <v>1</v>
      </c>
    </row>
    <row r="12282" spans="1:5">
      <c r="A12282" t="s">
        <v>4</v>
      </c>
      <c r="B12282" s="4" t="s">
        <v>5</v>
      </c>
      <c r="C12282" s="4" t="s">
        <v>7</v>
      </c>
      <c r="D12282" s="4" t="s">
        <v>11</v>
      </c>
    </row>
    <row r="12283" spans="1:5">
      <c r="A12283" t="n">
        <v>114071</v>
      </c>
      <c r="B12283" s="23" t="n">
        <v>58</v>
      </c>
      <c r="C12283" s="7" t="n">
        <v>254</v>
      </c>
      <c r="D12283" s="7" t="n">
        <v>0</v>
      </c>
    </row>
    <row r="12284" spans="1:5">
      <c r="A12284" t="s">
        <v>4</v>
      </c>
      <c r="B12284" s="4" t="s">
        <v>5</v>
      </c>
      <c r="C12284" s="4" t="s">
        <v>7</v>
      </c>
      <c r="D12284" s="4" t="s">
        <v>7</v>
      </c>
      <c r="E12284" s="4" t="s">
        <v>13</v>
      </c>
      <c r="F12284" s="4" t="s">
        <v>13</v>
      </c>
      <c r="G12284" s="4" t="s">
        <v>13</v>
      </c>
      <c r="H12284" s="4" t="s">
        <v>11</v>
      </c>
    </row>
    <row r="12285" spans="1:5">
      <c r="A12285" t="n">
        <v>114075</v>
      </c>
      <c r="B12285" s="51" t="n">
        <v>45</v>
      </c>
      <c r="C12285" s="7" t="n">
        <v>2</v>
      </c>
      <c r="D12285" s="7" t="n">
        <v>3</v>
      </c>
      <c r="E12285" s="7" t="n">
        <v>4.96999979019165</v>
      </c>
      <c r="F12285" s="7" t="n">
        <v>1.51999998092651</v>
      </c>
      <c r="G12285" s="7" t="n">
        <v>46.3800010681152</v>
      </c>
      <c r="H12285" s="7" t="n">
        <v>0</v>
      </c>
    </row>
    <row r="12286" spans="1:5">
      <c r="A12286" t="s">
        <v>4</v>
      </c>
      <c r="B12286" s="4" t="s">
        <v>5</v>
      </c>
      <c r="C12286" s="4" t="s">
        <v>7</v>
      </c>
      <c r="D12286" s="4" t="s">
        <v>7</v>
      </c>
      <c r="E12286" s="4" t="s">
        <v>13</v>
      </c>
      <c r="F12286" s="4" t="s">
        <v>13</v>
      </c>
      <c r="G12286" s="4" t="s">
        <v>13</v>
      </c>
      <c r="H12286" s="4" t="s">
        <v>11</v>
      </c>
      <c r="I12286" s="4" t="s">
        <v>7</v>
      </c>
    </row>
    <row r="12287" spans="1:5">
      <c r="A12287" t="n">
        <v>114092</v>
      </c>
      <c r="B12287" s="51" t="n">
        <v>45</v>
      </c>
      <c r="C12287" s="7" t="n">
        <v>4</v>
      </c>
      <c r="D12287" s="7" t="n">
        <v>3</v>
      </c>
      <c r="E12287" s="7" t="n">
        <v>0.519999980926514</v>
      </c>
      <c r="F12287" s="7" t="n">
        <v>208.940002441406</v>
      </c>
      <c r="G12287" s="7" t="n">
        <v>0</v>
      </c>
      <c r="H12287" s="7" t="n">
        <v>0</v>
      </c>
      <c r="I12287" s="7" t="n">
        <v>0</v>
      </c>
    </row>
    <row r="12288" spans="1:5">
      <c r="A12288" t="s">
        <v>4</v>
      </c>
      <c r="B12288" s="4" t="s">
        <v>5</v>
      </c>
      <c r="C12288" s="4" t="s">
        <v>7</v>
      </c>
      <c r="D12288" s="4" t="s">
        <v>7</v>
      </c>
      <c r="E12288" s="4" t="s">
        <v>13</v>
      </c>
      <c r="F12288" s="4" t="s">
        <v>11</v>
      </c>
    </row>
    <row r="12289" spans="1:13">
      <c r="A12289" t="n">
        <v>114110</v>
      </c>
      <c r="B12289" s="51" t="n">
        <v>45</v>
      </c>
      <c r="C12289" s="7" t="n">
        <v>5</v>
      </c>
      <c r="D12289" s="7" t="n">
        <v>3</v>
      </c>
      <c r="E12289" s="7" t="n">
        <v>1</v>
      </c>
      <c r="F12289" s="7" t="n">
        <v>0</v>
      </c>
    </row>
    <row r="12290" spans="1:13">
      <c r="A12290" t="s">
        <v>4</v>
      </c>
      <c r="B12290" s="4" t="s">
        <v>5</v>
      </c>
      <c r="C12290" s="4" t="s">
        <v>7</v>
      </c>
      <c r="D12290" s="4" t="s">
        <v>7</v>
      </c>
      <c r="E12290" s="4" t="s">
        <v>13</v>
      </c>
      <c r="F12290" s="4" t="s">
        <v>11</v>
      </c>
    </row>
    <row r="12291" spans="1:13">
      <c r="A12291" t="n">
        <v>114119</v>
      </c>
      <c r="B12291" s="51" t="n">
        <v>45</v>
      </c>
      <c r="C12291" s="7" t="n">
        <v>11</v>
      </c>
      <c r="D12291" s="7" t="n">
        <v>3</v>
      </c>
      <c r="E12291" s="7" t="n">
        <v>34</v>
      </c>
      <c r="F12291" s="7" t="n">
        <v>0</v>
      </c>
    </row>
    <row r="12292" spans="1:13">
      <c r="A12292" t="s">
        <v>4</v>
      </c>
      <c r="B12292" s="4" t="s">
        <v>5</v>
      </c>
      <c r="C12292" s="4" t="s">
        <v>7</v>
      </c>
      <c r="D12292" s="4" t="s">
        <v>11</v>
      </c>
    </row>
    <row r="12293" spans="1:13">
      <c r="A12293" t="n">
        <v>114128</v>
      </c>
      <c r="B12293" s="23" t="n">
        <v>58</v>
      </c>
      <c r="C12293" s="7" t="n">
        <v>255</v>
      </c>
      <c r="D12293" s="7" t="n">
        <v>0</v>
      </c>
    </row>
    <row r="12294" spans="1:13">
      <c r="A12294" t="s">
        <v>4</v>
      </c>
      <c r="B12294" s="4" t="s">
        <v>5</v>
      </c>
      <c r="C12294" s="4" t="s">
        <v>7</v>
      </c>
      <c r="D12294" s="4" t="s">
        <v>11</v>
      </c>
      <c r="E12294" s="4" t="s">
        <v>8</v>
      </c>
    </row>
    <row r="12295" spans="1:13">
      <c r="A12295" t="n">
        <v>114132</v>
      </c>
      <c r="B12295" s="38" t="n">
        <v>51</v>
      </c>
      <c r="C12295" s="7" t="n">
        <v>4</v>
      </c>
      <c r="D12295" s="7" t="n">
        <v>4</v>
      </c>
      <c r="E12295" s="7" t="s">
        <v>179</v>
      </c>
    </row>
    <row r="12296" spans="1:13">
      <c r="A12296" t="s">
        <v>4</v>
      </c>
      <c r="B12296" s="4" t="s">
        <v>5</v>
      </c>
      <c r="C12296" s="4" t="s">
        <v>11</v>
      </c>
    </row>
    <row r="12297" spans="1:13">
      <c r="A12297" t="n">
        <v>114146</v>
      </c>
      <c r="B12297" s="29" t="n">
        <v>16</v>
      </c>
      <c r="C12297" s="7" t="n">
        <v>0</v>
      </c>
    </row>
    <row r="12298" spans="1:13">
      <c r="A12298" t="s">
        <v>4</v>
      </c>
      <c r="B12298" s="4" t="s">
        <v>5</v>
      </c>
      <c r="C12298" s="4" t="s">
        <v>11</v>
      </c>
      <c r="D12298" s="4" t="s">
        <v>7</v>
      </c>
      <c r="E12298" s="4" t="s">
        <v>15</v>
      </c>
      <c r="F12298" s="4" t="s">
        <v>55</v>
      </c>
      <c r="G12298" s="4" t="s">
        <v>7</v>
      </c>
      <c r="H12298" s="4" t="s">
        <v>7</v>
      </c>
      <c r="I12298" s="4" t="s">
        <v>7</v>
      </c>
      <c r="J12298" s="4" t="s">
        <v>15</v>
      </c>
      <c r="K12298" s="4" t="s">
        <v>55</v>
      </c>
      <c r="L12298" s="4" t="s">
        <v>7</v>
      </c>
      <c r="M12298" s="4" t="s">
        <v>7</v>
      </c>
    </row>
    <row r="12299" spans="1:13">
      <c r="A12299" t="n">
        <v>114149</v>
      </c>
      <c r="B12299" s="55" t="n">
        <v>26</v>
      </c>
      <c r="C12299" s="7" t="n">
        <v>4</v>
      </c>
      <c r="D12299" s="7" t="n">
        <v>17</v>
      </c>
      <c r="E12299" s="7" t="n">
        <v>64134</v>
      </c>
      <c r="F12299" s="7" t="s">
        <v>991</v>
      </c>
      <c r="G12299" s="7" t="n">
        <v>2</v>
      </c>
      <c r="H12299" s="7" t="n">
        <v>3</v>
      </c>
      <c r="I12299" s="7" t="n">
        <v>17</v>
      </c>
      <c r="J12299" s="7" t="n">
        <v>64135</v>
      </c>
      <c r="K12299" s="7" t="s">
        <v>992</v>
      </c>
      <c r="L12299" s="7" t="n">
        <v>2</v>
      </c>
      <c r="M12299" s="7" t="n">
        <v>0</v>
      </c>
    </row>
    <row r="12300" spans="1:13">
      <c r="A12300" t="s">
        <v>4</v>
      </c>
      <c r="B12300" s="4" t="s">
        <v>5</v>
      </c>
    </row>
    <row r="12301" spans="1:13">
      <c r="A12301" t="n">
        <v>114385</v>
      </c>
      <c r="B12301" s="27" t="n">
        <v>28</v>
      </c>
    </row>
    <row r="12302" spans="1:13">
      <c r="A12302" t="s">
        <v>4</v>
      </c>
      <c r="B12302" s="4" t="s">
        <v>5</v>
      </c>
      <c r="C12302" s="4" t="s">
        <v>7</v>
      </c>
      <c r="D12302" s="4" t="s">
        <v>11</v>
      </c>
      <c r="E12302" s="4" t="s">
        <v>8</v>
      </c>
    </row>
    <row r="12303" spans="1:13">
      <c r="A12303" t="n">
        <v>114386</v>
      </c>
      <c r="B12303" s="38" t="n">
        <v>51</v>
      </c>
      <c r="C12303" s="7" t="n">
        <v>4</v>
      </c>
      <c r="D12303" s="7" t="n">
        <v>0</v>
      </c>
      <c r="E12303" s="7" t="s">
        <v>173</v>
      </c>
    </row>
    <row r="12304" spans="1:13">
      <c r="A12304" t="s">
        <v>4</v>
      </c>
      <c r="B12304" s="4" t="s">
        <v>5</v>
      </c>
      <c r="C12304" s="4" t="s">
        <v>11</v>
      </c>
    </row>
    <row r="12305" spans="1:13">
      <c r="A12305" t="n">
        <v>114399</v>
      </c>
      <c r="B12305" s="29" t="n">
        <v>16</v>
      </c>
      <c r="C12305" s="7" t="n">
        <v>0</v>
      </c>
    </row>
    <row r="12306" spans="1:13">
      <c r="A12306" t="s">
        <v>4</v>
      </c>
      <c r="B12306" s="4" t="s">
        <v>5</v>
      </c>
      <c r="C12306" s="4" t="s">
        <v>11</v>
      </c>
      <c r="D12306" s="4" t="s">
        <v>7</v>
      </c>
      <c r="E12306" s="4" t="s">
        <v>15</v>
      </c>
      <c r="F12306" s="4" t="s">
        <v>55</v>
      </c>
      <c r="G12306" s="4" t="s">
        <v>7</v>
      </c>
      <c r="H12306" s="4" t="s">
        <v>7</v>
      </c>
    </row>
    <row r="12307" spans="1:13">
      <c r="A12307" t="n">
        <v>114402</v>
      </c>
      <c r="B12307" s="55" t="n">
        <v>26</v>
      </c>
      <c r="C12307" s="7" t="n">
        <v>0</v>
      </c>
      <c r="D12307" s="7" t="n">
        <v>17</v>
      </c>
      <c r="E12307" s="7" t="n">
        <v>64136</v>
      </c>
      <c r="F12307" s="7" t="s">
        <v>993</v>
      </c>
      <c r="G12307" s="7" t="n">
        <v>2</v>
      </c>
      <c r="H12307" s="7" t="n">
        <v>0</v>
      </c>
    </row>
    <row r="12308" spans="1:13">
      <c r="A12308" t="s">
        <v>4</v>
      </c>
      <c r="B12308" s="4" t="s">
        <v>5</v>
      </c>
    </row>
    <row r="12309" spans="1:13">
      <c r="A12309" t="n">
        <v>114441</v>
      </c>
      <c r="B12309" s="27" t="n">
        <v>28</v>
      </c>
    </row>
    <row r="12310" spans="1:13">
      <c r="A12310" t="s">
        <v>4</v>
      </c>
      <c r="B12310" s="4" t="s">
        <v>5</v>
      </c>
      <c r="C12310" s="4" t="s">
        <v>7</v>
      </c>
      <c r="D12310" s="4" t="s">
        <v>11</v>
      </c>
      <c r="E12310" s="4" t="s">
        <v>8</v>
      </c>
      <c r="F12310" s="4" t="s">
        <v>8</v>
      </c>
      <c r="G12310" s="4" t="s">
        <v>8</v>
      </c>
      <c r="H12310" s="4" t="s">
        <v>8</v>
      </c>
    </row>
    <row r="12311" spans="1:13">
      <c r="A12311" t="n">
        <v>114442</v>
      </c>
      <c r="B12311" s="38" t="n">
        <v>51</v>
      </c>
      <c r="C12311" s="7" t="n">
        <v>3</v>
      </c>
      <c r="D12311" s="7" t="n">
        <v>4</v>
      </c>
      <c r="E12311" s="7" t="s">
        <v>295</v>
      </c>
      <c r="F12311" s="7" t="s">
        <v>99</v>
      </c>
      <c r="G12311" s="7" t="s">
        <v>78</v>
      </c>
      <c r="H12311" s="7" t="s">
        <v>79</v>
      </c>
    </row>
    <row r="12312" spans="1:13">
      <c r="A12312" t="s">
        <v>4</v>
      </c>
      <c r="B12312" s="4" t="s">
        <v>5</v>
      </c>
      <c r="C12312" s="4" t="s">
        <v>11</v>
      </c>
      <c r="D12312" s="4" t="s">
        <v>13</v>
      </c>
      <c r="E12312" s="4" t="s">
        <v>13</v>
      </c>
      <c r="F12312" s="4" t="s">
        <v>13</v>
      </c>
      <c r="G12312" s="4" t="s">
        <v>11</v>
      </c>
      <c r="H12312" s="4" t="s">
        <v>11</v>
      </c>
    </row>
    <row r="12313" spans="1:13">
      <c r="A12313" t="n">
        <v>114455</v>
      </c>
      <c r="B12313" s="37" t="n">
        <v>60</v>
      </c>
      <c r="C12313" s="7" t="n">
        <v>4</v>
      </c>
      <c r="D12313" s="7" t="n">
        <v>-45</v>
      </c>
      <c r="E12313" s="7" t="n">
        <v>0</v>
      </c>
      <c r="F12313" s="7" t="n">
        <v>0</v>
      </c>
      <c r="G12313" s="7" t="n">
        <v>1000</v>
      </c>
      <c r="H12313" s="7" t="n">
        <v>0</v>
      </c>
    </row>
    <row r="12314" spans="1:13">
      <c r="A12314" t="s">
        <v>4</v>
      </c>
      <c r="B12314" s="4" t="s">
        <v>5</v>
      </c>
      <c r="C12314" s="4" t="s">
        <v>11</v>
      </c>
    </row>
    <row r="12315" spans="1:13">
      <c r="A12315" t="n">
        <v>114474</v>
      </c>
      <c r="B12315" s="29" t="n">
        <v>16</v>
      </c>
      <c r="C12315" s="7" t="n">
        <v>1000</v>
      </c>
    </row>
    <row r="12316" spans="1:13">
      <c r="A12316" t="s">
        <v>4</v>
      </c>
      <c r="B12316" s="4" t="s">
        <v>5</v>
      </c>
      <c r="C12316" s="4" t="s">
        <v>7</v>
      </c>
      <c r="D12316" s="4" t="s">
        <v>11</v>
      </c>
      <c r="E12316" s="4" t="s">
        <v>8</v>
      </c>
      <c r="F12316" s="4" t="s">
        <v>8</v>
      </c>
      <c r="G12316" s="4" t="s">
        <v>8</v>
      </c>
      <c r="H12316" s="4" t="s">
        <v>8</v>
      </c>
    </row>
    <row r="12317" spans="1:13">
      <c r="A12317" t="n">
        <v>114477</v>
      </c>
      <c r="B12317" s="38" t="n">
        <v>51</v>
      </c>
      <c r="C12317" s="7" t="n">
        <v>3</v>
      </c>
      <c r="D12317" s="7" t="n">
        <v>4</v>
      </c>
      <c r="E12317" s="7" t="s">
        <v>296</v>
      </c>
      <c r="F12317" s="7" t="s">
        <v>99</v>
      </c>
      <c r="G12317" s="7" t="s">
        <v>78</v>
      </c>
      <c r="H12317" s="7" t="s">
        <v>79</v>
      </c>
    </row>
    <row r="12318" spans="1:13">
      <c r="A12318" t="s">
        <v>4</v>
      </c>
      <c r="B12318" s="4" t="s">
        <v>5</v>
      </c>
      <c r="C12318" s="4" t="s">
        <v>11</v>
      </c>
      <c r="D12318" s="4" t="s">
        <v>13</v>
      </c>
      <c r="E12318" s="4" t="s">
        <v>13</v>
      </c>
      <c r="F12318" s="4" t="s">
        <v>13</v>
      </c>
      <c r="G12318" s="4" t="s">
        <v>11</v>
      </c>
      <c r="H12318" s="4" t="s">
        <v>11</v>
      </c>
    </row>
    <row r="12319" spans="1:13">
      <c r="A12319" t="n">
        <v>114491</v>
      </c>
      <c r="B12319" s="37" t="n">
        <v>60</v>
      </c>
      <c r="C12319" s="7" t="n">
        <v>4</v>
      </c>
      <c r="D12319" s="7" t="n">
        <v>45</v>
      </c>
      <c r="E12319" s="7" t="n">
        <v>0</v>
      </c>
      <c r="F12319" s="7" t="n">
        <v>0</v>
      </c>
      <c r="G12319" s="7" t="n">
        <v>1000</v>
      </c>
      <c r="H12319" s="7" t="n">
        <v>0</v>
      </c>
    </row>
    <row r="12320" spans="1:13">
      <c r="A12320" t="s">
        <v>4</v>
      </c>
      <c r="B12320" s="4" t="s">
        <v>5</v>
      </c>
      <c r="C12320" s="4" t="s">
        <v>11</v>
      </c>
    </row>
    <row r="12321" spans="1:8">
      <c r="A12321" t="n">
        <v>114510</v>
      </c>
      <c r="B12321" s="29" t="n">
        <v>16</v>
      </c>
      <c r="C12321" s="7" t="n">
        <v>1200</v>
      </c>
    </row>
    <row r="12322" spans="1:8">
      <c r="A12322" t="s">
        <v>4</v>
      </c>
      <c r="B12322" s="4" t="s">
        <v>5</v>
      </c>
      <c r="C12322" s="4" t="s">
        <v>7</v>
      </c>
      <c r="D12322" s="4" t="s">
        <v>11</v>
      </c>
      <c r="E12322" s="4" t="s">
        <v>8</v>
      </c>
      <c r="F12322" s="4" t="s">
        <v>8</v>
      </c>
      <c r="G12322" s="4" t="s">
        <v>8</v>
      </c>
      <c r="H12322" s="4" t="s">
        <v>8</v>
      </c>
    </row>
    <row r="12323" spans="1:8">
      <c r="A12323" t="n">
        <v>114513</v>
      </c>
      <c r="B12323" s="38" t="n">
        <v>51</v>
      </c>
      <c r="C12323" s="7" t="n">
        <v>3</v>
      </c>
      <c r="D12323" s="7" t="n">
        <v>4</v>
      </c>
      <c r="E12323" s="7" t="s">
        <v>319</v>
      </c>
      <c r="F12323" s="7" t="s">
        <v>99</v>
      </c>
      <c r="G12323" s="7" t="s">
        <v>78</v>
      </c>
      <c r="H12323" s="7" t="s">
        <v>79</v>
      </c>
    </row>
    <row r="12324" spans="1:8">
      <c r="A12324" t="s">
        <v>4</v>
      </c>
      <c r="B12324" s="4" t="s">
        <v>5</v>
      </c>
      <c r="C12324" s="4" t="s">
        <v>11</v>
      </c>
      <c r="D12324" s="4" t="s">
        <v>13</v>
      </c>
      <c r="E12324" s="4" t="s">
        <v>13</v>
      </c>
      <c r="F12324" s="4" t="s">
        <v>13</v>
      </c>
      <c r="G12324" s="4" t="s">
        <v>11</v>
      </c>
      <c r="H12324" s="4" t="s">
        <v>11</v>
      </c>
    </row>
    <row r="12325" spans="1:8">
      <c r="A12325" t="n">
        <v>114526</v>
      </c>
      <c r="B12325" s="37" t="n">
        <v>60</v>
      </c>
      <c r="C12325" s="7" t="n">
        <v>4</v>
      </c>
      <c r="D12325" s="7" t="n">
        <v>0</v>
      </c>
      <c r="E12325" s="7" t="n">
        <v>0</v>
      </c>
      <c r="F12325" s="7" t="n">
        <v>0</v>
      </c>
      <c r="G12325" s="7" t="n">
        <v>1000</v>
      </c>
      <c r="H12325" s="7" t="n">
        <v>0</v>
      </c>
    </row>
    <row r="12326" spans="1:8">
      <c r="A12326" t="s">
        <v>4</v>
      </c>
      <c r="B12326" s="4" t="s">
        <v>5</v>
      </c>
      <c r="C12326" s="4" t="s">
        <v>11</v>
      </c>
    </row>
    <row r="12327" spans="1:8">
      <c r="A12327" t="n">
        <v>114545</v>
      </c>
      <c r="B12327" s="29" t="n">
        <v>16</v>
      </c>
      <c r="C12327" s="7" t="n">
        <v>1000</v>
      </c>
    </row>
    <row r="12328" spans="1:8">
      <c r="A12328" t="s">
        <v>4</v>
      </c>
      <c r="B12328" s="4" t="s">
        <v>5</v>
      </c>
      <c r="C12328" s="4" t="s">
        <v>7</v>
      </c>
      <c r="D12328" s="4" t="s">
        <v>11</v>
      </c>
      <c r="E12328" s="4" t="s">
        <v>8</v>
      </c>
    </row>
    <row r="12329" spans="1:8">
      <c r="A12329" t="n">
        <v>114548</v>
      </c>
      <c r="B12329" s="38" t="n">
        <v>51</v>
      </c>
      <c r="C12329" s="7" t="n">
        <v>4</v>
      </c>
      <c r="D12329" s="7" t="n">
        <v>4</v>
      </c>
      <c r="E12329" s="7" t="s">
        <v>167</v>
      </c>
    </row>
    <row r="12330" spans="1:8">
      <c r="A12330" t="s">
        <v>4</v>
      </c>
      <c r="B12330" s="4" t="s">
        <v>5</v>
      </c>
      <c r="C12330" s="4" t="s">
        <v>11</v>
      </c>
    </row>
    <row r="12331" spans="1:8">
      <c r="A12331" t="n">
        <v>114562</v>
      </c>
      <c r="B12331" s="29" t="n">
        <v>16</v>
      </c>
      <c r="C12331" s="7" t="n">
        <v>0</v>
      </c>
    </row>
    <row r="12332" spans="1:8">
      <c r="A12332" t="s">
        <v>4</v>
      </c>
      <c r="B12332" s="4" t="s">
        <v>5</v>
      </c>
      <c r="C12332" s="4" t="s">
        <v>11</v>
      </c>
      <c r="D12332" s="4" t="s">
        <v>7</v>
      </c>
      <c r="E12332" s="4" t="s">
        <v>15</v>
      </c>
      <c r="F12332" s="4" t="s">
        <v>55</v>
      </c>
      <c r="G12332" s="4" t="s">
        <v>7</v>
      </c>
      <c r="H12332" s="4" t="s">
        <v>7</v>
      </c>
      <c r="I12332" s="4" t="s">
        <v>7</v>
      </c>
      <c r="J12332" s="4" t="s">
        <v>15</v>
      </c>
      <c r="K12332" s="4" t="s">
        <v>55</v>
      </c>
      <c r="L12332" s="4" t="s">
        <v>7</v>
      </c>
      <c r="M12332" s="4" t="s">
        <v>7</v>
      </c>
    </row>
    <row r="12333" spans="1:8">
      <c r="A12333" t="n">
        <v>114565</v>
      </c>
      <c r="B12333" s="55" t="n">
        <v>26</v>
      </c>
      <c r="C12333" s="7" t="n">
        <v>4</v>
      </c>
      <c r="D12333" s="7" t="n">
        <v>17</v>
      </c>
      <c r="E12333" s="7" t="n">
        <v>64137</v>
      </c>
      <c r="F12333" s="7" t="s">
        <v>994</v>
      </c>
      <c r="G12333" s="7" t="n">
        <v>2</v>
      </c>
      <c r="H12333" s="7" t="n">
        <v>3</v>
      </c>
      <c r="I12333" s="7" t="n">
        <v>17</v>
      </c>
      <c r="J12333" s="7" t="n">
        <v>64138</v>
      </c>
      <c r="K12333" s="7" t="s">
        <v>995</v>
      </c>
      <c r="L12333" s="7" t="n">
        <v>2</v>
      </c>
      <c r="M12333" s="7" t="n">
        <v>0</v>
      </c>
    </row>
    <row r="12334" spans="1:8">
      <c r="A12334" t="s">
        <v>4</v>
      </c>
      <c r="B12334" s="4" t="s">
        <v>5</v>
      </c>
    </row>
    <row r="12335" spans="1:8">
      <c r="A12335" t="n">
        <v>114740</v>
      </c>
      <c r="B12335" s="27" t="n">
        <v>28</v>
      </c>
    </row>
    <row r="12336" spans="1:8">
      <c r="A12336" t="s">
        <v>4</v>
      </c>
      <c r="B12336" s="4" t="s">
        <v>5</v>
      </c>
      <c r="C12336" s="4" t="s">
        <v>7</v>
      </c>
      <c r="D12336" s="4" t="s">
        <v>11</v>
      </c>
      <c r="E12336" s="4" t="s">
        <v>8</v>
      </c>
    </row>
    <row r="12337" spans="1:13">
      <c r="A12337" t="n">
        <v>114741</v>
      </c>
      <c r="B12337" s="38" t="n">
        <v>51</v>
      </c>
      <c r="C12337" s="7" t="n">
        <v>4</v>
      </c>
      <c r="D12337" s="7" t="n">
        <v>0</v>
      </c>
      <c r="E12337" s="7" t="s">
        <v>242</v>
      </c>
    </row>
    <row r="12338" spans="1:13">
      <c r="A12338" t="s">
        <v>4</v>
      </c>
      <c r="B12338" s="4" t="s">
        <v>5</v>
      </c>
      <c r="C12338" s="4" t="s">
        <v>11</v>
      </c>
    </row>
    <row r="12339" spans="1:13">
      <c r="A12339" t="n">
        <v>114755</v>
      </c>
      <c r="B12339" s="29" t="n">
        <v>16</v>
      </c>
      <c r="C12339" s="7" t="n">
        <v>0</v>
      </c>
    </row>
    <row r="12340" spans="1:13">
      <c r="A12340" t="s">
        <v>4</v>
      </c>
      <c r="B12340" s="4" t="s">
        <v>5</v>
      </c>
      <c r="C12340" s="4" t="s">
        <v>11</v>
      </c>
      <c r="D12340" s="4" t="s">
        <v>7</v>
      </c>
      <c r="E12340" s="4" t="s">
        <v>15</v>
      </c>
      <c r="F12340" s="4" t="s">
        <v>55</v>
      </c>
      <c r="G12340" s="4" t="s">
        <v>7</v>
      </c>
      <c r="H12340" s="4" t="s">
        <v>7</v>
      </c>
      <c r="I12340" s="4" t="s">
        <v>7</v>
      </c>
      <c r="J12340" s="4" t="s">
        <v>15</v>
      </c>
      <c r="K12340" s="4" t="s">
        <v>55</v>
      </c>
      <c r="L12340" s="4" t="s">
        <v>7</v>
      </c>
      <c r="M12340" s="4" t="s">
        <v>7</v>
      </c>
      <c r="N12340" s="4" t="s">
        <v>7</v>
      </c>
      <c r="O12340" s="4" t="s">
        <v>15</v>
      </c>
      <c r="P12340" s="4" t="s">
        <v>55</v>
      </c>
      <c r="Q12340" s="4" t="s">
        <v>7</v>
      </c>
      <c r="R12340" s="4" t="s">
        <v>7</v>
      </c>
    </row>
    <row r="12341" spans="1:13">
      <c r="A12341" t="n">
        <v>114758</v>
      </c>
      <c r="B12341" s="55" t="n">
        <v>26</v>
      </c>
      <c r="C12341" s="7" t="n">
        <v>0</v>
      </c>
      <c r="D12341" s="7" t="n">
        <v>17</v>
      </c>
      <c r="E12341" s="7" t="n">
        <v>64139</v>
      </c>
      <c r="F12341" s="7" t="s">
        <v>996</v>
      </c>
      <c r="G12341" s="7" t="n">
        <v>2</v>
      </c>
      <c r="H12341" s="7" t="n">
        <v>3</v>
      </c>
      <c r="I12341" s="7" t="n">
        <v>17</v>
      </c>
      <c r="J12341" s="7" t="n">
        <v>64140</v>
      </c>
      <c r="K12341" s="7" t="s">
        <v>997</v>
      </c>
      <c r="L12341" s="7" t="n">
        <v>2</v>
      </c>
      <c r="M12341" s="7" t="n">
        <v>3</v>
      </c>
      <c r="N12341" s="7" t="n">
        <v>17</v>
      </c>
      <c r="O12341" s="7" t="n">
        <v>64141</v>
      </c>
      <c r="P12341" s="7" t="s">
        <v>998</v>
      </c>
      <c r="Q12341" s="7" t="n">
        <v>2</v>
      </c>
      <c r="R12341" s="7" t="n">
        <v>0</v>
      </c>
    </row>
    <row r="12342" spans="1:13">
      <c r="A12342" t="s">
        <v>4</v>
      </c>
      <c r="B12342" s="4" t="s">
        <v>5</v>
      </c>
    </row>
    <row r="12343" spans="1:13">
      <c r="A12343" t="n">
        <v>114917</v>
      </c>
      <c r="B12343" s="27" t="n">
        <v>28</v>
      </c>
    </row>
    <row r="12344" spans="1:13">
      <c r="A12344" t="s">
        <v>4</v>
      </c>
      <c r="B12344" s="4" t="s">
        <v>5</v>
      </c>
      <c r="C12344" s="4" t="s">
        <v>7</v>
      </c>
      <c r="D12344" s="4" t="s">
        <v>11</v>
      </c>
      <c r="E12344" s="4" t="s">
        <v>8</v>
      </c>
    </row>
    <row r="12345" spans="1:13">
      <c r="A12345" t="n">
        <v>114918</v>
      </c>
      <c r="B12345" s="38" t="n">
        <v>51</v>
      </c>
      <c r="C12345" s="7" t="n">
        <v>4</v>
      </c>
      <c r="D12345" s="7" t="n">
        <v>4</v>
      </c>
      <c r="E12345" s="7" t="s">
        <v>450</v>
      </c>
    </row>
    <row r="12346" spans="1:13">
      <c r="A12346" t="s">
        <v>4</v>
      </c>
      <c r="B12346" s="4" t="s">
        <v>5</v>
      </c>
      <c r="C12346" s="4" t="s">
        <v>11</v>
      </c>
    </row>
    <row r="12347" spans="1:13">
      <c r="A12347" t="n">
        <v>114932</v>
      </c>
      <c r="B12347" s="29" t="n">
        <v>16</v>
      </c>
      <c r="C12347" s="7" t="n">
        <v>0</v>
      </c>
    </row>
    <row r="12348" spans="1:13">
      <c r="A12348" t="s">
        <v>4</v>
      </c>
      <c r="B12348" s="4" t="s">
        <v>5</v>
      </c>
      <c r="C12348" s="4" t="s">
        <v>11</v>
      </c>
      <c r="D12348" s="4" t="s">
        <v>7</v>
      </c>
      <c r="E12348" s="4" t="s">
        <v>15</v>
      </c>
      <c r="F12348" s="4" t="s">
        <v>55</v>
      </c>
      <c r="G12348" s="4" t="s">
        <v>7</v>
      </c>
      <c r="H12348" s="4" t="s">
        <v>7</v>
      </c>
    </row>
    <row r="12349" spans="1:13">
      <c r="A12349" t="n">
        <v>114935</v>
      </c>
      <c r="B12349" s="55" t="n">
        <v>26</v>
      </c>
      <c r="C12349" s="7" t="n">
        <v>4</v>
      </c>
      <c r="D12349" s="7" t="n">
        <v>17</v>
      </c>
      <c r="E12349" s="7" t="n">
        <v>64142</v>
      </c>
      <c r="F12349" s="7" t="s">
        <v>999</v>
      </c>
      <c r="G12349" s="7" t="n">
        <v>2</v>
      </c>
      <c r="H12349" s="7" t="n">
        <v>0</v>
      </c>
    </row>
    <row r="12350" spans="1:13">
      <c r="A12350" t="s">
        <v>4</v>
      </c>
      <c r="B12350" s="4" t="s">
        <v>5</v>
      </c>
    </row>
    <row r="12351" spans="1:13">
      <c r="A12351" t="n">
        <v>114959</v>
      </c>
      <c r="B12351" s="27" t="n">
        <v>28</v>
      </c>
    </row>
    <row r="12352" spans="1:13">
      <c r="A12352" t="s">
        <v>4</v>
      </c>
      <c r="B12352" s="4" t="s">
        <v>5</v>
      </c>
      <c r="C12352" s="4" t="s">
        <v>11</v>
      </c>
      <c r="D12352" s="4" t="s">
        <v>7</v>
      </c>
    </row>
    <row r="12353" spans="1:18">
      <c r="A12353" t="n">
        <v>114960</v>
      </c>
      <c r="B12353" s="68" t="n">
        <v>89</v>
      </c>
      <c r="C12353" s="7" t="n">
        <v>65533</v>
      </c>
      <c r="D12353" s="7" t="n">
        <v>1</v>
      </c>
    </row>
    <row r="12354" spans="1:18">
      <c r="A12354" t="s">
        <v>4</v>
      </c>
      <c r="B12354" s="4" t="s">
        <v>5</v>
      </c>
      <c r="C12354" s="4" t="s">
        <v>7</v>
      </c>
      <c r="D12354" s="4" t="s">
        <v>11</v>
      </c>
      <c r="E12354" s="4" t="s">
        <v>13</v>
      </c>
    </row>
    <row r="12355" spans="1:18">
      <c r="A12355" t="n">
        <v>114964</v>
      </c>
      <c r="B12355" s="23" t="n">
        <v>58</v>
      </c>
      <c r="C12355" s="7" t="n">
        <v>101</v>
      </c>
      <c r="D12355" s="7" t="n">
        <v>500</v>
      </c>
      <c r="E12355" s="7" t="n">
        <v>1</v>
      </c>
    </row>
    <row r="12356" spans="1:18">
      <c r="A12356" t="s">
        <v>4</v>
      </c>
      <c r="B12356" s="4" t="s">
        <v>5</v>
      </c>
      <c r="C12356" s="4" t="s">
        <v>7</v>
      </c>
      <c r="D12356" s="4" t="s">
        <v>11</v>
      </c>
    </row>
    <row r="12357" spans="1:18">
      <c r="A12357" t="n">
        <v>114972</v>
      </c>
      <c r="B12357" s="23" t="n">
        <v>58</v>
      </c>
      <c r="C12357" s="7" t="n">
        <v>254</v>
      </c>
      <c r="D12357" s="7" t="n">
        <v>0</v>
      </c>
    </row>
    <row r="12358" spans="1:18">
      <c r="A12358" t="s">
        <v>4</v>
      </c>
      <c r="B12358" s="4" t="s">
        <v>5</v>
      </c>
      <c r="C12358" s="4" t="s">
        <v>7</v>
      </c>
      <c r="D12358" s="4" t="s">
        <v>11</v>
      </c>
      <c r="E12358" s="4" t="s">
        <v>8</v>
      </c>
      <c r="F12358" s="4" t="s">
        <v>8</v>
      </c>
      <c r="G12358" s="4" t="s">
        <v>8</v>
      </c>
      <c r="H12358" s="4" t="s">
        <v>8</v>
      </c>
    </row>
    <row r="12359" spans="1:18">
      <c r="A12359" t="n">
        <v>114976</v>
      </c>
      <c r="B12359" s="38" t="n">
        <v>51</v>
      </c>
      <c r="C12359" s="7" t="n">
        <v>3</v>
      </c>
      <c r="D12359" s="7" t="n">
        <v>0</v>
      </c>
      <c r="E12359" s="7" t="s">
        <v>65</v>
      </c>
      <c r="F12359" s="7" t="s">
        <v>99</v>
      </c>
      <c r="G12359" s="7" t="s">
        <v>78</v>
      </c>
      <c r="H12359" s="7" t="s">
        <v>79</v>
      </c>
    </row>
    <row r="12360" spans="1:18">
      <c r="A12360" t="s">
        <v>4</v>
      </c>
      <c r="B12360" s="4" t="s">
        <v>5</v>
      </c>
      <c r="C12360" s="4" t="s">
        <v>7</v>
      </c>
      <c r="D12360" s="4" t="s">
        <v>11</v>
      </c>
      <c r="E12360" s="4" t="s">
        <v>8</v>
      </c>
      <c r="F12360" s="4" t="s">
        <v>8</v>
      </c>
      <c r="G12360" s="4" t="s">
        <v>8</v>
      </c>
      <c r="H12360" s="4" t="s">
        <v>8</v>
      </c>
    </row>
    <row r="12361" spans="1:18">
      <c r="A12361" t="n">
        <v>114997</v>
      </c>
      <c r="B12361" s="38" t="n">
        <v>51</v>
      </c>
      <c r="C12361" s="7" t="n">
        <v>3</v>
      </c>
      <c r="D12361" s="7" t="n">
        <v>4</v>
      </c>
      <c r="E12361" s="7" t="s">
        <v>65</v>
      </c>
      <c r="F12361" s="7" t="s">
        <v>99</v>
      </c>
      <c r="G12361" s="7" t="s">
        <v>78</v>
      </c>
      <c r="H12361" s="7" t="s">
        <v>79</v>
      </c>
    </row>
    <row r="12362" spans="1:18">
      <c r="A12362" t="s">
        <v>4</v>
      </c>
      <c r="B12362" s="4" t="s">
        <v>5</v>
      </c>
      <c r="C12362" s="4" t="s">
        <v>11</v>
      </c>
      <c r="D12362" s="4" t="s">
        <v>11</v>
      </c>
      <c r="E12362" s="4" t="s">
        <v>11</v>
      </c>
    </row>
    <row r="12363" spans="1:18">
      <c r="A12363" t="n">
        <v>115018</v>
      </c>
      <c r="B12363" s="72" t="n">
        <v>61</v>
      </c>
      <c r="C12363" s="7" t="n">
        <v>0</v>
      </c>
      <c r="D12363" s="7" t="n">
        <v>65533</v>
      </c>
      <c r="E12363" s="7" t="n">
        <v>0</v>
      </c>
    </row>
    <row r="12364" spans="1:18">
      <c r="A12364" t="s">
        <v>4</v>
      </c>
      <c r="B12364" s="4" t="s">
        <v>5</v>
      </c>
      <c r="C12364" s="4" t="s">
        <v>11</v>
      </c>
      <c r="D12364" s="4" t="s">
        <v>11</v>
      </c>
      <c r="E12364" s="4" t="s">
        <v>11</v>
      </c>
    </row>
    <row r="12365" spans="1:18">
      <c r="A12365" t="n">
        <v>115025</v>
      </c>
      <c r="B12365" s="72" t="n">
        <v>61</v>
      </c>
      <c r="C12365" s="7" t="n">
        <v>4</v>
      </c>
      <c r="D12365" s="7" t="n">
        <v>65533</v>
      </c>
      <c r="E12365" s="7" t="n">
        <v>0</v>
      </c>
    </row>
    <row r="12366" spans="1:18">
      <c r="A12366" t="s">
        <v>4</v>
      </c>
      <c r="B12366" s="4" t="s">
        <v>5</v>
      </c>
      <c r="C12366" s="4" t="s">
        <v>7</v>
      </c>
    </row>
    <row r="12367" spans="1:18">
      <c r="A12367" t="n">
        <v>115032</v>
      </c>
      <c r="B12367" s="49" t="n">
        <v>116</v>
      </c>
      <c r="C12367" s="7" t="n">
        <v>0</v>
      </c>
    </row>
    <row r="12368" spans="1:18">
      <c r="A12368" t="s">
        <v>4</v>
      </c>
      <c r="B12368" s="4" t="s">
        <v>5</v>
      </c>
      <c r="C12368" s="4" t="s">
        <v>7</v>
      </c>
      <c r="D12368" s="4" t="s">
        <v>11</v>
      </c>
    </row>
    <row r="12369" spans="1:8">
      <c r="A12369" t="n">
        <v>115034</v>
      </c>
      <c r="B12369" s="49" t="n">
        <v>116</v>
      </c>
      <c r="C12369" s="7" t="n">
        <v>2</v>
      </c>
      <c r="D12369" s="7" t="n">
        <v>1</v>
      </c>
    </row>
    <row r="12370" spans="1:8">
      <c r="A12370" t="s">
        <v>4</v>
      </c>
      <c r="B12370" s="4" t="s">
        <v>5</v>
      </c>
      <c r="C12370" s="4" t="s">
        <v>7</v>
      </c>
      <c r="D12370" s="4" t="s">
        <v>15</v>
      </c>
    </row>
    <row r="12371" spans="1:8">
      <c r="A12371" t="n">
        <v>115038</v>
      </c>
      <c r="B12371" s="49" t="n">
        <v>116</v>
      </c>
      <c r="C12371" s="7" t="n">
        <v>5</v>
      </c>
      <c r="D12371" s="7" t="n">
        <v>1106247680</v>
      </c>
    </row>
    <row r="12372" spans="1:8">
      <c r="A12372" t="s">
        <v>4</v>
      </c>
      <c r="B12372" s="4" t="s">
        <v>5</v>
      </c>
      <c r="C12372" s="4" t="s">
        <v>7</v>
      </c>
      <c r="D12372" s="4" t="s">
        <v>11</v>
      </c>
    </row>
    <row r="12373" spans="1:8">
      <c r="A12373" t="n">
        <v>115044</v>
      </c>
      <c r="B12373" s="49" t="n">
        <v>116</v>
      </c>
      <c r="C12373" s="7" t="n">
        <v>6</v>
      </c>
      <c r="D12373" s="7" t="n">
        <v>1</v>
      </c>
    </row>
    <row r="12374" spans="1:8">
      <c r="A12374" t="s">
        <v>4</v>
      </c>
      <c r="B12374" s="4" t="s">
        <v>5</v>
      </c>
      <c r="C12374" s="4" t="s">
        <v>7</v>
      </c>
      <c r="D12374" s="4" t="s">
        <v>7</v>
      </c>
      <c r="E12374" s="4" t="s">
        <v>13</v>
      </c>
      <c r="F12374" s="4" t="s">
        <v>13</v>
      </c>
      <c r="G12374" s="4" t="s">
        <v>13</v>
      </c>
      <c r="H12374" s="4" t="s">
        <v>11</v>
      </c>
    </row>
    <row r="12375" spans="1:8">
      <c r="A12375" t="n">
        <v>115048</v>
      </c>
      <c r="B12375" s="51" t="n">
        <v>45</v>
      </c>
      <c r="C12375" s="7" t="n">
        <v>2</v>
      </c>
      <c r="D12375" s="7" t="n">
        <v>3</v>
      </c>
      <c r="E12375" s="7" t="n">
        <v>4.53000020980835</v>
      </c>
      <c r="F12375" s="7" t="n">
        <v>1.30999994277954</v>
      </c>
      <c r="G12375" s="7" t="n">
        <v>46.2700004577637</v>
      </c>
      <c r="H12375" s="7" t="n">
        <v>0</v>
      </c>
    </row>
    <row r="12376" spans="1:8">
      <c r="A12376" t="s">
        <v>4</v>
      </c>
      <c r="B12376" s="4" t="s">
        <v>5</v>
      </c>
      <c r="C12376" s="4" t="s">
        <v>7</v>
      </c>
      <c r="D12376" s="4" t="s">
        <v>7</v>
      </c>
      <c r="E12376" s="4" t="s">
        <v>13</v>
      </c>
      <c r="F12376" s="4" t="s">
        <v>13</v>
      </c>
      <c r="G12376" s="4" t="s">
        <v>13</v>
      </c>
      <c r="H12376" s="4" t="s">
        <v>11</v>
      </c>
      <c r="I12376" s="4" t="s">
        <v>7</v>
      </c>
    </row>
    <row r="12377" spans="1:8">
      <c r="A12377" t="n">
        <v>115065</v>
      </c>
      <c r="B12377" s="51" t="n">
        <v>45</v>
      </c>
      <c r="C12377" s="7" t="n">
        <v>4</v>
      </c>
      <c r="D12377" s="7" t="n">
        <v>3</v>
      </c>
      <c r="E12377" s="7" t="n">
        <v>12.8699998855591</v>
      </c>
      <c r="F12377" s="7" t="n">
        <v>80.0199966430664</v>
      </c>
      <c r="G12377" s="7" t="n">
        <v>0</v>
      </c>
      <c r="H12377" s="7" t="n">
        <v>0</v>
      </c>
      <c r="I12377" s="7" t="n">
        <v>0</v>
      </c>
    </row>
    <row r="12378" spans="1:8">
      <c r="A12378" t="s">
        <v>4</v>
      </c>
      <c r="B12378" s="4" t="s">
        <v>5</v>
      </c>
      <c r="C12378" s="4" t="s">
        <v>7</v>
      </c>
      <c r="D12378" s="4" t="s">
        <v>7</v>
      </c>
      <c r="E12378" s="4" t="s">
        <v>13</v>
      </c>
      <c r="F12378" s="4" t="s">
        <v>11</v>
      </c>
    </row>
    <row r="12379" spans="1:8">
      <c r="A12379" t="n">
        <v>115083</v>
      </c>
      <c r="B12379" s="51" t="n">
        <v>45</v>
      </c>
      <c r="C12379" s="7" t="n">
        <v>5</v>
      </c>
      <c r="D12379" s="7" t="n">
        <v>3</v>
      </c>
      <c r="E12379" s="7" t="n">
        <v>3</v>
      </c>
      <c r="F12379" s="7" t="n">
        <v>0</v>
      </c>
    </row>
    <row r="12380" spans="1:8">
      <c r="A12380" t="s">
        <v>4</v>
      </c>
      <c r="B12380" s="4" t="s">
        <v>5</v>
      </c>
      <c r="C12380" s="4" t="s">
        <v>7</v>
      </c>
      <c r="D12380" s="4" t="s">
        <v>7</v>
      </c>
      <c r="E12380" s="4" t="s">
        <v>13</v>
      </c>
      <c r="F12380" s="4" t="s">
        <v>11</v>
      </c>
    </row>
    <row r="12381" spans="1:8">
      <c r="A12381" t="n">
        <v>115092</v>
      </c>
      <c r="B12381" s="51" t="n">
        <v>45</v>
      </c>
      <c r="C12381" s="7" t="n">
        <v>11</v>
      </c>
      <c r="D12381" s="7" t="n">
        <v>3</v>
      </c>
      <c r="E12381" s="7" t="n">
        <v>34</v>
      </c>
      <c r="F12381" s="7" t="n">
        <v>0</v>
      </c>
    </row>
    <row r="12382" spans="1:8">
      <c r="A12382" t="s">
        <v>4</v>
      </c>
      <c r="B12382" s="4" t="s">
        <v>5</v>
      </c>
      <c r="C12382" s="4" t="s">
        <v>7</v>
      </c>
      <c r="D12382" s="4" t="s">
        <v>7</v>
      </c>
      <c r="E12382" s="4" t="s">
        <v>13</v>
      </c>
      <c r="F12382" s="4" t="s">
        <v>13</v>
      </c>
      <c r="G12382" s="4" t="s">
        <v>13</v>
      </c>
      <c r="H12382" s="4" t="s">
        <v>11</v>
      </c>
    </row>
    <row r="12383" spans="1:8">
      <c r="A12383" t="n">
        <v>115101</v>
      </c>
      <c r="B12383" s="51" t="n">
        <v>45</v>
      </c>
      <c r="C12383" s="7" t="n">
        <v>2</v>
      </c>
      <c r="D12383" s="7" t="n">
        <v>3</v>
      </c>
      <c r="E12383" s="7" t="n">
        <v>4.53000020980835</v>
      </c>
      <c r="F12383" s="7" t="n">
        <v>2.30999994277954</v>
      </c>
      <c r="G12383" s="7" t="n">
        <v>46.2700004577637</v>
      </c>
      <c r="H12383" s="7" t="n">
        <v>5000</v>
      </c>
    </row>
    <row r="12384" spans="1:8">
      <c r="A12384" t="s">
        <v>4</v>
      </c>
      <c r="B12384" s="4" t="s">
        <v>5</v>
      </c>
      <c r="C12384" s="4" t="s">
        <v>7</v>
      </c>
      <c r="D12384" s="4" t="s">
        <v>11</v>
      </c>
    </row>
    <row r="12385" spans="1:9">
      <c r="A12385" t="n">
        <v>115118</v>
      </c>
      <c r="B12385" s="23" t="n">
        <v>58</v>
      </c>
      <c r="C12385" s="7" t="n">
        <v>255</v>
      </c>
      <c r="D12385" s="7" t="n">
        <v>0</v>
      </c>
    </row>
    <row r="12386" spans="1:9">
      <c r="A12386" t="s">
        <v>4</v>
      </c>
      <c r="B12386" s="4" t="s">
        <v>5</v>
      </c>
      <c r="C12386" s="4" t="s">
        <v>11</v>
      </c>
      <c r="D12386" s="4" t="s">
        <v>13</v>
      </c>
      <c r="E12386" s="4" t="s">
        <v>13</v>
      </c>
      <c r="F12386" s="4" t="s">
        <v>7</v>
      </c>
    </row>
    <row r="12387" spans="1:9">
      <c r="A12387" t="n">
        <v>115122</v>
      </c>
      <c r="B12387" s="65" t="n">
        <v>52</v>
      </c>
      <c r="C12387" s="7" t="n">
        <v>0</v>
      </c>
      <c r="D12387" s="7" t="n">
        <v>255</v>
      </c>
      <c r="E12387" s="7" t="n">
        <v>5</v>
      </c>
      <c r="F12387" s="7" t="n">
        <v>0</v>
      </c>
    </row>
    <row r="12388" spans="1:9">
      <c r="A12388" t="s">
        <v>4</v>
      </c>
      <c r="B12388" s="4" t="s">
        <v>5</v>
      </c>
      <c r="C12388" s="4" t="s">
        <v>11</v>
      </c>
    </row>
    <row r="12389" spans="1:9">
      <c r="A12389" t="n">
        <v>115134</v>
      </c>
      <c r="B12389" s="29" t="n">
        <v>16</v>
      </c>
      <c r="C12389" s="7" t="n">
        <v>100</v>
      </c>
    </row>
    <row r="12390" spans="1:9">
      <c r="A12390" t="s">
        <v>4</v>
      </c>
      <c r="B12390" s="4" t="s">
        <v>5</v>
      </c>
      <c r="C12390" s="4" t="s">
        <v>11</v>
      </c>
      <c r="D12390" s="4" t="s">
        <v>13</v>
      </c>
      <c r="E12390" s="4" t="s">
        <v>13</v>
      </c>
      <c r="F12390" s="4" t="s">
        <v>7</v>
      </c>
    </row>
    <row r="12391" spans="1:9">
      <c r="A12391" t="n">
        <v>115137</v>
      </c>
      <c r="B12391" s="65" t="n">
        <v>52</v>
      </c>
      <c r="C12391" s="7" t="n">
        <v>4</v>
      </c>
      <c r="D12391" s="7" t="n">
        <v>255</v>
      </c>
      <c r="E12391" s="7" t="n">
        <v>5</v>
      </c>
      <c r="F12391" s="7" t="n">
        <v>0</v>
      </c>
    </row>
    <row r="12392" spans="1:9">
      <c r="A12392" t="s">
        <v>4</v>
      </c>
      <c r="B12392" s="4" t="s">
        <v>5</v>
      </c>
      <c r="C12392" s="4" t="s">
        <v>11</v>
      </c>
    </row>
    <row r="12393" spans="1:9">
      <c r="A12393" t="n">
        <v>115149</v>
      </c>
      <c r="B12393" s="66" t="n">
        <v>54</v>
      </c>
      <c r="C12393" s="7" t="n">
        <v>0</v>
      </c>
    </row>
    <row r="12394" spans="1:9">
      <c r="A12394" t="s">
        <v>4</v>
      </c>
      <c r="B12394" s="4" t="s">
        <v>5</v>
      </c>
      <c r="C12394" s="4" t="s">
        <v>11</v>
      </c>
      <c r="D12394" s="4" t="s">
        <v>11</v>
      </c>
      <c r="E12394" s="4" t="s">
        <v>13</v>
      </c>
      <c r="F12394" s="4" t="s">
        <v>13</v>
      </c>
      <c r="G12394" s="4" t="s">
        <v>13</v>
      </c>
      <c r="H12394" s="4" t="s">
        <v>13</v>
      </c>
      <c r="I12394" s="4" t="s">
        <v>7</v>
      </c>
      <c r="J12394" s="4" t="s">
        <v>11</v>
      </c>
    </row>
    <row r="12395" spans="1:9">
      <c r="A12395" t="n">
        <v>115152</v>
      </c>
      <c r="B12395" s="53" t="n">
        <v>55</v>
      </c>
      <c r="C12395" s="7" t="n">
        <v>0</v>
      </c>
      <c r="D12395" s="7" t="n">
        <v>65024</v>
      </c>
      <c r="E12395" s="7" t="n">
        <v>0</v>
      </c>
      <c r="F12395" s="7" t="n">
        <v>0</v>
      </c>
      <c r="G12395" s="7" t="n">
        <v>6</v>
      </c>
      <c r="H12395" s="7" t="n">
        <v>1.20000004768372</v>
      </c>
      <c r="I12395" s="7" t="n">
        <v>1</v>
      </c>
      <c r="J12395" s="7" t="n">
        <v>0</v>
      </c>
    </row>
    <row r="12396" spans="1:9">
      <c r="A12396" t="s">
        <v>4</v>
      </c>
      <c r="B12396" s="4" t="s">
        <v>5</v>
      </c>
      <c r="C12396" s="4" t="s">
        <v>11</v>
      </c>
    </row>
    <row r="12397" spans="1:9">
      <c r="A12397" t="n">
        <v>115176</v>
      </c>
      <c r="B12397" s="66" t="n">
        <v>54</v>
      </c>
      <c r="C12397" s="7" t="n">
        <v>4</v>
      </c>
    </row>
    <row r="12398" spans="1:9">
      <c r="A12398" t="s">
        <v>4</v>
      </c>
      <c r="B12398" s="4" t="s">
        <v>5</v>
      </c>
      <c r="C12398" s="4" t="s">
        <v>11</v>
      </c>
    </row>
    <row r="12399" spans="1:9">
      <c r="A12399" t="n">
        <v>115179</v>
      </c>
      <c r="B12399" s="29" t="n">
        <v>16</v>
      </c>
      <c r="C12399" s="7" t="n">
        <v>200</v>
      </c>
    </row>
    <row r="12400" spans="1:9">
      <c r="A12400" t="s">
        <v>4</v>
      </c>
      <c r="B12400" s="4" t="s">
        <v>5</v>
      </c>
      <c r="C12400" s="4" t="s">
        <v>11</v>
      </c>
      <c r="D12400" s="4" t="s">
        <v>11</v>
      </c>
      <c r="E12400" s="4" t="s">
        <v>13</v>
      </c>
      <c r="F12400" s="4" t="s">
        <v>13</v>
      </c>
      <c r="G12400" s="4" t="s">
        <v>13</v>
      </c>
      <c r="H12400" s="4" t="s">
        <v>13</v>
      </c>
      <c r="I12400" s="4" t="s">
        <v>7</v>
      </c>
      <c r="J12400" s="4" t="s">
        <v>11</v>
      </c>
    </row>
    <row r="12401" spans="1:10">
      <c r="A12401" t="n">
        <v>115182</v>
      </c>
      <c r="B12401" s="53" t="n">
        <v>55</v>
      </c>
      <c r="C12401" s="7" t="n">
        <v>4</v>
      </c>
      <c r="D12401" s="7" t="n">
        <v>65024</v>
      </c>
      <c r="E12401" s="7" t="n">
        <v>0</v>
      </c>
      <c r="F12401" s="7" t="n">
        <v>0</v>
      </c>
      <c r="G12401" s="7" t="n">
        <v>6</v>
      </c>
      <c r="H12401" s="7" t="n">
        <v>1.20000004768372</v>
      </c>
      <c r="I12401" s="7" t="n">
        <v>1</v>
      </c>
      <c r="J12401" s="7" t="n">
        <v>0</v>
      </c>
    </row>
    <row r="12402" spans="1:10">
      <c r="A12402" t="s">
        <v>4</v>
      </c>
      <c r="B12402" s="4" t="s">
        <v>5</v>
      </c>
      <c r="C12402" s="4" t="s">
        <v>11</v>
      </c>
    </row>
    <row r="12403" spans="1:10">
      <c r="A12403" t="n">
        <v>115206</v>
      </c>
      <c r="B12403" s="29" t="n">
        <v>16</v>
      </c>
      <c r="C12403" s="7" t="n">
        <v>2000</v>
      </c>
    </row>
    <row r="12404" spans="1:10">
      <c r="A12404" t="s">
        <v>4</v>
      </c>
      <c r="B12404" s="4" t="s">
        <v>5</v>
      </c>
      <c r="C12404" s="4" t="s">
        <v>7</v>
      </c>
      <c r="D12404" s="4" t="s">
        <v>11</v>
      </c>
      <c r="E12404" s="4" t="s">
        <v>13</v>
      </c>
    </row>
    <row r="12405" spans="1:10">
      <c r="A12405" t="n">
        <v>115209</v>
      </c>
      <c r="B12405" s="23" t="n">
        <v>58</v>
      </c>
      <c r="C12405" s="7" t="n">
        <v>0</v>
      </c>
      <c r="D12405" s="7" t="n">
        <v>1000</v>
      </c>
      <c r="E12405" s="7" t="n">
        <v>1</v>
      </c>
    </row>
    <row r="12406" spans="1:10">
      <c r="A12406" t="s">
        <v>4</v>
      </c>
      <c r="B12406" s="4" t="s">
        <v>5</v>
      </c>
      <c r="C12406" s="4" t="s">
        <v>7</v>
      </c>
      <c r="D12406" s="4" t="s">
        <v>11</v>
      </c>
    </row>
    <row r="12407" spans="1:10">
      <c r="A12407" t="n">
        <v>115217</v>
      </c>
      <c r="B12407" s="23" t="n">
        <v>58</v>
      </c>
      <c r="C12407" s="7" t="n">
        <v>255</v>
      </c>
      <c r="D12407" s="7" t="n">
        <v>0</v>
      </c>
    </row>
    <row r="12408" spans="1:10">
      <c r="A12408" t="s">
        <v>4</v>
      </c>
      <c r="B12408" s="4" t="s">
        <v>5</v>
      </c>
      <c r="C12408" s="4" t="s">
        <v>11</v>
      </c>
      <c r="D12408" s="4" t="s">
        <v>7</v>
      </c>
    </row>
    <row r="12409" spans="1:10">
      <c r="A12409" t="n">
        <v>115221</v>
      </c>
      <c r="B12409" s="54" t="n">
        <v>56</v>
      </c>
      <c r="C12409" s="7" t="n">
        <v>0</v>
      </c>
      <c r="D12409" s="7" t="n">
        <v>1</v>
      </c>
    </row>
    <row r="12410" spans="1:10">
      <c r="A12410" t="s">
        <v>4</v>
      </c>
      <c r="B12410" s="4" t="s">
        <v>5</v>
      </c>
      <c r="C12410" s="4" t="s">
        <v>11</v>
      </c>
      <c r="D12410" s="4" t="s">
        <v>7</v>
      </c>
    </row>
    <row r="12411" spans="1:10">
      <c r="A12411" t="n">
        <v>115225</v>
      </c>
      <c r="B12411" s="54" t="n">
        <v>56</v>
      </c>
      <c r="C12411" s="7" t="n">
        <v>4</v>
      </c>
      <c r="D12411" s="7" t="n">
        <v>1</v>
      </c>
    </row>
    <row r="12412" spans="1:10">
      <c r="A12412" t="s">
        <v>4</v>
      </c>
      <c r="B12412" s="4" t="s">
        <v>5</v>
      </c>
      <c r="C12412" s="4" t="s">
        <v>11</v>
      </c>
      <c r="D12412" s="4" t="s">
        <v>13</v>
      </c>
      <c r="E12412" s="4" t="s">
        <v>13</v>
      </c>
      <c r="F12412" s="4" t="s">
        <v>13</v>
      </c>
      <c r="G12412" s="4" t="s">
        <v>13</v>
      </c>
    </row>
    <row r="12413" spans="1:10">
      <c r="A12413" t="n">
        <v>115229</v>
      </c>
      <c r="B12413" s="36" t="n">
        <v>46</v>
      </c>
      <c r="C12413" s="7" t="n">
        <v>0</v>
      </c>
      <c r="D12413" s="7" t="n">
        <v>-11.3500003814697</v>
      </c>
      <c r="E12413" s="7" t="n">
        <v>5.01000022888184</v>
      </c>
      <c r="F12413" s="7" t="n">
        <v>48.1100006103516</v>
      </c>
      <c r="G12413" s="7" t="n">
        <v>270.799987792969</v>
      </c>
    </row>
    <row r="12414" spans="1:10">
      <c r="A12414" t="s">
        <v>4</v>
      </c>
      <c r="B12414" s="4" t="s">
        <v>5</v>
      </c>
      <c r="C12414" s="4" t="s">
        <v>11</v>
      </c>
      <c r="D12414" s="4" t="s">
        <v>13</v>
      </c>
      <c r="E12414" s="4" t="s">
        <v>13</v>
      </c>
      <c r="F12414" s="4" t="s">
        <v>13</v>
      </c>
      <c r="G12414" s="4" t="s">
        <v>13</v>
      </c>
    </row>
    <row r="12415" spans="1:10">
      <c r="A12415" t="n">
        <v>115248</v>
      </c>
      <c r="B12415" s="36" t="n">
        <v>46</v>
      </c>
      <c r="C12415" s="7" t="n">
        <v>4</v>
      </c>
      <c r="D12415" s="7" t="n">
        <v>-11.8299999237061</v>
      </c>
      <c r="E12415" s="7" t="n">
        <v>5.01000022888184</v>
      </c>
      <c r="F12415" s="7" t="n">
        <v>47.4599990844727</v>
      </c>
      <c r="G12415" s="7" t="n">
        <v>261.100006103516</v>
      </c>
    </row>
    <row r="12416" spans="1:10">
      <c r="A12416" t="s">
        <v>4</v>
      </c>
      <c r="B12416" s="4" t="s">
        <v>5</v>
      </c>
      <c r="C12416" s="4" t="s">
        <v>11</v>
      </c>
      <c r="D12416" s="4" t="s">
        <v>11</v>
      </c>
      <c r="E12416" s="4" t="s">
        <v>11</v>
      </c>
    </row>
    <row r="12417" spans="1:10">
      <c r="A12417" t="n">
        <v>115267</v>
      </c>
      <c r="B12417" s="72" t="n">
        <v>61</v>
      </c>
      <c r="C12417" s="7" t="n">
        <v>0</v>
      </c>
      <c r="D12417" s="7" t="n">
        <v>65533</v>
      </c>
      <c r="E12417" s="7" t="n">
        <v>0</v>
      </c>
    </row>
    <row r="12418" spans="1:10">
      <c r="A12418" t="s">
        <v>4</v>
      </c>
      <c r="B12418" s="4" t="s">
        <v>5</v>
      </c>
      <c r="C12418" s="4" t="s">
        <v>11</v>
      </c>
      <c r="D12418" s="4" t="s">
        <v>11</v>
      </c>
      <c r="E12418" s="4" t="s">
        <v>11</v>
      </c>
    </row>
    <row r="12419" spans="1:10">
      <c r="A12419" t="n">
        <v>115274</v>
      </c>
      <c r="B12419" s="72" t="n">
        <v>61</v>
      </c>
      <c r="C12419" s="7" t="n">
        <v>4</v>
      </c>
      <c r="D12419" s="7" t="n">
        <v>65533</v>
      </c>
      <c r="E12419" s="7" t="n">
        <v>0</v>
      </c>
    </row>
    <row r="12420" spans="1:10">
      <c r="A12420" t="s">
        <v>4</v>
      </c>
      <c r="B12420" s="4" t="s">
        <v>5</v>
      </c>
      <c r="C12420" s="4" t="s">
        <v>7</v>
      </c>
      <c r="D12420" s="4" t="s">
        <v>7</v>
      </c>
      <c r="E12420" s="4" t="s">
        <v>13</v>
      </c>
      <c r="F12420" s="4" t="s">
        <v>13</v>
      </c>
      <c r="G12420" s="4" t="s">
        <v>13</v>
      </c>
      <c r="H12420" s="4" t="s">
        <v>11</v>
      </c>
    </row>
    <row r="12421" spans="1:10">
      <c r="A12421" t="n">
        <v>115281</v>
      </c>
      <c r="B12421" s="51" t="n">
        <v>45</v>
      </c>
      <c r="C12421" s="7" t="n">
        <v>2</v>
      </c>
      <c r="D12421" s="7" t="n">
        <v>3</v>
      </c>
      <c r="E12421" s="7" t="n">
        <v>-19.3099994659424</v>
      </c>
      <c r="F12421" s="7" t="n">
        <v>6.34000015258789</v>
      </c>
      <c r="G12421" s="7" t="n">
        <v>48.439998626709</v>
      </c>
      <c r="H12421" s="7" t="n">
        <v>0</v>
      </c>
    </row>
    <row r="12422" spans="1:10">
      <c r="A12422" t="s">
        <v>4</v>
      </c>
      <c r="B12422" s="4" t="s">
        <v>5</v>
      </c>
      <c r="C12422" s="4" t="s">
        <v>7</v>
      </c>
      <c r="D12422" s="4" t="s">
        <v>7</v>
      </c>
      <c r="E12422" s="4" t="s">
        <v>13</v>
      </c>
      <c r="F12422" s="4" t="s">
        <v>13</v>
      </c>
      <c r="G12422" s="4" t="s">
        <v>13</v>
      </c>
      <c r="H12422" s="4" t="s">
        <v>11</v>
      </c>
      <c r="I12422" s="4" t="s">
        <v>7</v>
      </c>
    </row>
    <row r="12423" spans="1:10">
      <c r="A12423" t="n">
        <v>115298</v>
      </c>
      <c r="B12423" s="51" t="n">
        <v>45</v>
      </c>
      <c r="C12423" s="7" t="n">
        <v>4</v>
      </c>
      <c r="D12423" s="7" t="n">
        <v>3</v>
      </c>
      <c r="E12423" s="7" t="n">
        <v>4.55999994277954</v>
      </c>
      <c r="F12423" s="7" t="n">
        <v>52.9500007629395</v>
      </c>
      <c r="G12423" s="7" t="n">
        <v>0</v>
      </c>
      <c r="H12423" s="7" t="n">
        <v>0</v>
      </c>
      <c r="I12423" s="7" t="n">
        <v>0</v>
      </c>
    </row>
    <row r="12424" spans="1:10">
      <c r="A12424" t="s">
        <v>4</v>
      </c>
      <c r="B12424" s="4" t="s">
        <v>5</v>
      </c>
      <c r="C12424" s="4" t="s">
        <v>7</v>
      </c>
      <c r="D12424" s="4" t="s">
        <v>7</v>
      </c>
      <c r="E12424" s="4" t="s">
        <v>13</v>
      </c>
      <c r="F12424" s="4" t="s">
        <v>11</v>
      </c>
    </row>
    <row r="12425" spans="1:10">
      <c r="A12425" t="n">
        <v>115316</v>
      </c>
      <c r="B12425" s="51" t="n">
        <v>45</v>
      </c>
      <c r="C12425" s="7" t="n">
        <v>5</v>
      </c>
      <c r="D12425" s="7" t="n">
        <v>3</v>
      </c>
      <c r="E12425" s="7" t="n">
        <v>2.29999995231628</v>
      </c>
      <c r="F12425" s="7" t="n">
        <v>0</v>
      </c>
    </row>
    <row r="12426" spans="1:10">
      <c r="A12426" t="s">
        <v>4</v>
      </c>
      <c r="B12426" s="4" t="s">
        <v>5</v>
      </c>
      <c r="C12426" s="4" t="s">
        <v>7</v>
      </c>
      <c r="D12426" s="4" t="s">
        <v>7</v>
      </c>
      <c r="E12426" s="4" t="s">
        <v>13</v>
      </c>
      <c r="F12426" s="4" t="s">
        <v>11</v>
      </c>
    </row>
    <row r="12427" spans="1:10">
      <c r="A12427" t="n">
        <v>115325</v>
      </c>
      <c r="B12427" s="51" t="n">
        <v>45</v>
      </c>
      <c r="C12427" s="7" t="n">
        <v>11</v>
      </c>
      <c r="D12427" s="7" t="n">
        <v>3</v>
      </c>
      <c r="E12427" s="7" t="n">
        <v>34</v>
      </c>
      <c r="F12427" s="7" t="n">
        <v>0</v>
      </c>
    </row>
    <row r="12428" spans="1:10">
      <c r="A12428" t="s">
        <v>4</v>
      </c>
      <c r="B12428" s="4" t="s">
        <v>5</v>
      </c>
      <c r="C12428" s="4" t="s">
        <v>7</v>
      </c>
      <c r="D12428" s="4" t="s">
        <v>7</v>
      </c>
      <c r="E12428" s="4" t="s">
        <v>13</v>
      </c>
      <c r="F12428" s="4" t="s">
        <v>13</v>
      </c>
      <c r="G12428" s="4" t="s">
        <v>13</v>
      </c>
      <c r="H12428" s="4" t="s">
        <v>11</v>
      </c>
    </row>
    <row r="12429" spans="1:10">
      <c r="A12429" t="n">
        <v>115334</v>
      </c>
      <c r="B12429" s="51" t="n">
        <v>45</v>
      </c>
      <c r="C12429" s="7" t="n">
        <v>2</v>
      </c>
      <c r="D12429" s="7" t="n">
        <v>3</v>
      </c>
      <c r="E12429" s="7" t="n">
        <v>-15.5699996948242</v>
      </c>
      <c r="F12429" s="7" t="n">
        <v>6.75</v>
      </c>
      <c r="G12429" s="7" t="n">
        <v>47.0400009155273</v>
      </c>
      <c r="H12429" s="7" t="n">
        <v>7000</v>
      </c>
    </row>
    <row r="12430" spans="1:10">
      <c r="A12430" t="s">
        <v>4</v>
      </c>
      <c r="B12430" s="4" t="s">
        <v>5</v>
      </c>
      <c r="C12430" s="4" t="s">
        <v>7</v>
      </c>
      <c r="D12430" s="4" t="s">
        <v>7</v>
      </c>
      <c r="E12430" s="4" t="s">
        <v>13</v>
      </c>
      <c r="F12430" s="4" t="s">
        <v>13</v>
      </c>
      <c r="G12430" s="4" t="s">
        <v>13</v>
      </c>
      <c r="H12430" s="4" t="s">
        <v>11</v>
      </c>
      <c r="I12430" s="4" t="s">
        <v>7</v>
      </c>
    </row>
    <row r="12431" spans="1:10">
      <c r="A12431" t="n">
        <v>115351</v>
      </c>
      <c r="B12431" s="51" t="n">
        <v>45</v>
      </c>
      <c r="C12431" s="7" t="n">
        <v>4</v>
      </c>
      <c r="D12431" s="7" t="n">
        <v>3</v>
      </c>
      <c r="E12431" s="7" t="n">
        <v>18.8099994659424</v>
      </c>
      <c r="F12431" s="7" t="n">
        <v>253.800003051758</v>
      </c>
      <c r="G12431" s="7" t="n">
        <v>0</v>
      </c>
      <c r="H12431" s="7" t="n">
        <v>7000</v>
      </c>
      <c r="I12431" s="7" t="n">
        <v>1</v>
      </c>
    </row>
    <row r="12432" spans="1:10">
      <c r="A12432" t="s">
        <v>4</v>
      </c>
      <c r="B12432" s="4" t="s">
        <v>5</v>
      </c>
      <c r="C12432" s="4" t="s">
        <v>7</v>
      </c>
      <c r="D12432" s="4" t="s">
        <v>7</v>
      </c>
      <c r="E12432" s="4" t="s">
        <v>13</v>
      </c>
      <c r="F12432" s="4" t="s">
        <v>11</v>
      </c>
    </row>
    <row r="12433" spans="1:9">
      <c r="A12433" t="n">
        <v>115369</v>
      </c>
      <c r="B12433" s="51" t="n">
        <v>45</v>
      </c>
      <c r="C12433" s="7" t="n">
        <v>5</v>
      </c>
      <c r="D12433" s="7" t="n">
        <v>3</v>
      </c>
      <c r="E12433" s="7" t="n">
        <v>2.59999990463257</v>
      </c>
      <c r="F12433" s="7" t="n">
        <v>7000</v>
      </c>
    </row>
    <row r="12434" spans="1:9">
      <c r="A12434" t="s">
        <v>4</v>
      </c>
      <c r="B12434" s="4" t="s">
        <v>5</v>
      </c>
      <c r="C12434" s="4" t="s">
        <v>7</v>
      </c>
      <c r="D12434" s="4" t="s">
        <v>11</v>
      </c>
      <c r="E12434" s="4" t="s">
        <v>13</v>
      </c>
    </row>
    <row r="12435" spans="1:9">
      <c r="A12435" t="n">
        <v>115378</v>
      </c>
      <c r="B12435" s="23" t="n">
        <v>58</v>
      </c>
      <c r="C12435" s="7" t="n">
        <v>100</v>
      </c>
      <c r="D12435" s="7" t="n">
        <v>1000</v>
      </c>
      <c r="E12435" s="7" t="n">
        <v>1</v>
      </c>
    </row>
    <row r="12436" spans="1:9">
      <c r="A12436" t="s">
        <v>4</v>
      </c>
      <c r="B12436" s="4" t="s">
        <v>5</v>
      </c>
      <c r="C12436" s="4" t="s">
        <v>7</v>
      </c>
      <c r="D12436" s="4" t="s">
        <v>11</v>
      </c>
    </row>
    <row r="12437" spans="1:9">
      <c r="A12437" t="n">
        <v>115386</v>
      </c>
      <c r="B12437" s="23" t="n">
        <v>58</v>
      </c>
      <c r="C12437" s="7" t="n">
        <v>255</v>
      </c>
      <c r="D12437" s="7" t="n">
        <v>0</v>
      </c>
    </row>
    <row r="12438" spans="1:9">
      <c r="A12438" t="s">
        <v>4</v>
      </c>
      <c r="B12438" s="4" t="s">
        <v>5</v>
      </c>
      <c r="C12438" s="4" t="s">
        <v>8</v>
      </c>
      <c r="D12438" s="4" t="s">
        <v>8</v>
      </c>
    </row>
    <row r="12439" spans="1:9">
      <c r="A12439" t="n">
        <v>115390</v>
      </c>
      <c r="B12439" s="52" t="n">
        <v>70</v>
      </c>
      <c r="C12439" s="7" t="s">
        <v>1000</v>
      </c>
      <c r="D12439" s="7" t="s">
        <v>109</v>
      </c>
    </row>
    <row r="12440" spans="1:9">
      <c r="A12440" t="s">
        <v>4</v>
      </c>
      <c r="B12440" s="4" t="s">
        <v>5</v>
      </c>
      <c r="C12440" s="4" t="s">
        <v>11</v>
      </c>
    </row>
    <row r="12441" spans="1:9">
      <c r="A12441" t="n">
        <v>115407</v>
      </c>
      <c r="B12441" s="29" t="n">
        <v>16</v>
      </c>
      <c r="C12441" s="7" t="n">
        <v>4000</v>
      </c>
    </row>
    <row r="12442" spans="1:9">
      <c r="A12442" t="s">
        <v>4</v>
      </c>
      <c r="B12442" s="4" t="s">
        <v>5</v>
      </c>
      <c r="C12442" s="4" t="s">
        <v>11</v>
      </c>
      <c r="D12442" s="4" t="s">
        <v>7</v>
      </c>
      <c r="E12442" s="4" t="s">
        <v>13</v>
      </c>
      <c r="F12442" s="4" t="s">
        <v>11</v>
      </c>
    </row>
    <row r="12443" spans="1:9">
      <c r="A12443" t="n">
        <v>115410</v>
      </c>
      <c r="B12443" s="56" t="n">
        <v>59</v>
      </c>
      <c r="C12443" s="7" t="n">
        <v>4</v>
      </c>
      <c r="D12443" s="7" t="n">
        <v>9</v>
      </c>
      <c r="E12443" s="7" t="n">
        <v>0.150000005960464</v>
      </c>
      <c r="F12443" s="7" t="n">
        <v>0</v>
      </c>
    </row>
    <row r="12444" spans="1:9">
      <c r="A12444" t="s">
        <v>4</v>
      </c>
      <c r="B12444" s="4" t="s">
        <v>5</v>
      </c>
      <c r="C12444" s="4" t="s">
        <v>11</v>
      </c>
      <c r="D12444" s="4" t="s">
        <v>13</v>
      </c>
      <c r="E12444" s="4" t="s">
        <v>13</v>
      </c>
      <c r="F12444" s="4" t="s">
        <v>13</v>
      </c>
      <c r="G12444" s="4" t="s">
        <v>11</v>
      </c>
      <c r="H12444" s="4" t="s">
        <v>11</v>
      </c>
    </row>
    <row r="12445" spans="1:9">
      <c r="A12445" t="n">
        <v>115420</v>
      </c>
      <c r="B12445" s="37" t="n">
        <v>60</v>
      </c>
      <c r="C12445" s="7" t="n">
        <v>4</v>
      </c>
      <c r="D12445" s="7" t="n">
        <v>-45</v>
      </c>
      <c r="E12445" s="7" t="n">
        <v>0</v>
      </c>
      <c r="F12445" s="7" t="n">
        <v>0</v>
      </c>
      <c r="G12445" s="7" t="n">
        <v>1000</v>
      </c>
      <c r="H12445" s="7" t="n">
        <v>0</v>
      </c>
    </row>
    <row r="12446" spans="1:9">
      <c r="A12446" t="s">
        <v>4</v>
      </c>
      <c r="B12446" s="4" t="s">
        <v>5</v>
      </c>
      <c r="C12446" s="4" t="s">
        <v>11</v>
      </c>
    </row>
    <row r="12447" spans="1:9">
      <c r="A12447" t="n">
        <v>115439</v>
      </c>
      <c r="B12447" s="29" t="n">
        <v>16</v>
      </c>
      <c r="C12447" s="7" t="n">
        <v>1000</v>
      </c>
    </row>
    <row r="12448" spans="1:9">
      <c r="A12448" t="s">
        <v>4</v>
      </c>
      <c r="B12448" s="4" t="s">
        <v>5</v>
      </c>
      <c r="C12448" s="4" t="s">
        <v>11</v>
      </c>
      <c r="D12448" s="4" t="s">
        <v>13</v>
      </c>
      <c r="E12448" s="4" t="s">
        <v>13</v>
      </c>
      <c r="F12448" s="4" t="s">
        <v>13</v>
      </c>
      <c r="G12448" s="4" t="s">
        <v>11</v>
      </c>
      <c r="H12448" s="4" t="s">
        <v>11</v>
      </c>
    </row>
    <row r="12449" spans="1:8">
      <c r="A12449" t="n">
        <v>115442</v>
      </c>
      <c r="B12449" s="37" t="n">
        <v>60</v>
      </c>
      <c r="C12449" s="7" t="n">
        <v>4</v>
      </c>
      <c r="D12449" s="7" t="n">
        <v>45</v>
      </c>
      <c r="E12449" s="7" t="n">
        <v>0</v>
      </c>
      <c r="F12449" s="7" t="n">
        <v>0</v>
      </c>
      <c r="G12449" s="7" t="n">
        <v>1000</v>
      </c>
      <c r="H12449" s="7" t="n">
        <v>0</v>
      </c>
    </row>
    <row r="12450" spans="1:8">
      <c r="A12450" t="s">
        <v>4</v>
      </c>
      <c r="B12450" s="4" t="s">
        <v>5</v>
      </c>
      <c r="C12450" s="4" t="s">
        <v>11</v>
      </c>
    </row>
    <row r="12451" spans="1:8">
      <c r="A12451" t="n">
        <v>115461</v>
      </c>
      <c r="B12451" s="29" t="n">
        <v>16</v>
      </c>
      <c r="C12451" s="7" t="n">
        <v>1000</v>
      </c>
    </row>
    <row r="12452" spans="1:8">
      <c r="A12452" t="s">
        <v>4</v>
      </c>
      <c r="B12452" s="4" t="s">
        <v>5</v>
      </c>
      <c r="C12452" s="4" t="s">
        <v>11</v>
      </c>
      <c r="D12452" s="4" t="s">
        <v>13</v>
      </c>
      <c r="E12452" s="4" t="s">
        <v>13</v>
      </c>
      <c r="F12452" s="4" t="s">
        <v>13</v>
      </c>
      <c r="G12452" s="4" t="s">
        <v>11</v>
      </c>
      <c r="H12452" s="4" t="s">
        <v>11</v>
      </c>
    </row>
    <row r="12453" spans="1:8">
      <c r="A12453" t="n">
        <v>115464</v>
      </c>
      <c r="B12453" s="37" t="n">
        <v>60</v>
      </c>
      <c r="C12453" s="7" t="n">
        <v>4</v>
      </c>
      <c r="D12453" s="7" t="n">
        <v>0</v>
      </c>
      <c r="E12453" s="7" t="n">
        <v>0</v>
      </c>
      <c r="F12453" s="7" t="n">
        <v>0</v>
      </c>
      <c r="G12453" s="7" t="n">
        <v>500</v>
      </c>
      <c r="H12453" s="7" t="n">
        <v>0</v>
      </c>
    </row>
    <row r="12454" spans="1:8">
      <c r="A12454" t="s">
        <v>4</v>
      </c>
      <c r="B12454" s="4" t="s">
        <v>5</v>
      </c>
      <c r="C12454" s="4" t="s">
        <v>11</v>
      </c>
    </row>
    <row r="12455" spans="1:8">
      <c r="A12455" t="n">
        <v>115483</v>
      </c>
      <c r="B12455" s="29" t="n">
        <v>16</v>
      </c>
      <c r="C12455" s="7" t="n">
        <v>1000</v>
      </c>
    </row>
    <row r="12456" spans="1:8">
      <c r="A12456" t="s">
        <v>4</v>
      </c>
      <c r="B12456" s="4" t="s">
        <v>5</v>
      </c>
      <c r="C12456" s="4" t="s">
        <v>7</v>
      </c>
      <c r="D12456" s="4" t="s">
        <v>11</v>
      </c>
    </row>
    <row r="12457" spans="1:8">
      <c r="A12457" t="n">
        <v>115486</v>
      </c>
      <c r="B12457" s="51" t="n">
        <v>45</v>
      </c>
      <c r="C12457" s="7" t="n">
        <v>7</v>
      </c>
      <c r="D12457" s="7" t="n">
        <v>255</v>
      </c>
    </row>
    <row r="12458" spans="1:8">
      <c r="A12458" t="s">
        <v>4</v>
      </c>
      <c r="B12458" s="4" t="s">
        <v>5</v>
      </c>
      <c r="C12458" s="4" t="s">
        <v>7</v>
      </c>
      <c r="D12458" s="4" t="s">
        <v>11</v>
      </c>
      <c r="E12458" s="4" t="s">
        <v>13</v>
      </c>
    </row>
    <row r="12459" spans="1:8">
      <c r="A12459" t="n">
        <v>115490</v>
      </c>
      <c r="B12459" s="23" t="n">
        <v>58</v>
      </c>
      <c r="C12459" s="7" t="n">
        <v>0</v>
      </c>
      <c r="D12459" s="7" t="n">
        <v>1000</v>
      </c>
      <c r="E12459" s="7" t="n">
        <v>1</v>
      </c>
    </row>
    <row r="12460" spans="1:8">
      <c r="A12460" t="s">
        <v>4</v>
      </c>
      <c r="B12460" s="4" t="s">
        <v>5</v>
      </c>
      <c r="C12460" s="4" t="s">
        <v>7</v>
      </c>
      <c r="D12460" s="4" t="s">
        <v>11</v>
      </c>
    </row>
    <row r="12461" spans="1:8">
      <c r="A12461" t="n">
        <v>115498</v>
      </c>
      <c r="B12461" s="23" t="n">
        <v>58</v>
      </c>
      <c r="C12461" s="7" t="n">
        <v>255</v>
      </c>
      <c r="D12461" s="7" t="n">
        <v>0</v>
      </c>
    </row>
    <row r="12462" spans="1:8">
      <c r="A12462" t="s">
        <v>4</v>
      </c>
      <c r="B12462" s="4" t="s">
        <v>5</v>
      </c>
      <c r="C12462" s="4" t="s">
        <v>8</v>
      </c>
      <c r="D12462" s="4" t="s">
        <v>8</v>
      </c>
    </row>
    <row r="12463" spans="1:8">
      <c r="A12463" t="n">
        <v>115502</v>
      </c>
      <c r="B12463" s="52" t="n">
        <v>70</v>
      </c>
      <c r="C12463" s="7" t="s">
        <v>1000</v>
      </c>
      <c r="D12463" s="7" t="s">
        <v>118</v>
      </c>
    </row>
    <row r="12464" spans="1:8">
      <c r="A12464" t="s">
        <v>4</v>
      </c>
      <c r="B12464" s="4" t="s">
        <v>5</v>
      </c>
      <c r="C12464" s="4" t="s">
        <v>11</v>
      </c>
      <c r="D12464" s="4" t="s">
        <v>11</v>
      </c>
      <c r="E12464" s="4" t="s">
        <v>11</v>
      </c>
    </row>
    <row r="12465" spans="1:8">
      <c r="A12465" t="n">
        <v>115518</v>
      </c>
      <c r="B12465" s="72" t="n">
        <v>61</v>
      </c>
      <c r="C12465" s="7" t="n">
        <v>0</v>
      </c>
      <c r="D12465" s="7" t="n">
        <v>65533</v>
      </c>
      <c r="E12465" s="7" t="n">
        <v>1000</v>
      </c>
    </row>
    <row r="12466" spans="1:8">
      <c r="A12466" t="s">
        <v>4</v>
      </c>
      <c r="B12466" s="4" t="s">
        <v>5</v>
      </c>
      <c r="C12466" s="4" t="s">
        <v>11</v>
      </c>
      <c r="D12466" s="4" t="s">
        <v>11</v>
      </c>
      <c r="E12466" s="4" t="s">
        <v>11</v>
      </c>
    </row>
    <row r="12467" spans="1:8">
      <c r="A12467" t="n">
        <v>115525</v>
      </c>
      <c r="B12467" s="72" t="n">
        <v>61</v>
      </c>
      <c r="C12467" s="7" t="n">
        <v>4</v>
      </c>
      <c r="D12467" s="7" t="n">
        <v>65533</v>
      </c>
      <c r="E12467" s="7" t="n">
        <v>1000</v>
      </c>
    </row>
    <row r="12468" spans="1:8">
      <c r="A12468" t="s">
        <v>4</v>
      </c>
      <c r="B12468" s="4" t="s">
        <v>5</v>
      </c>
      <c r="C12468" s="4" t="s">
        <v>11</v>
      </c>
      <c r="D12468" s="4" t="s">
        <v>13</v>
      </c>
      <c r="E12468" s="4" t="s">
        <v>13</v>
      </c>
      <c r="F12468" s="4" t="s">
        <v>13</v>
      </c>
      <c r="G12468" s="4" t="s">
        <v>13</v>
      </c>
    </row>
    <row r="12469" spans="1:8">
      <c r="A12469" t="n">
        <v>115532</v>
      </c>
      <c r="B12469" s="36" t="n">
        <v>46</v>
      </c>
      <c r="C12469" s="7" t="n">
        <v>0</v>
      </c>
      <c r="D12469" s="7" t="n">
        <v>-2.66000008583069</v>
      </c>
      <c r="E12469" s="7" t="n">
        <v>5.01000022888184</v>
      </c>
      <c r="F12469" s="7" t="n">
        <v>32.189998626709</v>
      </c>
      <c r="G12469" s="7" t="n">
        <v>90</v>
      </c>
    </row>
    <row r="12470" spans="1:8">
      <c r="A12470" t="s">
        <v>4</v>
      </c>
      <c r="B12470" s="4" t="s">
        <v>5</v>
      </c>
      <c r="C12470" s="4" t="s">
        <v>11</v>
      </c>
      <c r="D12470" s="4" t="s">
        <v>13</v>
      </c>
      <c r="E12470" s="4" t="s">
        <v>13</v>
      </c>
      <c r="F12470" s="4" t="s">
        <v>13</v>
      </c>
      <c r="G12470" s="4" t="s">
        <v>13</v>
      </c>
    </row>
    <row r="12471" spans="1:8">
      <c r="A12471" t="n">
        <v>115551</v>
      </c>
      <c r="B12471" s="36" t="n">
        <v>46</v>
      </c>
      <c r="C12471" s="7" t="n">
        <v>4</v>
      </c>
      <c r="D12471" s="7" t="n">
        <v>-3.16000008583069</v>
      </c>
      <c r="E12471" s="7" t="n">
        <v>5.01000022888184</v>
      </c>
      <c r="F12471" s="7" t="n">
        <v>31.7900009155273</v>
      </c>
      <c r="G12471" s="7" t="n">
        <v>90</v>
      </c>
    </row>
    <row r="12472" spans="1:8">
      <c r="A12472" t="s">
        <v>4</v>
      </c>
      <c r="B12472" s="4" t="s">
        <v>5</v>
      </c>
      <c r="C12472" s="4" t="s">
        <v>7</v>
      </c>
      <c r="D12472" s="4" t="s">
        <v>7</v>
      </c>
      <c r="E12472" s="4" t="s">
        <v>13</v>
      </c>
      <c r="F12472" s="4" t="s">
        <v>13</v>
      </c>
      <c r="G12472" s="4" t="s">
        <v>13</v>
      </c>
      <c r="H12472" s="4" t="s">
        <v>11</v>
      </c>
    </row>
    <row r="12473" spans="1:8">
      <c r="A12473" t="n">
        <v>115570</v>
      </c>
      <c r="B12473" s="51" t="n">
        <v>45</v>
      </c>
      <c r="C12473" s="7" t="n">
        <v>2</v>
      </c>
      <c r="D12473" s="7" t="n">
        <v>3</v>
      </c>
      <c r="E12473" s="7" t="n">
        <v>6.82000017166138</v>
      </c>
      <c r="F12473" s="7" t="n">
        <v>6.17999982833862</v>
      </c>
      <c r="G12473" s="7" t="n">
        <v>32.2799987792969</v>
      </c>
      <c r="H12473" s="7" t="n">
        <v>0</v>
      </c>
    </row>
    <row r="12474" spans="1:8">
      <c r="A12474" t="s">
        <v>4</v>
      </c>
      <c r="B12474" s="4" t="s">
        <v>5</v>
      </c>
      <c r="C12474" s="4" t="s">
        <v>7</v>
      </c>
      <c r="D12474" s="4" t="s">
        <v>7</v>
      </c>
      <c r="E12474" s="4" t="s">
        <v>13</v>
      </c>
      <c r="F12474" s="4" t="s">
        <v>13</v>
      </c>
      <c r="G12474" s="4" t="s">
        <v>13</v>
      </c>
      <c r="H12474" s="4" t="s">
        <v>11</v>
      </c>
      <c r="I12474" s="4" t="s">
        <v>7</v>
      </c>
    </row>
    <row r="12475" spans="1:8">
      <c r="A12475" t="n">
        <v>115587</v>
      </c>
      <c r="B12475" s="51" t="n">
        <v>45</v>
      </c>
      <c r="C12475" s="7" t="n">
        <v>4</v>
      </c>
      <c r="D12475" s="7" t="n">
        <v>3</v>
      </c>
      <c r="E12475" s="7" t="n">
        <v>358.239990234375</v>
      </c>
      <c r="F12475" s="7" t="n">
        <v>344.200012207031</v>
      </c>
      <c r="G12475" s="7" t="n">
        <v>0</v>
      </c>
      <c r="H12475" s="7" t="n">
        <v>0</v>
      </c>
      <c r="I12475" s="7" t="n">
        <v>0</v>
      </c>
    </row>
    <row r="12476" spans="1:8">
      <c r="A12476" t="s">
        <v>4</v>
      </c>
      <c r="B12476" s="4" t="s">
        <v>5</v>
      </c>
      <c r="C12476" s="4" t="s">
        <v>7</v>
      </c>
      <c r="D12476" s="4" t="s">
        <v>7</v>
      </c>
      <c r="E12476" s="4" t="s">
        <v>13</v>
      </c>
      <c r="F12476" s="4" t="s">
        <v>11</v>
      </c>
    </row>
    <row r="12477" spans="1:8">
      <c r="A12477" t="n">
        <v>115605</v>
      </c>
      <c r="B12477" s="51" t="n">
        <v>45</v>
      </c>
      <c r="C12477" s="7" t="n">
        <v>5</v>
      </c>
      <c r="D12477" s="7" t="n">
        <v>3</v>
      </c>
      <c r="E12477" s="7" t="n">
        <v>3.40000009536743</v>
      </c>
      <c r="F12477" s="7" t="n">
        <v>0</v>
      </c>
    </row>
    <row r="12478" spans="1:8">
      <c r="A12478" t="s">
        <v>4</v>
      </c>
      <c r="B12478" s="4" t="s">
        <v>5</v>
      </c>
      <c r="C12478" s="4" t="s">
        <v>7</v>
      </c>
      <c r="D12478" s="4" t="s">
        <v>7</v>
      </c>
      <c r="E12478" s="4" t="s">
        <v>13</v>
      </c>
      <c r="F12478" s="4" t="s">
        <v>11</v>
      </c>
    </row>
    <row r="12479" spans="1:8">
      <c r="A12479" t="n">
        <v>115614</v>
      </c>
      <c r="B12479" s="51" t="n">
        <v>45</v>
      </c>
      <c r="C12479" s="7" t="n">
        <v>11</v>
      </c>
      <c r="D12479" s="7" t="n">
        <v>3</v>
      </c>
      <c r="E12479" s="7" t="n">
        <v>40.2999992370605</v>
      </c>
      <c r="F12479" s="7" t="n">
        <v>0</v>
      </c>
    </row>
    <row r="12480" spans="1:8">
      <c r="A12480" t="s">
        <v>4</v>
      </c>
      <c r="B12480" s="4" t="s">
        <v>5</v>
      </c>
      <c r="C12480" s="4" t="s">
        <v>7</v>
      </c>
      <c r="D12480" s="4" t="s">
        <v>7</v>
      </c>
      <c r="E12480" s="4" t="s">
        <v>13</v>
      </c>
      <c r="F12480" s="4" t="s">
        <v>13</v>
      </c>
      <c r="G12480" s="4" t="s">
        <v>13</v>
      </c>
      <c r="H12480" s="4" t="s">
        <v>11</v>
      </c>
    </row>
    <row r="12481" spans="1:9">
      <c r="A12481" t="n">
        <v>115623</v>
      </c>
      <c r="B12481" s="51" t="n">
        <v>45</v>
      </c>
      <c r="C12481" s="7" t="n">
        <v>2</v>
      </c>
      <c r="D12481" s="7" t="n">
        <v>3</v>
      </c>
      <c r="E12481" s="7" t="n">
        <v>-2.55999994277954</v>
      </c>
      <c r="F12481" s="7" t="n">
        <v>6.17999982833862</v>
      </c>
      <c r="G12481" s="7" t="n">
        <v>32.1800003051758</v>
      </c>
      <c r="H12481" s="7" t="n">
        <v>6000</v>
      </c>
    </row>
    <row r="12482" spans="1:9">
      <c r="A12482" t="s">
        <v>4</v>
      </c>
      <c r="B12482" s="4" t="s">
        <v>5</v>
      </c>
      <c r="C12482" s="4" t="s">
        <v>7</v>
      </c>
      <c r="D12482" s="4" t="s">
        <v>7</v>
      </c>
      <c r="E12482" s="4" t="s">
        <v>13</v>
      </c>
      <c r="F12482" s="4" t="s">
        <v>13</v>
      </c>
      <c r="G12482" s="4" t="s">
        <v>13</v>
      </c>
      <c r="H12482" s="4" t="s">
        <v>11</v>
      </c>
      <c r="I12482" s="4" t="s">
        <v>7</v>
      </c>
    </row>
    <row r="12483" spans="1:9">
      <c r="A12483" t="n">
        <v>115640</v>
      </c>
      <c r="B12483" s="51" t="n">
        <v>45</v>
      </c>
      <c r="C12483" s="7" t="n">
        <v>4</v>
      </c>
      <c r="D12483" s="7" t="n">
        <v>3</v>
      </c>
      <c r="E12483" s="7" t="n">
        <v>12.2700004577637</v>
      </c>
      <c r="F12483" s="7" t="n">
        <v>75.7099990844727</v>
      </c>
      <c r="G12483" s="7" t="n">
        <v>0</v>
      </c>
      <c r="H12483" s="7" t="n">
        <v>6000</v>
      </c>
      <c r="I12483" s="7" t="n">
        <v>1</v>
      </c>
    </row>
    <row r="12484" spans="1:9">
      <c r="A12484" t="s">
        <v>4</v>
      </c>
      <c r="B12484" s="4" t="s">
        <v>5</v>
      </c>
      <c r="C12484" s="4" t="s">
        <v>7</v>
      </c>
      <c r="D12484" s="4" t="s">
        <v>7</v>
      </c>
      <c r="E12484" s="4" t="s">
        <v>13</v>
      </c>
      <c r="F12484" s="4" t="s">
        <v>11</v>
      </c>
    </row>
    <row r="12485" spans="1:9">
      <c r="A12485" t="n">
        <v>115658</v>
      </c>
      <c r="B12485" s="51" t="n">
        <v>45</v>
      </c>
      <c r="C12485" s="7" t="n">
        <v>5</v>
      </c>
      <c r="D12485" s="7" t="n">
        <v>3</v>
      </c>
      <c r="E12485" s="7" t="n">
        <v>2.70000004768372</v>
      </c>
      <c r="F12485" s="7" t="n">
        <v>6000</v>
      </c>
    </row>
    <row r="12486" spans="1:9">
      <c r="A12486" t="s">
        <v>4</v>
      </c>
      <c r="B12486" s="4" t="s">
        <v>5</v>
      </c>
      <c r="C12486" s="4" t="s">
        <v>7</v>
      </c>
      <c r="D12486" s="4" t="s">
        <v>11</v>
      </c>
      <c r="E12486" s="4" t="s">
        <v>13</v>
      </c>
    </row>
    <row r="12487" spans="1:9">
      <c r="A12487" t="n">
        <v>115667</v>
      </c>
      <c r="B12487" s="23" t="n">
        <v>58</v>
      </c>
      <c r="C12487" s="7" t="n">
        <v>100</v>
      </c>
      <c r="D12487" s="7" t="n">
        <v>1000</v>
      </c>
      <c r="E12487" s="7" t="n">
        <v>1</v>
      </c>
    </row>
    <row r="12488" spans="1:9">
      <c r="A12488" t="s">
        <v>4</v>
      </c>
      <c r="B12488" s="4" t="s">
        <v>5</v>
      </c>
      <c r="C12488" s="4" t="s">
        <v>7</v>
      </c>
      <c r="D12488" s="4" t="s">
        <v>11</v>
      </c>
    </row>
    <row r="12489" spans="1:9">
      <c r="A12489" t="n">
        <v>115675</v>
      </c>
      <c r="B12489" s="23" t="n">
        <v>58</v>
      </c>
      <c r="C12489" s="7" t="n">
        <v>255</v>
      </c>
      <c r="D12489" s="7" t="n">
        <v>0</v>
      </c>
    </row>
    <row r="12490" spans="1:9">
      <c r="A12490" t="s">
        <v>4</v>
      </c>
      <c r="B12490" s="4" t="s">
        <v>5</v>
      </c>
      <c r="C12490" s="4" t="s">
        <v>8</v>
      </c>
      <c r="D12490" s="4" t="s">
        <v>8</v>
      </c>
    </row>
    <row r="12491" spans="1:9">
      <c r="A12491" t="n">
        <v>115679</v>
      </c>
      <c r="B12491" s="52" t="n">
        <v>70</v>
      </c>
      <c r="C12491" s="7" t="s">
        <v>24</v>
      </c>
      <c r="D12491" s="7" t="s">
        <v>109</v>
      </c>
    </row>
    <row r="12492" spans="1:9">
      <c r="A12492" t="s">
        <v>4</v>
      </c>
      <c r="B12492" s="4" t="s">
        <v>5</v>
      </c>
      <c r="C12492" s="4" t="s">
        <v>11</v>
      </c>
    </row>
    <row r="12493" spans="1:9">
      <c r="A12493" t="n">
        <v>115696</v>
      </c>
      <c r="B12493" s="29" t="n">
        <v>16</v>
      </c>
      <c r="C12493" s="7" t="n">
        <v>4000</v>
      </c>
    </row>
    <row r="12494" spans="1:9">
      <c r="A12494" t="s">
        <v>4</v>
      </c>
      <c r="B12494" s="4" t="s">
        <v>5</v>
      </c>
      <c r="C12494" s="4" t="s">
        <v>11</v>
      </c>
      <c r="D12494" s="4" t="s">
        <v>7</v>
      </c>
      <c r="E12494" s="4" t="s">
        <v>13</v>
      </c>
      <c r="F12494" s="4" t="s">
        <v>11</v>
      </c>
    </row>
    <row r="12495" spans="1:9">
      <c r="A12495" t="n">
        <v>115699</v>
      </c>
      <c r="B12495" s="56" t="n">
        <v>59</v>
      </c>
      <c r="C12495" s="7" t="n">
        <v>0</v>
      </c>
      <c r="D12495" s="7" t="n">
        <v>9</v>
      </c>
      <c r="E12495" s="7" t="n">
        <v>0.150000005960464</v>
      </c>
      <c r="F12495" s="7" t="n">
        <v>0</v>
      </c>
    </row>
    <row r="12496" spans="1:9">
      <c r="A12496" t="s">
        <v>4</v>
      </c>
      <c r="B12496" s="4" t="s">
        <v>5</v>
      </c>
      <c r="C12496" s="4" t="s">
        <v>11</v>
      </c>
    </row>
    <row r="12497" spans="1:9">
      <c r="A12497" t="n">
        <v>115709</v>
      </c>
      <c r="B12497" s="29" t="n">
        <v>16</v>
      </c>
      <c r="C12497" s="7" t="n">
        <v>1800</v>
      </c>
    </row>
    <row r="12498" spans="1:9">
      <c r="A12498" t="s">
        <v>4</v>
      </c>
      <c r="B12498" s="4" t="s">
        <v>5</v>
      </c>
      <c r="C12498" s="4" t="s">
        <v>7</v>
      </c>
      <c r="D12498" s="4" t="s">
        <v>11</v>
      </c>
    </row>
    <row r="12499" spans="1:9">
      <c r="A12499" t="n">
        <v>115712</v>
      </c>
      <c r="B12499" s="51" t="n">
        <v>45</v>
      </c>
      <c r="C12499" s="7" t="n">
        <v>7</v>
      </c>
      <c r="D12499" s="7" t="n">
        <v>255</v>
      </c>
    </row>
    <row r="12500" spans="1:9">
      <c r="A12500" t="s">
        <v>4</v>
      </c>
      <c r="B12500" s="4" t="s">
        <v>5</v>
      </c>
      <c r="C12500" s="4" t="s">
        <v>7</v>
      </c>
      <c r="D12500" s="4" t="s">
        <v>11</v>
      </c>
      <c r="E12500" s="4" t="s">
        <v>13</v>
      </c>
    </row>
    <row r="12501" spans="1:9">
      <c r="A12501" t="n">
        <v>115716</v>
      </c>
      <c r="B12501" s="23" t="n">
        <v>58</v>
      </c>
      <c r="C12501" s="7" t="n">
        <v>0</v>
      </c>
      <c r="D12501" s="7" t="n">
        <v>1000</v>
      </c>
      <c r="E12501" s="7" t="n">
        <v>1</v>
      </c>
    </row>
    <row r="12502" spans="1:9">
      <c r="A12502" t="s">
        <v>4</v>
      </c>
      <c r="B12502" s="4" t="s">
        <v>5</v>
      </c>
      <c r="C12502" s="4" t="s">
        <v>7</v>
      </c>
      <c r="D12502" s="4" t="s">
        <v>11</v>
      </c>
    </row>
    <row r="12503" spans="1:9">
      <c r="A12503" t="n">
        <v>115724</v>
      </c>
      <c r="B12503" s="23" t="n">
        <v>58</v>
      </c>
      <c r="C12503" s="7" t="n">
        <v>255</v>
      </c>
      <c r="D12503" s="7" t="n">
        <v>0</v>
      </c>
    </row>
    <row r="12504" spans="1:9">
      <c r="A12504" t="s">
        <v>4</v>
      </c>
      <c r="B12504" s="4" t="s">
        <v>5</v>
      </c>
      <c r="C12504" s="4" t="s">
        <v>8</v>
      </c>
      <c r="D12504" s="4" t="s">
        <v>8</v>
      </c>
    </row>
    <row r="12505" spans="1:9">
      <c r="A12505" t="n">
        <v>115728</v>
      </c>
      <c r="B12505" s="52" t="n">
        <v>70</v>
      </c>
      <c r="C12505" s="7" t="s">
        <v>24</v>
      </c>
      <c r="D12505" s="7" t="s">
        <v>118</v>
      </c>
    </row>
    <row r="12506" spans="1:9">
      <c r="A12506" t="s">
        <v>4</v>
      </c>
      <c r="B12506" s="4" t="s">
        <v>5</v>
      </c>
      <c r="C12506" s="4" t="s">
        <v>11</v>
      </c>
      <c r="D12506" s="4" t="s">
        <v>13</v>
      </c>
      <c r="E12506" s="4" t="s">
        <v>13</v>
      </c>
      <c r="F12506" s="4" t="s">
        <v>13</v>
      </c>
      <c r="G12506" s="4" t="s">
        <v>13</v>
      </c>
    </row>
    <row r="12507" spans="1:9">
      <c r="A12507" t="n">
        <v>115744</v>
      </c>
      <c r="B12507" s="36" t="n">
        <v>46</v>
      </c>
      <c r="C12507" s="7" t="n">
        <v>0</v>
      </c>
      <c r="D12507" s="7" t="n">
        <v>-10.9899997711182</v>
      </c>
      <c r="E12507" s="7" t="n">
        <v>5.01000022888184</v>
      </c>
      <c r="F12507" s="7" t="n">
        <v>32.4300003051758</v>
      </c>
      <c r="G12507" s="7" t="n">
        <v>270</v>
      </c>
    </row>
    <row r="12508" spans="1:9">
      <c r="A12508" t="s">
        <v>4</v>
      </c>
      <c r="B12508" s="4" t="s">
        <v>5</v>
      </c>
      <c r="C12508" s="4" t="s">
        <v>11</v>
      </c>
      <c r="D12508" s="4" t="s">
        <v>13</v>
      </c>
      <c r="E12508" s="4" t="s">
        <v>13</v>
      </c>
      <c r="F12508" s="4" t="s">
        <v>13</v>
      </c>
      <c r="G12508" s="4" t="s">
        <v>13</v>
      </c>
    </row>
    <row r="12509" spans="1:9">
      <c r="A12509" t="n">
        <v>115763</v>
      </c>
      <c r="B12509" s="36" t="n">
        <v>46</v>
      </c>
      <c r="C12509" s="7" t="n">
        <v>4</v>
      </c>
      <c r="D12509" s="7" t="n">
        <v>-10.5500001907349</v>
      </c>
      <c r="E12509" s="7" t="n">
        <v>5.01000022888184</v>
      </c>
      <c r="F12509" s="7" t="n">
        <v>31.5499992370605</v>
      </c>
      <c r="G12509" s="7" t="n">
        <v>270</v>
      </c>
    </row>
    <row r="12510" spans="1:9">
      <c r="A12510" t="s">
        <v>4</v>
      </c>
      <c r="B12510" s="4" t="s">
        <v>5</v>
      </c>
      <c r="C12510" s="4" t="s">
        <v>7</v>
      </c>
      <c r="D12510" s="4" t="s">
        <v>7</v>
      </c>
      <c r="E12510" s="4" t="s">
        <v>13</v>
      </c>
      <c r="F12510" s="4" t="s">
        <v>13</v>
      </c>
      <c r="G12510" s="4" t="s">
        <v>13</v>
      </c>
      <c r="H12510" s="4" t="s">
        <v>11</v>
      </c>
    </row>
    <row r="12511" spans="1:9">
      <c r="A12511" t="n">
        <v>115782</v>
      </c>
      <c r="B12511" s="51" t="n">
        <v>45</v>
      </c>
      <c r="C12511" s="7" t="n">
        <v>2</v>
      </c>
      <c r="D12511" s="7" t="n">
        <v>3</v>
      </c>
      <c r="E12511" s="7" t="n">
        <v>-14.1199998855591</v>
      </c>
      <c r="F12511" s="7" t="n">
        <v>6.75</v>
      </c>
      <c r="G12511" s="7" t="n">
        <v>31.9300003051758</v>
      </c>
      <c r="H12511" s="7" t="n">
        <v>0</v>
      </c>
    </row>
    <row r="12512" spans="1:9">
      <c r="A12512" t="s">
        <v>4</v>
      </c>
      <c r="B12512" s="4" t="s">
        <v>5</v>
      </c>
      <c r="C12512" s="4" t="s">
        <v>7</v>
      </c>
      <c r="D12512" s="4" t="s">
        <v>7</v>
      </c>
      <c r="E12512" s="4" t="s">
        <v>13</v>
      </c>
      <c r="F12512" s="4" t="s">
        <v>13</v>
      </c>
      <c r="G12512" s="4" t="s">
        <v>13</v>
      </c>
      <c r="H12512" s="4" t="s">
        <v>11</v>
      </c>
      <c r="I12512" s="4" t="s">
        <v>7</v>
      </c>
    </row>
    <row r="12513" spans="1:9">
      <c r="A12513" t="n">
        <v>115799</v>
      </c>
      <c r="B12513" s="51" t="n">
        <v>45</v>
      </c>
      <c r="C12513" s="7" t="n">
        <v>4</v>
      </c>
      <c r="D12513" s="7" t="n">
        <v>3</v>
      </c>
      <c r="E12513" s="7" t="n">
        <v>7.63000011444092</v>
      </c>
      <c r="F12513" s="7" t="n">
        <v>90</v>
      </c>
      <c r="G12513" s="7" t="n">
        <v>0</v>
      </c>
      <c r="H12513" s="7" t="n">
        <v>0</v>
      </c>
      <c r="I12513" s="7" t="n">
        <v>0</v>
      </c>
    </row>
    <row r="12514" spans="1:9">
      <c r="A12514" t="s">
        <v>4</v>
      </c>
      <c r="B12514" s="4" t="s">
        <v>5</v>
      </c>
      <c r="C12514" s="4" t="s">
        <v>7</v>
      </c>
      <c r="D12514" s="4" t="s">
        <v>7</v>
      </c>
      <c r="E12514" s="4" t="s">
        <v>13</v>
      </c>
      <c r="F12514" s="4" t="s">
        <v>11</v>
      </c>
    </row>
    <row r="12515" spans="1:9">
      <c r="A12515" t="n">
        <v>115817</v>
      </c>
      <c r="B12515" s="51" t="n">
        <v>45</v>
      </c>
      <c r="C12515" s="7" t="n">
        <v>5</v>
      </c>
      <c r="D12515" s="7" t="n">
        <v>3</v>
      </c>
      <c r="E12515" s="7" t="n">
        <v>2.09999990463257</v>
      </c>
      <c r="F12515" s="7" t="n">
        <v>0</v>
      </c>
    </row>
    <row r="12516" spans="1:9">
      <c r="A12516" t="s">
        <v>4</v>
      </c>
      <c r="B12516" s="4" t="s">
        <v>5</v>
      </c>
      <c r="C12516" s="4" t="s">
        <v>7</v>
      </c>
      <c r="D12516" s="4" t="s">
        <v>7</v>
      </c>
      <c r="E12516" s="4" t="s">
        <v>13</v>
      </c>
      <c r="F12516" s="4" t="s">
        <v>11</v>
      </c>
    </row>
    <row r="12517" spans="1:9">
      <c r="A12517" t="n">
        <v>115826</v>
      </c>
      <c r="B12517" s="51" t="n">
        <v>45</v>
      </c>
      <c r="C12517" s="7" t="n">
        <v>11</v>
      </c>
      <c r="D12517" s="7" t="n">
        <v>3</v>
      </c>
      <c r="E12517" s="7" t="n">
        <v>40.2999992370605</v>
      </c>
      <c r="F12517" s="7" t="n">
        <v>0</v>
      </c>
    </row>
    <row r="12518" spans="1:9">
      <c r="A12518" t="s">
        <v>4</v>
      </c>
      <c r="B12518" s="4" t="s">
        <v>5</v>
      </c>
      <c r="C12518" s="4" t="s">
        <v>7</v>
      </c>
      <c r="D12518" s="4" t="s">
        <v>7</v>
      </c>
      <c r="E12518" s="4" t="s">
        <v>13</v>
      </c>
      <c r="F12518" s="4" t="s">
        <v>13</v>
      </c>
      <c r="G12518" s="4" t="s">
        <v>13</v>
      </c>
      <c r="H12518" s="4" t="s">
        <v>11</v>
      </c>
    </row>
    <row r="12519" spans="1:9">
      <c r="A12519" t="n">
        <v>115835</v>
      </c>
      <c r="B12519" s="51" t="n">
        <v>45</v>
      </c>
      <c r="C12519" s="7" t="n">
        <v>2</v>
      </c>
      <c r="D12519" s="7" t="n">
        <v>3</v>
      </c>
      <c r="E12519" s="7" t="n">
        <v>-9.10000038146973</v>
      </c>
      <c r="F12519" s="7" t="n">
        <v>6.75</v>
      </c>
      <c r="G12519" s="7" t="n">
        <v>31.9699993133545</v>
      </c>
      <c r="H12519" s="7" t="n">
        <v>6000</v>
      </c>
    </row>
    <row r="12520" spans="1:9">
      <c r="A12520" t="s">
        <v>4</v>
      </c>
      <c r="B12520" s="4" t="s">
        <v>5</v>
      </c>
      <c r="C12520" s="4" t="s">
        <v>7</v>
      </c>
      <c r="D12520" s="4" t="s">
        <v>7</v>
      </c>
      <c r="E12520" s="4" t="s">
        <v>13</v>
      </c>
      <c r="F12520" s="4" t="s">
        <v>13</v>
      </c>
      <c r="G12520" s="4" t="s">
        <v>13</v>
      </c>
      <c r="H12520" s="4" t="s">
        <v>11</v>
      </c>
      <c r="I12520" s="4" t="s">
        <v>7</v>
      </c>
    </row>
    <row r="12521" spans="1:9">
      <c r="A12521" t="n">
        <v>115852</v>
      </c>
      <c r="B12521" s="51" t="n">
        <v>45</v>
      </c>
      <c r="C12521" s="7" t="n">
        <v>4</v>
      </c>
      <c r="D12521" s="7" t="n">
        <v>3</v>
      </c>
      <c r="E12521" s="7" t="n">
        <v>0.0299999993294477</v>
      </c>
      <c r="F12521" s="7" t="n">
        <v>90</v>
      </c>
      <c r="G12521" s="7" t="n">
        <v>0</v>
      </c>
      <c r="H12521" s="7" t="n">
        <v>6000</v>
      </c>
      <c r="I12521" s="7" t="n">
        <v>0</v>
      </c>
    </row>
    <row r="12522" spans="1:9">
      <c r="A12522" t="s">
        <v>4</v>
      </c>
      <c r="B12522" s="4" t="s">
        <v>5</v>
      </c>
      <c r="C12522" s="4" t="s">
        <v>7</v>
      </c>
      <c r="D12522" s="4" t="s">
        <v>7</v>
      </c>
      <c r="E12522" s="4" t="s">
        <v>13</v>
      </c>
      <c r="F12522" s="4" t="s">
        <v>11</v>
      </c>
    </row>
    <row r="12523" spans="1:9">
      <c r="A12523" t="n">
        <v>115870</v>
      </c>
      <c r="B12523" s="51" t="n">
        <v>45</v>
      </c>
      <c r="C12523" s="7" t="n">
        <v>5</v>
      </c>
      <c r="D12523" s="7" t="n">
        <v>3</v>
      </c>
      <c r="E12523" s="7" t="n">
        <v>1.79999995231628</v>
      </c>
      <c r="F12523" s="7" t="n">
        <v>6000</v>
      </c>
    </row>
    <row r="12524" spans="1:9">
      <c r="A12524" t="s">
        <v>4</v>
      </c>
      <c r="B12524" s="4" t="s">
        <v>5</v>
      </c>
      <c r="C12524" s="4" t="s">
        <v>8</v>
      </c>
      <c r="D12524" s="4" t="s">
        <v>8</v>
      </c>
    </row>
    <row r="12525" spans="1:9">
      <c r="A12525" t="n">
        <v>115879</v>
      </c>
      <c r="B12525" s="52" t="n">
        <v>70</v>
      </c>
      <c r="C12525" s="7" t="s">
        <v>25</v>
      </c>
      <c r="D12525" s="7" t="s">
        <v>109</v>
      </c>
    </row>
    <row r="12526" spans="1:9">
      <c r="A12526" t="s">
        <v>4</v>
      </c>
      <c r="B12526" s="4" t="s">
        <v>5</v>
      </c>
      <c r="C12526" s="4" t="s">
        <v>7</v>
      </c>
      <c r="D12526" s="4" t="s">
        <v>11</v>
      </c>
      <c r="E12526" s="4" t="s">
        <v>13</v>
      </c>
    </row>
    <row r="12527" spans="1:9">
      <c r="A12527" t="n">
        <v>115896</v>
      </c>
      <c r="B12527" s="23" t="n">
        <v>58</v>
      </c>
      <c r="C12527" s="7" t="n">
        <v>100</v>
      </c>
      <c r="D12527" s="7" t="n">
        <v>1000</v>
      </c>
      <c r="E12527" s="7" t="n">
        <v>1</v>
      </c>
    </row>
    <row r="12528" spans="1:9">
      <c r="A12528" t="s">
        <v>4</v>
      </c>
      <c r="B12528" s="4" t="s">
        <v>5</v>
      </c>
      <c r="C12528" s="4" t="s">
        <v>7</v>
      </c>
      <c r="D12528" s="4" t="s">
        <v>11</v>
      </c>
    </row>
    <row r="12529" spans="1:9">
      <c r="A12529" t="n">
        <v>115904</v>
      </c>
      <c r="B12529" s="23" t="n">
        <v>58</v>
      </c>
      <c r="C12529" s="7" t="n">
        <v>255</v>
      </c>
      <c r="D12529" s="7" t="n">
        <v>0</v>
      </c>
    </row>
    <row r="12530" spans="1:9">
      <c r="A12530" t="s">
        <v>4</v>
      </c>
      <c r="B12530" s="4" t="s">
        <v>5</v>
      </c>
      <c r="C12530" s="4" t="s">
        <v>7</v>
      </c>
      <c r="D12530" s="4" t="s">
        <v>8</v>
      </c>
      <c r="E12530" s="4" t="s">
        <v>11</v>
      </c>
    </row>
    <row r="12531" spans="1:9">
      <c r="A12531" t="n">
        <v>115908</v>
      </c>
      <c r="B12531" s="15" t="n">
        <v>94</v>
      </c>
      <c r="C12531" s="7" t="n">
        <v>1</v>
      </c>
      <c r="D12531" s="7" t="s">
        <v>25</v>
      </c>
      <c r="E12531" s="7" t="n">
        <v>512</v>
      </c>
    </row>
    <row r="12532" spans="1:9">
      <c r="A12532" t="s">
        <v>4</v>
      </c>
      <c r="B12532" s="4" t="s">
        <v>5</v>
      </c>
      <c r="C12532" s="4" t="s">
        <v>11</v>
      </c>
    </row>
    <row r="12533" spans="1:9">
      <c r="A12533" t="n">
        <v>115922</v>
      </c>
      <c r="B12533" s="29" t="n">
        <v>16</v>
      </c>
      <c r="C12533" s="7" t="n">
        <v>4000</v>
      </c>
    </row>
    <row r="12534" spans="1:9">
      <c r="A12534" t="s">
        <v>4</v>
      </c>
      <c r="B12534" s="4" t="s">
        <v>5</v>
      </c>
      <c r="C12534" s="4" t="s">
        <v>11</v>
      </c>
      <c r="D12534" s="4" t="s">
        <v>7</v>
      </c>
      <c r="E12534" s="4" t="s">
        <v>13</v>
      </c>
      <c r="F12534" s="4" t="s">
        <v>11</v>
      </c>
    </row>
    <row r="12535" spans="1:9">
      <c r="A12535" t="n">
        <v>115925</v>
      </c>
      <c r="B12535" s="56" t="n">
        <v>59</v>
      </c>
      <c r="C12535" s="7" t="n">
        <v>0</v>
      </c>
      <c r="D12535" s="7" t="n">
        <v>9</v>
      </c>
      <c r="E12535" s="7" t="n">
        <v>0.150000005960464</v>
      </c>
      <c r="F12535" s="7" t="n">
        <v>0</v>
      </c>
    </row>
    <row r="12536" spans="1:9">
      <c r="A12536" t="s">
        <v>4</v>
      </c>
      <c r="B12536" s="4" t="s">
        <v>5</v>
      </c>
      <c r="C12536" s="4" t="s">
        <v>11</v>
      </c>
      <c r="D12536" s="4" t="s">
        <v>7</v>
      </c>
      <c r="E12536" s="4" t="s">
        <v>13</v>
      </c>
      <c r="F12536" s="4" t="s">
        <v>11</v>
      </c>
    </row>
    <row r="12537" spans="1:9">
      <c r="A12537" t="n">
        <v>115935</v>
      </c>
      <c r="B12537" s="56" t="n">
        <v>59</v>
      </c>
      <c r="C12537" s="7" t="n">
        <v>4</v>
      </c>
      <c r="D12537" s="7" t="n">
        <v>9</v>
      </c>
      <c r="E12537" s="7" t="n">
        <v>0.150000005960464</v>
      </c>
      <c r="F12537" s="7" t="n">
        <v>0</v>
      </c>
    </row>
    <row r="12538" spans="1:9">
      <c r="A12538" t="s">
        <v>4</v>
      </c>
      <c r="B12538" s="4" t="s">
        <v>5</v>
      </c>
      <c r="C12538" s="4" t="s">
        <v>11</v>
      </c>
    </row>
    <row r="12539" spans="1:9">
      <c r="A12539" t="n">
        <v>115945</v>
      </c>
      <c r="B12539" s="29" t="n">
        <v>16</v>
      </c>
      <c r="C12539" s="7" t="n">
        <v>1500</v>
      </c>
    </row>
    <row r="12540" spans="1:9">
      <c r="A12540" t="s">
        <v>4</v>
      </c>
      <c r="B12540" s="4" t="s">
        <v>5</v>
      </c>
      <c r="C12540" s="4" t="s">
        <v>7</v>
      </c>
      <c r="D12540" s="4" t="s">
        <v>11</v>
      </c>
    </row>
    <row r="12541" spans="1:9">
      <c r="A12541" t="n">
        <v>115948</v>
      </c>
      <c r="B12541" s="51" t="n">
        <v>45</v>
      </c>
      <c r="C12541" s="7" t="n">
        <v>7</v>
      </c>
      <c r="D12541" s="7" t="n">
        <v>255</v>
      </c>
    </row>
    <row r="12542" spans="1:9">
      <c r="A12542" t="s">
        <v>4</v>
      </c>
      <c r="B12542" s="4" t="s">
        <v>5</v>
      </c>
      <c r="C12542" s="4" t="s">
        <v>7</v>
      </c>
      <c r="D12542" s="4" t="s">
        <v>11</v>
      </c>
      <c r="E12542" s="4" t="s">
        <v>13</v>
      </c>
    </row>
    <row r="12543" spans="1:9">
      <c r="A12543" t="n">
        <v>115952</v>
      </c>
      <c r="B12543" s="23" t="n">
        <v>58</v>
      </c>
      <c r="C12543" s="7" t="n">
        <v>0</v>
      </c>
      <c r="D12543" s="7" t="n">
        <v>2000</v>
      </c>
      <c r="E12543" s="7" t="n">
        <v>1</v>
      </c>
    </row>
    <row r="12544" spans="1:9">
      <c r="A12544" t="s">
        <v>4</v>
      </c>
      <c r="B12544" s="4" t="s">
        <v>5</v>
      </c>
      <c r="C12544" s="4" t="s">
        <v>7</v>
      </c>
      <c r="D12544" s="4" t="s">
        <v>11</v>
      </c>
    </row>
    <row r="12545" spans="1:6">
      <c r="A12545" t="n">
        <v>115960</v>
      </c>
      <c r="B12545" s="23" t="n">
        <v>58</v>
      </c>
      <c r="C12545" s="7" t="n">
        <v>255</v>
      </c>
      <c r="D12545" s="7" t="n">
        <v>0</v>
      </c>
    </row>
    <row r="12546" spans="1:6">
      <c r="A12546" t="s">
        <v>4</v>
      </c>
      <c r="B12546" s="4" t="s">
        <v>5</v>
      </c>
      <c r="C12546" s="4" t="s">
        <v>7</v>
      </c>
      <c r="D12546" s="4" t="s">
        <v>7</v>
      </c>
      <c r="E12546" s="4" t="s">
        <v>13</v>
      </c>
      <c r="F12546" s="4" t="s">
        <v>13</v>
      </c>
      <c r="G12546" s="4" t="s">
        <v>13</v>
      </c>
      <c r="H12546" s="4" t="s">
        <v>11</v>
      </c>
    </row>
    <row r="12547" spans="1:6">
      <c r="A12547" t="n">
        <v>115964</v>
      </c>
      <c r="B12547" s="51" t="n">
        <v>45</v>
      </c>
      <c r="C12547" s="7" t="n">
        <v>2</v>
      </c>
      <c r="D12547" s="7" t="n">
        <v>3</v>
      </c>
      <c r="E12547" s="7" t="n">
        <v>-7.84000015258789</v>
      </c>
      <c r="F12547" s="7" t="n">
        <v>7.17000007629395</v>
      </c>
      <c r="G12547" s="7" t="n">
        <v>31.6599998474121</v>
      </c>
      <c r="H12547" s="7" t="n">
        <v>0</v>
      </c>
    </row>
    <row r="12548" spans="1:6">
      <c r="A12548" t="s">
        <v>4</v>
      </c>
      <c r="B12548" s="4" t="s">
        <v>5</v>
      </c>
      <c r="C12548" s="4" t="s">
        <v>7</v>
      </c>
      <c r="D12548" s="4" t="s">
        <v>7</v>
      </c>
      <c r="E12548" s="4" t="s">
        <v>13</v>
      </c>
      <c r="F12548" s="4" t="s">
        <v>13</v>
      </c>
      <c r="G12548" s="4" t="s">
        <v>13</v>
      </c>
      <c r="H12548" s="4" t="s">
        <v>11</v>
      </c>
      <c r="I12548" s="4" t="s">
        <v>7</v>
      </c>
    </row>
    <row r="12549" spans="1:6">
      <c r="A12549" t="n">
        <v>115981</v>
      </c>
      <c r="B12549" s="51" t="n">
        <v>45</v>
      </c>
      <c r="C12549" s="7" t="n">
        <v>4</v>
      </c>
      <c r="D12549" s="7" t="n">
        <v>3</v>
      </c>
      <c r="E12549" s="7" t="n">
        <v>9.01000022888184</v>
      </c>
      <c r="F12549" s="7" t="n">
        <v>55.7900009155273</v>
      </c>
      <c r="G12549" s="7" t="n">
        <v>0</v>
      </c>
      <c r="H12549" s="7" t="n">
        <v>0</v>
      </c>
      <c r="I12549" s="7" t="n">
        <v>0</v>
      </c>
    </row>
    <row r="12550" spans="1:6">
      <c r="A12550" t="s">
        <v>4</v>
      </c>
      <c r="B12550" s="4" t="s">
        <v>5</v>
      </c>
      <c r="C12550" s="4" t="s">
        <v>7</v>
      </c>
      <c r="D12550" s="4" t="s">
        <v>7</v>
      </c>
      <c r="E12550" s="4" t="s">
        <v>13</v>
      </c>
      <c r="F12550" s="4" t="s">
        <v>11</v>
      </c>
    </row>
    <row r="12551" spans="1:6">
      <c r="A12551" t="n">
        <v>115999</v>
      </c>
      <c r="B12551" s="51" t="n">
        <v>45</v>
      </c>
      <c r="C12551" s="7" t="n">
        <v>5</v>
      </c>
      <c r="D12551" s="7" t="n">
        <v>3</v>
      </c>
      <c r="E12551" s="7" t="n">
        <v>2.40000009536743</v>
      </c>
      <c r="F12551" s="7" t="n">
        <v>0</v>
      </c>
    </row>
    <row r="12552" spans="1:6">
      <c r="A12552" t="s">
        <v>4</v>
      </c>
      <c r="B12552" s="4" t="s">
        <v>5</v>
      </c>
      <c r="C12552" s="4" t="s">
        <v>7</v>
      </c>
      <c r="D12552" s="4" t="s">
        <v>7</v>
      </c>
      <c r="E12552" s="4" t="s">
        <v>13</v>
      </c>
      <c r="F12552" s="4" t="s">
        <v>11</v>
      </c>
    </row>
    <row r="12553" spans="1:6">
      <c r="A12553" t="n">
        <v>116008</v>
      </c>
      <c r="B12553" s="51" t="n">
        <v>45</v>
      </c>
      <c r="C12553" s="7" t="n">
        <v>11</v>
      </c>
      <c r="D12553" s="7" t="n">
        <v>3</v>
      </c>
      <c r="E12553" s="7" t="n">
        <v>40.2999992370605</v>
      </c>
      <c r="F12553" s="7" t="n">
        <v>0</v>
      </c>
    </row>
    <row r="12554" spans="1:6">
      <c r="A12554" t="s">
        <v>4</v>
      </c>
      <c r="B12554" s="4" t="s">
        <v>5</v>
      </c>
      <c r="C12554" s="4" t="s">
        <v>7</v>
      </c>
      <c r="D12554" s="4" t="s">
        <v>7</v>
      </c>
      <c r="E12554" s="4" t="s">
        <v>13</v>
      </c>
      <c r="F12554" s="4" t="s">
        <v>13</v>
      </c>
      <c r="G12554" s="4" t="s">
        <v>13</v>
      </c>
      <c r="H12554" s="4" t="s">
        <v>11</v>
      </c>
    </row>
    <row r="12555" spans="1:6">
      <c r="A12555" t="n">
        <v>116017</v>
      </c>
      <c r="B12555" s="51" t="n">
        <v>45</v>
      </c>
      <c r="C12555" s="7" t="n">
        <v>2</v>
      </c>
      <c r="D12555" s="7" t="n">
        <v>3</v>
      </c>
      <c r="E12555" s="7" t="n">
        <v>-6.8899998664856</v>
      </c>
      <c r="F12555" s="7" t="n">
        <v>6.26999998092651</v>
      </c>
      <c r="G12555" s="7" t="n">
        <v>30.0599994659424</v>
      </c>
      <c r="H12555" s="7" t="n">
        <v>6000</v>
      </c>
    </row>
    <row r="12556" spans="1:6">
      <c r="A12556" t="s">
        <v>4</v>
      </c>
      <c r="B12556" s="4" t="s">
        <v>5</v>
      </c>
      <c r="C12556" s="4" t="s">
        <v>7</v>
      </c>
      <c r="D12556" s="4" t="s">
        <v>7</v>
      </c>
      <c r="E12556" s="4" t="s">
        <v>13</v>
      </c>
      <c r="F12556" s="4" t="s">
        <v>13</v>
      </c>
      <c r="G12556" s="4" t="s">
        <v>13</v>
      </c>
      <c r="H12556" s="4" t="s">
        <v>11</v>
      </c>
      <c r="I12556" s="4" t="s">
        <v>7</v>
      </c>
    </row>
    <row r="12557" spans="1:6">
      <c r="A12557" t="n">
        <v>116034</v>
      </c>
      <c r="B12557" s="51" t="n">
        <v>45</v>
      </c>
      <c r="C12557" s="7" t="n">
        <v>4</v>
      </c>
      <c r="D12557" s="7" t="n">
        <v>3</v>
      </c>
      <c r="E12557" s="7" t="n">
        <v>6.73999977111816</v>
      </c>
      <c r="F12557" s="7" t="n">
        <v>13.6199998855591</v>
      </c>
      <c r="G12557" s="7" t="n">
        <v>0</v>
      </c>
      <c r="H12557" s="7" t="n">
        <v>6000</v>
      </c>
      <c r="I12557" s="7" t="n">
        <v>1</v>
      </c>
    </row>
    <row r="12558" spans="1:6">
      <c r="A12558" t="s">
        <v>4</v>
      </c>
      <c r="B12558" s="4" t="s">
        <v>5</v>
      </c>
      <c r="C12558" s="4" t="s">
        <v>11</v>
      </c>
      <c r="D12558" s="4" t="s">
        <v>13</v>
      </c>
      <c r="E12558" s="4" t="s">
        <v>13</v>
      </c>
      <c r="F12558" s="4" t="s">
        <v>13</v>
      </c>
      <c r="G12558" s="4" t="s">
        <v>13</v>
      </c>
    </row>
    <row r="12559" spans="1:6">
      <c r="A12559" t="n">
        <v>116052</v>
      </c>
      <c r="B12559" s="36" t="n">
        <v>46</v>
      </c>
      <c r="C12559" s="7" t="n">
        <v>0</v>
      </c>
      <c r="D12559" s="7" t="n">
        <v>-6.51000022888184</v>
      </c>
      <c r="E12559" s="7" t="n">
        <v>5</v>
      </c>
      <c r="F12559" s="7" t="n">
        <v>29.8999996185303</v>
      </c>
      <c r="G12559" s="7" t="n">
        <v>208</v>
      </c>
    </row>
    <row r="12560" spans="1:6">
      <c r="A12560" t="s">
        <v>4</v>
      </c>
      <c r="B12560" s="4" t="s">
        <v>5</v>
      </c>
      <c r="C12560" s="4" t="s">
        <v>11</v>
      </c>
      <c r="D12560" s="4" t="s">
        <v>13</v>
      </c>
      <c r="E12560" s="4" t="s">
        <v>13</v>
      </c>
      <c r="F12560" s="4" t="s">
        <v>13</v>
      </c>
      <c r="G12560" s="4" t="s">
        <v>13</v>
      </c>
    </row>
    <row r="12561" spans="1:9">
      <c r="A12561" t="n">
        <v>116071</v>
      </c>
      <c r="B12561" s="36" t="n">
        <v>46</v>
      </c>
      <c r="C12561" s="7" t="n">
        <v>4</v>
      </c>
      <c r="D12561" s="7" t="n">
        <v>-7.44999980926514</v>
      </c>
      <c r="E12561" s="7" t="n">
        <v>5</v>
      </c>
      <c r="F12561" s="7" t="n">
        <v>29.7999992370605</v>
      </c>
      <c r="G12561" s="7" t="n">
        <v>151.199996948242</v>
      </c>
    </row>
    <row r="12562" spans="1:9">
      <c r="A12562" t="s">
        <v>4</v>
      </c>
      <c r="B12562" s="4" t="s">
        <v>5</v>
      </c>
      <c r="C12562" s="4" t="s">
        <v>8</v>
      </c>
      <c r="D12562" s="4" t="s">
        <v>8</v>
      </c>
    </row>
    <row r="12563" spans="1:9">
      <c r="A12563" t="n">
        <v>116090</v>
      </c>
      <c r="B12563" s="52" t="n">
        <v>70</v>
      </c>
      <c r="C12563" s="7" t="s">
        <v>25</v>
      </c>
      <c r="D12563" s="7" t="s">
        <v>118</v>
      </c>
    </row>
    <row r="12564" spans="1:9">
      <c r="A12564" t="s">
        <v>4</v>
      </c>
      <c r="B12564" s="4" t="s">
        <v>5</v>
      </c>
      <c r="C12564" s="4" t="s">
        <v>11</v>
      </c>
      <c r="D12564" s="4" t="s">
        <v>11</v>
      </c>
      <c r="E12564" s="4" t="s">
        <v>11</v>
      </c>
    </row>
    <row r="12565" spans="1:9">
      <c r="A12565" t="n">
        <v>116106</v>
      </c>
      <c r="B12565" s="72" t="n">
        <v>61</v>
      </c>
      <c r="C12565" s="7" t="n">
        <v>0</v>
      </c>
      <c r="D12565" s="7" t="n">
        <v>4</v>
      </c>
      <c r="E12565" s="7" t="n">
        <v>0</v>
      </c>
    </row>
    <row r="12566" spans="1:9">
      <c r="A12566" t="s">
        <v>4</v>
      </c>
      <c r="B12566" s="4" t="s">
        <v>5</v>
      </c>
      <c r="C12566" s="4" t="s">
        <v>11</v>
      </c>
      <c r="D12566" s="4" t="s">
        <v>11</v>
      </c>
      <c r="E12566" s="4" t="s">
        <v>11</v>
      </c>
    </row>
    <row r="12567" spans="1:9">
      <c r="A12567" t="n">
        <v>116113</v>
      </c>
      <c r="B12567" s="72" t="n">
        <v>61</v>
      </c>
      <c r="C12567" s="7" t="n">
        <v>4</v>
      </c>
      <c r="D12567" s="7" t="n">
        <v>0</v>
      </c>
      <c r="E12567" s="7" t="n">
        <v>0</v>
      </c>
    </row>
    <row r="12568" spans="1:9">
      <c r="A12568" t="s">
        <v>4</v>
      </c>
      <c r="B12568" s="4" t="s">
        <v>5</v>
      </c>
      <c r="C12568" s="4" t="s">
        <v>7</v>
      </c>
      <c r="D12568" s="4" t="s">
        <v>11</v>
      </c>
      <c r="E12568" s="4" t="s">
        <v>13</v>
      </c>
    </row>
    <row r="12569" spans="1:9">
      <c r="A12569" t="n">
        <v>116120</v>
      </c>
      <c r="B12569" s="23" t="n">
        <v>58</v>
      </c>
      <c r="C12569" s="7" t="n">
        <v>100</v>
      </c>
      <c r="D12569" s="7" t="n">
        <v>1000</v>
      </c>
      <c r="E12569" s="7" t="n">
        <v>1</v>
      </c>
    </row>
    <row r="12570" spans="1:9">
      <c r="A12570" t="s">
        <v>4</v>
      </c>
      <c r="B12570" s="4" t="s">
        <v>5</v>
      </c>
      <c r="C12570" s="4" t="s">
        <v>7</v>
      </c>
      <c r="D12570" s="4" t="s">
        <v>11</v>
      </c>
    </row>
    <row r="12571" spans="1:9">
      <c r="A12571" t="n">
        <v>116128</v>
      </c>
      <c r="B12571" s="23" t="n">
        <v>58</v>
      </c>
      <c r="C12571" s="7" t="n">
        <v>255</v>
      </c>
      <c r="D12571" s="7" t="n">
        <v>0</v>
      </c>
    </row>
    <row r="12572" spans="1:9">
      <c r="A12572" t="s">
        <v>4</v>
      </c>
      <c r="B12572" s="4" t="s">
        <v>5</v>
      </c>
      <c r="C12572" s="4" t="s">
        <v>11</v>
      </c>
    </row>
    <row r="12573" spans="1:9">
      <c r="A12573" t="n">
        <v>116132</v>
      </c>
      <c r="B12573" s="29" t="n">
        <v>16</v>
      </c>
      <c r="C12573" s="7" t="n">
        <v>1000</v>
      </c>
    </row>
    <row r="12574" spans="1:9">
      <c r="A12574" t="s">
        <v>4</v>
      </c>
      <c r="B12574" s="4" t="s">
        <v>5</v>
      </c>
      <c r="C12574" s="4" t="s">
        <v>7</v>
      </c>
      <c r="D12574" s="4" t="s">
        <v>11</v>
      </c>
    </row>
    <row r="12575" spans="1:9">
      <c r="A12575" t="n">
        <v>116135</v>
      </c>
      <c r="B12575" s="51" t="n">
        <v>45</v>
      </c>
      <c r="C12575" s="7" t="n">
        <v>7</v>
      </c>
      <c r="D12575" s="7" t="n">
        <v>255</v>
      </c>
    </row>
    <row r="12576" spans="1:9">
      <c r="A12576" t="s">
        <v>4</v>
      </c>
      <c r="B12576" s="4" t="s">
        <v>5</v>
      </c>
      <c r="C12576" s="4" t="s">
        <v>7</v>
      </c>
      <c r="D12576" s="4" t="s">
        <v>11</v>
      </c>
      <c r="E12576" s="4" t="s">
        <v>13</v>
      </c>
    </row>
    <row r="12577" spans="1:7">
      <c r="A12577" t="n">
        <v>116139</v>
      </c>
      <c r="B12577" s="23" t="n">
        <v>58</v>
      </c>
      <c r="C12577" s="7" t="n">
        <v>101</v>
      </c>
      <c r="D12577" s="7" t="n">
        <v>500</v>
      </c>
      <c r="E12577" s="7" t="n">
        <v>1</v>
      </c>
    </row>
    <row r="12578" spans="1:7">
      <c r="A12578" t="s">
        <v>4</v>
      </c>
      <c r="B12578" s="4" t="s">
        <v>5</v>
      </c>
      <c r="C12578" s="4" t="s">
        <v>7</v>
      </c>
      <c r="D12578" s="4" t="s">
        <v>11</v>
      </c>
    </row>
    <row r="12579" spans="1:7">
      <c r="A12579" t="n">
        <v>116147</v>
      </c>
      <c r="B12579" s="23" t="n">
        <v>58</v>
      </c>
      <c r="C12579" s="7" t="n">
        <v>254</v>
      </c>
      <c r="D12579" s="7" t="n">
        <v>0</v>
      </c>
    </row>
    <row r="12580" spans="1:7">
      <c r="A12580" t="s">
        <v>4</v>
      </c>
      <c r="B12580" s="4" t="s">
        <v>5</v>
      </c>
      <c r="C12580" s="4" t="s">
        <v>7</v>
      </c>
      <c r="D12580" s="4" t="s">
        <v>11</v>
      </c>
      <c r="E12580" s="4" t="s">
        <v>8</v>
      </c>
      <c r="F12580" s="4" t="s">
        <v>8</v>
      </c>
      <c r="G12580" s="4" t="s">
        <v>8</v>
      </c>
      <c r="H12580" s="4" t="s">
        <v>8</v>
      </c>
    </row>
    <row r="12581" spans="1:7">
      <c r="A12581" t="n">
        <v>116151</v>
      </c>
      <c r="B12581" s="38" t="n">
        <v>51</v>
      </c>
      <c r="C12581" s="7" t="n">
        <v>3</v>
      </c>
      <c r="D12581" s="7" t="n">
        <v>4</v>
      </c>
      <c r="E12581" s="7" t="s">
        <v>79</v>
      </c>
      <c r="F12581" s="7" t="s">
        <v>79</v>
      </c>
      <c r="G12581" s="7" t="s">
        <v>78</v>
      </c>
      <c r="H12581" s="7" t="s">
        <v>79</v>
      </c>
    </row>
    <row r="12582" spans="1:7">
      <c r="A12582" t="s">
        <v>4</v>
      </c>
      <c r="B12582" s="4" t="s">
        <v>5</v>
      </c>
      <c r="C12582" s="4" t="s">
        <v>7</v>
      </c>
      <c r="D12582" s="4" t="s">
        <v>11</v>
      </c>
      <c r="E12582" s="4" t="s">
        <v>11</v>
      </c>
      <c r="F12582" s="4" t="s">
        <v>15</v>
      </c>
      <c r="G12582" s="4" t="s">
        <v>15</v>
      </c>
      <c r="H12582" s="4" t="s">
        <v>15</v>
      </c>
    </row>
    <row r="12583" spans="1:7">
      <c r="A12583" t="n">
        <v>116164</v>
      </c>
      <c r="B12583" s="77" t="n">
        <v>97</v>
      </c>
      <c r="C12583" s="7" t="n">
        <v>6</v>
      </c>
      <c r="D12583" s="7" t="n">
        <v>0</v>
      </c>
      <c r="E12583" s="7" t="n">
        <v>0</v>
      </c>
      <c r="F12583" s="7" t="n">
        <v>-1065143501</v>
      </c>
      <c r="G12583" s="7" t="n">
        <v>1101004800</v>
      </c>
      <c r="H12583" s="7" t="n">
        <v>1101004800</v>
      </c>
    </row>
    <row r="12584" spans="1:7">
      <c r="A12584" t="s">
        <v>4</v>
      </c>
      <c r="B12584" s="4" t="s">
        <v>5</v>
      </c>
      <c r="C12584" s="4" t="s">
        <v>7</v>
      </c>
      <c r="D12584" s="4" t="s">
        <v>7</v>
      </c>
      <c r="E12584" s="4" t="s">
        <v>13</v>
      </c>
      <c r="F12584" s="4" t="s">
        <v>13</v>
      </c>
      <c r="G12584" s="4" t="s">
        <v>13</v>
      </c>
      <c r="H12584" s="4" t="s">
        <v>11</v>
      </c>
    </row>
    <row r="12585" spans="1:7">
      <c r="A12585" t="n">
        <v>116182</v>
      </c>
      <c r="B12585" s="51" t="n">
        <v>45</v>
      </c>
      <c r="C12585" s="7" t="n">
        <v>2</v>
      </c>
      <c r="D12585" s="7" t="n">
        <v>3</v>
      </c>
      <c r="E12585" s="7" t="n">
        <v>-6.86999988555908</v>
      </c>
      <c r="F12585" s="7" t="n">
        <v>6.48000001907349</v>
      </c>
      <c r="G12585" s="7" t="n">
        <v>29.8400001525879</v>
      </c>
      <c r="H12585" s="7" t="n">
        <v>0</v>
      </c>
    </row>
    <row r="12586" spans="1:7">
      <c r="A12586" t="s">
        <v>4</v>
      </c>
      <c r="B12586" s="4" t="s">
        <v>5</v>
      </c>
      <c r="C12586" s="4" t="s">
        <v>7</v>
      </c>
      <c r="D12586" s="4" t="s">
        <v>7</v>
      </c>
      <c r="E12586" s="4" t="s">
        <v>13</v>
      </c>
      <c r="F12586" s="4" t="s">
        <v>13</v>
      </c>
      <c r="G12586" s="4" t="s">
        <v>13</v>
      </c>
      <c r="H12586" s="4" t="s">
        <v>11</v>
      </c>
      <c r="I12586" s="4" t="s">
        <v>7</v>
      </c>
    </row>
    <row r="12587" spans="1:7">
      <c r="A12587" t="n">
        <v>116199</v>
      </c>
      <c r="B12587" s="51" t="n">
        <v>45</v>
      </c>
      <c r="C12587" s="7" t="n">
        <v>4</v>
      </c>
      <c r="D12587" s="7" t="n">
        <v>3</v>
      </c>
      <c r="E12587" s="7" t="n">
        <v>15.7700004577637</v>
      </c>
      <c r="F12587" s="7" t="n">
        <v>135.5</v>
      </c>
      <c r="G12587" s="7" t="n">
        <v>0</v>
      </c>
      <c r="H12587" s="7" t="n">
        <v>0</v>
      </c>
      <c r="I12587" s="7" t="n">
        <v>0</v>
      </c>
    </row>
    <row r="12588" spans="1:7">
      <c r="A12588" t="s">
        <v>4</v>
      </c>
      <c r="B12588" s="4" t="s">
        <v>5</v>
      </c>
      <c r="C12588" s="4" t="s">
        <v>7</v>
      </c>
      <c r="D12588" s="4" t="s">
        <v>7</v>
      </c>
      <c r="E12588" s="4" t="s">
        <v>13</v>
      </c>
      <c r="F12588" s="4" t="s">
        <v>11</v>
      </c>
    </row>
    <row r="12589" spans="1:7">
      <c r="A12589" t="n">
        <v>116217</v>
      </c>
      <c r="B12589" s="51" t="n">
        <v>45</v>
      </c>
      <c r="C12589" s="7" t="n">
        <v>5</v>
      </c>
      <c r="D12589" s="7" t="n">
        <v>3</v>
      </c>
      <c r="E12589" s="7" t="n">
        <v>1.29999995231628</v>
      </c>
      <c r="F12589" s="7" t="n">
        <v>0</v>
      </c>
    </row>
    <row r="12590" spans="1:7">
      <c r="A12590" t="s">
        <v>4</v>
      </c>
      <c r="B12590" s="4" t="s">
        <v>5</v>
      </c>
      <c r="C12590" s="4" t="s">
        <v>7</v>
      </c>
      <c r="D12590" s="4" t="s">
        <v>7</v>
      </c>
      <c r="E12590" s="4" t="s">
        <v>13</v>
      </c>
      <c r="F12590" s="4" t="s">
        <v>11</v>
      </c>
    </row>
    <row r="12591" spans="1:7">
      <c r="A12591" t="n">
        <v>116226</v>
      </c>
      <c r="B12591" s="51" t="n">
        <v>45</v>
      </c>
      <c r="C12591" s="7" t="n">
        <v>11</v>
      </c>
      <c r="D12591" s="7" t="n">
        <v>3</v>
      </c>
      <c r="E12591" s="7" t="n">
        <v>40.2999992370605</v>
      </c>
      <c r="F12591" s="7" t="n">
        <v>0</v>
      </c>
    </row>
    <row r="12592" spans="1:7">
      <c r="A12592" t="s">
        <v>4</v>
      </c>
      <c r="B12592" s="4" t="s">
        <v>5</v>
      </c>
      <c r="C12592" s="4" t="s">
        <v>7</v>
      </c>
      <c r="D12592" s="4" t="s">
        <v>11</v>
      </c>
    </row>
    <row r="12593" spans="1:9">
      <c r="A12593" t="n">
        <v>116235</v>
      </c>
      <c r="B12593" s="23" t="n">
        <v>58</v>
      </c>
      <c r="C12593" s="7" t="n">
        <v>255</v>
      </c>
      <c r="D12593" s="7" t="n">
        <v>0</v>
      </c>
    </row>
    <row r="12594" spans="1:9">
      <c r="A12594" t="s">
        <v>4</v>
      </c>
      <c r="B12594" s="4" t="s">
        <v>5</v>
      </c>
      <c r="C12594" s="4" t="s">
        <v>7</v>
      </c>
      <c r="D12594" s="4" t="s">
        <v>11</v>
      </c>
      <c r="E12594" s="4" t="s">
        <v>8</v>
      </c>
    </row>
    <row r="12595" spans="1:9">
      <c r="A12595" t="n">
        <v>116239</v>
      </c>
      <c r="B12595" s="38" t="n">
        <v>51</v>
      </c>
      <c r="C12595" s="7" t="n">
        <v>4</v>
      </c>
      <c r="D12595" s="7" t="n">
        <v>4</v>
      </c>
      <c r="E12595" s="7" t="s">
        <v>658</v>
      </c>
    </row>
    <row r="12596" spans="1:9">
      <c r="A12596" t="s">
        <v>4</v>
      </c>
      <c r="B12596" s="4" t="s">
        <v>5</v>
      </c>
      <c r="C12596" s="4" t="s">
        <v>11</v>
      </c>
    </row>
    <row r="12597" spans="1:9">
      <c r="A12597" t="n">
        <v>116253</v>
      </c>
      <c r="B12597" s="29" t="n">
        <v>16</v>
      </c>
      <c r="C12597" s="7" t="n">
        <v>0</v>
      </c>
    </row>
    <row r="12598" spans="1:9">
      <c r="A12598" t="s">
        <v>4</v>
      </c>
      <c r="B12598" s="4" t="s">
        <v>5</v>
      </c>
      <c r="C12598" s="4" t="s">
        <v>11</v>
      </c>
      <c r="D12598" s="4" t="s">
        <v>7</v>
      </c>
      <c r="E12598" s="4" t="s">
        <v>15</v>
      </c>
      <c r="F12598" s="4" t="s">
        <v>55</v>
      </c>
      <c r="G12598" s="4" t="s">
        <v>7</v>
      </c>
      <c r="H12598" s="4" t="s">
        <v>7</v>
      </c>
      <c r="I12598" s="4" t="s">
        <v>7</v>
      </c>
      <c r="J12598" s="4" t="s">
        <v>15</v>
      </c>
      <c r="K12598" s="4" t="s">
        <v>55</v>
      </c>
      <c r="L12598" s="4" t="s">
        <v>7</v>
      </c>
      <c r="M12598" s="4" t="s">
        <v>7</v>
      </c>
    </row>
    <row r="12599" spans="1:9">
      <c r="A12599" t="n">
        <v>116256</v>
      </c>
      <c r="B12599" s="55" t="n">
        <v>26</v>
      </c>
      <c r="C12599" s="7" t="n">
        <v>4</v>
      </c>
      <c r="D12599" s="7" t="n">
        <v>17</v>
      </c>
      <c r="E12599" s="7" t="n">
        <v>64143</v>
      </c>
      <c r="F12599" s="7" t="s">
        <v>1001</v>
      </c>
      <c r="G12599" s="7" t="n">
        <v>2</v>
      </c>
      <c r="H12599" s="7" t="n">
        <v>3</v>
      </c>
      <c r="I12599" s="7" t="n">
        <v>17</v>
      </c>
      <c r="J12599" s="7" t="n">
        <v>64144</v>
      </c>
      <c r="K12599" s="7" t="s">
        <v>1002</v>
      </c>
      <c r="L12599" s="7" t="n">
        <v>2</v>
      </c>
      <c r="M12599" s="7" t="n">
        <v>0</v>
      </c>
    </row>
    <row r="12600" spans="1:9">
      <c r="A12600" t="s">
        <v>4</v>
      </c>
      <c r="B12600" s="4" t="s">
        <v>5</v>
      </c>
    </row>
    <row r="12601" spans="1:9">
      <c r="A12601" t="n">
        <v>116481</v>
      </c>
      <c r="B12601" s="27" t="n">
        <v>28</v>
      </c>
    </row>
    <row r="12602" spans="1:9">
      <c r="A12602" t="s">
        <v>4</v>
      </c>
      <c r="B12602" s="4" t="s">
        <v>5</v>
      </c>
      <c r="C12602" s="4" t="s">
        <v>7</v>
      </c>
      <c r="D12602" s="4" t="s">
        <v>11</v>
      </c>
      <c r="E12602" s="4" t="s">
        <v>8</v>
      </c>
    </row>
    <row r="12603" spans="1:9">
      <c r="A12603" t="n">
        <v>116482</v>
      </c>
      <c r="B12603" s="38" t="n">
        <v>51</v>
      </c>
      <c r="C12603" s="7" t="n">
        <v>4</v>
      </c>
      <c r="D12603" s="7" t="n">
        <v>0</v>
      </c>
      <c r="E12603" s="7" t="s">
        <v>752</v>
      </c>
    </row>
    <row r="12604" spans="1:9">
      <c r="A12604" t="s">
        <v>4</v>
      </c>
      <c r="B12604" s="4" t="s">
        <v>5</v>
      </c>
      <c r="C12604" s="4" t="s">
        <v>11</v>
      </c>
    </row>
    <row r="12605" spans="1:9">
      <c r="A12605" t="n">
        <v>116496</v>
      </c>
      <c r="B12605" s="29" t="n">
        <v>16</v>
      </c>
      <c r="C12605" s="7" t="n">
        <v>0</v>
      </c>
    </row>
    <row r="12606" spans="1:9">
      <c r="A12606" t="s">
        <v>4</v>
      </c>
      <c r="B12606" s="4" t="s">
        <v>5</v>
      </c>
      <c r="C12606" s="4" t="s">
        <v>11</v>
      </c>
      <c r="D12606" s="4" t="s">
        <v>7</v>
      </c>
      <c r="E12606" s="4" t="s">
        <v>15</v>
      </c>
      <c r="F12606" s="4" t="s">
        <v>55</v>
      </c>
      <c r="G12606" s="4" t="s">
        <v>7</v>
      </c>
      <c r="H12606" s="4" t="s">
        <v>7</v>
      </c>
      <c r="I12606" s="4" t="s">
        <v>7</v>
      </c>
      <c r="J12606" s="4" t="s">
        <v>15</v>
      </c>
      <c r="K12606" s="4" t="s">
        <v>55</v>
      </c>
      <c r="L12606" s="4" t="s">
        <v>7</v>
      </c>
      <c r="M12606" s="4" t="s">
        <v>7</v>
      </c>
      <c r="N12606" s="4" t="s">
        <v>7</v>
      </c>
      <c r="O12606" s="4" t="s">
        <v>15</v>
      </c>
      <c r="P12606" s="4" t="s">
        <v>55</v>
      </c>
      <c r="Q12606" s="4" t="s">
        <v>7</v>
      </c>
      <c r="R12606" s="4" t="s">
        <v>7</v>
      </c>
    </row>
    <row r="12607" spans="1:9">
      <c r="A12607" t="n">
        <v>116499</v>
      </c>
      <c r="B12607" s="55" t="n">
        <v>26</v>
      </c>
      <c r="C12607" s="7" t="n">
        <v>0</v>
      </c>
      <c r="D12607" s="7" t="n">
        <v>17</v>
      </c>
      <c r="E12607" s="7" t="n">
        <v>64145</v>
      </c>
      <c r="F12607" s="7" t="s">
        <v>1003</v>
      </c>
      <c r="G12607" s="7" t="n">
        <v>2</v>
      </c>
      <c r="H12607" s="7" t="n">
        <v>3</v>
      </c>
      <c r="I12607" s="7" t="n">
        <v>17</v>
      </c>
      <c r="J12607" s="7" t="n">
        <v>64146</v>
      </c>
      <c r="K12607" s="7" t="s">
        <v>1004</v>
      </c>
      <c r="L12607" s="7" t="n">
        <v>2</v>
      </c>
      <c r="M12607" s="7" t="n">
        <v>3</v>
      </c>
      <c r="N12607" s="7" t="n">
        <v>17</v>
      </c>
      <c r="O12607" s="7" t="n">
        <v>64147</v>
      </c>
      <c r="P12607" s="7" t="s">
        <v>1005</v>
      </c>
      <c r="Q12607" s="7" t="n">
        <v>2</v>
      </c>
      <c r="R12607" s="7" t="n">
        <v>0</v>
      </c>
    </row>
    <row r="12608" spans="1:9">
      <c r="A12608" t="s">
        <v>4</v>
      </c>
      <c r="B12608" s="4" t="s">
        <v>5</v>
      </c>
    </row>
    <row r="12609" spans="1:18">
      <c r="A12609" t="n">
        <v>116794</v>
      </c>
      <c r="B12609" s="27" t="n">
        <v>28</v>
      </c>
    </row>
    <row r="12610" spans="1:18">
      <c r="A12610" t="s">
        <v>4</v>
      </c>
      <c r="B12610" s="4" t="s">
        <v>5</v>
      </c>
      <c r="C12610" s="4" t="s">
        <v>7</v>
      </c>
      <c r="D12610" s="4" t="s">
        <v>11</v>
      </c>
      <c r="E12610" s="4" t="s">
        <v>8</v>
      </c>
    </row>
    <row r="12611" spans="1:18">
      <c r="A12611" t="n">
        <v>116795</v>
      </c>
      <c r="B12611" s="38" t="n">
        <v>51</v>
      </c>
      <c r="C12611" s="7" t="n">
        <v>4</v>
      </c>
      <c r="D12611" s="7" t="n">
        <v>4</v>
      </c>
      <c r="E12611" s="7" t="s">
        <v>242</v>
      </c>
    </row>
    <row r="12612" spans="1:18">
      <c r="A12612" t="s">
        <v>4</v>
      </c>
      <c r="B12612" s="4" t="s">
        <v>5</v>
      </c>
      <c r="C12612" s="4" t="s">
        <v>11</v>
      </c>
    </row>
    <row r="12613" spans="1:18">
      <c r="A12613" t="n">
        <v>116809</v>
      </c>
      <c r="B12613" s="29" t="n">
        <v>16</v>
      </c>
      <c r="C12613" s="7" t="n">
        <v>0</v>
      </c>
    </row>
    <row r="12614" spans="1:18">
      <c r="A12614" t="s">
        <v>4</v>
      </c>
      <c r="B12614" s="4" t="s">
        <v>5</v>
      </c>
      <c r="C12614" s="4" t="s">
        <v>11</v>
      </c>
      <c r="D12614" s="4" t="s">
        <v>7</v>
      </c>
      <c r="E12614" s="4" t="s">
        <v>15</v>
      </c>
      <c r="F12614" s="4" t="s">
        <v>55</v>
      </c>
      <c r="G12614" s="4" t="s">
        <v>7</v>
      </c>
      <c r="H12614" s="4" t="s">
        <v>7</v>
      </c>
      <c r="I12614" s="4" t="s">
        <v>7</v>
      </c>
      <c r="J12614" s="4" t="s">
        <v>15</v>
      </c>
      <c r="K12614" s="4" t="s">
        <v>55</v>
      </c>
      <c r="L12614" s="4" t="s">
        <v>7</v>
      </c>
      <c r="M12614" s="4" t="s">
        <v>7</v>
      </c>
      <c r="N12614" s="4" t="s">
        <v>7</v>
      </c>
      <c r="O12614" s="4" t="s">
        <v>15</v>
      </c>
      <c r="P12614" s="4" t="s">
        <v>55</v>
      </c>
      <c r="Q12614" s="4" t="s">
        <v>7</v>
      </c>
      <c r="R12614" s="4" t="s">
        <v>7</v>
      </c>
    </row>
    <row r="12615" spans="1:18">
      <c r="A12615" t="n">
        <v>116812</v>
      </c>
      <c r="B12615" s="55" t="n">
        <v>26</v>
      </c>
      <c r="C12615" s="7" t="n">
        <v>4</v>
      </c>
      <c r="D12615" s="7" t="n">
        <v>17</v>
      </c>
      <c r="E12615" s="7" t="n">
        <v>64148</v>
      </c>
      <c r="F12615" s="7" t="s">
        <v>1006</v>
      </c>
      <c r="G12615" s="7" t="n">
        <v>2</v>
      </c>
      <c r="H12615" s="7" t="n">
        <v>3</v>
      </c>
      <c r="I12615" s="7" t="n">
        <v>17</v>
      </c>
      <c r="J12615" s="7" t="n">
        <v>64149</v>
      </c>
      <c r="K12615" s="7" t="s">
        <v>1007</v>
      </c>
      <c r="L12615" s="7" t="n">
        <v>2</v>
      </c>
      <c r="M12615" s="7" t="n">
        <v>3</v>
      </c>
      <c r="N12615" s="7" t="n">
        <v>17</v>
      </c>
      <c r="O12615" s="7" t="n">
        <v>64150</v>
      </c>
      <c r="P12615" s="7" t="s">
        <v>1008</v>
      </c>
      <c r="Q12615" s="7" t="n">
        <v>2</v>
      </c>
      <c r="R12615" s="7" t="n">
        <v>0</v>
      </c>
    </row>
    <row r="12616" spans="1:18">
      <c r="A12616" t="s">
        <v>4</v>
      </c>
      <c r="B12616" s="4" t="s">
        <v>5</v>
      </c>
    </row>
    <row r="12617" spans="1:18">
      <c r="A12617" t="n">
        <v>117067</v>
      </c>
      <c r="B12617" s="27" t="n">
        <v>28</v>
      </c>
    </row>
    <row r="12618" spans="1:18">
      <c r="A12618" t="s">
        <v>4</v>
      </c>
      <c r="B12618" s="4" t="s">
        <v>5</v>
      </c>
      <c r="C12618" s="4" t="s">
        <v>7</v>
      </c>
      <c r="D12618" s="4" t="s">
        <v>11</v>
      </c>
      <c r="E12618" s="4" t="s">
        <v>8</v>
      </c>
    </row>
    <row r="12619" spans="1:18">
      <c r="A12619" t="n">
        <v>117068</v>
      </c>
      <c r="B12619" s="38" t="n">
        <v>51</v>
      </c>
      <c r="C12619" s="7" t="n">
        <v>4</v>
      </c>
      <c r="D12619" s="7" t="n">
        <v>0</v>
      </c>
      <c r="E12619" s="7" t="s">
        <v>285</v>
      </c>
    </row>
    <row r="12620" spans="1:18">
      <c r="A12620" t="s">
        <v>4</v>
      </c>
      <c r="B12620" s="4" t="s">
        <v>5</v>
      </c>
      <c r="C12620" s="4" t="s">
        <v>11</v>
      </c>
    </row>
    <row r="12621" spans="1:18">
      <c r="A12621" t="n">
        <v>117081</v>
      </c>
      <c r="B12621" s="29" t="n">
        <v>16</v>
      </c>
      <c r="C12621" s="7" t="n">
        <v>0</v>
      </c>
    </row>
    <row r="12622" spans="1:18">
      <c r="A12622" t="s">
        <v>4</v>
      </c>
      <c r="B12622" s="4" t="s">
        <v>5</v>
      </c>
      <c r="C12622" s="4" t="s">
        <v>11</v>
      </c>
      <c r="D12622" s="4" t="s">
        <v>7</v>
      </c>
      <c r="E12622" s="4" t="s">
        <v>15</v>
      </c>
      <c r="F12622" s="4" t="s">
        <v>55</v>
      </c>
      <c r="G12622" s="4" t="s">
        <v>7</v>
      </c>
      <c r="H12622" s="4" t="s">
        <v>7</v>
      </c>
    </row>
    <row r="12623" spans="1:18">
      <c r="A12623" t="n">
        <v>117084</v>
      </c>
      <c r="B12623" s="55" t="n">
        <v>26</v>
      </c>
      <c r="C12623" s="7" t="n">
        <v>0</v>
      </c>
      <c r="D12623" s="7" t="n">
        <v>17</v>
      </c>
      <c r="E12623" s="7" t="n">
        <v>64151</v>
      </c>
      <c r="F12623" s="7" t="s">
        <v>1009</v>
      </c>
      <c r="G12623" s="7" t="n">
        <v>2</v>
      </c>
      <c r="H12623" s="7" t="n">
        <v>0</v>
      </c>
    </row>
    <row r="12624" spans="1:18">
      <c r="A12624" t="s">
        <v>4</v>
      </c>
      <c r="B12624" s="4" t="s">
        <v>5</v>
      </c>
    </row>
    <row r="12625" spans="1:18">
      <c r="A12625" t="n">
        <v>117114</v>
      </c>
      <c r="B12625" s="27" t="n">
        <v>28</v>
      </c>
    </row>
    <row r="12626" spans="1:18">
      <c r="A12626" t="s">
        <v>4</v>
      </c>
      <c r="B12626" s="4" t="s">
        <v>5</v>
      </c>
      <c r="C12626" s="4" t="s">
        <v>7</v>
      </c>
      <c r="D12626" s="4" t="s">
        <v>11</v>
      </c>
      <c r="E12626" s="4" t="s">
        <v>7</v>
      </c>
    </row>
    <row r="12627" spans="1:18">
      <c r="A12627" t="n">
        <v>117115</v>
      </c>
      <c r="B12627" s="13" t="n">
        <v>49</v>
      </c>
      <c r="C12627" s="7" t="n">
        <v>1</v>
      </c>
      <c r="D12627" s="7" t="n">
        <v>3000</v>
      </c>
      <c r="E12627" s="7" t="n">
        <v>0</v>
      </c>
    </row>
    <row r="12628" spans="1:18">
      <c r="A12628" t="s">
        <v>4</v>
      </c>
      <c r="B12628" s="4" t="s">
        <v>5</v>
      </c>
      <c r="C12628" s="4" t="s">
        <v>7</v>
      </c>
      <c r="D12628" s="4" t="s">
        <v>11</v>
      </c>
      <c r="E12628" s="4" t="s">
        <v>8</v>
      </c>
      <c r="F12628" s="4" t="s">
        <v>8</v>
      </c>
      <c r="G12628" s="4" t="s">
        <v>8</v>
      </c>
      <c r="H12628" s="4" t="s">
        <v>8</v>
      </c>
    </row>
    <row r="12629" spans="1:18">
      <c r="A12629" t="n">
        <v>117120</v>
      </c>
      <c r="B12629" s="38" t="n">
        <v>51</v>
      </c>
      <c r="C12629" s="7" t="n">
        <v>3</v>
      </c>
      <c r="D12629" s="7" t="n">
        <v>4</v>
      </c>
      <c r="E12629" s="7" t="s">
        <v>319</v>
      </c>
      <c r="F12629" s="7" t="s">
        <v>99</v>
      </c>
      <c r="G12629" s="7" t="s">
        <v>78</v>
      </c>
      <c r="H12629" s="7" t="s">
        <v>79</v>
      </c>
    </row>
    <row r="12630" spans="1:18">
      <c r="A12630" t="s">
        <v>4</v>
      </c>
      <c r="B12630" s="4" t="s">
        <v>5</v>
      </c>
      <c r="C12630" s="4" t="s">
        <v>11</v>
      </c>
      <c r="D12630" s="4" t="s">
        <v>7</v>
      </c>
      <c r="E12630" s="4" t="s">
        <v>13</v>
      </c>
      <c r="F12630" s="4" t="s">
        <v>11</v>
      </c>
    </row>
    <row r="12631" spans="1:18">
      <c r="A12631" t="n">
        <v>117133</v>
      </c>
      <c r="B12631" s="56" t="n">
        <v>59</v>
      </c>
      <c r="C12631" s="7" t="n">
        <v>4</v>
      </c>
      <c r="D12631" s="7" t="n">
        <v>9</v>
      </c>
      <c r="E12631" s="7" t="n">
        <v>0.150000005960464</v>
      </c>
      <c r="F12631" s="7" t="n">
        <v>0</v>
      </c>
    </row>
    <row r="12632" spans="1:18">
      <c r="A12632" t="s">
        <v>4</v>
      </c>
      <c r="B12632" s="4" t="s">
        <v>5</v>
      </c>
      <c r="C12632" s="4" t="s">
        <v>11</v>
      </c>
    </row>
    <row r="12633" spans="1:18">
      <c r="A12633" t="n">
        <v>117143</v>
      </c>
      <c r="B12633" s="29" t="n">
        <v>16</v>
      </c>
      <c r="C12633" s="7" t="n">
        <v>1800</v>
      </c>
    </row>
    <row r="12634" spans="1:18">
      <c r="A12634" t="s">
        <v>4</v>
      </c>
      <c r="B12634" s="4" t="s">
        <v>5</v>
      </c>
      <c r="C12634" s="4" t="s">
        <v>7</v>
      </c>
      <c r="D12634" s="4" t="s">
        <v>11</v>
      </c>
      <c r="E12634" s="4" t="s">
        <v>13</v>
      </c>
    </row>
    <row r="12635" spans="1:18">
      <c r="A12635" t="n">
        <v>117146</v>
      </c>
      <c r="B12635" s="23" t="n">
        <v>58</v>
      </c>
      <c r="C12635" s="7" t="n">
        <v>101</v>
      </c>
      <c r="D12635" s="7" t="n">
        <v>800</v>
      </c>
      <c r="E12635" s="7" t="n">
        <v>1</v>
      </c>
    </row>
    <row r="12636" spans="1:18">
      <c r="A12636" t="s">
        <v>4</v>
      </c>
      <c r="B12636" s="4" t="s">
        <v>5</v>
      </c>
      <c r="C12636" s="4" t="s">
        <v>7</v>
      </c>
      <c r="D12636" s="4" t="s">
        <v>11</v>
      </c>
    </row>
    <row r="12637" spans="1:18">
      <c r="A12637" t="n">
        <v>117154</v>
      </c>
      <c r="B12637" s="23" t="n">
        <v>58</v>
      </c>
      <c r="C12637" s="7" t="n">
        <v>254</v>
      </c>
      <c r="D12637" s="7" t="n">
        <v>0</v>
      </c>
    </row>
    <row r="12638" spans="1:18">
      <c r="A12638" t="s">
        <v>4</v>
      </c>
      <c r="B12638" s="4" t="s">
        <v>5</v>
      </c>
      <c r="C12638" s="4" t="s">
        <v>7</v>
      </c>
      <c r="D12638" s="4" t="s">
        <v>7</v>
      </c>
      <c r="E12638" s="4" t="s">
        <v>13</v>
      </c>
      <c r="F12638" s="4" t="s">
        <v>13</v>
      </c>
      <c r="G12638" s="4" t="s">
        <v>13</v>
      </c>
      <c r="H12638" s="4" t="s">
        <v>11</v>
      </c>
    </row>
    <row r="12639" spans="1:18">
      <c r="A12639" t="n">
        <v>117158</v>
      </c>
      <c r="B12639" s="51" t="n">
        <v>45</v>
      </c>
      <c r="C12639" s="7" t="n">
        <v>2</v>
      </c>
      <c r="D12639" s="7" t="n">
        <v>3</v>
      </c>
      <c r="E12639" s="7" t="n">
        <v>-7.36999988555908</v>
      </c>
      <c r="F12639" s="7" t="n">
        <v>6.51999998092651</v>
      </c>
      <c r="G12639" s="7" t="n">
        <v>29.8299999237061</v>
      </c>
      <c r="H12639" s="7" t="n">
        <v>0</v>
      </c>
    </row>
    <row r="12640" spans="1:18">
      <c r="A12640" t="s">
        <v>4</v>
      </c>
      <c r="B12640" s="4" t="s">
        <v>5</v>
      </c>
      <c r="C12640" s="4" t="s">
        <v>7</v>
      </c>
      <c r="D12640" s="4" t="s">
        <v>7</v>
      </c>
      <c r="E12640" s="4" t="s">
        <v>13</v>
      </c>
      <c r="F12640" s="4" t="s">
        <v>13</v>
      </c>
      <c r="G12640" s="4" t="s">
        <v>13</v>
      </c>
      <c r="H12640" s="4" t="s">
        <v>11</v>
      </c>
      <c r="I12640" s="4" t="s">
        <v>7</v>
      </c>
    </row>
    <row r="12641" spans="1:9">
      <c r="A12641" t="n">
        <v>117175</v>
      </c>
      <c r="B12641" s="51" t="n">
        <v>45</v>
      </c>
      <c r="C12641" s="7" t="n">
        <v>4</v>
      </c>
      <c r="D12641" s="7" t="n">
        <v>3</v>
      </c>
      <c r="E12641" s="7" t="n">
        <v>6.42000007629395</v>
      </c>
      <c r="F12641" s="7" t="n">
        <v>63.8499984741211</v>
      </c>
      <c r="G12641" s="7" t="n">
        <v>356</v>
      </c>
      <c r="H12641" s="7" t="n">
        <v>0</v>
      </c>
      <c r="I12641" s="7" t="n">
        <v>0</v>
      </c>
    </row>
    <row r="12642" spans="1:9">
      <c r="A12642" t="s">
        <v>4</v>
      </c>
      <c r="B12642" s="4" t="s">
        <v>5</v>
      </c>
      <c r="C12642" s="4" t="s">
        <v>7</v>
      </c>
      <c r="D12642" s="4" t="s">
        <v>7</v>
      </c>
      <c r="E12642" s="4" t="s">
        <v>13</v>
      </c>
      <c r="F12642" s="4" t="s">
        <v>11</v>
      </c>
    </row>
    <row r="12643" spans="1:9">
      <c r="A12643" t="n">
        <v>117193</v>
      </c>
      <c r="B12643" s="51" t="n">
        <v>45</v>
      </c>
      <c r="C12643" s="7" t="n">
        <v>5</v>
      </c>
      <c r="D12643" s="7" t="n">
        <v>3</v>
      </c>
      <c r="E12643" s="7" t="n">
        <v>0.800000011920929</v>
      </c>
      <c r="F12643" s="7" t="n">
        <v>0</v>
      </c>
    </row>
    <row r="12644" spans="1:9">
      <c r="A12644" t="s">
        <v>4</v>
      </c>
      <c r="B12644" s="4" t="s">
        <v>5</v>
      </c>
      <c r="C12644" s="4" t="s">
        <v>7</v>
      </c>
      <c r="D12644" s="4" t="s">
        <v>7</v>
      </c>
      <c r="E12644" s="4" t="s">
        <v>13</v>
      </c>
      <c r="F12644" s="4" t="s">
        <v>11</v>
      </c>
    </row>
    <row r="12645" spans="1:9">
      <c r="A12645" t="n">
        <v>117202</v>
      </c>
      <c r="B12645" s="51" t="n">
        <v>45</v>
      </c>
      <c r="C12645" s="7" t="n">
        <v>11</v>
      </c>
      <c r="D12645" s="7" t="n">
        <v>3</v>
      </c>
      <c r="E12645" s="7" t="n">
        <v>40.2999992370605</v>
      </c>
      <c r="F12645" s="7" t="n">
        <v>0</v>
      </c>
    </row>
    <row r="12646" spans="1:9">
      <c r="A12646" t="s">
        <v>4</v>
      </c>
      <c r="B12646" s="4" t="s">
        <v>5</v>
      </c>
      <c r="C12646" s="4" t="s">
        <v>7</v>
      </c>
    </row>
    <row r="12647" spans="1:9">
      <c r="A12647" t="n">
        <v>117211</v>
      </c>
      <c r="B12647" s="49" t="n">
        <v>116</v>
      </c>
      <c r="C12647" s="7" t="n">
        <v>0</v>
      </c>
    </row>
    <row r="12648" spans="1:9">
      <c r="A12648" t="s">
        <v>4</v>
      </c>
      <c r="B12648" s="4" t="s">
        <v>5</v>
      </c>
      <c r="C12648" s="4" t="s">
        <v>7</v>
      </c>
      <c r="D12648" s="4" t="s">
        <v>11</v>
      </c>
    </row>
    <row r="12649" spans="1:9">
      <c r="A12649" t="n">
        <v>117213</v>
      </c>
      <c r="B12649" s="49" t="n">
        <v>116</v>
      </c>
      <c r="C12649" s="7" t="n">
        <v>2</v>
      </c>
      <c r="D12649" s="7" t="n">
        <v>1</v>
      </c>
    </row>
    <row r="12650" spans="1:9">
      <c r="A12650" t="s">
        <v>4</v>
      </c>
      <c r="B12650" s="4" t="s">
        <v>5</v>
      </c>
      <c r="C12650" s="4" t="s">
        <v>7</v>
      </c>
      <c r="D12650" s="4" t="s">
        <v>15</v>
      </c>
    </row>
    <row r="12651" spans="1:9">
      <c r="A12651" t="n">
        <v>117217</v>
      </c>
      <c r="B12651" s="49" t="n">
        <v>116</v>
      </c>
      <c r="C12651" s="7" t="n">
        <v>5</v>
      </c>
      <c r="D12651" s="7" t="n">
        <v>1077936128</v>
      </c>
    </row>
    <row r="12652" spans="1:9">
      <c r="A12652" t="s">
        <v>4</v>
      </c>
      <c r="B12652" s="4" t="s">
        <v>5</v>
      </c>
      <c r="C12652" s="4" t="s">
        <v>7</v>
      </c>
      <c r="D12652" s="4" t="s">
        <v>11</v>
      </c>
    </row>
    <row r="12653" spans="1:9">
      <c r="A12653" t="n">
        <v>117223</v>
      </c>
      <c r="B12653" s="49" t="n">
        <v>116</v>
      </c>
      <c r="C12653" s="7" t="n">
        <v>6</v>
      </c>
      <c r="D12653" s="7" t="n">
        <v>1</v>
      </c>
    </row>
    <row r="12654" spans="1:9">
      <c r="A12654" t="s">
        <v>4</v>
      </c>
      <c r="B12654" s="4" t="s">
        <v>5</v>
      </c>
      <c r="C12654" s="4" t="s">
        <v>7</v>
      </c>
      <c r="D12654" s="4" t="s">
        <v>11</v>
      </c>
      <c r="E12654" s="4" t="s">
        <v>8</v>
      </c>
      <c r="F12654" s="4" t="s">
        <v>8</v>
      </c>
      <c r="G12654" s="4" t="s">
        <v>8</v>
      </c>
      <c r="H12654" s="4" t="s">
        <v>8</v>
      </c>
    </row>
    <row r="12655" spans="1:9">
      <c r="A12655" t="n">
        <v>117227</v>
      </c>
      <c r="B12655" s="38" t="n">
        <v>51</v>
      </c>
      <c r="C12655" s="7" t="n">
        <v>3</v>
      </c>
      <c r="D12655" s="7" t="n">
        <v>4</v>
      </c>
      <c r="E12655" s="7" t="s">
        <v>86</v>
      </c>
      <c r="F12655" s="7" t="s">
        <v>79</v>
      </c>
      <c r="G12655" s="7" t="s">
        <v>78</v>
      </c>
      <c r="H12655" s="7" t="s">
        <v>79</v>
      </c>
    </row>
    <row r="12656" spans="1:9">
      <c r="A12656" t="s">
        <v>4</v>
      </c>
      <c r="B12656" s="4" t="s">
        <v>5</v>
      </c>
      <c r="C12656" s="4" t="s">
        <v>11</v>
      </c>
      <c r="D12656" s="4" t="s">
        <v>11</v>
      </c>
      <c r="E12656" s="4" t="s">
        <v>13</v>
      </c>
      <c r="F12656" s="4" t="s">
        <v>7</v>
      </c>
    </row>
    <row r="12657" spans="1:9">
      <c r="A12657" t="n">
        <v>117240</v>
      </c>
      <c r="B12657" s="73" t="n">
        <v>53</v>
      </c>
      <c r="C12657" s="7" t="n">
        <v>0</v>
      </c>
      <c r="D12657" s="7" t="n">
        <v>4</v>
      </c>
      <c r="E12657" s="7" t="n">
        <v>0</v>
      </c>
      <c r="F12657" s="7" t="n">
        <v>0</v>
      </c>
    </row>
    <row r="12658" spans="1:9">
      <c r="A12658" t="s">
        <v>4</v>
      </c>
      <c r="B12658" s="4" t="s">
        <v>5</v>
      </c>
      <c r="C12658" s="4" t="s">
        <v>7</v>
      </c>
      <c r="D12658" s="4" t="s">
        <v>11</v>
      </c>
    </row>
    <row r="12659" spans="1:9">
      <c r="A12659" t="n">
        <v>117250</v>
      </c>
      <c r="B12659" s="23" t="n">
        <v>58</v>
      </c>
      <c r="C12659" s="7" t="n">
        <v>255</v>
      </c>
      <c r="D12659" s="7" t="n">
        <v>0</v>
      </c>
    </row>
    <row r="12660" spans="1:9">
      <c r="A12660" t="s">
        <v>4</v>
      </c>
      <c r="B12660" s="4" t="s">
        <v>5</v>
      </c>
      <c r="C12660" s="4" t="s">
        <v>11</v>
      </c>
      <c r="D12660" s="4" t="s">
        <v>11</v>
      </c>
      <c r="E12660" s="4" t="s">
        <v>13</v>
      </c>
      <c r="F12660" s="4" t="s">
        <v>7</v>
      </c>
    </row>
    <row r="12661" spans="1:9">
      <c r="A12661" t="n">
        <v>117254</v>
      </c>
      <c r="B12661" s="73" t="n">
        <v>53</v>
      </c>
      <c r="C12661" s="7" t="n">
        <v>4</v>
      </c>
      <c r="D12661" s="7" t="n">
        <v>0</v>
      </c>
      <c r="E12661" s="7" t="n">
        <v>5</v>
      </c>
      <c r="F12661" s="7" t="n">
        <v>0</v>
      </c>
    </row>
    <row r="12662" spans="1:9">
      <c r="A12662" t="s">
        <v>4</v>
      </c>
      <c r="B12662" s="4" t="s">
        <v>5</v>
      </c>
      <c r="C12662" s="4" t="s">
        <v>11</v>
      </c>
    </row>
    <row r="12663" spans="1:9">
      <c r="A12663" t="n">
        <v>117264</v>
      </c>
      <c r="B12663" s="66" t="n">
        <v>54</v>
      </c>
      <c r="C12663" s="7" t="n">
        <v>4</v>
      </c>
    </row>
    <row r="12664" spans="1:9">
      <c r="A12664" t="s">
        <v>4</v>
      </c>
      <c r="B12664" s="4" t="s">
        <v>5</v>
      </c>
      <c r="C12664" s="4" t="s">
        <v>7</v>
      </c>
      <c r="D12664" s="4" t="s">
        <v>7</v>
      </c>
    </row>
    <row r="12665" spans="1:9">
      <c r="A12665" t="n">
        <v>117267</v>
      </c>
      <c r="B12665" s="13" t="n">
        <v>49</v>
      </c>
      <c r="C12665" s="7" t="n">
        <v>2</v>
      </c>
      <c r="D12665" s="7" t="n">
        <v>0</v>
      </c>
    </row>
    <row r="12666" spans="1:9">
      <c r="A12666" t="s">
        <v>4</v>
      </c>
      <c r="B12666" s="4" t="s">
        <v>5</v>
      </c>
      <c r="C12666" s="4" t="s">
        <v>7</v>
      </c>
      <c r="D12666" s="4" t="s">
        <v>11</v>
      </c>
      <c r="E12666" s="4" t="s">
        <v>15</v>
      </c>
      <c r="F12666" s="4" t="s">
        <v>11</v>
      </c>
      <c r="G12666" s="4" t="s">
        <v>15</v>
      </c>
      <c r="H12666" s="4" t="s">
        <v>7</v>
      </c>
    </row>
    <row r="12667" spans="1:9">
      <c r="A12667" t="n">
        <v>117270</v>
      </c>
      <c r="B12667" s="13" t="n">
        <v>49</v>
      </c>
      <c r="C12667" s="7" t="n">
        <v>0</v>
      </c>
      <c r="D12667" s="7" t="n">
        <v>551</v>
      </c>
      <c r="E12667" s="7" t="n">
        <v>1061997773</v>
      </c>
      <c r="F12667" s="7" t="n">
        <v>0</v>
      </c>
      <c r="G12667" s="7" t="n">
        <v>0</v>
      </c>
      <c r="H12667" s="7" t="n">
        <v>0</v>
      </c>
    </row>
    <row r="12668" spans="1:9">
      <c r="A12668" t="s">
        <v>4</v>
      </c>
      <c r="B12668" s="4" t="s">
        <v>5</v>
      </c>
      <c r="C12668" s="4" t="s">
        <v>7</v>
      </c>
      <c r="D12668" s="4" t="s">
        <v>11</v>
      </c>
    </row>
    <row r="12669" spans="1:9">
      <c r="A12669" t="n">
        <v>117285</v>
      </c>
      <c r="B12669" s="13" t="n">
        <v>49</v>
      </c>
      <c r="C12669" s="7" t="n">
        <v>6</v>
      </c>
      <c r="D12669" s="7" t="n">
        <v>551</v>
      </c>
    </row>
    <row r="12670" spans="1:9">
      <c r="A12670" t="s">
        <v>4</v>
      </c>
      <c r="B12670" s="4" t="s">
        <v>5</v>
      </c>
      <c r="C12670" s="4" t="s">
        <v>11</v>
      </c>
    </row>
    <row r="12671" spans="1:9">
      <c r="A12671" t="n">
        <v>117289</v>
      </c>
      <c r="B12671" s="29" t="n">
        <v>16</v>
      </c>
      <c r="C12671" s="7" t="n">
        <v>500</v>
      </c>
    </row>
    <row r="12672" spans="1:9">
      <c r="A12672" t="s">
        <v>4</v>
      </c>
      <c r="B12672" s="4" t="s">
        <v>5</v>
      </c>
      <c r="C12672" s="4" t="s">
        <v>7</v>
      </c>
      <c r="D12672" s="4" t="s">
        <v>11</v>
      </c>
      <c r="E12672" s="4" t="s">
        <v>8</v>
      </c>
    </row>
    <row r="12673" spans="1:8">
      <c r="A12673" t="n">
        <v>117292</v>
      </c>
      <c r="B12673" s="38" t="n">
        <v>51</v>
      </c>
      <c r="C12673" s="7" t="n">
        <v>4</v>
      </c>
      <c r="D12673" s="7" t="n">
        <v>4</v>
      </c>
      <c r="E12673" s="7" t="s">
        <v>242</v>
      </c>
    </row>
    <row r="12674" spans="1:8">
      <c r="A12674" t="s">
        <v>4</v>
      </c>
      <c r="B12674" s="4" t="s">
        <v>5</v>
      </c>
      <c r="C12674" s="4" t="s">
        <v>11</v>
      </c>
    </row>
    <row r="12675" spans="1:8">
      <c r="A12675" t="n">
        <v>117306</v>
      </c>
      <c r="B12675" s="29" t="n">
        <v>16</v>
      </c>
      <c r="C12675" s="7" t="n">
        <v>0</v>
      </c>
    </row>
    <row r="12676" spans="1:8">
      <c r="A12676" t="s">
        <v>4</v>
      </c>
      <c r="B12676" s="4" t="s">
        <v>5</v>
      </c>
      <c r="C12676" s="4" t="s">
        <v>11</v>
      </c>
      <c r="D12676" s="4" t="s">
        <v>7</v>
      </c>
      <c r="E12676" s="4" t="s">
        <v>15</v>
      </c>
      <c r="F12676" s="4" t="s">
        <v>55</v>
      </c>
      <c r="G12676" s="4" t="s">
        <v>7</v>
      </c>
      <c r="H12676" s="4" t="s">
        <v>7</v>
      </c>
      <c r="I12676" s="4" t="s">
        <v>7</v>
      </c>
      <c r="J12676" s="4" t="s">
        <v>15</v>
      </c>
      <c r="K12676" s="4" t="s">
        <v>55</v>
      </c>
      <c r="L12676" s="4" t="s">
        <v>7</v>
      </c>
      <c r="M12676" s="4" t="s">
        <v>7</v>
      </c>
      <c r="N12676" s="4" t="s">
        <v>7</v>
      </c>
      <c r="O12676" s="4" t="s">
        <v>15</v>
      </c>
      <c r="P12676" s="4" t="s">
        <v>55</v>
      </c>
      <c r="Q12676" s="4" t="s">
        <v>7</v>
      </c>
      <c r="R12676" s="4" t="s">
        <v>7</v>
      </c>
    </row>
    <row r="12677" spans="1:8">
      <c r="A12677" t="n">
        <v>117309</v>
      </c>
      <c r="B12677" s="55" t="n">
        <v>26</v>
      </c>
      <c r="C12677" s="7" t="n">
        <v>4</v>
      </c>
      <c r="D12677" s="7" t="n">
        <v>17</v>
      </c>
      <c r="E12677" s="7" t="n">
        <v>7800</v>
      </c>
      <c r="F12677" s="7" t="s">
        <v>1010</v>
      </c>
      <c r="G12677" s="7" t="n">
        <v>2</v>
      </c>
      <c r="H12677" s="7" t="n">
        <v>3</v>
      </c>
      <c r="I12677" s="7" t="n">
        <v>17</v>
      </c>
      <c r="J12677" s="7" t="n">
        <v>7801</v>
      </c>
      <c r="K12677" s="7" t="s">
        <v>1011</v>
      </c>
      <c r="L12677" s="7" t="n">
        <v>2</v>
      </c>
      <c r="M12677" s="7" t="n">
        <v>3</v>
      </c>
      <c r="N12677" s="7" t="n">
        <v>17</v>
      </c>
      <c r="O12677" s="7" t="n">
        <v>7802</v>
      </c>
      <c r="P12677" s="7" t="s">
        <v>1012</v>
      </c>
      <c r="Q12677" s="7" t="n">
        <v>2</v>
      </c>
      <c r="R12677" s="7" t="n">
        <v>0</v>
      </c>
    </row>
    <row r="12678" spans="1:8">
      <c r="A12678" t="s">
        <v>4</v>
      </c>
      <c r="B12678" s="4" t="s">
        <v>5</v>
      </c>
    </row>
    <row r="12679" spans="1:8">
      <c r="A12679" t="n">
        <v>117638</v>
      </c>
      <c r="B12679" s="27" t="n">
        <v>28</v>
      </c>
    </row>
    <row r="12680" spans="1:8">
      <c r="A12680" t="s">
        <v>4</v>
      </c>
      <c r="B12680" s="4" t="s">
        <v>5</v>
      </c>
      <c r="C12680" s="4" t="s">
        <v>7</v>
      </c>
      <c r="D12680" s="4" t="s">
        <v>11</v>
      </c>
      <c r="E12680" s="4" t="s">
        <v>8</v>
      </c>
    </row>
    <row r="12681" spans="1:8">
      <c r="A12681" t="n">
        <v>117639</v>
      </c>
      <c r="B12681" s="38" t="n">
        <v>51</v>
      </c>
      <c r="C12681" s="7" t="n">
        <v>4</v>
      </c>
      <c r="D12681" s="7" t="n">
        <v>0</v>
      </c>
      <c r="E12681" s="7" t="s">
        <v>179</v>
      </c>
    </row>
    <row r="12682" spans="1:8">
      <c r="A12682" t="s">
        <v>4</v>
      </c>
      <c r="B12682" s="4" t="s">
        <v>5</v>
      </c>
      <c r="C12682" s="4" t="s">
        <v>11</v>
      </c>
    </row>
    <row r="12683" spans="1:8">
      <c r="A12683" t="n">
        <v>117653</v>
      </c>
      <c r="B12683" s="29" t="n">
        <v>16</v>
      </c>
      <c r="C12683" s="7" t="n">
        <v>0</v>
      </c>
    </row>
    <row r="12684" spans="1:8">
      <c r="A12684" t="s">
        <v>4</v>
      </c>
      <c r="B12684" s="4" t="s">
        <v>5</v>
      </c>
      <c r="C12684" s="4" t="s">
        <v>11</v>
      </c>
      <c r="D12684" s="4" t="s">
        <v>7</v>
      </c>
      <c r="E12684" s="4" t="s">
        <v>15</v>
      </c>
      <c r="F12684" s="4" t="s">
        <v>55</v>
      </c>
      <c r="G12684" s="4" t="s">
        <v>7</v>
      </c>
      <c r="H12684" s="4" t="s">
        <v>7</v>
      </c>
      <c r="I12684" s="4" t="s">
        <v>7</v>
      </c>
      <c r="J12684" s="4" t="s">
        <v>15</v>
      </c>
      <c r="K12684" s="4" t="s">
        <v>55</v>
      </c>
      <c r="L12684" s="4" t="s">
        <v>7</v>
      </c>
      <c r="M12684" s="4" t="s">
        <v>7</v>
      </c>
      <c r="N12684" s="4" t="s">
        <v>7</v>
      </c>
      <c r="O12684" s="4" t="s">
        <v>15</v>
      </c>
      <c r="P12684" s="4" t="s">
        <v>55</v>
      </c>
      <c r="Q12684" s="4" t="s">
        <v>7</v>
      </c>
      <c r="R12684" s="4" t="s">
        <v>7</v>
      </c>
    </row>
    <row r="12685" spans="1:8">
      <c r="A12685" t="n">
        <v>117656</v>
      </c>
      <c r="B12685" s="55" t="n">
        <v>26</v>
      </c>
      <c r="C12685" s="7" t="n">
        <v>0</v>
      </c>
      <c r="D12685" s="7" t="n">
        <v>17</v>
      </c>
      <c r="E12685" s="7" t="n">
        <v>64152</v>
      </c>
      <c r="F12685" s="7" t="s">
        <v>1013</v>
      </c>
      <c r="G12685" s="7" t="n">
        <v>2</v>
      </c>
      <c r="H12685" s="7" t="n">
        <v>3</v>
      </c>
      <c r="I12685" s="7" t="n">
        <v>17</v>
      </c>
      <c r="J12685" s="7" t="n">
        <v>64153</v>
      </c>
      <c r="K12685" s="7" t="s">
        <v>1014</v>
      </c>
      <c r="L12685" s="7" t="n">
        <v>2</v>
      </c>
      <c r="M12685" s="7" t="n">
        <v>3</v>
      </c>
      <c r="N12685" s="7" t="n">
        <v>17</v>
      </c>
      <c r="O12685" s="7" t="n">
        <v>64154</v>
      </c>
      <c r="P12685" s="7" t="s">
        <v>1015</v>
      </c>
      <c r="Q12685" s="7" t="n">
        <v>2</v>
      </c>
      <c r="R12685" s="7" t="n">
        <v>0</v>
      </c>
    </row>
    <row r="12686" spans="1:8">
      <c r="A12686" t="s">
        <v>4</v>
      </c>
      <c r="B12686" s="4" t="s">
        <v>5</v>
      </c>
    </row>
    <row r="12687" spans="1:8">
      <c r="A12687" t="n">
        <v>117912</v>
      </c>
      <c r="B12687" s="27" t="n">
        <v>28</v>
      </c>
    </row>
    <row r="12688" spans="1:8">
      <c r="A12688" t="s">
        <v>4</v>
      </c>
      <c r="B12688" s="4" t="s">
        <v>5</v>
      </c>
      <c r="C12688" s="4" t="s">
        <v>7</v>
      </c>
      <c r="D12688" s="4" t="s">
        <v>11</v>
      </c>
      <c r="E12688" s="4" t="s">
        <v>8</v>
      </c>
    </row>
    <row r="12689" spans="1:18">
      <c r="A12689" t="n">
        <v>117913</v>
      </c>
      <c r="B12689" s="38" t="n">
        <v>51</v>
      </c>
      <c r="C12689" s="7" t="n">
        <v>4</v>
      </c>
      <c r="D12689" s="7" t="n">
        <v>4</v>
      </c>
      <c r="E12689" s="7" t="s">
        <v>242</v>
      </c>
    </row>
    <row r="12690" spans="1:18">
      <c r="A12690" t="s">
        <v>4</v>
      </c>
      <c r="B12690" s="4" t="s">
        <v>5</v>
      </c>
      <c r="C12690" s="4" t="s">
        <v>11</v>
      </c>
    </row>
    <row r="12691" spans="1:18">
      <c r="A12691" t="n">
        <v>117927</v>
      </c>
      <c r="B12691" s="29" t="n">
        <v>16</v>
      </c>
      <c r="C12691" s="7" t="n">
        <v>0</v>
      </c>
    </row>
    <row r="12692" spans="1:18">
      <c r="A12692" t="s">
        <v>4</v>
      </c>
      <c r="B12692" s="4" t="s">
        <v>5</v>
      </c>
      <c r="C12692" s="4" t="s">
        <v>11</v>
      </c>
      <c r="D12692" s="4" t="s">
        <v>7</v>
      </c>
      <c r="E12692" s="4" t="s">
        <v>15</v>
      </c>
      <c r="F12692" s="4" t="s">
        <v>55</v>
      </c>
      <c r="G12692" s="4" t="s">
        <v>7</v>
      </c>
      <c r="H12692" s="4" t="s">
        <v>7</v>
      </c>
    </row>
    <row r="12693" spans="1:18">
      <c r="A12693" t="n">
        <v>117930</v>
      </c>
      <c r="B12693" s="55" t="n">
        <v>26</v>
      </c>
      <c r="C12693" s="7" t="n">
        <v>4</v>
      </c>
      <c r="D12693" s="7" t="n">
        <v>17</v>
      </c>
      <c r="E12693" s="7" t="n">
        <v>7803</v>
      </c>
      <c r="F12693" s="7" t="s">
        <v>1016</v>
      </c>
      <c r="G12693" s="7" t="n">
        <v>2</v>
      </c>
      <c r="H12693" s="7" t="n">
        <v>0</v>
      </c>
    </row>
    <row r="12694" spans="1:18">
      <c r="A12694" t="s">
        <v>4</v>
      </c>
      <c r="B12694" s="4" t="s">
        <v>5</v>
      </c>
    </row>
    <row r="12695" spans="1:18">
      <c r="A12695" t="n">
        <v>117966</v>
      </c>
      <c r="B12695" s="27" t="n">
        <v>28</v>
      </c>
    </row>
    <row r="12696" spans="1:18">
      <c r="A12696" t="s">
        <v>4</v>
      </c>
      <c r="B12696" s="4" t="s">
        <v>5</v>
      </c>
      <c r="C12696" s="4" t="s">
        <v>11</v>
      </c>
      <c r="D12696" s="4" t="s">
        <v>7</v>
      </c>
    </row>
    <row r="12697" spans="1:18">
      <c r="A12697" t="n">
        <v>117967</v>
      </c>
      <c r="B12697" s="68" t="n">
        <v>89</v>
      </c>
      <c r="C12697" s="7" t="n">
        <v>65533</v>
      </c>
      <c r="D12697" s="7" t="n">
        <v>1</v>
      </c>
    </row>
    <row r="12698" spans="1:18">
      <c r="A12698" t="s">
        <v>4</v>
      </c>
      <c r="B12698" s="4" t="s">
        <v>5</v>
      </c>
      <c r="C12698" s="4" t="s">
        <v>7</v>
      </c>
      <c r="D12698" s="4" t="s">
        <v>13</v>
      </c>
      <c r="E12698" s="4" t="s">
        <v>11</v>
      </c>
      <c r="F12698" s="4" t="s">
        <v>7</v>
      </c>
    </row>
    <row r="12699" spans="1:18">
      <c r="A12699" t="n">
        <v>117971</v>
      </c>
      <c r="B12699" s="13" t="n">
        <v>49</v>
      </c>
      <c r="C12699" s="7" t="n">
        <v>3</v>
      </c>
      <c r="D12699" s="7" t="n">
        <v>0.600000023841858</v>
      </c>
      <c r="E12699" s="7" t="n">
        <v>500</v>
      </c>
      <c r="F12699" s="7" t="n">
        <v>0</v>
      </c>
    </row>
    <row r="12700" spans="1:18">
      <c r="A12700" t="s">
        <v>4</v>
      </c>
      <c r="B12700" s="4" t="s">
        <v>5</v>
      </c>
      <c r="C12700" s="4" t="s">
        <v>7</v>
      </c>
      <c r="D12700" s="4" t="s">
        <v>7</v>
      </c>
      <c r="E12700" s="4" t="s">
        <v>7</v>
      </c>
      <c r="F12700" s="4" t="s">
        <v>13</v>
      </c>
      <c r="G12700" s="4" t="s">
        <v>13</v>
      </c>
      <c r="H12700" s="4" t="s">
        <v>13</v>
      </c>
      <c r="I12700" s="4" t="s">
        <v>13</v>
      </c>
      <c r="J12700" s="4" t="s">
        <v>13</v>
      </c>
    </row>
    <row r="12701" spans="1:18">
      <c r="A12701" t="n">
        <v>117980</v>
      </c>
      <c r="B12701" s="25" t="n">
        <v>76</v>
      </c>
      <c r="C12701" s="7" t="n">
        <v>1</v>
      </c>
      <c r="D12701" s="7" t="n">
        <v>3</v>
      </c>
      <c r="E12701" s="7" t="n">
        <v>0</v>
      </c>
      <c r="F12701" s="7" t="n">
        <v>1</v>
      </c>
      <c r="G12701" s="7" t="n">
        <v>1</v>
      </c>
      <c r="H12701" s="7" t="n">
        <v>1</v>
      </c>
      <c r="I12701" s="7" t="n">
        <v>1</v>
      </c>
      <c r="J12701" s="7" t="n">
        <v>1000</v>
      </c>
    </row>
    <row r="12702" spans="1:18">
      <c r="A12702" t="s">
        <v>4</v>
      </c>
      <c r="B12702" s="4" t="s">
        <v>5</v>
      </c>
      <c r="C12702" s="4" t="s">
        <v>7</v>
      </c>
      <c r="D12702" s="4" t="s">
        <v>7</v>
      </c>
    </row>
    <row r="12703" spans="1:18">
      <c r="A12703" t="n">
        <v>118004</v>
      </c>
      <c r="B12703" s="26" t="n">
        <v>77</v>
      </c>
      <c r="C12703" s="7" t="n">
        <v>1</v>
      </c>
      <c r="D12703" s="7" t="n">
        <v>3</v>
      </c>
    </row>
    <row r="12704" spans="1:18">
      <c r="A12704" t="s">
        <v>4</v>
      </c>
      <c r="B12704" s="4" t="s">
        <v>5</v>
      </c>
      <c r="C12704" s="4" t="s">
        <v>11</v>
      </c>
    </row>
    <row r="12705" spans="1:10">
      <c r="A12705" t="n">
        <v>118007</v>
      </c>
      <c r="B12705" s="29" t="n">
        <v>16</v>
      </c>
      <c r="C12705" s="7" t="n">
        <v>2000</v>
      </c>
    </row>
    <row r="12706" spans="1:10">
      <c r="A12706" t="s">
        <v>4</v>
      </c>
      <c r="B12706" s="4" t="s">
        <v>5</v>
      </c>
      <c r="C12706" s="4" t="s">
        <v>7</v>
      </c>
      <c r="D12706" s="4" t="s">
        <v>13</v>
      </c>
      <c r="E12706" s="4" t="s">
        <v>11</v>
      </c>
      <c r="F12706" s="4" t="s">
        <v>7</v>
      </c>
    </row>
    <row r="12707" spans="1:10">
      <c r="A12707" t="n">
        <v>118010</v>
      </c>
      <c r="B12707" s="13" t="n">
        <v>49</v>
      </c>
      <c r="C12707" s="7" t="n">
        <v>3</v>
      </c>
      <c r="D12707" s="7" t="n">
        <v>0.800000011920929</v>
      </c>
      <c r="E12707" s="7" t="n">
        <v>1000</v>
      </c>
      <c r="F12707" s="7" t="n">
        <v>0</v>
      </c>
    </row>
    <row r="12708" spans="1:10">
      <c r="A12708" t="s">
        <v>4</v>
      </c>
      <c r="B12708" s="4" t="s">
        <v>5</v>
      </c>
      <c r="C12708" s="4" t="s">
        <v>7</v>
      </c>
      <c r="D12708" s="4" t="s">
        <v>7</v>
      </c>
      <c r="E12708" s="4" t="s">
        <v>7</v>
      </c>
      <c r="F12708" s="4" t="s">
        <v>13</v>
      </c>
      <c r="G12708" s="4" t="s">
        <v>13</v>
      </c>
      <c r="H12708" s="4" t="s">
        <v>13</v>
      </c>
      <c r="I12708" s="4" t="s">
        <v>13</v>
      </c>
      <c r="J12708" s="4" t="s">
        <v>13</v>
      </c>
    </row>
    <row r="12709" spans="1:10">
      <c r="A12709" t="n">
        <v>118019</v>
      </c>
      <c r="B12709" s="25" t="n">
        <v>76</v>
      </c>
      <c r="C12709" s="7" t="n">
        <v>1</v>
      </c>
      <c r="D12709" s="7" t="n">
        <v>3</v>
      </c>
      <c r="E12709" s="7" t="n">
        <v>0</v>
      </c>
      <c r="F12709" s="7" t="n">
        <v>1</v>
      </c>
      <c r="G12709" s="7" t="n">
        <v>1</v>
      </c>
      <c r="H12709" s="7" t="n">
        <v>1</v>
      </c>
      <c r="I12709" s="7" t="n">
        <v>0</v>
      </c>
      <c r="J12709" s="7" t="n">
        <v>1000</v>
      </c>
    </row>
    <row r="12710" spans="1:10">
      <c r="A12710" t="s">
        <v>4</v>
      </c>
      <c r="B12710" s="4" t="s">
        <v>5</v>
      </c>
      <c r="C12710" s="4" t="s">
        <v>7</v>
      </c>
      <c r="D12710" s="4" t="s">
        <v>7</v>
      </c>
    </row>
    <row r="12711" spans="1:10">
      <c r="A12711" t="n">
        <v>118043</v>
      </c>
      <c r="B12711" s="26" t="n">
        <v>77</v>
      </c>
      <c r="C12711" s="7" t="n">
        <v>1</v>
      </c>
      <c r="D12711" s="7" t="n">
        <v>3</v>
      </c>
    </row>
    <row r="12712" spans="1:10">
      <c r="A12712" t="s">
        <v>4</v>
      </c>
      <c r="B12712" s="4" t="s">
        <v>5</v>
      </c>
      <c r="C12712" s="4" t="s">
        <v>7</v>
      </c>
      <c r="D12712" s="4" t="s">
        <v>11</v>
      </c>
      <c r="E12712" s="4" t="s">
        <v>8</v>
      </c>
    </row>
    <row r="12713" spans="1:10">
      <c r="A12713" t="n">
        <v>118046</v>
      </c>
      <c r="B12713" s="38" t="n">
        <v>51</v>
      </c>
      <c r="C12713" s="7" t="n">
        <v>4</v>
      </c>
      <c r="D12713" s="7" t="n">
        <v>4</v>
      </c>
      <c r="E12713" s="7" t="s">
        <v>432</v>
      </c>
    </row>
    <row r="12714" spans="1:10">
      <c r="A12714" t="s">
        <v>4</v>
      </c>
      <c r="B12714" s="4" t="s">
        <v>5</v>
      </c>
      <c r="C12714" s="4" t="s">
        <v>11</v>
      </c>
    </row>
    <row r="12715" spans="1:10">
      <c r="A12715" t="n">
        <v>118059</v>
      </c>
      <c r="B12715" s="29" t="n">
        <v>16</v>
      </c>
      <c r="C12715" s="7" t="n">
        <v>0</v>
      </c>
    </row>
    <row r="12716" spans="1:10">
      <c r="A12716" t="s">
        <v>4</v>
      </c>
      <c r="B12716" s="4" t="s">
        <v>5</v>
      </c>
      <c r="C12716" s="4" t="s">
        <v>11</v>
      </c>
      <c r="D12716" s="4" t="s">
        <v>7</v>
      </c>
      <c r="E12716" s="4" t="s">
        <v>15</v>
      </c>
      <c r="F12716" s="4" t="s">
        <v>55</v>
      </c>
      <c r="G12716" s="4" t="s">
        <v>7</v>
      </c>
      <c r="H12716" s="4" t="s">
        <v>7</v>
      </c>
      <c r="I12716" s="4" t="s">
        <v>7</v>
      </c>
      <c r="J12716" s="4" t="s">
        <v>15</v>
      </c>
      <c r="K12716" s="4" t="s">
        <v>55</v>
      </c>
      <c r="L12716" s="4" t="s">
        <v>7</v>
      </c>
      <c r="M12716" s="4" t="s">
        <v>7</v>
      </c>
      <c r="N12716" s="4" t="s">
        <v>7</v>
      </c>
      <c r="O12716" s="4" t="s">
        <v>15</v>
      </c>
      <c r="P12716" s="4" t="s">
        <v>55</v>
      </c>
      <c r="Q12716" s="4" t="s">
        <v>7</v>
      </c>
      <c r="R12716" s="4" t="s">
        <v>7</v>
      </c>
      <c r="S12716" s="4" t="s">
        <v>7</v>
      </c>
      <c r="T12716" s="4" t="s">
        <v>15</v>
      </c>
      <c r="U12716" s="4" t="s">
        <v>55</v>
      </c>
      <c r="V12716" s="4" t="s">
        <v>7</v>
      </c>
      <c r="W12716" s="4" t="s">
        <v>7</v>
      </c>
    </row>
    <row r="12717" spans="1:10">
      <c r="A12717" t="n">
        <v>118062</v>
      </c>
      <c r="B12717" s="55" t="n">
        <v>26</v>
      </c>
      <c r="C12717" s="7" t="n">
        <v>4</v>
      </c>
      <c r="D12717" s="7" t="n">
        <v>17</v>
      </c>
      <c r="E12717" s="7" t="n">
        <v>7804</v>
      </c>
      <c r="F12717" s="7" t="s">
        <v>1017</v>
      </c>
      <c r="G12717" s="7" t="n">
        <v>2</v>
      </c>
      <c r="H12717" s="7" t="n">
        <v>3</v>
      </c>
      <c r="I12717" s="7" t="n">
        <v>17</v>
      </c>
      <c r="J12717" s="7" t="n">
        <v>7805</v>
      </c>
      <c r="K12717" s="7" t="s">
        <v>1018</v>
      </c>
      <c r="L12717" s="7" t="n">
        <v>2</v>
      </c>
      <c r="M12717" s="7" t="n">
        <v>3</v>
      </c>
      <c r="N12717" s="7" t="n">
        <v>17</v>
      </c>
      <c r="O12717" s="7" t="n">
        <v>7806</v>
      </c>
      <c r="P12717" s="7" t="s">
        <v>1019</v>
      </c>
      <c r="Q12717" s="7" t="n">
        <v>2</v>
      </c>
      <c r="R12717" s="7" t="n">
        <v>3</v>
      </c>
      <c r="S12717" s="7" t="n">
        <v>17</v>
      </c>
      <c r="T12717" s="7" t="n">
        <v>7807</v>
      </c>
      <c r="U12717" s="7" t="s">
        <v>1020</v>
      </c>
      <c r="V12717" s="7" t="n">
        <v>2</v>
      </c>
      <c r="W12717" s="7" t="n">
        <v>0</v>
      </c>
    </row>
    <row r="12718" spans="1:10">
      <c r="A12718" t="s">
        <v>4</v>
      </c>
      <c r="B12718" s="4" t="s">
        <v>5</v>
      </c>
    </row>
    <row r="12719" spans="1:10">
      <c r="A12719" t="n">
        <v>118559</v>
      </c>
      <c r="B12719" s="27" t="n">
        <v>28</v>
      </c>
    </row>
    <row r="12720" spans="1:10">
      <c r="A12720" t="s">
        <v>4</v>
      </c>
      <c r="B12720" s="4" t="s">
        <v>5</v>
      </c>
      <c r="C12720" s="4" t="s">
        <v>7</v>
      </c>
      <c r="D12720" s="4" t="s">
        <v>11</v>
      </c>
      <c r="E12720" s="4" t="s">
        <v>8</v>
      </c>
    </row>
    <row r="12721" spans="1:23">
      <c r="A12721" t="n">
        <v>118560</v>
      </c>
      <c r="B12721" s="38" t="n">
        <v>51</v>
      </c>
      <c r="C12721" s="7" t="n">
        <v>4</v>
      </c>
      <c r="D12721" s="7" t="n">
        <v>0</v>
      </c>
      <c r="E12721" s="7" t="s">
        <v>147</v>
      </c>
    </row>
    <row r="12722" spans="1:23">
      <c r="A12722" t="s">
        <v>4</v>
      </c>
      <c r="B12722" s="4" t="s">
        <v>5</v>
      </c>
      <c r="C12722" s="4" t="s">
        <v>11</v>
      </c>
    </row>
    <row r="12723" spans="1:23">
      <c r="A12723" t="n">
        <v>118574</v>
      </c>
      <c r="B12723" s="29" t="n">
        <v>16</v>
      </c>
      <c r="C12723" s="7" t="n">
        <v>0</v>
      </c>
    </row>
    <row r="12724" spans="1:23">
      <c r="A12724" t="s">
        <v>4</v>
      </c>
      <c r="B12724" s="4" t="s">
        <v>5</v>
      </c>
      <c r="C12724" s="4" t="s">
        <v>11</v>
      </c>
      <c r="D12724" s="4" t="s">
        <v>7</v>
      </c>
      <c r="E12724" s="4" t="s">
        <v>15</v>
      </c>
      <c r="F12724" s="4" t="s">
        <v>55</v>
      </c>
      <c r="G12724" s="4" t="s">
        <v>7</v>
      </c>
      <c r="H12724" s="4" t="s">
        <v>7</v>
      </c>
    </row>
    <row r="12725" spans="1:23">
      <c r="A12725" t="n">
        <v>118577</v>
      </c>
      <c r="B12725" s="55" t="n">
        <v>26</v>
      </c>
      <c r="C12725" s="7" t="n">
        <v>0</v>
      </c>
      <c r="D12725" s="7" t="n">
        <v>17</v>
      </c>
      <c r="E12725" s="7" t="n">
        <v>64155</v>
      </c>
      <c r="F12725" s="7" t="s">
        <v>1021</v>
      </c>
      <c r="G12725" s="7" t="n">
        <v>2</v>
      </c>
      <c r="H12725" s="7" t="n">
        <v>0</v>
      </c>
    </row>
    <row r="12726" spans="1:23">
      <c r="A12726" t="s">
        <v>4</v>
      </c>
      <c r="B12726" s="4" t="s">
        <v>5</v>
      </c>
    </row>
    <row r="12727" spans="1:23">
      <c r="A12727" t="n">
        <v>118597</v>
      </c>
      <c r="B12727" s="27" t="n">
        <v>28</v>
      </c>
    </row>
    <row r="12728" spans="1:23">
      <c r="A12728" t="s">
        <v>4</v>
      </c>
      <c r="B12728" s="4" t="s">
        <v>5</v>
      </c>
      <c r="C12728" s="4" t="s">
        <v>7</v>
      </c>
      <c r="D12728" s="4" t="s">
        <v>11</v>
      </c>
      <c r="E12728" s="4" t="s">
        <v>8</v>
      </c>
    </row>
    <row r="12729" spans="1:23">
      <c r="A12729" t="n">
        <v>118598</v>
      </c>
      <c r="B12729" s="38" t="n">
        <v>51</v>
      </c>
      <c r="C12729" s="7" t="n">
        <v>4</v>
      </c>
      <c r="D12729" s="7" t="n">
        <v>4</v>
      </c>
      <c r="E12729" s="7" t="s">
        <v>1022</v>
      </c>
    </row>
    <row r="12730" spans="1:23">
      <c r="A12730" t="s">
        <v>4</v>
      </c>
      <c r="B12730" s="4" t="s">
        <v>5</v>
      </c>
      <c r="C12730" s="4" t="s">
        <v>11</v>
      </c>
    </row>
    <row r="12731" spans="1:23">
      <c r="A12731" t="n">
        <v>118612</v>
      </c>
      <c r="B12731" s="29" t="n">
        <v>16</v>
      </c>
      <c r="C12731" s="7" t="n">
        <v>500</v>
      </c>
    </row>
    <row r="12732" spans="1:23">
      <c r="A12732" t="s">
        <v>4</v>
      </c>
      <c r="B12732" s="4" t="s">
        <v>5</v>
      </c>
      <c r="C12732" s="4" t="s">
        <v>11</v>
      </c>
      <c r="D12732" s="4" t="s">
        <v>7</v>
      </c>
      <c r="E12732" s="4" t="s">
        <v>15</v>
      </c>
      <c r="F12732" s="4" t="s">
        <v>55</v>
      </c>
      <c r="G12732" s="4" t="s">
        <v>7</v>
      </c>
      <c r="H12732" s="4" t="s">
        <v>7</v>
      </c>
      <c r="I12732" s="4" t="s">
        <v>7</v>
      </c>
      <c r="J12732" s="4" t="s">
        <v>15</v>
      </c>
      <c r="K12732" s="4" t="s">
        <v>55</v>
      </c>
      <c r="L12732" s="4" t="s">
        <v>7</v>
      </c>
      <c r="M12732" s="4" t="s">
        <v>7</v>
      </c>
      <c r="N12732" s="4" t="s">
        <v>7</v>
      </c>
      <c r="O12732" s="4" t="s">
        <v>15</v>
      </c>
      <c r="P12732" s="4" t="s">
        <v>55</v>
      </c>
      <c r="Q12732" s="4" t="s">
        <v>7</v>
      </c>
      <c r="R12732" s="4" t="s">
        <v>7</v>
      </c>
      <c r="S12732" s="4" t="s">
        <v>7</v>
      </c>
      <c r="T12732" s="4" t="s">
        <v>15</v>
      </c>
      <c r="U12732" s="4" t="s">
        <v>55</v>
      </c>
      <c r="V12732" s="4" t="s">
        <v>7</v>
      </c>
      <c r="W12732" s="4" t="s">
        <v>7</v>
      </c>
    </row>
    <row r="12733" spans="1:23">
      <c r="A12733" t="n">
        <v>118615</v>
      </c>
      <c r="B12733" s="55" t="n">
        <v>26</v>
      </c>
      <c r="C12733" s="7" t="n">
        <v>4</v>
      </c>
      <c r="D12733" s="7" t="n">
        <v>17</v>
      </c>
      <c r="E12733" s="7" t="n">
        <v>7808</v>
      </c>
      <c r="F12733" s="7" t="s">
        <v>1023</v>
      </c>
      <c r="G12733" s="7" t="n">
        <v>2</v>
      </c>
      <c r="H12733" s="7" t="n">
        <v>3</v>
      </c>
      <c r="I12733" s="7" t="n">
        <v>17</v>
      </c>
      <c r="J12733" s="7" t="n">
        <v>7809</v>
      </c>
      <c r="K12733" s="7" t="s">
        <v>1024</v>
      </c>
      <c r="L12733" s="7" t="n">
        <v>2</v>
      </c>
      <c r="M12733" s="7" t="n">
        <v>3</v>
      </c>
      <c r="N12733" s="7" t="n">
        <v>17</v>
      </c>
      <c r="O12733" s="7" t="n">
        <v>7810</v>
      </c>
      <c r="P12733" s="7" t="s">
        <v>1025</v>
      </c>
      <c r="Q12733" s="7" t="n">
        <v>2</v>
      </c>
      <c r="R12733" s="7" t="n">
        <v>3</v>
      </c>
      <c r="S12733" s="7" t="n">
        <v>17</v>
      </c>
      <c r="T12733" s="7" t="n">
        <v>7811</v>
      </c>
      <c r="U12733" s="7" t="s">
        <v>1026</v>
      </c>
      <c r="V12733" s="7" t="n">
        <v>2</v>
      </c>
      <c r="W12733" s="7" t="n">
        <v>0</v>
      </c>
    </row>
    <row r="12734" spans="1:23">
      <c r="A12734" t="s">
        <v>4</v>
      </c>
      <c r="B12734" s="4" t="s">
        <v>5</v>
      </c>
    </row>
    <row r="12735" spans="1:23">
      <c r="A12735" t="n">
        <v>119133</v>
      </c>
      <c r="B12735" s="27" t="n">
        <v>28</v>
      </c>
    </row>
    <row r="12736" spans="1:23">
      <c r="A12736" t="s">
        <v>4</v>
      </c>
      <c r="B12736" s="4" t="s">
        <v>5</v>
      </c>
      <c r="C12736" s="4" t="s">
        <v>7</v>
      </c>
      <c r="D12736" s="4" t="s">
        <v>11</v>
      </c>
      <c r="E12736" s="4" t="s">
        <v>8</v>
      </c>
    </row>
    <row r="12737" spans="1:23">
      <c r="A12737" t="n">
        <v>119134</v>
      </c>
      <c r="B12737" s="38" t="n">
        <v>51</v>
      </c>
      <c r="C12737" s="7" t="n">
        <v>4</v>
      </c>
      <c r="D12737" s="7" t="n">
        <v>0</v>
      </c>
      <c r="E12737" s="7" t="s">
        <v>192</v>
      </c>
    </row>
    <row r="12738" spans="1:23">
      <c r="A12738" t="s">
        <v>4</v>
      </c>
      <c r="B12738" s="4" t="s">
        <v>5</v>
      </c>
      <c r="C12738" s="4" t="s">
        <v>11</v>
      </c>
    </row>
    <row r="12739" spans="1:23">
      <c r="A12739" t="n">
        <v>119147</v>
      </c>
      <c r="B12739" s="29" t="n">
        <v>16</v>
      </c>
      <c r="C12739" s="7" t="n">
        <v>0</v>
      </c>
    </row>
    <row r="12740" spans="1:23">
      <c r="A12740" t="s">
        <v>4</v>
      </c>
      <c r="B12740" s="4" t="s">
        <v>5</v>
      </c>
      <c r="C12740" s="4" t="s">
        <v>11</v>
      </c>
      <c r="D12740" s="4" t="s">
        <v>7</v>
      </c>
      <c r="E12740" s="4" t="s">
        <v>15</v>
      </c>
      <c r="F12740" s="4" t="s">
        <v>55</v>
      </c>
      <c r="G12740" s="4" t="s">
        <v>7</v>
      </c>
      <c r="H12740" s="4" t="s">
        <v>7</v>
      </c>
    </row>
    <row r="12741" spans="1:23">
      <c r="A12741" t="n">
        <v>119150</v>
      </c>
      <c r="B12741" s="55" t="n">
        <v>26</v>
      </c>
      <c r="C12741" s="7" t="n">
        <v>0</v>
      </c>
      <c r="D12741" s="7" t="n">
        <v>17</v>
      </c>
      <c r="E12741" s="7" t="n">
        <v>64268</v>
      </c>
      <c r="F12741" s="7" t="s">
        <v>446</v>
      </c>
      <c r="G12741" s="7" t="n">
        <v>2</v>
      </c>
      <c r="H12741" s="7" t="n">
        <v>0</v>
      </c>
    </row>
    <row r="12742" spans="1:23">
      <c r="A12742" t="s">
        <v>4</v>
      </c>
      <c r="B12742" s="4" t="s">
        <v>5</v>
      </c>
    </row>
    <row r="12743" spans="1:23">
      <c r="A12743" t="n">
        <v>119166</v>
      </c>
      <c r="B12743" s="27" t="n">
        <v>28</v>
      </c>
    </row>
    <row r="12744" spans="1:23">
      <c r="A12744" t="s">
        <v>4</v>
      </c>
      <c r="B12744" s="4" t="s">
        <v>5</v>
      </c>
      <c r="C12744" s="4" t="s">
        <v>7</v>
      </c>
      <c r="D12744" s="4" t="s">
        <v>11</v>
      </c>
      <c r="E12744" s="4" t="s">
        <v>8</v>
      </c>
    </row>
    <row r="12745" spans="1:23">
      <c r="A12745" t="n">
        <v>119167</v>
      </c>
      <c r="B12745" s="38" t="n">
        <v>51</v>
      </c>
      <c r="C12745" s="7" t="n">
        <v>4</v>
      </c>
      <c r="D12745" s="7" t="n">
        <v>4</v>
      </c>
      <c r="E12745" s="7" t="s">
        <v>179</v>
      </c>
    </row>
    <row r="12746" spans="1:23">
      <c r="A12746" t="s">
        <v>4</v>
      </c>
      <c r="B12746" s="4" t="s">
        <v>5</v>
      </c>
      <c r="C12746" s="4" t="s">
        <v>11</v>
      </c>
    </row>
    <row r="12747" spans="1:23">
      <c r="A12747" t="n">
        <v>119181</v>
      </c>
      <c r="B12747" s="29" t="n">
        <v>16</v>
      </c>
      <c r="C12747" s="7" t="n">
        <v>0</v>
      </c>
    </row>
    <row r="12748" spans="1:23">
      <c r="A12748" t="s">
        <v>4</v>
      </c>
      <c r="B12748" s="4" t="s">
        <v>5</v>
      </c>
      <c r="C12748" s="4" t="s">
        <v>11</v>
      </c>
      <c r="D12748" s="4" t="s">
        <v>7</v>
      </c>
      <c r="E12748" s="4" t="s">
        <v>15</v>
      </c>
      <c r="F12748" s="4" t="s">
        <v>55</v>
      </c>
      <c r="G12748" s="4" t="s">
        <v>7</v>
      </c>
      <c r="H12748" s="4" t="s">
        <v>7</v>
      </c>
      <c r="I12748" s="4" t="s">
        <v>7</v>
      </c>
      <c r="J12748" s="4" t="s">
        <v>15</v>
      </c>
      <c r="K12748" s="4" t="s">
        <v>55</v>
      </c>
      <c r="L12748" s="4" t="s">
        <v>7</v>
      </c>
      <c r="M12748" s="4" t="s">
        <v>7</v>
      </c>
    </row>
    <row r="12749" spans="1:23">
      <c r="A12749" t="n">
        <v>119184</v>
      </c>
      <c r="B12749" s="55" t="n">
        <v>26</v>
      </c>
      <c r="C12749" s="7" t="n">
        <v>4</v>
      </c>
      <c r="D12749" s="7" t="n">
        <v>17</v>
      </c>
      <c r="E12749" s="7" t="n">
        <v>7812</v>
      </c>
      <c r="F12749" s="7" t="s">
        <v>1027</v>
      </c>
      <c r="G12749" s="7" t="n">
        <v>2</v>
      </c>
      <c r="H12749" s="7" t="n">
        <v>3</v>
      </c>
      <c r="I12749" s="7" t="n">
        <v>17</v>
      </c>
      <c r="J12749" s="7" t="n">
        <v>7813</v>
      </c>
      <c r="K12749" s="7" t="s">
        <v>1028</v>
      </c>
      <c r="L12749" s="7" t="n">
        <v>2</v>
      </c>
      <c r="M12749" s="7" t="n">
        <v>0</v>
      </c>
    </row>
    <row r="12750" spans="1:23">
      <c r="A12750" t="s">
        <v>4</v>
      </c>
      <c r="B12750" s="4" t="s">
        <v>5</v>
      </c>
    </row>
    <row r="12751" spans="1:23">
      <c r="A12751" t="n">
        <v>119289</v>
      </c>
      <c r="B12751" s="27" t="n">
        <v>28</v>
      </c>
    </row>
    <row r="12752" spans="1:23">
      <c r="A12752" t="s">
        <v>4</v>
      </c>
      <c r="B12752" s="4" t="s">
        <v>5</v>
      </c>
      <c r="C12752" s="4" t="s">
        <v>7</v>
      </c>
      <c r="D12752" s="4" t="s">
        <v>11</v>
      </c>
      <c r="E12752" s="4" t="s">
        <v>8</v>
      </c>
    </row>
    <row r="12753" spans="1:13">
      <c r="A12753" t="n">
        <v>119290</v>
      </c>
      <c r="B12753" s="38" t="n">
        <v>51</v>
      </c>
      <c r="C12753" s="7" t="n">
        <v>4</v>
      </c>
      <c r="D12753" s="7" t="n">
        <v>0</v>
      </c>
      <c r="E12753" s="7" t="s">
        <v>147</v>
      </c>
    </row>
    <row r="12754" spans="1:13">
      <c r="A12754" t="s">
        <v>4</v>
      </c>
      <c r="B12754" s="4" t="s">
        <v>5</v>
      </c>
      <c r="C12754" s="4" t="s">
        <v>11</v>
      </c>
    </row>
    <row r="12755" spans="1:13">
      <c r="A12755" t="n">
        <v>119304</v>
      </c>
      <c r="B12755" s="29" t="n">
        <v>16</v>
      </c>
      <c r="C12755" s="7" t="n">
        <v>0</v>
      </c>
    </row>
    <row r="12756" spans="1:13">
      <c r="A12756" t="s">
        <v>4</v>
      </c>
      <c r="B12756" s="4" t="s">
        <v>5</v>
      </c>
      <c r="C12756" s="4" t="s">
        <v>11</v>
      </c>
      <c r="D12756" s="4" t="s">
        <v>7</v>
      </c>
      <c r="E12756" s="4" t="s">
        <v>15</v>
      </c>
      <c r="F12756" s="4" t="s">
        <v>55</v>
      </c>
      <c r="G12756" s="4" t="s">
        <v>7</v>
      </c>
      <c r="H12756" s="4" t="s">
        <v>7</v>
      </c>
    </row>
    <row r="12757" spans="1:13">
      <c r="A12757" t="n">
        <v>119307</v>
      </c>
      <c r="B12757" s="55" t="n">
        <v>26</v>
      </c>
      <c r="C12757" s="7" t="n">
        <v>0</v>
      </c>
      <c r="D12757" s="7" t="n">
        <v>17</v>
      </c>
      <c r="E12757" s="7" t="n">
        <v>64156</v>
      </c>
      <c r="F12757" s="7" t="s">
        <v>1029</v>
      </c>
      <c r="G12757" s="7" t="n">
        <v>2</v>
      </c>
      <c r="H12757" s="7" t="n">
        <v>0</v>
      </c>
    </row>
    <row r="12758" spans="1:13">
      <c r="A12758" t="s">
        <v>4</v>
      </c>
      <c r="B12758" s="4" t="s">
        <v>5</v>
      </c>
    </row>
    <row r="12759" spans="1:13">
      <c r="A12759" t="n">
        <v>119331</v>
      </c>
      <c r="B12759" s="27" t="n">
        <v>28</v>
      </c>
    </row>
    <row r="12760" spans="1:13">
      <c r="A12760" t="s">
        <v>4</v>
      </c>
      <c r="B12760" s="4" t="s">
        <v>5</v>
      </c>
      <c r="C12760" s="4" t="s">
        <v>7</v>
      </c>
      <c r="D12760" s="4" t="s">
        <v>11</v>
      </c>
      <c r="E12760" s="4" t="s">
        <v>8</v>
      </c>
    </row>
    <row r="12761" spans="1:13">
      <c r="A12761" t="n">
        <v>119332</v>
      </c>
      <c r="B12761" s="38" t="n">
        <v>51</v>
      </c>
      <c r="C12761" s="7" t="n">
        <v>4</v>
      </c>
      <c r="D12761" s="7" t="n">
        <v>4</v>
      </c>
      <c r="E12761" s="7" t="s">
        <v>547</v>
      </c>
    </row>
    <row r="12762" spans="1:13">
      <c r="A12762" t="s">
        <v>4</v>
      </c>
      <c r="B12762" s="4" t="s">
        <v>5</v>
      </c>
      <c r="C12762" s="4" t="s">
        <v>11</v>
      </c>
    </row>
    <row r="12763" spans="1:13">
      <c r="A12763" t="n">
        <v>119346</v>
      </c>
      <c r="B12763" s="29" t="n">
        <v>16</v>
      </c>
      <c r="C12763" s="7" t="n">
        <v>0</v>
      </c>
    </row>
    <row r="12764" spans="1:13">
      <c r="A12764" t="s">
        <v>4</v>
      </c>
      <c r="B12764" s="4" t="s">
        <v>5</v>
      </c>
      <c r="C12764" s="4" t="s">
        <v>11</v>
      </c>
      <c r="D12764" s="4" t="s">
        <v>7</v>
      </c>
      <c r="E12764" s="4" t="s">
        <v>15</v>
      </c>
      <c r="F12764" s="4" t="s">
        <v>55</v>
      </c>
      <c r="G12764" s="4" t="s">
        <v>7</v>
      </c>
      <c r="H12764" s="4" t="s">
        <v>7</v>
      </c>
      <c r="I12764" s="4" t="s">
        <v>7</v>
      </c>
      <c r="J12764" s="4" t="s">
        <v>15</v>
      </c>
      <c r="K12764" s="4" t="s">
        <v>55</v>
      </c>
      <c r="L12764" s="4" t="s">
        <v>7</v>
      </c>
      <c r="M12764" s="4" t="s">
        <v>7</v>
      </c>
      <c r="N12764" s="4" t="s">
        <v>7</v>
      </c>
      <c r="O12764" s="4" t="s">
        <v>15</v>
      </c>
      <c r="P12764" s="4" t="s">
        <v>55</v>
      </c>
      <c r="Q12764" s="4" t="s">
        <v>7</v>
      </c>
      <c r="R12764" s="4" t="s">
        <v>7</v>
      </c>
    </row>
    <row r="12765" spans="1:13">
      <c r="A12765" t="n">
        <v>119349</v>
      </c>
      <c r="B12765" s="55" t="n">
        <v>26</v>
      </c>
      <c r="C12765" s="7" t="n">
        <v>4</v>
      </c>
      <c r="D12765" s="7" t="n">
        <v>17</v>
      </c>
      <c r="E12765" s="7" t="n">
        <v>7814</v>
      </c>
      <c r="F12765" s="7" t="s">
        <v>1030</v>
      </c>
      <c r="G12765" s="7" t="n">
        <v>2</v>
      </c>
      <c r="H12765" s="7" t="n">
        <v>3</v>
      </c>
      <c r="I12765" s="7" t="n">
        <v>17</v>
      </c>
      <c r="J12765" s="7" t="n">
        <v>7815</v>
      </c>
      <c r="K12765" s="7" t="s">
        <v>1031</v>
      </c>
      <c r="L12765" s="7" t="n">
        <v>2</v>
      </c>
      <c r="M12765" s="7" t="n">
        <v>3</v>
      </c>
      <c r="N12765" s="7" t="n">
        <v>17</v>
      </c>
      <c r="O12765" s="7" t="n">
        <v>7816</v>
      </c>
      <c r="P12765" s="7" t="s">
        <v>1032</v>
      </c>
      <c r="Q12765" s="7" t="n">
        <v>2</v>
      </c>
      <c r="R12765" s="7" t="n">
        <v>0</v>
      </c>
    </row>
    <row r="12766" spans="1:13">
      <c r="A12766" t="s">
        <v>4</v>
      </c>
      <c r="B12766" s="4" t="s">
        <v>5</v>
      </c>
    </row>
    <row r="12767" spans="1:13">
      <c r="A12767" t="n">
        <v>119752</v>
      </c>
      <c r="B12767" s="27" t="n">
        <v>28</v>
      </c>
    </row>
    <row r="12768" spans="1:13">
      <c r="A12768" t="s">
        <v>4</v>
      </c>
      <c r="B12768" s="4" t="s">
        <v>5</v>
      </c>
      <c r="C12768" s="4" t="s">
        <v>7</v>
      </c>
      <c r="D12768" s="4" t="s">
        <v>11</v>
      </c>
      <c r="E12768" s="4" t="s">
        <v>8</v>
      </c>
    </row>
    <row r="12769" spans="1:18">
      <c r="A12769" t="n">
        <v>119753</v>
      </c>
      <c r="B12769" s="38" t="n">
        <v>51</v>
      </c>
      <c r="C12769" s="7" t="n">
        <v>4</v>
      </c>
      <c r="D12769" s="7" t="n">
        <v>0</v>
      </c>
      <c r="E12769" s="7" t="s">
        <v>206</v>
      </c>
    </row>
    <row r="12770" spans="1:18">
      <c r="A12770" t="s">
        <v>4</v>
      </c>
      <c r="B12770" s="4" t="s">
        <v>5</v>
      </c>
      <c r="C12770" s="4" t="s">
        <v>11</v>
      </c>
    </row>
    <row r="12771" spans="1:18">
      <c r="A12771" t="n">
        <v>119768</v>
      </c>
      <c r="B12771" s="29" t="n">
        <v>16</v>
      </c>
      <c r="C12771" s="7" t="n">
        <v>0</v>
      </c>
    </row>
    <row r="12772" spans="1:18">
      <c r="A12772" t="s">
        <v>4</v>
      </c>
      <c r="B12772" s="4" t="s">
        <v>5</v>
      </c>
      <c r="C12772" s="4" t="s">
        <v>11</v>
      </c>
      <c r="D12772" s="4" t="s">
        <v>7</v>
      </c>
      <c r="E12772" s="4" t="s">
        <v>15</v>
      </c>
      <c r="F12772" s="4" t="s">
        <v>55</v>
      </c>
      <c r="G12772" s="4" t="s">
        <v>7</v>
      </c>
      <c r="H12772" s="4" t="s">
        <v>7</v>
      </c>
    </row>
    <row r="12773" spans="1:18">
      <c r="A12773" t="n">
        <v>119771</v>
      </c>
      <c r="B12773" s="55" t="n">
        <v>26</v>
      </c>
      <c r="C12773" s="7" t="n">
        <v>0</v>
      </c>
      <c r="D12773" s="7" t="n">
        <v>17</v>
      </c>
      <c r="E12773" s="7" t="n">
        <v>65271</v>
      </c>
      <c r="F12773" s="7" t="s">
        <v>1033</v>
      </c>
      <c r="G12773" s="7" t="n">
        <v>2</v>
      </c>
      <c r="H12773" s="7" t="n">
        <v>0</v>
      </c>
    </row>
    <row r="12774" spans="1:18">
      <c r="A12774" t="s">
        <v>4</v>
      </c>
      <c r="B12774" s="4" t="s">
        <v>5</v>
      </c>
    </row>
    <row r="12775" spans="1:18">
      <c r="A12775" t="n">
        <v>119788</v>
      </c>
      <c r="B12775" s="27" t="n">
        <v>28</v>
      </c>
    </row>
    <row r="12776" spans="1:18">
      <c r="A12776" t="s">
        <v>4</v>
      </c>
      <c r="B12776" s="4" t="s">
        <v>5</v>
      </c>
      <c r="C12776" s="4" t="s">
        <v>7</v>
      </c>
      <c r="D12776" s="4" t="s">
        <v>11</v>
      </c>
      <c r="E12776" s="4" t="s">
        <v>8</v>
      </c>
    </row>
    <row r="12777" spans="1:18">
      <c r="A12777" t="n">
        <v>119789</v>
      </c>
      <c r="B12777" s="38" t="n">
        <v>51</v>
      </c>
      <c r="C12777" s="7" t="n">
        <v>4</v>
      </c>
      <c r="D12777" s="7" t="n">
        <v>4</v>
      </c>
      <c r="E12777" s="7" t="s">
        <v>752</v>
      </c>
    </row>
    <row r="12778" spans="1:18">
      <c r="A12778" t="s">
        <v>4</v>
      </c>
      <c r="B12778" s="4" t="s">
        <v>5</v>
      </c>
      <c r="C12778" s="4" t="s">
        <v>11</v>
      </c>
    </row>
    <row r="12779" spans="1:18">
      <c r="A12779" t="n">
        <v>119803</v>
      </c>
      <c r="B12779" s="29" t="n">
        <v>16</v>
      </c>
      <c r="C12779" s="7" t="n">
        <v>500</v>
      </c>
    </row>
    <row r="12780" spans="1:18">
      <c r="A12780" t="s">
        <v>4</v>
      </c>
      <c r="B12780" s="4" t="s">
        <v>5</v>
      </c>
      <c r="C12780" s="4" t="s">
        <v>11</v>
      </c>
      <c r="D12780" s="4" t="s">
        <v>7</v>
      </c>
      <c r="E12780" s="4" t="s">
        <v>15</v>
      </c>
      <c r="F12780" s="4" t="s">
        <v>55</v>
      </c>
      <c r="G12780" s="4" t="s">
        <v>7</v>
      </c>
      <c r="H12780" s="4" t="s">
        <v>7</v>
      </c>
      <c r="I12780" s="4" t="s">
        <v>7</v>
      </c>
      <c r="J12780" s="4" t="s">
        <v>15</v>
      </c>
      <c r="K12780" s="4" t="s">
        <v>55</v>
      </c>
      <c r="L12780" s="4" t="s">
        <v>7</v>
      </c>
      <c r="M12780" s="4" t="s">
        <v>7</v>
      </c>
    </row>
    <row r="12781" spans="1:18">
      <c r="A12781" t="n">
        <v>119806</v>
      </c>
      <c r="B12781" s="55" t="n">
        <v>26</v>
      </c>
      <c r="C12781" s="7" t="n">
        <v>4</v>
      </c>
      <c r="D12781" s="7" t="n">
        <v>17</v>
      </c>
      <c r="E12781" s="7" t="n">
        <v>7817</v>
      </c>
      <c r="F12781" s="7" t="s">
        <v>1034</v>
      </c>
      <c r="G12781" s="7" t="n">
        <v>2</v>
      </c>
      <c r="H12781" s="7" t="n">
        <v>3</v>
      </c>
      <c r="I12781" s="7" t="n">
        <v>17</v>
      </c>
      <c r="J12781" s="7" t="n">
        <v>7818</v>
      </c>
      <c r="K12781" s="7" t="s">
        <v>1035</v>
      </c>
      <c r="L12781" s="7" t="n">
        <v>2</v>
      </c>
      <c r="M12781" s="7" t="n">
        <v>0</v>
      </c>
    </row>
    <row r="12782" spans="1:18">
      <c r="A12782" t="s">
        <v>4</v>
      </c>
      <c r="B12782" s="4" t="s">
        <v>5</v>
      </c>
    </row>
    <row r="12783" spans="1:18">
      <c r="A12783" t="n">
        <v>120078</v>
      </c>
      <c r="B12783" s="27" t="n">
        <v>28</v>
      </c>
    </row>
    <row r="12784" spans="1:18">
      <c r="A12784" t="s">
        <v>4</v>
      </c>
      <c r="B12784" s="4" t="s">
        <v>5</v>
      </c>
      <c r="C12784" s="4" t="s">
        <v>11</v>
      </c>
      <c r="D12784" s="4" t="s">
        <v>7</v>
      </c>
    </row>
    <row r="12785" spans="1:13">
      <c r="A12785" t="n">
        <v>120079</v>
      </c>
      <c r="B12785" s="68" t="n">
        <v>89</v>
      </c>
      <c r="C12785" s="7" t="n">
        <v>65533</v>
      </c>
      <c r="D12785" s="7" t="n">
        <v>1</v>
      </c>
    </row>
    <row r="12786" spans="1:13">
      <c r="A12786" t="s">
        <v>4</v>
      </c>
      <c r="B12786" s="4" t="s">
        <v>5</v>
      </c>
      <c r="C12786" s="4" t="s">
        <v>7</v>
      </c>
      <c r="D12786" s="4" t="s">
        <v>11</v>
      </c>
      <c r="E12786" s="4" t="s">
        <v>13</v>
      </c>
    </row>
    <row r="12787" spans="1:13">
      <c r="A12787" t="n">
        <v>120083</v>
      </c>
      <c r="B12787" s="23" t="n">
        <v>58</v>
      </c>
      <c r="C12787" s="7" t="n">
        <v>101</v>
      </c>
      <c r="D12787" s="7" t="n">
        <v>500</v>
      </c>
      <c r="E12787" s="7" t="n">
        <v>1</v>
      </c>
    </row>
    <row r="12788" spans="1:13">
      <c r="A12788" t="s">
        <v>4</v>
      </c>
      <c r="B12788" s="4" t="s">
        <v>5</v>
      </c>
      <c r="C12788" s="4" t="s">
        <v>7</v>
      </c>
      <c r="D12788" s="4" t="s">
        <v>11</v>
      </c>
    </row>
    <row r="12789" spans="1:13">
      <c r="A12789" t="n">
        <v>120091</v>
      </c>
      <c r="B12789" s="23" t="n">
        <v>58</v>
      </c>
      <c r="C12789" s="7" t="n">
        <v>254</v>
      </c>
      <c r="D12789" s="7" t="n">
        <v>0</v>
      </c>
    </row>
    <row r="12790" spans="1:13">
      <c r="A12790" t="s">
        <v>4</v>
      </c>
      <c r="B12790" s="4" t="s">
        <v>5</v>
      </c>
      <c r="C12790" s="4" t="s">
        <v>7</v>
      </c>
      <c r="D12790" s="4" t="s">
        <v>7</v>
      </c>
      <c r="E12790" s="4" t="s">
        <v>13</v>
      </c>
      <c r="F12790" s="4" t="s">
        <v>13</v>
      </c>
      <c r="G12790" s="4" t="s">
        <v>13</v>
      </c>
      <c r="H12790" s="4" t="s">
        <v>11</v>
      </c>
    </row>
    <row r="12791" spans="1:13">
      <c r="A12791" t="n">
        <v>120095</v>
      </c>
      <c r="B12791" s="51" t="n">
        <v>45</v>
      </c>
      <c r="C12791" s="7" t="n">
        <v>2</v>
      </c>
      <c r="D12791" s="7" t="n">
        <v>3</v>
      </c>
      <c r="E12791" s="7" t="n">
        <v>-6.8899998664856</v>
      </c>
      <c r="F12791" s="7" t="n">
        <v>6.46999979019165</v>
      </c>
      <c r="G12791" s="7" t="n">
        <v>29.9400005340576</v>
      </c>
      <c r="H12791" s="7" t="n">
        <v>0</v>
      </c>
    </row>
    <row r="12792" spans="1:13">
      <c r="A12792" t="s">
        <v>4</v>
      </c>
      <c r="B12792" s="4" t="s">
        <v>5</v>
      </c>
      <c r="C12792" s="4" t="s">
        <v>7</v>
      </c>
      <c r="D12792" s="4" t="s">
        <v>7</v>
      </c>
      <c r="E12792" s="4" t="s">
        <v>13</v>
      </c>
      <c r="F12792" s="4" t="s">
        <v>13</v>
      </c>
      <c r="G12792" s="4" t="s">
        <v>13</v>
      </c>
      <c r="H12792" s="4" t="s">
        <v>11</v>
      </c>
      <c r="I12792" s="4" t="s">
        <v>7</v>
      </c>
    </row>
    <row r="12793" spans="1:13">
      <c r="A12793" t="n">
        <v>120112</v>
      </c>
      <c r="B12793" s="51" t="n">
        <v>45</v>
      </c>
      <c r="C12793" s="7" t="n">
        <v>4</v>
      </c>
      <c r="D12793" s="7" t="n">
        <v>3</v>
      </c>
      <c r="E12793" s="7" t="n">
        <v>359.390014648438</v>
      </c>
      <c r="F12793" s="7" t="n">
        <v>50.9000015258789</v>
      </c>
      <c r="G12793" s="7" t="n">
        <v>8</v>
      </c>
      <c r="H12793" s="7" t="n">
        <v>0</v>
      </c>
      <c r="I12793" s="7" t="n">
        <v>0</v>
      </c>
    </row>
    <row r="12794" spans="1:13">
      <c r="A12794" t="s">
        <v>4</v>
      </c>
      <c r="B12794" s="4" t="s">
        <v>5</v>
      </c>
      <c r="C12794" s="4" t="s">
        <v>7</v>
      </c>
      <c r="D12794" s="4" t="s">
        <v>7</v>
      </c>
      <c r="E12794" s="4" t="s">
        <v>13</v>
      </c>
      <c r="F12794" s="4" t="s">
        <v>11</v>
      </c>
    </row>
    <row r="12795" spans="1:13">
      <c r="A12795" t="n">
        <v>120130</v>
      </c>
      <c r="B12795" s="51" t="n">
        <v>45</v>
      </c>
      <c r="C12795" s="7" t="n">
        <v>5</v>
      </c>
      <c r="D12795" s="7" t="n">
        <v>3</v>
      </c>
      <c r="E12795" s="7" t="n">
        <v>1.20000004768372</v>
      </c>
      <c r="F12795" s="7" t="n">
        <v>0</v>
      </c>
    </row>
    <row r="12796" spans="1:13">
      <c r="A12796" t="s">
        <v>4</v>
      </c>
      <c r="B12796" s="4" t="s">
        <v>5</v>
      </c>
      <c r="C12796" s="4" t="s">
        <v>7</v>
      </c>
      <c r="D12796" s="4" t="s">
        <v>7</v>
      </c>
      <c r="E12796" s="4" t="s">
        <v>13</v>
      </c>
      <c r="F12796" s="4" t="s">
        <v>11</v>
      </c>
    </row>
    <row r="12797" spans="1:13">
      <c r="A12797" t="n">
        <v>120139</v>
      </c>
      <c r="B12797" s="51" t="n">
        <v>45</v>
      </c>
      <c r="C12797" s="7" t="n">
        <v>11</v>
      </c>
      <c r="D12797" s="7" t="n">
        <v>3</v>
      </c>
      <c r="E12797" s="7" t="n">
        <v>40.2999992370605</v>
      </c>
      <c r="F12797" s="7" t="n">
        <v>0</v>
      </c>
    </row>
    <row r="12798" spans="1:13">
      <c r="A12798" t="s">
        <v>4</v>
      </c>
      <c r="B12798" s="4" t="s">
        <v>5</v>
      </c>
      <c r="C12798" s="4" t="s">
        <v>7</v>
      </c>
      <c r="D12798" s="4" t="s">
        <v>11</v>
      </c>
    </row>
    <row r="12799" spans="1:13">
      <c r="A12799" t="n">
        <v>120148</v>
      </c>
      <c r="B12799" s="23" t="n">
        <v>58</v>
      </c>
      <c r="C12799" s="7" t="n">
        <v>255</v>
      </c>
      <c r="D12799" s="7" t="n">
        <v>0</v>
      </c>
    </row>
    <row r="12800" spans="1:13">
      <c r="A12800" t="s">
        <v>4</v>
      </c>
      <c r="B12800" s="4" t="s">
        <v>5</v>
      </c>
      <c r="C12800" s="4" t="s">
        <v>11</v>
      </c>
      <c r="D12800" s="4" t="s">
        <v>7</v>
      </c>
      <c r="E12800" s="4" t="s">
        <v>13</v>
      </c>
      <c r="F12800" s="4" t="s">
        <v>11</v>
      </c>
    </row>
    <row r="12801" spans="1:9">
      <c r="A12801" t="n">
        <v>120152</v>
      </c>
      <c r="B12801" s="56" t="n">
        <v>59</v>
      </c>
      <c r="C12801" s="7" t="n">
        <v>0</v>
      </c>
      <c r="D12801" s="7" t="n">
        <v>9</v>
      </c>
      <c r="E12801" s="7" t="n">
        <v>0.150000005960464</v>
      </c>
      <c r="F12801" s="7" t="n">
        <v>0</v>
      </c>
    </row>
    <row r="12802" spans="1:9">
      <c r="A12802" t="s">
        <v>4</v>
      </c>
      <c r="B12802" s="4" t="s">
        <v>5</v>
      </c>
      <c r="C12802" s="4" t="s">
        <v>11</v>
      </c>
    </row>
    <row r="12803" spans="1:9">
      <c r="A12803" t="n">
        <v>120162</v>
      </c>
      <c r="B12803" s="29" t="n">
        <v>16</v>
      </c>
      <c r="C12803" s="7" t="n">
        <v>1500</v>
      </c>
    </row>
    <row r="12804" spans="1:9">
      <c r="A12804" t="s">
        <v>4</v>
      </c>
      <c r="B12804" s="4" t="s">
        <v>5</v>
      </c>
      <c r="C12804" s="4" t="s">
        <v>7</v>
      </c>
      <c r="D12804" s="4" t="s">
        <v>11</v>
      </c>
      <c r="E12804" s="4" t="s">
        <v>8</v>
      </c>
    </row>
    <row r="12805" spans="1:9">
      <c r="A12805" t="n">
        <v>120165</v>
      </c>
      <c r="B12805" s="38" t="n">
        <v>51</v>
      </c>
      <c r="C12805" s="7" t="n">
        <v>4</v>
      </c>
      <c r="D12805" s="7" t="n">
        <v>0</v>
      </c>
      <c r="E12805" s="7" t="s">
        <v>179</v>
      </c>
    </row>
    <row r="12806" spans="1:9">
      <c r="A12806" t="s">
        <v>4</v>
      </c>
      <c r="B12806" s="4" t="s">
        <v>5</v>
      </c>
      <c r="C12806" s="4" t="s">
        <v>11</v>
      </c>
    </row>
    <row r="12807" spans="1:9">
      <c r="A12807" t="n">
        <v>120179</v>
      </c>
      <c r="B12807" s="29" t="n">
        <v>16</v>
      </c>
      <c r="C12807" s="7" t="n">
        <v>0</v>
      </c>
    </row>
    <row r="12808" spans="1:9">
      <c r="A12808" t="s">
        <v>4</v>
      </c>
      <c r="B12808" s="4" t="s">
        <v>5</v>
      </c>
      <c r="C12808" s="4" t="s">
        <v>11</v>
      </c>
      <c r="D12808" s="4" t="s">
        <v>7</v>
      </c>
      <c r="E12808" s="4" t="s">
        <v>15</v>
      </c>
      <c r="F12808" s="4" t="s">
        <v>55</v>
      </c>
      <c r="G12808" s="4" t="s">
        <v>7</v>
      </c>
      <c r="H12808" s="4" t="s">
        <v>7</v>
      </c>
    </row>
    <row r="12809" spans="1:9">
      <c r="A12809" t="n">
        <v>120182</v>
      </c>
      <c r="B12809" s="55" t="n">
        <v>26</v>
      </c>
      <c r="C12809" s="7" t="n">
        <v>0</v>
      </c>
      <c r="D12809" s="7" t="n">
        <v>17</v>
      </c>
      <c r="E12809" s="7" t="n">
        <v>64157</v>
      </c>
      <c r="F12809" s="7" t="s">
        <v>1036</v>
      </c>
      <c r="G12809" s="7" t="n">
        <v>2</v>
      </c>
      <c r="H12809" s="7" t="n">
        <v>0</v>
      </c>
    </row>
    <row r="12810" spans="1:9">
      <c r="A12810" t="s">
        <v>4</v>
      </c>
      <c r="B12810" s="4" t="s">
        <v>5</v>
      </c>
    </row>
    <row r="12811" spans="1:9">
      <c r="A12811" t="n">
        <v>120212</v>
      </c>
      <c r="B12811" s="27" t="n">
        <v>28</v>
      </c>
    </row>
    <row r="12812" spans="1:9">
      <c r="A12812" t="s">
        <v>4</v>
      </c>
      <c r="B12812" s="4" t="s">
        <v>5</v>
      </c>
      <c r="C12812" s="4" t="s">
        <v>11</v>
      </c>
      <c r="D12812" s="4" t="s">
        <v>7</v>
      </c>
    </row>
    <row r="12813" spans="1:9">
      <c r="A12813" t="n">
        <v>120213</v>
      </c>
      <c r="B12813" s="68" t="n">
        <v>89</v>
      </c>
      <c r="C12813" s="7" t="n">
        <v>65533</v>
      </c>
      <c r="D12813" s="7" t="n">
        <v>1</v>
      </c>
    </row>
    <row r="12814" spans="1:9">
      <c r="A12814" t="s">
        <v>4</v>
      </c>
      <c r="B12814" s="4" t="s">
        <v>5</v>
      </c>
      <c r="C12814" s="4" t="s">
        <v>7</v>
      </c>
      <c r="D12814" s="4" t="s">
        <v>13</v>
      </c>
      <c r="E12814" s="4" t="s">
        <v>13</v>
      </c>
      <c r="F12814" s="4" t="s">
        <v>13</v>
      </c>
    </row>
    <row r="12815" spans="1:9">
      <c r="A12815" t="n">
        <v>120217</v>
      </c>
      <c r="B12815" s="51" t="n">
        <v>45</v>
      </c>
      <c r="C12815" s="7" t="n">
        <v>9</v>
      </c>
      <c r="D12815" s="7" t="n">
        <v>0.0199999995529652</v>
      </c>
      <c r="E12815" s="7" t="n">
        <v>0.0199999995529652</v>
      </c>
      <c r="F12815" s="7" t="n">
        <v>0.5</v>
      </c>
    </row>
    <row r="12816" spans="1:9">
      <c r="A12816" t="s">
        <v>4</v>
      </c>
      <c r="B12816" s="4" t="s">
        <v>5</v>
      </c>
      <c r="C12816" s="4" t="s">
        <v>7</v>
      </c>
      <c r="D12816" s="4" t="s">
        <v>11</v>
      </c>
      <c r="E12816" s="4" t="s">
        <v>8</v>
      </c>
    </row>
    <row r="12817" spans="1:8">
      <c r="A12817" t="n">
        <v>120231</v>
      </c>
      <c r="B12817" s="38" t="n">
        <v>51</v>
      </c>
      <c r="C12817" s="7" t="n">
        <v>4</v>
      </c>
      <c r="D12817" s="7" t="n">
        <v>0</v>
      </c>
      <c r="E12817" s="7" t="s">
        <v>450</v>
      </c>
    </row>
    <row r="12818" spans="1:8">
      <c r="A12818" t="s">
        <v>4</v>
      </c>
      <c r="B12818" s="4" t="s">
        <v>5</v>
      </c>
      <c r="C12818" s="4" t="s">
        <v>11</v>
      </c>
    </row>
    <row r="12819" spans="1:8">
      <c r="A12819" t="n">
        <v>120245</v>
      </c>
      <c r="B12819" s="29" t="n">
        <v>16</v>
      </c>
      <c r="C12819" s="7" t="n">
        <v>0</v>
      </c>
    </row>
    <row r="12820" spans="1:8">
      <c r="A12820" t="s">
        <v>4</v>
      </c>
      <c r="B12820" s="4" t="s">
        <v>5</v>
      </c>
      <c r="C12820" s="4" t="s">
        <v>11</v>
      </c>
      <c r="D12820" s="4" t="s">
        <v>7</v>
      </c>
      <c r="E12820" s="4" t="s">
        <v>15</v>
      </c>
      <c r="F12820" s="4" t="s">
        <v>55</v>
      </c>
      <c r="G12820" s="4" t="s">
        <v>7</v>
      </c>
      <c r="H12820" s="4" t="s">
        <v>7</v>
      </c>
    </row>
    <row r="12821" spans="1:8">
      <c r="A12821" t="n">
        <v>120248</v>
      </c>
      <c r="B12821" s="55" t="n">
        <v>26</v>
      </c>
      <c r="C12821" s="7" t="n">
        <v>0</v>
      </c>
      <c r="D12821" s="7" t="n">
        <v>17</v>
      </c>
      <c r="E12821" s="7" t="n">
        <v>64158</v>
      </c>
      <c r="F12821" s="7" t="s">
        <v>1037</v>
      </c>
      <c r="G12821" s="7" t="n">
        <v>2</v>
      </c>
      <c r="H12821" s="7" t="n">
        <v>0</v>
      </c>
    </row>
    <row r="12822" spans="1:8">
      <c r="A12822" t="s">
        <v>4</v>
      </c>
      <c r="B12822" s="4" t="s">
        <v>5</v>
      </c>
    </row>
    <row r="12823" spans="1:8">
      <c r="A12823" t="n">
        <v>120273</v>
      </c>
      <c r="B12823" s="27" t="n">
        <v>28</v>
      </c>
    </row>
    <row r="12824" spans="1:8">
      <c r="A12824" t="s">
        <v>4</v>
      </c>
      <c r="B12824" s="4" t="s">
        <v>5</v>
      </c>
      <c r="C12824" s="4" t="s">
        <v>7</v>
      </c>
      <c r="D12824" s="4" t="s">
        <v>11</v>
      </c>
      <c r="E12824" s="4" t="s">
        <v>8</v>
      </c>
      <c r="F12824" s="4" t="s">
        <v>8</v>
      </c>
      <c r="G12824" s="4" t="s">
        <v>8</v>
      </c>
      <c r="H12824" s="4" t="s">
        <v>8</v>
      </c>
    </row>
    <row r="12825" spans="1:8">
      <c r="A12825" t="n">
        <v>120274</v>
      </c>
      <c r="B12825" s="38" t="n">
        <v>51</v>
      </c>
      <c r="C12825" s="7" t="n">
        <v>3</v>
      </c>
      <c r="D12825" s="7" t="n">
        <v>4</v>
      </c>
      <c r="E12825" s="7" t="s">
        <v>154</v>
      </c>
      <c r="F12825" s="7" t="s">
        <v>155</v>
      </c>
      <c r="G12825" s="7" t="s">
        <v>78</v>
      </c>
      <c r="H12825" s="7" t="s">
        <v>79</v>
      </c>
    </row>
    <row r="12826" spans="1:8">
      <c r="A12826" t="s">
        <v>4</v>
      </c>
      <c r="B12826" s="4" t="s">
        <v>5</v>
      </c>
      <c r="C12826" s="4" t="s">
        <v>11</v>
      </c>
      <c r="D12826" s="4" t="s">
        <v>7</v>
      </c>
      <c r="E12826" s="4" t="s">
        <v>13</v>
      </c>
      <c r="F12826" s="4" t="s">
        <v>11</v>
      </c>
    </row>
    <row r="12827" spans="1:8">
      <c r="A12827" t="n">
        <v>120287</v>
      </c>
      <c r="B12827" s="56" t="n">
        <v>59</v>
      </c>
      <c r="C12827" s="7" t="n">
        <v>4</v>
      </c>
      <c r="D12827" s="7" t="n">
        <v>14</v>
      </c>
      <c r="E12827" s="7" t="n">
        <v>0.150000005960464</v>
      </c>
      <c r="F12827" s="7" t="n">
        <v>0</v>
      </c>
    </row>
    <row r="12828" spans="1:8">
      <c r="A12828" t="s">
        <v>4</v>
      </c>
      <c r="B12828" s="4" t="s">
        <v>5</v>
      </c>
      <c r="C12828" s="4" t="s">
        <v>11</v>
      </c>
    </row>
    <row r="12829" spans="1:8">
      <c r="A12829" t="n">
        <v>120297</v>
      </c>
      <c r="B12829" s="29" t="n">
        <v>16</v>
      </c>
      <c r="C12829" s="7" t="n">
        <v>1000</v>
      </c>
    </row>
    <row r="12830" spans="1:8">
      <c r="A12830" t="s">
        <v>4</v>
      </c>
      <c r="B12830" s="4" t="s">
        <v>5</v>
      </c>
      <c r="C12830" s="4" t="s">
        <v>7</v>
      </c>
      <c r="D12830" s="4" t="s">
        <v>11</v>
      </c>
      <c r="E12830" s="4" t="s">
        <v>8</v>
      </c>
    </row>
    <row r="12831" spans="1:8">
      <c r="A12831" t="n">
        <v>120300</v>
      </c>
      <c r="B12831" s="38" t="n">
        <v>51</v>
      </c>
      <c r="C12831" s="7" t="n">
        <v>4</v>
      </c>
      <c r="D12831" s="7" t="n">
        <v>4</v>
      </c>
      <c r="E12831" s="7" t="s">
        <v>1038</v>
      </c>
    </row>
    <row r="12832" spans="1:8">
      <c r="A12832" t="s">
        <v>4</v>
      </c>
      <c r="B12832" s="4" t="s">
        <v>5</v>
      </c>
      <c r="C12832" s="4" t="s">
        <v>11</v>
      </c>
    </row>
    <row r="12833" spans="1:8">
      <c r="A12833" t="n">
        <v>120318</v>
      </c>
      <c r="B12833" s="29" t="n">
        <v>16</v>
      </c>
      <c r="C12833" s="7" t="n">
        <v>0</v>
      </c>
    </row>
    <row r="12834" spans="1:8">
      <c r="A12834" t="s">
        <v>4</v>
      </c>
      <c r="B12834" s="4" t="s">
        <v>5</v>
      </c>
      <c r="C12834" s="4" t="s">
        <v>11</v>
      </c>
      <c r="D12834" s="4" t="s">
        <v>7</v>
      </c>
      <c r="E12834" s="4" t="s">
        <v>15</v>
      </c>
      <c r="F12834" s="4" t="s">
        <v>55</v>
      </c>
      <c r="G12834" s="4" t="s">
        <v>7</v>
      </c>
      <c r="H12834" s="4" t="s">
        <v>7</v>
      </c>
    </row>
    <row r="12835" spans="1:8">
      <c r="A12835" t="n">
        <v>120321</v>
      </c>
      <c r="B12835" s="55" t="n">
        <v>26</v>
      </c>
      <c r="C12835" s="7" t="n">
        <v>4</v>
      </c>
      <c r="D12835" s="7" t="n">
        <v>17</v>
      </c>
      <c r="E12835" s="7" t="n">
        <v>7819</v>
      </c>
      <c r="F12835" s="7" t="s">
        <v>1039</v>
      </c>
      <c r="G12835" s="7" t="n">
        <v>2</v>
      </c>
      <c r="H12835" s="7" t="n">
        <v>0</v>
      </c>
    </row>
    <row r="12836" spans="1:8">
      <c r="A12836" t="s">
        <v>4</v>
      </c>
      <c r="B12836" s="4" t="s">
        <v>5</v>
      </c>
    </row>
    <row r="12837" spans="1:8">
      <c r="A12837" t="n">
        <v>120430</v>
      </c>
      <c r="B12837" s="27" t="n">
        <v>28</v>
      </c>
    </row>
    <row r="12838" spans="1:8">
      <c r="A12838" t="s">
        <v>4</v>
      </c>
      <c r="B12838" s="4" t="s">
        <v>5</v>
      </c>
      <c r="C12838" s="4" t="s">
        <v>7</v>
      </c>
      <c r="D12838" s="4" t="s">
        <v>11</v>
      </c>
      <c r="E12838" s="4" t="s">
        <v>8</v>
      </c>
    </row>
    <row r="12839" spans="1:8">
      <c r="A12839" t="n">
        <v>120431</v>
      </c>
      <c r="B12839" s="38" t="n">
        <v>51</v>
      </c>
      <c r="C12839" s="7" t="n">
        <v>4</v>
      </c>
      <c r="D12839" s="7" t="n">
        <v>0</v>
      </c>
      <c r="E12839" s="7" t="s">
        <v>179</v>
      </c>
    </row>
    <row r="12840" spans="1:8">
      <c r="A12840" t="s">
        <v>4</v>
      </c>
      <c r="B12840" s="4" t="s">
        <v>5</v>
      </c>
      <c r="C12840" s="4" t="s">
        <v>11</v>
      </c>
    </row>
    <row r="12841" spans="1:8">
      <c r="A12841" t="n">
        <v>120445</v>
      </c>
      <c r="B12841" s="29" t="n">
        <v>16</v>
      </c>
      <c r="C12841" s="7" t="n">
        <v>0</v>
      </c>
    </row>
    <row r="12842" spans="1:8">
      <c r="A12842" t="s">
        <v>4</v>
      </c>
      <c r="B12842" s="4" t="s">
        <v>5</v>
      </c>
      <c r="C12842" s="4" t="s">
        <v>11</v>
      </c>
      <c r="D12842" s="4" t="s">
        <v>7</v>
      </c>
      <c r="E12842" s="4" t="s">
        <v>15</v>
      </c>
      <c r="F12842" s="4" t="s">
        <v>55</v>
      </c>
      <c r="G12842" s="4" t="s">
        <v>7</v>
      </c>
      <c r="H12842" s="4" t="s">
        <v>7</v>
      </c>
      <c r="I12842" s="4" t="s">
        <v>7</v>
      </c>
      <c r="J12842" s="4" t="s">
        <v>15</v>
      </c>
      <c r="K12842" s="4" t="s">
        <v>55</v>
      </c>
      <c r="L12842" s="4" t="s">
        <v>7</v>
      </c>
      <c r="M12842" s="4" t="s">
        <v>7</v>
      </c>
    </row>
    <row r="12843" spans="1:8">
      <c r="A12843" t="n">
        <v>120448</v>
      </c>
      <c r="B12843" s="55" t="n">
        <v>26</v>
      </c>
      <c r="C12843" s="7" t="n">
        <v>0</v>
      </c>
      <c r="D12843" s="7" t="n">
        <v>17</v>
      </c>
      <c r="E12843" s="7" t="n">
        <v>64159</v>
      </c>
      <c r="F12843" s="7" t="s">
        <v>1040</v>
      </c>
      <c r="G12843" s="7" t="n">
        <v>2</v>
      </c>
      <c r="H12843" s="7" t="n">
        <v>3</v>
      </c>
      <c r="I12843" s="7" t="n">
        <v>17</v>
      </c>
      <c r="J12843" s="7" t="n">
        <v>64160</v>
      </c>
      <c r="K12843" s="7" t="s">
        <v>1041</v>
      </c>
      <c r="L12843" s="7" t="n">
        <v>2</v>
      </c>
      <c r="M12843" s="7" t="n">
        <v>0</v>
      </c>
    </row>
    <row r="12844" spans="1:8">
      <c r="A12844" t="s">
        <v>4</v>
      </c>
      <c r="B12844" s="4" t="s">
        <v>5</v>
      </c>
    </row>
    <row r="12845" spans="1:8">
      <c r="A12845" t="n">
        <v>120632</v>
      </c>
      <c r="B12845" s="27" t="n">
        <v>28</v>
      </c>
    </row>
    <row r="12846" spans="1:8">
      <c r="A12846" t="s">
        <v>4</v>
      </c>
      <c r="B12846" s="4" t="s">
        <v>5</v>
      </c>
      <c r="C12846" s="4" t="s">
        <v>7</v>
      </c>
      <c r="D12846" s="4" t="s">
        <v>11</v>
      </c>
      <c r="E12846" s="4" t="s">
        <v>8</v>
      </c>
    </row>
    <row r="12847" spans="1:8">
      <c r="A12847" t="n">
        <v>120633</v>
      </c>
      <c r="B12847" s="38" t="n">
        <v>51</v>
      </c>
      <c r="C12847" s="7" t="n">
        <v>4</v>
      </c>
      <c r="D12847" s="7" t="n">
        <v>4</v>
      </c>
      <c r="E12847" s="7" t="s">
        <v>773</v>
      </c>
    </row>
    <row r="12848" spans="1:8">
      <c r="A12848" t="s">
        <v>4</v>
      </c>
      <c r="B12848" s="4" t="s">
        <v>5</v>
      </c>
      <c r="C12848" s="4" t="s">
        <v>11</v>
      </c>
    </row>
    <row r="12849" spans="1:13">
      <c r="A12849" t="n">
        <v>120652</v>
      </c>
      <c r="B12849" s="29" t="n">
        <v>16</v>
      </c>
      <c r="C12849" s="7" t="n">
        <v>0</v>
      </c>
    </row>
    <row r="12850" spans="1:13">
      <c r="A12850" t="s">
        <v>4</v>
      </c>
      <c r="B12850" s="4" t="s">
        <v>5</v>
      </c>
      <c r="C12850" s="4" t="s">
        <v>11</v>
      </c>
      <c r="D12850" s="4" t="s">
        <v>7</v>
      </c>
      <c r="E12850" s="4" t="s">
        <v>15</v>
      </c>
      <c r="F12850" s="4" t="s">
        <v>55</v>
      </c>
      <c r="G12850" s="4" t="s">
        <v>7</v>
      </c>
      <c r="H12850" s="4" t="s">
        <v>7</v>
      </c>
    </row>
    <row r="12851" spans="1:13">
      <c r="A12851" t="n">
        <v>120655</v>
      </c>
      <c r="B12851" s="55" t="n">
        <v>26</v>
      </c>
      <c r="C12851" s="7" t="n">
        <v>4</v>
      </c>
      <c r="D12851" s="7" t="n">
        <v>17</v>
      </c>
      <c r="E12851" s="7" t="n">
        <v>7820</v>
      </c>
      <c r="F12851" s="7" t="s">
        <v>1042</v>
      </c>
      <c r="G12851" s="7" t="n">
        <v>2</v>
      </c>
      <c r="H12851" s="7" t="n">
        <v>0</v>
      </c>
    </row>
    <row r="12852" spans="1:13">
      <c r="A12852" t="s">
        <v>4</v>
      </c>
      <c r="B12852" s="4" t="s">
        <v>5</v>
      </c>
    </row>
    <row r="12853" spans="1:13">
      <c r="A12853" t="n">
        <v>120683</v>
      </c>
      <c r="B12853" s="27" t="n">
        <v>28</v>
      </c>
    </row>
    <row r="12854" spans="1:13">
      <c r="A12854" t="s">
        <v>4</v>
      </c>
      <c r="B12854" s="4" t="s">
        <v>5</v>
      </c>
      <c r="C12854" s="4" t="s">
        <v>7</v>
      </c>
      <c r="D12854" s="4" t="s">
        <v>11</v>
      </c>
      <c r="E12854" s="4" t="s">
        <v>8</v>
      </c>
    </row>
    <row r="12855" spans="1:13">
      <c r="A12855" t="n">
        <v>120684</v>
      </c>
      <c r="B12855" s="38" t="n">
        <v>51</v>
      </c>
      <c r="C12855" s="7" t="n">
        <v>4</v>
      </c>
      <c r="D12855" s="7" t="n">
        <v>0</v>
      </c>
      <c r="E12855" s="7" t="s">
        <v>179</v>
      </c>
    </row>
    <row r="12856" spans="1:13">
      <c r="A12856" t="s">
        <v>4</v>
      </c>
      <c r="B12856" s="4" t="s">
        <v>5</v>
      </c>
      <c r="C12856" s="4" t="s">
        <v>11</v>
      </c>
    </row>
    <row r="12857" spans="1:13">
      <c r="A12857" t="n">
        <v>120698</v>
      </c>
      <c r="B12857" s="29" t="n">
        <v>16</v>
      </c>
      <c r="C12857" s="7" t="n">
        <v>0</v>
      </c>
    </row>
    <row r="12858" spans="1:13">
      <c r="A12858" t="s">
        <v>4</v>
      </c>
      <c r="B12858" s="4" t="s">
        <v>5</v>
      </c>
      <c r="C12858" s="4" t="s">
        <v>11</v>
      </c>
      <c r="D12858" s="4" t="s">
        <v>7</v>
      </c>
      <c r="E12858" s="4" t="s">
        <v>15</v>
      </c>
      <c r="F12858" s="4" t="s">
        <v>55</v>
      </c>
      <c r="G12858" s="4" t="s">
        <v>7</v>
      </c>
      <c r="H12858" s="4" t="s">
        <v>7</v>
      </c>
      <c r="I12858" s="4" t="s">
        <v>7</v>
      </c>
      <c r="J12858" s="4" t="s">
        <v>15</v>
      </c>
      <c r="K12858" s="4" t="s">
        <v>55</v>
      </c>
      <c r="L12858" s="4" t="s">
        <v>7</v>
      </c>
      <c r="M12858" s="4" t="s">
        <v>7</v>
      </c>
      <c r="N12858" s="4" t="s">
        <v>7</v>
      </c>
      <c r="O12858" s="4" t="s">
        <v>15</v>
      </c>
      <c r="P12858" s="4" t="s">
        <v>55</v>
      </c>
      <c r="Q12858" s="4" t="s">
        <v>7</v>
      </c>
      <c r="R12858" s="4" t="s">
        <v>7</v>
      </c>
    </row>
    <row r="12859" spans="1:13">
      <c r="A12859" t="n">
        <v>120701</v>
      </c>
      <c r="B12859" s="55" t="n">
        <v>26</v>
      </c>
      <c r="C12859" s="7" t="n">
        <v>0</v>
      </c>
      <c r="D12859" s="7" t="n">
        <v>17</v>
      </c>
      <c r="E12859" s="7" t="n">
        <v>64161</v>
      </c>
      <c r="F12859" s="7" t="s">
        <v>1043</v>
      </c>
      <c r="G12859" s="7" t="n">
        <v>2</v>
      </c>
      <c r="H12859" s="7" t="n">
        <v>3</v>
      </c>
      <c r="I12859" s="7" t="n">
        <v>17</v>
      </c>
      <c r="J12859" s="7" t="n">
        <v>64162</v>
      </c>
      <c r="K12859" s="7" t="s">
        <v>1044</v>
      </c>
      <c r="L12859" s="7" t="n">
        <v>2</v>
      </c>
      <c r="M12859" s="7" t="n">
        <v>3</v>
      </c>
      <c r="N12859" s="7" t="n">
        <v>17</v>
      </c>
      <c r="O12859" s="7" t="n">
        <v>64163</v>
      </c>
      <c r="P12859" s="7" t="s">
        <v>1045</v>
      </c>
      <c r="Q12859" s="7" t="n">
        <v>2</v>
      </c>
      <c r="R12859" s="7" t="n">
        <v>0</v>
      </c>
    </row>
    <row r="12860" spans="1:13">
      <c r="A12860" t="s">
        <v>4</v>
      </c>
      <c r="B12860" s="4" t="s">
        <v>5</v>
      </c>
    </row>
    <row r="12861" spans="1:13">
      <c r="A12861" t="n">
        <v>121095</v>
      </c>
      <c r="B12861" s="27" t="n">
        <v>28</v>
      </c>
    </row>
    <row r="12862" spans="1:13">
      <c r="A12862" t="s">
        <v>4</v>
      </c>
      <c r="B12862" s="4" t="s">
        <v>5</v>
      </c>
      <c r="C12862" s="4" t="s">
        <v>7</v>
      </c>
      <c r="D12862" s="4" t="s">
        <v>11</v>
      </c>
      <c r="E12862" s="4" t="s">
        <v>8</v>
      </c>
    </row>
    <row r="12863" spans="1:13">
      <c r="A12863" t="n">
        <v>121096</v>
      </c>
      <c r="B12863" s="38" t="n">
        <v>51</v>
      </c>
      <c r="C12863" s="7" t="n">
        <v>4</v>
      </c>
      <c r="D12863" s="7" t="n">
        <v>4</v>
      </c>
      <c r="E12863" s="7" t="s">
        <v>1046</v>
      </c>
    </row>
    <row r="12864" spans="1:13">
      <c r="A12864" t="s">
        <v>4</v>
      </c>
      <c r="B12864" s="4" t="s">
        <v>5</v>
      </c>
      <c r="C12864" s="4" t="s">
        <v>11</v>
      </c>
    </row>
    <row r="12865" spans="1:18">
      <c r="A12865" t="n">
        <v>121110</v>
      </c>
      <c r="B12865" s="29" t="n">
        <v>16</v>
      </c>
      <c r="C12865" s="7" t="n">
        <v>0</v>
      </c>
    </row>
    <row r="12866" spans="1:18">
      <c r="A12866" t="s">
        <v>4</v>
      </c>
      <c r="B12866" s="4" t="s">
        <v>5</v>
      </c>
      <c r="C12866" s="4" t="s">
        <v>11</v>
      </c>
      <c r="D12866" s="4" t="s">
        <v>7</v>
      </c>
      <c r="E12866" s="4" t="s">
        <v>15</v>
      </c>
      <c r="F12866" s="4" t="s">
        <v>55</v>
      </c>
      <c r="G12866" s="4" t="s">
        <v>7</v>
      </c>
      <c r="H12866" s="4" t="s">
        <v>7</v>
      </c>
    </row>
    <row r="12867" spans="1:18">
      <c r="A12867" t="n">
        <v>121113</v>
      </c>
      <c r="B12867" s="55" t="n">
        <v>26</v>
      </c>
      <c r="C12867" s="7" t="n">
        <v>4</v>
      </c>
      <c r="D12867" s="7" t="n">
        <v>17</v>
      </c>
      <c r="E12867" s="7" t="n">
        <v>7821</v>
      </c>
      <c r="F12867" s="7" t="s">
        <v>1047</v>
      </c>
      <c r="G12867" s="7" t="n">
        <v>2</v>
      </c>
      <c r="H12867" s="7" t="n">
        <v>0</v>
      </c>
    </row>
    <row r="12868" spans="1:18">
      <c r="A12868" t="s">
        <v>4</v>
      </c>
      <c r="B12868" s="4" t="s">
        <v>5</v>
      </c>
    </row>
    <row r="12869" spans="1:18">
      <c r="A12869" t="n">
        <v>121158</v>
      </c>
      <c r="B12869" s="27" t="n">
        <v>28</v>
      </c>
    </row>
    <row r="12870" spans="1:18">
      <c r="A12870" t="s">
        <v>4</v>
      </c>
      <c r="B12870" s="4" t="s">
        <v>5</v>
      </c>
      <c r="C12870" s="4" t="s">
        <v>7</v>
      </c>
      <c r="D12870" s="4" t="s">
        <v>11</v>
      </c>
      <c r="E12870" s="4" t="s">
        <v>8</v>
      </c>
    </row>
    <row r="12871" spans="1:18">
      <c r="A12871" t="n">
        <v>121159</v>
      </c>
      <c r="B12871" s="38" t="n">
        <v>51</v>
      </c>
      <c r="C12871" s="7" t="n">
        <v>4</v>
      </c>
      <c r="D12871" s="7" t="n">
        <v>0</v>
      </c>
      <c r="E12871" s="7" t="s">
        <v>179</v>
      </c>
    </row>
    <row r="12872" spans="1:18">
      <c r="A12872" t="s">
        <v>4</v>
      </c>
      <c r="B12872" s="4" t="s">
        <v>5</v>
      </c>
      <c r="C12872" s="4" t="s">
        <v>11</v>
      </c>
    </row>
    <row r="12873" spans="1:18">
      <c r="A12873" t="n">
        <v>121173</v>
      </c>
      <c r="B12873" s="29" t="n">
        <v>16</v>
      </c>
      <c r="C12873" s="7" t="n">
        <v>0</v>
      </c>
    </row>
    <row r="12874" spans="1:18">
      <c r="A12874" t="s">
        <v>4</v>
      </c>
      <c r="B12874" s="4" t="s">
        <v>5</v>
      </c>
      <c r="C12874" s="4" t="s">
        <v>11</v>
      </c>
      <c r="D12874" s="4" t="s">
        <v>7</v>
      </c>
      <c r="E12874" s="4" t="s">
        <v>15</v>
      </c>
      <c r="F12874" s="4" t="s">
        <v>55</v>
      </c>
      <c r="G12874" s="4" t="s">
        <v>7</v>
      </c>
      <c r="H12874" s="4" t="s">
        <v>7</v>
      </c>
      <c r="I12874" s="4" t="s">
        <v>7</v>
      </c>
      <c r="J12874" s="4" t="s">
        <v>15</v>
      </c>
      <c r="K12874" s="4" t="s">
        <v>55</v>
      </c>
      <c r="L12874" s="4" t="s">
        <v>7</v>
      </c>
      <c r="M12874" s="4" t="s">
        <v>7</v>
      </c>
      <c r="N12874" s="4" t="s">
        <v>7</v>
      </c>
      <c r="O12874" s="4" t="s">
        <v>15</v>
      </c>
      <c r="P12874" s="4" t="s">
        <v>55</v>
      </c>
      <c r="Q12874" s="4" t="s">
        <v>7</v>
      </c>
      <c r="R12874" s="4" t="s">
        <v>7</v>
      </c>
    </row>
    <row r="12875" spans="1:18">
      <c r="A12875" t="n">
        <v>121176</v>
      </c>
      <c r="B12875" s="55" t="n">
        <v>26</v>
      </c>
      <c r="C12875" s="7" t="n">
        <v>0</v>
      </c>
      <c r="D12875" s="7" t="n">
        <v>17</v>
      </c>
      <c r="E12875" s="7" t="n">
        <v>64164</v>
      </c>
      <c r="F12875" s="7" t="s">
        <v>1048</v>
      </c>
      <c r="G12875" s="7" t="n">
        <v>2</v>
      </c>
      <c r="H12875" s="7" t="n">
        <v>3</v>
      </c>
      <c r="I12875" s="7" t="n">
        <v>17</v>
      </c>
      <c r="J12875" s="7" t="n">
        <v>64165</v>
      </c>
      <c r="K12875" s="7" t="s">
        <v>1049</v>
      </c>
      <c r="L12875" s="7" t="n">
        <v>2</v>
      </c>
      <c r="M12875" s="7" t="n">
        <v>3</v>
      </c>
      <c r="N12875" s="7" t="n">
        <v>17</v>
      </c>
      <c r="O12875" s="7" t="n">
        <v>64166</v>
      </c>
      <c r="P12875" s="7" t="s">
        <v>1050</v>
      </c>
      <c r="Q12875" s="7" t="n">
        <v>2</v>
      </c>
      <c r="R12875" s="7" t="n">
        <v>0</v>
      </c>
    </row>
    <row r="12876" spans="1:18">
      <c r="A12876" t="s">
        <v>4</v>
      </c>
      <c r="B12876" s="4" t="s">
        <v>5</v>
      </c>
    </row>
    <row r="12877" spans="1:18">
      <c r="A12877" t="n">
        <v>121578</v>
      </c>
      <c r="B12877" s="27" t="n">
        <v>28</v>
      </c>
    </row>
    <row r="12878" spans="1:18">
      <c r="A12878" t="s">
        <v>4</v>
      </c>
      <c r="B12878" s="4" t="s">
        <v>5</v>
      </c>
      <c r="C12878" s="4" t="s">
        <v>7</v>
      </c>
      <c r="D12878" s="4" t="s">
        <v>11</v>
      </c>
      <c r="E12878" s="4" t="s">
        <v>8</v>
      </c>
    </row>
    <row r="12879" spans="1:18">
      <c r="A12879" t="n">
        <v>121579</v>
      </c>
      <c r="B12879" s="38" t="n">
        <v>51</v>
      </c>
      <c r="C12879" s="7" t="n">
        <v>4</v>
      </c>
      <c r="D12879" s="7" t="n">
        <v>4</v>
      </c>
      <c r="E12879" s="7" t="s">
        <v>757</v>
      </c>
    </row>
    <row r="12880" spans="1:18">
      <c r="A12880" t="s">
        <v>4</v>
      </c>
      <c r="B12880" s="4" t="s">
        <v>5</v>
      </c>
      <c r="C12880" s="4" t="s">
        <v>11</v>
      </c>
    </row>
    <row r="12881" spans="1:18">
      <c r="A12881" t="n">
        <v>121598</v>
      </c>
      <c r="B12881" s="29" t="n">
        <v>16</v>
      </c>
      <c r="C12881" s="7" t="n">
        <v>0</v>
      </c>
    </row>
    <row r="12882" spans="1:18">
      <c r="A12882" t="s">
        <v>4</v>
      </c>
      <c r="B12882" s="4" t="s">
        <v>5</v>
      </c>
      <c r="C12882" s="4" t="s">
        <v>11</v>
      </c>
      <c r="D12882" s="4" t="s">
        <v>7</v>
      </c>
      <c r="E12882" s="4" t="s">
        <v>15</v>
      </c>
      <c r="F12882" s="4" t="s">
        <v>55</v>
      </c>
      <c r="G12882" s="4" t="s">
        <v>7</v>
      </c>
      <c r="H12882" s="4" t="s">
        <v>7</v>
      </c>
      <c r="I12882" s="4" t="s">
        <v>7</v>
      </c>
      <c r="J12882" s="4" t="s">
        <v>15</v>
      </c>
      <c r="K12882" s="4" t="s">
        <v>55</v>
      </c>
      <c r="L12882" s="4" t="s">
        <v>7</v>
      </c>
      <c r="M12882" s="4" t="s">
        <v>7</v>
      </c>
    </row>
    <row r="12883" spans="1:18">
      <c r="A12883" t="n">
        <v>121601</v>
      </c>
      <c r="B12883" s="55" t="n">
        <v>26</v>
      </c>
      <c r="C12883" s="7" t="n">
        <v>4</v>
      </c>
      <c r="D12883" s="7" t="n">
        <v>17</v>
      </c>
      <c r="E12883" s="7" t="n">
        <v>7822</v>
      </c>
      <c r="F12883" s="7" t="s">
        <v>1051</v>
      </c>
      <c r="G12883" s="7" t="n">
        <v>2</v>
      </c>
      <c r="H12883" s="7" t="n">
        <v>3</v>
      </c>
      <c r="I12883" s="7" t="n">
        <v>17</v>
      </c>
      <c r="J12883" s="7" t="n">
        <v>7823</v>
      </c>
      <c r="K12883" s="7" t="s">
        <v>1052</v>
      </c>
      <c r="L12883" s="7" t="n">
        <v>2</v>
      </c>
      <c r="M12883" s="7" t="n">
        <v>0</v>
      </c>
    </row>
    <row r="12884" spans="1:18">
      <c r="A12884" t="s">
        <v>4</v>
      </c>
      <c r="B12884" s="4" t="s">
        <v>5</v>
      </c>
    </row>
    <row r="12885" spans="1:18">
      <c r="A12885" t="n">
        <v>121779</v>
      </c>
      <c r="B12885" s="27" t="n">
        <v>28</v>
      </c>
    </row>
    <row r="12886" spans="1:18">
      <c r="A12886" t="s">
        <v>4</v>
      </c>
      <c r="B12886" s="4" t="s">
        <v>5</v>
      </c>
      <c r="C12886" s="4" t="s">
        <v>11</v>
      </c>
      <c r="D12886" s="4" t="s">
        <v>7</v>
      </c>
    </row>
    <row r="12887" spans="1:18">
      <c r="A12887" t="n">
        <v>121780</v>
      </c>
      <c r="B12887" s="68" t="n">
        <v>89</v>
      </c>
      <c r="C12887" s="7" t="n">
        <v>65533</v>
      </c>
      <c r="D12887" s="7" t="n">
        <v>1</v>
      </c>
    </row>
    <row r="12888" spans="1:18">
      <c r="A12888" t="s">
        <v>4</v>
      </c>
      <c r="B12888" s="4" t="s">
        <v>5</v>
      </c>
      <c r="C12888" s="4" t="s">
        <v>7</v>
      </c>
      <c r="D12888" s="4" t="s">
        <v>11</v>
      </c>
      <c r="E12888" s="4" t="s">
        <v>13</v>
      </c>
    </row>
    <row r="12889" spans="1:18">
      <c r="A12889" t="n">
        <v>121784</v>
      </c>
      <c r="B12889" s="23" t="n">
        <v>58</v>
      </c>
      <c r="C12889" s="7" t="n">
        <v>101</v>
      </c>
      <c r="D12889" s="7" t="n">
        <v>500</v>
      </c>
      <c r="E12889" s="7" t="n">
        <v>1</v>
      </c>
    </row>
    <row r="12890" spans="1:18">
      <c r="A12890" t="s">
        <v>4</v>
      </c>
      <c r="B12890" s="4" t="s">
        <v>5</v>
      </c>
      <c r="C12890" s="4" t="s">
        <v>7</v>
      </c>
      <c r="D12890" s="4" t="s">
        <v>11</v>
      </c>
    </row>
    <row r="12891" spans="1:18">
      <c r="A12891" t="n">
        <v>121792</v>
      </c>
      <c r="B12891" s="23" t="n">
        <v>58</v>
      </c>
      <c r="C12891" s="7" t="n">
        <v>254</v>
      </c>
      <c r="D12891" s="7" t="n">
        <v>0</v>
      </c>
    </row>
    <row r="12892" spans="1:18">
      <c r="A12892" t="s">
        <v>4</v>
      </c>
      <c r="B12892" s="4" t="s">
        <v>5</v>
      </c>
      <c r="C12892" s="4" t="s">
        <v>7</v>
      </c>
      <c r="D12892" s="4" t="s">
        <v>7</v>
      </c>
      <c r="E12892" s="4" t="s">
        <v>13</v>
      </c>
      <c r="F12892" s="4" t="s">
        <v>13</v>
      </c>
      <c r="G12892" s="4" t="s">
        <v>13</v>
      </c>
      <c r="H12892" s="4" t="s">
        <v>11</v>
      </c>
    </row>
    <row r="12893" spans="1:18">
      <c r="A12893" t="n">
        <v>121796</v>
      </c>
      <c r="B12893" s="51" t="n">
        <v>45</v>
      </c>
      <c r="C12893" s="7" t="n">
        <v>2</v>
      </c>
      <c r="D12893" s="7" t="n">
        <v>3</v>
      </c>
      <c r="E12893" s="7" t="n">
        <v>-6.6100001335144</v>
      </c>
      <c r="F12893" s="7" t="n">
        <v>6.44000005722046</v>
      </c>
      <c r="G12893" s="7" t="n">
        <v>29.9300003051758</v>
      </c>
      <c r="H12893" s="7" t="n">
        <v>0</v>
      </c>
    </row>
    <row r="12894" spans="1:18">
      <c r="A12894" t="s">
        <v>4</v>
      </c>
      <c r="B12894" s="4" t="s">
        <v>5</v>
      </c>
      <c r="C12894" s="4" t="s">
        <v>7</v>
      </c>
      <c r="D12894" s="4" t="s">
        <v>7</v>
      </c>
      <c r="E12894" s="4" t="s">
        <v>13</v>
      </c>
      <c r="F12894" s="4" t="s">
        <v>13</v>
      </c>
      <c r="G12894" s="4" t="s">
        <v>13</v>
      </c>
      <c r="H12894" s="4" t="s">
        <v>11</v>
      </c>
      <c r="I12894" s="4" t="s">
        <v>7</v>
      </c>
    </row>
    <row r="12895" spans="1:18">
      <c r="A12895" t="n">
        <v>121813</v>
      </c>
      <c r="B12895" s="51" t="n">
        <v>45</v>
      </c>
      <c r="C12895" s="7" t="n">
        <v>4</v>
      </c>
      <c r="D12895" s="7" t="n">
        <v>3</v>
      </c>
      <c r="E12895" s="7" t="n">
        <v>357</v>
      </c>
      <c r="F12895" s="7" t="n">
        <v>284.700012207031</v>
      </c>
      <c r="G12895" s="7" t="n">
        <v>4</v>
      </c>
      <c r="H12895" s="7" t="n">
        <v>0</v>
      </c>
      <c r="I12895" s="7" t="n">
        <v>0</v>
      </c>
    </row>
    <row r="12896" spans="1:18">
      <c r="A12896" t="s">
        <v>4</v>
      </c>
      <c r="B12896" s="4" t="s">
        <v>5</v>
      </c>
      <c r="C12896" s="4" t="s">
        <v>7</v>
      </c>
      <c r="D12896" s="4" t="s">
        <v>7</v>
      </c>
      <c r="E12896" s="4" t="s">
        <v>13</v>
      </c>
      <c r="F12896" s="4" t="s">
        <v>11</v>
      </c>
    </row>
    <row r="12897" spans="1:13">
      <c r="A12897" t="n">
        <v>121831</v>
      </c>
      <c r="B12897" s="51" t="n">
        <v>45</v>
      </c>
      <c r="C12897" s="7" t="n">
        <v>5</v>
      </c>
      <c r="D12897" s="7" t="n">
        <v>3</v>
      </c>
      <c r="E12897" s="7" t="n">
        <v>1</v>
      </c>
      <c r="F12897" s="7" t="n">
        <v>0</v>
      </c>
    </row>
    <row r="12898" spans="1:13">
      <c r="A12898" t="s">
        <v>4</v>
      </c>
      <c r="B12898" s="4" t="s">
        <v>5</v>
      </c>
      <c r="C12898" s="4" t="s">
        <v>7</v>
      </c>
      <c r="D12898" s="4" t="s">
        <v>7</v>
      </c>
      <c r="E12898" s="4" t="s">
        <v>13</v>
      </c>
      <c r="F12898" s="4" t="s">
        <v>11</v>
      </c>
    </row>
    <row r="12899" spans="1:13">
      <c r="A12899" t="n">
        <v>121840</v>
      </c>
      <c r="B12899" s="51" t="n">
        <v>45</v>
      </c>
      <c r="C12899" s="7" t="n">
        <v>11</v>
      </c>
      <c r="D12899" s="7" t="n">
        <v>3</v>
      </c>
      <c r="E12899" s="7" t="n">
        <v>40.2999992370605</v>
      </c>
      <c r="F12899" s="7" t="n">
        <v>0</v>
      </c>
    </row>
    <row r="12900" spans="1:13">
      <c r="A12900" t="s">
        <v>4</v>
      </c>
      <c r="B12900" s="4" t="s">
        <v>5</v>
      </c>
      <c r="C12900" s="4" t="s">
        <v>7</v>
      </c>
      <c r="D12900" s="4" t="s">
        <v>11</v>
      </c>
      <c r="E12900" s="4" t="s">
        <v>8</v>
      </c>
      <c r="F12900" s="4" t="s">
        <v>8</v>
      </c>
      <c r="G12900" s="4" t="s">
        <v>8</v>
      </c>
      <c r="H12900" s="4" t="s">
        <v>8</v>
      </c>
    </row>
    <row r="12901" spans="1:13">
      <c r="A12901" t="n">
        <v>121849</v>
      </c>
      <c r="B12901" s="38" t="n">
        <v>51</v>
      </c>
      <c r="C12901" s="7" t="n">
        <v>3</v>
      </c>
      <c r="D12901" s="7" t="n">
        <v>0</v>
      </c>
      <c r="E12901" s="7" t="s">
        <v>155</v>
      </c>
      <c r="F12901" s="7" t="s">
        <v>99</v>
      </c>
      <c r="G12901" s="7" t="s">
        <v>78</v>
      </c>
      <c r="H12901" s="7" t="s">
        <v>79</v>
      </c>
    </row>
    <row r="12902" spans="1:13">
      <c r="A12902" t="s">
        <v>4</v>
      </c>
      <c r="B12902" s="4" t="s">
        <v>5</v>
      </c>
      <c r="C12902" s="4" t="s">
        <v>7</v>
      </c>
      <c r="D12902" s="4" t="s">
        <v>11</v>
      </c>
    </row>
    <row r="12903" spans="1:13">
      <c r="A12903" t="n">
        <v>121862</v>
      </c>
      <c r="B12903" s="23" t="n">
        <v>58</v>
      </c>
      <c r="C12903" s="7" t="n">
        <v>255</v>
      </c>
      <c r="D12903" s="7" t="n">
        <v>0</v>
      </c>
    </row>
    <row r="12904" spans="1:13">
      <c r="A12904" t="s">
        <v>4</v>
      </c>
      <c r="B12904" s="4" t="s">
        <v>5</v>
      </c>
      <c r="C12904" s="4" t="s">
        <v>7</v>
      </c>
      <c r="D12904" s="4" t="s">
        <v>11</v>
      </c>
      <c r="E12904" s="4" t="s">
        <v>8</v>
      </c>
    </row>
    <row r="12905" spans="1:13">
      <c r="A12905" t="n">
        <v>121866</v>
      </c>
      <c r="B12905" s="38" t="n">
        <v>51</v>
      </c>
      <c r="C12905" s="7" t="n">
        <v>4</v>
      </c>
      <c r="D12905" s="7" t="n">
        <v>0</v>
      </c>
      <c r="E12905" s="7" t="s">
        <v>238</v>
      </c>
    </row>
    <row r="12906" spans="1:13">
      <c r="A12906" t="s">
        <v>4</v>
      </c>
      <c r="B12906" s="4" t="s">
        <v>5</v>
      </c>
      <c r="C12906" s="4" t="s">
        <v>11</v>
      </c>
    </row>
    <row r="12907" spans="1:13">
      <c r="A12907" t="n">
        <v>121880</v>
      </c>
      <c r="B12907" s="29" t="n">
        <v>16</v>
      </c>
      <c r="C12907" s="7" t="n">
        <v>0</v>
      </c>
    </row>
    <row r="12908" spans="1:13">
      <c r="A12908" t="s">
        <v>4</v>
      </c>
      <c r="B12908" s="4" t="s">
        <v>5</v>
      </c>
      <c r="C12908" s="4" t="s">
        <v>11</v>
      </c>
      <c r="D12908" s="4" t="s">
        <v>7</v>
      </c>
      <c r="E12908" s="4" t="s">
        <v>15</v>
      </c>
      <c r="F12908" s="4" t="s">
        <v>55</v>
      </c>
      <c r="G12908" s="4" t="s">
        <v>7</v>
      </c>
      <c r="H12908" s="4" t="s">
        <v>7</v>
      </c>
      <c r="I12908" s="4" t="s">
        <v>7</v>
      </c>
      <c r="J12908" s="4" t="s">
        <v>15</v>
      </c>
      <c r="K12908" s="4" t="s">
        <v>55</v>
      </c>
      <c r="L12908" s="4" t="s">
        <v>7</v>
      </c>
      <c r="M12908" s="4" t="s">
        <v>7</v>
      </c>
      <c r="N12908" s="4" t="s">
        <v>7</v>
      </c>
      <c r="O12908" s="4" t="s">
        <v>15</v>
      </c>
      <c r="P12908" s="4" t="s">
        <v>55</v>
      </c>
      <c r="Q12908" s="4" t="s">
        <v>7</v>
      </c>
      <c r="R12908" s="4" t="s">
        <v>7</v>
      </c>
      <c r="S12908" s="4" t="s">
        <v>7</v>
      </c>
      <c r="T12908" s="4" t="s">
        <v>15</v>
      </c>
      <c r="U12908" s="4" t="s">
        <v>55</v>
      </c>
      <c r="V12908" s="4" t="s">
        <v>7</v>
      </c>
      <c r="W12908" s="4" t="s">
        <v>7</v>
      </c>
    </row>
    <row r="12909" spans="1:13">
      <c r="A12909" t="n">
        <v>121883</v>
      </c>
      <c r="B12909" s="55" t="n">
        <v>26</v>
      </c>
      <c r="C12909" s="7" t="n">
        <v>0</v>
      </c>
      <c r="D12909" s="7" t="n">
        <v>17</v>
      </c>
      <c r="E12909" s="7" t="n">
        <v>64167</v>
      </c>
      <c r="F12909" s="7" t="s">
        <v>1053</v>
      </c>
      <c r="G12909" s="7" t="n">
        <v>2</v>
      </c>
      <c r="H12909" s="7" t="n">
        <v>3</v>
      </c>
      <c r="I12909" s="7" t="n">
        <v>17</v>
      </c>
      <c r="J12909" s="7" t="n">
        <v>64168</v>
      </c>
      <c r="K12909" s="7" t="s">
        <v>1054</v>
      </c>
      <c r="L12909" s="7" t="n">
        <v>2</v>
      </c>
      <c r="M12909" s="7" t="n">
        <v>3</v>
      </c>
      <c r="N12909" s="7" t="n">
        <v>17</v>
      </c>
      <c r="O12909" s="7" t="n">
        <v>64169</v>
      </c>
      <c r="P12909" s="7" t="s">
        <v>1055</v>
      </c>
      <c r="Q12909" s="7" t="n">
        <v>2</v>
      </c>
      <c r="R12909" s="7" t="n">
        <v>3</v>
      </c>
      <c r="S12909" s="7" t="n">
        <v>17</v>
      </c>
      <c r="T12909" s="7" t="n">
        <v>64170</v>
      </c>
      <c r="U12909" s="7" t="s">
        <v>1056</v>
      </c>
      <c r="V12909" s="7" t="n">
        <v>2</v>
      </c>
      <c r="W12909" s="7" t="n">
        <v>0</v>
      </c>
    </row>
    <row r="12910" spans="1:13">
      <c r="A12910" t="s">
        <v>4</v>
      </c>
      <c r="B12910" s="4" t="s">
        <v>5</v>
      </c>
    </row>
    <row r="12911" spans="1:13">
      <c r="A12911" t="n">
        <v>122401</v>
      </c>
      <c r="B12911" s="27" t="n">
        <v>28</v>
      </c>
    </row>
    <row r="12912" spans="1:13">
      <c r="A12912" t="s">
        <v>4</v>
      </c>
      <c r="B12912" s="4" t="s">
        <v>5</v>
      </c>
      <c r="C12912" s="4" t="s">
        <v>11</v>
      </c>
      <c r="D12912" s="4" t="s">
        <v>7</v>
      </c>
    </row>
    <row r="12913" spans="1:23">
      <c r="A12913" t="n">
        <v>122402</v>
      </c>
      <c r="B12913" s="68" t="n">
        <v>89</v>
      </c>
      <c r="C12913" s="7" t="n">
        <v>65533</v>
      </c>
      <c r="D12913" s="7" t="n">
        <v>1</v>
      </c>
    </row>
    <row r="12914" spans="1:23">
      <c r="A12914" t="s">
        <v>4</v>
      </c>
      <c r="B12914" s="4" t="s">
        <v>5</v>
      </c>
      <c r="C12914" s="4" t="s">
        <v>7</v>
      </c>
      <c r="D12914" s="4" t="s">
        <v>11</v>
      </c>
      <c r="E12914" s="4" t="s">
        <v>13</v>
      </c>
    </row>
    <row r="12915" spans="1:23">
      <c r="A12915" t="n">
        <v>122406</v>
      </c>
      <c r="B12915" s="23" t="n">
        <v>58</v>
      </c>
      <c r="C12915" s="7" t="n">
        <v>101</v>
      </c>
      <c r="D12915" s="7" t="n">
        <v>500</v>
      </c>
      <c r="E12915" s="7" t="n">
        <v>1</v>
      </c>
    </row>
    <row r="12916" spans="1:23">
      <c r="A12916" t="s">
        <v>4</v>
      </c>
      <c r="B12916" s="4" t="s">
        <v>5</v>
      </c>
      <c r="C12916" s="4" t="s">
        <v>7</v>
      </c>
      <c r="D12916" s="4" t="s">
        <v>11</v>
      </c>
    </row>
    <row r="12917" spans="1:23">
      <c r="A12917" t="n">
        <v>122414</v>
      </c>
      <c r="B12917" s="23" t="n">
        <v>58</v>
      </c>
      <c r="C12917" s="7" t="n">
        <v>254</v>
      </c>
      <c r="D12917" s="7" t="n">
        <v>0</v>
      </c>
    </row>
    <row r="12918" spans="1:23">
      <c r="A12918" t="s">
        <v>4</v>
      </c>
      <c r="B12918" s="4" t="s">
        <v>5</v>
      </c>
      <c r="C12918" s="4" t="s">
        <v>7</v>
      </c>
      <c r="D12918" s="4" t="s">
        <v>7</v>
      </c>
      <c r="E12918" s="4" t="s">
        <v>13</v>
      </c>
      <c r="F12918" s="4" t="s">
        <v>13</v>
      </c>
      <c r="G12918" s="4" t="s">
        <v>13</v>
      </c>
      <c r="H12918" s="4" t="s">
        <v>11</v>
      </c>
    </row>
    <row r="12919" spans="1:23">
      <c r="A12919" t="n">
        <v>122418</v>
      </c>
      <c r="B12919" s="51" t="n">
        <v>45</v>
      </c>
      <c r="C12919" s="7" t="n">
        <v>2</v>
      </c>
      <c r="D12919" s="7" t="n">
        <v>3</v>
      </c>
      <c r="E12919" s="7" t="n">
        <v>-7.36999988555908</v>
      </c>
      <c r="F12919" s="7" t="n">
        <v>6.51999998092651</v>
      </c>
      <c r="G12919" s="7" t="n">
        <v>29.8299999237061</v>
      </c>
      <c r="H12919" s="7" t="n">
        <v>0</v>
      </c>
    </row>
    <row r="12920" spans="1:23">
      <c r="A12920" t="s">
        <v>4</v>
      </c>
      <c r="B12920" s="4" t="s">
        <v>5</v>
      </c>
      <c r="C12920" s="4" t="s">
        <v>7</v>
      </c>
      <c r="D12920" s="4" t="s">
        <v>7</v>
      </c>
      <c r="E12920" s="4" t="s">
        <v>13</v>
      </c>
      <c r="F12920" s="4" t="s">
        <v>13</v>
      </c>
      <c r="G12920" s="4" t="s">
        <v>13</v>
      </c>
      <c r="H12920" s="4" t="s">
        <v>11</v>
      </c>
      <c r="I12920" s="4" t="s">
        <v>7</v>
      </c>
    </row>
    <row r="12921" spans="1:23">
      <c r="A12921" t="n">
        <v>122435</v>
      </c>
      <c r="B12921" s="51" t="n">
        <v>45</v>
      </c>
      <c r="C12921" s="7" t="n">
        <v>4</v>
      </c>
      <c r="D12921" s="7" t="n">
        <v>3</v>
      </c>
      <c r="E12921" s="7" t="n">
        <v>8.11999988555908</v>
      </c>
      <c r="F12921" s="7" t="n">
        <v>60.310001373291</v>
      </c>
      <c r="G12921" s="7" t="n">
        <v>354</v>
      </c>
      <c r="H12921" s="7" t="n">
        <v>0</v>
      </c>
      <c r="I12921" s="7" t="n">
        <v>0</v>
      </c>
    </row>
    <row r="12922" spans="1:23">
      <c r="A12922" t="s">
        <v>4</v>
      </c>
      <c r="B12922" s="4" t="s">
        <v>5</v>
      </c>
      <c r="C12922" s="4" t="s">
        <v>7</v>
      </c>
      <c r="D12922" s="4" t="s">
        <v>7</v>
      </c>
      <c r="E12922" s="4" t="s">
        <v>13</v>
      </c>
      <c r="F12922" s="4" t="s">
        <v>11</v>
      </c>
    </row>
    <row r="12923" spans="1:23">
      <c r="A12923" t="n">
        <v>122453</v>
      </c>
      <c r="B12923" s="51" t="n">
        <v>45</v>
      </c>
      <c r="C12923" s="7" t="n">
        <v>5</v>
      </c>
      <c r="D12923" s="7" t="n">
        <v>3</v>
      </c>
      <c r="E12923" s="7" t="n">
        <v>0.800000011920929</v>
      </c>
      <c r="F12923" s="7" t="n">
        <v>0</v>
      </c>
    </row>
    <row r="12924" spans="1:23">
      <c r="A12924" t="s">
        <v>4</v>
      </c>
      <c r="B12924" s="4" t="s">
        <v>5</v>
      </c>
      <c r="C12924" s="4" t="s">
        <v>7</v>
      </c>
      <c r="D12924" s="4" t="s">
        <v>7</v>
      </c>
      <c r="E12924" s="4" t="s">
        <v>13</v>
      </c>
      <c r="F12924" s="4" t="s">
        <v>11</v>
      </c>
    </row>
    <row r="12925" spans="1:23">
      <c r="A12925" t="n">
        <v>122462</v>
      </c>
      <c r="B12925" s="51" t="n">
        <v>45</v>
      </c>
      <c r="C12925" s="7" t="n">
        <v>11</v>
      </c>
      <c r="D12925" s="7" t="n">
        <v>3</v>
      </c>
      <c r="E12925" s="7" t="n">
        <v>40.2999992370605</v>
      </c>
      <c r="F12925" s="7" t="n">
        <v>0</v>
      </c>
    </row>
    <row r="12926" spans="1:23">
      <c r="A12926" t="s">
        <v>4</v>
      </c>
      <c r="B12926" s="4" t="s">
        <v>5</v>
      </c>
      <c r="C12926" s="4" t="s">
        <v>7</v>
      </c>
      <c r="D12926" s="4" t="s">
        <v>11</v>
      </c>
      <c r="E12926" s="4" t="s">
        <v>8</v>
      </c>
      <c r="F12926" s="4" t="s">
        <v>8</v>
      </c>
      <c r="G12926" s="4" t="s">
        <v>8</v>
      </c>
      <c r="H12926" s="4" t="s">
        <v>8</v>
      </c>
    </row>
    <row r="12927" spans="1:23">
      <c r="A12927" t="n">
        <v>122471</v>
      </c>
      <c r="B12927" s="38" t="n">
        <v>51</v>
      </c>
      <c r="C12927" s="7" t="n">
        <v>3</v>
      </c>
      <c r="D12927" s="7" t="n">
        <v>4</v>
      </c>
      <c r="E12927" s="7" t="s">
        <v>154</v>
      </c>
      <c r="F12927" s="7" t="s">
        <v>79</v>
      </c>
      <c r="G12927" s="7" t="s">
        <v>78</v>
      </c>
      <c r="H12927" s="7" t="s">
        <v>79</v>
      </c>
    </row>
    <row r="12928" spans="1:23">
      <c r="A12928" t="s">
        <v>4</v>
      </c>
      <c r="B12928" s="4" t="s">
        <v>5</v>
      </c>
      <c r="C12928" s="4" t="s">
        <v>7</v>
      </c>
      <c r="D12928" s="4" t="s">
        <v>11</v>
      </c>
    </row>
    <row r="12929" spans="1:9">
      <c r="A12929" t="n">
        <v>122484</v>
      </c>
      <c r="B12929" s="23" t="n">
        <v>58</v>
      </c>
      <c r="C12929" s="7" t="n">
        <v>255</v>
      </c>
      <c r="D12929" s="7" t="n">
        <v>0</v>
      </c>
    </row>
    <row r="12930" spans="1:9">
      <c r="A12930" t="s">
        <v>4</v>
      </c>
      <c r="B12930" s="4" t="s">
        <v>5</v>
      </c>
      <c r="C12930" s="4" t="s">
        <v>7</v>
      </c>
      <c r="D12930" s="4" t="s">
        <v>11</v>
      </c>
      <c r="E12930" s="4" t="s">
        <v>8</v>
      </c>
    </row>
    <row r="12931" spans="1:9">
      <c r="A12931" t="n">
        <v>122488</v>
      </c>
      <c r="B12931" s="38" t="n">
        <v>51</v>
      </c>
      <c r="C12931" s="7" t="n">
        <v>4</v>
      </c>
      <c r="D12931" s="7" t="n">
        <v>4</v>
      </c>
      <c r="E12931" s="7" t="s">
        <v>147</v>
      </c>
    </row>
    <row r="12932" spans="1:9">
      <c r="A12932" t="s">
        <v>4</v>
      </c>
      <c r="B12932" s="4" t="s">
        <v>5</v>
      </c>
      <c r="C12932" s="4" t="s">
        <v>11</v>
      </c>
    </row>
    <row r="12933" spans="1:9">
      <c r="A12933" t="n">
        <v>122502</v>
      </c>
      <c r="B12933" s="29" t="n">
        <v>16</v>
      </c>
      <c r="C12933" s="7" t="n">
        <v>0</v>
      </c>
    </row>
    <row r="12934" spans="1:9">
      <c r="A12934" t="s">
        <v>4</v>
      </c>
      <c r="B12934" s="4" t="s">
        <v>5</v>
      </c>
      <c r="C12934" s="4" t="s">
        <v>11</v>
      </c>
      <c r="D12934" s="4" t="s">
        <v>7</v>
      </c>
      <c r="E12934" s="4" t="s">
        <v>15</v>
      </c>
      <c r="F12934" s="4" t="s">
        <v>55</v>
      </c>
      <c r="G12934" s="4" t="s">
        <v>7</v>
      </c>
      <c r="H12934" s="4" t="s">
        <v>7</v>
      </c>
      <c r="I12934" s="4" t="s">
        <v>7</v>
      </c>
      <c r="J12934" s="4" t="s">
        <v>15</v>
      </c>
      <c r="K12934" s="4" t="s">
        <v>55</v>
      </c>
      <c r="L12934" s="4" t="s">
        <v>7</v>
      </c>
      <c r="M12934" s="4" t="s">
        <v>7</v>
      </c>
    </row>
    <row r="12935" spans="1:9">
      <c r="A12935" t="n">
        <v>122505</v>
      </c>
      <c r="B12935" s="55" t="n">
        <v>26</v>
      </c>
      <c r="C12935" s="7" t="n">
        <v>4</v>
      </c>
      <c r="D12935" s="7" t="n">
        <v>17</v>
      </c>
      <c r="E12935" s="7" t="n">
        <v>7824</v>
      </c>
      <c r="F12935" s="7" t="s">
        <v>1057</v>
      </c>
      <c r="G12935" s="7" t="n">
        <v>2</v>
      </c>
      <c r="H12935" s="7" t="n">
        <v>3</v>
      </c>
      <c r="I12935" s="7" t="n">
        <v>17</v>
      </c>
      <c r="J12935" s="7" t="n">
        <v>7825</v>
      </c>
      <c r="K12935" s="7" t="s">
        <v>1058</v>
      </c>
      <c r="L12935" s="7" t="n">
        <v>2</v>
      </c>
      <c r="M12935" s="7" t="n">
        <v>0</v>
      </c>
    </row>
    <row r="12936" spans="1:9">
      <c r="A12936" t="s">
        <v>4</v>
      </c>
      <c r="B12936" s="4" t="s">
        <v>5</v>
      </c>
    </row>
    <row r="12937" spans="1:9">
      <c r="A12937" t="n">
        <v>122594</v>
      </c>
      <c r="B12937" s="27" t="n">
        <v>28</v>
      </c>
    </row>
    <row r="12938" spans="1:9">
      <c r="A12938" t="s">
        <v>4</v>
      </c>
      <c r="B12938" s="4" t="s">
        <v>5</v>
      </c>
      <c r="C12938" s="4" t="s">
        <v>11</v>
      </c>
      <c r="D12938" s="4" t="s">
        <v>7</v>
      </c>
    </row>
    <row r="12939" spans="1:9">
      <c r="A12939" t="n">
        <v>122595</v>
      </c>
      <c r="B12939" s="68" t="n">
        <v>89</v>
      </c>
      <c r="C12939" s="7" t="n">
        <v>65533</v>
      </c>
      <c r="D12939" s="7" t="n">
        <v>1</v>
      </c>
    </row>
    <row r="12940" spans="1:9">
      <c r="A12940" t="s">
        <v>4</v>
      </c>
      <c r="B12940" s="4" t="s">
        <v>5</v>
      </c>
      <c r="C12940" s="4" t="s">
        <v>7</v>
      </c>
      <c r="D12940" s="4" t="s">
        <v>11</v>
      </c>
      <c r="E12940" s="4" t="s">
        <v>13</v>
      </c>
    </row>
    <row r="12941" spans="1:9">
      <c r="A12941" t="n">
        <v>122599</v>
      </c>
      <c r="B12941" s="23" t="n">
        <v>58</v>
      </c>
      <c r="C12941" s="7" t="n">
        <v>101</v>
      </c>
      <c r="D12941" s="7" t="n">
        <v>500</v>
      </c>
      <c r="E12941" s="7" t="n">
        <v>1</v>
      </c>
    </row>
    <row r="12942" spans="1:9">
      <c r="A12942" t="s">
        <v>4</v>
      </c>
      <c r="B12942" s="4" t="s">
        <v>5</v>
      </c>
      <c r="C12942" s="4" t="s">
        <v>7</v>
      </c>
      <c r="D12942" s="4" t="s">
        <v>11</v>
      </c>
    </row>
    <row r="12943" spans="1:9">
      <c r="A12943" t="n">
        <v>122607</v>
      </c>
      <c r="B12943" s="23" t="n">
        <v>58</v>
      </c>
      <c r="C12943" s="7" t="n">
        <v>254</v>
      </c>
      <c r="D12943" s="7" t="n">
        <v>0</v>
      </c>
    </row>
    <row r="12944" spans="1:9">
      <c r="A12944" t="s">
        <v>4</v>
      </c>
      <c r="B12944" s="4" t="s">
        <v>5</v>
      </c>
      <c r="C12944" s="4" t="s">
        <v>11</v>
      </c>
      <c r="D12944" s="4" t="s">
        <v>13</v>
      </c>
      <c r="E12944" s="4" t="s">
        <v>13</v>
      </c>
      <c r="F12944" s="4" t="s">
        <v>13</v>
      </c>
      <c r="G12944" s="4" t="s">
        <v>13</v>
      </c>
    </row>
    <row r="12945" spans="1:13">
      <c r="A12945" t="n">
        <v>122611</v>
      </c>
      <c r="B12945" s="36" t="n">
        <v>46</v>
      </c>
      <c r="C12945" s="7" t="n">
        <v>4</v>
      </c>
      <c r="D12945" s="7" t="n">
        <v>-7.38000011444092</v>
      </c>
      <c r="E12945" s="7" t="n">
        <v>5</v>
      </c>
      <c r="F12945" s="7" t="n">
        <v>29.8099994659424</v>
      </c>
      <c r="G12945" s="7" t="n">
        <v>83.9000015258789</v>
      </c>
    </row>
    <row r="12946" spans="1:13">
      <c r="A12946" t="s">
        <v>4</v>
      </c>
      <c r="B12946" s="4" t="s">
        <v>5</v>
      </c>
      <c r="C12946" s="4" t="s">
        <v>11</v>
      </c>
      <c r="D12946" s="4" t="s">
        <v>13</v>
      </c>
      <c r="E12946" s="4" t="s">
        <v>13</v>
      </c>
      <c r="F12946" s="4" t="s">
        <v>13</v>
      </c>
      <c r="G12946" s="4" t="s">
        <v>11</v>
      </c>
      <c r="H12946" s="4" t="s">
        <v>11</v>
      </c>
    </row>
    <row r="12947" spans="1:13">
      <c r="A12947" t="n">
        <v>122630</v>
      </c>
      <c r="B12947" s="37" t="n">
        <v>60</v>
      </c>
      <c r="C12947" s="7" t="n">
        <v>0</v>
      </c>
      <c r="D12947" s="7" t="n">
        <v>0</v>
      </c>
      <c r="E12947" s="7" t="n">
        <v>0</v>
      </c>
      <c r="F12947" s="7" t="n">
        <v>0</v>
      </c>
      <c r="G12947" s="7" t="n">
        <v>0</v>
      </c>
      <c r="H12947" s="7" t="n">
        <v>1</v>
      </c>
    </row>
    <row r="12948" spans="1:13">
      <c r="A12948" t="s">
        <v>4</v>
      </c>
      <c r="B12948" s="4" t="s">
        <v>5</v>
      </c>
      <c r="C12948" s="4" t="s">
        <v>11</v>
      </c>
      <c r="D12948" s="4" t="s">
        <v>13</v>
      </c>
      <c r="E12948" s="4" t="s">
        <v>13</v>
      </c>
      <c r="F12948" s="4" t="s">
        <v>13</v>
      </c>
      <c r="G12948" s="4" t="s">
        <v>11</v>
      </c>
      <c r="H12948" s="4" t="s">
        <v>11</v>
      </c>
    </row>
    <row r="12949" spans="1:13">
      <c r="A12949" t="n">
        <v>122649</v>
      </c>
      <c r="B12949" s="37" t="n">
        <v>60</v>
      </c>
      <c r="C12949" s="7" t="n">
        <v>0</v>
      </c>
      <c r="D12949" s="7" t="n">
        <v>0</v>
      </c>
      <c r="E12949" s="7" t="n">
        <v>0</v>
      </c>
      <c r="F12949" s="7" t="n">
        <v>0</v>
      </c>
      <c r="G12949" s="7" t="n">
        <v>0</v>
      </c>
      <c r="H12949" s="7" t="n">
        <v>0</v>
      </c>
    </row>
    <row r="12950" spans="1:13">
      <c r="A12950" t="s">
        <v>4</v>
      </c>
      <c r="B12950" s="4" t="s">
        <v>5</v>
      </c>
      <c r="C12950" s="4" t="s">
        <v>11</v>
      </c>
      <c r="D12950" s="4" t="s">
        <v>11</v>
      </c>
      <c r="E12950" s="4" t="s">
        <v>11</v>
      </c>
    </row>
    <row r="12951" spans="1:13">
      <c r="A12951" t="n">
        <v>122668</v>
      </c>
      <c r="B12951" s="72" t="n">
        <v>61</v>
      </c>
      <c r="C12951" s="7" t="n">
        <v>0</v>
      </c>
      <c r="D12951" s="7" t="n">
        <v>65533</v>
      </c>
      <c r="E12951" s="7" t="n">
        <v>0</v>
      </c>
    </row>
    <row r="12952" spans="1:13">
      <c r="A12952" t="s">
        <v>4</v>
      </c>
      <c r="B12952" s="4" t="s">
        <v>5</v>
      </c>
      <c r="C12952" s="4" t="s">
        <v>11</v>
      </c>
      <c r="D12952" s="4" t="s">
        <v>13</v>
      </c>
      <c r="E12952" s="4" t="s">
        <v>13</v>
      </c>
      <c r="F12952" s="4" t="s">
        <v>13</v>
      </c>
      <c r="G12952" s="4" t="s">
        <v>11</v>
      </c>
      <c r="H12952" s="4" t="s">
        <v>11</v>
      </c>
    </row>
    <row r="12953" spans="1:13">
      <c r="A12953" t="n">
        <v>122675</v>
      </c>
      <c r="B12953" s="37" t="n">
        <v>60</v>
      </c>
      <c r="C12953" s="7" t="n">
        <v>4</v>
      </c>
      <c r="D12953" s="7" t="n">
        <v>0</v>
      </c>
      <c r="E12953" s="7" t="n">
        <v>0</v>
      </c>
      <c r="F12953" s="7" t="n">
        <v>0</v>
      </c>
      <c r="G12953" s="7" t="n">
        <v>0</v>
      </c>
      <c r="H12953" s="7" t="n">
        <v>1</v>
      </c>
    </row>
    <row r="12954" spans="1:13">
      <c r="A12954" t="s">
        <v>4</v>
      </c>
      <c r="B12954" s="4" t="s">
        <v>5</v>
      </c>
      <c r="C12954" s="4" t="s">
        <v>11</v>
      </c>
      <c r="D12954" s="4" t="s">
        <v>13</v>
      </c>
      <c r="E12954" s="4" t="s">
        <v>13</v>
      </c>
      <c r="F12954" s="4" t="s">
        <v>13</v>
      </c>
      <c r="G12954" s="4" t="s">
        <v>11</v>
      </c>
      <c r="H12954" s="4" t="s">
        <v>11</v>
      </c>
    </row>
    <row r="12955" spans="1:13">
      <c r="A12955" t="n">
        <v>122694</v>
      </c>
      <c r="B12955" s="37" t="n">
        <v>60</v>
      </c>
      <c r="C12955" s="7" t="n">
        <v>4</v>
      </c>
      <c r="D12955" s="7" t="n">
        <v>0</v>
      </c>
      <c r="E12955" s="7" t="n">
        <v>0</v>
      </c>
      <c r="F12955" s="7" t="n">
        <v>0</v>
      </c>
      <c r="G12955" s="7" t="n">
        <v>0</v>
      </c>
      <c r="H12955" s="7" t="n">
        <v>0</v>
      </c>
    </row>
    <row r="12956" spans="1:13">
      <c r="A12956" t="s">
        <v>4</v>
      </c>
      <c r="B12956" s="4" t="s">
        <v>5</v>
      </c>
      <c r="C12956" s="4" t="s">
        <v>11</v>
      </c>
      <c r="D12956" s="4" t="s">
        <v>11</v>
      </c>
      <c r="E12956" s="4" t="s">
        <v>11</v>
      </c>
    </row>
    <row r="12957" spans="1:13">
      <c r="A12957" t="n">
        <v>122713</v>
      </c>
      <c r="B12957" s="72" t="n">
        <v>61</v>
      </c>
      <c r="C12957" s="7" t="n">
        <v>4</v>
      </c>
      <c r="D12957" s="7" t="n">
        <v>65533</v>
      </c>
      <c r="E12957" s="7" t="n">
        <v>0</v>
      </c>
    </row>
    <row r="12958" spans="1:13">
      <c r="A12958" t="s">
        <v>4</v>
      </c>
      <c r="B12958" s="4" t="s">
        <v>5</v>
      </c>
      <c r="C12958" s="4" t="s">
        <v>7</v>
      </c>
      <c r="D12958" s="4" t="s">
        <v>7</v>
      </c>
      <c r="E12958" s="4" t="s">
        <v>13</v>
      </c>
      <c r="F12958" s="4" t="s">
        <v>13</v>
      </c>
      <c r="G12958" s="4" t="s">
        <v>13</v>
      </c>
      <c r="H12958" s="4" t="s">
        <v>11</v>
      </c>
    </row>
    <row r="12959" spans="1:13">
      <c r="A12959" t="n">
        <v>122720</v>
      </c>
      <c r="B12959" s="51" t="n">
        <v>45</v>
      </c>
      <c r="C12959" s="7" t="n">
        <v>2</v>
      </c>
      <c r="D12959" s="7" t="n">
        <v>3</v>
      </c>
      <c r="E12959" s="7" t="n">
        <v>-6.96999979019165</v>
      </c>
      <c r="F12959" s="7" t="n">
        <v>6.25</v>
      </c>
      <c r="G12959" s="7" t="n">
        <v>29.8400001525879</v>
      </c>
      <c r="H12959" s="7" t="n">
        <v>0</v>
      </c>
    </row>
    <row r="12960" spans="1:13">
      <c r="A12960" t="s">
        <v>4</v>
      </c>
      <c r="B12960" s="4" t="s">
        <v>5</v>
      </c>
      <c r="C12960" s="4" t="s">
        <v>7</v>
      </c>
      <c r="D12960" s="4" t="s">
        <v>7</v>
      </c>
      <c r="E12960" s="4" t="s">
        <v>13</v>
      </c>
      <c r="F12960" s="4" t="s">
        <v>13</v>
      </c>
      <c r="G12960" s="4" t="s">
        <v>13</v>
      </c>
      <c r="H12960" s="4" t="s">
        <v>11</v>
      </c>
      <c r="I12960" s="4" t="s">
        <v>7</v>
      </c>
    </row>
    <row r="12961" spans="1:9">
      <c r="A12961" t="n">
        <v>122737</v>
      </c>
      <c r="B12961" s="51" t="n">
        <v>45</v>
      </c>
      <c r="C12961" s="7" t="n">
        <v>4</v>
      </c>
      <c r="D12961" s="7" t="n">
        <v>3</v>
      </c>
      <c r="E12961" s="7" t="n">
        <v>1.94000005722046</v>
      </c>
      <c r="F12961" s="7" t="n">
        <v>327.869995117188</v>
      </c>
      <c r="G12961" s="7" t="n">
        <v>354</v>
      </c>
      <c r="H12961" s="7" t="n">
        <v>0</v>
      </c>
      <c r="I12961" s="7" t="n">
        <v>0</v>
      </c>
    </row>
    <row r="12962" spans="1:9">
      <c r="A12962" t="s">
        <v>4</v>
      </c>
      <c r="B12962" s="4" t="s">
        <v>5</v>
      </c>
      <c r="C12962" s="4" t="s">
        <v>7</v>
      </c>
      <c r="D12962" s="4" t="s">
        <v>7</v>
      </c>
      <c r="E12962" s="4" t="s">
        <v>13</v>
      </c>
      <c r="F12962" s="4" t="s">
        <v>11</v>
      </c>
    </row>
    <row r="12963" spans="1:9">
      <c r="A12963" t="n">
        <v>122755</v>
      </c>
      <c r="B12963" s="51" t="n">
        <v>45</v>
      </c>
      <c r="C12963" s="7" t="n">
        <v>5</v>
      </c>
      <c r="D12963" s="7" t="n">
        <v>3</v>
      </c>
      <c r="E12963" s="7" t="n">
        <v>1.5</v>
      </c>
      <c r="F12963" s="7" t="n">
        <v>0</v>
      </c>
    </row>
    <row r="12964" spans="1:9">
      <c r="A12964" t="s">
        <v>4</v>
      </c>
      <c r="B12964" s="4" t="s">
        <v>5</v>
      </c>
      <c r="C12964" s="4" t="s">
        <v>7</v>
      </c>
      <c r="D12964" s="4" t="s">
        <v>7</v>
      </c>
      <c r="E12964" s="4" t="s">
        <v>13</v>
      </c>
      <c r="F12964" s="4" t="s">
        <v>11</v>
      </c>
    </row>
    <row r="12965" spans="1:9">
      <c r="A12965" t="n">
        <v>122764</v>
      </c>
      <c r="B12965" s="51" t="n">
        <v>45</v>
      </c>
      <c r="C12965" s="7" t="n">
        <v>11</v>
      </c>
      <c r="D12965" s="7" t="n">
        <v>3</v>
      </c>
      <c r="E12965" s="7" t="n">
        <v>40.2999992370605</v>
      </c>
      <c r="F12965" s="7" t="n">
        <v>0</v>
      </c>
    </row>
    <row r="12966" spans="1:9">
      <c r="A12966" t="s">
        <v>4</v>
      </c>
      <c r="B12966" s="4" t="s">
        <v>5</v>
      </c>
      <c r="C12966" s="4" t="s">
        <v>7</v>
      </c>
      <c r="D12966" s="4" t="s">
        <v>7</v>
      </c>
      <c r="E12966" s="4" t="s">
        <v>13</v>
      </c>
      <c r="F12966" s="4" t="s">
        <v>13</v>
      </c>
      <c r="G12966" s="4" t="s">
        <v>13</v>
      </c>
      <c r="H12966" s="4" t="s">
        <v>11</v>
      </c>
    </row>
    <row r="12967" spans="1:9">
      <c r="A12967" t="n">
        <v>122773</v>
      </c>
      <c r="B12967" s="51" t="n">
        <v>45</v>
      </c>
      <c r="C12967" s="7" t="n">
        <v>2</v>
      </c>
      <c r="D12967" s="7" t="n">
        <v>3</v>
      </c>
      <c r="E12967" s="7" t="n">
        <v>-6.92000007629395</v>
      </c>
      <c r="F12967" s="7" t="n">
        <v>6.46999979019165</v>
      </c>
      <c r="G12967" s="7" t="n">
        <v>29.7900009155273</v>
      </c>
      <c r="H12967" s="7" t="n">
        <v>4000</v>
      </c>
    </row>
    <row r="12968" spans="1:9">
      <c r="A12968" t="s">
        <v>4</v>
      </c>
      <c r="B12968" s="4" t="s">
        <v>5</v>
      </c>
      <c r="C12968" s="4" t="s">
        <v>7</v>
      </c>
      <c r="D12968" s="4" t="s">
        <v>7</v>
      </c>
      <c r="E12968" s="4" t="s">
        <v>13</v>
      </c>
      <c r="F12968" s="4" t="s">
        <v>13</v>
      </c>
      <c r="G12968" s="4" t="s">
        <v>13</v>
      </c>
      <c r="H12968" s="4" t="s">
        <v>11</v>
      </c>
      <c r="I12968" s="4" t="s">
        <v>7</v>
      </c>
    </row>
    <row r="12969" spans="1:9">
      <c r="A12969" t="n">
        <v>122790</v>
      </c>
      <c r="B12969" s="51" t="n">
        <v>45</v>
      </c>
      <c r="C12969" s="7" t="n">
        <v>4</v>
      </c>
      <c r="D12969" s="7" t="n">
        <v>3</v>
      </c>
      <c r="E12969" s="7" t="n">
        <v>7.76999998092651</v>
      </c>
      <c r="F12969" s="7" t="n">
        <v>41.4700012207031</v>
      </c>
      <c r="G12969" s="7" t="n">
        <v>354</v>
      </c>
      <c r="H12969" s="7" t="n">
        <v>4000</v>
      </c>
      <c r="I12969" s="7" t="n">
        <v>1</v>
      </c>
    </row>
    <row r="12970" spans="1:9">
      <c r="A12970" t="s">
        <v>4</v>
      </c>
      <c r="B12970" s="4" t="s">
        <v>5</v>
      </c>
      <c r="C12970" s="4" t="s">
        <v>7</v>
      </c>
      <c r="D12970" s="4" t="s">
        <v>7</v>
      </c>
      <c r="E12970" s="4" t="s">
        <v>13</v>
      </c>
      <c r="F12970" s="4" t="s">
        <v>11</v>
      </c>
    </row>
    <row r="12971" spans="1:9">
      <c r="A12971" t="n">
        <v>122808</v>
      </c>
      <c r="B12971" s="51" t="n">
        <v>45</v>
      </c>
      <c r="C12971" s="7" t="n">
        <v>5</v>
      </c>
      <c r="D12971" s="7" t="n">
        <v>3</v>
      </c>
      <c r="E12971" s="7" t="n">
        <v>1.10000002384186</v>
      </c>
      <c r="F12971" s="7" t="n">
        <v>4000</v>
      </c>
    </row>
    <row r="12972" spans="1:9">
      <c r="A12972" t="s">
        <v>4</v>
      </c>
      <c r="B12972" s="4" t="s">
        <v>5</v>
      </c>
      <c r="C12972" s="4" t="s">
        <v>11</v>
      </c>
      <c r="D12972" s="4" t="s">
        <v>7</v>
      </c>
      <c r="E12972" s="4" t="s">
        <v>8</v>
      </c>
      <c r="F12972" s="4" t="s">
        <v>13</v>
      </c>
      <c r="G12972" s="4" t="s">
        <v>13</v>
      </c>
      <c r="H12972" s="4" t="s">
        <v>13</v>
      </c>
    </row>
    <row r="12973" spans="1:9">
      <c r="A12973" t="n">
        <v>122817</v>
      </c>
      <c r="B12973" s="42" t="n">
        <v>48</v>
      </c>
      <c r="C12973" s="7" t="n">
        <v>0</v>
      </c>
      <c r="D12973" s="7" t="n">
        <v>0</v>
      </c>
      <c r="E12973" s="7" t="s">
        <v>210</v>
      </c>
      <c r="F12973" s="7" t="n">
        <v>0</v>
      </c>
      <c r="G12973" s="7" t="n">
        <v>1</v>
      </c>
      <c r="H12973" s="7" t="n">
        <v>0</v>
      </c>
    </row>
    <row r="12974" spans="1:9">
      <c r="A12974" t="s">
        <v>4</v>
      </c>
      <c r="B12974" s="4" t="s">
        <v>5</v>
      </c>
      <c r="C12974" s="4" t="s">
        <v>11</v>
      </c>
      <c r="D12974" s="4" t="s">
        <v>7</v>
      </c>
      <c r="E12974" s="4" t="s">
        <v>8</v>
      </c>
      <c r="F12974" s="4" t="s">
        <v>13</v>
      </c>
      <c r="G12974" s="4" t="s">
        <v>13</v>
      </c>
      <c r="H12974" s="4" t="s">
        <v>13</v>
      </c>
    </row>
    <row r="12975" spans="1:9">
      <c r="A12975" t="n">
        <v>122842</v>
      </c>
      <c r="B12975" s="42" t="n">
        <v>48</v>
      </c>
      <c r="C12975" s="7" t="n">
        <v>4</v>
      </c>
      <c r="D12975" s="7" t="n">
        <v>0</v>
      </c>
      <c r="E12975" s="7" t="s">
        <v>210</v>
      </c>
      <c r="F12975" s="7" t="n">
        <v>0</v>
      </c>
      <c r="G12975" s="7" t="n">
        <v>1</v>
      </c>
      <c r="H12975" s="7" t="n">
        <v>0</v>
      </c>
    </row>
    <row r="12976" spans="1:9">
      <c r="A12976" t="s">
        <v>4</v>
      </c>
      <c r="B12976" s="4" t="s">
        <v>5</v>
      </c>
      <c r="C12976" s="4" t="s">
        <v>7</v>
      </c>
      <c r="D12976" s="4" t="s">
        <v>11</v>
      </c>
      <c r="E12976" s="4" t="s">
        <v>8</v>
      </c>
      <c r="F12976" s="4" t="s">
        <v>8</v>
      </c>
      <c r="G12976" s="4" t="s">
        <v>8</v>
      </c>
      <c r="H12976" s="4" t="s">
        <v>8</v>
      </c>
    </row>
    <row r="12977" spans="1:9">
      <c r="A12977" t="n">
        <v>122867</v>
      </c>
      <c r="B12977" s="38" t="n">
        <v>51</v>
      </c>
      <c r="C12977" s="7" t="n">
        <v>3</v>
      </c>
      <c r="D12977" s="7" t="n">
        <v>4</v>
      </c>
      <c r="E12977" s="7" t="s">
        <v>79</v>
      </c>
      <c r="F12977" s="7" t="s">
        <v>232</v>
      </c>
      <c r="G12977" s="7" t="s">
        <v>78</v>
      </c>
      <c r="H12977" s="7" t="s">
        <v>79</v>
      </c>
    </row>
    <row r="12978" spans="1:9">
      <c r="A12978" t="s">
        <v>4</v>
      </c>
      <c r="B12978" s="4" t="s">
        <v>5</v>
      </c>
      <c r="C12978" s="4" t="s">
        <v>7</v>
      </c>
      <c r="D12978" s="4" t="s">
        <v>11</v>
      </c>
      <c r="E12978" s="4" t="s">
        <v>8</v>
      </c>
      <c r="F12978" s="4" t="s">
        <v>8</v>
      </c>
      <c r="G12978" s="4" t="s">
        <v>8</v>
      </c>
      <c r="H12978" s="4" t="s">
        <v>8</v>
      </c>
    </row>
    <row r="12979" spans="1:9">
      <c r="A12979" t="n">
        <v>122880</v>
      </c>
      <c r="B12979" s="38" t="n">
        <v>51</v>
      </c>
      <c r="C12979" s="7" t="n">
        <v>3</v>
      </c>
      <c r="D12979" s="7" t="n">
        <v>0</v>
      </c>
      <c r="E12979" s="7" t="s">
        <v>79</v>
      </c>
      <c r="F12979" s="7" t="s">
        <v>99</v>
      </c>
      <c r="G12979" s="7" t="s">
        <v>78</v>
      </c>
      <c r="H12979" s="7" t="s">
        <v>79</v>
      </c>
    </row>
    <row r="12980" spans="1:9">
      <c r="A12980" t="s">
        <v>4</v>
      </c>
      <c r="B12980" s="4" t="s">
        <v>5</v>
      </c>
      <c r="C12980" s="4" t="s">
        <v>7</v>
      </c>
      <c r="D12980" s="4" t="s">
        <v>11</v>
      </c>
    </row>
    <row r="12981" spans="1:9">
      <c r="A12981" t="n">
        <v>122893</v>
      </c>
      <c r="B12981" s="23" t="n">
        <v>58</v>
      </c>
      <c r="C12981" s="7" t="n">
        <v>255</v>
      </c>
      <c r="D12981" s="7" t="n">
        <v>0</v>
      </c>
    </row>
    <row r="12982" spans="1:9">
      <c r="A12982" t="s">
        <v>4</v>
      </c>
      <c r="B12982" s="4" t="s">
        <v>5</v>
      </c>
      <c r="C12982" s="4" t="s">
        <v>11</v>
      </c>
    </row>
    <row r="12983" spans="1:9">
      <c r="A12983" t="n">
        <v>122897</v>
      </c>
      <c r="B12983" s="29" t="n">
        <v>16</v>
      </c>
      <c r="C12983" s="7" t="n">
        <v>1000</v>
      </c>
    </row>
    <row r="12984" spans="1:9">
      <c r="A12984" t="s">
        <v>4</v>
      </c>
      <c r="B12984" s="4" t="s">
        <v>5</v>
      </c>
      <c r="C12984" s="4" t="s">
        <v>11</v>
      </c>
      <c r="D12984" s="4" t="s">
        <v>7</v>
      </c>
      <c r="E12984" s="4" t="s">
        <v>8</v>
      </c>
      <c r="F12984" s="4" t="s">
        <v>13</v>
      </c>
      <c r="G12984" s="4" t="s">
        <v>13</v>
      </c>
      <c r="H12984" s="4" t="s">
        <v>13</v>
      </c>
    </row>
    <row r="12985" spans="1:9">
      <c r="A12985" t="n">
        <v>122900</v>
      </c>
      <c r="B12985" s="42" t="n">
        <v>48</v>
      </c>
      <c r="C12985" s="7" t="n">
        <v>0</v>
      </c>
      <c r="D12985" s="7" t="n">
        <v>0</v>
      </c>
      <c r="E12985" s="7" t="s">
        <v>987</v>
      </c>
      <c r="F12985" s="7" t="n">
        <v>-1</v>
      </c>
      <c r="G12985" s="7" t="n">
        <v>1</v>
      </c>
      <c r="H12985" s="7" t="n">
        <v>0</v>
      </c>
    </row>
    <row r="12986" spans="1:9">
      <c r="A12986" t="s">
        <v>4</v>
      </c>
      <c r="B12986" s="4" t="s">
        <v>5</v>
      </c>
      <c r="C12986" s="4" t="s">
        <v>11</v>
      </c>
      <c r="D12986" s="4" t="s">
        <v>7</v>
      </c>
      <c r="E12986" s="4" t="s">
        <v>8</v>
      </c>
      <c r="F12986" s="4" t="s">
        <v>13</v>
      </c>
      <c r="G12986" s="4" t="s">
        <v>13</v>
      </c>
      <c r="H12986" s="4" t="s">
        <v>13</v>
      </c>
    </row>
    <row r="12987" spans="1:9">
      <c r="A12987" t="n">
        <v>122926</v>
      </c>
      <c r="B12987" s="42" t="n">
        <v>48</v>
      </c>
      <c r="C12987" s="7" t="n">
        <v>4</v>
      </c>
      <c r="D12987" s="7" t="n">
        <v>0</v>
      </c>
      <c r="E12987" s="7" t="s">
        <v>987</v>
      </c>
      <c r="F12987" s="7" t="n">
        <v>-1</v>
      </c>
      <c r="G12987" s="7" t="n">
        <v>1</v>
      </c>
      <c r="H12987" s="7" t="n">
        <v>0</v>
      </c>
    </row>
    <row r="12988" spans="1:9">
      <c r="A12988" t="s">
        <v>4</v>
      </c>
      <c r="B12988" s="4" t="s">
        <v>5</v>
      </c>
      <c r="C12988" s="4" t="s">
        <v>11</v>
      </c>
    </row>
    <row r="12989" spans="1:9">
      <c r="A12989" t="n">
        <v>122952</v>
      </c>
      <c r="B12989" s="29" t="n">
        <v>16</v>
      </c>
      <c r="C12989" s="7" t="n">
        <v>500</v>
      </c>
    </row>
    <row r="12990" spans="1:9">
      <c r="A12990" t="s">
        <v>4</v>
      </c>
      <c r="B12990" s="4" t="s">
        <v>5</v>
      </c>
      <c r="C12990" s="4" t="s">
        <v>7</v>
      </c>
      <c r="D12990" s="4" t="s">
        <v>11</v>
      </c>
      <c r="E12990" s="4" t="s">
        <v>13</v>
      </c>
      <c r="F12990" s="4" t="s">
        <v>11</v>
      </c>
      <c r="G12990" s="4" t="s">
        <v>15</v>
      </c>
      <c r="H12990" s="4" t="s">
        <v>15</v>
      </c>
      <c r="I12990" s="4" t="s">
        <v>11</v>
      </c>
      <c r="J12990" s="4" t="s">
        <v>11</v>
      </c>
      <c r="K12990" s="4" t="s">
        <v>15</v>
      </c>
      <c r="L12990" s="4" t="s">
        <v>15</v>
      </c>
      <c r="M12990" s="4" t="s">
        <v>15</v>
      </c>
      <c r="N12990" s="4" t="s">
        <v>15</v>
      </c>
      <c r="O12990" s="4" t="s">
        <v>8</v>
      </c>
    </row>
    <row r="12991" spans="1:9">
      <c r="A12991" t="n">
        <v>122955</v>
      </c>
      <c r="B12991" s="57" t="n">
        <v>50</v>
      </c>
      <c r="C12991" s="7" t="n">
        <v>0</v>
      </c>
      <c r="D12991" s="7" t="n">
        <v>2258</v>
      </c>
      <c r="E12991" s="7" t="n">
        <v>1</v>
      </c>
      <c r="F12991" s="7" t="n">
        <v>0</v>
      </c>
      <c r="G12991" s="7" t="n">
        <v>0</v>
      </c>
      <c r="H12991" s="7" t="n">
        <v>0</v>
      </c>
      <c r="I12991" s="7" t="n">
        <v>0</v>
      </c>
      <c r="J12991" s="7" t="n">
        <v>65533</v>
      </c>
      <c r="K12991" s="7" t="n">
        <v>0</v>
      </c>
      <c r="L12991" s="7" t="n">
        <v>0</v>
      </c>
      <c r="M12991" s="7" t="n">
        <v>0</v>
      </c>
      <c r="N12991" s="7" t="n">
        <v>0</v>
      </c>
      <c r="O12991" s="7" t="s">
        <v>16</v>
      </c>
    </row>
    <row r="12992" spans="1:9">
      <c r="A12992" t="s">
        <v>4</v>
      </c>
      <c r="B12992" s="4" t="s">
        <v>5</v>
      </c>
      <c r="C12992" s="4" t="s">
        <v>11</v>
      </c>
    </row>
    <row r="12993" spans="1:15">
      <c r="A12993" t="n">
        <v>122994</v>
      </c>
      <c r="B12993" s="29" t="n">
        <v>16</v>
      </c>
      <c r="C12993" s="7" t="n">
        <v>200</v>
      </c>
    </row>
    <row r="12994" spans="1:15">
      <c r="A12994" t="s">
        <v>4</v>
      </c>
      <c r="B12994" s="4" t="s">
        <v>5</v>
      </c>
      <c r="C12994" s="4" t="s">
        <v>7</v>
      </c>
      <c r="D12994" s="4" t="s">
        <v>13</v>
      </c>
      <c r="E12994" s="4" t="s">
        <v>13</v>
      </c>
      <c r="F12994" s="4" t="s">
        <v>13</v>
      </c>
    </row>
    <row r="12995" spans="1:15">
      <c r="A12995" t="n">
        <v>122997</v>
      </c>
      <c r="B12995" s="51" t="n">
        <v>45</v>
      </c>
      <c r="C12995" s="7" t="n">
        <v>9</v>
      </c>
      <c r="D12995" s="7" t="n">
        <v>0.00999999977648258</v>
      </c>
      <c r="E12995" s="7" t="n">
        <v>0.00999999977648258</v>
      </c>
      <c r="F12995" s="7" t="n">
        <v>0.300000011920929</v>
      </c>
    </row>
    <row r="12996" spans="1:15">
      <c r="A12996" t="s">
        <v>4</v>
      </c>
      <c r="B12996" s="4" t="s">
        <v>5</v>
      </c>
      <c r="C12996" s="4" t="s">
        <v>7</v>
      </c>
      <c r="D12996" s="4" t="s">
        <v>11</v>
      </c>
    </row>
    <row r="12997" spans="1:15">
      <c r="A12997" t="n">
        <v>123011</v>
      </c>
      <c r="B12997" s="51" t="n">
        <v>45</v>
      </c>
      <c r="C12997" s="7" t="n">
        <v>7</v>
      </c>
      <c r="D12997" s="7" t="n">
        <v>255</v>
      </c>
    </row>
    <row r="12998" spans="1:15">
      <c r="A12998" t="s">
        <v>4</v>
      </c>
      <c r="B12998" s="4" t="s">
        <v>5</v>
      </c>
      <c r="C12998" s="4" t="s">
        <v>7</v>
      </c>
      <c r="D12998" s="4" t="s">
        <v>7</v>
      </c>
      <c r="E12998" s="4" t="s">
        <v>13</v>
      </c>
      <c r="F12998" s="4" t="s">
        <v>13</v>
      </c>
      <c r="G12998" s="4" t="s">
        <v>13</v>
      </c>
      <c r="H12998" s="4" t="s">
        <v>11</v>
      </c>
      <c r="I12998" s="4" t="s">
        <v>7</v>
      </c>
    </row>
    <row r="12999" spans="1:15">
      <c r="A12999" t="n">
        <v>123015</v>
      </c>
      <c r="B12999" s="51" t="n">
        <v>45</v>
      </c>
      <c r="C12999" s="7" t="n">
        <v>4</v>
      </c>
      <c r="D12999" s="7" t="n">
        <v>3</v>
      </c>
      <c r="E12999" s="7" t="n">
        <v>9.89000034332275</v>
      </c>
      <c r="F12999" s="7" t="n">
        <v>47.2200012207031</v>
      </c>
      <c r="G12999" s="7" t="n">
        <v>354</v>
      </c>
      <c r="H12999" s="7" t="n">
        <v>30000</v>
      </c>
      <c r="I12999" s="7" t="n">
        <v>1</v>
      </c>
    </row>
    <row r="13000" spans="1:15">
      <c r="A13000" t="s">
        <v>4</v>
      </c>
      <c r="B13000" s="4" t="s">
        <v>5</v>
      </c>
      <c r="C13000" s="4" t="s">
        <v>7</v>
      </c>
      <c r="D13000" s="4" t="s">
        <v>11</v>
      </c>
      <c r="E13000" s="4" t="s">
        <v>8</v>
      </c>
    </row>
    <row r="13001" spans="1:15">
      <c r="A13001" t="n">
        <v>123033</v>
      </c>
      <c r="B13001" s="38" t="n">
        <v>51</v>
      </c>
      <c r="C13001" s="7" t="n">
        <v>4</v>
      </c>
      <c r="D13001" s="7" t="n">
        <v>4</v>
      </c>
      <c r="E13001" s="7" t="s">
        <v>1059</v>
      </c>
    </row>
    <row r="13002" spans="1:15">
      <c r="A13002" t="s">
        <v>4</v>
      </c>
      <c r="B13002" s="4" t="s">
        <v>5</v>
      </c>
      <c r="C13002" s="4" t="s">
        <v>11</v>
      </c>
    </row>
    <row r="13003" spans="1:15">
      <c r="A13003" t="n">
        <v>123047</v>
      </c>
      <c r="B13003" s="29" t="n">
        <v>16</v>
      </c>
      <c r="C13003" s="7" t="n">
        <v>0</v>
      </c>
    </row>
    <row r="13004" spans="1:15">
      <c r="A13004" t="s">
        <v>4</v>
      </c>
      <c r="B13004" s="4" t="s">
        <v>5</v>
      </c>
      <c r="C13004" s="4" t="s">
        <v>11</v>
      </c>
      <c r="D13004" s="4" t="s">
        <v>7</v>
      </c>
      <c r="E13004" s="4" t="s">
        <v>15</v>
      </c>
      <c r="F13004" s="4" t="s">
        <v>55</v>
      </c>
      <c r="G13004" s="4" t="s">
        <v>7</v>
      </c>
      <c r="H13004" s="4" t="s">
        <v>7</v>
      </c>
      <c r="I13004" s="4" t="s">
        <v>7</v>
      </c>
      <c r="J13004" s="4" t="s">
        <v>15</v>
      </c>
      <c r="K13004" s="4" t="s">
        <v>55</v>
      </c>
      <c r="L13004" s="4" t="s">
        <v>7</v>
      </c>
      <c r="M13004" s="4" t="s">
        <v>7</v>
      </c>
    </row>
    <row r="13005" spans="1:15">
      <c r="A13005" t="n">
        <v>123050</v>
      </c>
      <c r="B13005" s="55" t="n">
        <v>26</v>
      </c>
      <c r="C13005" s="7" t="n">
        <v>4</v>
      </c>
      <c r="D13005" s="7" t="n">
        <v>17</v>
      </c>
      <c r="E13005" s="7" t="n">
        <v>7826</v>
      </c>
      <c r="F13005" s="7" t="s">
        <v>1060</v>
      </c>
      <c r="G13005" s="7" t="n">
        <v>2</v>
      </c>
      <c r="H13005" s="7" t="n">
        <v>3</v>
      </c>
      <c r="I13005" s="7" t="n">
        <v>17</v>
      </c>
      <c r="J13005" s="7" t="n">
        <v>7827</v>
      </c>
      <c r="K13005" s="7" t="s">
        <v>1061</v>
      </c>
      <c r="L13005" s="7" t="n">
        <v>2</v>
      </c>
      <c r="M13005" s="7" t="n">
        <v>0</v>
      </c>
    </row>
    <row r="13006" spans="1:15">
      <c r="A13006" t="s">
        <v>4</v>
      </c>
      <c r="B13006" s="4" t="s">
        <v>5</v>
      </c>
    </row>
    <row r="13007" spans="1:15">
      <c r="A13007" t="n">
        <v>123243</v>
      </c>
      <c r="B13007" s="27" t="n">
        <v>28</v>
      </c>
    </row>
    <row r="13008" spans="1:15">
      <c r="A13008" t="s">
        <v>4</v>
      </c>
      <c r="B13008" s="4" t="s">
        <v>5</v>
      </c>
      <c r="C13008" s="4" t="s">
        <v>11</v>
      </c>
      <c r="D13008" s="4" t="s">
        <v>7</v>
      </c>
      <c r="E13008" s="4" t="s">
        <v>7</v>
      </c>
      <c r="F13008" s="4" t="s">
        <v>8</v>
      </c>
    </row>
    <row r="13009" spans="1:13">
      <c r="A13009" t="n">
        <v>123244</v>
      </c>
      <c r="B13009" s="50" t="n">
        <v>20</v>
      </c>
      <c r="C13009" s="7" t="n">
        <v>0</v>
      </c>
      <c r="D13009" s="7" t="n">
        <v>2</v>
      </c>
      <c r="E13009" s="7" t="n">
        <v>10</v>
      </c>
      <c r="F13009" s="7" t="s">
        <v>223</v>
      </c>
    </row>
    <row r="13010" spans="1:13">
      <c r="A13010" t="s">
        <v>4</v>
      </c>
      <c r="B13010" s="4" t="s">
        <v>5</v>
      </c>
      <c r="C13010" s="4" t="s">
        <v>7</v>
      </c>
      <c r="D13010" s="4" t="s">
        <v>11</v>
      </c>
      <c r="E13010" s="4" t="s">
        <v>8</v>
      </c>
    </row>
    <row r="13011" spans="1:13">
      <c r="A13011" t="n">
        <v>123265</v>
      </c>
      <c r="B13011" s="38" t="n">
        <v>51</v>
      </c>
      <c r="C13011" s="7" t="n">
        <v>4</v>
      </c>
      <c r="D13011" s="7" t="n">
        <v>0</v>
      </c>
      <c r="E13011" s="7" t="s">
        <v>285</v>
      </c>
    </row>
    <row r="13012" spans="1:13">
      <c r="A13012" t="s">
        <v>4</v>
      </c>
      <c r="B13012" s="4" t="s">
        <v>5</v>
      </c>
      <c r="C13012" s="4" t="s">
        <v>11</v>
      </c>
    </row>
    <row r="13013" spans="1:13">
      <c r="A13013" t="n">
        <v>123278</v>
      </c>
      <c r="B13013" s="29" t="n">
        <v>16</v>
      </c>
      <c r="C13013" s="7" t="n">
        <v>0</v>
      </c>
    </row>
    <row r="13014" spans="1:13">
      <c r="A13014" t="s">
        <v>4</v>
      </c>
      <c r="B13014" s="4" t="s">
        <v>5</v>
      </c>
      <c r="C13014" s="4" t="s">
        <v>11</v>
      </c>
      <c r="D13014" s="4" t="s">
        <v>7</v>
      </c>
      <c r="E13014" s="4" t="s">
        <v>15</v>
      </c>
      <c r="F13014" s="4" t="s">
        <v>55</v>
      </c>
      <c r="G13014" s="4" t="s">
        <v>7</v>
      </c>
      <c r="H13014" s="4" t="s">
        <v>7</v>
      </c>
    </row>
    <row r="13015" spans="1:13">
      <c r="A13015" t="n">
        <v>123281</v>
      </c>
      <c r="B13015" s="55" t="n">
        <v>26</v>
      </c>
      <c r="C13015" s="7" t="n">
        <v>0</v>
      </c>
      <c r="D13015" s="7" t="n">
        <v>17</v>
      </c>
      <c r="E13015" s="7" t="n">
        <v>64171</v>
      </c>
      <c r="F13015" s="7" t="s">
        <v>1062</v>
      </c>
      <c r="G13015" s="7" t="n">
        <v>2</v>
      </c>
      <c r="H13015" s="7" t="n">
        <v>0</v>
      </c>
    </row>
    <row r="13016" spans="1:13">
      <c r="A13016" t="s">
        <v>4</v>
      </c>
      <c r="B13016" s="4" t="s">
        <v>5</v>
      </c>
    </row>
    <row r="13017" spans="1:13">
      <c r="A13017" t="n">
        <v>123309</v>
      </c>
      <c r="B13017" s="27" t="n">
        <v>28</v>
      </c>
    </row>
    <row r="13018" spans="1:13">
      <c r="A13018" t="s">
        <v>4</v>
      </c>
      <c r="B13018" s="4" t="s">
        <v>5</v>
      </c>
      <c r="C13018" s="4" t="s">
        <v>11</v>
      </c>
      <c r="D13018" s="4" t="s">
        <v>7</v>
      </c>
    </row>
    <row r="13019" spans="1:13">
      <c r="A13019" t="n">
        <v>123310</v>
      </c>
      <c r="B13019" s="68" t="n">
        <v>89</v>
      </c>
      <c r="C13019" s="7" t="n">
        <v>65533</v>
      </c>
      <c r="D13019" s="7" t="n">
        <v>1</v>
      </c>
    </row>
    <row r="13020" spans="1:13">
      <c r="A13020" t="s">
        <v>4</v>
      </c>
      <c r="B13020" s="4" t="s">
        <v>5</v>
      </c>
      <c r="C13020" s="4" t="s">
        <v>11</v>
      </c>
    </row>
    <row r="13021" spans="1:13">
      <c r="A13021" t="n">
        <v>123314</v>
      </c>
      <c r="B13021" s="29" t="n">
        <v>16</v>
      </c>
      <c r="C13021" s="7" t="n">
        <v>1000</v>
      </c>
    </row>
    <row r="13022" spans="1:13">
      <c r="A13022" t="s">
        <v>4</v>
      </c>
      <c r="B13022" s="4" t="s">
        <v>5</v>
      </c>
      <c r="C13022" s="4" t="s">
        <v>7</v>
      </c>
      <c r="D13022" s="4" t="s">
        <v>13</v>
      </c>
      <c r="E13022" s="4" t="s">
        <v>11</v>
      </c>
      <c r="F13022" s="4" t="s">
        <v>7</v>
      </c>
    </row>
    <row r="13023" spans="1:13">
      <c r="A13023" t="n">
        <v>123317</v>
      </c>
      <c r="B13023" s="13" t="n">
        <v>49</v>
      </c>
      <c r="C13023" s="7" t="n">
        <v>3</v>
      </c>
      <c r="D13023" s="7" t="n">
        <v>1</v>
      </c>
      <c r="E13023" s="7" t="n">
        <v>1000</v>
      </c>
      <c r="F13023" s="7" t="n">
        <v>0</v>
      </c>
    </row>
    <row r="13024" spans="1:13">
      <c r="A13024" t="s">
        <v>4</v>
      </c>
      <c r="B13024" s="4" t="s">
        <v>5</v>
      </c>
      <c r="C13024" s="4" t="s">
        <v>7</v>
      </c>
      <c r="D13024" s="4" t="s">
        <v>11</v>
      </c>
      <c r="E13024" s="4" t="s">
        <v>13</v>
      </c>
    </row>
    <row r="13025" spans="1:8">
      <c r="A13025" t="n">
        <v>123326</v>
      </c>
      <c r="B13025" s="23" t="n">
        <v>58</v>
      </c>
      <c r="C13025" s="7" t="n">
        <v>101</v>
      </c>
      <c r="D13025" s="7" t="n">
        <v>1000</v>
      </c>
      <c r="E13025" s="7" t="n">
        <v>1</v>
      </c>
    </row>
    <row r="13026" spans="1:8">
      <c r="A13026" t="s">
        <v>4</v>
      </c>
      <c r="B13026" s="4" t="s">
        <v>5</v>
      </c>
      <c r="C13026" s="4" t="s">
        <v>7</v>
      </c>
      <c r="D13026" s="4" t="s">
        <v>11</v>
      </c>
    </row>
    <row r="13027" spans="1:8">
      <c r="A13027" t="n">
        <v>123334</v>
      </c>
      <c r="B13027" s="23" t="n">
        <v>58</v>
      </c>
      <c r="C13027" s="7" t="n">
        <v>254</v>
      </c>
      <c r="D13027" s="7" t="n">
        <v>0</v>
      </c>
    </row>
    <row r="13028" spans="1:8">
      <c r="A13028" t="s">
        <v>4</v>
      </c>
      <c r="B13028" s="4" t="s">
        <v>5</v>
      </c>
      <c r="C13028" s="4" t="s">
        <v>7</v>
      </c>
    </row>
    <row r="13029" spans="1:8">
      <c r="A13029" t="n">
        <v>123338</v>
      </c>
      <c r="B13029" s="49" t="n">
        <v>116</v>
      </c>
      <c r="C13029" s="7" t="n">
        <v>0</v>
      </c>
    </row>
    <row r="13030" spans="1:8">
      <c r="A13030" t="s">
        <v>4</v>
      </c>
      <c r="B13030" s="4" t="s">
        <v>5</v>
      </c>
      <c r="C13030" s="4" t="s">
        <v>7</v>
      </c>
      <c r="D13030" s="4" t="s">
        <v>11</v>
      </c>
    </row>
    <row r="13031" spans="1:8">
      <c r="A13031" t="n">
        <v>123340</v>
      </c>
      <c r="B13031" s="49" t="n">
        <v>116</v>
      </c>
      <c r="C13031" s="7" t="n">
        <v>2</v>
      </c>
      <c r="D13031" s="7" t="n">
        <v>1</v>
      </c>
    </row>
    <row r="13032" spans="1:8">
      <c r="A13032" t="s">
        <v>4</v>
      </c>
      <c r="B13032" s="4" t="s">
        <v>5</v>
      </c>
      <c r="C13032" s="4" t="s">
        <v>7</v>
      </c>
      <c r="D13032" s="4" t="s">
        <v>15</v>
      </c>
    </row>
    <row r="13033" spans="1:8">
      <c r="A13033" t="n">
        <v>123344</v>
      </c>
      <c r="B13033" s="49" t="n">
        <v>116</v>
      </c>
      <c r="C13033" s="7" t="n">
        <v>5</v>
      </c>
      <c r="D13033" s="7" t="n">
        <v>1092616192</v>
      </c>
    </row>
    <row r="13034" spans="1:8">
      <c r="A13034" t="s">
        <v>4</v>
      </c>
      <c r="B13034" s="4" t="s">
        <v>5</v>
      </c>
      <c r="C13034" s="4" t="s">
        <v>7</v>
      </c>
      <c r="D13034" s="4" t="s">
        <v>11</v>
      </c>
    </row>
    <row r="13035" spans="1:8">
      <c r="A13035" t="n">
        <v>123350</v>
      </c>
      <c r="B13035" s="49" t="n">
        <v>116</v>
      </c>
      <c r="C13035" s="7" t="n">
        <v>6</v>
      </c>
      <c r="D13035" s="7" t="n">
        <v>1</v>
      </c>
    </row>
    <row r="13036" spans="1:8">
      <c r="A13036" t="s">
        <v>4</v>
      </c>
      <c r="B13036" s="4" t="s">
        <v>5</v>
      </c>
      <c r="C13036" s="4" t="s">
        <v>7</v>
      </c>
      <c r="D13036" s="4" t="s">
        <v>7</v>
      </c>
      <c r="E13036" s="4" t="s">
        <v>13</v>
      </c>
      <c r="F13036" s="4" t="s">
        <v>13</v>
      </c>
      <c r="G13036" s="4" t="s">
        <v>13</v>
      </c>
      <c r="H13036" s="4" t="s">
        <v>11</v>
      </c>
    </row>
    <row r="13037" spans="1:8">
      <c r="A13037" t="n">
        <v>123354</v>
      </c>
      <c r="B13037" s="51" t="n">
        <v>45</v>
      </c>
      <c r="C13037" s="7" t="n">
        <v>2</v>
      </c>
      <c r="D13037" s="7" t="n">
        <v>3</v>
      </c>
      <c r="E13037" s="7" t="n">
        <v>-6.67000007629395</v>
      </c>
      <c r="F13037" s="7" t="n">
        <v>6.42000007629395</v>
      </c>
      <c r="G13037" s="7" t="n">
        <v>29.8899993896484</v>
      </c>
      <c r="H13037" s="7" t="n">
        <v>0</v>
      </c>
    </row>
    <row r="13038" spans="1:8">
      <c r="A13038" t="s">
        <v>4</v>
      </c>
      <c r="B13038" s="4" t="s">
        <v>5</v>
      </c>
      <c r="C13038" s="4" t="s">
        <v>7</v>
      </c>
      <c r="D13038" s="4" t="s">
        <v>7</v>
      </c>
      <c r="E13038" s="4" t="s">
        <v>13</v>
      </c>
      <c r="F13038" s="4" t="s">
        <v>13</v>
      </c>
      <c r="G13038" s="4" t="s">
        <v>13</v>
      </c>
      <c r="H13038" s="4" t="s">
        <v>11</v>
      </c>
      <c r="I13038" s="4" t="s">
        <v>7</v>
      </c>
    </row>
    <row r="13039" spans="1:8">
      <c r="A13039" t="n">
        <v>123371</v>
      </c>
      <c r="B13039" s="51" t="n">
        <v>45</v>
      </c>
      <c r="C13039" s="7" t="n">
        <v>4</v>
      </c>
      <c r="D13039" s="7" t="n">
        <v>3</v>
      </c>
      <c r="E13039" s="7" t="n">
        <v>15.4700002670288</v>
      </c>
      <c r="F13039" s="7" t="n">
        <v>56.1100006103516</v>
      </c>
      <c r="G13039" s="7" t="n">
        <v>354</v>
      </c>
      <c r="H13039" s="7" t="n">
        <v>0</v>
      </c>
      <c r="I13039" s="7" t="n">
        <v>0</v>
      </c>
    </row>
    <row r="13040" spans="1:8">
      <c r="A13040" t="s">
        <v>4</v>
      </c>
      <c r="B13040" s="4" t="s">
        <v>5</v>
      </c>
      <c r="C13040" s="4" t="s">
        <v>7</v>
      </c>
      <c r="D13040" s="4" t="s">
        <v>7</v>
      </c>
      <c r="E13040" s="4" t="s">
        <v>13</v>
      </c>
      <c r="F13040" s="4" t="s">
        <v>11</v>
      </c>
    </row>
    <row r="13041" spans="1:9">
      <c r="A13041" t="n">
        <v>123389</v>
      </c>
      <c r="B13041" s="51" t="n">
        <v>45</v>
      </c>
      <c r="C13041" s="7" t="n">
        <v>5</v>
      </c>
      <c r="D13041" s="7" t="n">
        <v>3</v>
      </c>
      <c r="E13041" s="7" t="n">
        <v>1.5</v>
      </c>
      <c r="F13041" s="7" t="n">
        <v>0</v>
      </c>
    </row>
    <row r="13042" spans="1:9">
      <c r="A13042" t="s">
        <v>4</v>
      </c>
      <c r="B13042" s="4" t="s">
        <v>5</v>
      </c>
      <c r="C13042" s="4" t="s">
        <v>7</v>
      </c>
      <c r="D13042" s="4" t="s">
        <v>7</v>
      </c>
      <c r="E13042" s="4" t="s">
        <v>13</v>
      </c>
      <c r="F13042" s="4" t="s">
        <v>11</v>
      </c>
    </row>
    <row r="13043" spans="1:9">
      <c r="A13043" t="n">
        <v>123398</v>
      </c>
      <c r="B13043" s="51" t="n">
        <v>45</v>
      </c>
      <c r="C13043" s="7" t="n">
        <v>11</v>
      </c>
      <c r="D13043" s="7" t="n">
        <v>3</v>
      </c>
      <c r="E13043" s="7" t="n">
        <v>40.2999992370605</v>
      </c>
      <c r="F13043" s="7" t="n">
        <v>0</v>
      </c>
    </row>
    <row r="13044" spans="1:9">
      <c r="A13044" t="s">
        <v>4</v>
      </c>
      <c r="B13044" s="4" t="s">
        <v>5</v>
      </c>
      <c r="C13044" s="4" t="s">
        <v>7</v>
      </c>
      <c r="D13044" s="4" t="s">
        <v>7</v>
      </c>
      <c r="E13044" s="4" t="s">
        <v>13</v>
      </c>
      <c r="F13044" s="4" t="s">
        <v>13</v>
      </c>
      <c r="G13044" s="4" t="s">
        <v>13</v>
      </c>
      <c r="H13044" s="4" t="s">
        <v>11</v>
      </c>
    </row>
    <row r="13045" spans="1:9">
      <c r="A13045" t="n">
        <v>123407</v>
      </c>
      <c r="B13045" s="51" t="n">
        <v>45</v>
      </c>
      <c r="C13045" s="7" t="n">
        <v>2</v>
      </c>
      <c r="D13045" s="7" t="n">
        <v>3</v>
      </c>
      <c r="E13045" s="7" t="n">
        <v>-6.34000015258789</v>
      </c>
      <c r="F13045" s="7" t="n">
        <v>6.59000015258789</v>
      </c>
      <c r="G13045" s="7" t="n">
        <v>28.8899993896484</v>
      </c>
      <c r="H13045" s="7" t="n">
        <v>6000</v>
      </c>
    </row>
    <row r="13046" spans="1:9">
      <c r="A13046" t="s">
        <v>4</v>
      </c>
      <c r="B13046" s="4" t="s">
        <v>5</v>
      </c>
      <c r="C13046" s="4" t="s">
        <v>7</v>
      </c>
      <c r="D13046" s="4" t="s">
        <v>7</v>
      </c>
      <c r="E13046" s="4" t="s">
        <v>13</v>
      </c>
      <c r="F13046" s="4" t="s">
        <v>13</v>
      </c>
      <c r="G13046" s="4" t="s">
        <v>13</v>
      </c>
      <c r="H13046" s="4" t="s">
        <v>11</v>
      </c>
      <c r="I13046" s="4" t="s">
        <v>7</v>
      </c>
    </row>
    <row r="13047" spans="1:9">
      <c r="A13047" t="n">
        <v>123424</v>
      </c>
      <c r="B13047" s="51" t="n">
        <v>45</v>
      </c>
      <c r="C13047" s="7" t="n">
        <v>4</v>
      </c>
      <c r="D13047" s="7" t="n">
        <v>3</v>
      </c>
      <c r="E13047" s="7" t="n">
        <v>10.7700004577637</v>
      </c>
      <c r="F13047" s="7" t="n">
        <v>43.6100006103516</v>
      </c>
      <c r="G13047" s="7" t="n">
        <v>360</v>
      </c>
      <c r="H13047" s="7" t="n">
        <v>6000</v>
      </c>
      <c r="I13047" s="7" t="n">
        <v>1</v>
      </c>
    </row>
    <row r="13048" spans="1:9">
      <c r="A13048" t="s">
        <v>4</v>
      </c>
      <c r="B13048" s="4" t="s">
        <v>5</v>
      </c>
      <c r="C13048" s="4" t="s">
        <v>7</v>
      </c>
      <c r="D13048" s="4" t="s">
        <v>11</v>
      </c>
    </row>
    <row r="13049" spans="1:9">
      <c r="A13049" t="n">
        <v>123442</v>
      </c>
      <c r="B13049" s="23" t="n">
        <v>58</v>
      </c>
      <c r="C13049" s="7" t="n">
        <v>255</v>
      </c>
      <c r="D13049" s="7" t="n">
        <v>0</v>
      </c>
    </row>
    <row r="13050" spans="1:9">
      <c r="A13050" t="s">
        <v>4</v>
      </c>
      <c r="B13050" s="4" t="s">
        <v>5</v>
      </c>
      <c r="C13050" s="4" t="s">
        <v>7</v>
      </c>
      <c r="D13050" s="4" t="s">
        <v>11</v>
      </c>
    </row>
    <row r="13051" spans="1:9">
      <c r="A13051" t="n">
        <v>123446</v>
      </c>
      <c r="B13051" s="51" t="n">
        <v>45</v>
      </c>
      <c r="C13051" s="7" t="n">
        <v>7</v>
      </c>
      <c r="D13051" s="7" t="n">
        <v>255</v>
      </c>
    </row>
    <row r="13052" spans="1:9">
      <c r="A13052" t="s">
        <v>4</v>
      </c>
      <c r="B13052" s="4" t="s">
        <v>5</v>
      </c>
      <c r="C13052" s="4" t="s">
        <v>7</v>
      </c>
      <c r="D13052" s="4" t="s">
        <v>11</v>
      </c>
      <c r="E13052" s="4" t="s">
        <v>13</v>
      </c>
    </row>
    <row r="13053" spans="1:9">
      <c r="A13053" t="n">
        <v>123450</v>
      </c>
      <c r="B13053" s="23" t="n">
        <v>58</v>
      </c>
      <c r="C13053" s="7" t="n">
        <v>0</v>
      </c>
      <c r="D13053" s="7" t="n">
        <v>2000</v>
      </c>
      <c r="E13053" s="7" t="n">
        <v>1</v>
      </c>
    </row>
    <row r="13054" spans="1:9">
      <c r="A13054" t="s">
        <v>4</v>
      </c>
      <c r="B13054" s="4" t="s">
        <v>5</v>
      </c>
      <c r="C13054" s="4" t="s">
        <v>7</v>
      </c>
      <c r="D13054" s="4" t="s">
        <v>11</v>
      </c>
    </row>
    <row r="13055" spans="1:9">
      <c r="A13055" t="n">
        <v>123458</v>
      </c>
      <c r="B13055" s="23" t="n">
        <v>58</v>
      </c>
      <c r="C13055" s="7" t="n">
        <v>255</v>
      </c>
      <c r="D13055" s="7" t="n">
        <v>0</v>
      </c>
    </row>
    <row r="13056" spans="1:9">
      <c r="A13056" t="s">
        <v>4</v>
      </c>
      <c r="B13056" s="4" t="s">
        <v>5</v>
      </c>
      <c r="C13056" s="4" t="s">
        <v>7</v>
      </c>
      <c r="D13056" s="4" t="s">
        <v>11</v>
      </c>
      <c r="E13056" s="4" t="s">
        <v>11</v>
      </c>
      <c r="F13056" s="4" t="s">
        <v>15</v>
      </c>
    </row>
    <row r="13057" spans="1:9">
      <c r="A13057" t="n">
        <v>123462</v>
      </c>
      <c r="B13057" s="76" t="n">
        <v>84</v>
      </c>
      <c r="C13057" s="7" t="n">
        <v>1</v>
      </c>
      <c r="D13057" s="7" t="n">
        <v>0</v>
      </c>
      <c r="E13057" s="7" t="n">
        <v>0</v>
      </c>
      <c r="F13057" s="7" t="n">
        <v>0</v>
      </c>
    </row>
    <row r="13058" spans="1:9">
      <c r="A13058" t="s">
        <v>4</v>
      </c>
      <c r="B13058" s="4" t="s">
        <v>5</v>
      </c>
      <c r="C13058" s="4" t="s">
        <v>7</v>
      </c>
    </row>
    <row r="13059" spans="1:9">
      <c r="A13059" t="n">
        <v>123472</v>
      </c>
      <c r="B13059" s="28" t="n">
        <v>78</v>
      </c>
      <c r="C13059" s="7" t="n">
        <v>255</v>
      </c>
    </row>
    <row r="13060" spans="1:9">
      <c r="A13060" t="s">
        <v>4</v>
      </c>
      <c r="B13060" s="4" t="s">
        <v>5</v>
      </c>
      <c r="C13060" s="4" t="s">
        <v>7</v>
      </c>
      <c r="D13060" s="4" t="s">
        <v>11</v>
      </c>
      <c r="E13060" s="4" t="s">
        <v>7</v>
      </c>
    </row>
    <row r="13061" spans="1:9">
      <c r="A13061" t="n">
        <v>123474</v>
      </c>
      <c r="B13061" s="40" t="n">
        <v>36</v>
      </c>
      <c r="C13061" s="7" t="n">
        <v>9</v>
      </c>
      <c r="D13061" s="7" t="n">
        <v>0</v>
      </c>
      <c r="E13061" s="7" t="n">
        <v>0</v>
      </c>
    </row>
    <row r="13062" spans="1:9">
      <c r="A13062" t="s">
        <v>4</v>
      </c>
      <c r="B13062" s="4" t="s">
        <v>5</v>
      </c>
      <c r="C13062" s="4" t="s">
        <v>7</v>
      </c>
      <c r="D13062" s="4" t="s">
        <v>11</v>
      </c>
      <c r="E13062" s="4" t="s">
        <v>7</v>
      </c>
    </row>
    <row r="13063" spans="1:9">
      <c r="A13063" t="n">
        <v>123479</v>
      </c>
      <c r="B13063" s="40" t="n">
        <v>36</v>
      </c>
      <c r="C13063" s="7" t="n">
        <v>9</v>
      </c>
      <c r="D13063" s="7" t="n">
        <v>4</v>
      </c>
      <c r="E13063" s="7" t="n">
        <v>0</v>
      </c>
    </row>
    <row r="13064" spans="1:9">
      <c r="A13064" t="s">
        <v>4</v>
      </c>
      <c r="B13064" s="4" t="s">
        <v>5</v>
      </c>
      <c r="C13064" s="4" t="s">
        <v>11</v>
      </c>
    </row>
    <row r="13065" spans="1:9">
      <c r="A13065" t="n">
        <v>123484</v>
      </c>
      <c r="B13065" s="43" t="n">
        <v>12</v>
      </c>
      <c r="C13065" s="7" t="n">
        <v>10823</v>
      </c>
    </row>
    <row r="13066" spans="1:9">
      <c r="A13066" t="s">
        <v>4</v>
      </c>
      <c r="B13066" s="4" t="s">
        <v>5</v>
      </c>
      <c r="C13066" s="4" t="s">
        <v>11</v>
      </c>
    </row>
    <row r="13067" spans="1:9">
      <c r="A13067" t="n">
        <v>123487</v>
      </c>
      <c r="B13067" s="43" t="n">
        <v>12</v>
      </c>
      <c r="C13067" s="7" t="n">
        <v>6579</v>
      </c>
    </row>
    <row r="13068" spans="1:9">
      <c r="A13068" t="s">
        <v>4</v>
      </c>
      <c r="B13068" s="4" t="s">
        <v>5</v>
      </c>
      <c r="C13068" s="4" t="s">
        <v>7</v>
      </c>
      <c r="D13068" s="4" t="s">
        <v>15</v>
      </c>
    </row>
    <row r="13069" spans="1:9">
      <c r="A13069" t="n">
        <v>123490</v>
      </c>
      <c r="B13069" s="79" t="n">
        <v>137</v>
      </c>
      <c r="C13069" s="7" t="n">
        <v>6</v>
      </c>
      <c r="D13069" s="7" t="n">
        <v>256</v>
      </c>
    </row>
    <row r="13070" spans="1:9">
      <c r="A13070" t="s">
        <v>4</v>
      </c>
      <c r="B13070" s="4" t="s">
        <v>5</v>
      </c>
      <c r="C13070" s="4" t="s">
        <v>11</v>
      </c>
      <c r="D13070" s="4" t="s">
        <v>7</v>
      </c>
      <c r="E13070" s="4" t="s">
        <v>11</v>
      </c>
    </row>
    <row r="13071" spans="1:9">
      <c r="A13071" t="n">
        <v>123496</v>
      </c>
      <c r="B13071" s="58" t="n">
        <v>104</v>
      </c>
      <c r="C13071" s="7" t="n">
        <v>127</v>
      </c>
      <c r="D13071" s="7" t="n">
        <v>1</v>
      </c>
      <c r="E13071" s="7" t="n">
        <v>6</v>
      </c>
    </row>
    <row r="13072" spans="1:9">
      <c r="A13072" t="s">
        <v>4</v>
      </c>
      <c r="B13072" s="4" t="s">
        <v>5</v>
      </c>
    </row>
    <row r="13073" spans="1:6">
      <c r="A13073" t="n">
        <v>123502</v>
      </c>
      <c r="B13073" s="5" t="n">
        <v>1</v>
      </c>
    </row>
    <row r="13074" spans="1:6">
      <c r="A13074" t="s">
        <v>4</v>
      </c>
      <c r="B13074" s="4" t="s">
        <v>5</v>
      </c>
      <c r="C13074" s="4" t="s">
        <v>7</v>
      </c>
      <c r="D13074" s="4" t="s">
        <v>11</v>
      </c>
      <c r="E13074" s="4" t="s">
        <v>11</v>
      </c>
      <c r="F13074" s="4" t="s">
        <v>15</v>
      </c>
      <c r="G13074" s="4" t="s">
        <v>15</v>
      </c>
      <c r="H13074" s="4" t="s">
        <v>15</v>
      </c>
    </row>
    <row r="13075" spans="1:6">
      <c r="A13075" t="n">
        <v>123503</v>
      </c>
      <c r="B13075" s="77" t="n">
        <v>97</v>
      </c>
      <c r="C13075" s="7" t="n">
        <v>7</v>
      </c>
      <c r="D13075" s="7" t="n">
        <v>0</v>
      </c>
      <c r="E13075" s="7" t="n">
        <v>0</v>
      </c>
      <c r="F13075" s="7" t="n">
        <v>0</v>
      </c>
      <c r="G13075" s="7" t="n">
        <v>0</v>
      </c>
      <c r="H13075" s="7" t="n">
        <v>0</v>
      </c>
    </row>
    <row r="13076" spans="1:6">
      <c r="A13076" t="s">
        <v>4</v>
      </c>
      <c r="B13076" s="4" t="s">
        <v>5</v>
      </c>
      <c r="C13076" s="4" t="s">
        <v>11</v>
      </c>
      <c r="D13076" s="4" t="s">
        <v>13</v>
      </c>
      <c r="E13076" s="4" t="s">
        <v>13</v>
      </c>
      <c r="F13076" s="4" t="s">
        <v>13</v>
      </c>
      <c r="G13076" s="4" t="s">
        <v>13</v>
      </c>
    </row>
    <row r="13077" spans="1:6">
      <c r="A13077" t="n">
        <v>123521</v>
      </c>
      <c r="B13077" s="36" t="n">
        <v>46</v>
      </c>
      <c r="C13077" s="7" t="n">
        <v>61456</v>
      </c>
      <c r="D13077" s="7" t="n">
        <v>0</v>
      </c>
      <c r="E13077" s="7" t="n">
        <v>0</v>
      </c>
      <c r="F13077" s="7" t="n">
        <v>0</v>
      </c>
      <c r="G13077" s="7" t="n">
        <v>0</v>
      </c>
    </row>
    <row r="13078" spans="1:6">
      <c r="A13078" t="s">
        <v>4</v>
      </c>
      <c r="B13078" s="4" t="s">
        <v>5</v>
      </c>
      <c r="C13078" s="4" t="s">
        <v>7</v>
      </c>
      <c r="D13078" s="4" t="s">
        <v>11</v>
      </c>
    </row>
    <row r="13079" spans="1:6">
      <c r="A13079" t="n">
        <v>123540</v>
      </c>
      <c r="B13079" s="8" t="n">
        <v>162</v>
      </c>
      <c r="C13079" s="7" t="n">
        <v>1</v>
      </c>
      <c r="D13079" s="7" t="n">
        <v>0</v>
      </c>
    </row>
    <row r="13080" spans="1:6">
      <c r="A13080" t="s">
        <v>4</v>
      </c>
      <c r="B13080" s="4" t="s">
        <v>5</v>
      </c>
    </row>
    <row r="13081" spans="1:6">
      <c r="A13081" t="n">
        <v>123544</v>
      </c>
      <c r="B13081" s="5" t="n">
        <v>1</v>
      </c>
    </row>
    <row r="13082" spans="1:6" s="3" customFormat="1" customHeight="0">
      <c r="A13082" s="3" t="s">
        <v>2</v>
      </c>
      <c r="B13082" s="3" t="s">
        <v>1063</v>
      </c>
    </row>
    <row r="13083" spans="1:6">
      <c r="A13083" t="s">
        <v>4</v>
      </c>
      <c r="B13083" s="4" t="s">
        <v>5</v>
      </c>
      <c r="C13083" s="4" t="s">
        <v>7</v>
      </c>
      <c r="D13083" s="4" t="s">
        <v>7</v>
      </c>
      <c r="E13083" s="4" t="s">
        <v>7</v>
      </c>
      <c r="F13083" s="4" t="s">
        <v>7</v>
      </c>
    </row>
    <row r="13084" spans="1:6">
      <c r="A13084" t="n">
        <v>123548</v>
      </c>
      <c r="B13084" s="9" t="n">
        <v>14</v>
      </c>
      <c r="C13084" s="7" t="n">
        <v>2</v>
      </c>
      <c r="D13084" s="7" t="n">
        <v>0</v>
      </c>
      <c r="E13084" s="7" t="n">
        <v>0</v>
      </c>
      <c r="F13084" s="7" t="n">
        <v>0</v>
      </c>
    </row>
    <row r="13085" spans="1:6">
      <c r="A13085" t="s">
        <v>4</v>
      </c>
      <c r="B13085" s="4" t="s">
        <v>5</v>
      </c>
      <c r="C13085" s="4" t="s">
        <v>7</v>
      </c>
      <c r="D13085" s="20" t="s">
        <v>35</v>
      </c>
      <c r="E13085" s="4" t="s">
        <v>5</v>
      </c>
      <c r="F13085" s="4" t="s">
        <v>7</v>
      </c>
      <c r="G13085" s="4" t="s">
        <v>11</v>
      </c>
      <c r="H13085" s="20" t="s">
        <v>36</v>
      </c>
      <c r="I13085" s="4" t="s">
        <v>7</v>
      </c>
      <c r="J13085" s="4" t="s">
        <v>15</v>
      </c>
      <c r="K13085" s="4" t="s">
        <v>7</v>
      </c>
      <c r="L13085" s="4" t="s">
        <v>7</v>
      </c>
      <c r="M13085" s="20" t="s">
        <v>35</v>
      </c>
      <c r="N13085" s="4" t="s">
        <v>5</v>
      </c>
      <c r="O13085" s="4" t="s">
        <v>7</v>
      </c>
      <c r="P13085" s="4" t="s">
        <v>11</v>
      </c>
      <c r="Q13085" s="20" t="s">
        <v>36</v>
      </c>
      <c r="R13085" s="4" t="s">
        <v>7</v>
      </c>
      <c r="S13085" s="4" t="s">
        <v>15</v>
      </c>
      <c r="T13085" s="4" t="s">
        <v>7</v>
      </c>
      <c r="U13085" s="4" t="s">
        <v>7</v>
      </c>
      <c r="V13085" s="4" t="s">
        <v>7</v>
      </c>
      <c r="W13085" s="4" t="s">
        <v>12</v>
      </c>
    </row>
    <row r="13086" spans="1:6">
      <c r="A13086" t="n">
        <v>123553</v>
      </c>
      <c r="B13086" s="10" t="n">
        <v>5</v>
      </c>
      <c r="C13086" s="7" t="n">
        <v>28</v>
      </c>
      <c r="D13086" s="20" t="s">
        <v>3</v>
      </c>
      <c r="E13086" s="8" t="n">
        <v>162</v>
      </c>
      <c r="F13086" s="7" t="n">
        <v>3</v>
      </c>
      <c r="G13086" s="7" t="n">
        <v>32887</v>
      </c>
      <c r="H13086" s="20" t="s">
        <v>3</v>
      </c>
      <c r="I13086" s="7" t="n">
        <v>0</v>
      </c>
      <c r="J13086" s="7" t="n">
        <v>1</v>
      </c>
      <c r="K13086" s="7" t="n">
        <v>2</v>
      </c>
      <c r="L13086" s="7" t="n">
        <v>28</v>
      </c>
      <c r="M13086" s="20" t="s">
        <v>3</v>
      </c>
      <c r="N13086" s="8" t="n">
        <v>162</v>
      </c>
      <c r="O13086" s="7" t="n">
        <v>3</v>
      </c>
      <c r="P13086" s="7" t="n">
        <v>32887</v>
      </c>
      <c r="Q13086" s="20" t="s">
        <v>3</v>
      </c>
      <c r="R13086" s="7" t="n">
        <v>0</v>
      </c>
      <c r="S13086" s="7" t="n">
        <v>2</v>
      </c>
      <c r="T13086" s="7" t="n">
        <v>2</v>
      </c>
      <c r="U13086" s="7" t="n">
        <v>11</v>
      </c>
      <c r="V13086" s="7" t="n">
        <v>1</v>
      </c>
      <c r="W13086" s="11" t="n">
        <f t="normal" ca="1">A13090</f>
        <v>0</v>
      </c>
    </row>
    <row r="13087" spans="1:6">
      <c r="A13087" t="s">
        <v>4</v>
      </c>
      <c r="B13087" s="4" t="s">
        <v>5</v>
      </c>
      <c r="C13087" s="4" t="s">
        <v>7</v>
      </c>
      <c r="D13087" s="4" t="s">
        <v>11</v>
      </c>
      <c r="E13087" s="4" t="s">
        <v>13</v>
      </c>
    </row>
    <row r="13088" spans="1:6">
      <c r="A13088" t="n">
        <v>123582</v>
      </c>
      <c r="B13088" s="23" t="n">
        <v>58</v>
      </c>
      <c r="C13088" s="7" t="n">
        <v>0</v>
      </c>
      <c r="D13088" s="7" t="n">
        <v>0</v>
      </c>
      <c r="E13088" s="7" t="n">
        <v>1</v>
      </c>
    </row>
    <row r="13089" spans="1:23">
      <c r="A13089" t="s">
        <v>4</v>
      </c>
      <c r="B13089" s="4" t="s">
        <v>5</v>
      </c>
      <c r="C13089" s="4" t="s">
        <v>7</v>
      </c>
      <c r="D13089" s="20" t="s">
        <v>35</v>
      </c>
      <c r="E13089" s="4" t="s">
        <v>5</v>
      </c>
      <c r="F13089" s="4" t="s">
        <v>7</v>
      </c>
      <c r="G13089" s="4" t="s">
        <v>11</v>
      </c>
      <c r="H13089" s="20" t="s">
        <v>36</v>
      </c>
      <c r="I13089" s="4" t="s">
        <v>7</v>
      </c>
      <c r="J13089" s="4" t="s">
        <v>15</v>
      </c>
      <c r="K13089" s="4" t="s">
        <v>7</v>
      </c>
      <c r="L13089" s="4" t="s">
        <v>7</v>
      </c>
      <c r="M13089" s="20" t="s">
        <v>35</v>
      </c>
      <c r="N13089" s="4" t="s">
        <v>5</v>
      </c>
      <c r="O13089" s="4" t="s">
        <v>7</v>
      </c>
      <c r="P13089" s="4" t="s">
        <v>11</v>
      </c>
      <c r="Q13089" s="20" t="s">
        <v>36</v>
      </c>
      <c r="R13089" s="4" t="s">
        <v>7</v>
      </c>
      <c r="S13089" s="4" t="s">
        <v>15</v>
      </c>
      <c r="T13089" s="4" t="s">
        <v>7</v>
      </c>
      <c r="U13089" s="4" t="s">
        <v>7</v>
      </c>
      <c r="V13089" s="4" t="s">
        <v>7</v>
      </c>
      <c r="W13089" s="4" t="s">
        <v>12</v>
      </c>
    </row>
    <row r="13090" spans="1:23">
      <c r="A13090" t="n">
        <v>123590</v>
      </c>
      <c r="B13090" s="10" t="n">
        <v>5</v>
      </c>
      <c r="C13090" s="7" t="n">
        <v>28</v>
      </c>
      <c r="D13090" s="20" t="s">
        <v>3</v>
      </c>
      <c r="E13090" s="8" t="n">
        <v>162</v>
      </c>
      <c r="F13090" s="7" t="n">
        <v>3</v>
      </c>
      <c r="G13090" s="7" t="n">
        <v>32887</v>
      </c>
      <c r="H13090" s="20" t="s">
        <v>3</v>
      </c>
      <c r="I13090" s="7" t="n">
        <v>0</v>
      </c>
      <c r="J13090" s="7" t="n">
        <v>1</v>
      </c>
      <c r="K13090" s="7" t="n">
        <v>3</v>
      </c>
      <c r="L13090" s="7" t="n">
        <v>28</v>
      </c>
      <c r="M13090" s="20" t="s">
        <v>3</v>
      </c>
      <c r="N13090" s="8" t="n">
        <v>162</v>
      </c>
      <c r="O13090" s="7" t="n">
        <v>3</v>
      </c>
      <c r="P13090" s="7" t="n">
        <v>32887</v>
      </c>
      <c r="Q13090" s="20" t="s">
        <v>3</v>
      </c>
      <c r="R13090" s="7" t="n">
        <v>0</v>
      </c>
      <c r="S13090" s="7" t="n">
        <v>2</v>
      </c>
      <c r="T13090" s="7" t="n">
        <v>3</v>
      </c>
      <c r="U13090" s="7" t="n">
        <v>9</v>
      </c>
      <c r="V13090" s="7" t="n">
        <v>1</v>
      </c>
      <c r="W13090" s="11" t="n">
        <f t="normal" ca="1">A13100</f>
        <v>0</v>
      </c>
    </row>
    <row r="13091" spans="1:23">
      <c r="A13091" t="s">
        <v>4</v>
      </c>
      <c r="B13091" s="4" t="s">
        <v>5</v>
      </c>
      <c r="C13091" s="4" t="s">
        <v>7</v>
      </c>
      <c r="D13091" s="20" t="s">
        <v>35</v>
      </c>
      <c r="E13091" s="4" t="s">
        <v>5</v>
      </c>
      <c r="F13091" s="4" t="s">
        <v>11</v>
      </c>
      <c r="G13091" s="4" t="s">
        <v>7</v>
      </c>
      <c r="H13091" s="4" t="s">
        <v>7</v>
      </c>
      <c r="I13091" s="4" t="s">
        <v>8</v>
      </c>
      <c r="J13091" s="20" t="s">
        <v>36</v>
      </c>
      <c r="K13091" s="4" t="s">
        <v>7</v>
      </c>
      <c r="L13091" s="4" t="s">
        <v>7</v>
      </c>
      <c r="M13091" s="20" t="s">
        <v>35</v>
      </c>
      <c r="N13091" s="4" t="s">
        <v>5</v>
      </c>
      <c r="O13091" s="4" t="s">
        <v>7</v>
      </c>
      <c r="P13091" s="20" t="s">
        <v>36</v>
      </c>
      <c r="Q13091" s="4" t="s">
        <v>7</v>
      </c>
      <c r="R13091" s="4" t="s">
        <v>15</v>
      </c>
      <c r="S13091" s="4" t="s">
        <v>7</v>
      </c>
      <c r="T13091" s="4" t="s">
        <v>7</v>
      </c>
      <c r="U13091" s="4" t="s">
        <v>7</v>
      </c>
      <c r="V13091" s="20" t="s">
        <v>35</v>
      </c>
      <c r="W13091" s="4" t="s">
        <v>5</v>
      </c>
      <c r="X13091" s="4" t="s">
        <v>7</v>
      </c>
      <c r="Y13091" s="20" t="s">
        <v>36</v>
      </c>
      <c r="Z13091" s="4" t="s">
        <v>7</v>
      </c>
      <c r="AA13091" s="4" t="s">
        <v>15</v>
      </c>
      <c r="AB13091" s="4" t="s">
        <v>7</v>
      </c>
      <c r="AC13091" s="4" t="s">
        <v>7</v>
      </c>
      <c r="AD13091" s="4" t="s">
        <v>7</v>
      </c>
      <c r="AE13091" s="4" t="s">
        <v>12</v>
      </c>
    </row>
    <row r="13092" spans="1:23">
      <c r="A13092" t="n">
        <v>123619</v>
      </c>
      <c r="B13092" s="10" t="n">
        <v>5</v>
      </c>
      <c r="C13092" s="7" t="n">
        <v>28</v>
      </c>
      <c r="D13092" s="20" t="s">
        <v>3</v>
      </c>
      <c r="E13092" s="41" t="n">
        <v>47</v>
      </c>
      <c r="F13092" s="7" t="n">
        <v>61456</v>
      </c>
      <c r="G13092" s="7" t="n">
        <v>2</v>
      </c>
      <c r="H13092" s="7" t="n">
        <v>0</v>
      </c>
      <c r="I13092" s="7" t="s">
        <v>105</v>
      </c>
      <c r="J13092" s="20" t="s">
        <v>3</v>
      </c>
      <c r="K13092" s="7" t="n">
        <v>8</v>
      </c>
      <c r="L13092" s="7" t="n">
        <v>28</v>
      </c>
      <c r="M13092" s="20" t="s">
        <v>3</v>
      </c>
      <c r="N13092" s="45" t="n">
        <v>74</v>
      </c>
      <c r="O13092" s="7" t="n">
        <v>65</v>
      </c>
      <c r="P13092" s="20" t="s">
        <v>3</v>
      </c>
      <c r="Q13092" s="7" t="n">
        <v>0</v>
      </c>
      <c r="R13092" s="7" t="n">
        <v>1</v>
      </c>
      <c r="S13092" s="7" t="n">
        <v>3</v>
      </c>
      <c r="T13092" s="7" t="n">
        <v>9</v>
      </c>
      <c r="U13092" s="7" t="n">
        <v>28</v>
      </c>
      <c r="V13092" s="20" t="s">
        <v>3</v>
      </c>
      <c r="W13092" s="45" t="n">
        <v>74</v>
      </c>
      <c r="X13092" s="7" t="n">
        <v>65</v>
      </c>
      <c r="Y13092" s="20" t="s">
        <v>3</v>
      </c>
      <c r="Z13092" s="7" t="n">
        <v>0</v>
      </c>
      <c r="AA13092" s="7" t="n">
        <v>2</v>
      </c>
      <c r="AB13092" s="7" t="n">
        <v>3</v>
      </c>
      <c r="AC13092" s="7" t="n">
        <v>9</v>
      </c>
      <c r="AD13092" s="7" t="n">
        <v>1</v>
      </c>
      <c r="AE13092" s="11" t="n">
        <f t="normal" ca="1">A13096</f>
        <v>0</v>
      </c>
    </row>
    <row r="13093" spans="1:23">
      <c r="A13093" t="s">
        <v>4</v>
      </c>
      <c r="B13093" s="4" t="s">
        <v>5</v>
      </c>
      <c r="C13093" s="4" t="s">
        <v>11</v>
      </c>
      <c r="D13093" s="4" t="s">
        <v>7</v>
      </c>
      <c r="E13093" s="4" t="s">
        <v>7</v>
      </c>
      <c r="F13093" s="4" t="s">
        <v>8</v>
      </c>
    </row>
    <row r="13094" spans="1:23">
      <c r="A13094" t="n">
        <v>123667</v>
      </c>
      <c r="B13094" s="41" t="n">
        <v>47</v>
      </c>
      <c r="C13094" s="7" t="n">
        <v>61456</v>
      </c>
      <c r="D13094" s="7" t="n">
        <v>0</v>
      </c>
      <c r="E13094" s="7" t="n">
        <v>0</v>
      </c>
      <c r="F13094" s="7" t="s">
        <v>106</v>
      </c>
    </row>
    <row r="13095" spans="1:23">
      <c r="A13095" t="s">
        <v>4</v>
      </c>
      <c r="B13095" s="4" t="s">
        <v>5</v>
      </c>
      <c r="C13095" s="4" t="s">
        <v>7</v>
      </c>
      <c r="D13095" s="4" t="s">
        <v>11</v>
      </c>
      <c r="E13095" s="4" t="s">
        <v>13</v>
      </c>
    </row>
    <row r="13096" spans="1:23">
      <c r="A13096" t="n">
        <v>123680</v>
      </c>
      <c r="B13096" s="23" t="n">
        <v>58</v>
      </c>
      <c r="C13096" s="7" t="n">
        <v>0</v>
      </c>
      <c r="D13096" s="7" t="n">
        <v>300</v>
      </c>
      <c r="E13096" s="7" t="n">
        <v>1</v>
      </c>
    </row>
    <row r="13097" spans="1:23">
      <c r="A13097" t="s">
        <v>4</v>
      </c>
      <c r="B13097" s="4" t="s">
        <v>5</v>
      </c>
      <c r="C13097" s="4" t="s">
        <v>7</v>
      </c>
      <c r="D13097" s="4" t="s">
        <v>11</v>
      </c>
    </row>
    <row r="13098" spans="1:23">
      <c r="A13098" t="n">
        <v>123688</v>
      </c>
      <c r="B13098" s="23" t="n">
        <v>58</v>
      </c>
      <c r="C13098" s="7" t="n">
        <v>255</v>
      </c>
      <c r="D13098" s="7" t="n">
        <v>0</v>
      </c>
    </row>
    <row r="13099" spans="1:23">
      <c r="A13099" t="s">
        <v>4</v>
      </c>
      <c r="B13099" s="4" t="s">
        <v>5</v>
      </c>
      <c r="C13099" s="4" t="s">
        <v>7</v>
      </c>
      <c r="D13099" s="4" t="s">
        <v>7</v>
      </c>
      <c r="E13099" s="4" t="s">
        <v>7</v>
      </c>
      <c r="F13099" s="4" t="s">
        <v>7</v>
      </c>
    </row>
    <row r="13100" spans="1:23">
      <c r="A13100" t="n">
        <v>123692</v>
      </c>
      <c r="B13100" s="9" t="n">
        <v>14</v>
      </c>
      <c r="C13100" s="7" t="n">
        <v>0</v>
      </c>
      <c r="D13100" s="7" t="n">
        <v>0</v>
      </c>
      <c r="E13100" s="7" t="n">
        <v>0</v>
      </c>
      <c r="F13100" s="7" t="n">
        <v>64</v>
      </c>
    </row>
    <row r="13101" spans="1:23">
      <c r="A13101" t="s">
        <v>4</v>
      </c>
      <c r="B13101" s="4" t="s">
        <v>5</v>
      </c>
      <c r="C13101" s="4" t="s">
        <v>7</v>
      </c>
      <c r="D13101" s="4" t="s">
        <v>11</v>
      </c>
    </row>
    <row r="13102" spans="1:23">
      <c r="A13102" t="n">
        <v>123697</v>
      </c>
      <c r="B13102" s="22" t="n">
        <v>22</v>
      </c>
      <c r="C13102" s="7" t="n">
        <v>0</v>
      </c>
      <c r="D13102" s="7" t="n">
        <v>32887</v>
      </c>
    </row>
    <row r="13103" spans="1:23">
      <c r="A13103" t="s">
        <v>4</v>
      </c>
      <c r="B13103" s="4" t="s">
        <v>5</v>
      </c>
      <c r="C13103" s="4" t="s">
        <v>7</v>
      </c>
      <c r="D13103" s="4" t="s">
        <v>11</v>
      </c>
    </row>
    <row r="13104" spans="1:23">
      <c r="A13104" t="n">
        <v>123701</v>
      </c>
      <c r="B13104" s="23" t="n">
        <v>58</v>
      </c>
      <c r="C13104" s="7" t="n">
        <v>5</v>
      </c>
      <c r="D13104" s="7" t="n">
        <v>300</v>
      </c>
    </row>
    <row r="13105" spans="1:31">
      <c r="A13105" t="s">
        <v>4</v>
      </c>
      <c r="B13105" s="4" t="s">
        <v>5</v>
      </c>
      <c r="C13105" s="4" t="s">
        <v>13</v>
      </c>
      <c r="D13105" s="4" t="s">
        <v>11</v>
      </c>
    </row>
    <row r="13106" spans="1:31">
      <c r="A13106" t="n">
        <v>123705</v>
      </c>
      <c r="B13106" s="46" t="n">
        <v>103</v>
      </c>
      <c r="C13106" s="7" t="n">
        <v>0</v>
      </c>
      <c r="D13106" s="7" t="n">
        <v>300</v>
      </c>
    </row>
    <row r="13107" spans="1:31">
      <c r="A13107" t="s">
        <v>4</v>
      </c>
      <c r="B13107" s="4" t="s">
        <v>5</v>
      </c>
      <c r="C13107" s="4" t="s">
        <v>7</v>
      </c>
    </row>
    <row r="13108" spans="1:31">
      <c r="A13108" t="n">
        <v>123712</v>
      </c>
      <c r="B13108" s="47" t="n">
        <v>64</v>
      </c>
      <c r="C13108" s="7" t="n">
        <v>7</v>
      </c>
    </row>
    <row r="13109" spans="1:31">
      <c r="A13109" t="s">
        <v>4</v>
      </c>
      <c r="B13109" s="4" t="s">
        <v>5</v>
      </c>
      <c r="C13109" s="4" t="s">
        <v>7</v>
      </c>
      <c r="D13109" s="4" t="s">
        <v>11</v>
      </c>
    </row>
    <row r="13110" spans="1:31">
      <c r="A13110" t="n">
        <v>123714</v>
      </c>
      <c r="B13110" s="48" t="n">
        <v>72</v>
      </c>
      <c r="C13110" s="7" t="n">
        <v>5</v>
      </c>
      <c r="D13110" s="7" t="n">
        <v>0</v>
      </c>
    </row>
    <row r="13111" spans="1:31">
      <c r="A13111" t="s">
        <v>4</v>
      </c>
      <c r="B13111" s="4" t="s">
        <v>5</v>
      </c>
      <c r="C13111" s="4" t="s">
        <v>7</v>
      </c>
      <c r="D13111" s="20" t="s">
        <v>35</v>
      </c>
      <c r="E13111" s="4" t="s">
        <v>5</v>
      </c>
      <c r="F13111" s="4" t="s">
        <v>7</v>
      </c>
      <c r="G13111" s="4" t="s">
        <v>11</v>
      </c>
      <c r="H13111" s="20" t="s">
        <v>36</v>
      </c>
      <c r="I13111" s="4" t="s">
        <v>7</v>
      </c>
      <c r="J13111" s="4" t="s">
        <v>15</v>
      </c>
      <c r="K13111" s="4" t="s">
        <v>7</v>
      </c>
      <c r="L13111" s="4" t="s">
        <v>7</v>
      </c>
      <c r="M13111" s="4" t="s">
        <v>12</v>
      </c>
    </row>
    <row r="13112" spans="1:31">
      <c r="A13112" t="n">
        <v>123718</v>
      </c>
      <c r="B13112" s="10" t="n">
        <v>5</v>
      </c>
      <c r="C13112" s="7" t="n">
        <v>28</v>
      </c>
      <c r="D13112" s="20" t="s">
        <v>3</v>
      </c>
      <c r="E13112" s="8" t="n">
        <v>162</v>
      </c>
      <c r="F13112" s="7" t="n">
        <v>4</v>
      </c>
      <c r="G13112" s="7" t="n">
        <v>32887</v>
      </c>
      <c r="H13112" s="20" t="s">
        <v>3</v>
      </c>
      <c r="I13112" s="7" t="n">
        <v>0</v>
      </c>
      <c r="J13112" s="7" t="n">
        <v>1</v>
      </c>
      <c r="K13112" s="7" t="n">
        <v>2</v>
      </c>
      <c r="L13112" s="7" t="n">
        <v>1</v>
      </c>
      <c r="M13112" s="11" t="n">
        <f t="normal" ca="1">A13118</f>
        <v>0</v>
      </c>
    </row>
    <row r="13113" spans="1:31">
      <c r="A13113" t="s">
        <v>4</v>
      </c>
      <c r="B13113" s="4" t="s">
        <v>5</v>
      </c>
      <c r="C13113" s="4" t="s">
        <v>7</v>
      </c>
      <c r="D13113" s="4" t="s">
        <v>8</v>
      </c>
    </row>
    <row r="13114" spans="1:31">
      <c r="A13114" t="n">
        <v>123735</v>
      </c>
      <c r="B13114" s="6" t="n">
        <v>2</v>
      </c>
      <c r="C13114" s="7" t="n">
        <v>10</v>
      </c>
      <c r="D13114" s="7" t="s">
        <v>107</v>
      </c>
    </row>
    <row r="13115" spans="1:31">
      <c r="A13115" t="s">
        <v>4</v>
      </c>
      <c r="B13115" s="4" t="s">
        <v>5</v>
      </c>
      <c r="C13115" s="4" t="s">
        <v>11</v>
      </c>
    </row>
    <row r="13116" spans="1:31">
      <c r="A13116" t="n">
        <v>123752</v>
      </c>
      <c r="B13116" s="29" t="n">
        <v>16</v>
      </c>
      <c r="C13116" s="7" t="n">
        <v>0</v>
      </c>
    </row>
    <row r="13117" spans="1:31">
      <c r="A13117" t="s">
        <v>4</v>
      </c>
      <c r="B13117" s="4" t="s">
        <v>5</v>
      </c>
      <c r="C13117" s="4" t="s">
        <v>7</v>
      </c>
      <c r="D13117" s="4" t="s">
        <v>11</v>
      </c>
      <c r="E13117" s="4" t="s">
        <v>11</v>
      </c>
      <c r="F13117" s="4" t="s">
        <v>11</v>
      </c>
      <c r="G13117" s="4" t="s">
        <v>11</v>
      </c>
      <c r="H13117" s="4" t="s">
        <v>11</v>
      </c>
      <c r="I13117" s="4" t="s">
        <v>11</v>
      </c>
      <c r="J13117" s="4" t="s">
        <v>11</v>
      </c>
      <c r="K13117" s="4" t="s">
        <v>11</v>
      </c>
      <c r="L13117" s="4" t="s">
        <v>11</v>
      </c>
      <c r="M13117" s="4" t="s">
        <v>11</v>
      </c>
      <c r="N13117" s="4" t="s">
        <v>15</v>
      </c>
      <c r="O13117" s="4" t="s">
        <v>15</v>
      </c>
      <c r="P13117" s="4" t="s">
        <v>15</v>
      </c>
      <c r="Q13117" s="4" t="s">
        <v>15</v>
      </c>
      <c r="R13117" s="4" t="s">
        <v>7</v>
      </c>
      <c r="S13117" s="4" t="s">
        <v>8</v>
      </c>
    </row>
    <row r="13118" spans="1:31">
      <c r="A13118" t="n">
        <v>123755</v>
      </c>
      <c r="B13118" s="24" t="n">
        <v>75</v>
      </c>
      <c r="C13118" s="7" t="n">
        <v>0</v>
      </c>
      <c r="D13118" s="7" t="n">
        <v>484</v>
      </c>
      <c r="E13118" s="7" t="n">
        <v>328</v>
      </c>
      <c r="F13118" s="7" t="n">
        <v>996</v>
      </c>
      <c r="G13118" s="7" t="n">
        <v>392</v>
      </c>
      <c r="H13118" s="7" t="n">
        <v>0</v>
      </c>
      <c r="I13118" s="7" t="n">
        <v>0</v>
      </c>
      <c r="J13118" s="7" t="n">
        <v>0</v>
      </c>
      <c r="K13118" s="7" t="n">
        <v>448</v>
      </c>
      <c r="L13118" s="7" t="n">
        <v>512</v>
      </c>
      <c r="M13118" s="7" t="n">
        <v>512</v>
      </c>
      <c r="N13118" s="7" t="n">
        <v>1065353216</v>
      </c>
      <c r="O13118" s="7" t="n">
        <v>1065353216</v>
      </c>
      <c r="P13118" s="7" t="n">
        <v>1065353216</v>
      </c>
      <c r="Q13118" s="7" t="n">
        <v>0</v>
      </c>
      <c r="R13118" s="7" t="n">
        <v>0</v>
      </c>
      <c r="S13118" s="7" t="s">
        <v>271</v>
      </c>
    </row>
    <row r="13119" spans="1:31">
      <c r="A13119" t="s">
        <v>4</v>
      </c>
      <c r="B13119" s="4" t="s">
        <v>5</v>
      </c>
      <c r="C13119" s="4" t="s">
        <v>11</v>
      </c>
      <c r="D13119" s="4" t="s">
        <v>8</v>
      </c>
      <c r="E13119" s="4" t="s">
        <v>8</v>
      </c>
      <c r="F13119" s="4" t="s">
        <v>8</v>
      </c>
      <c r="G13119" s="4" t="s">
        <v>7</v>
      </c>
      <c r="H13119" s="4" t="s">
        <v>15</v>
      </c>
      <c r="I13119" s="4" t="s">
        <v>13</v>
      </c>
      <c r="J13119" s="4" t="s">
        <v>13</v>
      </c>
      <c r="K13119" s="4" t="s">
        <v>13</v>
      </c>
      <c r="L13119" s="4" t="s">
        <v>13</v>
      </c>
      <c r="M13119" s="4" t="s">
        <v>13</v>
      </c>
      <c r="N13119" s="4" t="s">
        <v>13</v>
      </c>
      <c r="O13119" s="4" t="s">
        <v>13</v>
      </c>
      <c r="P13119" s="4" t="s">
        <v>8</v>
      </c>
      <c r="Q13119" s="4" t="s">
        <v>8</v>
      </c>
      <c r="R13119" s="4" t="s">
        <v>15</v>
      </c>
      <c r="S13119" s="4" t="s">
        <v>7</v>
      </c>
      <c r="T13119" s="4" t="s">
        <v>15</v>
      </c>
      <c r="U13119" s="4" t="s">
        <v>15</v>
      </c>
      <c r="V13119" s="4" t="s">
        <v>11</v>
      </c>
    </row>
    <row r="13120" spans="1:31">
      <c r="A13120" t="n">
        <v>123804</v>
      </c>
      <c r="B13120" s="62" t="n">
        <v>19</v>
      </c>
      <c r="C13120" s="7" t="n">
        <v>6</v>
      </c>
      <c r="D13120" s="7" t="s">
        <v>1064</v>
      </c>
      <c r="E13120" s="7" t="s">
        <v>1065</v>
      </c>
      <c r="F13120" s="7" t="s">
        <v>16</v>
      </c>
      <c r="G13120" s="7" t="n">
        <v>0</v>
      </c>
      <c r="H13120" s="7" t="n">
        <v>1</v>
      </c>
      <c r="I13120" s="7" t="n">
        <v>0</v>
      </c>
      <c r="J13120" s="7" t="n">
        <v>0</v>
      </c>
      <c r="K13120" s="7" t="n">
        <v>0</v>
      </c>
      <c r="L13120" s="7" t="n">
        <v>0</v>
      </c>
      <c r="M13120" s="7" t="n">
        <v>1</v>
      </c>
      <c r="N13120" s="7" t="n">
        <v>1.60000002384186</v>
      </c>
      <c r="O13120" s="7" t="n">
        <v>0.0900000035762787</v>
      </c>
      <c r="P13120" s="7" t="s">
        <v>16</v>
      </c>
      <c r="Q13120" s="7" t="s">
        <v>16</v>
      </c>
      <c r="R13120" s="7" t="n">
        <v>-1</v>
      </c>
      <c r="S13120" s="7" t="n">
        <v>0</v>
      </c>
      <c r="T13120" s="7" t="n">
        <v>0</v>
      </c>
      <c r="U13120" s="7" t="n">
        <v>0</v>
      </c>
      <c r="V13120" s="7" t="n">
        <v>0</v>
      </c>
    </row>
    <row r="13121" spans="1:22">
      <c r="A13121" t="s">
        <v>4</v>
      </c>
      <c r="B13121" s="4" t="s">
        <v>5</v>
      </c>
      <c r="C13121" s="4" t="s">
        <v>11</v>
      </c>
      <c r="D13121" s="4" t="s">
        <v>7</v>
      </c>
      <c r="E13121" s="4" t="s">
        <v>7</v>
      </c>
      <c r="F13121" s="4" t="s">
        <v>8</v>
      </c>
    </row>
    <row r="13122" spans="1:22">
      <c r="A13122" t="n">
        <v>123877</v>
      </c>
      <c r="B13122" s="50" t="n">
        <v>20</v>
      </c>
      <c r="C13122" s="7" t="n">
        <v>0</v>
      </c>
      <c r="D13122" s="7" t="n">
        <v>3</v>
      </c>
      <c r="E13122" s="7" t="n">
        <v>10</v>
      </c>
      <c r="F13122" s="7" t="s">
        <v>108</v>
      </c>
    </row>
    <row r="13123" spans="1:22">
      <c r="A13123" t="s">
        <v>4</v>
      </c>
      <c r="B13123" s="4" t="s">
        <v>5</v>
      </c>
      <c r="C13123" s="4" t="s">
        <v>11</v>
      </c>
    </row>
    <row r="13124" spans="1:22">
      <c r="A13124" t="n">
        <v>123895</v>
      </c>
      <c r="B13124" s="29" t="n">
        <v>16</v>
      </c>
      <c r="C13124" s="7" t="n">
        <v>0</v>
      </c>
    </row>
    <row r="13125" spans="1:22">
      <c r="A13125" t="s">
        <v>4</v>
      </c>
      <c r="B13125" s="4" t="s">
        <v>5</v>
      </c>
      <c r="C13125" s="4" t="s">
        <v>11</v>
      </c>
      <c r="D13125" s="4" t="s">
        <v>7</v>
      </c>
      <c r="E13125" s="4" t="s">
        <v>7</v>
      </c>
      <c r="F13125" s="4" t="s">
        <v>8</v>
      </c>
    </row>
    <row r="13126" spans="1:22">
      <c r="A13126" t="n">
        <v>123898</v>
      </c>
      <c r="B13126" s="50" t="n">
        <v>20</v>
      </c>
      <c r="C13126" s="7" t="n">
        <v>6</v>
      </c>
      <c r="D13126" s="7" t="n">
        <v>3</v>
      </c>
      <c r="E13126" s="7" t="n">
        <v>10</v>
      </c>
      <c r="F13126" s="7" t="s">
        <v>108</v>
      </c>
    </row>
    <row r="13127" spans="1:22">
      <c r="A13127" t="s">
        <v>4</v>
      </c>
      <c r="B13127" s="4" t="s">
        <v>5</v>
      </c>
      <c r="C13127" s="4" t="s">
        <v>11</v>
      </c>
    </row>
    <row r="13128" spans="1:22">
      <c r="A13128" t="n">
        <v>123916</v>
      </c>
      <c r="B13128" s="29" t="n">
        <v>16</v>
      </c>
      <c r="C13128" s="7" t="n">
        <v>0</v>
      </c>
    </row>
    <row r="13129" spans="1:22">
      <c r="A13129" t="s">
        <v>4</v>
      </c>
      <c r="B13129" s="4" t="s">
        <v>5</v>
      </c>
      <c r="C13129" s="4" t="s">
        <v>11</v>
      </c>
      <c r="D13129" s="4" t="s">
        <v>15</v>
      </c>
    </row>
    <row r="13130" spans="1:22">
      <c r="A13130" t="n">
        <v>123919</v>
      </c>
      <c r="B13130" s="39" t="n">
        <v>43</v>
      </c>
      <c r="C13130" s="7" t="n">
        <v>6</v>
      </c>
      <c r="D13130" s="7" t="n">
        <v>1</v>
      </c>
    </row>
    <row r="13131" spans="1:22">
      <c r="A13131" t="s">
        <v>4</v>
      </c>
      <c r="B13131" s="4" t="s">
        <v>5</v>
      </c>
      <c r="C13131" s="4" t="s">
        <v>7</v>
      </c>
    </row>
    <row r="13132" spans="1:22">
      <c r="A13132" t="n">
        <v>123926</v>
      </c>
      <c r="B13132" s="49" t="n">
        <v>116</v>
      </c>
      <c r="C13132" s="7" t="n">
        <v>0</v>
      </c>
    </row>
    <row r="13133" spans="1:22">
      <c r="A13133" t="s">
        <v>4</v>
      </c>
      <c r="B13133" s="4" t="s">
        <v>5</v>
      </c>
      <c r="C13133" s="4" t="s">
        <v>7</v>
      </c>
      <c r="D13133" s="4" t="s">
        <v>11</v>
      </c>
    </row>
    <row r="13134" spans="1:22">
      <c r="A13134" t="n">
        <v>123928</v>
      </c>
      <c r="B13134" s="49" t="n">
        <v>116</v>
      </c>
      <c r="C13134" s="7" t="n">
        <v>2</v>
      </c>
      <c r="D13134" s="7" t="n">
        <v>1</v>
      </c>
    </row>
    <row r="13135" spans="1:22">
      <c r="A13135" t="s">
        <v>4</v>
      </c>
      <c r="B13135" s="4" t="s">
        <v>5</v>
      </c>
      <c r="C13135" s="4" t="s">
        <v>7</v>
      </c>
      <c r="D13135" s="4" t="s">
        <v>15</v>
      </c>
    </row>
    <row r="13136" spans="1:22">
      <c r="A13136" t="n">
        <v>123932</v>
      </c>
      <c r="B13136" s="49" t="n">
        <v>116</v>
      </c>
      <c r="C13136" s="7" t="n">
        <v>5</v>
      </c>
      <c r="D13136" s="7" t="n">
        <v>1106247680</v>
      </c>
    </row>
    <row r="13137" spans="1:6">
      <c r="A13137" t="s">
        <v>4</v>
      </c>
      <c r="B13137" s="4" t="s">
        <v>5</v>
      </c>
      <c r="C13137" s="4" t="s">
        <v>7</v>
      </c>
      <c r="D13137" s="4" t="s">
        <v>11</v>
      </c>
    </row>
    <row r="13138" spans="1:6">
      <c r="A13138" t="n">
        <v>123938</v>
      </c>
      <c r="B13138" s="49" t="n">
        <v>116</v>
      </c>
      <c r="C13138" s="7" t="n">
        <v>6</v>
      </c>
      <c r="D13138" s="7" t="n">
        <v>1</v>
      </c>
    </row>
    <row r="13139" spans="1:6">
      <c r="A13139" t="s">
        <v>4</v>
      </c>
      <c r="B13139" s="4" t="s">
        <v>5</v>
      </c>
      <c r="C13139" s="4" t="s">
        <v>7</v>
      </c>
      <c r="D13139" s="4" t="s">
        <v>11</v>
      </c>
      <c r="E13139" s="4" t="s">
        <v>11</v>
      </c>
      <c r="F13139" s="4" t="s">
        <v>15</v>
      </c>
    </row>
    <row r="13140" spans="1:6">
      <c r="A13140" t="n">
        <v>123942</v>
      </c>
      <c r="B13140" s="76" t="n">
        <v>84</v>
      </c>
      <c r="C13140" s="7" t="n">
        <v>0</v>
      </c>
      <c r="D13140" s="7" t="n">
        <v>0</v>
      </c>
      <c r="E13140" s="7" t="n">
        <v>0</v>
      </c>
      <c r="F13140" s="7" t="n">
        <v>1045220557</v>
      </c>
    </row>
    <row r="13141" spans="1:6">
      <c r="A13141" t="s">
        <v>4</v>
      </c>
      <c r="B13141" s="4" t="s">
        <v>5</v>
      </c>
      <c r="C13141" s="4" t="s">
        <v>11</v>
      </c>
      <c r="D13141" s="4" t="s">
        <v>13</v>
      </c>
      <c r="E13141" s="4" t="s">
        <v>13</v>
      </c>
      <c r="F13141" s="4" t="s">
        <v>13</v>
      </c>
      <c r="G13141" s="4" t="s">
        <v>13</v>
      </c>
    </row>
    <row r="13142" spans="1:6">
      <c r="A13142" t="n">
        <v>123952</v>
      </c>
      <c r="B13142" s="36" t="n">
        <v>46</v>
      </c>
      <c r="C13142" s="7" t="n">
        <v>6</v>
      </c>
      <c r="D13142" s="7" t="n">
        <v>7.6100001335144</v>
      </c>
      <c r="E13142" s="7" t="n">
        <v>0</v>
      </c>
      <c r="F13142" s="7" t="n">
        <v>46.0200004577637</v>
      </c>
      <c r="G13142" s="7" t="n">
        <v>272.200012207031</v>
      </c>
    </row>
    <row r="13143" spans="1:6">
      <c r="A13143" t="s">
        <v>4</v>
      </c>
      <c r="B13143" s="4" t="s">
        <v>5</v>
      </c>
      <c r="C13143" s="4" t="s">
        <v>11</v>
      </c>
      <c r="D13143" s="4" t="s">
        <v>13</v>
      </c>
      <c r="E13143" s="4" t="s">
        <v>13</v>
      </c>
      <c r="F13143" s="4" t="s">
        <v>13</v>
      </c>
      <c r="G13143" s="4" t="s">
        <v>13</v>
      </c>
    </row>
    <row r="13144" spans="1:6">
      <c r="A13144" t="n">
        <v>123971</v>
      </c>
      <c r="B13144" s="36" t="n">
        <v>46</v>
      </c>
      <c r="C13144" s="7" t="n">
        <v>0</v>
      </c>
      <c r="D13144" s="7" t="n">
        <v>4.78000020980835</v>
      </c>
      <c r="E13144" s="7" t="n">
        <v>0</v>
      </c>
      <c r="F13144" s="7" t="n">
        <v>45.3300018310547</v>
      </c>
      <c r="G13144" s="7" t="n">
        <v>-102.300003051758</v>
      </c>
    </row>
    <row r="13145" spans="1:6">
      <c r="A13145" t="s">
        <v>4</v>
      </c>
      <c r="B13145" s="4" t="s">
        <v>5</v>
      </c>
      <c r="C13145" s="4" t="s">
        <v>11</v>
      </c>
      <c r="D13145" s="4" t="s">
        <v>7</v>
      </c>
      <c r="E13145" s="4" t="s">
        <v>8</v>
      </c>
      <c r="F13145" s="4" t="s">
        <v>13</v>
      </c>
      <c r="G13145" s="4" t="s">
        <v>13</v>
      </c>
      <c r="H13145" s="4" t="s">
        <v>13</v>
      </c>
    </row>
    <row r="13146" spans="1:6">
      <c r="A13146" t="n">
        <v>123990</v>
      </c>
      <c r="B13146" s="42" t="n">
        <v>48</v>
      </c>
      <c r="C13146" s="7" t="n">
        <v>0</v>
      </c>
      <c r="D13146" s="7" t="n">
        <v>0</v>
      </c>
      <c r="E13146" s="7" t="s">
        <v>275</v>
      </c>
      <c r="F13146" s="7" t="n">
        <v>0</v>
      </c>
      <c r="G13146" s="7" t="n">
        <v>1</v>
      </c>
      <c r="H13146" s="7" t="n">
        <v>0</v>
      </c>
    </row>
    <row r="13147" spans="1:6">
      <c r="A13147" t="s">
        <v>4</v>
      </c>
      <c r="B13147" s="4" t="s">
        <v>5</v>
      </c>
      <c r="C13147" s="4" t="s">
        <v>7</v>
      </c>
      <c r="D13147" s="4" t="s">
        <v>11</v>
      </c>
      <c r="E13147" s="4" t="s">
        <v>8</v>
      </c>
      <c r="F13147" s="4" t="s">
        <v>8</v>
      </c>
      <c r="G13147" s="4" t="s">
        <v>8</v>
      </c>
      <c r="H13147" s="4" t="s">
        <v>8</v>
      </c>
    </row>
    <row r="13148" spans="1:6">
      <c r="A13148" t="n">
        <v>124015</v>
      </c>
      <c r="B13148" s="38" t="n">
        <v>51</v>
      </c>
      <c r="C13148" s="7" t="n">
        <v>3</v>
      </c>
      <c r="D13148" s="7" t="n">
        <v>0</v>
      </c>
      <c r="E13148" s="7" t="s">
        <v>101</v>
      </c>
      <c r="F13148" s="7" t="s">
        <v>99</v>
      </c>
      <c r="G13148" s="7" t="s">
        <v>78</v>
      </c>
      <c r="H13148" s="7" t="s">
        <v>79</v>
      </c>
    </row>
    <row r="13149" spans="1:6">
      <c r="A13149" t="s">
        <v>4</v>
      </c>
      <c r="B13149" s="4" t="s">
        <v>5</v>
      </c>
      <c r="C13149" s="4" t="s">
        <v>7</v>
      </c>
      <c r="D13149" s="4" t="s">
        <v>11</v>
      </c>
      <c r="E13149" s="4" t="s">
        <v>8</v>
      </c>
      <c r="F13149" s="4" t="s">
        <v>8</v>
      </c>
      <c r="G13149" s="4" t="s">
        <v>8</v>
      </c>
      <c r="H13149" s="4" t="s">
        <v>8</v>
      </c>
    </row>
    <row r="13150" spans="1:6">
      <c r="A13150" t="n">
        <v>124036</v>
      </c>
      <c r="B13150" s="38" t="n">
        <v>51</v>
      </c>
      <c r="C13150" s="7" t="n">
        <v>3</v>
      </c>
      <c r="D13150" s="7" t="n">
        <v>6</v>
      </c>
      <c r="E13150" s="7" t="s">
        <v>101</v>
      </c>
      <c r="F13150" s="7" t="s">
        <v>99</v>
      </c>
      <c r="G13150" s="7" t="s">
        <v>78</v>
      </c>
      <c r="H13150" s="7" t="s">
        <v>79</v>
      </c>
    </row>
    <row r="13151" spans="1:6">
      <c r="A13151" t="s">
        <v>4</v>
      </c>
      <c r="B13151" s="4" t="s">
        <v>5</v>
      </c>
      <c r="C13151" s="4" t="s">
        <v>7</v>
      </c>
      <c r="D13151" s="4" t="s">
        <v>11</v>
      </c>
      <c r="E13151" s="4" t="s">
        <v>7</v>
      </c>
      <c r="F13151" s="4" t="s">
        <v>8</v>
      </c>
      <c r="G13151" s="4" t="s">
        <v>8</v>
      </c>
      <c r="H13151" s="4" t="s">
        <v>8</v>
      </c>
      <c r="I13151" s="4" t="s">
        <v>8</v>
      </c>
      <c r="J13151" s="4" t="s">
        <v>8</v>
      </c>
      <c r="K13151" s="4" t="s">
        <v>8</v>
      </c>
      <c r="L13151" s="4" t="s">
        <v>8</v>
      </c>
      <c r="M13151" s="4" t="s">
        <v>8</v>
      </c>
      <c r="N13151" s="4" t="s">
        <v>8</v>
      </c>
      <c r="O13151" s="4" t="s">
        <v>8</v>
      </c>
      <c r="P13151" s="4" t="s">
        <v>8</v>
      </c>
      <c r="Q13151" s="4" t="s">
        <v>8</v>
      </c>
      <c r="R13151" s="4" t="s">
        <v>8</v>
      </c>
      <c r="S13151" s="4" t="s">
        <v>8</v>
      </c>
      <c r="T13151" s="4" t="s">
        <v>8</v>
      </c>
      <c r="U13151" s="4" t="s">
        <v>8</v>
      </c>
    </row>
    <row r="13152" spans="1:6">
      <c r="A13152" t="n">
        <v>124057</v>
      </c>
      <c r="B13152" s="40" t="n">
        <v>36</v>
      </c>
      <c r="C13152" s="7" t="n">
        <v>8</v>
      </c>
      <c r="D13152" s="7" t="n">
        <v>0</v>
      </c>
      <c r="E13152" s="7" t="n">
        <v>0</v>
      </c>
      <c r="F13152" s="7" t="s">
        <v>1066</v>
      </c>
      <c r="G13152" s="7" t="s">
        <v>16</v>
      </c>
      <c r="H13152" s="7" t="s">
        <v>16</v>
      </c>
      <c r="I13152" s="7" t="s">
        <v>16</v>
      </c>
      <c r="J13152" s="7" t="s">
        <v>16</v>
      </c>
      <c r="K13152" s="7" t="s">
        <v>16</v>
      </c>
      <c r="L13152" s="7" t="s">
        <v>16</v>
      </c>
      <c r="M13152" s="7" t="s">
        <v>16</v>
      </c>
      <c r="N13152" s="7" t="s">
        <v>16</v>
      </c>
      <c r="O13152" s="7" t="s">
        <v>16</v>
      </c>
      <c r="P13152" s="7" t="s">
        <v>16</v>
      </c>
      <c r="Q13152" s="7" t="s">
        <v>16</v>
      </c>
      <c r="R13152" s="7" t="s">
        <v>16</v>
      </c>
      <c r="S13152" s="7" t="s">
        <v>16</v>
      </c>
      <c r="T13152" s="7" t="s">
        <v>16</v>
      </c>
      <c r="U13152" s="7" t="s">
        <v>16</v>
      </c>
    </row>
    <row r="13153" spans="1:21">
      <c r="A13153" t="s">
        <v>4</v>
      </c>
      <c r="B13153" s="4" t="s">
        <v>5</v>
      </c>
      <c r="C13153" s="4" t="s">
        <v>7</v>
      </c>
      <c r="D13153" s="4" t="s">
        <v>11</v>
      </c>
      <c r="E13153" s="4" t="s">
        <v>7</v>
      </c>
      <c r="F13153" s="4" t="s">
        <v>8</v>
      </c>
      <c r="G13153" s="4" t="s">
        <v>8</v>
      </c>
      <c r="H13153" s="4" t="s">
        <v>8</v>
      </c>
      <c r="I13153" s="4" t="s">
        <v>8</v>
      </c>
      <c r="J13153" s="4" t="s">
        <v>8</v>
      </c>
      <c r="K13153" s="4" t="s">
        <v>8</v>
      </c>
      <c r="L13153" s="4" t="s">
        <v>8</v>
      </c>
      <c r="M13153" s="4" t="s">
        <v>8</v>
      </c>
      <c r="N13153" s="4" t="s">
        <v>8</v>
      </c>
      <c r="O13153" s="4" t="s">
        <v>8</v>
      </c>
      <c r="P13153" s="4" t="s">
        <v>8</v>
      </c>
      <c r="Q13153" s="4" t="s">
        <v>8</v>
      </c>
      <c r="R13153" s="4" t="s">
        <v>8</v>
      </c>
      <c r="S13153" s="4" t="s">
        <v>8</v>
      </c>
      <c r="T13153" s="4" t="s">
        <v>8</v>
      </c>
      <c r="U13153" s="4" t="s">
        <v>8</v>
      </c>
    </row>
    <row r="13154" spans="1:21">
      <c r="A13154" t="n">
        <v>124087</v>
      </c>
      <c r="B13154" s="40" t="n">
        <v>36</v>
      </c>
      <c r="C13154" s="7" t="n">
        <v>8</v>
      </c>
      <c r="D13154" s="7" t="n">
        <v>6</v>
      </c>
      <c r="E13154" s="7" t="n">
        <v>0</v>
      </c>
      <c r="F13154" s="7" t="s">
        <v>1066</v>
      </c>
      <c r="G13154" s="7" t="s">
        <v>16</v>
      </c>
      <c r="H13154" s="7" t="s">
        <v>16</v>
      </c>
      <c r="I13154" s="7" t="s">
        <v>16</v>
      </c>
      <c r="J13154" s="7" t="s">
        <v>16</v>
      </c>
      <c r="K13154" s="7" t="s">
        <v>16</v>
      </c>
      <c r="L13154" s="7" t="s">
        <v>16</v>
      </c>
      <c r="M13154" s="7" t="s">
        <v>16</v>
      </c>
      <c r="N13154" s="7" t="s">
        <v>16</v>
      </c>
      <c r="O13154" s="7" t="s">
        <v>16</v>
      </c>
      <c r="P13154" s="7" t="s">
        <v>16</v>
      </c>
      <c r="Q13154" s="7" t="s">
        <v>16</v>
      </c>
      <c r="R13154" s="7" t="s">
        <v>16</v>
      </c>
      <c r="S13154" s="7" t="s">
        <v>16</v>
      </c>
      <c r="T13154" s="7" t="s">
        <v>16</v>
      </c>
      <c r="U13154" s="7" t="s">
        <v>16</v>
      </c>
    </row>
    <row r="13155" spans="1:21">
      <c r="A13155" t="s">
        <v>4</v>
      </c>
      <c r="B13155" s="4" t="s">
        <v>5</v>
      </c>
      <c r="C13155" s="4" t="s">
        <v>7</v>
      </c>
      <c r="D13155" s="4" t="s">
        <v>7</v>
      </c>
      <c r="E13155" s="4" t="s">
        <v>13</v>
      </c>
      <c r="F13155" s="4" t="s">
        <v>13</v>
      </c>
      <c r="G13155" s="4" t="s">
        <v>13</v>
      </c>
      <c r="H13155" s="4" t="s">
        <v>11</v>
      </c>
    </row>
    <row r="13156" spans="1:21">
      <c r="A13156" t="n">
        <v>124117</v>
      </c>
      <c r="B13156" s="51" t="n">
        <v>45</v>
      </c>
      <c r="C13156" s="7" t="n">
        <v>2</v>
      </c>
      <c r="D13156" s="7" t="n">
        <v>3</v>
      </c>
      <c r="E13156" s="7" t="n">
        <v>-3</v>
      </c>
      <c r="F13156" s="7" t="n">
        <v>2.89000010490417</v>
      </c>
      <c r="G13156" s="7" t="n">
        <v>41.3699989318848</v>
      </c>
      <c r="H13156" s="7" t="n">
        <v>0</v>
      </c>
    </row>
    <row r="13157" spans="1:21">
      <c r="A13157" t="s">
        <v>4</v>
      </c>
      <c r="B13157" s="4" t="s">
        <v>5</v>
      </c>
      <c r="C13157" s="4" t="s">
        <v>7</v>
      </c>
      <c r="D13157" s="4" t="s">
        <v>7</v>
      </c>
      <c r="E13157" s="4" t="s">
        <v>13</v>
      </c>
      <c r="F13157" s="4" t="s">
        <v>13</v>
      </c>
      <c r="G13157" s="4" t="s">
        <v>13</v>
      </c>
      <c r="H13157" s="4" t="s">
        <v>11</v>
      </c>
      <c r="I13157" s="4" t="s">
        <v>7</v>
      </c>
    </row>
    <row r="13158" spans="1:21">
      <c r="A13158" t="n">
        <v>124134</v>
      </c>
      <c r="B13158" s="51" t="n">
        <v>45</v>
      </c>
      <c r="C13158" s="7" t="n">
        <v>4</v>
      </c>
      <c r="D13158" s="7" t="n">
        <v>3</v>
      </c>
      <c r="E13158" s="7" t="n">
        <v>0.649999976158142</v>
      </c>
      <c r="F13158" s="7" t="n">
        <v>105.529998779297</v>
      </c>
      <c r="G13158" s="7" t="n">
        <v>0</v>
      </c>
      <c r="H13158" s="7" t="n">
        <v>0</v>
      </c>
      <c r="I13158" s="7" t="n">
        <v>0</v>
      </c>
    </row>
    <row r="13159" spans="1:21">
      <c r="A13159" t="s">
        <v>4</v>
      </c>
      <c r="B13159" s="4" t="s">
        <v>5</v>
      </c>
      <c r="C13159" s="4" t="s">
        <v>7</v>
      </c>
      <c r="D13159" s="4" t="s">
        <v>7</v>
      </c>
      <c r="E13159" s="4" t="s">
        <v>13</v>
      </c>
      <c r="F13159" s="4" t="s">
        <v>11</v>
      </c>
    </row>
    <row r="13160" spans="1:21">
      <c r="A13160" t="n">
        <v>124152</v>
      </c>
      <c r="B13160" s="51" t="n">
        <v>45</v>
      </c>
      <c r="C13160" s="7" t="n">
        <v>5</v>
      </c>
      <c r="D13160" s="7" t="n">
        <v>3</v>
      </c>
      <c r="E13160" s="7" t="n">
        <v>2.40000009536743</v>
      </c>
      <c r="F13160" s="7" t="n">
        <v>0</v>
      </c>
    </row>
    <row r="13161" spans="1:21">
      <c r="A13161" t="s">
        <v>4</v>
      </c>
      <c r="B13161" s="4" t="s">
        <v>5</v>
      </c>
      <c r="C13161" s="4" t="s">
        <v>7</v>
      </c>
      <c r="D13161" s="4" t="s">
        <v>7</v>
      </c>
      <c r="E13161" s="4" t="s">
        <v>13</v>
      </c>
      <c r="F13161" s="4" t="s">
        <v>11</v>
      </c>
    </row>
    <row r="13162" spans="1:21">
      <c r="A13162" t="n">
        <v>124161</v>
      </c>
      <c r="B13162" s="51" t="n">
        <v>45</v>
      </c>
      <c r="C13162" s="7" t="n">
        <v>11</v>
      </c>
      <c r="D13162" s="7" t="n">
        <v>3</v>
      </c>
      <c r="E13162" s="7" t="n">
        <v>33.4000015258789</v>
      </c>
      <c r="F13162" s="7" t="n">
        <v>0</v>
      </c>
    </row>
    <row r="13163" spans="1:21">
      <c r="A13163" t="s">
        <v>4</v>
      </c>
      <c r="B13163" s="4" t="s">
        <v>5</v>
      </c>
      <c r="C13163" s="4" t="s">
        <v>11</v>
      </c>
      <c r="D13163" s="4" t="s">
        <v>13</v>
      </c>
      <c r="E13163" s="4" t="s">
        <v>13</v>
      </c>
      <c r="F13163" s="4" t="s">
        <v>13</v>
      </c>
      <c r="G13163" s="4" t="s">
        <v>11</v>
      </c>
      <c r="H13163" s="4" t="s">
        <v>11</v>
      </c>
    </row>
    <row r="13164" spans="1:21">
      <c r="A13164" t="n">
        <v>124170</v>
      </c>
      <c r="B13164" s="37" t="n">
        <v>60</v>
      </c>
      <c r="C13164" s="7" t="n">
        <v>0</v>
      </c>
      <c r="D13164" s="7" t="n">
        <v>0</v>
      </c>
      <c r="E13164" s="7" t="n">
        <v>20</v>
      </c>
      <c r="F13164" s="7" t="n">
        <v>0</v>
      </c>
      <c r="G13164" s="7" t="n">
        <v>0</v>
      </c>
      <c r="H13164" s="7" t="n">
        <v>0</v>
      </c>
    </row>
    <row r="13165" spans="1:21">
      <c r="A13165" t="s">
        <v>4</v>
      </c>
      <c r="B13165" s="4" t="s">
        <v>5</v>
      </c>
      <c r="C13165" s="4" t="s">
        <v>7</v>
      </c>
      <c r="D13165" s="4" t="s">
        <v>7</v>
      </c>
      <c r="E13165" s="4" t="s">
        <v>7</v>
      </c>
      <c r="F13165" s="4" t="s">
        <v>13</v>
      </c>
      <c r="G13165" s="4" t="s">
        <v>13</v>
      </c>
      <c r="H13165" s="4" t="s">
        <v>13</v>
      </c>
      <c r="I13165" s="4" t="s">
        <v>13</v>
      </c>
      <c r="J13165" s="4" t="s">
        <v>13</v>
      </c>
    </row>
    <row r="13166" spans="1:21">
      <c r="A13166" t="n">
        <v>124189</v>
      </c>
      <c r="B13166" s="25" t="n">
        <v>76</v>
      </c>
      <c r="C13166" s="7" t="n">
        <v>0</v>
      </c>
      <c r="D13166" s="7" t="n">
        <v>3</v>
      </c>
      <c r="E13166" s="7" t="n">
        <v>2</v>
      </c>
      <c r="F13166" s="7" t="n">
        <v>1</v>
      </c>
      <c r="G13166" s="7" t="n">
        <v>1</v>
      </c>
      <c r="H13166" s="7" t="n">
        <v>1</v>
      </c>
      <c r="I13166" s="7" t="n">
        <v>1</v>
      </c>
      <c r="J13166" s="7" t="n">
        <v>2000</v>
      </c>
    </row>
    <row r="13167" spans="1:21">
      <c r="A13167" t="s">
        <v>4</v>
      </c>
      <c r="B13167" s="4" t="s">
        <v>5</v>
      </c>
      <c r="C13167" s="4" t="s">
        <v>7</v>
      </c>
      <c r="D13167" s="4" t="s">
        <v>7</v>
      </c>
      <c r="E13167" s="4" t="s">
        <v>7</v>
      </c>
      <c r="F13167" s="4" t="s">
        <v>13</v>
      </c>
      <c r="G13167" s="4" t="s">
        <v>13</v>
      </c>
      <c r="H13167" s="4" t="s">
        <v>13</v>
      </c>
      <c r="I13167" s="4" t="s">
        <v>13</v>
      </c>
      <c r="J13167" s="4" t="s">
        <v>13</v>
      </c>
    </row>
    <row r="13168" spans="1:21">
      <c r="A13168" t="n">
        <v>124213</v>
      </c>
      <c r="B13168" s="25" t="n">
        <v>76</v>
      </c>
      <c r="C13168" s="7" t="n">
        <v>0</v>
      </c>
      <c r="D13168" s="7" t="n">
        <v>0</v>
      </c>
      <c r="E13168" s="7" t="n">
        <v>2</v>
      </c>
      <c r="F13168" s="7" t="n">
        <v>64</v>
      </c>
      <c r="G13168" s="7" t="n">
        <v>0</v>
      </c>
      <c r="H13168" s="7" t="n">
        <v>2000</v>
      </c>
      <c r="I13168" s="7" t="n">
        <v>0</v>
      </c>
      <c r="J13168" s="7" t="n">
        <v>0</v>
      </c>
    </row>
    <row r="13169" spans="1:21">
      <c r="A13169" t="s">
        <v>4</v>
      </c>
      <c r="B13169" s="4" t="s">
        <v>5</v>
      </c>
      <c r="C13169" s="4" t="s">
        <v>7</v>
      </c>
      <c r="D13169" s="4" t="s">
        <v>7</v>
      </c>
    </row>
    <row r="13170" spans="1:21">
      <c r="A13170" t="n">
        <v>124237</v>
      </c>
      <c r="B13170" s="26" t="n">
        <v>77</v>
      </c>
      <c r="C13170" s="7" t="n">
        <v>0</v>
      </c>
      <c r="D13170" s="7" t="n">
        <v>3</v>
      </c>
    </row>
    <row r="13171" spans="1:21">
      <c r="A13171" t="s">
        <v>4</v>
      </c>
      <c r="B13171" s="4" t="s">
        <v>5</v>
      </c>
      <c r="C13171" s="4" t="s">
        <v>7</v>
      </c>
      <c r="D13171" s="4" t="s">
        <v>7</v>
      </c>
    </row>
    <row r="13172" spans="1:21">
      <c r="A13172" t="n">
        <v>124240</v>
      </c>
      <c r="B13172" s="26" t="n">
        <v>77</v>
      </c>
      <c r="C13172" s="7" t="n">
        <v>0</v>
      </c>
      <c r="D13172" s="7" t="n">
        <v>0</v>
      </c>
    </row>
    <row r="13173" spans="1:21">
      <c r="A13173" t="s">
        <v>4</v>
      </c>
      <c r="B13173" s="4" t="s">
        <v>5</v>
      </c>
      <c r="C13173" s="4" t="s">
        <v>11</v>
      </c>
    </row>
    <row r="13174" spans="1:21">
      <c r="A13174" t="n">
        <v>124243</v>
      </c>
      <c r="B13174" s="29" t="n">
        <v>16</v>
      </c>
      <c r="C13174" s="7" t="n">
        <v>2000</v>
      </c>
    </row>
    <row r="13175" spans="1:21">
      <c r="A13175" t="s">
        <v>4</v>
      </c>
      <c r="B13175" s="4" t="s">
        <v>5</v>
      </c>
      <c r="C13175" s="4" t="s">
        <v>7</v>
      </c>
      <c r="D13175" s="4" t="s">
        <v>11</v>
      </c>
      <c r="E13175" s="4" t="s">
        <v>15</v>
      </c>
      <c r="F13175" s="4" t="s">
        <v>11</v>
      </c>
      <c r="G13175" s="4" t="s">
        <v>15</v>
      </c>
      <c r="H13175" s="4" t="s">
        <v>7</v>
      </c>
    </row>
    <row r="13176" spans="1:21">
      <c r="A13176" t="n">
        <v>124246</v>
      </c>
      <c r="B13176" s="13" t="n">
        <v>49</v>
      </c>
      <c r="C13176" s="7" t="n">
        <v>0</v>
      </c>
      <c r="D13176" s="7" t="n">
        <v>514</v>
      </c>
      <c r="E13176" s="7" t="n">
        <v>1065353216</v>
      </c>
      <c r="F13176" s="7" t="n">
        <v>0</v>
      </c>
      <c r="G13176" s="7" t="n">
        <v>0</v>
      </c>
      <c r="H13176" s="7" t="n">
        <v>0</v>
      </c>
    </row>
    <row r="13177" spans="1:21">
      <c r="A13177" t="s">
        <v>4</v>
      </c>
      <c r="B13177" s="4" t="s">
        <v>5</v>
      </c>
      <c r="C13177" s="4" t="s">
        <v>7</v>
      </c>
      <c r="D13177" s="4" t="s">
        <v>7</v>
      </c>
      <c r="E13177" s="4" t="s">
        <v>7</v>
      </c>
      <c r="F13177" s="4" t="s">
        <v>13</v>
      </c>
      <c r="G13177" s="4" t="s">
        <v>13</v>
      </c>
      <c r="H13177" s="4" t="s">
        <v>13</v>
      </c>
      <c r="I13177" s="4" t="s">
        <v>13</v>
      </c>
      <c r="J13177" s="4" t="s">
        <v>13</v>
      </c>
    </row>
    <row r="13178" spans="1:21">
      <c r="A13178" t="n">
        <v>124261</v>
      </c>
      <c r="B13178" s="25" t="n">
        <v>76</v>
      </c>
      <c r="C13178" s="7" t="n">
        <v>0</v>
      </c>
      <c r="D13178" s="7" t="n">
        <v>3</v>
      </c>
      <c r="E13178" s="7" t="n">
        <v>1</v>
      </c>
      <c r="F13178" s="7" t="n">
        <v>1</v>
      </c>
      <c r="G13178" s="7" t="n">
        <v>1</v>
      </c>
      <c r="H13178" s="7" t="n">
        <v>1</v>
      </c>
      <c r="I13178" s="7" t="n">
        <v>0</v>
      </c>
      <c r="J13178" s="7" t="n">
        <v>2000</v>
      </c>
    </row>
    <row r="13179" spans="1:21">
      <c r="A13179" t="s">
        <v>4</v>
      </c>
      <c r="B13179" s="4" t="s">
        <v>5</v>
      </c>
      <c r="C13179" s="4" t="s">
        <v>7</v>
      </c>
      <c r="D13179" s="4" t="s">
        <v>7</v>
      </c>
      <c r="E13179" s="4" t="s">
        <v>7</v>
      </c>
      <c r="F13179" s="4" t="s">
        <v>13</v>
      </c>
      <c r="G13179" s="4" t="s">
        <v>13</v>
      </c>
      <c r="H13179" s="4" t="s">
        <v>13</v>
      </c>
      <c r="I13179" s="4" t="s">
        <v>13</v>
      </c>
      <c r="J13179" s="4" t="s">
        <v>13</v>
      </c>
    </row>
    <row r="13180" spans="1:21">
      <c r="A13180" t="n">
        <v>124285</v>
      </c>
      <c r="B13180" s="25" t="n">
        <v>76</v>
      </c>
      <c r="C13180" s="7" t="n">
        <v>0</v>
      </c>
      <c r="D13180" s="7" t="n">
        <v>0</v>
      </c>
      <c r="E13180" s="7" t="n">
        <v>1</v>
      </c>
      <c r="F13180" s="7" t="n">
        <v>128</v>
      </c>
      <c r="G13180" s="7" t="n">
        <v>0</v>
      </c>
      <c r="H13180" s="7" t="n">
        <v>2000</v>
      </c>
      <c r="I13180" s="7" t="n">
        <v>0</v>
      </c>
      <c r="J13180" s="7" t="n">
        <v>0</v>
      </c>
    </row>
    <row r="13181" spans="1:21">
      <c r="A13181" t="s">
        <v>4</v>
      </c>
      <c r="B13181" s="4" t="s">
        <v>5</v>
      </c>
      <c r="C13181" s="4" t="s">
        <v>7</v>
      </c>
      <c r="D13181" s="4" t="s">
        <v>7</v>
      </c>
    </row>
    <row r="13182" spans="1:21">
      <c r="A13182" t="n">
        <v>124309</v>
      </c>
      <c r="B13182" s="26" t="n">
        <v>77</v>
      </c>
      <c r="C13182" s="7" t="n">
        <v>0</v>
      </c>
      <c r="D13182" s="7" t="n">
        <v>3</v>
      </c>
    </row>
    <row r="13183" spans="1:21">
      <c r="A13183" t="s">
        <v>4</v>
      </c>
      <c r="B13183" s="4" t="s">
        <v>5</v>
      </c>
      <c r="C13183" s="4" t="s">
        <v>7</v>
      </c>
      <c r="D13183" s="4" t="s">
        <v>7</v>
      </c>
    </row>
    <row r="13184" spans="1:21">
      <c r="A13184" t="n">
        <v>124312</v>
      </c>
      <c r="B13184" s="26" t="n">
        <v>77</v>
      </c>
      <c r="C13184" s="7" t="n">
        <v>0</v>
      </c>
      <c r="D13184" s="7" t="n">
        <v>0</v>
      </c>
    </row>
    <row r="13185" spans="1:10">
      <c r="A13185" t="s">
        <v>4</v>
      </c>
      <c r="B13185" s="4" t="s">
        <v>5</v>
      </c>
      <c r="C13185" s="4" t="s">
        <v>7</v>
      </c>
      <c r="D13185" s="4" t="s">
        <v>7</v>
      </c>
      <c r="E13185" s="4" t="s">
        <v>13</v>
      </c>
      <c r="F13185" s="4" t="s">
        <v>13</v>
      </c>
      <c r="G13185" s="4" t="s">
        <v>13</v>
      </c>
      <c r="H13185" s="4" t="s">
        <v>11</v>
      </c>
    </row>
    <row r="13186" spans="1:10">
      <c r="A13186" t="n">
        <v>124315</v>
      </c>
      <c r="B13186" s="51" t="n">
        <v>45</v>
      </c>
      <c r="C13186" s="7" t="n">
        <v>2</v>
      </c>
      <c r="D13186" s="7" t="n">
        <v>3</v>
      </c>
      <c r="E13186" s="7" t="n">
        <v>5.23999977111816</v>
      </c>
      <c r="F13186" s="7" t="n">
        <v>2.15000009536743</v>
      </c>
      <c r="G13186" s="7" t="n">
        <v>43.8600006103516</v>
      </c>
      <c r="H13186" s="7" t="n">
        <v>8000</v>
      </c>
    </row>
    <row r="13187" spans="1:10">
      <c r="A13187" t="s">
        <v>4</v>
      </c>
      <c r="B13187" s="4" t="s">
        <v>5</v>
      </c>
      <c r="C13187" s="4" t="s">
        <v>7</v>
      </c>
      <c r="D13187" s="4" t="s">
        <v>7</v>
      </c>
      <c r="E13187" s="4" t="s">
        <v>13</v>
      </c>
      <c r="F13187" s="4" t="s">
        <v>13</v>
      </c>
      <c r="G13187" s="4" t="s">
        <v>13</v>
      </c>
      <c r="H13187" s="4" t="s">
        <v>11</v>
      </c>
      <c r="I13187" s="4" t="s">
        <v>7</v>
      </c>
    </row>
    <row r="13188" spans="1:10">
      <c r="A13188" t="n">
        <v>124332</v>
      </c>
      <c r="B13188" s="51" t="n">
        <v>45</v>
      </c>
      <c r="C13188" s="7" t="n">
        <v>4</v>
      </c>
      <c r="D13188" s="7" t="n">
        <v>3</v>
      </c>
      <c r="E13188" s="7" t="n">
        <v>12.4799995422363</v>
      </c>
      <c r="F13188" s="7" t="n">
        <v>144.25</v>
      </c>
      <c r="G13188" s="7" t="n">
        <v>0</v>
      </c>
      <c r="H13188" s="7" t="n">
        <v>8000</v>
      </c>
      <c r="I13188" s="7" t="n">
        <v>0</v>
      </c>
    </row>
    <row r="13189" spans="1:10">
      <c r="A13189" t="s">
        <v>4</v>
      </c>
      <c r="B13189" s="4" t="s">
        <v>5</v>
      </c>
      <c r="C13189" s="4" t="s">
        <v>7</v>
      </c>
      <c r="D13189" s="4" t="s">
        <v>7</v>
      </c>
      <c r="E13189" s="4" t="s">
        <v>13</v>
      </c>
      <c r="F13189" s="4" t="s">
        <v>11</v>
      </c>
    </row>
    <row r="13190" spans="1:10">
      <c r="A13190" t="n">
        <v>124350</v>
      </c>
      <c r="B13190" s="51" t="n">
        <v>45</v>
      </c>
      <c r="C13190" s="7" t="n">
        <v>5</v>
      </c>
      <c r="D13190" s="7" t="n">
        <v>3</v>
      </c>
      <c r="E13190" s="7" t="n">
        <v>2.40000009536743</v>
      </c>
      <c r="F13190" s="7" t="n">
        <v>8000</v>
      </c>
    </row>
    <row r="13191" spans="1:10">
      <c r="A13191" t="s">
        <v>4</v>
      </c>
      <c r="B13191" s="4" t="s">
        <v>5</v>
      </c>
      <c r="C13191" s="4" t="s">
        <v>7</v>
      </c>
      <c r="D13191" s="4" t="s">
        <v>7</v>
      </c>
      <c r="E13191" s="4" t="s">
        <v>13</v>
      </c>
      <c r="F13191" s="4" t="s">
        <v>11</v>
      </c>
    </row>
    <row r="13192" spans="1:10">
      <c r="A13192" t="n">
        <v>124359</v>
      </c>
      <c r="B13192" s="51" t="n">
        <v>45</v>
      </c>
      <c r="C13192" s="7" t="n">
        <v>11</v>
      </c>
      <c r="D13192" s="7" t="n">
        <v>3</v>
      </c>
      <c r="E13192" s="7" t="n">
        <v>33.4000015258789</v>
      </c>
      <c r="F13192" s="7" t="n">
        <v>8000</v>
      </c>
    </row>
    <row r="13193" spans="1:10">
      <c r="A13193" t="s">
        <v>4</v>
      </c>
      <c r="B13193" s="4" t="s">
        <v>5</v>
      </c>
      <c r="C13193" s="4" t="s">
        <v>7</v>
      </c>
      <c r="D13193" s="4" t="s">
        <v>11</v>
      </c>
      <c r="E13193" s="4" t="s">
        <v>13</v>
      </c>
    </row>
    <row r="13194" spans="1:10">
      <c r="A13194" t="n">
        <v>124368</v>
      </c>
      <c r="B13194" s="23" t="n">
        <v>58</v>
      </c>
      <c r="C13194" s="7" t="n">
        <v>100</v>
      </c>
      <c r="D13194" s="7" t="n">
        <v>1000</v>
      </c>
      <c r="E13194" s="7" t="n">
        <v>1</v>
      </c>
    </row>
    <row r="13195" spans="1:10">
      <c r="A13195" t="s">
        <v>4</v>
      </c>
      <c r="B13195" s="4" t="s">
        <v>5</v>
      </c>
      <c r="C13195" s="4" t="s">
        <v>7</v>
      </c>
      <c r="D13195" s="4" t="s">
        <v>11</v>
      </c>
    </row>
    <row r="13196" spans="1:10">
      <c r="A13196" t="n">
        <v>124376</v>
      </c>
      <c r="B13196" s="23" t="n">
        <v>58</v>
      </c>
      <c r="C13196" s="7" t="n">
        <v>255</v>
      </c>
      <c r="D13196" s="7" t="n">
        <v>0</v>
      </c>
    </row>
    <row r="13197" spans="1:10">
      <c r="A13197" t="s">
        <v>4</v>
      </c>
      <c r="B13197" s="4" t="s">
        <v>5</v>
      </c>
      <c r="C13197" s="4" t="s">
        <v>7</v>
      </c>
      <c r="D13197" s="4" t="s">
        <v>11</v>
      </c>
    </row>
    <row r="13198" spans="1:10">
      <c r="A13198" t="n">
        <v>124380</v>
      </c>
      <c r="B13198" s="51" t="n">
        <v>45</v>
      </c>
      <c r="C13198" s="7" t="n">
        <v>7</v>
      </c>
      <c r="D13198" s="7" t="n">
        <v>255</v>
      </c>
    </row>
    <row r="13199" spans="1:10">
      <c r="A13199" t="s">
        <v>4</v>
      </c>
      <c r="B13199" s="4" t="s">
        <v>5</v>
      </c>
      <c r="C13199" s="4" t="s">
        <v>7</v>
      </c>
      <c r="D13199" s="4" t="s">
        <v>11</v>
      </c>
      <c r="E13199" s="4" t="s">
        <v>13</v>
      </c>
    </row>
    <row r="13200" spans="1:10">
      <c r="A13200" t="n">
        <v>124384</v>
      </c>
      <c r="B13200" s="23" t="n">
        <v>58</v>
      </c>
      <c r="C13200" s="7" t="n">
        <v>101</v>
      </c>
      <c r="D13200" s="7" t="n">
        <v>800</v>
      </c>
      <c r="E13200" s="7" t="n">
        <v>1</v>
      </c>
    </row>
    <row r="13201" spans="1:9">
      <c r="A13201" t="s">
        <v>4</v>
      </c>
      <c r="B13201" s="4" t="s">
        <v>5</v>
      </c>
      <c r="C13201" s="4" t="s">
        <v>7</v>
      </c>
      <c r="D13201" s="4" t="s">
        <v>11</v>
      </c>
    </row>
    <row r="13202" spans="1:9">
      <c r="A13202" t="n">
        <v>124392</v>
      </c>
      <c r="B13202" s="23" t="n">
        <v>58</v>
      </c>
      <c r="C13202" s="7" t="n">
        <v>254</v>
      </c>
      <c r="D13202" s="7" t="n">
        <v>0</v>
      </c>
    </row>
    <row r="13203" spans="1:9">
      <c r="A13203" t="s">
        <v>4</v>
      </c>
      <c r="B13203" s="4" t="s">
        <v>5</v>
      </c>
      <c r="C13203" s="4" t="s">
        <v>7</v>
      </c>
      <c r="D13203" s="4" t="s">
        <v>7</v>
      </c>
      <c r="E13203" s="4" t="s">
        <v>13</v>
      </c>
      <c r="F13203" s="4" t="s">
        <v>13</v>
      </c>
      <c r="G13203" s="4" t="s">
        <v>13</v>
      </c>
      <c r="H13203" s="4" t="s">
        <v>11</v>
      </c>
    </row>
    <row r="13204" spans="1:9">
      <c r="A13204" t="n">
        <v>124396</v>
      </c>
      <c r="B13204" s="51" t="n">
        <v>45</v>
      </c>
      <c r="C13204" s="7" t="n">
        <v>2</v>
      </c>
      <c r="D13204" s="7" t="n">
        <v>3</v>
      </c>
      <c r="E13204" s="7" t="n">
        <v>4.26999998092651</v>
      </c>
      <c r="F13204" s="7" t="n">
        <v>2.44000005722046</v>
      </c>
      <c r="G13204" s="7" t="n">
        <v>44.1500015258789</v>
      </c>
      <c r="H13204" s="7" t="n">
        <v>0</v>
      </c>
    </row>
    <row r="13205" spans="1:9">
      <c r="A13205" t="s">
        <v>4</v>
      </c>
      <c r="B13205" s="4" t="s">
        <v>5</v>
      </c>
      <c r="C13205" s="4" t="s">
        <v>7</v>
      </c>
      <c r="D13205" s="4" t="s">
        <v>7</v>
      </c>
      <c r="E13205" s="4" t="s">
        <v>13</v>
      </c>
      <c r="F13205" s="4" t="s">
        <v>13</v>
      </c>
      <c r="G13205" s="4" t="s">
        <v>13</v>
      </c>
      <c r="H13205" s="4" t="s">
        <v>11</v>
      </c>
      <c r="I13205" s="4" t="s">
        <v>7</v>
      </c>
    </row>
    <row r="13206" spans="1:9">
      <c r="A13206" t="n">
        <v>124413</v>
      </c>
      <c r="B13206" s="51" t="n">
        <v>45</v>
      </c>
      <c r="C13206" s="7" t="n">
        <v>4</v>
      </c>
      <c r="D13206" s="7" t="n">
        <v>3</v>
      </c>
      <c r="E13206" s="7" t="n">
        <v>357.880004882813</v>
      </c>
      <c r="F13206" s="7" t="n">
        <v>321.779998779297</v>
      </c>
      <c r="G13206" s="7" t="n">
        <v>0</v>
      </c>
      <c r="H13206" s="7" t="n">
        <v>0</v>
      </c>
      <c r="I13206" s="7" t="n">
        <v>0</v>
      </c>
    </row>
    <row r="13207" spans="1:9">
      <c r="A13207" t="s">
        <v>4</v>
      </c>
      <c r="B13207" s="4" t="s">
        <v>5</v>
      </c>
      <c r="C13207" s="4" t="s">
        <v>7</v>
      </c>
      <c r="D13207" s="4" t="s">
        <v>7</v>
      </c>
      <c r="E13207" s="4" t="s">
        <v>13</v>
      </c>
      <c r="F13207" s="4" t="s">
        <v>11</v>
      </c>
    </row>
    <row r="13208" spans="1:9">
      <c r="A13208" t="n">
        <v>124431</v>
      </c>
      <c r="B13208" s="51" t="n">
        <v>45</v>
      </c>
      <c r="C13208" s="7" t="n">
        <v>5</v>
      </c>
      <c r="D13208" s="7" t="n">
        <v>3</v>
      </c>
      <c r="E13208" s="7" t="n">
        <v>2.40000009536743</v>
      </c>
      <c r="F13208" s="7" t="n">
        <v>0</v>
      </c>
    </row>
    <row r="13209" spans="1:9">
      <c r="A13209" t="s">
        <v>4</v>
      </c>
      <c r="B13209" s="4" t="s">
        <v>5</v>
      </c>
      <c r="C13209" s="4" t="s">
        <v>7</v>
      </c>
      <c r="D13209" s="4" t="s">
        <v>7</v>
      </c>
      <c r="E13209" s="4" t="s">
        <v>13</v>
      </c>
      <c r="F13209" s="4" t="s">
        <v>11</v>
      </c>
    </row>
    <row r="13210" spans="1:9">
      <c r="A13210" t="n">
        <v>124440</v>
      </c>
      <c r="B13210" s="51" t="n">
        <v>45</v>
      </c>
      <c r="C13210" s="7" t="n">
        <v>11</v>
      </c>
      <c r="D13210" s="7" t="n">
        <v>3</v>
      </c>
      <c r="E13210" s="7" t="n">
        <v>33.4000015258789</v>
      </c>
      <c r="F13210" s="7" t="n">
        <v>0</v>
      </c>
    </row>
    <row r="13211" spans="1:9">
      <c r="A13211" t="s">
        <v>4</v>
      </c>
      <c r="B13211" s="4" t="s">
        <v>5</v>
      </c>
      <c r="C13211" s="4" t="s">
        <v>7</v>
      </c>
      <c r="D13211" s="4" t="s">
        <v>7</v>
      </c>
      <c r="E13211" s="4" t="s">
        <v>13</v>
      </c>
      <c r="F13211" s="4" t="s">
        <v>13</v>
      </c>
      <c r="G13211" s="4" t="s">
        <v>13</v>
      </c>
      <c r="H13211" s="4" t="s">
        <v>11</v>
      </c>
    </row>
    <row r="13212" spans="1:9">
      <c r="A13212" t="n">
        <v>124449</v>
      </c>
      <c r="B13212" s="51" t="n">
        <v>45</v>
      </c>
      <c r="C13212" s="7" t="n">
        <v>2</v>
      </c>
      <c r="D13212" s="7" t="n">
        <v>3</v>
      </c>
      <c r="E13212" s="7" t="n">
        <v>4.76999998092651</v>
      </c>
      <c r="F13212" s="7" t="n">
        <v>1.45000004768372</v>
      </c>
      <c r="G13212" s="7" t="n">
        <v>45.2599983215332</v>
      </c>
      <c r="H13212" s="7" t="n">
        <v>8000</v>
      </c>
    </row>
    <row r="13213" spans="1:9">
      <c r="A13213" t="s">
        <v>4</v>
      </c>
      <c r="B13213" s="4" t="s">
        <v>5</v>
      </c>
      <c r="C13213" s="4" t="s">
        <v>7</v>
      </c>
      <c r="D13213" s="4" t="s">
        <v>7</v>
      </c>
      <c r="E13213" s="4" t="s">
        <v>13</v>
      </c>
      <c r="F13213" s="4" t="s">
        <v>13</v>
      </c>
      <c r="G13213" s="4" t="s">
        <v>13</v>
      </c>
      <c r="H13213" s="4" t="s">
        <v>11</v>
      </c>
      <c r="I13213" s="4" t="s">
        <v>7</v>
      </c>
    </row>
    <row r="13214" spans="1:9">
      <c r="A13214" t="n">
        <v>124466</v>
      </c>
      <c r="B13214" s="51" t="n">
        <v>45</v>
      </c>
      <c r="C13214" s="7" t="n">
        <v>4</v>
      </c>
      <c r="D13214" s="7" t="n">
        <v>3</v>
      </c>
      <c r="E13214" s="7" t="n">
        <v>358.660003662109</v>
      </c>
      <c r="F13214" s="7" t="n">
        <v>283.079986572266</v>
      </c>
      <c r="G13214" s="7" t="n">
        <v>0</v>
      </c>
      <c r="H13214" s="7" t="n">
        <v>8000</v>
      </c>
      <c r="I13214" s="7" t="n">
        <v>0</v>
      </c>
    </row>
    <row r="13215" spans="1:9">
      <c r="A13215" t="s">
        <v>4</v>
      </c>
      <c r="B13215" s="4" t="s">
        <v>5</v>
      </c>
      <c r="C13215" s="4" t="s">
        <v>7</v>
      </c>
      <c r="D13215" s="4" t="s">
        <v>7</v>
      </c>
      <c r="E13215" s="4" t="s">
        <v>13</v>
      </c>
      <c r="F13215" s="4" t="s">
        <v>11</v>
      </c>
    </row>
    <row r="13216" spans="1:9">
      <c r="A13216" t="n">
        <v>124484</v>
      </c>
      <c r="B13216" s="51" t="n">
        <v>45</v>
      </c>
      <c r="C13216" s="7" t="n">
        <v>5</v>
      </c>
      <c r="D13216" s="7" t="n">
        <v>3</v>
      </c>
      <c r="E13216" s="7" t="n">
        <v>2</v>
      </c>
      <c r="F13216" s="7" t="n">
        <v>8000</v>
      </c>
    </row>
    <row r="13217" spans="1:9">
      <c r="A13217" t="s">
        <v>4</v>
      </c>
      <c r="B13217" s="4" t="s">
        <v>5</v>
      </c>
      <c r="C13217" s="4" t="s">
        <v>7</v>
      </c>
      <c r="D13217" s="4" t="s">
        <v>11</v>
      </c>
    </row>
    <row r="13218" spans="1:9">
      <c r="A13218" t="n">
        <v>124493</v>
      </c>
      <c r="B13218" s="23" t="n">
        <v>58</v>
      </c>
      <c r="C13218" s="7" t="n">
        <v>255</v>
      </c>
      <c r="D13218" s="7" t="n">
        <v>0</v>
      </c>
    </row>
    <row r="13219" spans="1:9">
      <c r="A13219" t="s">
        <v>4</v>
      </c>
      <c r="B13219" s="4" t="s">
        <v>5</v>
      </c>
      <c r="C13219" s="4" t="s">
        <v>7</v>
      </c>
      <c r="D13219" s="4" t="s">
        <v>11</v>
      </c>
    </row>
    <row r="13220" spans="1:9">
      <c r="A13220" t="n">
        <v>124497</v>
      </c>
      <c r="B13220" s="51" t="n">
        <v>45</v>
      </c>
      <c r="C13220" s="7" t="n">
        <v>7</v>
      </c>
      <c r="D13220" s="7" t="n">
        <v>255</v>
      </c>
    </row>
    <row r="13221" spans="1:9">
      <c r="A13221" t="s">
        <v>4</v>
      </c>
      <c r="B13221" s="4" t="s">
        <v>5</v>
      </c>
      <c r="C13221" s="4" t="s">
        <v>7</v>
      </c>
      <c r="D13221" s="4" t="s">
        <v>11</v>
      </c>
      <c r="E13221" s="4" t="s">
        <v>13</v>
      </c>
    </row>
    <row r="13222" spans="1:9">
      <c r="A13222" t="n">
        <v>124501</v>
      </c>
      <c r="B13222" s="23" t="n">
        <v>58</v>
      </c>
      <c r="C13222" s="7" t="n">
        <v>101</v>
      </c>
      <c r="D13222" s="7" t="n">
        <v>800</v>
      </c>
      <c r="E13222" s="7" t="n">
        <v>1</v>
      </c>
    </row>
    <row r="13223" spans="1:9">
      <c r="A13223" t="s">
        <v>4</v>
      </c>
      <c r="B13223" s="4" t="s">
        <v>5</v>
      </c>
      <c r="C13223" s="4" t="s">
        <v>7</v>
      </c>
      <c r="D13223" s="4" t="s">
        <v>11</v>
      </c>
    </row>
    <row r="13224" spans="1:9">
      <c r="A13224" t="n">
        <v>124509</v>
      </c>
      <c r="B13224" s="23" t="n">
        <v>58</v>
      </c>
      <c r="C13224" s="7" t="n">
        <v>254</v>
      </c>
      <c r="D13224" s="7" t="n">
        <v>0</v>
      </c>
    </row>
    <row r="13225" spans="1:9">
      <c r="A13225" t="s">
        <v>4</v>
      </c>
      <c r="B13225" s="4" t="s">
        <v>5</v>
      </c>
      <c r="C13225" s="4" t="s">
        <v>7</v>
      </c>
      <c r="D13225" s="4" t="s">
        <v>7</v>
      </c>
      <c r="E13225" s="4" t="s">
        <v>13</v>
      </c>
      <c r="F13225" s="4" t="s">
        <v>13</v>
      </c>
      <c r="G13225" s="4" t="s">
        <v>13</v>
      </c>
      <c r="H13225" s="4" t="s">
        <v>11</v>
      </c>
    </row>
    <row r="13226" spans="1:9">
      <c r="A13226" t="n">
        <v>124513</v>
      </c>
      <c r="B13226" s="51" t="n">
        <v>45</v>
      </c>
      <c r="C13226" s="7" t="n">
        <v>2</v>
      </c>
      <c r="D13226" s="7" t="n">
        <v>3</v>
      </c>
      <c r="E13226" s="7" t="n">
        <v>4.73999977111816</v>
      </c>
      <c r="F13226" s="7" t="n">
        <v>1.37000000476837</v>
      </c>
      <c r="G13226" s="7" t="n">
        <v>45.310001373291</v>
      </c>
      <c r="H13226" s="7" t="n">
        <v>0</v>
      </c>
    </row>
    <row r="13227" spans="1:9">
      <c r="A13227" t="s">
        <v>4</v>
      </c>
      <c r="B13227" s="4" t="s">
        <v>5</v>
      </c>
      <c r="C13227" s="4" t="s">
        <v>7</v>
      </c>
      <c r="D13227" s="4" t="s">
        <v>7</v>
      </c>
      <c r="E13227" s="4" t="s">
        <v>13</v>
      </c>
      <c r="F13227" s="4" t="s">
        <v>13</v>
      </c>
      <c r="G13227" s="4" t="s">
        <v>13</v>
      </c>
      <c r="H13227" s="4" t="s">
        <v>11</v>
      </c>
      <c r="I13227" s="4" t="s">
        <v>7</v>
      </c>
    </row>
    <row r="13228" spans="1:9">
      <c r="A13228" t="n">
        <v>124530</v>
      </c>
      <c r="B13228" s="51" t="n">
        <v>45</v>
      </c>
      <c r="C13228" s="7" t="n">
        <v>4</v>
      </c>
      <c r="D13228" s="7" t="n">
        <v>3</v>
      </c>
      <c r="E13228" s="7" t="n">
        <v>4.3899998664856</v>
      </c>
      <c r="F13228" s="7" t="n">
        <v>107.779998779297</v>
      </c>
      <c r="G13228" s="7" t="n">
        <v>0</v>
      </c>
      <c r="H13228" s="7" t="n">
        <v>0</v>
      </c>
      <c r="I13228" s="7" t="n">
        <v>0</v>
      </c>
    </row>
    <row r="13229" spans="1:9">
      <c r="A13229" t="s">
        <v>4</v>
      </c>
      <c r="B13229" s="4" t="s">
        <v>5</v>
      </c>
      <c r="C13229" s="4" t="s">
        <v>7</v>
      </c>
      <c r="D13229" s="4" t="s">
        <v>7</v>
      </c>
      <c r="E13229" s="4" t="s">
        <v>13</v>
      </c>
      <c r="F13229" s="4" t="s">
        <v>11</v>
      </c>
    </row>
    <row r="13230" spans="1:9">
      <c r="A13230" t="n">
        <v>124548</v>
      </c>
      <c r="B13230" s="51" t="n">
        <v>45</v>
      </c>
      <c r="C13230" s="7" t="n">
        <v>5</v>
      </c>
      <c r="D13230" s="7" t="n">
        <v>3</v>
      </c>
      <c r="E13230" s="7" t="n">
        <v>2</v>
      </c>
      <c r="F13230" s="7" t="n">
        <v>0</v>
      </c>
    </row>
    <row r="13231" spans="1:9">
      <c r="A13231" t="s">
        <v>4</v>
      </c>
      <c r="B13231" s="4" t="s">
        <v>5</v>
      </c>
      <c r="C13231" s="4" t="s">
        <v>7</v>
      </c>
      <c r="D13231" s="4" t="s">
        <v>7</v>
      </c>
      <c r="E13231" s="4" t="s">
        <v>13</v>
      </c>
      <c r="F13231" s="4" t="s">
        <v>11</v>
      </c>
    </row>
    <row r="13232" spans="1:9">
      <c r="A13232" t="n">
        <v>124557</v>
      </c>
      <c r="B13232" s="51" t="n">
        <v>45</v>
      </c>
      <c r="C13232" s="7" t="n">
        <v>11</v>
      </c>
      <c r="D13232" s="7" t="n">
        <v>3</v>
      </c>
      <c r="E13232" s="7" t="n">
        <v>33.4000015258789</v>
      </c>
      <c r="F13232" s="7" t="n">
        <v>0</v>
      </c>
    </row>
    <row r="13233" spans="1:9">
      <c r="A13233" t="s">
        <v>4</v>
      </c>
      <c r="B13233" s="4" t="s">
        <v>5</v>
      </c>
      <c r="C13233" s="4" t="s">
        <v>11</v>
      </c>
      <c r="D13233" s="4" t="s">
        <v>15</v>
      </c>
    </row>
    <row r="13234" spans="1:9">
      <c r="A13234" t="n">
        <v>124566</v>
      </c>
      <c r="B13234" s="63" t="n">
        <v>44</v>
      </c>
      <c r="C13234" s="7" t="n">
        <v>6</v>
      </c>
      <c r="D13234" s="7" t="n">
        <v>1</v>
      </c>
    </row>
    <row r="13235" spans="1:9">
      <c r="A13235" t="s">
        <v>4</v>
      </c>
      <c r="B13235" s="4" t="s">
        <v>5</v>
      </c>
      <c r="C13235" s="4" t="s">
        <v>7</v>
      </c>
      <c r="D13235" s="4" t="s">
        <v>11</v>
      </c>
    </row>
    <row r="13236" spans="1:9">
      <c r="A13236" t="n">
        <v>124573</v>
      </c>
      <c r="B13236" s="23" t="n">
        <v>58</v>
      </c>
      <c r="C13236" s="7" t="n">
        <v>255</v>
      </c>
      <c r="D13236" s="7" t="n">
        <v>0</v>
      </c>
    </row>
    <row r="13237" spans="1:9">
      <c r="A13237" t="s">
        <v>4</v>
      </c>
      <c r="B13237" s="4" t="s">
        <v>5</v>
      </c>
      <c r="C13237" s="4" t="s">
        <v>8</v>
      </c>
      <c r="D13237" s="4" t="s">
        <v>8</v>
      </c>
    </row>
    <row r="13238" spans="1:9">
      <c r="A13238" t="n">
        <v>124577</v>
      </c>
      <c r="B13238" s="52" t="n">
        <v>70</v>
      </c>
      <c r="C13238" s="7" t="s">
        <v>279</v>
      </c>
      <c r="D13238" s="7" t="s">
        <v>280</v>
      </c>
    </row>
    <row r="13239" spans="1:9">
      <c r="A13239" t="s">
        <v>4</v>
      </c>
      <c r="B13239" s="4" t="s">
        <v>5</v>
      </c>
      <c r="C13239" s="4" t="s">
        <v>11</v>
      </c>
    </row>
    <row r="13240" spans="1:9">
      <c r="A13240" t="n">
        <v>124594</v>
      </c>
      <c r="B13240" s="29" t="n">
        <v>16</v>
      </c>
      <c r="C13240" s="7" t="n">
        <v>1000</v>
      </c>
    </row>
    <row r="13241" spans="1:9">
      <c r="A13241" t="s">
        <v>4</v>
      </c>
      <c r="B13241" s="4" t="s">
        <v>5</v>
      </c>
      <c r="C13241" s="4" t="s">
        <v>7</v>
      </c>
      <c r="D13241" s="4" t="s">
        <v>11</v>
      </c>
      <c r="E13241" s="4" t="s">
        <v>11</v>
      </c>
      <c r="F13241" s="4" t="s">
        <v>7</v>
      </c>
    </row>
    <row r="13242" spans="1:9">
      <c r="A13242" t="n">
        <v>124597</v>
      </c>
      <c r="B13242" s="31" t="n">
        <v>25</v>
      </c>
      <c r="C13242" s="7" t="n">
        <v>1</v>
      </c>
      <c r="D13242" s="7" t="n">
        <v>100</v>
      </c>
      <c r="E13242" s="7" t="n">
        <v>500</v>
      </c>
      <c r="F13242" s="7" t="n">
        <v>5</v>
      </c>
    </row>
    <row r="13243" spans="1:9">
      <c r="A13243" t="s">
        <v>4</v>
      </c>
      <c r="B13243" s="4" t="s">
        <v>5</v>
      </c>
      <c r="C13243" s="4" t="s">
        <v>8</v>
      </c>
      <c r="D13243" s="4" t="s">
        <v>11</v>
      </c>
    </row>
    <row r="13244" spans="1:9">
      <c r="A13244" t="n">
        <v>124604</v>
      </c>
      <c r="B13244" s="67" t="n">
        <v>29</v>
      </c>
      <c r="C13244" s="7" t="s">
        <v>281</v>
      </c>
      <c r="D13244" s="7" t="n">
        <v>65533</v>
      </c>
    </row>
    <row r="13245" spans="1:9">
      <c r="A13245" t="s">
        <v>4</v>
      </c>
      <c r="B13245" s="4" t="s">
        <v>5</v>
      </c>
      <c r="C13245" s="4" t="s">
        <v>7</v>
      </c>
      <c r="D13245" s="4" t="s">
        <v>11</v>
      </c>
      <c r="E13245" s="4" t="s">
        <v>8</v>
      </c>
    </row>
    <row r="13246" spans="1:9">
      <c r="A13246" t="n">
        <v>124613</v>
      </c>
      <c r="B13246" s="38" t="n">
        <v>51</v>
      </c>
      <c r="C13246" s="7" t="n">
        <v>4</v>
      </c>
      <c r="D13246" s="7" t="n">
        <v>6</v>
      </c>
      <c r="E13246" s="7" t="s">
        <v>137</v>
      </c>
    </row>
    <row r="13247" spans="1:9">
      <c r="A13247" t="s">
        <v>4</v>
      </c>
      <c r="B13247" s="4" t="s">
        <v>5</v>
      </c>
      <c r="C13247" s="4" t="s">
        <v>11</v>
      </c>
    </row>
    <row r="13248" spans="1:9">
      <c r="A13248" t="n">
        <v>124626</v>
      </c>
      <c r="B13248" s="29" t="n">
        <v>16</v>
      </c>
      <c r="C13248" s="7" t="n">
        <v>0</v>
      </c>
    </row>
    <row r="13249" spans="1:6">
      <c r="A13249" t="s">
        <v>4</v>
      </c>
      <c r="B13249" s="4" t="s">
        <v>5</v>
      </c>
      <c r="C13249" s="4" t="s">
        <v>11</v>
      </c>
      <c r="D13249" s="4" t="s">
        <v>7</v>
      </c>
      <c r="E13249" s="4" t="s">
        <v>15</v>
      </c>
      <c r="F13249" s="4" t="s">
        <v>55</v>
      </c>
      <c r="G13249" s="4" t="s">
        <v>7</v>
      </c>
      <c r="H13249" s="4" t="s">
        <v>7</v>
      </c>
    </row>
    <row r="13250" spans="1:6">
      <c r="A13250" t="n">
        <v>124629</v>
      </c>
      <c r="B13250" s="55" t="n">
        <v>26</v>
      </c>
      <c r="C13250" s="7" t="n">
        <v>6</v>
      </c>
      <c r="D13250" s="7" t="n">
        <v>17</v>
      </c>
      <c r="E13250" s="7" t="n">
        <v>64172</v>
      </c>
      <c r="F13250" s="7" t="s">
        <v>1067</v>
      </c>
      <c r="G13250" s="7" t="n">
        <v>2</v>
      </c>
      <c r="H13250" s="7" t="n">
        <v>0</v>
      </c>
    </row>
    <row r="13251" spans="1:6">
      <c r="A13251" t="s">
        <v>4</v>
      </c>
      <c r="B13251" s="4" t="s">
        <v>5</v>
      </c>
    </row>
    <row r="13252" spans="1:6">
      <c r="A13252" t="n">
        <v>124672</v>
      </c>
      <c r="B13252" s="27" t="n">
        <v>28</v>
      </c>
    </row>
    <row r="13253" spans="1:6">
      <c r="A13253" t="s">
        <v>4</v>
      </c>
      <c r="B13253" s="4" t="s">
        <v>5</v>
      </c>
      <c r="C13253" s="4" t="s">
        <v>11</v>
      </c>
      <c r="D13253" s="4" t="s">
        <v>7</v>
      </c>
    </row>
    <row r="13254" spans="1:6">
      <c r="A13254" t="n">
        <v>124673</v>
      </c>
      <c r="B13254" s="68" t="n">
        <v>89</v>
      </c>
      <c r="C13254" s="7" t="n">
        <v>65533</v>
      </c>
      <c r="D13254" s="7" t="n">
        <v>1</v>
      </c>
    </row>
    <row r="13255" spans="1:6">
      <c r="A13255" t="s">
        <v>4</v>
      </c>
      <c r="B13255" s="4" t="s">
        <v>5</v>
      </c>
      <c r="C13255" s="4" t="s">
        <v>7</v>
      </c>
      <c r="D13255" s="4" t="s">
        <v>11</v>
      </c>
      <c r="E13255" s="4" t="s">
        <v>11</v>
      </c>
      <c r="F13255" s="4" t="s">
        <v>7</v>
      </c>
    </row>
    <row r="13256" spans="1:6">
      <c r="A13256" t="n">
        <v>124677</v>
      </c>
      <c r="B13256" s="31" t="n">
        <v>25</v>
      </c>
      <c r="C13256" s="7" t="n">
        <v>1</v>
      </c>
      <c r="D13256" s="7" t="n">
        <v>65535</v>
      </c>
      <c r="E13256" s="7" t="n">
        <v>65535</v>
      </c>
      <c r="F13256" s="7" t="n">
        <v>0</v>
      </c>
    </row>
    <row r="13257" spans="1:6">
      <c r="A13257" t="s">
        <v>4</v>
      </c>
      <c r="B13257" s="4" t="s">
        <v>5</v>
      </c>
      <c r="C13257" s="4" t="s">
        <v>8</v>
      </c>
      <c r="D13257" s="4" t="s">
        <v>11</v>
      </c>
    </row>
    <row r="13258" spans="1:6">
      <c r="A13258" t="n">
        <v>124684</v>
      </c>
      <c r="B13258" s="67" t="n">
        <v>29</v>
      </c>
      <c r="C13258" s="7" t="s">
        <v>16</v>
      </c>
      <c r="D13258" s="7" t="n">
        <v>65533</v>
      </c>
    </row>
    <row r="13259" spans="1:6">
      <c r="A13259" t="s">
        <v>4</v>
      </c>
      <c r="B13259" s="4" t="s">
        <v>5</v>
      </c>
      <c r="C13259" s="4" t="s">
        <v>11</v>
      </c>
      <c r="D13259" s="4" t="s">
        <v>7</v>
      </c>
      <c r="E13259" s="4" t="s">
        <v>13</v>
      </c>
      <c r="F13259" s="4" t="s">
        <v>11</v>
      </c>
    </row>
    <row r="13260" spans="1:6">
      <c r="A13260" t="n">
        <v>124688</v>
      </c>
      <c r="B13260" s="56" t="n">
        <v>59</v>
      </c>
      <c r="C13260" s="7" t="n">
        <v>0</v>
      </c>
      <c r="D13260" s="7" t="n">
        <v>13</v>
      </c>
      <c r="E13260" s="7" t="n">
        <v>0.150000005960464</v>
      </c>
      <c r="F13260" s="7" t="n">
        <v>0</v>
      </c>
    </row>
    <row r="13261" spans="1:6">
      <c r="A13261" t="s">
        <v>4</v>
      </c>
      <c r="B13261" s="4" t="s">
        <v>5</v>
      </c>
      <c r="C13261" s="4" t="s">
        <v>11</v>
      </c>
    </row>
    <row r="13262" spans="1:6">
      <c r="A13262" t="n">
        <v>124698</v>
      </c>
      <c r="B13262" s="29" t="n">
        <v>16</v>
      </c>
      <c r="C13262" s="7" t="n">
        <v>1000</v>
      </c>
    </row>
    <row r="13263" spans="1:6">
      <c r="A13263" t="s">
        <v>4</v>
      </c>
      <c r="B13263" s="4" t="s">
        <v>5</v>
      </c>
      <c r="C13263" s="4" t="s">
        <v>11</v>
      </c>
      <c r="D13263" s="4" t="s">
        <v>13</v>
      </c>
      <c r="E13263" s="4" t="s">
        <v>13</v>
      </c>
      <c r="F13263" s="4" t="s">
        <v>13</v>
      </c>
      <c r="G13263" s="4" t="s">
        <v>11</v>
      </c>
      <c r="H13263" s="4" t="s">
        <v>11</v>
      </c>
    </row>
    <row r="13264" spans="1:6">
      <c r="A13264" t="n">
        <v>124701</v>
      </c>
      <c r="B13264" s="37" t="n">
        <v>60</v>
      </c>
      <c r="C13264" s="7" t="n">
        <v>0</v>
      </c>
      <c r="D13264" s="7" t="n">
        <v>0</v>
      </c>
      <c r="E13264" s="7" t="n">
        <v>0</v>
      </c>
      <c r="F13264" s="7" t="n">
        <v>0</v>
      </c>
      <c r="G13264" s="7" t="n">
        <v>1000</v>
      </c>
      <c r="H13264" s="7" t="n">
        <v>0</v>
      </c>
    </row>
    <row r="13265" spans="1:8">
      <c r="A13265" t="s">
        <v>4</v>
      </c>
      <c r="B13265" s="4" t="s">
        <v>5</v>
      </c>
      <c r="C13265" s="4" t="s">
        <v>11</v>
      </c>
      <c r="D13265" s="4" t="s">
        <v>11</v>
      </c>
      <c r="E13265" s="4" t="s">
        <v>11</v>
      </c>
    </row>
    <row r="13266" spans="1:8">
      <c r="A13266" t="n">
        <v>124720</v>
      </c>
      <c r="B13266" s="72" t="n">
        <v>61</v>
      </c>
      <c r="C13266" s="7" t="n">
        <v>0</v>
      </c>
      <c r="D13266" s="7" t="n">
        <v>6</v>
      </c>
      <c r="E13266" s="7" t="n">
        <v>1000</v>
      </c>
    </row>
    <row r="13267" spans="1:8">
      <c r="A13267" t="s">
        <v>4</v>
      </c>
      <c r="B13267" s="4" t="s">
        <v>5</v>
      </c>
      <c r="C13267" s="4" t="s">
        <v>11</v>
      </c>
      <c r="D13267" s="4" t="s">
        <v>11</v>
      </c>
      <c r="E13267" s="4" t="s">
        <v>11</v>
      </c>
    </row>
    <row r="13268" spans="1:8">
      <c r="A13268" t="n">
        <v>124727</v>
      </c>
      <c r="B13268" s="72" t="n">
        <v>61</v>
      </c>
      <c r="C13268" s="7" t="n">
        <v>6</v>
      </c>
      <c r="D13268" s="7" t="n">
        <v>0</v>
      </c>
      <c r="E13268" s="7" t="n">
        <v>1000</v>
      </c>
    </row>
    <row r="13269" spans="1:8">
      <c r="A13269" t="s">
        <v>4</v>
      </c>
      <c r="B13269" s="4" t="s">
        <v>5</v>
      </c>
      <c r="C13269" s="4" t="s">
        <v>11</v>
      </c>
      <c r="D13269" s="4" t="s">
        <v>13</v>
      </c>
      <c r="E13269" s="4" t="s">
        <v>13</v>
      </c>
      <c r="F13269" s="4" t="s">
        <v>7</v>
      </c>
    </row>
    <row r="13270" spans="1:8">
      <c r="A13270" t="n">
        <v>124734</v>
      </c>
      <c r="B13270" s="65" t="n">
        <v>52</v>
      </c>
      <c r="C13270" s="7" t="n">
        <v>0</v>
      </c>
      <c r="D13270" s="7" t="n">
        <v>332.399993896484</v>
      </c>
      <c r="E13270" s="7" t="n">
        <v>5</v>
      </c>
      <c r="F13270" s="7" t="n">
        <v>0</v>
      </c>
    </row>
    <row r="13271" spans="1:8">
      <c r="A13271" t="s">
        <v>4</v>
      </c>
      <c r="B13271" s="4" t="s">
        <v>5</v>
      </c>
      <c r="C13271" s="4" t="s">
        <v>11</v>
      </c>
    </row>
    <row r="13272" spans="1:8">
      <c r="A13272" t="n">
        <v>124746</v>
      </c>
      <c r="B13272" s="66" t="n">
        <v>54</v>
      </c>
      <c r="C13272" s="7" t="n">
        <v>0</v>
      </c>
    </row>
    <row r="13273" spans="1:8">
      <c r="A13273" t="s">
        <v>4</v>
      </c>
      <c r="B13273" s="4" t="s">
        <v>5</v>
      </c>
      <c r="C13273" s="4" t="s">
        <v>7</v>
      </c>
      <c r="D13273" s="4" t="s">
        <v>11</v>
      </c>
      <c r="E13273" s="4" t="s">
        <v>13</v>
      </c>
    </row>
    <row r="13274" spans="1:8">
      <c r="A13274" t="n">
        <v>124749</v>
      </c>
      <c r="B13274" s="23" t="n">
        <v>58</v>
      </c>
      <c r="C13274" s="7" t="n">
        <v>101</v>
      </c>
      <c r="D13274" s="7" t="n">
        <v>500</v>
      </c>
      <c r="E13274" s="7" t="n">
        <v>1</v>
      </c>
    </row>
    <row r="13275" spans="1:8">
      <c r="A13275" t="s">
        <v>4</v>
      </c>
      <c r="B13275" s="4" t="s">
        <v>5</v>
      </c>
      <c r="C13275" s="4" t="s">
        <v>7</v>
      </c>
      <c r="D13275" s="4" t="s">
        <v>11</v>
      </c>
    </row>
    <row r="13276" spans="1:8">
      <c r="A13276" t="n">
        <v>124757</v>
      </c>
      <c r="B13276" s="23" t="n">
        <v>58</v>
      </c>
      <c r="C13276" s="7" t="n">
        <v>254</v>
      </c>
      <c r="D13276" s="7" t="n">
        <v>0</v>
      </c>
    </row>
    <row r="13277" spans="1:8">
      <c r="A13277" t="s">
        <v>4</v>
      </c>
      <c r="B13277" s="4" t="s">
        <v>5</v>
      </c>
      <c r="C13277" s="4" t="s">
        <v>7</v>
      </c>
      <c r="D13277" s="4" t="s">
        <v>7</v>
      </c>
      <c r="E13277" s="4" t="s">
        <v>13</v>
      </c>
      <c r="F13277" s="4" t="s">
        <v>13</v>
      </c>
      <c r="G13277" s="4" t="s">
        <v>13</v>
      </c>
      <c r="H13277" s="4" t="s">
        <v>11</v>
      </c>
    </row>
    <row r="13278" spans="1:8">
      <c r="A13278" t="n">
        <v>124761</v>
      </c>
      <c r="B13278" s="51" t="n">
        <v>45</v>
      </c>
      <c r="C13278" s="7" t="n">
        <v>2</v>
      </c>
      <c r="D13278" s="7" t="n">
        <v>3</v>
      </c>
      <c r="E13278" s="7" t="n">
        <v>4.92999982833862</v>
      </c>
      <c r="F13278" s="7" t="n">
        <v>1.46000003814697</v>
      </c>
      <c r="G13278" s="7" t="n">
        <v>45.6699981689453</v>
      </c>
      <c r="H13278" s="7" t="n">
        <v>0</v>
      </c>
    </row>
    <row r="13279" spans="1:8">
      <c r="A13279" t="s">
        <v>4</v>
      </c>
      <c r="B13279" s="4" t="s">
        <v>5</v>
      </c>
      <c r="C13279" s="4" t="s">
        <v>7</v>
      </c>
      <c r="D13279" s="4" t="s">
        <v>7</v>
      </c>
      <c r="E13279" s="4" t="s">
        <v>13</v>
      </c>
      <c r="F13279" s="4" t="s">
        <v>13</v>
      </c>
      <c r="G13279" s="4" t="s">
        <v>13</v>
      </c>
      <c r="H13279" s="4" t="s">
        <v>11</v>
      </c>
      <c r="I13279" s="4" t="s">
        <v>7</v>
      </c>
    </row>
    <row r="13280" spans="1:8">
      <c r="A13280" t="n">
        <v>124778</v>
      </c>
      <c r="B13280" s="51" t="n">
        <v>45</v>
      </c>
      <c r="C13280" s="7" t="n">
        <v>4</v>
      </c>
      <c r="D13280" s="7" t="n">
        <v>3</v>
      </c>
      <c r="E13280" s="7" t="n">
        <v>5.69000005722046</v>
      </c>
      <c r="F13280" s="7" t="n">
        <v>260.239990234375</v>
      </c>
      <c r="G13280" s="7" t="n">
        <v>0</v>
      </c>
      <c r="H13280" s="7" t="n">
        <v>0</v>
      </c>
      <c r="I13280" s="7" t="n">
        <v>0</v>
      </c>
    </row>
    <row r="13281" spans="1:9">
      <c r="A13281" t="s">
        <v>4</v>
      </c>
      <c r="B13281" s="4" t="s">
        <v>5</v>
      </c>
      <c r="C13281" s="4" t="s">
        <v>7</v>
      </c>
      <c r="D13281" s="4" t="s">
        <v>7</v>
      </c>
      <c r="E13281" s="4" t="s">
        <v>13</v>
      </c>
      <c r="F13281" s="4" t="s">
        <v>11</v>
      </c>
    </row>
    <row r="13282" spans="1:9">
      <c r="A13282" t="n">
        <v>124796</v>
      </c>
      <c r="B13282" s="51" t="n">
        <v>45</v>
      </c>
      <c r="C13282" s="7" t="n">
        <v>5</v>
      </c>
      <c r="D13282" s="7" t="n">
        <v>3</v>
      </c>
      <c r="E13282" s="7" t="n">
        <v>1.70000004768372</v>
      </c>
      <c r="F13282" s="7" t="n">
        <v>0</v>
      </c>
    </row>
    <row r="13283" spans="1:9">
      <c r="A13283" t="s">
        <v>4</v>
      </c>
      <c r="B13283" s="4" t="s">
        <v>5</v>
      </c>
      <c r="C13283" s="4" t="s">
        <v>7</v>
      </c>
      <c r="D13283" s="4" t="s">
        <v>7</v>
      </c>
      <c r="E13283" s="4" t="s">
        <v>13</v>
      </c>
      <c r="F13283" s="4" t="s">
        <v>11</v>
      </c>
    </row>
    <row r="13284" spans="1:9">
      <c r="A13284" t="n">
        <v>124805</v>
      </c>
      <c r="B13284" s="51" t="n">
        <v>45</v>
      </c>
      <c r="C13284" s="7" t="n">
        <v>11</v>
      </c>
      <c r="D13284" s="7" t="n">
        <v>3</v>
      </c>
      <c r="E13284" s="7" t="n">
        <v>34</v>
      </c>
      <c r="F13284" s="7" t="n">
        <v>0</v>
      </c>
    </row>
    <row r="13285" spans="1:9">
      <c r="A13285" t="s">
        <v>4</v>
      </c>
      <c r="B13285" s="4" t="s">
        <v>5</v>
      </c>
      <c r="C13285" s="4" t="s">
        <v>7</v>
      </c>
      <c r="D13285" s="4" t="s">
        <v>7</v>
      </c>
      <c r="E13285" s="4" t="s">
        <v>13</v>
      </c>
      <c r="F13285" s="4" t="s">
        <v>13</v>
      </c>
      <c r="G13285" s="4" t="s">
        <v>13</v>
      </c>
      <c r="H13285" s="4" t="s">
        <v>11</v>
      </c>
    </row>
    <row r="13286" spans="1:9">
      <c r="A13286" t="n">
        <v>124814</v>
      </c>
      <c r="B13286" s="51" t="n">
        <v>45</v>
      </c>
      <c r="C13286" s="7" t="n">
        <v>2</v>
      </c>
      <c r="D13286" s="7" t="n">
        <v>3</v>
      </c>
      <c r="E13286" s="7" t="n">
        <v>4.84999990463257</v>
      </c>
      <c r="F13286" s="7" t="n">
        <v>1.4099999666214</v>
      </c>
      <c r="G13286" s="7" t="n">
        <v>45.7999992370605</v>
      </c>
      <c r="H13286" s="7" t="n">
        <v>5500</v>
      </c>
    </row>
    <row r="13287" spans="1:9">
      <c r="A13287" t="s">
        <v>4</v>
      </c>
      <c r="B13287" s="4" t="s">
        <v>5</v>
      </c>
      <c r="C13287" s="4" t="s">
        <v>7</v>
      </c>
      <c r="D13287" s="4" t="s">
        <v>7</v>
      </c>
      <c r="E13287" s="4" t="s">
        <v>13</v>
      </c>
      <c r="F13287" s="4" t="s">
        <v>13</v>
      </c>
      <c r="G13287" s="4" t="s">
        <v>13</v>
      </c>
      <c r="H13287" s="4" t="s">
        <v>11</v>
      </c>
      <c r="I13287" s="4" t="s">
        <v>7</v>
      </c>
    </row>
    <row r="13288" spans="1:9">
      <c r="A13288" t="n">
        <v>124831</v>
      </c>
      <c r="B13288" s="51" t="n">
        <v>45</v>
      </c>
      <c r="C13288" s="7" t="n">
        <v>4</v>
      </c>
      <c r="D13288" s="7" t="n">
        <v>3</v>
      </c>
      <c r="E13288" s="7" t="n">
        <v>5.46999979019165</v>
      </c>
      <c r="F13288" s="7" t="n">
        <v>232.490005493164</v>
      </c>
      <c r="G13288" s="7" t="n">
        <v>0</v>
      </c>
      <c r="H13288" s="7" t="n">
        <v>5500</v>
      </c>
      <c r="I13288" s="7" t="n">
        <v>0</v>
      </c>
    </row>
    <row r="13289" spans="1:9">
      <c r="A13289" t="s">
        <v>4</v>
      </c>
      <c r="B13289" s="4" t="s">
        <v>5</v>
      </c>
      <c r="C13289" s="4" t="s">
        <v>11</v>
      </c>
      <c r="D13289" s="4" t="s">
        <v>7</v>
      </c>
      <c r="E13289" s="4" t="s">
        <v>7</v>
      </c>
      <c r="F13289" s="4" t="s">
        <v>8</v>
      </c>
    </row>
    <row r="13290" spans="1:9">
      <c r="A13290" t="n">
        <v>124849</v>
      </c>
      <c r="B13290" s="50" t="n">
        <v>20</v>
      </c>
      <c r="C13290" s="7" t="n">
        <v>6</v>
      </c>
      <c r="D13290" s="7" t="n">
        <v>2</v>
      </c>
      <c r="E13290" s="7" t="n">
        <v>11</v>
      </c>
      <c r="F13290" s="7" t="s">
        <v>283</v>
      </c>
    </row>
    <row r="13291" spans="1:9">
      <c r="A13291" t="s">
        <v>4</v>
      </c>
      <c r="B13291" s="4" t="s">
        <v>5</v>
      </c>
      <c r="C13291" s="4" t="s">
        <v>7</v>
      </c>
    </row>
    <row r="13292" spans="1:9">
      <c r="A13292" t="n">
        <v>124876</v>
      </c>
      <c r="B13292" s="49" t="n">
        <v>116</v>
      </c>
      <c r="C13292" s="7" t="n">
        <v>0</v>
      </c>
    </row>
    <row r="13293" spans="1:9">
      <c r="A13293" t="s">
        <v>4</v>
      </c>
      <c r="B13293" s="4" t="s">
        <v>5</v>
      </c>
      <c r="C13293" s="4" t="s">
        <v>7</v>
      </c>
      <c r="D13293" s="4" t="s">
        <v>11</v>
      </c>
    </row>
    <row r="13294" spans="1:9">
      <c r="A13294" t="n">
        <v>124878</v>
      </c>
      <c r="B13294" s="49" t="n">
        <v>116</v>
      </c>
      <c r="C13294" s="7" t="n">
        <v>2</v>
      </c>
      <c r="D13294" s="7" t="n">
        <v>1</v>
      </c>
    </row>
    <row r="13295" spans="1:9">
      <c r="A13295" t="s">
        <v>4</v>
      </c>
      <c r="B13295" s="4" t="s">
        <v>5</v>
      </c>
      <c r="C13295" s="4" t="s">
        <v>7</v>
      </c>
      <c r="D13295" s="4" t="s">
        <v>15</v>
      </c>
    </row>
    <row r="13296" spans="1:9">
      <c r="A13296" t="n">
        <v>124882</v>
      </c>
      <c r="B13296" s="49" t="n">
        <v>116</v>
      </c>
      <c r="C13296" s="7" t="n">
        <v>5</v>
      </c>
      <c r="D13296" s="7" t="n">
        <v>1084227584</v>
      </c>
    </row>
    <row r="13297" spans="1:9">
      <c r="A13297" t="s">
        <v>4</v>
      </c>
      <c r="B13297" s="4" t="s">
        <v>5</v>
      </c>
      <c r="C13297" s="4" t="s">
        <v>7</v>
      </c>
      <c r="D13297" s="4" t="s">
        <v>11</v>
      </c>
    </row>
    <row r="13298" spans="1:9">
      <c r="A13298" t="n">
        <v>124888</v>
      </c>
      <c r="B13298" s="49" t="n">
        <v>116</v>
      </c>
      <c r="C13298" s="7" t="n">
        <v>6</v>
      </c>
      <c r="D13298" s="7" t="n">
        <v>1</v>
      </c>
    </row>
    <row r="13299" spans="1:9">
      <c r="A13299" t="s">
        <v>4</v>
      </c>
      <c r="B13299" s="4" t="s">
        <v>5</v>
      </c>
      <c r="C13299" s="4" t="s">
        <v>7</v>
      </c>
      <c r="D13299" s="4" t="s">
        <v>11</v>
      </c>
    </row>
    <row r="13300" spans="1:9">
      <c r="A13300" t="n">
        <v>124892</v>
      </c>
      <c r="B13300" s="23" t="n">
        <v>58</v>
      </c>
      <c r="C13300" s="7" t="n">
        <v>255</v>
      </c>
      <c r="D13300" s="7" t="n">
        <v>0</v>
      </c>
    </row>
    <row r="13301" spans="1:9">
      <c r="A13301" t="s">
        <v>4</v>
      </c>
      <c r="B13301" s="4" t="s">
        <v>5</v>
      </c>
      <c r="C13301" s="4" t="s">
        <v>11</v>
      </c>
    </row>
    <row r="13302" spans="1:9">
      <c r="A13302" t="n">
        <v>124896</v>
      </c>
      <c r="B13302" s="29" t="n">
        <v>16</v>
      </c>
      <c r="C13302" s="7" t="n">
        <v>800</v>
      </c>
    </row>
    <row r="13303" spans="1:9">
      <c r="A13303" t="s">
        <v>4</v>
      </c>
      <c r="B13303" s="4" t="s">
        <v>5</v>
      </c>
      <c r="C13303" s="4" t="s">
        <v>8</v>
      </c>
      <c r="D13303" s="4" t="s">
        <v>8</v>
      </c>
    </row>
    <row r="13304" spans="1:9">
      <c r="A13304" t="n">
        <v>124899</v>
      </c>
      <c r="B13304" s="52" t="n">
        <v>70</v>
      </c>
      <c r="C13304" s="7" t="s">
        <v>279</v>
      </c>
      <c r="D13304" s="7" t="s">
        <v>284</v>
      </c>
    </row>
    <row r="13305" spans="1:9">
      <c r="A13305" t="s">
        <v>4</v>
      </c>
      <c r="B13305" s="4" t="s">
        <v>5</v>
      </c>
      <c r="C13305" s="4" t="s">
        <v>7</v>
      </c>
      <c r="D13305" s="4" t="s">
        <v>11</v>
      </c>
    </row>
    <row r="13306" spans="1:9">
      <c r="A13306" t="n">
        <v>124917</v>
      </c>
      <c r="B13306" s="51" t="n">
        <v>45</v>
      </c>
      <c r="C13306" s="7" t="n">
        <v>7</v>
      </c>
      <c r="D13306" s="7" t="n">
        <v>255</v>
      </c>
    </row>
    <row r="13307" spans="1:9">
      <c r="A13307" t="s">
        <v>4</v>
      </c>
      <c r="B13307" s="4" t="s">
        <v>5</v>
      </c>
      <c r="C13307" s="4" t="s">
        <v>7</v>
      </c>
      <c r="D13307" s="4" t="s">
        <v>11</v>
      </c>
      <c r="E13307" s="4" t="s">
        <v>8</v>
      </c>
    </row>
    <row r="13308" spans="1:9">
      <c r="A13308" t="n">
        <v>124921</v>
      </c>
      <c r="B13308" s="38" t="n">
        <v>51</v>
      </c>
      <c r="C13308" s="7" t="n">
        <v>4</v>
      </c>
      <c r="D13308" s="7" t="n">
        <v>0</v>
      </c>
      <c r="E13308" s="7" t="s">
        <v>173</v>
      </c>
    </row>
    <row r="13309" spans="1:9">
      <c r="A13309" t="s">
        <v>4</v>
      </c>
      <c r="B13309" s="4" t="s">
        <v>5</v>
      </c>
      <c r="C13309" s="4" t="s">
        <v>11</v>
      </c>
    </row>
    <row r="13310" spans="1:9">
      <c r="A13310" t="n">
        <v>124934</v>
      </c>
      <c r="B13310" s="29" t="n">
        <v>16</v>
      </c>
      <c r="C13310" s="7" t="n">
        <v>0</v>
      </c>
    </row>
    <row r="13311" spans="1:9">
      <c r="A13311" t="s">
        <v>4</v>
      </c>
      <c r="B13311" s="4" t="s">
        <v>5</v>
      </c>
      <c r="C13311" s="4" t="s">
        <v>11</v>
      </c>
      <c r="D13311" s="4" t="s">
        <v>7</v>
      </c>
      <c r="E13311" s="4" t="s">
        <v>15</v>
      </c>
      <c r="F13311" s="4" t="s">
        <v>55</v>
      </c>
      <c r="G13311" s="4" t="s">
        <v>7</v>
      </c>
      <c r="H13311" s="4" t="s">
        <v>7</v>
      </c>
      <c r="I13311" s="4" t="s">
        <v>7</v>
      </c>
      <c r="J13311" s="4" t="s">
        <v>15</v>
      </c>
      <c r="K13311" s="4" t="s">
        <v>55</v>
      </c>
      <c r="L13311" s="4" t="s">
        <v>7</v>
      </c>
      <c r="M13311" s="4" t="s">
        <v>7</v>
      </c>
    </row>
    <row r="13312" spans="1:9">
      <c r="A13312" t="n">
        <v>124937</v>
      </c>
      <c r="B13312" s="55" t="n">
        <v>26</v>
      </c>
      <c r="C13312" s="7" t="n">
        <v>0</v>
      </c>
      <c r="D13312" s="7" t="n">
        <v>17</v>
      </c>
      <c r="E13312" s="7" t="n">
        <v>64173</v>
      </c>
      <c r="F13312" s="7" t="s">
        <v>1068</v>
      </c>
      <c r="G13312" s="7" t="n">
        <v>2</v>
      </c>
      <c r="H13312" s="7" t="n">
        <v>3</v>
      </c>
      <c r="I13312" s="7" t="n">
        <v>17</v>
      </c>
      <c r="J13312" s="7" t="n">
        <v>64174</v>
      </c>
      <c r="K13312" s="7" t="s">
        <v>1069</v>
      </c>
      <c r="L13312" s="7" t="n">
        <v>2</v>
      </c>
      <c r="M13312" s="7" t="n">
        <v>0</v>
      </c>
    </row>
    <row r="13313" spans="1:13">
      <c r="A13313" t="s">
        <v>4</v>
      </c>
      <c r="B13313" s="4" t="s">
        <v>5</v>
      </c>
    </row>
    <row r="13314" spans="1:13">
      <c r="A13314" t="n">
        <v>125062</v>
      </c>
      <c r="B13314" s="27" t="n">
        <v>28</v>
      </c>
    </row>
    <row r="13315" spans="1:13">
      <c r="A13315" t="s">
        <v>4</v>
      </c>
      <c r="B13315" s="4" t="s">
        <v>5</v>
      </c>
      <c r="C13315" s="4" t="s">
        <v>11</v>
      </c>
      <c r="D13315" s="4" t="s">
        <v>7</v>
      </c>
    </row>
    <row r="13316" spans="1:13">
      <c r="A13316" t="n">
        <v>125063</v>
      </c>
      <c r="B13316" s="68" t="n">
        <v>89</v>
      </c>
      <c r="C13316" s="7" t="n">
        <v>65533</v>
      </c>
      <c r="D13316" s="7" t="n">
        <v>1</v>
      </c>
    </row>
    <row r="13317" spans="1:13">
      <c r="A13317" t="s">
        <v>4</v>
      </c>
      <c r="B13317" s="4" t="s">
        <v>5</v>
      </c>
      <c r="C13317" s="4" t="s">
        <v>7</v>
      </c>
      <c r="D13317" s="4" t="s">
        <v>11</v>
      </c>
      <c r="E13317" s="4" t="s">
        <v>13</v>
      </c>
    </row>
    <row r="13318" spans="1:13">
      <c r="A13318" t="n">
        <v>125067</v>
      </c>
      <c r="B13318" s="23" t="n">
        <v>58</v>
      </c>
      <c r="C13318" s="7" t="n">
        <v>101</v>
      </c>
      <c r="D13318" s="7" t="n">
        <v>500</v>
      </c>
      <c r="E13318" s="7" t="n">
        <v>1</v>
      </c>
    </row>
    <row r="13319" spans="1:13">
      <c r="A13319" t="s">
        <v>4</v>
      </c>
      <c r="B13319" s="4" t="s">
        <v>5</v>
      </c>
      <c r="C13319" s="4" t="s">
        <v>7</v>
      </c>
      <c r="D13319" s="4" t="s">
        <v>11</v>
      </c>
    </row>
    <row r="13320" spans="1:13">
      <c r="A13320" t="n">
        <v>125075</v>
      </c>
      <c r="B13320" s="23" t="n">
        <v>58</v>
      </c>
      <c r="C13320" s="7" t="n">
        <v>254</v>
      </c>
      <c r="D13320" s="7" t="n">
        <v>0</v>
      </c>
    </row>
    <row r="13321" spans="1:13">
      <c r="A13321" t="s">
        <v>4</v>
      </c>
      <c r="B13321" s="4" t="s">
        <v>5</v>
      </c>
      <c r="C13321" s="4" t="s">
        <v>7</v>
      </c>
      <c r="D13321" s="4" t="s">
        <v>7</v>
      </c>
      <c r="E13321" s="4" t="s">
        <v>13</v>
      </c>
      <c r="F13321" s="4" t="s">
        <v>13</v>
      </c>
      <c r="G13321" s="4" t="s">
        <v>13</v>
      </c>
      <c r="H13321" s="4" t="s">
        <v>11</v>
      </c>
    </row>
    <row r="13322" spans="1:13">
      <c r="A13322" t="n">
        <v>125079</v>
      </c>
      <c r="B13322" s="51" t="n">
        <v>45</v>
      </c>
      <c r="C13322" s="7" t="n">
        <v>2</v>
      </c>
      <c r="D13322" s="7" t="n">
        <v>3</v>
      </c>
      <c r="E13322" s="7" t="n">
        <v>4.96999979019165</v>
      </c>
      <c r="F13322" s="7" t="n">
        <v>1.51999998092651</v>
      </c>
      <c r="G13322" s="7" t="n">
        <v>46.3800010681152</v>
      </c>
      <c r="H13322" s="7" t="n">
        <v>0</v>
      </c>
    </row>
    <row r="13323" spans="1:13">
      <c r="A13323" t="s">
        <v>4</v>
      </c>
      <c r="B13323" s="4" t="s">
        <v>5</v>
      </c>
      <c r="C13323" s="4" t="s">
        <v>7</v>
      </c>
      <c r="D13323" s="4" t="s">
        <v>7</v>
      </c>
      <c r="E13323" s="4" t="s">
        <v>13</v>
      </c>
      <c r="F13323" s="4" t="s">
        <v>13</v>
      </c>
      <c r="G13323" s="4" t="s">
        <v>13</v>
      </c>
      <c r="H13323" s="4" t="s">
        <v>11</v>
      </c>
      <c r="I13323" s="4" t="s">
        <v>7</v>
      </c>
    </row>
    <row r="13324" spans="1:13">
      <c r="A13324" t="n">
        <v>125096</v>
      </c>
      <c r="B13324" s="51" t="n">
        <v>45</v>
      </c>
      <c r="C13324" s="7" t="n">
        <v>4</v>
      </c>
      <c r="D13324" s="7" t="n">
        <v>3</v>
      </c>
      <c r="E13324" s="7" t="n">
        <v>0.519999980926514</v>
      </c>
      <c r="F13324" s="7" t="n">
        <v>208.940002441406</v>
      </c>
      <c r="G13324" s="7" t="n">
        <v>0</v>
      </c>
      <c r="H13324" s="7" t="n">
        <v>0</v>
      </c>
      <c r="I13324" s="7" t="n">
        <v>0</v>
      </c>
    </row>
    <row r="13325" spans="1:13">
      <c r="A13325" t="s">
        <v>4</v>
      </c>
      <c r="B13325" s="4" t="s">
        <v>5</v>
      </c>
      <c r="C13325" s="4" t="s">
        <v>7</v>
      </c>
      <c r="D13325" s="4" t="s">
        <v>7</v>
      </c>
      <c r="E13325" s="4" t="s">
        <v>13</v>
      </c>
      <c r="F13325" s="4" t="s">
        <v>11</v>
      </c>
    </row>
    <row r="13326" spans="1:13">
      <c r="A13326" t="n">
        <v>125114</v>
      </c>
      <c r="B13326" s="51" t="n">
        <v>45</v>
      </c>
      <c r="C13326" s="7" t="n">
        <v>5</v>
      </c>
      <c r="D13326" s="7" t="n">
        <v>3</v>
      </c>
      <c r="E13326" s="7" t="n">
        <v>1</v>
      </c>
      <c r="F13326" s="7" t="n">
        <v>0</v>
      </c>
    </row>
    <row r="13327" spans="1:13">
      <c r="A13327" t="s">
        <v>4</v>
      </c>
      <c r="B13327" s="4" t="s">
        <v>5</v>
      </c>
      <c r="C13327" s="4" t="s">
        <v>7</v>
      </c>
      <c r="D13327" s="4" t="s">
        <v>7</v>
      </c>
      <c r="E13327" s="4" t="s">
        <v>13</v>
      </c>
      <c r="F13327" s="4" t="s">
        <v>11</v>
      </c>
    </row>
    <row r="13328" spans="1:13">
      <c r="A13328" t="n">
        <v>125123</v>
      </c>
      <c r="B13328" s="51" t="n">
        <v>45</v>
      </c>
      <c r="C13328" s="7" t="n">
        <v>11</v>
      </c>
      <c r="D13328" s="7" t="n">
        <v>3</v>
      </c>
      <c r="E13328" s="7" t="n">
        <v>34</v>
      </c>
      <c r="F13328" s="7" t="n">
        <v>0</v>
      </c>
    </row>
    <row r="13329" spans="1:9">
      <c r="A13329" t="s">
        <v>4</v>
      </c>
      <c r="B13329" s="4" t="s">
        <v>5</v>
      </c>
      <c r="C13329" s="4" t="s">
        <v>7</v>
      </c>
      <c r="D13329" s="4" t="s">
        <v>11</v>
      </c>
    </row>
    <row r="13330" spans="1:9">
      <c r="A13330" t="n">
        <v>125132</v>
      </c>
      <c r="B13330" s="23" t="n">
        <v>58</v>
      </c>
      <c r="C13330" s="7" t="n">
        <v>255</v>
      </c>
      <c r="D13330" s="7" t="n">
        <v>0</v>
      </c>
    </row>
    <row r="13331" spans="1:9">
      <c r="A13331" t="s">
        <v>4</v>
      </c>
      <c r="B13331" s="4" t="s">
        <v>5</v>
      </c>
      <c r="C13331" s="4" t="s">
        <v>7</v>
      </c>
      <c r="D13331" s="4" t="s">
        <v>11</v>
      </c>
      <c r="E13331" s="4" t="s">
        <v>8</v>
      </c>
    </row>
    <row r="13332" spans="1:9">
      <c r="A13332" t="n">
        <v>125136</v>
      </c>
      <c r="B13332" s="38" t="n">
        <v>51</v>
      </c>
      <c r="C13332" s="7" t="n">
        <v>4</v>
      </c>
      <c r="D13332" s="7" t="n">
        <v>6</v>
      </c>
      <c r="E13332" s="7" t="s">
        <v>304</v>
      </c>
    </row>
    <row r="13333" spans="1:9">
      <c r="A13333" t="s">
        <v>4</v>
      </c>
      <c r="B13333" s="4" t="s">
        <v>5</v>
      </c>
      <c r="C13333" s="4" t="s">
        <v>11</v>
      </c>
    </row>
    <row r="13334" spans="1:9">
      <c r="A13334" t="n">
        <v>125149</v>
      </c>
      <c r="B13334" s="29" t="n">
        <v>16</v>
      </c>
      <c r="C13334" s="7" t="n">
        <v>0</v>
      </c>
    </row>
    <row r="13335" spans="1:9">
      <c r="A13335" t="s">
        <v>4</v>
      </c>
      <c r="B13335" s="4" t="s">
        <v>5</v>
      </c>
      <c r="C13335" s="4" t="s">
        <v>11</v>
      </c>
      <c r="D13335" s="4" t="s">
        <v>7</v>
      </c>
      <c r="E13335" s="4" t="s">
        <v>15</v>
      </c>
      <c r="F13335" s="4" t="s">
        <v>55</v>
      </c>
      <c r="G13335" s="4" t="s">
        <v>7</v>
      </c>
      <c r="H13335" s="4" t="s">
        <v>7</v>
      </c>
      <c r="I13335" s="4" t="s">
        <v>7</v>
      </c>
      <c r="J13335" s="4" t="s">
        <v>15</v>
      </c>
      <c r="K13335" s="4" t="s">
        <v>55</v>
      </c>
      <c r="L13335" s="4" t="s">
        <v>7</v>
      </c>
      <c r="M13335" s="4" t="s">
        <v>7</v>
      </c>
    </row>
    <row r="13336" spans="1:9">
      <c r="A13336" t="n">
        <v>125152</v>
      </c>
      <c r="B13336" s="55" t="n">
        <v>26</v>
      </c>
      <c r="C13336" s="7" t="n">
        <v>6</v>
      </c>
      <c r="D13336" s="7" t="n">
        <v>17</v>
      </c>
      <c r="E13336" s="7" t="n">
        <v>64175</v>
      </c>
      <c r="F13336" s="7" t="s">
        <v>1070</v>
      </c>
      <c r="G13336" s="7" t="n">
        <v>2</v>
      </c>
      <c r="H13336" s="7" t="n">
        <v>3</v>
      </c>
      <c r="I13336" s="7" t="n">
        <v>17</v>
      </c>
      <c r="J13336" s="7" t="n">
        <v>64176</v>
      </c>
      <c r="K13336" s="7" t="s">
        <v>1071</v>
      </c>
      <c r="L13336" s="7" t="n">
        <v>2</v>
      </c>
      <c r="M13336" s="7" t="n">
        <v>0</v>
      </c>
    </row>
    <row r="13337" spans="1:9">
      <c r="A13337" t="s">
        <v>4</v>
      </c>
      <c r="B13337" s="4" t="s">
        <v>5</v>
      </c>
    </row>
    <row r="13338" spans="1:9">
      <c r="A13338" t="n">
        <v>125311</v>
      </c>
      <c r="B13338" s="27" t="n">
        <v>28</v>
      </c>
    </row>
    <row r="13339" spans="1:9">
      <c r="A13339" t="s">
        <v>4</v>
      </c>
      <c r="B13339" s="4" t="s">
        <v>5</v>
      </c>
      <c r="C13339" s="4" t="s">
        <v>7</v>
      </c>
      <c r="D13339" s="4" t="s">
        <v>11</v>
      </c>
      <c r="E13339" s="4" t="s">
        <v>8</v>
      </c>
    </row>
    <row r="13340" spans="1:9">
      <c r="A13340" t="n">
        <v>125312</v>
      </c>
      <c r="B13340" s="38" t="n">
        <v>51</v>
      </c>
      <c r="C13340" s="7" t="n">
        <v>4</v>
      </c>
      <c r="D13340" s="7" t="n">
        <v>0</v>
      </c>
      <c r="E13340" s="7" t="s">
        <v>304</v>
      </c>
    </row>
    <row r="13341" spans="1:9">
      <c r="A13341" t="s">
        <v>4</v>
      </c>
      <c r="B13341" s="4" t="s">
        <v>5</v>
      </c>
      <c r="C13341" s="4" t="s">
        <v>11</v>
      </c>
    </row>
    <row r="13342" spans="1:9">
      <c r="A13342" t="n">
        <v>125325</v>
      </c>
      <c r="B13342" s="29" t="n">
        <v>16</v>
      </c>
      <c r="C13342" s="7" t="n">
        <v>0</v>
      </c>
    </row>
    <row r="13343" spans="1:9">
      <c r="A13343" t="s">
        <v>4</v>
      </c>
      <c r="B13343" s="4" t="s">
        <v>5</v>
      </c>
      <c r="C13343" s="4" t="s">
        <v>11</v>
      </c>
      <c r="D13343" s="4" t="s">
        <v>7</v>
      </c>
      <c r="E13343" s="4" t="s">
        <v>15</v>
      </c>
      <c r="F13343" s="4" t="s">
        <v>55</v>
      </c>
      <c r="G13343" s="4" t="s">
        <v>7</v>
      </c>
      <c r="H13343" s="4" t="s">
        <v>7</v>
      </c>
    </row>
    <row r="13344" spans="1:9">
      <c r="A13344" t="n">
        <v>125328</v>
      </c>
      <c r="B13344" s="55" t="n">
        <v>26</v>
      </c>
      <c r="C13344" s="7" t="n">
        <v>0</v>
      </c>
      <c r="D13344" s="7" t="n">
        <v>17</v>
      </c>
      <c r="E13344" s="7" t="n">
        <v>64177</v>
      </c>
      <c r="F13344" s="7" t="s">
        <v>1072</v>
      </c>
      <c r="G13344" s="7" t="n">
        <v>2</v>
      </c>
      <c r="H13344" s="7" t="n">
        <v>0</v>
      </c>
    </row>
    <row r="13345" spans="1:13">
      <c r="A13345" t="s">
        <v>4</v>
      </c>
      <c r="B13345" s="4" t="s">
        <v>5</v>
      </c>
    </row>
    <row r="13346" spans="1:13">
      <c r="A13346" t="n">
        <v>125374</v>
      </c>
      <c r="B13346" s="27" t="n">
        <v>28</v>
      </c>
    </row>
    <row r="13347" spans="1:13">
      <c r="A13347" t="s">
        <v>4</v>
      </c>
      <c r="B13347" s="4" t="s">
        <v>5</v>
      </c>
      <c r="C13347" s="4" t="s">
        <v>11</v>
      </c>
      <c r="D13347" s="4" t="s">
        <v>7</v>
      </c>
    </row>
    <row r="13348" spans="1:13">
      <c r="A13348" t="n">
        <v>125375</v>
      </c>
      <c r="B13348" s="68" t="n">
        <v>89</v>
      </c>
      <c r="C13348" s="7" t="n">
        <v>65533</v>
      </c>
      <c r="D13348" s="7" t="n">
        <v>1</v>
      </c>
    </row>
    <row r="13349" spans="1:13">
      <c r="A13349" t="s">
        <v>4</v>
      </c>
      <c r="B13349" s="4" t="s">
        <v>5</v>
      </c>
      <c r="C13349" s="4" t="s">
        <v>7</v>
      </c>
      <c r="D13349" s="4" t="s">
        <v>11</v>
      </c>
      <c r="E13349" s="4" t="s">
        <v>8</v>
      </c>
      <c r="F13349" s="4" t="s">
        <v>8</v>
      </c>
      <c r="G13349" s="4" t="s">
        <v>8</v>
      </c>
      <c r="H13349" s="4" t="s">
        <v>8</v>
      </c>
    </row>
    <row r="13350" spans="1:13">
      <c r="A13350" t="n">
        <v>125379</v>
      </c>
      <c r="B13350" s="38" t="n">
        <v>51</v>
      </c>
      <c r="C13350" s="7" t="n">
        <v>3</v>
      </c>
      <c r="D13350" s="7" t="n">
        <v>6</v>
      </c>
      <c r="E13350" s="7" t="s">
        <v>295</v>
      </c>
      <c r="F13350" s="7" t="s">
        <v>79</v>
      </c>
      <c r="G13350" s="7" t="s">
        <v>78</v>
      </c>
      <c r="H13350" s="7" t="s">
        <v>79</v>
      </c>
    </row>
    <row r="13351" spans="1:13">
      <c r="A13351" t="s">
        <v>4</v>
      </c>
      <c r="B13351" s="4" t="s">
        <v>5</v>
      </c>
      <c r="C13351" s="4" t="s">
        <v>11</v>
      </c>
      <c r="D13351" s="4" t="s">
        <v>13</v>
      </c>
      <c r="E13351" s="4" t="s">
        <v>13</v>
      </c>
      <c r="F13351" s="4" t="s">
        <v>13</v>
      </c>
      <c r="G13351" s="4" t="s">
        <v>11</v>
      </c>
      <c r="H13351" s="4" t="s">
        <v>11</v>
      </c>
    </row>
    <row r="13352" spans="1:13">
      <c r="A13352" t="n">
        <v>125392</v>
      </c>
      <c r="B13352" s="37" t="n">
        <v>60</v>
      </c>
      <c r="C13352" s="7" t="n">
        <v>6</v>
      </c>
      <c r="D13352" s="7" t="n">
        <v>-45</v>
      </c>
      <c r="E13352" s="7" t="n">
        <v>0</v>
      </c>
      <c r="F13352" s="7" t="n">
        <v>0</v>
      </c>
      <c r="G13352" s="7" t="n">
        <v>1000</v>
      </c>
      <c r="H13352" s="7" t="n">
        <v>0</v>
      </c>
    </row>
    <row r="13353" spans="1:13">
      <c r="A13353" t="s">
        <v>4</v>
      </c>
      <c r="B13353" s="4" t="s">
        <v>5</v>
      </c>
      <c r="C13353" s="4" t="s">
        <v>11</v>
      </c>
    </row>
    <row r="13354" spans="1:13">
      <c r="A13354" t="n">
        <v>125411</v>
      </c>
      <c r="B13354" s="29" t="n">
        <v>16</v>
      </c>
      <c r="C13354" s="7" t="n">
        <v>1000</v>
      </c>
    </row>
    <row r="13355" spans="1:13">
      <c r="A13355" t="s">
        <v>4</v>
      </c>
      <c r="B13355" s="4" t="s">
        <v>5</v>
      </c>
      <c r="C13355" s="4" t="s">
        <v>7</v>
      </c>
      <c r="D13355" s="4" t="s">
        <v>11</v>
      </c>
      <c r="E13355" s="4" t="s">
        <v>8</v>
      </c>
      <c r="F13355" s="4" t="s">
        <v>8</v>
      </c>
      <c r="G13355" s="4" t="s">
        <v>8</v>
      </c>
      <c r="H13355" s="4" t="s">
        <v>8</v>
      </c>
    </row>
    <row r="13356" spans="1:13">
      <c r="A13356" t="n">
        <v>125414</v>
      </c>
      <c r="B13356" s="38" t="n">
        <v>51</v>
      </c>
      <c r="C13356" s="7" t="n">
        <v>3</v>
      </c>
      <c r="D13356" s="7" t="n">
        <v>6</v>
      </c>
      <c r="E13356" s="7" t="s">
        <v>296</v>
      </c>
      <c r="F13356" s="7" t="s">
        <v>79</v>
      </c>
      <c r="G13356" s="7" t="s">
        <v>78</v>
      </c>
      <c r="H13356" s="7" t="s">
        <v>79</v>
      </c>
    </row>
    <row r="13357" spans="1:13">
      <c r="A13357" t="s">
        <v>4</v>
      </c>
      <c r="B13357" s="4" t="s">
        <v>5</v>
      </c>
      <c r="C13357" s="4" t="s">
        <v>11</v>
      </c>
      <c r="D13357" s="4" t="s">
        <v>13</v>
      </c>
      <c r="E13357" s="4" t="s">
        <v>13</v>
      </c>
      <c r="F13357" s="4" t="s">
        <v>13</v>
      </c>
      <c r="G13357" s="4" t="s">
        <v>11</v>
      </c>
      <c r="H13357" s="4" t="s">
        <v>11</v>
      </c>
    </row>
    <row r="13358" spans="1:13">
      <c r="A13358" t="n">
        <v>125428</v>
      </c>
      <c r="B13358" s="37" t="n">
        <v>60</v>
      </c>
      <c r="C13358" s="7" t="n">
        <v>6</v>
      </c>
      <c r="D13358" s="7" t="n">
        <v>45</v>
      </c>
      <c r="E13358" s="7" t="n">
        <v>0</v>
      </c>
      <c r="F13358" s="7" t="n">
        <v>0</v>
      </c>
      <c r="G13358" s="7" t="n">
        <v>1000</v>
      </c>
      <c r="H13358" s="7" t="n">
        <v>0</v>
      </c>
    </row>
    <row r="13359" spans="1:13">
      <c r="A13359" t="s">
        <v>4</v>
      </c>
      <c r="B13359" s="4" t="s">
        <v>5</v>
      </c>
      <c r="C13359" s="4" t="s">
        <v>11</v>
      </c>
    </row>
    <row r="13360" spans="1:13">
      <c r="A13360" t="n">
        <v>125447</v>
      </c>
      <c r="B13360" s="29" t="n">
        <v>16</v>
      </c>
      <c r="C13360" s="7" t="n">
        <v>1200</v>
      </c>
    </row>
    <row r="13361" spans="1:8">
      <c r="A13361" t="s">
        <v>4</v>
      </c>
      <c r="B13361" s="4" t="s">
        <v>5</v>
      </c>
      <c r="C13361" s="4" t="s">
        <v>7</v>
      </c>
      <c r="D13361" s="4" t="s">
        <v>11</v>
      </c>
      <c r="E13361" s="4" t="s">
        <v>8</v>
      </c>
      <c r="F13361" s="4" t="s">
        <v>8</v>
      </c>
      <c r="G13361" s="4" t="s">
        <v>8</v>
      </c>
      <c r="H13361" s="4" t="s">
        <v>8</v>
      </c>
    </row>
    <row r="13362" spans="1:8">
      <c r="A13362" t="n">
        <v>125450</v>
      </c>
      <c r="B13362" s="38" t="n">
        <v>51</v>
      </c>
      <c r="C13362" s="7" t="n">
        <v>3</v>
      </c>
      <c r="D13362" s="7" t="n">
        <v>6</v>
      </c>
      <c r="E13362" s="7" t="s">
        <v>86</v>
      </c>
      <c r="F13362" s="7" t="s">
        <v>99</v>
      </c>
      <c r="G13362" s="7" t="s">
        <v>78</v>
      </c>
      <c r="H13362" s="7" t="s">
        <v>79</v>
      </c>
    </row>
    <row r="13363" spans="1:8">
      <c r="A13363" t="s">
        <v>4</v>
      </c>
      <c r="B13363" s="4" t="s">
        <v>5</v>
      </c>
      <c r="C13363" s="4" t="s">
        <v>11</v>
      </c>
      <c r="D13363" s="4" t="s">
        <v>13</v>
      </c>
      <c r="E13363" s="4" t="s">
        <v>13</v>
      </c>
      <c r="F13363" s="4" t="s">
        <v>13</v>
      </c>
      <c r="G13363" s="4" t="s">
        <v>11</v>
      </c>
      <c r="H13363" s="4" t="s">
        <v>11</v>
      </c>
    </row>
    <row r="13364" spans="1:8">
      <c r="A13364" t="n">
        <v>125463</v>
      </c>
      <c r="B13364" s="37" t="n">
        <v>60</v>
      </c>
      <c r="C13364" s="7" t="n">
        <v>6</v>
      </c>
      <c r="D13364" s="7" t="n">
        <v>0</v>
      </c>
      <c r="E13364" s="7" t="n">
        <v>0</v>
      </c>
      <c r="F13364" s="7" t="n">
        <v>0</v>
      </c>
      <c r="G13364" s="7" t="n">
        <v>1000</v>
      </c>
      <c r="H13364" s="7" t="n">
        <v>0</v>
      </c>
    </row>
    <row r="13365" spans="1:8">
      <c r="A13365" t="s">
        <v>4</v>
      </c>
      <c r="B13365" s="4" t="s">
        <v>5</v>
      </c>
      <c r="C13365" s="4" t="s">
        <v>11</v>
      </c>
    </row>
    <row r="13366" spans="1:8">
      <c r="A13366" t="n">
        <v>125482</v>
      </c>
      <c r="B13366" s="29" t="n">
        <v>16</v>
      </c>
      <c r="C13366" s="7" t="n">
        <v>1000</v>
      </c>
    </row>
    <row r="13367" spans="1:8">
      <c r="A13367" t="s">
        <v>4</v>
      </c>
      <c r="B13367" s="4" t="s">
        <v>5</v>
      </c>
      <c r="C13367" s="4" t="s">
        <v>7</v>
      </c>
      <c r="D13367" s="4" t="s">
        <v>11</v>
      </c>
      <c r="E13367" s="4" t="s">
        <v>8</v>
      </c>
    </row>
    <row r="13368" spans="1:8">
      <c r="A13368" t="n">
        <v>125485</v>
      </c>
      <c r="B13368" s="38" t="n">
        <v>51</v>
      </c>
      <c r="C13368" s="7" t="n">
        <v>4</v>
      </c>
      <c r="D13368" s="7" t="n">
        <v>6</v>
      </c>
      <c r="E13368" s="7" t="s">
        <v>173</v>
      </c>
    </row>
    <row r="13369" spans="1:8">
      <c r="A13369" t="s">
        <v>4</v>
      </c>
      <c r="B13369" s="4" t="s">
        <v>5</v>
      </c>
      <c r="C13369" s="4" t="s">
        <v>11</v>
      </c>
    </row>
    <row r="13370" spans="1:8">
      <c r="A13370" t="n">
        <v>125498</v>
      </c>
      <c r="B13370" s="29" t="n">
        <v>16</v>
      </c>
      <c r="C13370" s="7" t="n">
        <v>0</v>
      </c>
    </row>
    <row r="13371" spans="1:8">
      <c r="A13371" t="s">
        <v>4</v>
      </c>
      <c r="B13371" s="4" t="s">
        <v>5</v>
      </c>
      <c r="C13371" s="4" t="s">
        <v>11</v>
      </c>
      <c r="D13371" s="4" t="s">
        <v>7</v>
      </c>
      <c r="E13371" s="4" t="s">
        <v>15</v>
      </c>
      <c r="F13371" s="4" t="s">
        <v>55</v>
      </c>
      <c r="G13371" s="4" t="s">
        <v>7</v>
      </c>
      <c r="H13371" s="4" t="s">
        <v>7</v>
      </c>
      <c r="I13371" s="4" t="s">
        <v>7</v>
      </c>
      <c r="J13371" s="4" t="s">
        <v>15</v>
      </c>
      <c r="K13371" s="4" t="s">
        <v>55</v>
      </c>
      <c r="L13371" s="4" t="s">
        <v>7</v>
      </c>
      <c r="M13371" s="4" t="s">
        <v>7</v>
      </c>
    </row>
    <row r="13372" spans="1:8">
      <c r="A13372" t="n">
        <v>125501</v>
      </c>
      <c r="B13372" s="55" t="n">
        <v>26</v>
      </c>
      <c r="C13372" s="7" t="n">
        <v>6</v>
      </c>
      <c r="D13372" s="7" t="n">
        <v>17</v>
      </c>
      <c r="E13372" s="7" t="n">
        <v>64178</v>
      </c>
      <c r="F13372" s="7" t="s">
        <v>1073</v>
      </c>
      <c r="G13372" s="7" t="n">
        <v>2</v>
      </c>
      <c r="H13372" s="7" t="n">
        <v>3</v>
      </c>
      <c r="I13372" s="7" t="n">
        <v>17</v>
      </c>
      <c r="J13372" s="7" t="n">
        <v>64179</v>
      </c>
      <c r="K13372" s="7" t="s">
        <v>1074</v>
      </c>
      <c r="L13372" s="7" t="n">
        <v>2</v>
      </c>
      <c r="M13372" s="7" t="n">
        <v>0</v>
      </c>
    </row>
    <row r="13373" spans="1:8">
      <c r="A13373" t="s">
        <v>4</v>
      </c>
      <c r="B13373" s="4" t="s">
        <v>5</v>
      </c>
    </row>
    <row r="13374" spans="1:8">
      <c r="A13374" t="n">
        <v>125681</v>
      </c>
      <c r="B13374" s="27" t="n">
        <v>28</v>
      </c>
    </row>
    <row r="13375" spans="1:8">
      <c r="A13375" t="s">
        <v>4</v>
      </c>
      <c r="B13375" s="4" t="s">
        <v>5</v>
      </c>
      <c r="C13375" s="4" t="s">
        <v>7</v>
      </c>
      <c r="D13375" s="4" t="s">
        <v>11</v>
      </c>
      <c r="E13375" s="4" t="s">
        <v>8</v>
      </c>
    </row>
    <row r="13376" spans="1:8">
      <c r="A13376" t="n">
        <v>125682</v>
      </c>
      <c r="B13376" s="38" t="n">
        <v>51</v>
      </c>
      <c r="C13376" s="7" t="n">
        <v>4</v>
      </c>
      <c r="D13376" s="7" t="n">
        <v>0</v>
      </c>
      <c r="E13376" s="7" t="s">
        <v>179</v>
      </c>
    </row>
    <row r="13377" spans="1:13">
      <c r="A13377" t="s">
        <v>4</v>
      </c>
      <c r="B13377" s="4" t="s">
        <v>5</v>
      </c>
      <c r="C13377" s="4" t="s">
        <v>11</v>
      </c>
    </row>
    <row r="13378" spans="1:13">
      <c r="A13378" t="n">
        <v>125696</v>
      </c>
      <c r="B13378" s="29" t="n">
        <v>16</v>
      </c>
      <c r="C13378" s="7" t="n">
        <v>0</v>
      </c>
    </row>
    <row r="13379" spans="1:13">
      <c r="A13379" t="s">
        <v>4</v>
      </c>
      <c r="B13379" s="4" t="s">
        <v>5</v>
      </c>
      <c r="C13379" s="4" t="s">
        <v>11</v>
      </c>
      <c r="D13379" s="4" t="s">
        <v>7</v>
      </c>
      <c r="E13379" s="4" t="s">
        <v>15</v>
      </c>
      <c r="F13379" s="4" t="s">
        <v>55</v>
      </c>
      <c r="G13379" s="4" t="s">
        <v>7</v>
      </c>
      <c r="H13379" s="4" t="s">
        <v>7</v>
      </c>
      <c r="I13379" s="4" t="s">
        <v>7</v>
      </c>
      <c r="J13379" s="4" t="s">
        <v>15</v>
      </c>
      <c r="K13379" s="4" t="s">
        <v>55</v>
      </c>
      <c r="L13379" s="4" t="s">
        <v>7</v>
      </c>
      <c r="M13379" s="4" t="s">
        <v>7</v>
      </c>
      <c r="N13379" s="4" t="s">
        <v>7</v>
      </c>
      <c r="O13379" s="4" t="s">
        <v>15</v>
      </c>
      <c r="P13379" s="4" t="s">
        <v>55</v>
      </c>
      <c r="Q13379" s="4" t="s">
        <v>7</v>
      </c>
      <c r="R13379" s="4" t="s">
        <v>7</v>
      </c>
    </row>
    <row r="13380" spans="1:13">
      <c r="A13380" t="n">
        <v>125699</v>
      </c>
      <c r="B13380" s="55" t="n">
        <v>26</v>
      </c>
      <c r="C13380" s="7" t="n">
        <v>0</v>
      </c>
      <c r="D13380" s="7" t="n">
        <v>17</v>
      </c>
      <c r="E13380" s="7" t="n">
        <v>64180</v>
      </c>
      <c r="F13380" s="7" t="s">
        <v>1075</v>
      </c>
      <c r="G13380" s="7" t="n">
        <v>2</v>
      </c>
      <c r="H13380" s="7" t="n">
        <v>3</v>
      </c>
      <c r="I13380" s="7" t="n">
        <v>17</v>
      </c>
      <c r="J13380" s="7" t="n">
        <v>64181</v>
      </c>
      <c r="K13380" s="7" t="s">
        <v>1076</v>
      </c>
      <c r="L13380" s="7" t="n">
        <v>2</v>
      </c>
      <c r="M13380" s="7" t="n">
        <v>3</v>
      </c>
      <c r="N13380" s="7" t="n">
        <v>17</v>
      </c>
      <c r="O13380" s="7" t="n">
        <v>64182</v>
      </c>
      <c r="P13380" s="7" t="s">
        <v>1077</v>
      </c>
      <c r="Q13380" s="7" t="n">
        <v>2</v>
      </c>
      <c r="R13380" s="7" t="n">
        <v>0</v>
      </c>
    </row>
    <row r="13381" spans="1:13">
      <c r="A13381" t="s">
        <v>4</v>
      </c>
      <c r="B13381" s="4" t="s">
        <v>5</v>
      </c>
    </row>
    <row r="13382" spans="1:13">
      <c r="A13382" t="n">
        <v>125874</v>
      </c>
      <c r="B13382" s="27" t="n">
        <v>28</v>
      </c>
    </row>
    <row r="13383" spans="1:13">
      <c r="A13383" t="s">
        <v>4</v>
      </c>
      <c r="B13383" s="4" t="s">
        <v>5</v>
      </c>
      <c r="C13383" s="4" t="s">
        <v>7</v>
      </c>
      <c r="D13383" s="4" t="s">
        <v>11</v>
      </c>
      <c r="E13383" s="4" t="s">
        <v>8</v>
      </c>
    </row>
    <row r="13384" spans="1:13">
      <c r="A13384" t="n">
        <v>125875</v>
      </c>
      <c r="B13384" s="38" t="n">
        <v>51</v>
      </c>
      <c r="C13384" s="7" t="n">
        <v>4</v>
      </c>
      <c r="D13384" s="7" t="n">
        <v>6</v>
      </c>
      <c r="E13384" s="7" t="s">
        <v>233</v>
      </c>
    </row>
    <row r="13385" spans="1:13">
      <c r="A13385" t="s">
        <v>4</v>
      </c>
      <c r="B13385" s="4" t="s">
        <v>5</v>
      </c>
      <c r="C13385" s="4" t="s">
        <v>11</v>
      </c>
    </row>
    <row r="13386" spans="1:13">
      <c r="A13386" t="n">
        <v>125888</v>
      </c>
      <c r="B13386" s="29" t="n">
        <v>16</v>
      </c>
      <c r="C13386" s="7" t="n">
        <v>0</v>
      </c>
    </row>
    <row r="13387" spans="1:13">
      <c r="A13387" t="s">
        <v>4</v>
      </c>
      <c r="B13387" s="4" t="s">
        <v>5</v>
      </c>
      <c r="C13387" s="4" t="s">
        <v>11</v>
      </c>
      <c r="D13387" s="4" t="s">
        <v>7</v>
      </c>
      <c r="E13387" s="4" t="s">
        <v>15</v>
      </c>
      <c r="F13387" s="4" t="s">
        <v>55</v>
      </c>
      <c r="G13387" s="4" t="s">
        <v>7</v>
      </c>
      <c r="H13387" s="4" t="s">
        <v>7</v>
      </c>
    </row>
    <row r="13388" spans="1:13">
      <c r="A13388" t="n">
        <v>125891</v>
      </c>
      <c r="B13388" s="55" t="n">
        <v>26</v>
      </c>
      <c r="C13388" s="7" t="n">
        <v>6</v>
      </c>
      <c r="D13388" s="7" t="n">
        <v>17</v>
      </c>
      <c r="E13388" s="7" t="n">
        <v>64183</v>
      </c>
      <c r="F13388" s="7" t="s">
        <v>1078</v>
      </c>
      <c r="G13388" s="7" t="n">
        <v>2</v>
      </c>
      <c r="H13388" s="7" t="n">
        <v>0</v>
      </c>
    </row>
    <row r="13389" spans="1:13">
      <c r="A13389" t="s">
        <v>4</v>
      </c>
      <c r="B13389" s="4" t="s">
        <v>5</v>
      </c>
    </row>
    <row r="13390" spans="1:13">
      <c r="A13390" t="n">
        <v>125920</v>
      </c>
      <c r="B13390" s="27" t="n">
        <v>28</v>
      </c>
    </row>
    <row r="13391" spans="1:13">
      <c r="A13391" t="s">
        <v>4</v>
      </c>
      <c r="B13391" s="4" t="s">
        <v>5</v>
      </c>
      <c r="C13391" s="4" t="s">
        <v>11</v>
      </c>
      <c r="D13391" s="4" t="s">
        <v>7</v>
      </c>
    </row>
    <row r="13392" spans="1:13">
      <c r="A13392" t="n">
        <v>125921</v>
      </c>
      <c r="B13392" s="68" t="n">
        <v>89</v>
      </c>
      <c r="C13392" s="7" t="n">
        <v>65533</v>
      </c>
      <c r="D13392" s="7" t="n">
        <v>1</v>
      </c>
    </row>
    <row r="13393" spans="1:18">
      <c r="A13393" t="s">
        <v>4</v>
      </c>
      <c r="B13393" s="4" t="s">
        <v>5</v>
      </c>
      <c r="C13393" s="4" t="s">
        <v>7</v>
      </c>
      <c r="D13393" s="4" t="s">
        <v>11</v>
      </c>
      <c r="E13393" s="4" t="s">
        <v>13</v>
      </c>
    </row>
    <row r="13394" spans="1:18">
      <c r="A13394" t="n">
        <v>125925</v>
      </c>
      <c r="B13394" s="23" t="n">
        <v>58</v>
      </c>
      <c r="C13394" s="7" t="n">
        <v>101</v>
      </c>
      <c r="D13394" s="7" t="n">
        <v>500</v>
      </c>
      <c r="E13394" s="7" t="n">
        <v>1</v>
      </c>
    </row>
    <row r="13395" spans="1:18">
      <c r="A13395" t="s">
        <v>4</v>
      </c>
      <c r="B13395" s="4" t="s">
        <v>5</v>
      </c>
      <c r="C13395" s="4" t="s">
        <v>7</v>
      </c>
      <c r="D13395" s="4" t="s">
        <v>11</v>
      </c>
    </row>
    <row r="13396" spans="1:18">
      <c r="A13396" t="n">
        <v>125933</v>
      </c>
      <c r="B13396" s="23" t="n">
        <v>58</v>
      </c>
      <c r="C13396" s="7" t="n">
        <v>254</v>
      </c>
      <c r="D13396" s="7" t="n">
        <v>0</v>
      </c>
    </row>
    <row r="13397" spans="1:18">
      <c r="A13397" t="s">
        <v>4</v>
      </c>
      <c r="B13397" s="4" t="s">
        <v>5</v>
      </c>
      <c r="C13397" s="4" t="s">
        <v>7</v>
      </c>
      <c r="D13397" s="4" t="s">
        <v>11</v>
      </c>
      <c r="E13397" s="4" t="s">
        <v>8</v>
      </c>
      <c r="F13397" s="4" t="s">
        <v>8</v>
      </c>
      <c r="G13397" s="4" t="s">
        <v>8</v>
      </c>
      <c r="H13397" s="4" t="s">
        <v>8</v>
      </c>
    </row>
    <row r="13398" spans="1:18">
      <c r="A13398" t="n">
        <v>125937</v>
      </c>
      <c r="B13398" s="38" t="n">
        <v>51</v>
      </c>
      <c r="C13398" s="7" t="n">
        <v>3</v>
      </c>
      <c r="D13398" s="7" t="n">
        <v>0</v>
      </c>
      <c r="E13398" s="7" t="s">
        <v>65</v>
      </c>
      <c r="F13398" s="7" t="s">
        <v>99</v>
      </c>
      <c r="G13398" s="7" t="s">
        <v>78</v>
      </c>
      <c r="H13398" s="7" t="s">
        <v>79</v>
      </c>
    </row>
    <row r="13399" spans="1:18">
      <c r="A13399" t="s">
        <v>4</v>
      </c>
      <c r="B13399" s="4" t="s">
        <v>5</v>
      </c>
      <c r="C13399" s="4" t="s">
        <v>7</v>
      </c>
      <c r="D13399" s="4" t="s">
        <v>11</v>
      </c>
      <c r="E13399" s="4" t="s">
        <v>8</v>
      </c>
      <c r="F13399" s="4" t="s">
        <v>8</v>
      </c>
      <c r="G13399" s="4" t="s">
        <v>8</v>
      </c>
      <c r="H13399" s="4" t="s">
        <v>8</v>
      </c>
    </row>
    <row r="13400" spans="1:18">
      <c r="A13400" t="n">
        <v>125958</v>
      </c>
      <c r="B13400" s="38" t="n">
        <v>51</v>
      </c>
      <c r="C13400" s="7" t="n">
        <v>3</v>
      </c>
      <c r="D13400" s="7" t="n">
        <v>6</v>
      </c>
      <c r="E13400" s="7" t="s">
        <v>101</v>
      </c>
      <c r="F13400" s="7" t="s">
        <v>99</v>
      </c>
      <c r="G13400" s="7" t="s">
        <v>78</v>
      </c>
      <c r="H13400" s="7" t="s">
        <v>79</v>
      </c>
    </row>
    <row r="13401" spans="1:18">
      <c r="A13401" t="s">
        <v>4</v>
      </c>
      <c r="B13401" s="4" t="s">
        <v>5</v>
      </c>
      <c r="C13401" s="4" t="s">
        <v>11</v>
      </c>
      <c r="D13401" s="4" t="s">
        <v>11</v>
      </c>
      <c r="E13401" s="4" t="s">
        <v>11</v>
      </c>
    </row>
    <row r="13402" spans="1:18">
      <c r="A13402" t="n">
        <v>125979</v>
      </c>
      <c r="B13402" s="72" t="n">
        <v>61</v>
      </c>
      <c r="C13402" s="7" t="n">
        <v>0</v>
      </c>
      <c r="D13402" s="7" t="n">
        <v>65533</v>
      </c>
      <c r="E13402" s="7" t="n">
        <v>0</v>
      </c>
    </row>
    <row r="13403" spans="1:18">
      <c r="A13403" t="s">
        <v>4</v>
      </c>
      <c r="B13403" s="4" t="s">
        <v>5</v>
      </c>
      <c r="C13403" s="4" t="s">
        <v>11</v>
      </c>
      <c r="D13403" s="4" t="s">
        <v>11</v>
      </c>
      <c r="E13403" s="4" t="s">
        <v>11</v>
      </c>
    </row>
    <row r="13404" spans="1:18">
      <c r="A13404" t="n">
        <v>125986</v>
      </c>
      <c r="B13404" s="72" t="n">
        <v>61</v>
      </c>
      <c r="C13404" s="7" t="n">
        <v>6</v>
      </c>
      <c r="D13404" s="7" t="n">
        <v>65533</v>
      </c>
      <c r="E13404" s="7" t="n">
        <v>0</v>
      </c>
    </row>
    <row r="13405" spans="1:18">
      <c r="A13405" t="s">
        <v>4</v>
      </c>
      <c r="B13405" s="4" t="s">
        <v>5</v>
      </c>
      <c r="C13405" s="4" t="s">
        <v>7</v>
      </c>
    </row>
    <row r="13406" spans="1:18">
      <c r="A13406" t="n">
        <v>125993</v>
      </c>
      <c r="B13406" s="49" t="n">
        <v>116</v>
      </c>
      <c r="C13406" s="7" t="n">
        <v>0</v>
      </c>
    </row>
    <row r="13407" spans="1:18">
      <c r="A13407" t="s">
        <v>4</v>
      </c>
      <c r="B13407" s="4" t="s">
        <v>5</v>
      </c>
      <c r="C13407" s="4" t="s">
        <v>7</v>
      </c>
      <c r="D13407" s="4" t="s">
        <v>11</v>
      </c>
    </row>
    <row r="13408" spans="1:18">
      <c r="A13408" t="n">
        <v>125995</v>
      </c>
      <c r="B13408" s="49" t="n">
        <v>116</v>
      </c>
      <c r="C13408" s="7" t="n">
        <v>2</v>
      </c>
      <c r="D13408" s="7" t="n">
        <v>1</v>
      </c>
    </row>
    <row r="13409" spans="1:8">
      <c r="A13409" t="s">
        <v>4</v>
      </c>
      <c r="B13409" s="4" t="s">
        <v>5</v>
      </c>
      <c r="C13409" s="4" t="s">
        <v>7</v>
      </c>
      <c r="D13409" s="4" t="s">
        <v>15</v>
      </c>
    </row>
    <row r="13410" spans="1:8">
      <c r="A13410" t="n">
        <v>125999</v>
      </c>
      <c r="B13410" s="49" t="n">
        <v>116</v>
      </c>
      <c r="C13410" s="7" t="n">
        <v>5</v>
      </c>
      <c r="D13410" s="7" t="n">
        <v>1106247680</v>
      </c>
    </row>
    <row r="13411" spans="1:8">
      <c r="A13411" t="s">
        <v>4</v>
      </c>
      <c r="B13411" s="4" t="s">
        <v>5</v>
      </c>
      <c r="C13411" s="4" t="s">
        <v>7</v>
      </c>
      <c r="D13411" s="4" t="s">
        <v>11</v>
      </c>
    </row>
    <row r="13412" spans="1:8">
      <c r="A13412" t="n">
        <v>126005</v>
      </c>
      <c r="B13412" s="49" t="n">
        <v>116</v>
      </c>
      <c r="C13412" s="7" t="n">
        <v>6</v>
      </c>
      <c r="D13412" s="7" t="n">
        <v>1</v>
      </c>
    </row>
    <row r="13413" spans="1:8">
      <c r="A13413" t="s">
        <v>4</v>
      </c>
      <c r="B13413" s="4" t="s">
        <v>5</v>
      </c>
      <c r="C13413" s="4" t="s">
        <v>7</v>
      </c>
      <c r="D13413" s="4" t="s">
        <v>7</v>
      </c>
      <c r="E13413" s="4" t="s">
        <v>13</v>
      </c>
      <c r="F13413" s="4" t="s">
        <v>13</v>
      </c>
      <c r="G13413" s="4" t="s">
        <v>13</v>
      </c>
      <c r="H13413" s="4" t="s">
        <v>11</v>
      </c>
    </row>
    <row r="13414" spans="1:8">
      <c r="A13414" t="n">
        <v>126009</v>
      </c>
      <c r="B13414" s="51" t="n">
        <v>45</v>
      </c>
      <c r="C13414" s="7" t="n">
        <v>2</v>
      </c>
      <c r="D13414" s="7" t="n">
        <v>3</v>
      </c>
      <c r="E13414" s="7" t="n">
        <v>4.53000020980835</v>
      </c>
      <c r="F13414" s="7" t="n">
        <v>1.30999994277954</v>
      </c>
      <c r="G13414" s="7" t="n">
        <v>46.2700004577637</v>
      </c>
      <c r="H13414" s="7" t="n">
        <v>0</v>
      </c>
    </row>
    <row r="13415" spans="1:8">
      <c r="A13415" t="s">
        <v>4</v>
      </c>
      <c r="B13415" s="4" t="s">
        <v>5</v>
      </c>
      <c r="C13415" s="4" t="s">
        <v>7</v>
      </c>
      <c r="D13415" s="4" t="s">
        <v>7</v>
      </c>
      <c r="E13415" s="4" t="s">
        <v>13</v>
      </c>
      <c r="F13415" s="4" t="s">
        <v>13</v>
      </c>
      <c r="G13415" s="4" t="s">
        <v>13</v>
      </c>
      <c r="H13415" s="4" t="s">
        <v>11</v>
      </c>
      <c r="I13415" s="4" t="s">
        <v>7</v>
      </c>
    </row>
    <row r="13416" spans="1:8">
      <c r="A13416" t="n">
        <v>126026</v>
      </c>
      <c r="B13416" s="51" t="n">
        <v>45</v>
      </c>
      <c r="C13416" s="7" t="n">
        <v>4</v>
      </c>
      <c r="D13416" s="7" t="n">
        <v>3</v>
      </c>
      <c r="E13416" s="7" t="n">
        <v>12.8699998855591</v>
      </c>
      <c r="F13416" s="7" t="n">
        <v>80.0199966430664</v>
      </c>
      <c r="G13416" s="7" t="n">
        <v>0</v>
      </c>
      <c r="H13416" s="7" t="n">
        <v>0</v>
      </c>
      <c r="I13416" s="7" t="n">
        <v>0</v>
      </c>
    </row>
    <row r="13417" spans="1:8">
      <c r="A13417" t="s">
        <v>4</v>
      </c>
      <c r="B13417" s="4" t="s">
        <v>5</v>
      </c>
      <c r="C13417" s="4" t="s">
        <v>7</v>
      </c>
      <c r="D13417" s="4" t="s">
        <v>7</v>
      </c>
      <c r="E13417" s="4" t="s">
        <v>13</v>
      </c>
      <c r="F13417" s="4" t="s">
        <v>11</v>
      </c>
    </row>
    <row r="13418" spans="1:8">
      <c r="A13418" t="n">
        <v>126044</v>
      </c>
      <c r="B13418" s="51" t="n">
        <v>45</v>
      </c>
      <c r="C13418" s="7" t="n">
        <v>5</v>
      </c>
      <c r="D13418" s="7" t="n">
        <v>3</v>
      </c>
      <c r="E13418" s="7" t="n">
        <v>3</v>
      </c>
      <c r="F13418" s="7" t="n">
        <v>0</v>
      </c>
    </row>
    <row r="13419" spans="1:8">
      <c r="A13419" t="s">
        <v>4</v>
      </c>
      <c r="B13419" s="4" t="s">
        <v>5</v>
      </c>
      <c r="C13419" s="4" t="s">
        <v>7</v>
      </c>
      <c r="D13419" s="4" t="s">
        <v>7</v>
      </c>
      <c r="E13419" s="4" t="s">
        <v>13</v>
      </c>
      <c r="F13419" s="4" t="s">
        <v>11</v>
      </c>
    </row>
    <row r="13420" spans="1:8">
      <c r="A13420" t="n">
        <v>126053</v>
      </c>
      <c r="B13420" s="51" t="n">
        <v>45</v>
      </c>
      <c r="C13420" s="7" t="n">
        <v>11</v>
      </c>
      <c r="D13420" s="7" t="n">
        <v>3</v>
      </c>
      <c r="E13420" s="7" t="n">
        <v>34</v>
      </c>
      <c r="F13420" s="7" t="n">
        <v>0</v>
      </c>
    </row>
    <row r="13421" spans="1:8">
      <c r="A13421" t="s">
        <v>4</v>
      </c>
      <c r="B13421" s="4" t="s">
        <v>5</v>
      </c>
      <c r="C13421" s="4" t="s">
        <v>7</v>
      </c>
      <c r="D13421" s="4" t="s">
        <v>7</v>
      </c>
      <c r="E13421" s="4" t="s">
        <v>13</v>
      </c>
      <c r="F13421" s="4" t="s">
        <v>13</v>
      </c>
      <c r="G13421" s="4" t="s">
        <v>13</v>
      </c>
      <c r="H13421" s="4" t="s">
        <v>11</v>
      </c>
    </row>
    <row r="13422" spans="1:8">
      <c r="A13422" t="n">
        <v>126062</v>
      </c>
      <c r="B13422" s="51" t="n">
        <v>45</v>
      </c>
      <c r="C13422" s="7" t="n">
        <v>2</v>
      </c>
      <c r="D13422" s="7" t="n">
        <v>3</v>
      </c>
      <c r="E13422" s="7" t="n">
        <v>4.53000020980835</v>
      </c>
      <c r="F13422" s="7" t="n">
        <v>2.30999994277954</v>
      </c>
      <c r="G13422" s="7" t="n">
        <v>46.2700004577637</v>
      </c>
      <c r="H13422" s="7" t="n">
        <v>5000</v>
      </c>
    </row>
    <row r="13423" spans="1:8">
      <c r="A13423" t="s">
        <v>4</v>
      </c>
      <c r="B13423" s="4" t="s">
        <v>5</v>
      </c>
      <c r="C13423" s="4" t="s">
        <v>7</v>
      </c>
      <c r="D13423" s="4" t="s">
        <v>11</v>
      </c>
    </row>
    <row r="13424" spans="1:8">
      <c r="A13424" t="n">
        <v>126079</v>
      </c>
      <c r="B13424" s="23" t="n">
        <v>58</v>
      </c>
      <c r="C13424" s="7" t="n">
        <v>255</v>
      </c>
      <c r="D13424" s="7" t="n">
        <v>0</v>
      </c>
    </row>
    <row r="13425" spans="1:9">
      <c r="A13425" t="s">
        <v>4</v>
      </c>
      <c r="B13425" s="4" t="s">
        <v>5</v>
      </c>
      <c r="C13425" s="4" t="s">
        <v>11</v>
      </c>
      <c r="D13425" s="4" t="s">
        <v>13</v>
      </c>
      <c r="E13425" s="4" t="s">
        <v>13</v>
      </c>
      <c r="F13425" s="4" t="s">
        <v>7</v>
      </c>
    </row>
    <row r="13426" spans="1:9">
      <c r="A13426" t="n">
        <v>126083</v>
      </c>
      <c r="B13426" s="65" t="n">
        <v>52</v>
      </c>
      <c r="C13426" s="7" t="n">
        <v>0</v>
      </c>
      <c r="D13426" s="7" t="n">
        <v>255</v>
      </c>
      <c r="E13426" s="7" t="n">
        <v>5</v>
      </c>
      <c r="F13426" s="7" t="n">
        <v>0</v>
      </c>
    </row>
    <row r="13427" spans="1:9">
      <c r="A13427" t="s">
        <v>4</v>
      </c>
      <c r="B13427" s="4" t="s">
        <v>5</v>
      </c>
      <c r="C13427" s="4" t="s">
        <v>11</v>
      </c>
    </row>
    <row r="13428" spans="1:9">
      <c r="A13428" t="n">
        <v>126095</v>
      </c>
      <c r="B13428" s="29" t="n">
        <v>16</v>
      </c>
      <c r="C13428" s="7" t="n">
        <v>100</v>
      </c>
    </row>
    <row r="13429" spans="1:9">
      <c r="A13429" t="s">
        <v>4</v>
      </c>
      <c r="B13429" s="4" t="s">
        <v>5</v>
      </c>
      <c r="C13429" s="4" t="s">
        <v>11</v>
      </c>
      <c r="D13429" s="4" t="s">
        <v>13</v>
      </c>
      <c r="E13429" s="4" t="s">
        <v>13</v>
      </c>
      <c r="F13429" s="4" t="s">
        <v>7</v>
      </c>
    </row>
    <row r="13430" spans="1:9">
      <c r="A13430" t="n">
        <v>126098</v>
      </c>
      <c r="B13430" s="65" t="n">
        <v>52</v>
      </c>
      <c r="C13430" s="7" t="n">
        <v>6</v>
      </c>
      <c r="D13430" s="7" t="n">
        <v>255</v>
      </c>
      <c r="E13430" s="7" t="n">
        <v>5</v>
      </c>
      <c r="F13430" s="7" t="n">
        <v>0</v>
      </c>
    </row>
    <row r="13431" spans="1:9">
      <c r="A13431" t="s">
        <v>4</v>
      </c>
      <c r="B13431" s="4" t="s">
        <v>5</v>
      </c>
      <c r="C13431" s="4" t="s">
        <v>11</v>
      </c>
    </row>
    <row r="13432" spans="1:9">
      <c r="A13432" t="n">
        <v>126110</v>
      </c>
      <c r="B13432" s="66" t="n">
        <v>54</v>
      </c>
      <c r="C13432" s="7" t="n">
        <v>0</v>
      </c>
    </row>
    <row r="13433" spans="1:9">
      <c r="A13433" t="s">
        <v>4</v>
      </c>
      <c r="B13433" s="4" t="s">
        <v>5</v>
      </c>
      <c r="C13433" s="4" t="s">
        <v>11</v>
      </c>
      <c r="D13433" s="4" t="s">
        <v>11</v>
      </c>
      <c r="E13433" s="4" t="s">
        <v>13</v>
      </c>
      <c r="F13433" s="4" t="s">
        <v>13</v>
      </c>
      <c r="G13433" s="4" t="s">
        <v>13</v>
      </c>
      <c r="H13433" s="4" t="s">
        <v>13</v>
      </c>
      <c r="I13433" s="4" t="s">
        <v>7</v>
      </c>
      <c r="J13433" s="4" t="s">
        <v>11</v>
      </c>
    </row>
    <row r="13434" spans="1:9">
      <c r="A13434" t="n">
        <v>126113</v>
      </c>
      <c r="B13434" s="53" t="n">
        <v>55</v>
      </c>
      <c r="C13434" s="7" t="n">
        <v>0</v>
      </c>
      <c r="D13434" s="7" t="n">
        <v>65024</v>
      </c>
      <c r="E13434" s="7" t="n">
        <v>0</v>
      </c>
      <c r="F13434" s="7" t="n">
        <v>0</v>
      </c>
      <c r="G13434" s="7" t="n">
        <v>6</v>
      </c>
      <c r="H13434" s="7" t="n">
        <v>1.20000004768372</v>
      </c>
      <c r="I13434" s="7" t="n">
        <v>1</v>
      </c>
      <c r="J13434" s="7" t="n">
        <v>0</v>
      </c>
    </row>
    <row r="13435" spans="1:9">
      <c r="A13435" t="s">
        <v>4</v>
      </c>
      <c r="B13435" s="4" t="s">
        <v>5</v>
      </c>
      <c r="C13435" s="4" t="s">
        <v>11</v>
      </c>
    </row>
    <row r="13436" spans="1:9">
      <c r="A13436" t="n">
        <v>126137</v>
      </c>
      <c r="B13436" s="66" t="n">
        <v>54</v>
      </c>
      <c r="C13436" s="7" t="n">
        <v>6</v>
      </c>
    </row>
    <row r="13437" spans="1:9">
      <c r="A13437" t="s">
        <v>4</v>
      </c>
      <c r="B13437" s="4" t="s">
        <v>5</v>
      </c>
      <c r="C13437" s="4" t="s">
        <v>11</v>
      </c>
    </row>
    <row r="13438" spans="1:9">
      <c r="A13438" t="n">
        <v>126140</v>
      </c>
      <c r="B13438" s="29" t="n">
        <v>16</v>
      </c>
      <c r="C13438" s="7" t="n">
        <v>200</v>
      </c>
    </row>
    <row r="13439" spans="1:9">
      <c r="A13439" t="s">
        <v>4</v>
      </c>
      <c r="B13439" s="4" t="s">
        <v>5</v>
      </c>
      <c r="C13439" s="4" t="s">
        <v>11</v>
      </c>
      <c r="D13439" s="4" t="s">
        <v>11</v>
      </c>
      <c r="E13439" s="4" t="s">
        <v>13</v>
      </c>
      <c r="F13439" s="4" t="s">
        <v>13</v>
      </c>
      <c r="G13439" s="4" t="s">
        <v>13</v>
      </c>
      <c r="H13439" s="4" t="s">
        <v>13</v>
      </c>
      <c r="I13439" s="4" t="s">
        <v>7</v>
      </c>
      <c r="J13439" s="4" t="s">
        <v>11</v>
      </c>
    </row>
    <row r="13440" spans="1:9">
      <c r="A13440" t="n">
        <v>126143</v>
      </c>
      <c r="B13440" s="53" t="n">
        <v>55</v>
      </c>
      <c r="C13440" s="7" t="n">
        <v>6</v>
      </c>
      <c r="D13440" s="7" t="n">
        <v>65024</v>
      </c>
      <c r="E13440" s="7" t="n">
        <v>0</v>
      </c>
      <c r="F13440" s="7" t="n">
        <v>0</v>
      </c>
      <c r="G13440" s="7" t="n">
        <v>6</v>
      </c>
      <c r="H13440" s="7" t="n">
        <v>1.20000004768372</v>
      </c>
      <c r="I13440" s="7" t="n">
        <v>1</v>
      </c>
      <c r="J13440" s="7" t="n">
        <v>0</v>
      </c>
    </row>
    <row r="13441" spans="1:10">
      <c r="A13441" t="s">
        <v>4</v>
      </c>
      <c r="B13441" s="4" t="s">
        <v>5</v>
      </c>
      <c r="C13441" s="4" t="s">
        <v>11</v>
      </c>
    </row>
    <row r="13442" spans="1:10">
      <c r="A13442" t="n">
        <v>126167</v>
      </c>
      <c r="B13442" s="29" t="n">
        <v>16</v>
      </c>
      <c r="C13442" s="7" t="n">
        <v>2000</v>
      </c>
    </row>
    <row r="13443" spans="1:10">
      <c r="A13443" t="s">
        <v>4</v>
      </c>
      <c r="B13443" s="4" t="s">
        <v>5</v>
      </c>
      <c r="C13443" s="4" t="s">
        <v>7</v>
      </c>
      <c r="D13443" s="4" t="s">
        <v>11</v>
      </c>
      <c r="E13443" s="4" t="s">
        <v>13</v>
      </c>
    </row>
    <row r="13444" spans="1:10">
      <c r="A13444" t="n">
        <v>126170</v>
      </c>
      <c r="B13444" s="23" t="n">
        <v>58</v>
      </c>
      <c r="C13444" s="7" t="n">
        <v>0</v>
      </c>
      <c r="D13444" s="7" t="n">
        <v>1000</v>
      </c>
      <c r="E13444" s="7" t="n">
        <v>1</v>
      </c>
    </row>
    <row r="13445" spans="1:10">
      <c r="A13445" t="s">
        <v>4</v>
      </c>
      <c r="B13445" s="4" t="s">
        <v>5</v>
      </c>
      <c r="C13445" s="4" t="s">
        <v>7</v>
      </c>
      <c r="D13445" s="4" t="s">
        <v>11</v>
      </c>
    </row>
    <row r="13446" spans="1:10">
      <c r="A13446" t="n">
        <v>126178</v>
      </c>
      <c r="B13446" s="23" t="n">
        <v>58</v>
      </c>
      <c r="C13446" s="7" t="n">
        <v>255</v>
      </c>
      <c r="D13446" s="7" t="n">
        <v>0</v>
      </c>
    </row>
    <row r="13447" spans="1:10">
      <c r="A13447" t="s">
        <v>4</v>
      </c>
      <c r="B13447" s="4" t="s">
        <v>5</v>
      </c>
      <c r="C13447" s="4" t="s">
        <v>11</v>
      </c>
      <c r="D13447" s="4" t="s">
        <v>7</v>
      </c>
    </row>
    <row r="13448" spans="1:10">
      <c r="A13448" t="n">
        <v>126182</v>
      </c>
      <c r="B13448" s="54" t="n">
        <v>56</v>
      </c>
      <c r="C13448" s="7" t="n">
        <v>0</v>
      </c>
      <c r="D13448" s="7" t="n">
        <v>1</v>
      </c>
    </row>
    <row r="13449" spans="1:10">
      <c r="A13449" t="s">
        <v>4</v>
      </c>
      <c r="B13449" s="4" t="s">
        <v>5</v>
      </c>
      <c r="C13449" s="4" t="s">
        <v>11</v>
      </c>
      <c r="D13449" s="4" t="s">
        <v>7</v>
      </c>
    </row>
    <row r="13450" spans="1:10">
      <c r="A13450" t="n">
        <v>126186</v>
      </c>
      <c r="B13450" s="54" t="n">
        <v>56</v>
      </c>
      <c r="C13450" s="7" t="n">
        <v>6</v>
      </c>
      <c r="D13450" s="7" t="n">
        <v>1</v>
      </c>
    </row>
    <row r="13451" spans="1:10">
      <c r="A13451" t="s">
        <v>4</v>
      </c>
      <c r="B13451" s="4" t="s">
        <v>5</v>
      </c>
      <c r="C13451" s="4" t="s">
        <v>11</v>
      </c>
      <c r="D13451" s="4" t="s">
        <v>13</v>
      </c>
      <c r="E13451" s="4" t="s">
        <v>13</v>
      </c>
      <c r="F13451" s="4" t="s">
        <v>13</v>
      </c>
      <c r="G13451" s="4" t="s">
        <v>13</v>
      </c>
    </row>
    <row r="13452" spans="1:10">
      <c r="A13452" t="n">
        <v>126190</v>
      </c>
      <c r="B13452" s="36" t="n">
        <v>46</v>
      </c>
      <c r="C13452" s="7" t="n">
        <v>0</v>
      </c>
      <c r="D13452" s="7" t="n">
        <v>-2.5699999332428</v>
      </c>
      <c r="E13452" s="7" t="n">
        <v>5.01000022888184</v>
      </c>
      <c r="F13452" s="7" t="n">
        <v>55.7599983215332</v>
      </c>
      <c r="G13452" s="7" t="n">
        <v>93.1999969482422</v>
      </c>
    </row>
    <row r="13453" spans="1:10">
      <c r="A13453" t="s">
        <v>4</v>
      </c>
      <c r="B13453" s="4" t="s">
        <v>5</v>
      </c>
      <c r="C13453" s="4" t="s">
        <v>11</v>
      </c>
      <c r="D13453" s="4" t="s">
        <v>13</v>
      </c>
      <c r="E13453" s="4" t="s">
        <v>13</v>
      </c>
      <c r="F13453" s="4" t="s">
        <v>13</v>
      </c>
      <c r="G13453" s="4" t="s">
        <v>13</v>
      </c>
    </row>
    <row r="13454" spans="1:10">
      <c r="A13454" t="n">
        <v>126209</v>
      </c>
      <c r="B13454" s="36" t="n">
        <v>46</v>
      </c>
      <c r="C13454" s="7" t="n">
        <v>6</v>
      </c>
      <c r="D13454" s="7" t="n">
        <v>-2.17000007629395</v>
      </c>
      <c r="E13454" s="7" t="n">
        <v>5.01000022888184</v>
      </c>
      <c r="F13454" s="7" t="n">
        <v>56.4300003051758</v>
      </c>
      <c r="G13454" s="7" t="n">
        <v>92.0999984741211</v>
      </c>
    </row>
    <row r="13455" spans="1:10">
      <c r="A13455" t="s">
        <v>4</v>
      </c>
      <c r="B13455" s="4" t="s">
        <v>5</v>
      </c>
      <c r="C13455" s="4" t="s">
        <v>11</v>
      </c>
      <c r="D13455" s="4" t="s">
        <v>11</v>
      </c>
      <c r="E13455" s="4" t="s">
        <v>11</v>
      </c>
    </row>
    <row r="13456" spans="1:10">
      <c r="A13456" t="n">
        <v>126228</v>
      </c>
      <c r="B13456" s="72" t="n">
        <v>61</v>
      </c>
      <c r="C13456" s="7" t="n">
        <v>0</v>
      </c>
      <c r="D13456" s="7" t="n">
        <v>65533</v>
      </c>
      <c r="E13456" s="7" t="n">
        <v>0</v>
      </c>
    </row>
    <row r="13457" spans="1:7">
      <c r="A13457" t="s">
        <v>4</v>
      </c>
      <c r="B13457" s="4" t="s">
        <v>5</v>
      </c>
      <c r="C13457" s="4" t="s">
        <v>11</v>
      </c>
      <c r="D13457" s="4" t="s">
        <v>11</v>
      </c>
      <c r="E13457" s="4" t="s">
        <v>11</v>
      </c>
    </row>
    <row r="13458" spans="1:7">
      <c r="A13458" t="n">
        <v>126235</v>
      </c>
      <c r="B13458" s="72" t="n">
        <v>61</v>
      </c>
      <c r="C13458" s="7" t="n">
        <v>6</v>
      </c>
      <c r="D13458" s="7" t="n">
        <v>65533</v>
      </c>
      <c r="E13458" s="7" t="n">
        <v>0</v>
      </c>
    </row>
    <row r="13459" spans="1:7">
      <c r="A13459" t="s">
        <v>4</v>
      </c>
      <c r="B13459" s="4" t="s">
        <v>5</v>
      </c>
      <c r="C13459" s="4" t="s">
        <v>7</v>
      </c>
      <c r="D13459" s="4" t="s">
        <v>7</v>
      </c>
      <c r="E13459" s="4" t="s">
        <v>13</v>
      </c>
      <c r="F13459" s="4" t="s">
        <v>13</v>
      </c>
      <c r="G13459" s="4" t="s">
        <v>13</v>
      </c>
      <c r="H13459" s="4" t="s">
        <v>11</v>
      </c>
    </row>
    <row r="13460" spans="1:7">
      <c r="A13460" t="n">
        <v>126242</v>
      </c>
      <c r="B13460" s="51" t="n">
        <v>45</v>
      </c>
      <c r="C13460" s="7" t="n">
        <v>2</v>
      </c>
      <c r="D13460" s="7" t="n">
        <v>3</v>
      </c>
      <c r="E13460" s="7" t="n">
        <v>2.80999994277954</v>
      </c>
      <c r="F13460" s="7" t="n">
        <v>6.34000015258789</v>
      </c>
      <c r="G13460" s="7" t="n">
        <v>56.939998626709</v>
      </c>
      <c r="H13460" s="7" t="n">
        <v>0</v>
      </c>
    </row>
    <row r="13461" spans="1:7">
      <c r="A13461" t="s">
        <v>4</v>
      </c>
      <c r="B13461" s="4" t="s">
        <v>5</v>
      </c>
      <c r="C13461" s="4" t="s">
        <v>7</v>
      </c>
      <c r="D13461" s="4" t="s">
        <v>7</v>
      </c>
      <c r="E13461" s="4" t="s">
        <v>13</v>
      </c>
      <c r="F13461" s="4" t="s">
        <v>13</v>
      </c>
      <c r="G13461" s="4" t="s">
        <v>13</v>
      </c>
      <c r="H13461" s="4" t="s">
        <v>11</v>
      </c>
      <c r="I13461" s="4" t="s">
        <v>7</v>
      </c>
    </row>
    <row r="13462" spans="1:7">
      <c r="A13462" t="n">
        <v>126259</v>
      </c>
      <c r="B13462" s="51" t="n">
        <v>45</v>
      </c>
      <c r="C13462" s="7" t="n">
        <v>4</v>
      </c>
      <c r="D13462" s="7" t="n">
        <v>3</v>
      </c>
      <c r="E13462" s="7" t="n">
        <v>4.55999994277954</v>
      </c>
      <c r="F13462" s="7" t="n">
        <v>285.269989013672</v>
      </c>
      <c r="G13462" s="7" t="n">
        <v>0</v>
      </c>
      <c r="H13462" s="7" t="n">
        <v>0</v>
      </c>
      <c r="I13462" s="7" t="n">
        <v>0</v>
      </c>
    </row>
    <row r="13463" spans="1:7">
      <c r="A13463" t="s">
        <v>4</v>
      </c>
      <c r="B13463" s="4" t="s">
        <v>5</v>
      </c>
      <c r="C13463" s="4" t="s">
        <v>7</v>
      </c>
      <c r="D13463" s="4" t="s">
        <v>7</v>
      </c>
      <c r="E13463" s="4" t="s">
        <v>13</v>
      </c>
      <c r="F13463" s="4" t="s">
        <v>11</v>
      </c>
    </row>
    <row r="13464" spans="1:7">
      <c r="A13464" t="n">
        <v>126277</v>
      </c>
      <c r="B13464" s="51" t="n">
        <v>45</v>
      </c>
      <c r="C13464" s="7" t="n">
        <v>5</v>
      </c>
      <c r="D13464" s="7" t="n">
        <v>3</v>
      </c>
      <c r="E13464" s="7" t="n">
        <v>4.30000019073486</v>
      </c>
      <c r="F13464" s="7" t="n">
        <v>0</v>
      </c>
    </row>
    <row r="13465" spans="1:7">
      <c r="A13465" t="s">
        <v>4</v>
      </c>
      <c r="B13465" s="4" t="s">
        <v>5</v>
      </c>
      <c r="C13465" s="4" t="s">
        <v>7</v>
      </c>
      <c r="D13465" s="4" t="s">
        <v>7</v>
      </c>
      <c r="E13465" s="4" t="s">
        <v>13</v>
      </c>
      <c r="F13465" s="4" t="s">
        <v>11</v>
      </c>
    </row>
    <row r="13466" spans="1:7">
      <c r="A13466" t="n">
        <v>126286</v>
      </c>
      <c r="B13466" s="51" t="n">
        <v>45</v>
      </c>
      <c r="C13466" s="7" t="n">
        <v>11</v>
      </c>
      <c r="D13466" s="7" t="n">
        <v>3</v>
      </c>
      <c r="E13466" s="7" t="n">
        <v>34</v>
      </c>
      <c r="F13466" s="7" t="n">
        <v>0</v>
      </c>
    </row>
    <row r="13467" spans="1:7">
      <c r="A13467" t="s">
        <v>4</v>
      </c>
      <c r="B13467" s="4" t="s">
        <v>5</v>
      </c>
      <c r="C13467" s="4" t="s">
        <v>7</v>
      </c>
      <c r="D13467" s="4" t="s">
        <v>7</v>
      </c>
      <c r="E13467" s="4" t="s">
        <v>13</v>
      </c>
      <c r="F13467" s="4" t="s">
        <v>13</v>
      </c>
      <c r="G13467" s="4" t="s">
        <v>13</v>
      </c>
      <c r="H13467" s="4" t="s">
        <v>11</v>
      </c>
    </row>
    <row r="13468" spans="1:7">
      <c r="A13468" t="n">
        <v>126295</v>
      </c>
      <c r="B13468" s="51" t="n">
        <v>45</v>
      </c>
      <c r="C13468" s="7" t="n">
        <v>2</v>
      </c>
      <c r="D13468" s="7" t="n">
        <v>3</v>
      </c>
      <c r="E13468" s="7" t="n">
        <v>-1.79999995231628</v>
      </c>
      <c r="F13468" s="7" t="n">
        <v>6.51000022888184</v>
      </c>
      <c r="G13468" s="7" t="n">
        <v>56.5200004577637</v>
      </c>
      <c r="H13468" s="7" t="n">
        <v>6000</v>
      </c>
    </row>
    <row r="13469" spans="1:7">
      <c r="A13469" t="s">
        <v>4</v>
      </c>
      <c r="B13469" s="4" t="s">
        <v>5</v>
      </c>
      <c r="C13469" s="4" t="s">
        <v>7</v>
      </c>
      <c r="D13469" s="4" t="s">
        <v>7</v>
      </c>
      <c r="E13469" s="4" t="s">
        <v>13</v>
      </c>
      <c r="F13469" s="4" t="s">
        <v>13</v>
      </c>
      <c r="G13469" s="4" t="s">
        <v>13</v>
      </c>
      <c r="H13469" s="4" t="s">
        <v>11</v>
      </c>
      <c r="I13469" s="4" t="s">
        <v>7</v>
      </c>
    </row>
    <row r="13470" spans="1:7">
      <c r="A13470" t="n">
        <v>126312</v>
      </c>
      <c r="B13470" s="51" t="n">
        <v>45</v>
      </c>
      <c r="C13470" s="7" t="n">
        <v>4</v>
      </c>
      <c r="D13470" s="7" t="n">
        <v>3</v>
      </c>
      <c r="E13470" s="7" t="n">
        <v>4.55999994277954</v>
      </c>
      <c r="F13470" s="7" t="n">
        <v>303.769989013672</v>
      </c>
      <c r="G13470" s="7" t="n">
        <v>0</v>
      </c>
      <c r="H13470" s="7" t="n">
        <v>6000</v>
      </c>
      <c r="I13470" s="7" t="n">
        <v>1</v>
      </c>
    </row>
    <row r="13471" spans="1:7">
      <c r="A13471" t="s">
        <v>4</v>
      </c>
      <c r="B13471" s="4" t="s">
        <v>5</v>
      </c>
      <c r="C13471" s="4" t="s">
        <v>7</v>
      </c>
      <c r="D13471" s="4" t="s">
        <v>7</v>
      </c>
      <c r="E13471" s="4" t="s">
        <v>13</v>
      </c>
      <c r="F13471" s="4" t="s">
        <v>11</v>
      </c>
    </row>
    <row r="13472" spans="1:7">
      <c r="A13472" t="n">
        <v>126330</v>
      </c>
      <c r="B13472" s="51" t="n">
        <v>45</v>
      </c>
      <c r="C13472" s="7" t="n">
        <v>5</v>
      </c>
      <c r="D13472" s="7" t="n">
        <v>3</v>
      </c>
      <c r="E13472" s="7" t="n">
        <v>2.5</v>
      </c>
      <c r="F13472" s="7" t="n">
        <v>6000</v>
      </c>
    </row>
    <row r="13473" spans="1:9">
      <c r="A13473" t="s">
        <v>4</v>
      </c>
      <c r="B13473" s="4" t="s">
        <v>5</v>
      </c>
      <c r="C13473" s="4" t="s">
        <v>7</v>
      </c>
      <c r="D13473" s="4" t="s">
        <v>11</v>
      </c>
      <c r="E13473" s="4" t="s">
        <v>13</v>
      </c>
    </row>
    <row r="13474" spans="1:9">
      <c r="A13474" t="n">
        <v>126339</v>
      </c>
      <c r="B13474" s="23" t="n">
        <v>58</v>
      </c>
      <c r="C13474" s="7" t="n">
        <v>100</v>
      </c>
      <c r="D13474" s="7" t="n">
        <v>1000</v>
      </c>
      <c r="E13474" s="7" t="n">
        <v>1</v>
      </c>
    </row>
    <row r="13475" spans="1:9">
      <c r="A13475" t="s">
        <v>4</v>
      </c>
      <c r="B13475" s="4" t="s">
        <v>5</v>
      </c>
      <c r="C13475" s="4" t="s">
        <v>7</v>
      </c>
      <c r="D13475" s="4" t="s">
        <v>11</v>
      </c>
    </row>
    <row r="13476" spans="1:9">
      <c r="A13476" t="n">
        <v>126347</v>
      </c>
      <c r="B13476" s="23" t="n">
        <v>58</v>
      </c>
      <c r="C13476" s="7" t="n">
        <v>255</v>
      </c>
      <c r="D13476" s="7" t="n">
        <v>0</v>
      </c>
    </row>
    <row r="13477" spans="1:9">
      <c r="A13477" t="s">
        <v>4</v>
      </c>
      <c r="B13477" s="4" t="s">
        <v>5</v>
      </c>
      <c r="C13477" s="4" t="s">
        <v>8</v>
      </c>
      <c r="D13477" s="4" t="s">
        <v>8</v>
      </c>
    </row>
    <row r="13478" spans="1:9">
      <c r="A13478" t="n">
        <v>126351</v>
      </c>
      <c r="B13478" s="52" t="n">
        <v>70</v>
      </c>
      <c r="C13478" s="7" t="s">
        <v>1079</v>
      </c>
      <c r="D13478" s="7" t="s">
        <v>109</v>
      </c>
    </row>
    <row r="13479" spans="1:9">
      <c r="A13479" t="s">
        <v>4</v>
      </c>
      <c r="B13479" s="4" t="s">
        <v>5</v>
      </c>
      <c r="C13479" s="4" t="s">
        <v>11</v>
      </c>
    </row>
    <row r="13480" spans="1:9">
      <c r="A13480" t="n">
        <v>126368</v>
      </c>
      <c r="B13480" s="29" t="n">
        <v>16</v>
      </c>
      <c r="C13480" s="7" t="n">
        <v>3000</v>
      </c>
    </row>
    <row r="13481" spans="1:9">
      <c r="A13481" t="s">
        <v>4</v>
      </c>
      <c r="B13481" s="4" t="s">
        <v>5</v>
      </c>
      <c r="C13481" s="4" t="s">
        <v>11</v>
      </c>
      <c r="D13481" s="4" t="s">
        <v>7</v>
      </c>
      <c r="E13481" s="4" t="s">
        <v>13</v>
      </c>
      <c r="F13481" s="4" t="s">
        <v>11</v>
      </c>
    </row>
    <row r="13482" spans="1:9">
      <c r="A13482" t="n">
        <v>126371</v>
      </c>
      <c r="B13482" s="56" t="n">
        <v>59</v>
      </c>
      <c r="C13482" s="7" t="n">
        <v>6</v>
      </c>
      <c r="D13482" s="7" t="n">
        <v>9</v>
      </c>
      <c r="E13482" s="7" t="n">
        <v>0.150000005960464</v>
      </c>
      <c r="F13482" s="7" t="n">
        <v>0</v>
      </c>
    </row>
    <row r="13483" spans="1:9">
      <c r="A13483" t="s">
        <v>4</v>
      </c>
      <c r="B13483" s="4" t="s">
        <v>5</v>
      </c>
      <c r="C13483" s="4" t="s">
        <v>11</v>
      </c>
      <c r="D13483" s="4" t="s">
        <v>13</v>
      </c>
      <c r="E13483" s="4" t="s">
        <v>13</v>
      </c>
      <c r="F13483" s="4" t="s">
        <v>13</v>
      </c>
      <c r="G13483" s="4" t="s">
        <v>11</v>
      </c>
      <c r="H13483" s="4" t="s">
        <v>11</v>
      </c>
    </row>
    <row r="13484" spans="1:9">
      <c r="A13484" t="n">
        <v>126381</v>
      </c>
      <c r="B13484" s="37" t="n">
        <v>60</v>
      </c>
      <c r="C13484" s="7" t="n">
        <v>6</v>
      </c>
      <c r="D13484" s="7" t="n">
        <v>-45</v>
      </c>
      <c r="E13484" s="7" t="n">
        <v>0</v>
      </c>
      <c r="F13484" s="7" t="n">
        <v>0</v>
      </c>
      <c r="G13484" s="7" t="n">
        <v>1000</v>
      </c>
      <c r="H13484" s="7" t="n">
        <v>0</v>
      </c>
    </row>
    <row r="13485" spans="1:9">
      <c r="A13485" t="s">
        <v>4</v>
      </c>
      <c r="B13485" s="4" t="s">
        <v>5</v>
      </c>
      <c r="C13485" s="4" t="s">
        <v>11</v>
      </c>
    </row>
    <row r="13486" spans="1:9">
      <c r="A13486" t="n">
        <v>126400</v>
      </c>
      <c r="B13486" s="29" t="n">
        <v>16</v>
      </c>
      <c r="C13486" s="7" t="n">
        <v>1000</v>
      </c>
    </row>
    <row r="13487" spans="1:9">
      <c r="A13487" t="s">
        <v>4</v>
      </c>
      <c r="B13487" s="4" t="s">
        <v>5</v>
      </c>
      <c r="C13487" s="4" t="s">
        <v>11</v>
      </c>
      <c r="D13487" s="4" t="s">
        <v>13</v>
      </c>
      <c r="E13487" s="4" t="s">
        <v>13</v>
      </c>
      <c r="F13487" s="4" t="s">
        <v>13</v>
      </c>
      <c r="G13487" s="4" t="s">
        <v>11</v>
      </c>
      <c r="H13487" s="4" t="s">
        <v>11</v>
      </c>
    </row>
    <row r="13488" spans="1:9">
      <c r="A13488" t="n">
        <v>126403</v>
      </c>
      <c r="B13488" s="37" t="n">
        <v>60</v>
      </c>
      <c r="C13488" s="7" t="n">
        <v>6</v>
      </c>
      <c r="D13488" s="7" t="n">
        <v>45</v>
      </c>
      <c r="E13488" s="7" t="n">
        <v>0</v>
      </c>
      <c r="F13488" s="7" t="n">
        <v>0</v>
      </c>
      <c r="G13488" s="7" t="n">
        <v>1000</v>
      </c>
      <c r="H13488" s="7" t="n">
        <v>0</v>
      </c>
    </row>
    <row r="13489" spans="1:8">
      <c r="A13489" t="s">
        <v>4</v>
      </c>
      <c r="B13489" s="4" t="s">
        <v>5</v>
      </c>
      <c r="C13489" s="4" t="s">
        <v>11</v>
      </c>
    </row>
    <row r="13490" spans="1:8">
      <c r="A13490" t="n">
        <v>126422</v>
      </c>
      <c r="B13490" s="29" t="n">
        <v>16</v>
      </c>
      <c r="C13490" s="7" t="n">
        <v>1000</v>
      </c>
    </row>
    <row r="13491" spans="1:8">
      <c r="A13491" t="s">
        <v>4</v>
      </c>
      <c r="B13491" s="4" t="s">
        <v>5</v>
      </c>
      <c r="C13491" s="4" t="s">
        <v>11</v>
      </c>
      <c r="D13491" s="4" t="s">
        <v>13</v>
      </c>
      <c r="E13491" s="4" t="s">
        <v>13</v>
      </c>
      <c r="F13491" s="4" t="s">
        <v>13</v>
      </c>
      <c r="G13491" s="4" t="s">
        <v>11</v>
      </c>
      <c r="H13491" s="4" t="s">
        <v>11</v>
      </c>
    </row>
    <row r="13492" spans="1:8">
      <c r="A13492" t="n">
        <v>126425</v>
      </c>
      <c r="B13492" s="37" t="n">
        <v>60</v>
      </c>
      <c r="C13492" s="7" t="n">
        <v>6</v>
      </c>
      <c r="D13492" s="7" t="n">
        <v>0</v>
      </c>
      <c r="E13492" s="7" t="n">
        <v>0</v>
      </c>
      <c r="F13492" s="7" t="n">
        <v>0</v>
      </c>
      <c r="G13492" s="7" t="n">
        <v>500</v>
      </c>
      <c r="H13492" s="7" t="n">
        <v>0</v>
      </c>
    </row>
    <row r="13493" spans="1:8">
      <c r="A13493" t="s">
        <v>4</v>
      </c>
      <c r="B13493" s="4" t="s">
        <v>5</v>
      </c>
      <c r="C13493" s="4" t="s">
        <v>11</v>
      </c>
    </row>
    <row r="13494" spans="1:8">
      <c r="A13494" t="n">
        <v>126444</v>
      </c>
      <c r="B13494" s="29" t="n">
        <v>16</v>
      </c>
      <c r="C13494" s="7" t="n">
        <v>1000</v>
      </c>
    </row>
    <row r="13495" spans="1:8">
      <c r="A13495" t="s">
        <v>4</v>
      </c>
      <c r="B13495" s="4" t="s">
        <v>5</v>
      </c>
      <c r="C13495" s="4" t="s">
        <v>7</v>
      </c>
      <c r="D13495" s="4" t="s">
        <v>11</v>
      </c>
    </row>
    <row r="13496" spans="1:8">
      <c r="A13496" t="n">
        <v>126447</v>
      </c>
      <c r="B13496" s="51" t="n">
        <v>45</v>
      </c>
      <c r="C13496" s="7" t="n">
        <v>7</v>
      </c>
      <c r="D13496" s="7" t="n">
        <v>255</v>
      </c>
    </row>
    <row r="13497" spans="1:8">
      <c r="A13497" t="s">
        <v>4</v>
      </c>
      <c r="B13497" s="4" t="s">
        <v>5</v>
      </c>
      <c r="C13497" s="4" t="s">
        <v>7</v>
      </c>
      <c r="D13497" s="4" t="s">
        <v>11</v>
      </c>
      <c r="E13497" s="4" t="s">
        <v>13</v>
      </c>
    </row>
    <row r="13498" spans="1:8">
      <c r="A13498" t="n">
        <v>126451</v>
      </c>
      <c r="B13498" s="23" t="n">
        <v>58</v>
      </c>
      <c r="C13498" s="7" t="n">
        <v>0</v>
      </c>
      <c r="D13498" s="7" t="n">
        <v>1000</v>
      </c>
      <c r="E13498" s="7" t="n">
        <v>1</v>
      </c>
    </row>
    <row r="13499" spans="1:8">
      <c r="A13499" t="s">
        <v>4</v>
      </c>
      <c r="B13499" s="4" t="s">
        <v>5</v>
      </c>
      <c r="C13499" s="4" t="s">
        <v>7</v>
      </c>
      <c r="D13499" s="4" t="s">
        <v>11</v>
      </c>
    </row>
    <row r="13500" spans="1:8">
      <c r="A13500" t="n">
        <v>126459</v>
      </c>
      <c r="B13500" s="23" t="n">
        <v>58</v>
      </c>
      <c r="C13500" s="7" t="n">
        <v>255</v>
      </c>
      <c r="D13500" s="7" t="n">
        <v>0</v>
      </c>
    </row>
    <row r="13501" spans="1:8">
      <c r="A13501" t="s">
        <v>4</v>
      </c>
      <c r="B13501" s="4" t="s">
        <v>5</v>
      </c>
      <c r="C13501" s="4" t="s">
        <v>8</v>
      </c>
      <c r="D13501" s="4" t="s">
        <v>8</v>
      </c>
    </row>
    <row r="13502" spans="1:8">
      <c r="A13502" t="n">
        <v>126463</v>
      </c>
      <c r="B13502" s="52" t="n">
        <v>70</v>
      </c>
      <c r="C13502" s="7" t="s">
        <v>1079</v>
      </c>
      <c r="D13502" s="7" t="s">
        <v>118</v>
      </c>
    </row>
    <row r="13503" spans="1:8">
      <c r="A13503" t="s">
        <v>4</v>
      </c>
      <c r="B13503" s="4" t="s">
        <v>5</v>
      </c>
      <c r="C13503" s="4" t="s">
        <v>11</v>
      </c>
      <c r="D13503" s="4" t="s">
        <v>11</v>
      </c>
      <c r="E13503" s="4" t="s">
        <v>11</v>
      </c>
    </row>
    <row r="13504" spans="1:8">
      <c r="A13504" t="n">
        <v>126479</v>
      </c>
      <c r="B13504" s="72" t="n">
        <v>61</v>
      </c>
      <c r="C13504" s="7" t="n">
        <v>0</v>
      </c>
      <c r="D13504" s="7" t="n">
        <v>65533</v>
      </c>
      <c r="E13504" s="7" t="n">
        <v>1000</v>
      </c>
    </row>
    <row r="13505" spans="1:8">
      <c r="A13505" t="s">
        <v>4</v>
      </c>
      <c r="B13505" s="4" t="s">
        <v>5</v>
      </c>
      <c r="C13505" s="4" t="s">
        <v>11</v>
      </c>
      <c r="D13505" s="4" t="s">
        <v>11</v>
      </c>
      <c r="E13505" s="4" t="s">
        <v>11</v>
      </c>
    </row>
    <row r="13506" spans="1:8">
      <c r="A13506" t="n">
        <v>126486</v>
      </c>
      <c r="B13506" s="72" t="n">
        <v>61</v>
      </c>
      <c r="C13506" s="7" t="n">
        <v>6</v>
      </c>
      <c r="D13506" s="7" t="n">
        <v>65533</v>
      </c>
      <c r="E13506" s="7" t="n">
        <v>1000</v>
      </c>
    </row>
    <row r="13507" spans="1:8">
      <c r="A13507" t="s">
        <v>4</v>
      </c>
      <c r="B13507" s="4" t="s">
        <v>5</v>
      </c>
      <c r="C13507" s="4" t="s">
        <v>11</v>
      </c>
      <c r="D13507" s="4" t="s">
        <v>13</v>
      </c>
      <c r="E13507" s="4" t="s">
        <v>13</v>
      </c>
      <c r="F13507" s="4" t="s">
        <v>13</v>
      </c>
      <c r="G13507" s="4" t="s">
        <v>13</v>
      </c>
    </row>
    <row r="13508" spans="1:8">
      <c r="A13508" t="n">
        <v>126493</v>
      </c>
      <c r="B13508" s="36" t="n">
        <v>46</v>
      </c>
      <c r="C13508" s="7" t="n">
        <v>0</v>
      </c>
      <c r="D13508" s="7" t="n">
        <v>-2.66000008583069</v>
      </c>
      <c r="E13508" s="7" t="n">
        <v>5.01000022888184</v>
      </c>
      <c r="F13508" s="7" t="n">
        <v>32.189998626709</v>
      </c>
      <c r="G13508" s="7" t="n">
        <v>90</v>
      </c>
    </row>
    <row r="13509" spans="1:8">
      <c r="A13509" t="s">
        <v>4</v>
      </c>
      <c r="B13509" s="4" t="s">
        <v>5</v>
      </c>
      <c r="C13509" s="4" t="s">
        <v>11</v>
      </c>
      <c r="D13509" s="4" t="s">
        <v>13</v>
      </c>
      <c r="E13509" s="4" t="s">
        <v>13</v>
      </c>
      <c r="F13509" s="4" t="s">
        <v>13</v>
      </c>
      <c r="G13509" s="4" t="s">
        <v>13</v>
      </c>
    </row>
    <row r="13510" spans="1:8">
      <c r="A13510" t="n">
        <v>126512</v>
      </c>
      <c r="B13510" s="36" t="n">
        <v>46</v>
      </c>
      <c r="C13510" s="7" t="n">
        <v>6</v>
      </c>
      <c r="D13510" s="7" t="n">
        <v>-3.16000008583069</v>
      </c>
      <c r="E13510" s="7" t="n">
        <v>5.01000022888184</v>
      </c>
      <c r="F13510" s="7" t="n">
        <v>31.7900009155273</v>
      </c>
      <c r="G13510" s="7" t="n">
        <v>90</v>
      </c>
    </row>
    <row r="13511" spans="1:8">
      <c r="A13511" t="s">
        <v>4</v>
      </c>
      <c r="B13511" s="4" t="s">
        <v>5</v>
      </c>
      <c r="C13511" s="4" t="s">
        <v>7</v>
      </c>
      <c r="D13511" s="4" t="s">
        <v>7</v>
      </c>
      <c r="E13511" s="4" t="s">
        <v>13</v>
      </c>
      <c r="F13511" s="4" t="s">
        <v>13</v>
      </c>
      <c r="G13511" s="4" t="s">
        <v>13</v>
      </c>
      <c r="H13511" s="4" t="s">
        <v>11</v>
      </c>
    </row>
    <row r="13512" spans="1:8">
      <c r="A13512" t="n">
        <v>126531</v>
      </c>
      <c r="B13512" s="51" t="n">
        <v>45</v>
      </c>
      <c r="C13512" s="7" t="n">
        <v>2</v>
      </c>
      <c r="D13512" s="7" t="n">
        <v>3</v>
      </c>
      <c r="E13512" s="7" t="n">
        <v>6.82000017166138</v>
      </c>
      <c r="F13512" s="7" t="n">
        <v>6.17999982833862</v>
      </c>
      <c r="G13512" s="7" t="n">
        <v>32.2799987792969</v>
      </c>
      <c r="H13512" s="7" t="n">
        <v>0</v>
      </c>
    </row>
    <row r="13513" spans="1:8">
      <c r="A13513" t="s">
        <v>4</v>
      </c>
      <c r="B13513" s="4" t="s">
        <v>5</v>
      </c>
      <c r="C13513" s="4" t="s">
        <v>7</v>
      </c>
      <c r="D13513" s="4" t="s">
        <v>7</v>
      </c>
      <c r="E13513" s="4" t="s">
        <v>13</v>
      </c>
      <c r="F13513" s="4" t="s">
        <v>13</v>
      </c>
      <c r="G13513" s="4" t="s">
        <v>13</v>
      </c>
      <c r="H13513" s="4" t="s">
        <v>11</v>
      </c>
      <c r="I13513" s="4" t="s">
        <v>7</v>
      </c>
    </row>
    <row r="13514" spans="1:8">
      <c r="A13514" t="n">
        <v>126548</v>
      </c>
      <c r="B13514" s="51" t="n">
        <v>45</v>
      </c>
      <c r="C13514" s="7" t="n">
        <v>4</v>
      </c>
      <c r="D13514" s="7" t="n">
        <v>3</v>
      </c>
      <c r="E13514" s="7" t="n">
        <v>358.239990234375</v>
      </c>
      <c r="F13514" s="7" t="n">
        <v>344.200012207031</v>
      </c>
      <c r="G13514" s="7" t="n">
        <v>0</v>
      </c>
      <c r="H13514" s="7" t="n">
        <v>0</v>
      </c>
      <c r="I13514" s="7" t="n">
        <v>0</v>
      </c>
    </row>
    <row r="13515" spans="1:8">
      <c r="A13515" t="s">
        <v>4</v>
      </c>
      <c r="B13515" s="4" t="s">
        <v>5</v>
      </c>
      <c r="C13515" s="4" t="s">
        <v>7</v>
      </c>
      <c r="D13515" s="4" t="s">
        <v>7</v>
      </c>
      <c r="E13515" s="4" t="s">
        <v>13</v>
      </c>
      <c r="F13515" s="4" t="s">
        <v>11</v>
      </c>
    </row>
    <row r="13516" spans="1:8">
      <c r="A13516" t="n">
        <v>126566</v>
      </c>
      <c r="B13516" s="51" t="n">
        <v>45</v>
      </c>
      <c r="C13516" s="7" t="n">
        <v>5</v>
      </c>
      <c r="D13516" s="7" t="n">
        <v>3</v>
      </c>
      <c r="E13516" s="7" t="n">
        <v>3.40000009536743</v>
      </c>
      <c r="F13516" s="7" t="n">
        <v>0</v>
      </c>
    </row>
    <row r="13517" spans="1:8">
      <c r="A13517" t="s">
        <v>4</v>
      </c>
      <c r="B13517" s="4" t="s">
        <v>5</v>
      </c>
      <c r="C13517" s="4" t="s">
        <v>7</v>
      </c>
      <c r="D13517" s="4" t="s">
        <v>7</v>
      </c>
      <c r="E13517" s="4" t="s">
        <v>13</v>
      </c>
      <c r="F13517" s="4" t="s">
        <v>11</v>
      </c>
    </row>
    <row r="13518" spans="1:8">
      <c r="A13518" t="n">
        <v>126575</v>
      </c>
      <c r="B13518" s="51" t="n">
        <v>45</v>
      </c>
      <c r="C13518" s="7" t="n">
        <v>11</v>
      </c>
      <c r="D13518" s="7" t="n">
        <v>3</v>
      </c>
      <c r="E13518" s="7" t="n">
        <v>40.2999992370605</v>
      </c>
      <c r="F13518" s="7" t="n">
        <v>0</v>
      </c>
    </row>
    <row r="13519" spans="1:8">
      <c r="A13519" t="s">
        <v>4</v>
      </c>
      <c r="B13519" s="4" t="s">
        <v>5</v>
      </c>
      <c r="C13519" s="4" t="s">
        <v>7</v>
      </c>
      <c r="D13519" s="4" t="s">
        <v>7</v>
      </c>
      <c r="E13519" s="4" t="s">
        <v>13</v>
      </c>
      <c r="F13519" s="4" t="s">
        <v>13</v>
      </c>
      <c r="G13519" s="4" t="s">
        <v>13</v>
      </c>
      <c r="H13519" s="4" t="s">
        <v>11</v>
      </c>
    </row>
    <row r="13520" spans="1:8">
      <c r="A13520" t="n">
        <v>126584</v>
      </c>
      <c r="B13520" s="51" t="n">
        <v>45</v>
      </c>
      <c r="C13520" s="7" t="n">
        <v>2</v>
      </c>
      <c r="D13520" s="7" t="n">
        <v>3</v>
      </c>
      <c r="E13520" s="7" t="n">
        <v>-2.55999994277954</v>
      </c>
      <c r="F13520" s="7" t="n">
        <v>6.17999982833862</v>
      </c>
      <c r="G13520" s="7" t="n">
        <v>32.1800003051758</v>
      </c>
      <c r="H13520" s="7" t="n">
        <v>6000</v>
      </c>
    </row>
    <row r="13521" spans="1:9">
      <c r="A13521" t="s">
        <v>4</v>
      </c>
      <c r="B13521" s="4" t="s">
        <v>5</v>
      </c>
      <c r="C13521" s="4" t="s">
        <v>7</v>
      </c>
      <c r="D13521" s="4" t="s">
        <v>7</v>
      </c>
      <c r="E13521" s="4" t="s">
        <v>13</v>
      </c>
      <c r="F13521" s="4" t="s">
        <v>13</v>
      </c>
      <c r="G13521" s="4" t="s">
        <v>13</v>
      </c>
      <c r="H13521" s="4" t="s">
        <v>11</v>
      </c>
      <c r="I13521" s="4" t="s">
        <v>7</v>
      </c>
    </row>
    <row r="13522" spans="1:9">
      <c r="A13522" t="n">
        <v>126601</v>
      </c>
      <c r="B13522" s="51" t="n">
        <v>45</v>
      </c>
      <c r="C13522" s="7" t="n">
        <v>4</v>
      </c>
      <c r="D13522" s="7" t="n">
        <v>3</v>
      </c>
      <c r="E13522" s="7" t="n">
        <v>12.2700004577637</v>
      </c>
      <c r="F13522" s="7" t="n">
        <v>75.7099990844727</v>
      </c>
      <c r="G13522" s="7" t="n">
        <v>0</v>
      </c>
      <c r="H13522" s="7" t="n">
        <v>6000</v>
      </c>
      <c r="I13522" s="7" t="n">
        <v>1</v>
      </c>
    </row>
    <row r="13523" spans="1:9">
      <c r="A13523" t="s">
        <v>4</v>
      </c>
      <c r="B13523" s="4" t="s">
        <v>5</v>
      </c>
      <c r="C13523" s="4" t="s">
        <v>7</v>
      </c>
      <c r="D13523" s="4" t="s">
        <v>7</v>
      </c>
      <c r="E13523" s="4" t="s">
        <v>13</v>
      </c>
      <c r="F13523" s="4" t="s">
        <v>11</v>
      </c>
    </row>
    <row r="13524" spans="1:9">
      <c r="A13524" t="n">
        <v>126619</v>
      </c>
      <c r="B13524" s="51" t="n">
        <v>45</v>
      </c>
      <c r="C13524" s="7" t="n">
        <v>5</v>
      </c>
      <c r="D13524" s="7" t="n">
        <v>3</v>
      </c>
      <c r="E13524" s="7" t="n">
        <v>2.70000004768372</v>
      </c>
      <c r="F13524" s="7" t="n">
        <v>6000</v>
      </c>
    </row>
    <row r="13525" spans="1:9">
      <c r="A13525" t="s">
        <v>4</v>
      </c>
      <c r="B13525" s="4" t="s">
        <v>5</v>
      </c>
      <c r="C13525" s="4" t="s">
        <v>7</v>
      </c>
      <c r="D13525" s="4" t="s">
        <v>11</v>
      </c>
      <c r="E13525" s="4" t="s">
        <v>13</v>
      </c>
    </row>
    <row r="13526" spans="1:9">
      <c r="A13526" t="n">
        <v>126628</v>
      </c>
      <c r="B13526" s="23" t="n">
        <v>58</v>
      </c>
      <c r="C13526" s="7" t="n">
        <v>100</v>
      </c>
      <c r="D13526" s="7" t="n">
        <v>1000</v>
      </c>
      <c r="E13526" s="7" t="n">
        <v>1</v>
      </c>
    </row>
    <row r="13527" spans="1:9">
      <c r="A13527" t="s">
        <v>4</v>
      </c>
      <c r="B13527" s="4" t="s">
        <v>5</v>
      </c>
      <c r="C13527" s="4" t="s">
        <v>7</v>
      </c>
      <c r="D13527" s="4" t="s">
        <v>11</v>
      </c>
    </row>
    <row r="13528" spans="1:9">
      <c r="A13528" t="n">
        <v>126636</v>
      </c>
      <c r="B13528" s="23" t="n">
        <v>58</v>
      </c>
      <c r="C13528" s="7" t="n">
        <v>255</v>
      </c>
      <c r="D13528" s="7" t="n">
        <v>0</v>
      </c>
    </row>
    <row r="13529" spans="1:9">
      <c r="A13529" t="s">
        <v>4</v>
      </c>
      <c r="B13529" s="4" t="s">
        <v>5</v>
      </c>
      <c r="C13529" s="4" t="s">
        <v>8</v>
      </c>
      <c r="D13529" s="4" t="s">
        <v>8</v>
      </c>
    </row>
    <row r="13530" spans="1:9">
      <c r="A13530" t="n">
        <v>126640</v>
      </c>
      <c r="B13530" s="52" t="n">
        <v>70</v>
      </c>
      <c r="C13530" s="7" t="s">
        <v>24</v>
      </c>
      <c r="D13530" s="7" t="s">
        <v>109</v>
      </c>
    </row>
    <row r="13531" spans="1:9">
      <c r="A13531" t="s">
        <v>4</v>
      </c>
      <c r="B13531" s="4" t="s">
        <v>5</v>
      </c>
      <c r="C13531" s="4" t="s">
        <v>11</v>
      </c>
    </row>
    <row r="13532" spans="1:9">
      <c r="A13532" t="n">
        <v>126657</v>
      </c>
      <c r="B13532" s="29" t="n">
        <v>16</v>
      </c>
      <c r="C13532" s="7" t="n">
        <v>4000</v>
      </c>
    </row>
    <row r="13533" spans="1:9">
      <c r="A13533" t="s">
        <v>4</v>
      </c>
      <c r="B13533" s="4" t="s">
        <v>5</v>
      </c>
      <c r="C13533" s="4" t="s">
        <v>11</v>
      </c>
      <c r="D13533" s="4" t="s">
        <v>7</v>
      </c>
      <c r="E13533" s="4" t="s">
        <v>13</v>
      </c>
      <c r="F13533" s="4" t="s">
        <v>11</v>
      </c>
    </row>
    <row r="13534" spans="1:9">
      <c r="A13534" t="n">
        <v>126660</v>
      </c>
      <c r="B13534" s="56" t="n">
        <v>59</v>
      </c>
      <c r="C13534" s="7" t="n">
        <v>0</v>
      </c>
      <c r="D13534" s="7" t="n">
        <v>9</v>
      </c>
      <c r="E13534" s="7" t="n">
        <v>0.150000005960464</v>
      </c>
      <c r="F13534" s="7" t="n">
        <v>0</v>
      </c>
    </row>
    <row r="13535" spans="1:9">
      <c r="A13535" t="s">
        <v>4</v>
      </c>
      <c r="B13535" s="4" t="s">
        <v>5</v>
      </c>
      <c r="C13535" s="4" t="s">
        <v>11</v>
      </c>
    </row>
    <row r="13536" spans="1:9">
      <c r="A13536" t="n">
        <v>126670</v>
      </c>
      <c r="B13536" s="29" t="n">
        <v>16</v>
      </c>
      <c r="C13536" s="7" t="n">
        <v>1800</v>
      </c>
    </row>
    <row r="13537" spans="1:9">
      <c r="A13537" t="s">
        <v>4</v>
      </c>
      <c r="B13537" s="4" t="s">
        <v>5</v>
      </c>
      <c r="C13537" s="4" t="s">
        <v>7</v>
      </c>
      <c r="D13537" s="4" t="s">
        <v>11</v>
      </c>
    </row>
    <row r="13538" spans="1:9">
      <c r="A13538" t="n">
        <v>126673</v>
      </c>
      <c r="B13538" s="51" t="n">
        <v>45</v>
      </c>
      <c r="C13538" s="7" t="n">
        <v>7</v>
      </c>
      <c r="D13538" s="7" t="n">
        <v>255</v>
      </c>
    </row>
    <row r="13539" spans="1:9">
      <c r="A13539" t="s">
        <v>4</v>
      </c>
      <c r="B13539" s="4" t="s">
        <v>5</v>
      </c>
      <c r="C13539" s="4" t="s">
        <v>7</v>
      </c>
      <c r="D13539" s="4" t="s">
        <v>11</v>
      </c>
      <c r="E13539" s="4" t="s">
        <v>13</v>
      </c>
    </row>
    <row r="13540" spans="1:9">
      <c r="A13540" t="n">
        <v>126677</v>
      </c>
      <c r="B13540" s="23" t="n">
        <v>58</v>
      </c>
      <c r="C13540" s="7" t="n">
        <v>0</v>
      </c>
      <c r="D13540" s="7" t="n">
        <v>1000</v>
      </c>
      <c r="E13540" s="7" t="n">
        <v>1</v>
      </c>
    </row>
    <row r="13541" spans="1:9">
      <c r="A13541" t="s">
        <v>4</v>
      </c>
      <c r="B13541" s="4" t="s">
        <v>5</v>
      </c>
      <c r="C13541" s="4" t="s">
        <v>7</v>
      </c>
      <c r="D13541" s="4" t="s">
        <v>11</v>
      </c>
    </row>
    <row r="13542" spans="1:9">
      <c r="A13542" t="n">
        <v>126685</v>
      </c>
      <c r="B13542" s="23" t="n">
        <v>58</v>
      </c>
      <c r="C13542" s="7" t="n">
        <v>255</v>
      </c>
      <c r="D13542" s="7" t="n">
        <v>0</v>
      </c>
    </row>
    <row r="13543" spans="1:9">
      <c r="A13543" t="s">
        <v>4</v>
      </c>
      <c r="B13543" s="4" t="s">
        <v>5</v>
      </c>
      <c r="C13543" s="4" t="s">
        <v>8</v>
      </c>
      <c r="D13543" s="4" t="s">
        <v>8</v>
      </c>
    </row>
    <row r="13544" spans="1:9">
      <c r="A13544" t="n">
        <v>126689</v>
      </c>
      <c r="B13544" s="52" t="n">
        <v>70</v>
      </c>
      <c r="C13544" s="7" t="s">
        <v>24</v>
      </c>
      <c r="D13544" s="7" t="s">
        <v>118</v>
      </c>
    </row>
    <row r="13545" spans="1:9">
      <c r="A13545" t="s">
        <v>4</v>
      </c>
      <c r="B13545" s="4" t="s">
        <v>5</v>
      </c>
      <c r="C13545" s="4" t="s">
        <v>11</v>
      </c>
      <c r="D13545" s="4" t="s">
        <v>13</v>
      </c>
      <c r="E13545" s="4" t="s">
        <v>13</v>
      </c>
      <c r="F13545" s="4" t="s">
        <v>13</v>
      </c>
      <c r="G13545" s="4" t="s">
        <v>13</v>
      </c>
    </row>
    <row r="13546" spans="1:9">
      <c r="A13546" t="n">
        <v>126705</v>
      </c>
      <c r="B13546" s="36" t="n">
        <v>46</v>
      </c>
      <c r="C13546" s="7" t="n">
        <v>0</v>
      </c>
      <c r="D13546" s="7" t="n">
        <v>-10.9899997711182</v>
      </c>
      <c r="E13546" s="7" t="n">
        <v>5.01000022888184</v>
      </c>
      <c r="F13546" s="7" t="n">
        <v>32.4300003051758</v>
      </c>
      <c r="G13546" s="7" t="n">
        <v>270</v>
      </c>
    </row>
    <row r="13547" spans="1:9">
      <c r="A13547" t="s">
        <v>4</v>
      </c>
      <c r="B13547" s="4" t="s">
        <v>5</v>
      </c>
      <c r="C13547" s="4" t="s">
        <v>11</v>
      </c>
      <c r="D13547" s="4" t="s">
        <v>13</v>
      </c>
      <c r="E13547" s="4" t="s">
        <v>13</v>
      </c>
      <c r="F13547" s="4" t="s">
        <v>13</v>
      </c>
      <c r="G13547" s="4" t="s">
        <v>13</v>
      </c>
    </row>
    <row r="13548" spans="1:9">
      <c r="A13548" t="n">
        <v>126724</v>
      </c>
      <c r="B13548" s="36" t="n">
        <v>46</v>
      </c>
      <c r="C13548" s="7" t="n">
        <v>6</v>
      </c>
      <c r="D13548" s="7" t="n">
        <v>-10.5500001907349</v>
      </c>
      <c r="E13548" s="7" t="n">
        <v>5.01000022888184</v>
      </c>
      <c r="F13548" s="7" t="n">
        <v>31.5499992370605</v>
      </c>
      <c r="G13548" s="7" t="n">
        <v>270</v>
      </c>
    </row>
    <row r="13549" spans="1:9">
      <c r="A13549" t="s">
        <v>4</v>
      </c>
      <c r="B13549" s="4" t="s">
        <v>5</v>
      </c>
      <c r="C13549" s="4" t="s">
        <v>7</v>
      </c>
      <c r="D13549" s="4" t="s">
        <v>7</v>
      </c>
      <c r="E13549" s="4" t="s">
        <v>13</v>
      </c>
      <c r="F13549" s="4" t="s">
        <v>13</v>
      </c>
      <c r="G13549" s="4" t="s">
        <v>13</v>
      </c>
      <c r="H13549" s="4" t="s">
        <v>11</v>
      </c>
    </row>
    <row r="13550" spans="1:9">
      <c r="A13550" t="n">
        <v>126743</v>
      </c>
      <c r="B13550" s="51" t="n">
        <v>45</v>
      </c>
      <c r="C13550" s="7" t="n">
        <v>2</v>
      </c>
      <c r="D13550" s="7" t="n">
        <v>3</v>
      </c>
      <c r="E13550" s="7" t="n">
        <v>-14.1199998855591</v>
      </c>
      <c r="F13550" s="7" t="n">
        <v>6.75</v>
      </c>
      <c r="G13550" s="7" t="n">
        <v>31.9300003051758</v>
      </c>
      <c r="H13550" s="7" t="n">
        <v>0</v>
      </c>
    </row>
    <row r="13551" spans="1:9">
      <c r="A13551" t="s">
        <v>4</v>
      </c>
      <c r="B13551" s="4" t="s">
        <v>5</v>
      </c>
      <c r="C13551" s="4" t="s">
        <v>7</v>
      </c>
      <c r="D13551" s="4" t="s">
        <v>7</v>
      </c>
      <c r="E13551" s="4" t="s">
        <v>13</v>
      </c>
      <c r="F13551" s="4" t="s">
        <v>13</v>
      </c>
      <c r="G13551" s="4" t="s">
        <v>13</v>
      </c>
      <c r="H13551" s="4" t="s">
        <v>11</v>
      </c>
      <c r="I13551" s="4" t="s">
        <v>7</v>
      </c>
    </row>
    <row r="13552" spans="1:9">
      <c r="A13552" t="n">
        <v>126760</v>
      </c>
      <c r="B13552" s="51" t="n">
        <v>45</v>
      </c>
      <c r="C13552" s="7" t="n">
        <v>4</v>
      </c>
      <c r="D13552" s="7" t="n">
        <v>3</v>
      </c>
      <c r="E13552" s="7" t="n">
        <v>7.63000011444092</v>
      </c>
      <c r="F13552" s="7" t="n">
        <v>90</v>
      </c>
      <c r="G13552" s="7" t="n">
        <v>0</v>
      </c>
      <c r="H13552" s="7" t="n">
        <v>0</v>
      </c>
      <c r="I13552" s="7" t="n">
        <v>0</v>
      </c>
    </row>
    <row r="13553" spans="1:9">
      <c r="A13553" t="s">
        <v>4</v>
      </c>
      <c r="B13553" s="4" t="s">
        <v>5</v>
      </c>
      <c r="C13553" s="4" t="s">
        <v>7</v>
      </c>
      <c r="D13553" s="4" t="s">
        <v>7</v>
      </c>
      <c r="E13553" s="4" t="s">
        <v>13</v>
      </c>
      <c r="F13553" s="4" t="s">
        <v>11</v>
      </c>
    </row>
    <row r="13554" spans="1:9">
      <c r="A13554" t="n">
        <v>126778</v>
      </c>
      <c r="B13554" s="51" t="n">
        <v>45</v>
      </c>
      <c r="C13554" s="7" t="n">
        <v>5</v>
      </c>
      <c r="D13554" s="7" t="n">
        <v>3</v>
      </c>
      <c r="E13554" s="7" t="n">
        <v>2.09999990463257</v>
      </c>
      <c r="F13554" s="7" t="n">
        <v>0</v>
      </c>
    </row>
    <row r="13555" spans="1:9">
      <c r="A13555" t="s">
        <v>4</v>
      </c>
      <c r="B13555" s="4" t="s">
        <v>5</v>
      </c>
      <c r="C13555" s="4" t="s">
        <v>7</v>
      </c>
      <c r="D13555" s="4" t="s">
        <v>7</v>
      </c>
      <c r="E13555" s="4" t="s">
        <v>13</v>
      </c>
      <c r="F13555" s="4" t="s">
        <v>11</v>
      </c>
    </row>
    <row r="13556" spans="1:9">
      <c r="A13556" t="n">
        <v>126787</v>
      </c>
      <c r="B13556" s="51" t="n">
        <v>45</v>
      </c>
      <c r="C13556" s="7" t="n">
        <v>11</v>
      </c>
      <c r="D13556" s="7" t="n">
        <v>3</v>
      </c>
      <c r="E13556" s="7" t="n">
        <v>40.2999992370605</v>
      </c>
      <c r="F13556" s="7" t="n">
        <v>0</v>
      </c>
    </row>
    <row r="13557" spans="1:9">
      <c r="A13557" t="s">
        <v>4</v>
      </c>
      <c r="B13557" s="4" t="s">
        <v>5</v>
      </c>
      <c r="C13557" s="4" t="s">
        <v>7</v>
      </c>
      <c r="D13557" s="4" t="s">
        <v>7</v>
      </c>
      <c r="E13557" s="4" t="s">
        <v>13</v>
      </c>
      <c r="F13557" s="4" t="s">
        <v>13</v>
      </c>
      <c r="G13557" s="4" t="s">
        <v>13</v>
      </c>
      <c r="H13557" s="4" t="s">
        <v>11</v>
      </c>
    </row>
    <row r="13558" spans="1:9">
      <c r="A13558" t="n">
        <v>126796</v>
      </c>
      <c r="B13558" s="51" t="n">
        <v>45</v>
      </c>
      <c r="C13558" s="7" t="n">
        <v>2</v>
      </c>
      <c r="D13558" s="7" t="n">
        <v>3</v>
      </c>
      <c r="E13558" s="7" t="n">
        <v>-9.10000038146973</v>
      </c>
      <c r="F13558" s="7" t="n">
        <v>6.75</v>
      </c>
      <c r="G13558" s="7" t="n">
        <v>31.9699993133545</v>
      </c>
      <c r="H13558" s="7" t="n">
        <v>6000</v>
      </c>
    </row>
    <row r="13559" spans="1:9">
      <c r="A13559" t="s">
        <v>4</v>
      </c>
      <c r="B13559" s="4" t="s">
        <v>5</v>
      </c>
      <c r="C13559" s="4" t="s">
        <v>7</v>
      </c>
      <c r="D13559" s="4" t="s">
        <v>7</v>
      </c>
      <c r="E13559" s="4" t="s">
        <v>13</v>
      </c>
      <c r="F13559" s="4" t="s">
        <v>13</v>
      </c>
      <c r="G13559" s="4" t="s">
        <v>13</v>
      </c>
      <c r="H13559" s="4" t="s">
        <v>11</v>
      </c>
      <c r="I13559" s="4" t="s">
        <v>7</v>
      </c>
    </row>
    <row r="13560" spans="1:9">
      <c r="A13560" t="n">
        <v>126813</v>
      </c>
      <c r="B13560" s="51" t="n">
        <v>45</v>
      </c>
      <c r="C13560" s="7" t="n">
        <v>4</v>
      </c>
      <c r="D13560" s="7" t="n">
        <v>3</v>
      </c>
      <c r="E13560" s="7" t="n">
        <v>0.0299999993294477</v>
      </c>
      <c r="F13560" s="7" t="n">
        <v>90</v>
      </c>
      <c r="G13560" s="7" t="n">
        <v>0</v>
      </c>
      <c r="H13560" s="7" t="n">
        <v>6000</v>
      </c>
      <c r="I13560" s="7" t="n">
        <v>0</v>
      </c>
    </row>
    <row r="13561" spans="1:9">
      <c r="A13561" t="s">
        <v>4</v>
      </c>
      <c r="B13561" s="4" t="s">
        <v>5</v>
      </c>
      <c r="C13561" s="4" t="s">
        <v>7</v>
      </c>
      <c r="D13561" s="4" t="s">
        <v>7</v>
      </c>
      <c r="E13561" s="4" t="s">
        <v>13</v>
      </c>
      <c r="F13561" s="4" t="s">
        <v>11</v>
      </c>
    </row>
    <row r="13562" spans="1:9">
      <c r="A13562" t="n">
        <v>126831</v>
      </c>
      <c r="B13562" s="51" t="n">
        <v>45</v>
      </c>
      <c r="C13562" s="7" t="n">
        <v>5</v>
      </c>
      <c r="D13562" s="7" t="n">
        <v>3</v>
      </c>
      <c r="E13562" s="7" t="n">
        <v>1.79999995231628</v>
      </c>
      <c r="F13562" s="7" t="n">
        <v>6000</v>
      </c>
    </row>
    <row r="13563" spans="1:9">
      <c r="A13563" t="s">
        <v>4</v>
      </c>
      <c r="B13563" s="4" t="s">
        <v>5</v>
      </c>
      <c r="C13563" s="4" t="s">
        <v>8</v>
      </c>
      <c r="D13563" s="4" t="s">
        <v>8</v>
      </c>
    </row>
    <row r="13564" spans="1:9">
      <c r="A13564" t="n">
        <v>126840</v>
      </c>
      <c r="B13564" s="52" t="n">
        <v>70</v>
      </c>
      <c r="C13564" s="7" t="s">
        <v>25</v>
      </c>
      <c r="D13564" s="7" t="s">
        <v>109</v>
      </c>
    </row>
    <row r="13565" spans="1:9">
      <c r="A13565" t="s">
        <v>4</v>
      </c>
      <c r="B13565" s="4" t="s">
        <v>5</v>
      </c>
      <c r="C13565" s="4" t="s">
        <v>7</v>
      </c>
      <c r="D13565" s="4" t="s">
        <v>11</v>
      </c>
      <c r="E13565" s="4" t="s">
        <v>13</v>
      </c>
    </row>
    <row r="13566" spans="1:9">
      <c r="A13566" t="n">
        <v>126857</v>
      </c>
      <c r="B13566" s="23" t="n">
        <v>58</v>
      </c>
      <c r="C13566" s="7" t="n">
        <v>100</v>
      </c>
      <c r="D13566" s="7" t="n">
        <v>1000</v>
      </c>
      <c r="E13566" s="7" t="n">
        <v>1</v>
      </c>
    </row>
    <row r="13567" spans="1:9">
      <c r="A13567" t="s">
        <v>4</v>
      </c>
      <c r="B13567" s="4" t="s">
        <v>5</v>
      </c>
      <c r="C13567" s="4" t="s">
        <v>7</v>
      </c>
      <c r="D13567" s="4" t="s">
        <v>11</v>
      </c>
    </row>
    <row r="13568" spans="1:9">
      <c r="A13568" t="n">
        <v>126865</v>
      </c>
      <c r="B13568" s="23" t="n">
        <v>58</v>
      </c>
      <c r="C13568" s="7" t="n">
        <v>255</v>
      </c>
      <c r="D13568" s="7" t="n">
        <v>0</v>
      </c>
    </row>
    <row r="13569" spans="1:9">
      <c r="A13569" t="s">
        <v>4</v>
      </c>
      <c r="B13569" s="4" t="s">
        <v>5</v>
      </c>
      <c r="C13569" s="4" t="s">
        <v>7</v>
      </c>
      <c r="D13569" s="4" t="s">
        <v>8</v>
      </c>
      <c r="E13569" s="4" t="s">
        <v>11</v>
      </c>
    </row>
    <row r="13570" spans="1:9">
      <c r="A13570" t="n">
        <v>126869</v>
      </c>
      <c r="B13570" s="15" t="n">
        <v>94</v>
      </c>
      <c r="C13570" s="7" t="n">
        <v>1</v>
      </c>
      <c r="D13570" s="7" t="s">
        <v>25</v>
      </c>
      <c r="E13570" s="7" t="n">
        <v>512</v>
      </c>
    </row>
    <row r="13571" spans="1:9">
      <c r="A13571" t="s">
        <v>4</v>
      </c>
      <c r="B13571" s="4" t="s">
        <v>5</v>
      </c>
      <c r="C13571" s="4" t="s">
        <v>11</v>
      </c>
    </row>
    <row r="13572" spans="1:9">
      <c r="A13572" t="n">
        <v>126883</v>
      </c>
      <c r="B13572" s="29" t="n">
        <v>16</v>
      </c>
      <c r="C13572" s="7" t="n">
        <v>4000</v>
      </c>
    </row>
    <row r="13573" spans="1:9">
      <c r="A13573" t="s">
        <v>4</v>
      </c>
      <c r="B13573" s="4" t="s">
        <v>5</v>
      </c>
      <c r="C13573" s="4" t="s">
        <v>11</v>
      </c>
      <c r="D13573" s="4" t="s">
        <v>7</v>
      </c>
      <c r="E13573" s="4" t="s">
        <v>13</v>
      </c>
      <c r="F13573" s="4" t="s">
        <v>11</v>
      </c>
    </row>
    <row r="13574" spans="1:9">
      <c r="A13574" t="n">
        <v>126886</v>
      </c>
      <c r="B13574" s="56" t="n">
        <v>59</v>
      </c>
      <c r="C13574" s="7" t="n">
        <v>0</v>
      </c>
      <c r="D13574" s="7" t="n">
        <v>9</v>
      </c>
      <c r="E13574" s="7" t="n">
        <v>0.150000005960464</v>
      </c>
      <c r="F13574" s="7" t="n">
        <v>0</v>
      </c>
    </row>
    <row r="13575" spans="1:9">
      <c r="A13575" t="s">
        <v>4</v>
      </c>
      <c r="B13575" s="4" t="s">
        <v>5</v>
      </c>
      <c r="C13575" s="4" t="s">
        <v>11</v>
      </c>
      <c r="D13575" s="4" t="s">
        <v>7</v>
      </c>
      <c r="E13575" s="4" t="s">
        <v>13</v>
      </c>
      <c r="F13575" s="4" t="s">
        <v>11</v>
      </c>
    </row>
    <row r="13576" spans="1:9">
      <c r="A13576" t="n">
        <v>126896</v>
      </c>
      <c r="B13576" s="56" t="n">
        <v>59</v>
      </c>
      <c r="C13576" s="7" t="n">
        <v>6</v>
      </c>
      <c r="D13576" s="7" t="n">
        <v>9</v>
      </c>
      <c r="E13576" s="7" t="n">
        <v>0.150000005960464</v>
      </c>
      <c r="F13576" s="7" t="n">
        <v>0</v>
      </c>
    </row>
    <row r="13577" spans="1:9">
      <c r="A13577" t="s">
        <v>4</v>
      </c>
      <c r="B13577" s="4" t="s">
        <v>5</v>
      </c>
      <c r="C13577" s="4" t="s">
        <v>11</v>
      </c>
    </row>
    <row r="13578" spans="1:9">
      <c r="A13578" t="n">
        <v>126906</v>
      </c>
      <c r="B13578" s="29" t="n">
        <v>16</v>
      </c>
      <c r="C13578" s="7" t="n">
        <v>1500</v>
      </c>
    </row>
    <row r="13579" spans="1:9">
      <c r="A13579" t="s">
        <v>4</v>
      </c>
      <c r="B13579" s="4" t="s">
        <v>5</v>
      </c>
      <c r="C13579" s="4" t="s">
        <v>7</v>
      </c>
      <c r="D13579" s="4" t="s">
        <v>11</v>
      </c>
    </row>
    <row r="13580" spans="1:9">
      <c r="A13580" t="n">
        <v>126909</v>
      </c>
      <c r="B13580" s="51" t="n">
        <v>45</v>
      </c>
      <c r="C13580" s="7" t="n">
        <v>7</v>
      </c>
      <c r="D13580" s="7" t="n">
        <v>255</v>
      </c>
    </row>
    <row r="13581" spans="1:9">
      <c r="A13581" t="s">
        <v>4</v>
      </c>
      <c r="B13581" s="4" t="s">
        <v>5</v>
      </c>
      <c r="C13581" s="4" t="s">
        <v>7</v>
      </c>
      <c r="D13581" s="4" t="s">
        <v>11</v>
      </c>
      <c r="E13581" s="4" t="s">
        <v>13</v>
      </c>
    </row>
    <row r="13582" spans="1:9">
      <c r="A13582" t="n">
        <v>126913</v>
      </c>
      <c r="B13582" s="23" t="n">
        <v>58</v>
      </c>
      <c r="C13582" s="7" t="n">
        <v>0</v>
      </c>
      <c r="D13582" s="7" t="n">
        <v>2000</v>
      </c>
      <c r="E13582" s="7" t="n">
        <v>1</v>
      </c>
    </row>
    <row r="13583" spans="1:9">
      <c r="A13583" t="s">
        <v>4</v>
      </c>
      <c r="B13583" s="4" t="s">
        <v>5</v>
      </c>
      <c r="C13583" s="4" t="s">
        <v>7</v>
      </c>
      <c r="D13583" s="4" t="s">
        <v>11</v>
      </c>
    </row>
    <row r="13584" spans="1:9">
      <c r="A13584" t="n">
        <v>126921</v>
      </c>
      <c r="B13584" s="23" t="n">
        <v>58</v>
      </c>
      <c r="C13584" s="7" t="n">
        <v>255</v>
      </c>
      <c r="D13584" s="7" t="n">
        <v>0</v>
      </c>
    </row>
    <row r="13585" spans="1:6">
      <c r="A13585" t="s">
        <v>4</v>
      </c>
      <c r="B13585" s="4" t="s">
        <v>5</v>
      </c>
      <c r="C13585" s="4" t="s">
        <v>7</v>
      </c>
      <c r="D13585" s="4" t="s">
        <v>7</v>
      </c>
      <c r="E13585" s="4" t="s">
        <v>13</v>
      </c>
      <c r="F13585" s="4" t="s">
        <v>13</v>
      </c>
      <c r="G13585" s="4" t="s">
        <v>13</v>
      </c>
      <c r="H13585" s="4" t="s">
        <v>11</v>
      </c>
    </row>
    <row r="13586" spans="1:6">
      <c r="A13586" t="n">
        <v>126925</v>
      </c>
      <c r="B13586" s="51" t="n">
        <v>45</v>
      </c>
      <c r="C13586" s="7" t="n">
        <v>2</v>
      </c>
      <c r="D13586" s="7" t="n">
        <v>3</v>
      </c>
      <c r="E13586" s="7" t="n">
        <v>-7.84000015258789</v>
      </c>
      <c r="F13586" s="7" t="n">
        <v>7.17000007629395</v>
      </c>
      <c r="G13586" s="7" t="n">
        <v>31.6599998474121</v>
      </c>
      <c r="H13586" s="7" t="n">
        <v>0</v>
      </c>
    </row>
    <row r="13587" spans="1:6">
      <c r="A13587" t="s">
        <v>4</v>
      </c>
      <c r="B13587" s="4" t="s">
        <v>5</v>
      </c>
      <c r="C13587" s="4" t="s">
        <v>7</v>
      </c>
      <c r="D13587" s="4" t="s">
        <v>7</v>
      </c>
      <c r="E13587" s="4" t="s">
        <v>13</v>
      </c>
      <c r="F13587" s="4" t="s">
        <v>13</v>
      </c>
      <c r="G13587" s="4" t="s">
        <v>13</v>
      </c>
      <c r="H13587" s="4" t="s">
        <v>11</v>
      </c>
      <c r="I13587" s="4" t="s">
        <v>7</v>
      </c>
    </row>
    <row r="13588" spans="1:6">
      <c r="A13588" t="n">
        <v>126942</v>
      </c>
      <c r="B13588" s="51" t="n">
        <v>45</v>
      </c>
      <c r="C13588" s="7" t="n">
        <v>4</v>
      </c>
      <c r="D13588" s="7" t="n">
        <v>3</v>
      </c>
      <c r="E13588" s="7" t="n">
        <v>9.01000022888184</v>
      </c>
      <c r="F13588" s="7" t="n">
        <v>55.7900009155273</v>
      </c>
      <c r="G13588" s="7" t="n">
        <v>0</v>
      </c>
      <c r="H13588" s="7" t="n">
        <v>0</v>
      </c>
      <c r="I13588" s="7" t="n">
        <v>0</v>
      </c>
    </row>
    <row r="13589" spans="1:6">
      <c r="A13589" t="s">
        <v>4</v>
      </c>
      <c r="B13589" s="4" t="s">
        <v>5</v>
      </c>
      <c r="C13589" s="4" t="s">
        <v>7</v>
      </c>
      <c r="D13589" s="4" t="s">
        <v>7</v>
      </c>
      <c r="E13589" s="4" t="s">
        <v>13</v>
      </c>
      <c r="F13589" s="4" t="s">
        <v>11</v>
      </c>
    </row>
    <row r="13590" spans="1:6">
      <c r="A13590" t="n">
        <v>126960</v>
      </c>
      <c r="B13590" s="51" t="n">
        <v>45</v>
      </c>
      <c r="C13590" s="7" t="n">
        <v>5</v>
      </c>
      <c r="D13590" s="7" t="n">
        <v>3</v>
      </c>
      <c r="E13590" s="7" t="n">
        <v>2.40000009536743</v>
      </c>
      <c r="F13590" s="7" t="n">
        <v>0</v>
      </c>
    </row>
    <row r="13591" spans="1:6">
      <c r="A13591" t="s">
        <v>4</v>
      </c>
      <c r="B13591" s="4" t="s">
        <v>5</v>
      </c>
      <c r="C13591" s="4" t="s">
        <v>7</v>
      </c>
      <c r="D13591" s="4" t="s">
        <v>7</v>
      </c>
      <c r="E13591" s="4" t="s">
        <v>13</v>
      </c>
      <c r="F13591" s="4" t="s">
        <v>11</v>
      </c>
    </row>
    <row r="13592" spans="1:6">
      <c r="A13592" t="n">
        <v>126969</v>
      </c>
      <c r="B13592" s="51" t="n">
        <v>45</v>
      </c>
      <c r="C13592" s="7" t="n">
        <v>11</v>
      </c>
      <c r="D13592" s="7" t="n">
        <v>3</v>
      </c>
      <c r="E13592" s="7" t="n">
        <v>40.2999992370605</v>
      </c>
      <c r="F13592" s="7" t="n">
        <v>0</v>
      </c>
    </row>
    <row r="13593" spans="1:6">
      <c r="A13593" t="s">
        <v>4</v>
      </c>
      <c r="B13593" s="4" t="s">
        <v>5</v>
      </c>
      <c r="C13593" s="4" t="s">
        <v>7</v>
      </c>
      <c r="D13593" s="4" t="s">
        <v>7</v>
      </c>
      <c r="E13593" s="4" t="s">
        <v>13</v>
      </c>
      <c r="F13593" s="4" t="s">
        <v>13</v>
      </c>
      <c r="G13593" s="4" t="s">
        <v>13</v>
      </c>
      <c r="H13593" s="4" t="s">
        <v>11</v>
      </c>
    </row>
    <row r="13594" spans="1:6">
      <c r="A13594" t="n">
        <v>126978</v>
      </c>
      <c r="B13594" s="51" t="n">
        <v>45</v>
      </c>
      <c r="C13594" s="7" t="n">
        <v>2</v>
      </c>
      <c r="D13594" s="7" t="n">
        <v>3</v>
      </c>
      <c r="E13594" s="7" t="n">
        <v>-6.8899998664856</v>
      </c>
      <c r="F13594" s="7" t="n">
        <v>6.26999998092651</v>
      </c>
      <c r="G13594" s="7" t="n">
        <v>30.0599994659424</v>
      </c>
      <c r="H13594" s="7" t="n">
        <v>6000</v>
      </c>
    </row>
    <row r="13595" spans="1:6">
      <c r="A13595" t="s">
        <v>4</v>
      </c>
      <c r="B13595" s="4" t="s">
        <v>5</v>
      </c>
      <c r="C13595" s="4" t="s">
        <v>7</v>
      </c>
      <c r="D13595" s="4" t="s">
        <v>7</v>
      </c>
      <c r="E13595" s="4" t="s">
        <v>13</v>
      </c>
      <c r="F13595" s="4" t="s">
        <v>13</v>
      </c>
      <c r="G13595" s="4" t="s">
        <v>13</v>
      </c>
      <c r="H13595" s="4" t="s">
        <v>11</v>
      </c>
      <c r="I13595" s="4" t="s">
        <v>7</v>
      </c>
    </row>
    <row r="13596" spans="1:6">
      <c r="A13596" t="n">
        <v>126995</v>
      </c>
      <c r="B13596" s="51" t="n">
        <v>45</v>
      </c>
      <c r="C13596" s="7" t="n">
        <v>4</v>
      </c>
      <c r="D13596" s="7" t="n">
        <v>3</v>
      </c>
      <c r="E13596" s="7" t="n">
        <v>6.73999977111816</v>
      </c>
      <c r="F13596" s="7" t="n">
        <v>13.6199998855591</v>
      </c>
      <c r="G13596" s="7" t="n">
        <v>0</v>
      </c>
      <c r="H13596" s="7" t="n">
        <v>6000</v>
      </c>
      <c r="I13596" s="7" t="n">
        <v>1</v>
      </c>
    </row>
    <row r="13597" spans="1:6">
      <c r="A13597" t="s">
        <v>4</v>
      </c>
      <c r="B13597" s="4" t="s">
        <v>5</v>
      </c>
      <c r="C13597" s="4" t="s">
        <v>11</v>
      </c>
      <c r="D13597" s="4" t="s">
        <v>13</v>
      </c>
      <c r="E13597" s="4" t="s">
        <v>13</v>
      </c>
      <c r="F13597" s="4" t="s">
        <v>13</v>
      </c>
      <c r="G13597" s="4" t="s">
        <v>13</v>
      </c>
    </row>
    <row r="13598" spans="1:6">
      <c r="A13598" t="n">
        <v>127013</v>
      </c>
      <c r="B13598" s="36" t="n">
        <v>46</v>
      </c>
      <c r="C13598" s="7" t="n">
        <v>0</v>
      </c>
      <c r="D13598" s="7" t="n">
        <v>-6.51000022888184</v>
      </c>
      <c r="E13598" s="7" t="n">
        <v>5</v>
      </c>
      <c r="F13598" s="7" t="n">
        <v>29.8999996185303</v>
      </c>
      <c r="G13598" s="7" t="n">
        <v>208</v>
      </c>
    </row>
    <row r="13599" spans="1:6">
      <c r="A13599" t="s">
        <v>4</v>
      </c>
      <c r="B13599" s="4" t="s">
        <v>5</v>
      </c>
      <c r="C13599" s="4" t="s">
        <v>11</v>
      </c>
      <c r="D13599" s="4" t="s">
        <v>13</v>
      </c>
      <c r="E13599" s="4" t="s">
        <v>13</v>
      </c>
      <c r="F13599" s="4" t="s">
        <v>13</v>
      </c>
      <c r="G13599" s="4" t="s">
        <v>13</v>
      </c>
    </row>
    <row r="13600" spans="1:6">
      <c r="A13600" t="n">
        <v>127032</v>
      </c>
      <c r="B13600" s="36" t="n">
        <v>46</v>
      </c>
      <c r="C13600" s="7" t="n">
        <v>6</v>
      </c>
      <c r="D13600" s="7" t="n">
        <v>-7.44999980926514</v>
      </c>
      <c r="E13600" s="7" t="n">
        <v>5</v>
      </c>
      <c r="F13600" s="7" t="n">
        <v>29.7999992370605</v>
      </c>
      <c r="G13600" s="7" t="n">
        <v>151.199996948242</v>
      </c>
    </row>
    <row r="13601" spans="1:9">
      <c r="A13601" t="s">
        <v>4</v>
      </c>
      <c r="B13601" s="4" t="s">
        <v>5</v>
      </c>
      <c r="C13601" s="4" t="s">
        <v>8</v>
      </c>
      <c r="D13601" s="4" t="s">
        <v>8</v>
      </c>
    </row>
    <row r="13602" spans="1:9">
      <c r="A13602" t="n">
        <v>127051</v>
      </c>
      <c r="B13602" s="52" t="n">
        <v>70</v>
      </c>
      <c r="C13602" s="7" t="s">
        <v>25</v>
      </c>
      <c r="D13602" s="7" t="s">
        <v>118</v>
      </c>
    </row>
    <row r="13603" spans="1:9">
      <c r="A13603" t="s">
        <v>4</v>
      </c>
      <c r="B13603" s="4" t="s">
        <v>5</v>
      </c>
      <c r="C13603" s="4" t="s">
        <v>11</v>
      </c>
      <c r="D13603" s="4" t="s">
        <v>11</v>
      </c>
      <c r="E13603" s="4" t="s">
        <v>11</v>
      </c>
    </row>
    <row r="13604" spans="1:9">
      <c r="A13604" t="n">
        <v>127067</v>
      </c>
      <c r="B13604" s="72" t="n">
        <v>61</v>
      </c>
      <c r="C13604" s="7" t="n">
        <v>0</v>
      </c>
      <c r="D13604" s="7" t="n">
        <v>6</v>
      </c>
      <c r="E13604" s="7" t="n">
        <v>0</v>
      </c>
    </row>
    <row r="13605" spans="1:9">
      <c r="A13605" t="s">
        <v>4</v>
      </c>
      <c r="B13605" s="4" t="s">
        <v>5</v>
      </c>
      <c r="C13605" s="4" t="s">
        <v>11</v>
      </c>
      <c r="D13605" s="4" t="s">
        <v>11</v>
      </c>
      <c r="E13605" s="4" t="s">
        <v>11</v>
      </c>
    </row>
    <row r="13606" spans="1:9">
      <c r="A13606" t="n">
        <v>127074</v>
      </c>
      <c r="B13606" s="72" t="n">
        <v>61</v>
      </c>
      <c r="C13606" s="7" t="n">
        <v>6</v>
      </c>
      <c r="D13606" s="7" t="n">
        <v>0</v>
      </c>
      <c r="E13606" s="7" t="n">
        <v>0</v>
      </c>
    </row>
    <row r="13607" spans="1:9">
      <c r="A13607" t="s">
        <v>4</v>
      </c>
      <c r="B13607" s="4" t="s">
        <v>5</v>
      </c>
      <c r="C13607" s="4" t="s">
        <v>7</v>
      </c>
      <c r="D13607" s="4" t="s">
        <v>11</v>
      </c>
      <c r="E13607" s="4" t="s">
        <v>13</v>
      </c>
    </row>
    <row r="13608" spans="1:9">
      <c r="A13608" t="n">
        <v>127081</v>
      </c>
      <c r="B13608" s="23" t="n">
        <v>58</v>
      </c>
      <c r="C13608" s="7" t="n">
        <v>100</v>
      </c>
      <c r="D13608" s="7" t="n">
        <v>1000</v>
      </c>
      <c r="E13608" s="7" t="n">
        <v>1</v>
      </c>
    </row>
    <row r="13609" spans="1:9">
      <c r="A13609" t="s">
        <v>4</v>
      </c>
      <c r="B13609" s="4" t="s">
        <v>5</v>
      </c>
      <c r="C13609" s="4" t="s">
        <v>7</v>
      </c>
      <c r="D13609" s="4" t="s">
        <v>11</v>
      </c>
    </row>
    <row r="13610" spans="1:9">
      <c r="A13610" t="n">
        <v>127089</v>
      </c>
      <c r="B13610" s="23" t="n">
        <v>58</v>
      </c>
      <c r="C13610" s="7" t="n">
        <v>255</v>
      </c>
      <c r="D13610" s="7" t="n">
        <v>0</v>
      </c>
    </row>
    <row r="13611" spans="1:9">
      <c r="A13611" t="s">
        <v>4</v>
      </c>
      <c r="B13611" s="4" t="s">
        <v>5</v>
      </c>
      <c r="C13611" s="4" t="s">
        <v>11</v>
      </c>
    </row>
    <row r="13612" spans="1:9">
      <c r="A13612" t="n">
        <v>127093</v>
      </c>
      <c r="B13612" s="29" t="n">
        <v>16</v>
      </c>
      <c r="C13612" s="7" t="n">
        <v>1000</v>
      </c>
    </row>
    <row r="13613" spans="1:9">
      <c r="A13613" t="s">
        <v>4</v>
      </c>
      <c r="B13613" s="4" t="s">
        <v>5</v>
      </c>
      <c r="C13613" s="4" t="s">
        <v>7</v>
      </c>
      <c r="D13613" s="4" t="s">
        <v>11</v>
      </c>
    </row>
    <row r="13614" spans="1:9">
      <c r="A13614" t="n">
        <v>127096</v>
      </c>
      <c r="B13614" s="51" t="n">
        <v>45</v>
      </c>
      <c r="C13614" s="7" t="n">
        <v>7</v>
      </c>
      <c r="D13614" s="7" t="n">
        <v>255</v>
      </c>
    </row>
    <row r="13615" spans="1:9">
      <c r="A13615" t="s">
        <v>4</v>
      </c>
      <c r="B13615" s="4" t="s">
        <v>5</v>
      </c>
      <c r="C13615" s="4" t="s">
        <v>7</v>
      </c>
      <c r="D13615" s="4" t="s">
        <v>11</v>
      </c>
      <c r="E13615" s="4" t="s">
        <v>13</v>
      </c>
    </row>
    <row r="13616" spans="1:9">
      <c r="A13616" t="n">
        <v>127100</v>
      </c>
      <c r="B13616" s="23" t="n">
        <v>58</v>
      </c>
      <c r="C13616" s="7" t="n">
        <v>101</v>
      </c>
      <c r="D13616" s="7" t="n">
        <v>500</v>
      </c>
      <c r="E13616" s="7" t="n">
        <v>1</v>
      </c>
    </row>
    <row r="13617" spans="1:5">
      <c r="A13617" t="s">
        <v>4</v>
      </c>
      <c r="B13617" s="4" t="s">
        <v>5</v>
      </c>
      <c r="C13617" s="4" t="s">
        <v>7</v>
      </c>
      <c r="D13617" s="4" t="s">
        <v>11</v>
      </c>
    </row>
    <row r="13618" spans="1:5">
      <c r="A13618" t="n">
        <v>127108</v>
      </c>
      <c r="B13618" s="23" t="n">
        <v>58</v>
      </c>
      <c r="C13618" s="7" t="n">
        <v>254</v>
      </c>
      <c r="D13618" s="7" t="n">
        <v>0</v>
      </c>
    </row>
    <row r="13619" spans="1:5">
      <c r="A13619" t="s">
        <v>4</v>
      </c>
      <c r="B13619" s="4" t="s">
        <v>5</v>
      </c>
      <c r="C13619" s="4" t="s">
        <v>7</v>
      </c>
      <c r="D13619" s="4" t="s">
        <v>11</v>
      </c>
      <c r="E13619" s="4" t="s">
        <v>8</v>
      </c>
      <c r="F13619" s="4" t="s">
        <v>8</v>
      </c>
      <c r="G13619" s="4" t="s">
        <v>8</v>
      </c>
      <c r="H13619" s="4" t="s">
        <v>8</v>
      </c>
    </row>
    <row r="13620" spans="1:5">
      <c r="A13620" t="n">
        <v>127112</v>
      </c>
      <c r="B13620" s="38" t="n">
        <v>51</v>
      </c>
      <c r="C13620" s="7" t="n">
        <v>3</v>
      </c>
      <c r="D13620" s="7" t="n">
        <v>6</v>
      </c>
      <c r="E13620" s="7" t="s">
        <v>79</v>
      </c>
      <c r="F13620" s="7" t="s">
        <v>79</v>
      </c>
      <c r="G13620" s="7" t="s">
        <v>78</v>
      </c>
      <c r="H13620" s="7" t="s">
        <v>79</v>
      </c>
    </row>
    <row r="13621" spans="1:5">
      <c r="A13621" t="s">
        <v>4</v>
      </c>
      <c r="B13621" s="4" t="s">
        <v>5</v>
      </c>
      <c r="C13621" s="4" t="s">
        <v>7</v>
      </c>
      <c r="D13621" s="4" t="s">
        <v>11</v>
      </c>
      <c r="E13621" s="4" t="s">
        <v>11</v>
      </c>
      <c r="F13621" s="4" t="s">
        <v>15</v>
      </c>
      <c r="G13621" s="4" t="s">
        <v>15</v>
      </c>
      <c r="H13621" s="4" t="s">
        <v>15</v>
      </c>
    </row>
    <row r="13622" spans="1:5">
      <c r="A13622" t="n">
        <v>127125</v>
      </c>
      <c r="B13622" s="77" t="n">
        <v>97</v>
      </c>
      <c r="C13622" s="7" t="n">
        <v>6</v>
      </c>
      <c r="D13622" s="7" t="n">
        <v>0</v>
      </c>
      <c r="E13622" s="7" t="n">
        <v>0</v>
      </c>
      <c r="F13622" s="7" t="n">
        <v>-1065143501</v>
      </c>
      <c r="G13622" s="7" t="n">
        <v>1101004800</v>
      </c>
      <c r="H13622" s="7" t="n">
        <v>1101004800</v>
      </c>
    </row>
    <row r="13623" spans="1:5">
      <c r="A13623" t="s">
        <v>4</v>
      </c>
      <c r="B13623" s="4" t="s">
        <v>5</v>
      </c>
      <c r="C13623" s="4" t="s">
        <v>7</v>
      </c>
      <c r="D13623" s="4" t="s">
        <v>7</v>
      </c>
      <c r="E13623" s="4" t="s">
        <v>13</v>
      </c>
      <c r="F13623" s="4" t="s">
        <v>13</v>
      </c>
      <c r="G13623" s="4" t="s">
        <v>13</v>
      </c>
      <c r="H13623" s="4" t="s">
        <v>11</v>
      </c>
    </row>
    <row r="13624" spans="1:5">
      <c r="A13624" t="n">
        <v>127143</v>
      </c>
      <c r="B13624" s="51" t="n">
        <v>45</v>
      </c>
      <c r="C13624" s="7" t="n">
        <v>2</v>
      </c>
      <c r="D13624" s="7" t="n">
        <v>3</v>
      </c>
      <c r="E13624" s="7" t="n">
        <v>-6.86999988555908</v>
      </c>
      <c r="F13624" s="7" t="n">
        <v>6.44999980926514</v>
      </c>
      <c r="G13624" s="7" t="n">
        <v>29.8400001525879</v>
      </c>
      <c r="H13624" s="7" t="n">
        <v>0</v>
      </c>
    </row>
    <row r="13625" spans="1:5">
      <c r="A13625" t="s">
        <v>4</v>
      </c>
      <c r="B13625" s="4" t="s">
        <v>5</v>
      </c>
      <c r="C13625" s="4" t="s">
        <v>7</v>
      </c>
      <c r="D13625" s="4" t="s">
        <v>7</v>
      </c>
      <c r="E13625" s="4" t="s">
        <v>13</v>
      </c>
      <c r="F13625" s="4" t="s">
        <v>13</v>
      </c>
      <c r="G13625" s="4" t="s">
        <v>13</v>
      </c>
      <c r="H13625" s="4" t="s">
        <v>11</v>
      </c>
      <c r="I13625" s="4" t="s">
        <v>7</v>
      </c>
    </row>
    <row r="13626" spans="1:5">
      <c r="A13626" t="n">
        <v>127160</v>
      </c>
      <c r="B13626" s="51" t="n">
        <v>45</v>
      </c>
      <c r="C13626" s="7" t="n">
        <v>4</v>
      </c>
      <c r="D13626" s="7" t="n">
        <v>3</v>
      </c>
      <c r="E13626" s="7" t="n">
        <v>4.30999994277954</v>
      </c>
      <c r="F13626" s="7" t="n">
        <v>134.660003662109</v>
      </c>
      <c r="G13626" s="7" t="n">
        <v>0</v>
      </c>
      <c r="H13626" s="7" t="n">
        <v>0</v>
      </c>
      <c r="I13626" s="7" t="n">
        <v>0</v>
      </c>
    </row>
    <row r="13627" spans="1:5">
      <c r="A13627" t="s">
        <v>4</v>
      </c>
      <c r="B13627" s="4" t="s">
        <v>5</v>
      </c>
      <c r="C13627" s="4" t="s">
        <v>7</v>
      </c>
      <c r="D13627" s="4" t="s">
        <v>7</v>
      </c>
      <c r="E13627" s="4" t="s">
        <v>13</v>
      </c>
      <c r="F13627" s="4" t="s">
        <v>11</v>
      </c>
    </row>
    <row r="13628" spans="1:5">
      <c r="A13628" t="n">
        <v>127178</v>
      </c>
      <c r="B13628" s="51" t="n">
        <v>45</v>
      </c>
      <c r="C13628" s="7" t="n">
        <v>5</v>
      </c>
      <c r="D13628" s="7" t="n">
        <v>3</v>
      </c>
      <c r="E13628" s="7" t="n">
        <v>1.29999995231628</v>
      </c>
      <c r="F13628" s="7" t="n">
        <v>0</v>
      </c>
    </row>
    <row r="13629" spans="1:5">
      <c r="A13629" t="s">
        <v>4</v>
      </c>
      <c r="B13629" s="4" t="s">
        <v>5</v>
      </c>
      <c r="C13629" s="4" t="s">
        <v>7</v>
      </c>
      <c r="D13629" s="4" t="s">
        <v>7</v>
      </c>
      <c r="E13629" s="4" t="s">
        <v>13</v>
      </c>
      <c r="F13629" s="4" t="s">
        <v>11</v>
      </c>
    </row>
    <row r="13630" spans="1:5">
      <c r="A13630" t="n">
        <v>127187</v>
      </c>
      <c r="B13630" s="51" t="n">
        <v>45</v>
      </c>
      <c r="C13630" s="7" t="n">
        <v>11</v>
      </c>
      <c r="D13630" s="7" t="n">
        <v>3</v>
      </c>
      <c r="E13630" s="7" t="n">
        <v>40.2999992370605</v>
      </c>
      <c r="F13630" s="7" t="n">
        <v>0</v>
      </c>
    </row>
    <row r="13631" spans="1:5">
      <c r="A13631" t="s">
        <v>4</v>
      </c>
      <c r="B13631" s="4" t="s">
        <v>5</v>
      </c>
      <c r="C13631" s="4" t="s">
        <v>7</v>
      </c>
      <c r="D13631" s="4" t="s">
        <v>11</v>
      </c>
    </row>
    <row r="13632" spans="1:5">
      <c r="A13632" t="n">
        <v>127196</v>
      </c>
      <c r="B13632" s="23" t="n">
        <v>58</v>
      </c>
      <c r="C13632" s="7" t="n">
        <v>255</v>
      </c>
      <c r="D13632" s="7" t="n">
        <v>0</v>
      </c>
    </row>
    <row r="13633" spans="1:9">
      <c r="A13633" t="s">
        <v>4</v>
      </c>
      <c r="B13633" s="4" t="s">
        <v>5</v>
      </c>
      <c r="C13633" s="4" t="s">
        <v>7</v>
      </c>
      <c r="D13633" s="4" t="s">
        <v>11</v>
      </c>
      <c r="E13633" s="4" t="s">
        <v>8</v>
      </c>
    </row>
    <row r="13634" spans="1:9">
      <c r="A13634" t="n">
        <v>127200</v>
      </c>
      <c r="B13634" s="38" t="n">
        <v>51</v>
      </c>
      <c r="C13634" s="7" t="n">
        <v>4</v>
      </c>
      <c r="D13634" s="7" t="n">
        <v>6</v>
      </c>
      <c r="E13634" s="7" t="s">
        <v>1080</v>
      </c>
    </row>
    <row r="13635" spans="1:9">
      <c r="A13635" t="s">
        <v>4</v>
      </c>
      <c r="B13635" s="4" t="s">
        <v>5</v>
      </c>
      <c r="C13635" s="4" t="s">
        <v>11</v>
      </c>
    </row>
    <row r="13636" spans="1:9">
      <c r="A13636" t="n">
        <v>127213</v>
      </c>
      <c r="B13636" s="29" t="n">
        <v>16</v>
      </c>
      <c r="C13636" s="7" t="n">
        <v>0</v>
      </c>
    </row>
    <row r="13637" spans="1:9">
      <c r="A13637" t="s">
        <v>4</v>
      </c>
      <c r="B13637" s="4" t="s">
        <v>5</v>
      </c>
      <c r="C13637" s="4" t="s">
        <v>11</v>
      </c>
      <c r="D13637" s="4" t="s">
        <v>7</v>
      </c>
      <c r="E13637" s="4" t="s">
        <v>15</v>
      </c>
      <c r="F13637" s="4" t="s">
        <v>55</v>
      </c>
      <c r="G13637" s="4" t="s">
        <v>7</v>
      </c>
      <c r="H13637" s="4" t="s">
        <v>7</v>
      </c>
      <c r="I13637" s="4" t="s">
        <v>7</v>
      </c>
      <c r="J13637" s="4" t="s">
        <v>15</v>
      </c>
      <c r="K13637" s="4" t="s">
        <v>55</v>
      </c>
      <c r="L13637" s="4" t="s">
        <v>7</v>
      </c>
      <c r="M13637" s="4" t="s">
        <v>7</v>
      </c>
    </row>
    <row r="13638" spans="1:9">
      <c r="A13638" t="n">
        <v>127216</v>
      </c>
      <c r="B13638" s="55" t="n">
        <v>26</v>
      </c>
      <c r="C13638" s="7" t="n">
        <v>6</v>
      </c>
      <c r="D13638" s="7" t="n">
        <v>17</v>
      </c>
      <c r="E13638" s="7" t="n">
        <v>64184</v>
      </c>
      <c r="F13638" s="7" t="s">
        <v>1081</v>
      </c>
      <c r="G13638" s="7" t="n">
        <v>2</v>
      </c>
      <c r="H13638" s="7" t="n">
        <v>3</v>
      </c>
      <c r="I13638" s="7" t="n">
        <v>17</v>
      </c>
      <c r="J13638" s="7" t="n">
        <v>64185</v>
      </c>
      <c r="K13638" s="7" t="s">
        <v>1082</v>
      </c>
      <c r="L13638" s="7" t="n">
        <v>2</v>
      </c>
      <c r="M13638" s="7" t="n">
        <v>0</v>
      </c>
    </row>
    <row r="13639" spans="1:9">
      <c r="A13639" t="s">
        <v>4</v>
      </c>
      <c r="B13639" s="4" t="s">
        <v>5</v>
      </c>
    </row>
    <row r="13640" spans="1:9">
      <c r="A13640" t="n">
        <v>127405</v>
      </c>
      <c r="B13640" s="27" t="n">
        <v>28</v>
      </c>
    </row>
    <row r="13641" spans="1:9">
      <c r="A13641" t="s">
        <v>4</v>
      </c>
      <c r="B13641" s="4" t="s">
        <v>5</v>
      </c>
      <c r="C13641" s="4" t="s">
        <v>7</v>
      </c>
      <c r="D13641" s="4" t="s">
        <v>11</v>
      </c>
      <c r="E13641" s="4" t="s">
        <v>8</v>
      </c>
    </row>
    <row r="13642" spans="1:9">
      <c r="A13642" t="n">
        <v>127406</v>
      </c>
      <c r="B13642" s="38" t="n">
        <v>51</v>
      </c>
      <c r="C13642" s="7" t="n">
        <v>4</v>
      </c>
      <c r="D13642" s="7" t="n">
        <v>0</v>
      </c>
      <c r="E13642" s="7" t="s">
        <v>173</v>
      </c>
    </row>
    <row r="13643" spans="1:9">
      <c r="A13643" t="s">
        <v>4</v>
      </c>
      <c r="B13643" s="4" t="s">
        <v>5</v>
      </c>
      <c r="C13643" s="4" t="s">
        <v>11</v>
      </c>
    </row>
    <row r="13644" spans="1:9">
      <c r="A13644" t="n">
        <v>127419</v>
      </c>
      <c r="B13644" s="29" t="n">
        <v>16</v>
      </c>
      <c r="C13644" s="7" t="n">
        <v>0</v>
      </c>
    </row>
    <row r="13645" spans="1:9">
      <c r="A13645" t="s">
        <v>4</v>
      </c>
      <c r="B13645" s="4" t="s">
        <v>5</v>
      </c>
      <c r="C13645" s="4" t="s">
        <v>11</v>
      </c>
      <c r="D13645" s="4" t="s">
        <v>7</v>
      </c>
      <c r="E13645" s="4" t="s">
        <v>15</v>
      </c>
      <c r="F13645" s="4" t="s">
        <v>55</v>
      </c>
      <c r="G13645" s="4" t="s">
        <v>7</v>
      </c>
      <c r="H13645" s="4" t="s">
        <v>7</v>
      </c>
      <c r="I13645" s="4" t="s">
        <v>7</v>
      </c>
      <c r="J13645" s="4" t="s">
        <v>15</v>
      </c>
      <c r="K13645" s="4" t="s">
        <v>55</v>
      </c>
      <c r="L13645" s="4" t="s">
        <v>7</v>
      </c>
      <c r="M13645" s="4" t="s">
        <v>7</v>
      </c>
    </row>
    <row r="13646" spans="1:9">
      <c r="A13646" t="n">
        <v>127422</v>
      </c>
      <c r="B13646" s="55" t="n">
        <v>26</v>
      </c>
      <c r="C13646" s="7" t="n">
        <v>0</v>
      </c>
      <c r="D13646" s="7" t="n">
        <v>17</v>
      </c>
      <c r="E13646" s="7" t="n">
        <v>64186</v>
      </c>
      <c r="F13646" s="7" t="s">
        <v>1083</v>
      </c>
      <c r="G13646" s="7" t="n">
        <v>2</v>
      </c>
      <c r="H13646" s="7" t="n">
        <v>3</v>
      </c>
      <c r="I13646" s="7" t="n">
        <v>17</v>
      </c>
      <c r="J13646" s="7" t="n">
        <v>64187</v>
      </c>
      <c r="K13646" s="7" t="s">
        <v>1084</v>
      </c>
      <c r="L13646" s="7" t="n">
        <v>2</v>
      </c>
      <c r="M13646" s="7" t="n">
        <v>0</v>
      </c>
    </row>
    <row r="13647" spans="1:9">
      <c r="A13647" t="s">
        <v>4</v>
      </c>
      <c r="B13647" s="4" t="s">
        <v>5</v>
      </c>
    </row>
    <row r="13648" spans="1:9">
      <c r="A13648" t="n">
        <v>127627</v>
      </c>
      <c r="B13648" s="27" t="n">
        <v>28</v>
      </c>
    </row>
    <row r="13649" spans="1:13">
      <c r="A13649" t="s">
        <v>4</v>
      </c>
      <c r="B13649" s="4" t="s">
        <v>5</v>
      </c>
      <c r="C13649" s="4" t="s">
        <v>7</v>
      </c>
      <c r="D13649" s="4" t="s">
        <v>11</v>
      </c>
      <c r="E13649" s="4" t="s">
        <v>8</v>
      </c>
    </row>
    <row r="13650" spans="1:13">
      <c r="A13650" t="n">
        <v>127628</v>
      </c>
      <c r="B13650" s="38" t="n">
        <v>51</v>
      </c>
      <c r="C13650" s="7" t="n">
        <v>4</v>
      </c>
      <c r="D13650" s="7" t="n">
        <v>6</v>
      </c>
      <c r="E13650" s="7" t="s">
        <v>137</v>
      </c>
    </row>
    <row r="13651" spans="1:13">
      <c r="A13651" t="s">
        <v>4</v>
      </c>
      <c r="B13651" s="4" t="s">
        <v>5</v>
      </c>
      <c r="C13651" s="4" t="s">
        <v>11</v>
      </c>
    </row>
    <row r="13652" spans="1:13">
      <c r="A13652" t="n">
        <v>127641</v>
      </c>
      <c r="B13652" s="29" t="n">
        <v>16</v>
      </c>
      <c r="C13652" s="7" t="n">
        <v>0</v>
      </c>
    </row>
    <row r="13653" spans="1:13">
      <c r="A13653" t="s">
        <v>4</v>
      </c>
      <c r="B13653" s="4" t="s">
        <v>5</v>
      </c>
      <c r="C13653" s="4" t="s">
        <v>11</v>
      </c>
      <c r="D13653" s="4" t="s">
        <v>7</v>
      </c>
      <c r="E13653" s="4" t="s">
        <v>15</v>
      </c>
      <c r="F13653" s="4" t="s">
        <v>55</v>
      </c>
      <c r="G13653" s="4" t="s">
        <v>7</v>
      </c>
      <c r="H13653" s="4" t="s">
        <v>7</v>
      </c>
      <c r="I13653" s="4" t="s">
        <v>7</v>
      </c>
      <c r="J13653" s="4" t="s">
        <v>15</v>
      </c>
      <c r="K13653" s="4" t="s">
        <v>55</v>
      </c>
      <c r="L13653" s="4" t="s">
        <v>7</v>
      </c>
      <c r="M13653" s="4" t="s">
        <v>7</v>
      </c>
      <c r="N13653" s="4" t="s">
        <v>7</v>
      </c>
      <c r="O13653" s="4" t="s">
        <v>15</v>
      </c>
      <c r="P13653" s="4" t="s">
        <v>55</v>
      </c>
      <c r="Q13653" s="4" t="s">
        <v>7</v>
      </c>
      <c r="R13653" s="4" t="s">
        <v>7</v>
      </c>
    </row>
    <row r="13654" spans="1:13">
      <c r="A13654" t="n">
        <v>127644</v>
      </c>
      <c r="B13654" s="55" t="n">
        <v>26</v>
      </c>
      <c r="C13654" s="7" t="n">
        <v>6</v>
      </c>
      <c r="D13654" s="7" t="n">
        <v>17</v>
      </c>
      <c r="E13654" s="7" t="n">
        <v>64188</v>
      </c>
      <c r="F13654" s="7" t="s">
        <v>1085</v>
      </c>
      <c r="G13654" s="7" t="n">
        <v>2</v>
      </c>
      <c r="H13654" s="7" t="n">
        <v>3</v>
      </c>
      <c r="I13654" s="7" t="n">
        <v>17</v>
      </c>
      <c r="J13654" s="7" t="n">
        <v>64189</v>
      </c>
      <c r="K13654" s="7" t="s">
        <v>1086</v>
      </c>
      <c r="L13654" s="7" t="n">
        <v>2</v>
      </c>
      <c r="M13654" s="7" t="n">
        <v>3</v>
      </c>
      <c r="N13654" s="7" t="n">
        <v>17</v>
      </c>
      <c r="O13654" s="7" t="n">
        <v>64190</v>
      </c>
      <c r="P13654" s="7" t="s">
        <v>1087</v>
      </c>
      <c r="Q13654" s="7" t="n">
        <v>2</v>
      </c>
      <c r="R13654" s="7" t="n">
        <v>0</v>
      </c>
    </row>
    <row r="13655" spans="1:13">
      <c r="A13655" t="s">
        <v>4</v>
      </c>
      <c r="B13655" s="4" t="s">
        <v>5</v>
      </c>
    </row>
    <row r="13656" spans="1:13">
      <c r="A13656" t="n">
        <v>127948</v>
      </c>
      <c r="B13656" s="27" t="n">
        <v>28</v>
      </c>
    </row>
    <row r="13657" spans="1:13">
      <c r="A13657" t="s">
        <v>4</v>
      </c>
      <c r="B13657" s="4" t="s">
        <v>5</v>
      </c>
      <c r="C13657" s="4" t="s">
        <v>7</v>
      </c>
      <c r="D13657" s="4" t="s">
        <v>11</v>
      </c>
      <c r="E13657" s="4" t="s">
        <v>8</v>
      </c>
    </row>
    <row r="13658" spans="1:13">
      <c r="A13658" t="n">
        <v>127949</v>
      </c>
      <c r="B13658" s="38" t="n">
        <v>51</v>
      </c>
      <c r="C13658" s="7" t="n">
        <v>4</v>
      </c>
      <c r="D13658" s="7" t="n">
        <v>0</v>
      </c>
      <c r="E13658" s="7" t="s">
        <v>137</v>
      </c>
    </row>
    <row r="13659" spans="1:13">
      <c r="A13659" t="s">
        <v>4</v>
      </c>
      <c r="B13659" s="4" t="s">
        <v>5</v>
      </c>
      <c r="C13659" s="4" t="s">
        <v>11</v>
      </c>
    </row>
    <row r="13660" spans="1:13">
      <c r="A13660" t="n">
        <v>127962</v>
      </c>
      <c r="B13660" s="29" t="n">
        <v>16</v>
      </c>
      <c r="C13660" s="7" t="n">
        <v>0</v>
      </c>
    </row>
    <row r="13661" spans="1:13">
      <c r="A13661" t="s">
        <v>4</v>
      </c>
      <c r="B13661" s="4" t="s">
        <v>5</v>
      </c>
      <c r="C13661" s="4" t="s">
        <v>11</v>
      </c>
      <c r="D13661" s="4" t="s">
        <v>7</v>
      </c>
      <c r="E13661" s="4" t="s">
        <v>15</v>
      </c>
      <c r="F13661" s="4" t="s">
        <v>55</v>
      </c>
      <c r="G13661" s="4" t="s">
        <v>7</v>
      </c>
      <c r="H13661" s="4" t="s">
        <v>7</v>
      </c>
    </row>
    <row r="13662" spans="1:13">
      <c r="A13662" t="n">
        <v>127965</v>
      </c>
      <c r="B13662" s="55" t="n">
        <v>26</v>
      </c>
      <c r="C13662" s="7" t="n">
        <v>0</v>
      </c>
      <c r="D13662" s="7" t="n">
        <v>17</v>
      </c>
      <c r="E13662" s="7" t="n">
        <v>64191</v>
      </c>
      <c r="F13662" s="7" t="s">
        <v>1088</v>
      </c>
      <c r="G13662" s="7" t="n">
        <v>2</v>
      </c>
      <c r="H13662" s="7" t="n">
        <v>0</v>
      </c>
    </row>
    <row r="13663" spans="1:13">
      <c r="A13663" t="s">
        <v>4</v>
      </c>
      <c r="B13663" s="4" t="s">
        <v>5</v>
      </c>
    </row>
    <row r="13664" spans="1:13">
      <c r="A13664" t="n">
        <v>128000</v>
      </c>
      <c r="B13664" s="27" t="n">
        <v>28</v>
      </c>
    </row>
    <row r="13665" spans="1:18">
      <c r="A13665" t="s">
        <v>4</v>
      </c>
      <c r="B13665" s="4" t="s">
        <v>5</v>
      </c>
      <c r="C13665" s="4" t="s">
        <v>7</v>
      </c>
      <c r="D13665" s="4" t="s">
        <v>11</v>
      </c>
      <c r="E13665" s="4" t="s">
        <v>8</v>
      </c>
    </row>
    <row r="13666" spans="1:18">
      <c r="A13666" t="n">
        <v>128001</v>
      </c>
      <c r="B13666" s="38" t="n">
        <v>51</v>
      </c>
      <c r="C13666" s="7" t="n">
        <v>4</v>
      </c>
      <c r="D13666" s="7" t="n">
        <v>6</v>
      </c>
      <c r="E13666" s="7" t="s">
        <v>470</v>
      </c>
    </row>
    <row r="13667" spans="1:18">
      <c r="A13667" t="s">
        <v>4</v>
      </c>
      <c r="B13667" s="4" t="s">
        <v>5</v>
      </c>
      <c r="C13667" s="4" t="s">
        <v>11</v>
      </c>
    </row>
    <row r="13668" spans="1:18">
      <c r="A13668" t="n">
        <v>128015</v>
      </c>
      <c r="B13668" s="29" t="n">
        <v>16</v>
      </c>
      <c r="C13668" s="7" t="n">
        <v>0</v>
      </c>
    </row>
    <row r="13669" spans="1:18">
      <c r="A13669" t="s">
        <v>4</v>
      </c>
      <c r="B13669" s="4" t="s">
        <v>5</v>
      </c>
      <c r="C13669" s="4" t="s">
        <v>11</v>
      </c>
      <c r="D13669" s="4" t="s">
        <v>7</v>
      </c>
      <c r="E13669" s="4" t="s">
        <v>15</v>
      </c>
      <c r="F13669" s="4" t="s">
        <v>55</v>
      </c>
      <c r="G13669" s="4" t="s">
        <v>7</v>
      </c>
      <c r="H13669" s="4" t="s">
        <v>7</v>
      </c>
      <c r="I13669" s="4" t="s">
        <v>7</v>
      </c>
      <c r="J13669" s="4" t="s">
        <v>15</v>
      </c>
      <c r="K13669" s="4" t="s">
        <v>55</v>
      </c>
      <c r="L13669" s="4" t="s">
        <v>7</v>
      </c>
      <c r="M13669" s="4" t="s">
        <v>7</v>
      </c>
      <c r="N13669" s="4" t="s">
        <v>7</v>
      </c>
      <c r="O13669" s="4" t="s">
        <v>15</v>
      </c>
      <c r="P13669" s="4" t="s">
        <v>55</v>
      </c>
      <c r="Q13669" s="4" t="s">
        <v>7</v>
      </c>
      <c r="R13669" s="4" t="s">
        <v>7</v>
      </c>
      <c r="S13669" s="4" t="s">
        <v>7</v>
      </c>
      <c r="T13669" s="4" t="s">
        <v>15</v>
      </c>
      <c r="U13669" s="4" t="s">
        <v>55</v>
      </c>
      <c r="V13669" s="4" t="s">
        <v>7</v>
      </c>
      <c r="W13669" s="4" t="s">
        <v>7</v>
      </c>
    </row>
    <row r="13670" spans="1:18">
      <c r="A13670" t="n">
        <v>128018</v>
      </c>
      <c r="B13670" s="55" t="n">
        <v>26</v>
      </c>
      <c r="C13670" s="7" t="n">
        <v>6</v>
      </c>
      <c r="D13670" s="7" t="n">
        <v>17</v>
      </c>
      <c r="E13670" s="7" t="n">
        <v>64192</v>
      </c>
      <c r="F13670" s="7" t="s">
        <v>1089</v>
      </c>
      <c r="G13670" s="7" t="n">
        <v>2</v>
      </c>
      <c r="H13670" s="7" t="n">
        <v>3</v>
      </c>
      <c r="I13670" s="7" t="n">
        <v>17</v>
      </c>
      <c r="J13670" s="7" t="n">
        <v>64193</v>
      </c>
      <c r="K13670" s="7" t="s">
        <v>1090</v>
      </c>
      <c r="L13670" s="7" t="n">
        <v>2</v>
      </c>
      <c r="M13670" s="7" t="n">
        <v>3</v>
      </c>
      <c r="N13670" s="7" t="n">
        <v>17</v>
      </c>
      <c r="O13670" s="7" t="n">
        <v>64194</v>
      </c>
      <c r="P13670" s="7" t="s">
        <v>1091</v>
      </c>
      <c r="Q13670" s="7" t="n">
        <v>2</v>
      </c>
      <c r="R13670" s="7" t="n">
        <v>3</v>
      </c>
      <c r="S13670" s="7" t="n">
        <v>17</v>
      </c>
      <c r="T13670" s="7" t="n">
        <v>64195</v>
      </c>
      <c r="U13670" s="7" t="s">
        <v>1092</v>
      </c>
      <c r="V13670" s="7" t="n">
        <v>2</v>
      </c>
      <c r="W13670" s="7" t="n">
        <v>0</v>
      </c>
    </row>
    <row r="13671" spans="1:18">
      <c r="A13671" t="s">
        <v>4</v>
      </c>
      <c r="B13671" s="4" t="s">
        <v>5</v>
      </c>
    </row>
    <row r="13672" spans="1:18">
      <c r="A13672" t="n">
        <v>128392</v>
      </c>
      <c r="B13672" s="27" t="n">
        <v>28</v>
      </c>
    </row>
    <row r="13673" spans="1:18">
      <c r="A13673" t="s">
        <v>4</v>
      </c>
      <c r="B13673" s="4" t="s">
        <v>5</v>
      </c>
      <c r="C13673" s="4" t="s">
        <v>7</v>
      </c>
      <c r="D13673" s="4" t="s">
        <v>11</v>
      </c>
      <c r="E13673" s="4" t="s">
        <v>8</v>
      </c>
    </row>
    <row r="13674" spans="1:18">
      <c r="A13674" t="n">
        <v>128393</v>
      </c>
      <c r="B13674" s="38" t="n">
        <v>51</v>
      </c>
      <c r="C13674" s="7" t="n">
        <v>4</v>
      </c>
      <c r="D13674" s="7" t="n">
        <v>0</v>
      </c>
      <c r="E13674" s="7" t="s">
        <v>242</v>
      </c>
    </row>
    <row r="13675" spans="1:18">
      <c r="A13675" t="s">
        <v>4</v>
      </c>
      <c r="B13675" s="4" t="s">
        <v>5</v>
      </c>
      <c r="C13675" s="4" t="s">
        <v>11</v>
      </c>
    </row>
    <row r="13676" spans="1:18">
      <c r="A13676" t="n">
        <v>128407</v>
      </c>
      <c r="B13676" s="29" t="n">
        <v>16</v>
      </c>
      <c r="C13676" s="7" t="n">
        <v>0</v>
      </c>
    </row>
    <row r="13677" spans="1:18">
      <c r="A13677" t="s">
        <v>4</v>
      </c>
      <c r="B13677" s="4" t="s">
        <v>5</v>
      </c>
      <c r="C13677" s="4" t="s">
        <v>11</v>
      </c>
      <c r="D13677" s="4" t="s">
        <v>7</v>
      </c>
      <c r="E13677" s="4" t="s">
        <v>15</v>
      </c>
      <c r="F13677" s="4" t="s">
        <v>55</v>
      </c>
      <c r="G13677" s="4" t="s">
        <v>7</v>
      </c>
      <c r="H13677" s="4" t="s">
        <v>7</v>
      </c>
      <c r="I13677" s="4" t="s">
        <v>7</v>
      </c>
      <c r="J13677" s="4" t="s">
        <v>15</v>
      </c>
      <c r="K13677" s="4" t="s">
        <v>55</v>
      </c>
      <c r="L13677" s="4" t="s">
        <v>7</v>
      </c>
      <c r="M13677" s="4" t="s">
        <v>7</v>
      </c>
      <c r="N13677" s="4" t="s">
        <v>7</v>
      </c>
      <c r="O13677" s="4" t="s">
        <v>15</v>
      </c>
      <c r="P13677" s="4" t="s">
        <v>55</v>
      </c>
      <c r="Q13677" s="4" t="s">
        <v>7</v>
      </c>
      <c r="R13677" s="4" t="s">
        <v>7</v>
      </c>
      <c r="S13677" s="4" t="s">
        <v>7</v>
      </c>
      <c r="T13677" s="4" t="s">
        <v>15</v>
      </c>
      <c r="U13677" s="4" t="s">
        <v>55</v>
      </c>
      <c r="V13677" s="4" t="s">
        <v>7</v>
      </c>
      <c r="W13677" s="4" t="s">
        <v>7</v>
      </c>
    </row>
    <row r="13678" spans="1:18">
      <c r="A13678" t="n">
        <v>128410</v>
      </c>
      <c r="B13678" s="55" t="n">
        <v>26</v>
      </c>
      <c r="C13678" s="7" t="n">
        <v>0</v>
      </c>
      <c r="D13678" s="7" t="n">
        <v>17</v>
      </c>
      <c r="E13678" s="7" t="n">
        <v>64196</v>
      </c>
      <c r="F13678" s="7" t="s">
        <v>1093</v>
      </c>
      <c r="G13678" s="7" t="n">
        <v>2</v>
      </c>
      <c r="H13678" s="7" t="n">
        <v>3</v>
      </c>
      <c r="I13678" s="7" t="n">
        <v>17</v>
      </c>
      <c r="J13678" s="7" t="n">
        <v>64197</v>
      </c>
      <c r="K13678" s="7" t="s">
        <v>1094</v>
      </c>
      <c r="L13678" s="7" t="n">
        <v>2</v>
      </c>
      <c r="M13678" s="7" t="n">
        <v>3</v>
      </c>
      <c r="N13678" s="7" t="n">
        <v>17</v>
      </c>
      <c r="O13678" s="7" t="n">
        <v>64198</v>
      </c>
      <c r="P13678" s="7" t="s">
        <v>1095</v>
      </c>
      <c r="Q13678" s="7" t="n">
        <v>2</v>
      </c>
      <c r="R13678" s="7" t="n">
        <v>3</v>
      </c>
      <c r="S13678" s="7" t="n">
        <v>17</v>
      </c>
      <c r="T13678" s="7" t="n">
        <v>64199</v>
      </c>
      <c r="U13678" s="7" t="s">
        <v>1096</v>
      </c>
      <c r="V13678" s="7" t="n">
        <v>2</v>
      </c>
      <c r="W13678" s="7" t="n">
        <v>0</v>
      </c>
    </row>
    <row r="13679" spans="1:18">
      <c r="A13679" t="s">
        <v>4</v>
      </c>
      <c r="B13679" s="4" t="s">
        <v>5</v>
      </c>
    </row>
    <row r="13680" spans="1:18">
      <c r="A13680" t="n">
        <v>128776</v>
      </c>
      <c r="B13680" s="27" t="n">
        <v>28</v>
      </c>
    </row>
    <row r="13681" spans="1:23">
      <c r="A13681" t="s">
        <v>4</v>
      </c>
      <c r="B13681" s="4" t="s">
        <v>5</v>
      </c>
      <c r="C13681" s="4" t="s">
        <v>7</v>
      </c>
      <c r="D13681" s="4" t="s">
        <v>11</v>
      </c>
      <c r="E13681" s="4" t="s">
        <v>8</v>
      </c>
    </row>
    <row r="13682" spans="1:23">
      <c r="A13682" t="n">
        <v>128777</v>
      </c>
      <c r="B13682" s="38" t="n">
        <v>51</v>
      </c>
      <c r="C13682" s="7" t="n">
        <v>4</v>
      </c>
      <c r="D13682" s="7" t="n">
        <v>6</v>
      </c>
      <c r="E13682" s="7" t="s">
        <v>242</v>
      </c>
    </row>
    <row r="13683" spans="1:23">
      <c r="A13683" t="s">
        <v>4</v>
      </c>
      <c r="B13683" s="4" t="s">
        <v>5</v>
      </c>
      <c r="C13683" s="4" t="s">
        <v>11</v>
      </c>
    </row>
    <row r="13684" spans="1:23">
      <c r="A13684" t="n">
        <v>128791</v>
      </c>
      <c r="B13684" s="29" t="n">
        <v>16</v>
      </c>
      <c r="C13684" s="7" t="n">
        <v>0</v>
      </c>
    </row>
    <row r="13685" spans="1:23">
      <c r="A13685" t="s">
        <v>4</v>
      </c>
      <c r="B13685" s="4" t="s">
        <v>5</v>
      </c>
      <c r="C13685" s="4" t="s">
        <v>11</v>
      </c>
      <c r="D13685" s="4" t="s">
        <v>7</v>
      </c>
      <c r="E13685" s="4" t="s">
        <v>15</v>
      </c>
      <c r="F13685" s="4" t="s">
        <v>55</v>
      </c>
      <c r="G13685" s="4" t="s">
        <v>7</v>
      </c>
      <c r="H13685" s="4" t="s">
        <v>7</v>
      </c>
      <c r="I13685" s="4" t="s">
        <v>7</v>
      </c>
      <c r="J13685" s="4" t="s">
        <v>15</v>
      </c>
      <c r="K13685" s="4" t="s">
        <v>55</v>
      </c>
      <c r="L13685" s="4" t="s">
        <v>7</v>
      </c>
      <c r="M13685" s="4" t="s">
        <v>7</v>
      </c>
      <c r="N13685" s="4" t="s">
        <v>7</v>
      </c>
      <c r="O13685" s="4" t="s">
        <v>15</v>
      </c>
      <c r="P13685" s="4" t="s">
        <v>55</v>
      </c>
      <c r="Q13685" s="4" t="s">
        <v>7</v>
      </c>
      <c r="R13685" s="4" t="s">
        <v>7</v>
      </c>
    </row>
    <row r="13686" spans="1:23">
      <c r="A13686" t="n">
        <v>128794</v>
      </c>
      <c r="B13686" s="55" t="n">
        <v>26</v>
      </c>
      <c r="C13686" s="7" t="n">
        <v>6</v>
      </c>
      <c r="D13686" s="7" t="n">
        <v>17</v>
      </c>
      <c r="E13686" s="7" t="n">
        <v>64200</v>
      </c>
      <c r="F13686" s="7" t="s">
        <v>1097</v>
      </c>
      <c r="G13686" s="7" t="n">
        <v>2</v>
      </c>
      <c r="H13686" s="7" t="n">
        <v>3</v>
      </c>
      <c r="I13686" s="7" t="n">
        <v>17</v>
      </c>
      <c r="J13686" s="7" t="n">
        <v>64201</v>
      </c>
      <c r="K13686" s="7" t="s">
        <v>1098</v>
      </c>
      <c r="L13686" s="7" t="n">
        <v>2</v>
      </c>
      <c r="M13686" s="7" t="n">
        <v>3</v>
      </c>
      <c r="N13686" s="7" t="n">
        <v>17</v>
      </c>
      <c r="O13686" s="7" t="n">
        <v>64202</v>
      </c>
      <c r="P13686" s="7" t="s">
        <v>1099</v>
      </c>
      <c r="Q13686" s="7" t="n">
        <v>2</v>
      </c>
      <c r="R13686" s="7" t="n">
        <v>0</v>
      </c>
    </row>
    <row r="13687" spans="1:23">
      <c r="A13687" t="s">
        <v>4</v>
      </c>
      <c r="B13687" s="4" t="s">
        <v>5</v>
      </c>
    </row>
    <row r="13688" spans="1:23">
      <c r="A13688" t="n">
        <v>128978</v>
      </c>
      <c r="B13688" s="27" t="n">
        <v>28</v>
      </c>
    </row>
    <row r="13689" spans="1:23">
      <c r="A13689" t="s">
        <v>4</v>
      </c>
      <c r="B13689" s="4" t="s">
        <v>5</v>
      </c>
      <c r="C13689" s="4" t="s">
        <v>7</v>
      </c>
      <c r="D13689" s="4" t="s">
        <v>11</v>
      </c>
      <c r="E13689" s="4" t="s">
        <v>7</v>
      </c>
    </row>
    <row r="13690" spans="1:23">
      <c r="A13690" t="n">
        <v>128979</v>
      </c>
      <c r="B13690" s="13" t="n">
        <v>49</v>
      </c>
      <c r="C13690" s="7" t="n">
        <v>1</v>
      </c>
      <c r="D13690" s="7" t="n">
        <v>3000</v>
      </c>
      <c r="E13690" s="7" t="n">
        <v>0</v>
      </c>
    </row>
    <row r="13691" spans="1:23">
      <c r="A13691" t="s">
        <v>4</v>
      </c>
      <c r="B13691" s="4" t="s">
        <v>5</v>
      </c>
      <c r="C13691" s="4" t="s">
        <v>7</v>
      </c>
      <c r="D13691" s="4" t="s">
        <v>11</v>
      </c>
      <c r="E13691" s="4" t="s">
        <v>8</v>
      </c>
      <c r="F13691" s="4" t="s">
        <v>8</v>
      </c>
      <c r="G13691" s="4" t="s">
        <v>8</v>
      </c>
      <c r="H13691" s="4" t="s">
        <v>8</v>
      </c>
    </row>
    <row r="13692" spans="1:23">
      <c r="A13692" t="n">
        <v>128984</v>
      </c>
      <c r="B13692" s="38" t="n">
        <v>51</v>
      </c>
      <c r="C13692" s="7" t="n">
        <v>3</v>
      </c>
      <c r="D13692" s="7" t="n">
        <v>6</v>
      </c>
      <c r="E13692" s="7" t="s">
        <v>86</v>
      </c>
      <c r="F13692" s="7" t="s">
        <v>79</v>
      </c>
      <c r="G13692" s="7" t="s">
        <v>78</v>
      </c>
      <c r="H13692" s="7" t="s">
        <v>79</v>
      </c>
    </row>
    <row r="13693" spans="1:23">
      <c r="A13693" t="s">
        <v>4</v>
      </c>
      <c r="B13693" s="4" t="s">
        <v>5</v>
      </c>
      <c r="C13693" s="4" t="s">
        <v>11</v>
      </c>
      <c r="D13693" s="4" t="s">
        <v>7</v>
      </c>
      <c r="E13693" s="4" t="s">
        <v>13</v>
      </c>
      <c r="F13693" s="4" t="s">
        <v>11</v>
      </c>
    </row>
    <row r="13694" spans="1:23">
      <c r="A13694" t="n">
        <v>128997</v>
      </c>
      <c r="B13694" s="56" t="n">
        <v>59</v>
      </c>
      <c r="C13694" s="7" t="n">
        <v>6</v>
      </c>
      <c r="D13694" s="7" t="n">
        <v>9</v>
      </c>
      <c r="E13694" s="7" t="n">
        <v>0.150000005960464</v>
      </c>
      <c r="F13694" s="7" t="n">
        <v>0</v>
      </c>
    </row>
    <row r="13695" spans="1:23">
      <c r="A13695" t="s">
        <v>4</v>
      </c>
      <c r="B13695" s="4" t="s">
        <v>5</v>
      </c>
      <c r="C13695" s="4" t="s">
        <v>11</v>
      </c>
    </row>
    <row r="13696" spans="1:23">
      <c r="A13696" t="n">
        <v>129007</v>
      </c>
      <c r="B13696" s="29" t="n">
        <v>16</v>
      </c>
      <c r="C13696" s="7" t="n">
        <v>1800</v>
      </c>
    </row>
    <row r="13697" spans="1:18">
      <c r="A13697" t="s">
        <v>4</v>
      </c>
      <c r="B13697" s="4" t="s">
        <v>5</v>
      </c>
      <c r="C13697" s="4" t="s">
        <v>7</v>
      </c>
      <c r="D13697" s="4" t="s">
        <v>11</v>
      </c>
      <c r="E13697" s="4" t="s">
        <v>13</v>
      </c>
    </row>
    <row r="13698" spans="1:18">
      <c r="A13698" t="n">
        <v>129010</v>
      </c>
      <c r="B13698" s="23" t="n">
        <v>58</v>
      </c>
      <c r="C13698" s="7" t="n">
        <v>101</v>
      </c>
      <c r="D13698" s="7" t="n">
        <v>800</v>
      </c>
      <c r="E13698" s="7" t="n">
        <v>1</v>
      </c>
    </row>
    <row r="13699" spans="1:18">
      <c r="A13699" t="s">
        <v>4</v>
      </c>
      <c r="B13699" s="4" t="s">
        <v>5</v>
      </c>
      <c r="C13699" s="4" t="s">
        <v>7</v>
      </c>
      <c r="D13699" s="4" t="s">
        <v>11</v>
      </c>
    </row>
    <row r="13700" spans="1:18">
      <c r="A13700" t="n">
        <v>129018</v>
      </c>
      <c r="B13700" s="23" t="n">
        <v>58</v>
      </c>
      <c r="C13700" s="7" t="n">
        <v>254</v>
      </c>
      <c r="D13700" s="7" t="n">
        <v>0</v>
      </c>
    </row>
    <row r="13701" spans="1:18">
      <c r="A13701" t="s">
        <v>4</v>
      </c>
      <c r="B13701" s="4" t="s">
        <v>5</v>
      </c>
      <c r="C13701" s="4" t="s">
        <v>7</v>
      </c>
      <c r="D13701" s="4" t="s">
        <v>7</v>
      </c>
      <c r="E13701" s="4" t="s">
        <v>13</v>
      </c>
      <c r="F13701" s="4" t="s">
        <v>13</v>
      </c>
      <c r="G13701" s="4" t="s">
        <v>13</v>
      </c>
      <c r="H13701" s="4" t="s">
        <v>11</v>
      </c>
    </row>
    <row r="13702" spans="1:18">
      <c r="A13702" t="n">
        <v>129022</v>
      </c>
      <c r="B13702" s="51" t="n">
        <v>45</v>
      </c>
      <c r="C13702" s="7" t="n">
        <v>2</v>
      </c>
      <c r="D13702" s="7" t="n">
        <v>3</v>
      </c>
      <c r="E13702" s="7" t="n">
        <v>-7.36999988555908</v>
      </c>
      <c r="F13702" s="7" t="n">
        <v>6.51999998092651</v>
      </c>
      <c r="G13702" s="7" t="n">
        <v>29.8299999237061</v>
      </c>
      <c r="H13702" s="7" t="n">
        <v>0</v>
      </c>
    </row>
    <row r="13703" spans="1:18">
      <c r="A13703" t="s">
        <v>4</v>
      </c>
      <c r="B13703" s="4" t="s">
        <v>5</v>
      </c>
      <c r="C13703" s="4" t="s">
        <v>7</v>
      </c>
      <c r="D13703" s="4" t="s">
        <v>7</v>
      </c>
      <c r="E13703" s="4" t="s">
        <v>13</v>
      </c>
      <c r="F13703" s="4" t="s">
        <v>13</v>
      </c>
      <c r="G13703" s="4" t="s">
        <v>13</v>
      </c>
      <c r="H13703" s="4" t="s">
        <v>11</v>
      </c>
      <c r="I13703" s="4" t="s">
        <v>7</v>
      </c>
    </row>
    <row r="13704" spans="1:18">
      <c r="A13704" t="n">
        <v>129039</v>
      </c>
      <c r="B13704" s="51" t="n">
        <v>45</v>
      </c>
      <c r="C13704" s="7" t="n">
        <v>4</v>
      </c>
      <c r="D13704" s="7" t="n">
        <v>3</v>
      </c>
      <c r="E13704" s="7" t="n">
        <v>356.940002441406</v>
      </c>
      <c r="F13704" s="7" t="n">
        <v>63.8499984741211</v>
      </c>
      <c r="G13704" s="7" t="n">
        <v>356</v>
      </c>
      <c r="H13704" s="7" t="n">
        <v>0</v>
      </c>
      <c r="I13704" s="7" t="n">
        <v>0</v>
      </c>
    </row>
    <row r="13705" spans="1:18">
      <c r="A13705" t="s">
        <v>4</v>
      </c>
      <c r="B13705" s="4" t="s">
        <v>5</v>
      </c>
      <c r="C13705" s="4" t="s">
        <v>7</v>
      </c>
      <c r="D13705" s="4" t="s">
        <v>7</v>
      </c>
      <c r="E13705" s="4" t="s">
        <v>13</v>
      </c>
      <c r="F13705" s="4" t="s">
        <v>11</v>
      </c>
    </row>
    <row r="13706" spans="1:18">
      <c r="A13706" t="n">
        <v>129057</v>
      </c>
      <c r="B13706" s="51" t="n">
        <v>45</v>
      </c>
      <c r="C13706" s="7" t="n">
        <v>5</v>
      </c>
      <c r="D13706" s="7" t="n">
        <v>3</v>
      </c>
      <c r="E13706" s="7" t="n">
        <v>0.800000011920929</v>
      </c>
      <c r="F13706" s="7" t="n">
        <v>0</v>
      </c>
    </row>
    <row r="13707" spans="1:18">
      <c r="A13707" t="s">
        <v>4</v>
      </c>
      <c r="B13707" s="4" t="s">
        <v>5</v>
      </c>
      <c r="C13707" s="4" t="s">
        <v>7</v>
      </c>
      <c r="D13707" s="4" t="s">
        <v>7</v>
      </c>
      <c r="E13707" s="4" t="s">
        <v>13</v>
      </c>
      <c r="F13707" s="4" t="s">
        <v>11</v>
      </c>
    </row>
    <row r="13708" spans="1:18">
      <c r="A13708" t="n">
        <v>129066</v>
      </c>
      <c r="B13708" s="51" t="n">
        <v>45</v>
      </c>
      <c r="C13708" s="7" t="n">
        <v>11</v>
      </c>
      <c r="D13708" s="7" t="n">
        <v>3</v>
      </c>
      <c r="E13708" s="7" t="n">
        <v>40.2999992370605</v>
      </c>
      <c r="F13708" s="7" t="n">
        <v>0</v>
      </c>
    </row>
    <row r="13709" spans="1:18">
      <c r="A13709" t="s">
        <v>4</v>
      </c>
      <c r="B13709" s="4" t="s">
        <v>5</v>
      </c>
      <c r="C13709" s="4" t="s">
        <v>7</v>
      </c>
    </row>
    <row r="13710" spans="1:18">
      <c r="A13710" t="n">
        <v>129075</v>
      </c>
      <c r="B13710" s="49" t="n">
        <v>116</v>
      </c>
      <c r="C13710" s="7" t="n">
        <v>0</v>
      </c>
    </row>
    <row r="13711" spans="1:18">
      <c r="A13711" t="s">
        <v>4</v>
      </c>
      <c r="B13711" s="4" t="s">
        <v>5</v>
      </c>
      <c r="C13711" s="4" t="s">
        <v>7</v>
      </c>
      <c r="D13711" s="4" t="s">
        <v>11</v>
      </c>
    </row>
    <row r="13712" spans="1:18">
      <c r="A13712" t="n">
        <v>129077</v>
      </c>
      <c r="B13712" s="49" t="n">
        <v>116</v>
      </c>
      <c r="C13712" s="7" t="n">
        <v>2</v>
      </c>
      <c r="D13712" s="7" t="n">
        <v>1</v>
      </c>
    </row>
    <row r="13713" spans="1:9">
      <c r="A13713" t="s">
        <v>4</v>
      </c>
      <c r="B13713" s="4" t="s">
        <v>5</v>
      </c>
      <c r="C13713" s="4" t="s">
        <v>7</v>
      </c>
      <c r="D13713" s="4" t="s">
        <v>15</v>
      </c>
    </row>
    <row r="13714" spans="1:9">
      <c r="A13714" t="n">
        <v>129081</v>
      </c>
      <c r="B13714" s="49" t="n">
        <v>116</v>
      </c>
      <c r="C13714" s="7" t="n">
        <v>5</v>
      </c>
      <c r="D13714" s="7" t="n">
        <v>1077936128</v>
      </c>
    </row>
    <row r="13715" spans="1:9">
      <c r="A13715" t="s">
        <v>4</v>
      </c>
      <c r="B13715" s="4" t="s">
        <v>5</v>
      </c>
      <c r="C13715" s="4" t="s">
        <v>7</v>
      </c>
      <c r="D13715" s="4" t="s">
        <v>11</v>
      </c>
    </row>
    <row r="13716" spans="1:9">
      <c r="A13716" t="n">
        <v>129087</v>
      </c>
      <c r="B13716" s="49" t="n">
        <v>116</v>
      </c>
      <c r="C13716" s="7" t="n">
        <v>6</v>
      </c>
      <c r="D13716" s="7" t="n">
        <v>1</v>
      </c>
    </row>
    <row r="13717" spans="1:9">
      <c r="A13717" t="s">
        <v>4</v>
      </c>
      <c r="B13717" s="4" t="s">
        <v>5</v>
      </c>
      <c r="C13717" s="4" t="s">
        <v>7</v>
      </c>
      <c r="D13717" s="4" t="s">
        <v>11</v>
      </c>
      <c r="E13717" s="4" t="s">
        <v>8</v>
      </c>
      <c r="F13717" s="4" t="s">
        <v>8</v>
      </c>
      <c r="G13717" s="4" t="s">
        <v>8</v>
      </c>
      <c r="H13717" s="4" t="s">
        <v>8</v>
      </c>
    </row>
    <row r="13718" spans="1:9">
      <c r="A13718" t="n">
        <v>129091</v>
      </c>
      <c r="B13718" s="38" t="n">
        <v>51</v>
      </c>
      <c r="C13718" s="7" t="n">
        <v>3</v>
      </c>
      <c r="D13718" s="7" t="n">
        <v>6</v>
      </c>
      <c r="E13718" s="7" t="s">
        <v>86</v>
      </c>
      <c r="F13718" s="7" t="s">
        <v>79</v>
      </c>
      <c r="G13718" s="7" t="s">
        <v>78</v>
      </c>
      <c r="H13718" s="7" t="s">
        <v>79</v>
      </c>
    </row>
    <row r="13719" spans="1:9">
      <c r="A13719" t="s">
        <v>4</v>
      </c>
      <c r="B13719" s="4" t="s">
        <v>5</v>
      </c>
      <c r="C13719" s="4" t="s">
        <v>11</v>
      </c>
      <c r="D13719" s="4" t="s">
        <v>11</v>
      </c>
      <c r="E13719" s="4" t="s">
        <v>13</v>
      </c>
      <c r="F13719" s="4" t="s">
        <v>7</v>
      </c>
    </row>
    <row r="13720" spans="1:9">
      <c r="A13720" t="n">
        <v>129104</v>
      </c>
      <c r="B13720" s="73" t="n">
        <v>53</v>
      </c>
      <c r="C13720" s="7" t="n">
        <v>0</v>
      </c>
      <c r="D13720" s="7" t="n">
        <v>6</v>
      </c>
      <c r="E13720" s="7" t="n">
        <v>0</v>
      </c>
      <c r="F13720" s="7" t="n">
        <v>0</v>
      </c>
    </row>
    <row r="13721" spans="1:9">
      <c r="A13721" t="s">
        <v>4</v>
      </c>
      <c r="B13721" s="4" t="s">
        <v>5</v>
      </c>
      <c r="C13721" s="4" t="s">
        <v>7</v>
      </c>
      <c r="D13721" s="4" t="s">
        <v>11</v>
      </c>
    </row>
    <row r="13722" spans="1:9">
      <c r="A13722" t="n">
        <v>129114</v>
      </c>
      <c r="B13722" s="23" t="n">
        <v>58</v>
      </c>
      <c r="C13722" s="7" t="n">
        <v>255</v>
      </c>
      <c r="D13722" s="7" t="n">
        <v>0</v>
      </c>
    </row>
    <row r="13723" spans="1:9">
      <c r="A13723" t="s">
        <v>4</v>
      </c>
      <c r="B13723" s="4" t="s">
        <v>5</v>
      </c>
      <c r="C13723" s="4" t="s">
        <v>11</v>
      </c>
      <c r="D13723" s="4" t="s">
        <v>11</v>
      </c>
      <c r="E13723" s="4" t="s">
        <v>13</v>
      </c>
      <c r="F13723" s="4" t="s">
        <v>7</v>
      </c>
    </row>
    <row r="13724" spans="1:9">
      <c r="A13724" t="n">
        <v>129118</v>
      </c>
      <c r="B13724" s="73" t="n">
        <v>53</v>
      </c>
      <c r="C13724" s="7" t="n">
        <v>6</v>
      </c>
      <c r="D13724" s="7" t="n">
        <v>0</v>
      </c>
      <c r="E13724" s="7" t="n">
        <v>5</v>
      </c>
      <c r="F13724" s="7" t="n">
        <v>0</v>
      </c>
    </row>
    <row r="13725" spans="1:9">
      <c r="A13725" t="s">
        <v>4</v>
      </c>
      <c r="B13725" s="4" t="s">
        <v>5</v>
      </c>
      <c r="C13725" s="4" t="s">
        <v>11</v>
      </c>
    </row>
    <row r="13726" spans="1:9">
      <c r="A13726" t="n">
        <v>129128</v>
      </c>
      <c r="B13726" s="66" t="n">
        <v>54</v>
      </c>
      <c r="C13726" s="7" t="n">
        <v>6</v>
      </c>
    </row>
    <row r="13727" spans="1:9">
      <c r="A13727" t="s">
        <v>4</v>
      </c>
      <c r="B13727" s="4" t="s">
        <v>5</v>
      </c>
      <c r="C13727" s="4" t="s">
        <v>7</v>
      </c>
      <c r="D13727" s="4" t="s">
        <v>7</v>
      </c>
    </row>
    <row r="13728" spans="1:9">
      <c r="A13728" t="n">
        <v>129131</v>
      </c>
      <c r="B13728" s="13" t="n">
        <v>49</v>
      </c>
      <c r="C13728" s="7" t="n">
        <v>2</v>
      </c>
      <c r="D13728" s="7" t="n">
        <v>0</v>
      </c>
    </row>
    <row r="13729" spans="1:8">
      <c r="A13729" t="s">
        <v>4</v>
      </c>
      <c r="B13729" s="4" t="s">
        <v>5</v>
      </c>
      <c r="C13729" s="4" t="s">
        <v>7</v>
      </c>
      <c r="D13729" s="4" t="s">
        <v>11</v>
      </c>
      <c r="E13729" s="4" t="s">
        <v>15</v>
      </c>
      <c r="F13729" s="4" t="s">
        <v>11</v>
      </c>
      <c r="G13729" s="4" t="s">
        <v>15</v>
      </c>
      <c r="H13729" s="4" t="s">
        <v>7</v>
      </c>
    </row>
    <row r="13730" spans="1:8">
      <c r="A13730" t="n">
        <v>129134</v>
      </c>
      <c r="B13730" s="13" t="n">
        <v>49</v>
      </c>
      <c r="C13730" s="7" t="n">
        <v>0</v>
      </c>
      <c r="D13730" s="7" t="n">
        <v>551</v>
      </c>
      <c r="E13730" s="7" t="n">
        <v>1061997773</v>
      </c>
      <c r="F13730" s="7" t="n">
        <v>0</v>
      </c>
      <c r="G13730" s="7" t="n">
        <v>0</v>
      </c>
      <c r="H13730" s="7" t="n">
        <v>0</v>
      </c>
    </row>
    <row r="13731" spans="1:8">
      <c r="A13731" t="s">
        <v>4</v>
      </c>
      <c r="B13731" s="4" t="s">
        <v>5</v>
      </c>
      <c r="C13731" s="4" t="s">
        <v>7</v>
      </c>
      <c r="D13731" s="4" t="s">
        <v>11</v>
      </c>
    </row>
    <row r="13732" spans="1:8">
      <c r="A13732" t="n">
        <v>129149</v>
      </c>
      <c r="B13732" s="13" t="n">
        <v>49</v>
      </c>
      <c r="C13732" s="7" t="n">
        <v>6</v>
      </c>
      <c r="D13732" s="7" t="n">
        <v>551</v>
      </c>
    </row>
    <row r="13733" spans="1:8">
      <c r="A13733" t="s">
        <v>4</v>
      </c>
      <c r="B13733" s="4" t="s">
        <v>5</v>
      </c>
      <c r="C13733" s="4" t="s">
        <v>11</v>
      </c>
    </row>
    <row r="13734" spans="1:8">
      <c r="A13734" t="n">
        <v>129153</v>
      </c>
      <c r="B13734" s="29" t="n">
        <v>16</v>
      </c>
      <c r="C13734" s="7" t="n">
        <v>500</v>
      </c>
    </row>
    <row r="13735" spans="1:8">
      <c r="A13735" t="s">
        <v>4</v>
      </c>
      <c r="B13735" s="4" t="s">
        <v>5</v>
      </c>
      <c r="C13735" s="4" t="s">
        <v>7</v>
      </c>
      <c r="D13735" s="4" t="s">
        <v>11</v>
      </c>
      <c r="E13735" s="4" t="s">
        <v>8</v>
      </c>
    </row>
    <row r="13736" spans="1:8">
      <c r="A13736" t="n">
        <v>129156</v>
      </c>
      <c r="B13736" s="38" t="n">
        <v>51</v>
      </c>
      <c r="C13736" s="7" t="n">
        <v>4</v>
      </c>
      <c r="D13736" s="7" t="n">
        <v>6</v>
      </c>
      <c r="E13736" s="7" t="s">
        <v>173</v>
      </c>
    </row>
    <row r="13737" spans="1:8">
      <c r="A13737" t="s">
        <v>4</v>
      </c>
      <c r="B13737" s="4" t="s">
        <v>5</v>
      </c>
      <c r="C13737" s="4" t="s">
        <v>11</v>
      </c>
    </row>
    <row r="13738" spans="1:8">
      <c r="A13738" t="n">
        <v>129169</v>
      </c>
      <c r="B13738" s="29" t="n">
        <v>16</v>
      </c>
      <c r="C13738" s="7" t="n">
        <v>0</v>
      </c>
    </row>
    <row r="13739" spans="1:8">
      <c r="A13739" t="s">
        <v>4</v>
      </c>
      <c r="B13739" s="4" t="s">
        <v>5</v>
      </c>
      <c r="C13739" s="4" t="s">
        <v>11</v>
      </c>
      <c r="D13739" s="4" t="s">
        <v>7</v>
      </c>
      <c r="E13739" s="4" t="s">
        <v>15</v>
      </c>
      <c r="F13739" s="4" t="s">
        <v>55</v>
      </c>
      <c r="G13739" s="4" t="s">
        <v>7</v>
      </c>
      <c r="H13739" s="4" t="s">
        <v>7</v>
      </c>
      <c r="I13739" s="4" t="s">
        <v>7</v>
      </c>
      <c r="J13739" s="4" t="s">
        <v>15</v>
      </c>
      <c r="K13739" s="4" t="s">
        <v>55</v>
      </c>
      <c r="L13739" s="4" t="s">
        <v>7</v>
      </c>
      <c r="M13739" s="4" t="s">
        <v>7</v>
      </c>
      <c r="N13739" s="4" t="s">
        <v>7</v>
      </c>
      <c r="O13739" s="4" t="s">
        <v>15</v>
      </c>
      <c r="P13739" s="4" t="s">
        <v>55</v>
      </c>
      <c r="Q13739" s="4" t="s">
        <v>7</v>
      </c>
      <c r="R13739" s="4" t="s">
        <v>7</v>
      </c>
      <c r="S13739" s="4" t="s">
        <v>7</v>
      </c>
      <c r="T13739" s="4" t="s">
        <v>15</v>
      </c>
      <c r="U13739" s="4" t="s">
        <v>55</v>
      </c>
      <c r="V13739" s="4" t="s">
        <v>7</v>
      </c>
      <c r="W13739" s="4" t="s">
        <v>7</v>
      </c>
      <c r="X13739" s="4" t="s">
        <v>7</v>
      </c>
      <c r="Y13739" s="4" t="s">
        <v>15</v>
      </c>
      <c r="Z13739" s="4" t="s">
        <v>55</v>
      </c>
      <c r="AA13739" s="4" t="s">
        <v>7</v>
      </c>
      <c r="AB13739" s="4" t="s">
        <v>7</v>
      </c>
      <c r="AC13739" s="4" t="s">
        <v>7</v>
      </c>
      <c r="AD13739" s="4" t="s">
        <v>15</v>
      </c>
      <c r="AE13739" s="4" t="s">
        <v>55</v>
      </c>
      <c r="AF13739" s="4" t="s">
        <v>7</v>
      </c>
      <c r="AG13739" s="4" t="s">
        <v>7</v>
      </c>
    </row>
    <row r="13740" spans="1:8">
      <c r="A13740" t="n">
        <v>129172</v>
      </c>
      <c r="B13740" s="55" t="n">
        <v>26</v>
      </c>
      <c r="C13740" s="7" t="n">
        <v>6</v>
      </c>
      <c r="D13740" s="7" t="n">
        <v>17</v>
      </c>
      <c r="E13740" s="7" t="n">
        <v>8800</v>
      </c>
      <c r="F13740" s="7" t="s">
        <v>1100</v>
      </c>
      <c r="G13740" s="7" t="n">
        <v>2</v>
      </c>
      <c r="H13740" s="7" t="n">
        <v>3</v>
      </c>
      <c r="I13740" s="7" t="n">
        <v>17</v>
      </c>
      <c r="J13740" s="7" t="n">
        <v>8801</v>
      </c>
      <c r="K13740" s="7" t="s">
        <v>1101</v>
      </c>
      <c r="L13740" s="7" t="n">
        <v>2</v>
      </c>
      <c r="M13740" s="7" t="n">
        <v>3</v>
      </c>
      <c r="N13740" s="7" t="n">
        <v>17</v>
      </c>
      <c r="O13740" s="7" t="n">
        <v>8802</v>
      </c>
      <c r="P13740" s="7" t="s">
        <v>1102</v>
      </c>
      <c r="Q13740" s="7" t="n">
        <v>2</v>
      </c>
      <c r="R13740" s="7" t="n">
        <v>3</v>
      </c>
      <c r="S13740" s="7" t="n">
        <v>17</v>
      </c>
      <c r="T13740" s="7" t="n">
        <v>8803</v>
      </c>
      <c r="U13740" s="7" t="s">
        <v>1103</v>
      </c>
      <c r="V13740" s="7" t="n">
        <v>2</v>
      </c>
      <c r="W13740" s="7" t="n">
        <v>3</v>
      </c>
      <c r="X13740" s="7" t="n">
        <v>17</v>
      </c>
      <c r="Y13740" s="7" t="n">
        <v>8804</v>
      </c>
      <c r="Z13740" s="7" t="s">
        <v>1104</v>
      </c>
      <c r="AA13740" s="7" t="n">
        <v>2</v>
      </c>
      <c r="AB13740" s="7" t="n">
        <v>3</v>
      </c>
      <c r="AC13740" s="7" t="n">
        <v>17</v>
      </c>
      <c r="AD13740" s="7" t="n">
        <v>8805</v>
      </c>
      <c r="AE13740" s="7" t="s">
        <v>1105</v>
      </c>
      <c r="AF13740" s="7" t="n">
        <v>2</v>
      </c>
      <c r="AG13740" s="7" t="n">
        <v>0</v>
      </c>
    </row>
    <row r="13741" spans="1:8">
      <c r="A13741" t="s">
        <v>4</v>
      </c>
      <c r="B13741" s="4" t="s">
        <v>5</v>
      </c>
    </row>
    <row r="13742" spans="1:8">
      <c r="A13742" t="n">
        <v>129830</v>
      </c>
      <c r="B13742" s="27" t="n">
        <v>28</v>
      </c>
    </row>
    <row r="13743" spans="1:8">
      <c r="A13743" t="s">
        <v>4</v>
      </c>
      <c r="B13743" s="4" t="s">
        <v>5</v>
      </c>
      <c r="C13743" s="4" t="s">
        <v>7</v>
      </c>
      <c r="D13743" s="4" t="s">
        <v>11</v>
      </c>
      <c r="E13743" s="4" t="s">
        <v>8</v>
      </c>
    </row>
    <row r="13744" spans="1:8">
      <c r="A13744" t="n">
        <v>129831</v>
      </c>
      <c r="B13744" s="38" t="n">
        <v>51</v>
      </c>
      <c r="C13744" s="7" t="n">
        <v>4</v>
      </c>
      <c r="D13744" s="7" t="n">
        <v>0</v>
      </c>
      <c r="E13744" s="7" t="s">
        <v>206</v>
      </c>
    </row>
    <row r="13745" spans="1:33">
      <c r="A13745" t="s">
        <v>4</v>
      </c>
      <c r="B13745" s="4" t="s">
        <v>5</v>
      </c>
      <c r="C13745" s="4" t="s">
        <v>11</v>
      </c>
    </row>
    <row r="13746" spans="1:33">
      <c r="A13746" t="n">
        <v>129846</v>
      </c>
      <c r="B13746" s="29" t="n">
        <v>16</v>
      </c>
      <c r="C13746" s="7" t="n">
        <v>0</v>
      </c>
    </row>
    <row r="13747" spans="1:33">
      <c r="A13747" t="s">
        <v>4</v>
      </c>
      <c r="B13747" s="4" t="s">
        <v>5</v>
      </c>
      <c r="C13747" s="4" t="s">
        <v>11</v>
      </c>
      <c r="D13747" s="4" t="s">
        <v>7</v>
      </c>
      <c r="E13747" s="4" t="s">
        <v>15</v>
      </c>
      <c r="F13747" s="4" t="s">
        <v>55</v>
      </c>
      <c r="G13747" s="4" t="s">
        <v>7</v>
      </c>
      <c r="H13747" s="4" t="s">
        <v>7</v>
      </c>
    </row>
    <row r="13748" spans="1:33">
      <c r="A13748" t="n">
        <v>129849</v>
      </c>
      <c r="B13748" s="55" t="n">
        <v>26</v>
      </c>
      <c r="C13748" s="7" t="n">
        <v>0</v>
      </c>
      <c r="D13748" s="7" t="n">
        <v>17</v>
      </c>
      <c r="E13748" s="7" t="n">
        <v>64268</v>
      </c>
      <c r="F13748" s="7" t="s">
        <v>446</v>
      </c>
      <c r="G13748" s="7" t="n">
        <v>2</v>
      </c>
      <c r="H13748" s="7" t="n">
        <v>0</v>
      </c>
    </row>
    <row r="13749" spans="1:33">
      <c r="A13749" t="s">
        <v>4</v>
      </c>
      <c r="B13749" s="4" t="s">
        <v>5</v>
      </c>
    </row>
    <row r="13750" spans="1:33">
      <c r="A13750" t="n">
        <v>129865</v>
      </c>
      <c r="B13750" s="27" t="n">
        <v>28</v>
      </c>
    </row>
    <row r="13751" spans="1:33">
      <c r="A13751" t="s">
        <v>4</v>
      </c>
      <c r="B13751" s="4" t="s">
        <v>5</v>
      </c>
      <c r="C13751" s="4" t="s">
        <v>7</v>
      </c>
      <c r="D13751" s="4" t="s">
        <v>11</v>
      </c>
      <c r="E13751" s="4" t="s">
        <v>8</v>
      </c>
    </row>
    <row r="13752" spans="1:33">
      <c r="A13752" t="n">
        <v>129866</v>
      </c>
      <c r="B13752" s="38" t="n">
        <v>51</v>
      </c>
      <c r="C13752" s="7" t="n">
        <v>4</v>
      </c>
      <c r="D13752" s="7" t="n">
        <v>6</v>
      </c>
      <c r="E13752" s="7" t="s">
        <v>235</v>
      </c>
    </row>
    <row r="13753" spans="1:33">
      <c r="A13753" t="s">
        <v>4</v>
      </c>
      <c r="B13753" s="4" t="s">
        <v>5</v>
      </c>
      <c r="C13753" s="4" t="s">
        <v>11</v>
      </c>
    </row>
    <row r="13754" spans="1:33">
      <c r="A13754" t="n">
        <v>129880</v>
      </c>
      <c r="B13754" s="29" t="n">
        <v>16</v>
      </c>
      <c r="C13754" s="7" t="n">
        <v>0</v>
      </c>
    </row>
    <row r="13755" spans="1:33">
      <c r="A13755" t="s">
        <v>4</v>
      </c>
      <c r="B13755" s="4" t="s">
        <v>5</v>
      </c>
      <c r="C13755" s="4" t="s">
        <v>11</v>
      </c>
      <c r="D13755" s="4" t="s">
        <v>7</v>
      </c>
      <c r="E13755" s="4" t="s">
        <v>15</v>
      </c>
      <c r="F13755" s="4" t="s">
        <v>55</v>
      </c>
      <c r="G13755" s="4" t="s">
        <v>7</v>
      </c>
      <c r="H13755" s="4" t="s">
        <v>7</v>
      </c>
      <c r="I13755" s="4" t="s">
        <v>7</v>
      </c>
      <c r="J13755" s="4" t="s">
        <v>15</v>
      </c>
      <c r="K13755" s="4" t="s">
        <v>55</v>
      </c>
      <c r="L13755" s="4" t="s">
        <v>7</v>
      </c>
      <c r="M13755" s="4" t="s">
        <v>7</v>
      </c>
      <c r="N13755" s="4" t="s">
        <v>7</v>
      </c>
      <c r="O13755" s="4" t="s">
        <v>15</v>
      </c>
      <c r="P13755" s="4" t="s">
        <v>55</v>
      </c>
      <c r="Q13755" s="4" t="s">
        <v>7</v>
      </c>
      <c r="R13755" s="4" t="s">
        <v>7</v>
      </c>
      <c r="S13755" s="4" t="s">
        <v>7</v>
      </c>
      <c r="T13755" s="4" t="s">
        <v>15</v>
      </c>
      <c r="U13755" s="4" t="s">
        <v>55</v>
      </c>
      <c r="V13755" s="4" t="s">
        <v>7</v>
      </c>
      <c r="W13755" s="4" t="s">
        <v>7</v>
      </c>
    </row>
    <row r="13756" spans="1:33">
      <c r="A13756" t="n">
        <v>129883</v>
      </c>
      <c r="B13756" s="55" t="n">
        <v>26</v>
      </c>
      <c r="C13756" s="7" t="n">
        <v>6</v>
      </c>
      <c r="D13756" s="7" t="n">
        <v>17</v>
      </c>
      <c r="E13756" s="7" t="n">
        <v>8806</v>
      </c>
      <c r="F13756" s="7" t="s">
        <v>1106</v>
      </c>
      <c r="G13756" s="7" t="n">
        <v>2</v>
      </c>
      <c r="H13756" s="7" t="n">
        <v>3</v>
      </c>
      <c r="I13756" s="7" t="n">
        <v>17</v>
      </c>
      <c r="J13756" s="7" t="n">
        <v>8807</v>
      </c>
      <c r="K13756" s="7" t="s">
        <v>1107</v>
      </c>
      <c r="L13756" s="7" t="n">
        <v>2</v>
      </c>
      <c r="M13756" s="7" t="n">
        <v>3</v>
      </c>
      <c r="N13756" s="7" t="n">
        <v>17</v>
      </c>
      <c r="O13756" s="7" t="n">
        <v>8808</v>
      </c>
      <c r="P13756" s="7" t="s">
        <v>1108</v>
      </c>
      <c r="Q13756" s="7" t="n">
        <v>2</v>
      </c>
      <c r="R13756" s="7" t="n">
        <v>3</v>
      </c>
      <c r="S13756" s="7" t="n">
        <v>17</v>
      </c>
      <c r="T13756" s="7" t="n">
        <v>8809</v>
      </c>
      <c r="U13756" s="7" t="s">
        <v>1109</v>
      </c>
      <c r="V13756" s="7" t="n">
        <v>2</v>
      </c>
      <c r="W13756" s="7" t="n">
        <v>0</v>
      </c>
    </row>
    <row r="13757" spans="1:33">
      <c r="A13757" t="s">
        <v>4</v>
      </c>
      <c r="B13757" s="4" t="s">
        <v>5</v>
      </c>
    </row>
    <row r="13758" spans="1:33">
      <c r="A13758" t="n">
        <v>130321</v>
      </c>
      <c r="B13758" s="27" t="n">
        <v>28</v>
      </c>
    </row>
    <row r="13759" spans="1:33">
      <c r="A13759" t="s">
        <v>4</v>
      </c>
      <c r="B13759" s="4" t="s">
        <v>5</v>
      </c>
      <c r="C13759" s="4" t="s">
        <v>11</v>
      </c>
      <c r="D13759" s="4" t="s">
        <v>7</v>
      </c>
    </row>
    <row r="13760" spans="1:33">
      <c r="A13760" t="n">
        <v>130322</v>
      </c>
      <c r="B13760" s="68" t="n">
        <v>89</v>
      </c>
      <c r="C13760" s="7" t="n">
        <v>65533</v>
      </c>
      <c r="D13760" s="7" t="n">
        <v>1</v>
      </c>
    </row>
    <row r="13761" spans="1:23">
      <c r="A13761" t="s">
        <v>4</v>
      </c>
      <c r="B13761" s="4" t="s">
        <v>5</v>
      </c>
      <c r="C13761" s="4" t="s">
        <v>7</v>
      </c>
      <c r="D13761" s="4" t="s">
        <v>11</v>
      </c>
      <c r="E13761" s="4" t="s">
        <v>13</v>
      </c>
    </row>
    <row r="13762" spans="1:23">
      <c r="A13762" t="n">
        <v>130326</v>
      </c>
      <c r="B13762" s="23" t="n">
        <v>58</v>
      </c>
      <c r="C13762" s="7" t="n">
        <v>101</v>
      </c>
      <c r="D13762" s="7" t="n">
        <v>500</v>
      </c>
      <c r="E13762" s="7" t="n">
        <v>1</v>
      </c>
    </row>
    <row r="13763" spans="1:23">
      <c r="A13763" t="s">
        <v>4</v>
      </c>
      <c r="B13763" s="4" t="s">
        <v>5</v>
      </c>
      <c r="C13763" s="4" t="s">
        <v>7</v>
      </c>
      <c r="D13763" s="4" t="s">
        <v>11</v>
      </c>
    </row>
    <row r="13764" spans="1:23">
      <c r="A13764" t="n">
        <v>130334</v>
      </c>
      <c r="B13764" s="23" t="n">
        <v>58</v>
      </c>
      <c r="C13764" s="7" t="n">
        <v>254</v>
      </c>
      <c r="D13764" s="7" t="n">
        <v>0</v>
      </c>
    </row>
    <row r="13765" spans="1:23">
      <c r="A13765" t="s">
        <v>4</v>
      </c>
      <c r="B13765" s="4" t="s">
        <v>5</v>
      </c>
      <c r="C13765" s="4" t="s">
        <v>7</v>
      </c>
      <c r="D13765" s="4" t="s">
        <v>7</v>
      </c>
      <c r="E13765" s="4" t="s">
        <v>13</v>
      </c>
      <c r="F13765" s="4" t="s">
        <v>13</v>
      </c>
      <c r="G13765" s="4" t="s">
        <v>13</v>
      </c>
      <c r="H13765" s="4" t="s">
        <v>11</v>
      </c>
    </row>
    <row r="13766" spans="1:23">
      <c r="A13766" t="n">
        <v>130338</v>
      </c>
      <c r="B13766" s="51" t="n">
        <v>45</v>
      </c>
      <c r="C13766" s="7" t="n">
        <v>2</v>
      </c>
      <c r="D13766" s="7" t="n">
        <v>3</v>
      </c>
      <c r="E13766" s="7" t="n">
        <v>-6.8899998664856</v>
      </c>
      <c r="F13766" s="7" t="n">
        <v>6.5</v>
      </c>
      <c r="G13766" s="7" t="n">
        <v>29.9400005340576</v>
      </c>
      <c r="H13766" s="7" t="n">
        <v>0</v>
      </c>
    </row>
    <row r="13767" spans="1:23">
      <c r="A13767" t="s">
        <v>4</v>
      </c>
      <c r="B13767" s="4" t="s">
        <v>5</v>
      </c>
      <c r="C13767" s="4" t="s">
        <v>7</v>
      </c>
      <c r="D13767" s="4" t="s">
        <v>7</v>
      </c>
      <c r="E13767" s="4" t="s">
        <v>13</v>
      </c>
      <c r="F13767" s="4" t="s">
        <v>13</v>
      </c>
      <c r="G13767" s="4" t="s">
        <v>13</v>
      </c>
      <c r="H13767" s="4" t="s">
        <v>11</v>
      </c>
      <c r="I13767" s="4" t="s">
        <v>7</v>
      </c>
    </row>
    <row r="13768" spans="1:23">
      <c r="A13768" t="n">
        <v>130355</v>
      </c>
      <c r="B13768" s="51" t="n">
        <v>45</v>
      </c>
      <c r="C13768" s="7" t="n">
        <v>4</v>
      </c>
      <c r="D13768" s="7" t="n">
        <v>3</v>
      </c>
      <c r="E13768" s="7" t="n">
        <v>355.829986572266</v>
      </c>
      <c r="F13768" s="7" t="n">
        <v>50.6699981689453</v>
      </c>
      <c r="G13768" s="7" t="n">
        <v>8</v>
      </c>
      <c r="H13768" s="7" t="n">
        <v>0</v>
      </c>
      <c r="I13768" s="7" t="n">
        <v>0</v>
      </c>
    </row>
    <row r="13769" spans="1:23">
      <c r="A13769" t="s">
        <v>4</v>
      </c>
      <c r="B13769" s="4" t="s">
        <v>5</v>
      </c>
      <c r="C13769" s="4" t="s">
        <v>7</v>
      </c>
      <c r="D13769" s="4" t="s">
        <v>7</v>
      </c>
      <c r="E13769" s="4" t="s">
        <v>13</v>
      </c>
      <c r="F13769" s="4" t="s">
        <v>11</v>
      </c>
    </row>
    <row r="13770" spans="1:23">
      <c r="A13770" t="n">
        <v>130373</v>
      </c>
      <c r="B13770" s="51" t="n">
        <v>45</v>
      </c>
      <c r="C13770" s="7" t="n">
        <v>5</v>
      </c>
      <c r="D13770" s="7" t="n">
        <v>3</v>
      </c>
      <c r="E13770" s="7" t="n">
        <v>1.10000002384186</v>
      </c>
      <c r="F13770" s="7" t="n">
        <v>0</v>
      </c>
    </row>
    <row r="13771" spans="1:23">
      <c r="A13771" t="s">
        <v>4</v>
      </c>
      <c r="B13771" s="4" t="s">
        <v>5</v>
      </c>
      <c r="C13771" s="4" t="s">
        <v>7</v>
      </c>
      <c r="D13771" s="4" t="s">
        <v>7</v>
      </c>
      <c r="E13771" s="4" t="s">
        <v>13</v>
      </c>
      <c r="F13771" s="4" t="s">
        <v>11</v>
      </c>
    </row>
    <row r="13772" spans="1:23">
      <c r="A13772" t="n">
        <v>130382</v>
      </c>
      <c r="B13772" s="51" t="n">
        <v>45</v>
      </c>
      <c r="C13772" s="7" t="n">
        <v>11</v>
      </c>
      <c r="D13772" s="7" t="n">
        <v>3</v>
      </c>
      <c r="E13772" s="7" t="n">
        <v>40.2999992370605</v>
      </c>
      <c r="F13772" s="7" t="n">
        <v>0</v>
      </c>
    </row>
    <row r="13773" spans="1:23">
      <c r="A13773" t="s">
        <v>4</v>
      </c>
      <c r="B13773" s="4" t="s">
        <v>5</v>
      </c>
      <c r="C13773" s="4" t="s">
        <v>7</v>
      </c>
      <c r="D13773" s="4" t="s">
        <v>11</v>
      </c>
    </row>
    <row r="13774" spans="1:23">
      <c r="A13774" t="n">
        <v>130391</v>
      </c>
      <c r="B13774" s="23" t="n">
        <v>58</v>
      </c>
      <c r="C13774" s="7" t="n">
        <v>255</v>
      </c>
      <c r="D13774" s="7" t="n">
        <v>0</v>
      </c>
    </row>
    <row r="13775" spans="1:23">
      <c r="A13775" t="s">
        <v>4</v>
      </c>
      <c r="B13775" s="4" t="s">
        <v>5</v>
      </c>
      <c r="C13775" s="4" t="s">
        <v>7</v>
      </c>
      <c r="D13775" s="4" t="s">
        <v>11</v>
      </c>
      <c r="E13775" s="4" t="s">
        <v>8</v>
      </c>
    </row>
    <row r="13776" spans="1:23">
      <c r="A13776" t="n">
        <v>130395</v>
      </c>
      <c r="B13776" s="38" t="n">
        <v>51</v>
      </c>
      <c r="C13776" s="7" t="n">
        <v>4</v>
      </c>
      <c r="D13776" s="7" t="n">
        <v>0</v>
      </c>
      <c r="E13776" s="7" t="s">
        <v>137</v>
      </c>
    </row>
    <row r="13777" spans="1:9">
      <c r="A13777" t="s">
        <v>4</v>
      </c>
      <c r="B13777" s="4" t="s">
        <v>5</v>
      </c>
      <c r="C13777" s="4" t="s">
        <v>11</v>
      </c>
    </row>
    <row r="13778" spans="1:9">
      <c r="A13778" t="n">
        <v>130408</v>
      </c>
      <c r="B13778" s="29" t="n">
        <v>16</v>
      </c>
      <c r="C13778" s="7" t="n">
        <v>0</v>
      </c>
    </row>
    <row r="13779" spans="1:9">
      <c r="A13779" t="s">
        <v>4</v>
      </c>
      <c r="B13779" s="4" t="s">
        <v>5</v>
      </c>
      <c r="C13779" s="4" t="s">
        <v>11</v>
      </c>
      <c r="D13779" s="4" t="s">
        <v>7</v>
      </c>
      <c r="E13779" s="4" t="s">
        <v>15</v>
      </c>
      <c r="F13779" s="4" t="s">
        <v>55</v>
      </c>
      <c r="G13779" s="4" t="s">
        <v>7</v>
      </c>
      <c r="H13779" s="4" t="s">
        <v>7</v>
      </c>
    </row>
    <row r="13780" spans="1:9">
      <c r="A13780" t="n">
        <v>130411</v>
      </c>
      <c r="B13780" s="55" t="n">
        <v>26</v>
      </c>
      <c r="C13780" s="7" t="n">
        <v>0</v>
      </c>
      <c r="D13780" s="7" t="n">
        <v>17</v>
      </c>
      <c r="E13780" s="7" t="n">
        <v>64203</v>
      </c>
      <c r="F13780" s="7" t="s">
        <v>1110</v>
      </c>
      <c r="G13780" s="7" t="n">
        <v>2</v>
      </c>
      <c r="H13780" s="7" t="n">
        <v>0</v>
      </c>
    </row>
    <row r="13781" spans="1:9">
      <c r="A13781" t="s">
        <v>4</v>
      </c>
      <c r="B13781" s="4" t="s">
        <v>5</v>
      </c>
    </row>
    <row r="13782" spans="1:9">
      <c r="A13782" t="n">
        <v>130438</v>
      </c>
      <c r="B13782" s="27" t="n">
        <v>28</v>
      </c>
    </row>
    <row r="13783" spans="1:9">
      <c r="A13783" t="s">
        <v>4</v>
      </c>
      <c r="B13783" s="4" t="s">
        <v>5</v>
      </c>
      <c r="C13783" s="4" t="s">
        <v>7</v>
      </c>
      <c r="D13783" s="4" t="s">
        <v>11</v>
      </c>
      <c r="E13783" s="4" t="s">
        <v>8</v>
      </c>
    </row>
    <row r="13784" spans="1:9">
      <c r="A13784" t="n">
        <v>130439</v>
      </c>
      <c r="B13784" s="38" t="n">
        <v>51</v>
      </c>
      <c r="C13784" s="7" t="n">
        <v>4</v>
      </c>
      <c r="D13784" s="7" t="n">
        <v>6</v>
      </c>
      <c r="E13784" s="7" t="s">
        <v>574</v>
      </c>
    </row>
    <row r="13785" spans="1:9">
      <c r="A13785" t="s">
        <v>4</v>
      </c>
      <c r="B13785" s="4" t="s">
        <v>5</v>
      </c>
      <c r="C13785" s="4" t="s">
        <v>11</v>
      </c>
    </row>
    <row r="13786" spans="1:9">
      <c r="A13786" t="n">
        <v>130452</v>
      </c>
      <c r="B13786" s="29" t="n">
        <v>16</v>
      </c>
      <c r="C13786" s="7" t="n">
        <v>0</v>
      </c>
    </row>
    <row r="13787" spans="1:9">
      <c r="A13787" t="s">
        <v>4</v>
      </c>
      <c r="B13787" s="4" t="s">
        <v>5</v>
      </c>
      <c r="C13787" s="4" t="s">
        <v>11</v>
      </c>
      <c r="D13787" s="4" t="s">
        <v>7</v>
      </c>
      <c r="E13787" s="4" t="s">
        <v>15</v>
      </c>
      <c r="F13787" s="4" t="s">
        <v>55</v>
      </c>
      <c r="G13787" s="4" t="s">
        <v>7</v>
      </c>
      <c r="H13787" s="4" t="s">
        <v>7</v>
      </c>
      <c r="I13787" s="4" t="s">
        <v>7</v>
      </c>
      <c r="J13787" s="4" t="s">
        <v>15</v>
      </c>
      <c r="K13787" s="4" t="s">
        <v>55</v>
      </c>
      <c r="L13787" s="4" t="s">
        <v>7</v>
      </c>
      <c r="M13787" s="4" t="s">
        <v>7</v>
      </c>
      <c r="N13787" s="4" t="s">
        <v>7</v>
      </c>
      <c r="O13787" s="4" t="s">
        <v>15</v>
      </c>
      <c r="P13787" s="4" t="s">
        <v>55</v>
      </c>
      <c r="Q13787" s="4" t="s">
        <v>7</v>
      </c>
      <c r="R13787" s="4" t="s">
        <v>7</v>
      </c>
      <c r="S13787" s="4" t="s">
        <v>7</v>
      </c>
      <c r="T13787" s="4" t="s">
        <v>15</v>
      </c>
      <c r="U13787" s="4" t="s">
        <v>55</v>
      </c>
      <c r="V13787" s="4" t="s">
        <v>7</v>
      </c>
      <c r="W13787" s="4" t="s">
        <v>7</v>
      </c>
    </row>
    <row r="13788" spans="1:9">
      <c r="A13788" t="n">
        <v>130455</v>
      </c>
      <c r="B13788" s="55" t="n">
        <v>26</v>
      </c>
      <c r="C13788" s="7" t="n">
        <v>6</v>
      </c>
      <c r="D13788" s="7" t="n">
        <v>17</v>
      </c>
      <c r="E13788" s="7" t="n">
        <v>8810</v>
      </c>
      <c r="F13788" s="7" t="s">
        <v>1111</v>
      </c>
      <c r="G13788" s="7" t="n">
        <v>2</v>
      </c>
      <c r="H13788" s="7" t="n">
        <v>3</v>
      </c>
      <c r="I13788" s="7" t="n">
        <v>17</v>
      </c>
      <c r="J13788" s="7" t="n">
        <v>8811</v>
      </c>
      <c r="K13788" s="7" t="s">
        <v>1112</v>
      </c>
      <c r="L13788" s="7" t="n">
        <v>2</v>
      </c>
      <c r="M13788" s="7" t="n">
        <v>3</v>
      </c>
      <c r="N13788" s="7" t="n">
        <v>17</v>
      </c>
      <c r="O13788" s="7" t="n">
        <v>8812</v>
      </c>
      <c r="P13788" s="7" t="s">
        <v>1113</v>
      </c>
      <c r="Q13788" s="7" t="n">
        <v>2</v>
      </c>
      <c r="R13788" s="7" t="n">
        <v>3</v>
      </c>
      <c r="S13788" s="7" t="n">
        <v>17</v>
      </c>
      <c r="T13788" s="7" t="n">
        <v>8813</v>
      </c>
      <c r="U13788" s="7" t="s">
        <v>1114</v>
      </c>
      <c r="V13788" s="7" t="n">
        <v>2</v>
      </c>
      <c r="W13788" s="7" t="n">
        <v>0</v>
      </c>
    </row>
    <row r="13789" spans="1:9">
      <c r="A13789" t="s">
        <v>4</v>
      </c>
      <c r="B13789" s="4" t="s">
        <v>5</v>
      </c>
    </row>
    <row r="13790" spans="1:9">
      <c r="A13790" t="n">
        <v>130754</v>
      </c>
      <c r="B13790" s="27" t="n">
        <v>28</v>
      </c>
    </row>
    <row r="13791" spans="1:9">
      <c r="A13791" t="s">
        <v>4</v>
      </c>
      <c r="B13791" s="4" t="s">
        <v>5</v>
      </c>
      <c r="C13791" s="4" t="s">
        <v>11</v>
      </c>
      <c r="D13791" s="4" t="s">
        <v>7</v>
      </c>
      <c r="E13791" s="4" t="s">
        <v>13</v>
      </c>
      <c r="F13791" s="4" t="s">
        <v>11</v>
      </c>
    </row>
    <row r="13792" spans="1:9">
      <c r="A13792" t="n">
        <v>130755</v>
      </c>
      <c r="B13792" s="56" t="n">
        <v>59</v>
      </c>
      <c r="C13792" s="7" t="n">
        <v>0</v>
      </c>
      <c r="D13792" s="7" t="n">
        <v>1</v>
      </c>
      <c r="E13792" s="7" t="n">
        <v>0.150000005960464</v>
      </c>
      <c r="F13792" s="7" t="n">
        <v>0</v>
      </c>
    </row>
    <row r="13793" spans="1:23">
      <c r="A13793" t="s">
        <v>4</v>
      </c>
      <c r="B13793" s="4" t="s">
        <v>5</v>
      </c>
      <c r="C13793" s="4" t="s">
        <v>11</v>
      </c>
    </row>
    <row r="13794" spans="1:23">
      <c r="A13794" t="n">
        <v>130765</v>
      </c>
      <c r="B13794" s="29" t="n">
        <v>16</v>
      </c>
      <c r="C13794" s="7" t="n">
        <v>1300</v>
      </c>
    </row>
    <row r="13795" spans="1:23">
      <c r="A13795" t="s">
        <v>4</v>
      </c>
      <c r="B13795" s="4" t="s">
        <v>5</v>
      </c>
      <c r="C13795" s="4" t="s">
        <v>7</v>
      </c>
      <c r="D13795" s="4" t="s">
        <v>11</v>
      </c>
      <c r="E13795" s="4" t="s">
        <v>13</v>
      </c>
    </row>
    <row r="13796" spans="1:23">
      <c r="A13796" t="n">
        <v>130768</v>
      </c>
      <c r="B13796" s="23" t="n">
        <v>58</v>
      </c>
      <c r="C13796" s="7" t="n">
        <v>101</v>
      </c>
      <c r="D13796" s="7" t="n">
        <v>500</v>
      </c>
      <c r="E13796" s="7" t="n">
        <v>1</v>
      </c>
    </row>
    <row r="13797" spans="1:23">
      <c r="A13797" t="s">
        <v>4</v>
      </c>
      <c r="B13797" s="4" t="s">
        <v>5</v>
      </c>
      <c r="C13797" s="4" t="s">
        <v>7</v>
      </c>
      <c r="D13797" s="4" t="s">
        <v>11</v>
      </c>
    </row>
    <row r="13798" spans="1:23">
      <c r="A13798" t="n">
        <v>130776</v>
      </c>
      <c r="B13798" s="23" t="n">
        <v>58</v>
      </c>
      <c r="C13798" s="7" t="n">
        <v>254</v>
      </c>
      <c r="D13798" s="7" t="n">
        <v>0</v>
      </c>
    </row>
    <row r="13799" spans="1:23">
      <c r="A13799" t="s">
        <v>4</v>
      </c>
      <c r="B13799" s="4" t="s">
        <v>5</v>
      </c>
      <c r="C13799" s="4" t="s">
        <v>7</v>
      </c>
      <c r="D13799" s="4" t="s">
        <v>7</v>
      </c>
      <c r="E13799" s="4" t="s">
        <v>13</v>
      </c>
      <c r="F13799" s="4" t="s">
        <v>13</v>
      </c>
      <c r="G13799" s="4" t="s">
        <v>13</v>
      </c>
      <c r="H13799" s="4" t="s">
        <v>11</v>
      </c>
    </row>
    <row r="13800" spans="1:23">
      <c r="A13800" t="n">
        <v>130780</v>
      </c>
      <c r="B13800" s="51" t="n">
        <v>45</v>
      </c>
      <c r="C13800" s="7" t="n">
        <v>2</v>
      </c>
      <c r="D13800" s="7" t="n">
        <v>3</v>
      </c>
      <c r="E13800" s="7" t="n">
        <v>-6.6100001335144</v>
      </c>
      <c r="F13800" s="7" t="n">
        <v>6.44000005722046</v>
      </c>
      <c r="G13800" s="7" t="n">
        <v>29.9300003051758</v>
      </c>
      <c r="H13800" s="7" t="n">
        <v>0</v>
      </c>
    </row>
    <row r="13801" spans="1:23">
      <c r="A13801" t="s">
        <v>4</v>
      </c>
      <c r="B13801" s="4" t="s">
        <v>5</v>
      </c>
      <c r="C13801" s="4" t="s">
        <v>7</v>
      </c>
      <c r="D13801" s="4" t="s">
        <v>7</v>
      </c>
      <c r="E13801" s="4" t="s">
        <v>13</v>
      </c>
      <c r="F13801" s="4" t="s">
        <v>13</v>
      </c>
      <c r="G13801" s="4" t="s">
        <v>13</v>
      </c>
      <c r="H13801" s="4" t="s">
        <v>11</v>
      </c>
      <c r="I13801" s="4" t="s">
        <v>7</v>
      </c>
    </row>
    <row r="13802" spans="1:23">
      <c r="A13802" t="n">
        <v>130797</v>
      </c>
      <c r="B13802" s="51" t="n">
        <v>45</v>
      </c>
      <c r="C13802" s="7" t="n">
        <v>4</v>
      </c>
      <c r="D13802" s="7" t="n">
        <v>3</v>
      </c>
      <c r="E13802" s="7" t="n">
        <v>357</v>
      </c>
      <c r="F13802" s="7" t="n">
        <v>284.700012207031</v>
      </c>
      <c r="G13802" s="7" t="n">
        <v>4</v>
      </c>
      <c r="H13802" s="7" t="n">
        <v>0</v>
      </c>
      <c r="I13802" s="7" t="n">
        <v>0</v>
      </c>
    </row>
    <row r="13803" spans="1:23">
      <c r="A13803" t="s">
        <v>4</v>
      </c>
      <c r="B13803" s="4" t="s">
        <v>5</v>
      </c>
      <c r="C13803" s="4" t="s">
        <v>7</v>
      </c>
      <c r="D13803" s="4" t="s">
        <v>7</v>
      </c>
      <c r="E13803" s="4" t="s">
        <v>13</v>
      </c>
      <c r="F13803" s="4" t="s">
        <v>11</v>
      </c>
    </row>
    <row r="13804" spans="1:23">
      <c r="A13804" t="n">
        <v>130815</v>
      </c>
      <c r="B13804" s="51" t="n">
        <v>45</v>
      </c>
      <c r="C13804" s="7" t="n">
        <v>5</v>
      </c>
      <c r="D13804" s="7" t="n">
        <v>3</v>
      </c>
      <c r="E13804" s="7" t="n">
        <v>1</v>
      </c>
      <c r="F13804" s="7" t="n">
        <v>0</v>
      </c>
    </row>
    <row r="13805" spans="1:23">
      <c r="A13805" t="s">
        <v>4</v>
      </c>
      <c r="B13805" s="4" t="s">
        <v>5</v>
      </c>
      <c r="C13805" s="4" t="s">
        <v>7</v>
      </c>
      <c r="D13805" s="4" t="s">
        <v>7</v>
      </c>
      <c r="E13805" s="4" t="s">
        <v>13</v>
      </c>
      <c r="F13805" s="4" t="s">
        <v>11</v>
      </c>
    </row>
    <row r="13806" spans="1:23">
      <c r="A13806" t="n">
        <v>130824</v>
      </c>
      <c r="B13806" s="51" t="n">
        <v>45</v>
      </c>
      <c r="C13806" s="7" t="n">
        <v>11</v>
      </c>
      <c r="D13806" s="7" t="n">
        <v>3</v>
      </c>
      <c r="E13806" s="7" t="n">
        <v>40.2999992370605</v>
      </c>
      <c r="F13806" s="7" t="n">
        <v>0</v>
      </c>
    </row>
    <row r="13807" spans="1:23">
      <c r="A13807" t="s">
        <v>4</v>
      </c>
      <c r="B13807" s="4" t="s">
        <v>5</v>
      </c>
      <c r="C13807" s="4" t="s">
        <v>7</v>
      </c>
      <c r="D13807" s="4" t="s">
        <v>11</v>
      </c>
      <c r="E13807" s="4" t="s">
        <v>8</v>
      </c>
      <c r="F13807" s="4" t="s">
        <v>8</v>
      </c>
      <c r="G13807" s="4" t="s">
        <v>8</v>
      </c>
      <c r="H13807" s="4" t="s">
        <v>8</v>
      </c>
    </row>
    <row r="13808" spans="1:23">
      <c r="A13808" t="n">
        <v>130833</v>
      </c>
      <c r="B13808" s="38" t="n">
        <v>51</v>
      </c>
      <c r="C13808" s="7" t="n">
        <v>3</v>
      </c>
      <c r="D13808" s="7" t="n">
        <v>0</v>
      </c>
      <c r="E13808" s="7" t="s">
        <v>154</v>
      </c>
      <c r="F13808" s="7" t="s">
        <v>155</v>
      </c>
      <c r="G13808" s="7" t="s">
        <v>78</v>
      </c>
      <c r="H13808" s="7" t="s">
        <v>79</v>
      </c>
    </row>
    <row r="13809" spans="1:9">
      <c r="A13809" t="s">
        <v>4</v>
      </c>
      <c r="B13809" s="4" t="s">
        <v>5</v>
      </c>
      <c r="C13809" s="4" t="s">
        <v>7</v>
      </c>
      <c r="D13809" s="4" t="s">
        <v>11</v>
      </c>
    </row>
    <row r="13810" spans="1:9">
      <c r="A13810" t="n">
        <v>130846</v>
      </c>
      <c r="B13810" s="23" t="n">
        <v>58</v>
      </c>
      <c r="C13810" s="7" t="n">
        <v>255</v>
      </c>
      <c r="D13810" s="7" t="n">
        <v>0</v>
      </c>
    </row>
    <row r="13811" spans="1:9">
      <c r="A13811" t="s">
        <v>4</v>
      </c>
      <c r="B13811" s="4" t="s">
        <v>5</v>
      </c>
      <c r="C13811" s="4" t="s">
        <v>7</v>
      </c>
      <c r="D13811" s="4" t="s">
        <v>11</v>
      </c>
      <c r="E13811" s="4" t="s">
        <v>8</v>
      </c>
    </row>
    <row r="13812" spans="1:9">
      <c r="A13812" t="n">
        <v>130850</v>
      </c>
      <c r="B13812" s="38" t="n">
        <v>51</v>
      </c>
      <c r="C13812" s="7" t="n">
        <v>4</v>
      </c>
      <c r="D13812" s="7" t="n">
        <v>0</v>
      </c>
      <c r="E13812" s="7" t="s">
        <v>173</v>
      </c>
    </row>
    <row r="13813" spans="1:9">
      <c r="A13813" t="s">
        <v>4</v>
      </c>
      <c r="B13813" s="4" t="s">
        <v>5</v>
      </c>
      <c r="C13813" s="4" t="s">
        <v>11</v>
      </c>
    </row>
    <row r="13814" spans="1:9">
      <c r="A13814" t="n">
        <v>130863</v>
      </c>
      <c r="B13814" s="29" t="n">
        <v>16</v>
      </c>
      <c r="C13814" s="7" t="n">
        <v>0</v>
      </c>
    </row>
    <row r="13815" spans="1:9">
      <c r="A13815" t="s">
        <v>4</v>
      </c>
      <c r="B13815" s="4" t="s">
        <v>5</v>
      </c>
      <c r="C13815" s="4" t="s">
        <v>11</v>
      </c>
      <c r="D13815" s="4" t="s">
        <v>7</v>
      </c>
      <c r="E13815" s="4" t="s">
        <v>15</v>
      </c>
      <c r="F13815" s="4" t="s">
        <v>55</v>
      </c>
      <c r="G13815" s="4" t="s">
        <v>7</v>
      </c>
      <c r="H13815" s="4" t="s">
        <v>7</v>
      </c>
      <c r="I13815" s="4" t="s">
        <v>7</v>
      </c>
      <c r="J13815" s="4" t="s">
        <v>15</v>
      </c>
      <c r="K13815" s="4" t="s">
        <v>55</v>
      </c>
      <c r="L13815" s="4" t="s">
        <v>7</v>
      </c>
      <c r="M13815" s="4" t="s">
        <v>7</v>
      </c>
      <c r="N13815" s="4" t="s">
        <v>7</v>
      </c>
      <c r="O13815" s="4" t="s">
        <v>15</v>
      </c>
      <c r="P13815" s="4" t="s">
        <v>55</v>
      </c>
      <c r="Q13815" s="4" t="s">
        <v>7</v>
      </c>
      <c r="R13815" s="4" t="s">
        <v>7</v>
      </c>
      <c r="S13815" s="4" t="s">
        <v>7</v>
      </c>
      <c r="T13815" s="4" t="s">
        <v>15</v>
      </c>
      <c r="U13815" s="4" t="s">
        <v>55</v>
      </c>
      <c r="V13815" s="4" t="s">
        <v>7</v>
      </c>
      <c r="W13815" s="4" t="s">
        <v>7</v>
      </c>
    </row>
    <row r="13816" spans="1:9">
      <c r="A13816" t="n">
        <v>130866</v>
      </c>
      <c r="B13816" s="55" t="n">
        <v>26</v>
      </c>
      <c r="C13816" s="7" t="n">
        <v>0</v>
      </c>
      <c r="D13816" s="7" t="n">
        <v>17</v>
      </c>
      <c r="E13816" s="7" t="n">
        <v>64204</v>
      </c>
      <c r="F13816" s="7" t="s">
        <v>1115</v>
      </c>
      <c r="G13816" s="7" t="n">
        <v>2</v>
      </c>
      <c r="H13816" s="7" t="n">
        <v>3</v>
      </c>
      <c r="I13816" s="7" t="n">
        <v>17</v>
      </c>
      <c r="J13816" s="7" t="n">
        <v>64205</v>
      </c>
      <c r="K13816" s="7" t="s">
        <v>1116</v>
      </c>
      <c r="L13816" s="7" t="n">
        <v>2</v>
      </c>
      <c r="M13816" s="7" t="n">
        <v>3</v>
      </c>
      <c r="N13816" s="7" t="n">
        <v>17</v>
      </c>
      <c r="O13816" s="7" t="n">
        <v>64206</v>
      </c>
      <c r="P13816" s="7" t="s">
        <v>1117</v>
      </c>
      <c r="Q13816" s="7" t="n">
        <v>2</v>
      </c>
      <c r="R13816" s="7" t="n">
        <v>3</v>
      </c>
      <c r="S13816" s="7" t="n">
        <v>17</v>
      </c>
      <c r="T13816" s="7" t="n">
        <v>64207</v>
      </c>
      <c r="U13816" s="7" t="s">
        <v>1118</v>
      </c>
      <c r="V13816" s="7" t="n">
        <v>2</v>
      </c>
      <c r="W13816" s="7" t="n">
        <v>0</v>
      </c>
    </row>
    <row r="13817" spans="1:9">
      <c r="A13817" t="s">
        <v>4</v>
      </c>
      <c r="B13817" s="4" t="s">
        <v>5</v>
      </c>
    </row>
    <row r="13818" spans="1:9">
      <c r="A13818" t="n">
        <v>131293</v>
      </c>
      <c r="B13818" s="27" t="n">
        <v>28</v>
      </c>
    </row>
    <row r="13819" spans="1:9">
      <c r="A13819" t="s">
        <v>4</v>
      </c>
      <c r="B13819" s="4" t="s">
        <v>5</v>
      </c>
      <c r="C13819" s="4" t="s">
        <v>11</v>
      </c>
      <c r="D13819" s="4" t="s">
        <v>7</v>
      </c>
    </row>
    <row r="13820" spans="1:9">
      <c r="A13820" t="n">
        <v>131294</v>
      </c>
      <c r="B13820" s="68" t="n">
        <v>89</v>
      </c>
      <c r="C13820" s="7" t="n">
        <v>65533</v>
      </c>
      <c r="D13820" s="7" t="n">
        <v>1</v>
      </c>
    </row>
    <row r="13821" spans="1:9">
      <c r="A13821" t="s">
        <v>4</v>
      </c>
      <c r="B13821" s="4" t="s">
        <v>5</v>
      </c>
      <c r="C13821" s="4" t="s">
        <v>7</v>
      </c>
      <c r="D13821" s="4" t="s">
        <v>11</v>
      </c>
      <c r="E13821" s="4" t="s">
        <v>13</v>
      </c>
    </row>
    <row r="13822" spans="1:9">
      <c r="A13822" t="n">
        <v>131298</v>
      </c>
      <c r="B13822" s="23" t="n">
        <v>58</v>
      </c>
      <c r="C13822" s="7" t="n">
        <v>101</v>
      </c>
      <c r="D13822" s="7" t="n">
        <v>500</v>
      </c>
      <c r="E13822" s="7" t="n">
        <v>1</v>
      </c>
    </row>
    <row r="13823" spans="1:9">
      <c r="A13823" t="s">
        <v>4</v>
      </c>
      <c r="B13823" s="4" t="s">
        <v>5</v>
      </c>
      <c r="C13823" s="4" t="s">
        <v>7</v>
      </c>
      <c r="D13823" s="4" t="s">
        <v>11</v>
      </c>
    </row>
    <row r="13824" spans="1:9">
      <c r="A13824" t="n">
        <v>131306</v>
      </c>
      <c r="B13824" s="23" t="n">
        <v>58</v>
      </c>
      <c r="C13824" s="7" t="n">
        <v>254</v>
      </c>
      <c r="D13824" s="7" t="n">
        <v>0</v>
      </c>
    </row>
    <row r="13825" spans="1:23">
      <c r="A13825" t="s">
        <v>4</v>
      </c>
      <c r="B13825" s="4" t="s">
        <v>5</v>
      </c>
      <c r="C13825" s="4" t="s">
        <v>7</v>
      </c>
      <c r="D13825" s="4" t="s">
        <v>7</v>
      </c>
      <c r="E13825" s="4" t="s">
        <v>13</v>
      </c>
      <c r="F13825" s="4" t="s">
        <v>13</v>
      </c>
      <c r="G13825" s="4" t="s">
        <v>13</v>
      </c>
      <c r="H13825" s="4" t="s">
        <v>11</v>
      </c>
    </row>
    <row r="13826" spans="1:23">
      <c r="A13826" t="n">
        <v>131310</v>
      </c>
      <c r="B13826" s="51" t="n">
        <v>45</v>
      </c>
      <c r="C13826" s="7" t="n">
        <v>2</v>
      </c>
      <c r="D13826" s="7" t="n">
        <v>3</v>
      </c>
      <c r="E13826" s="7" t="n">
        <v>-7.36999988555908</v>
      </c>
      <c r="F13826" s="7" t="n">
        <v>6.51999998092651</v>
      </c>
      <c r="G13826" s="7" t="n">
        <v>29.8299999237061</v>
      </c>
      <c r="H13826" s="7" t="n">
        <v>0</v>
      </c>
    </row>
    <row r="13827" spans="1:23">
      <c r="A13827" t="s">
        <v>4</v>
      </c>
      <c r="B13827" s="4" t="s">
        <v>5</v>
      </c>
      <c r="C13827" s="4" t="s">
        <v>7</v>
      </c>
      <c r="D13827" s="4" t="s">
        <v>7</v>
      </c>
      <c r="E13827" s="4" t="s">
        <v>13</v>
      </c>
      <c r="F13827" s="4" t="s">
        <v>13</v>
      </c>
      <c r="G13827" s="4" t="s">
        <v>13</v>
      </c>
      <c r="H13827" s="4" t="s">
        <v>11</v>
      </c>
      <c r="I13827" s="4" t="s">
        <v>7</v>
      </c>
    </row>
    <row r="13828" spans="1:23">
      <c r="A13828" t="n">
        <v>131327</v>
      </c>
      <c r="B13828" s="51" t="n">
        <v>45</v>
      </c>
      <c r="C13828" s="7" t="n">
        <v>4</v>
      </c>
      <c r="D13828" s="7" t="n">
        <v>3</v>
      </c>
      <c r="E13828" s="7" t="n">
        <v>357.320007324219</v>
      </c>
      <c r="F13828" s="7" t="n">
        <v>60.310001373291</v>
      </c>
      <c r="G13828" s="7" t="n">
        <v>354</v>
      </c>
      <c r="H13828" s="7" t="n">
        <v>0</v>
      </c>
      <c r="I13828" s="7" t="n">
        <v>0</v>
      </c>
    </row>
    <row r="13829" spans="1:23">
      <c r="A13829" t="s">
        <v>4</v>
      </c>
      <c r="B13829" s="4" t="s">
        <v>5</v>
      </c>
      <c r="C13829" s="4" t="s">
        <v>7</v>
      </c>
      <c r="D13829" s="4" t="s">
        <v>7</v>
      </c>
      <c r="E13829" s="4" t="s">
        <v>13</v>
      </c>
      <c r="F13829" s="4" t="s">
        <v>11</v>
      </c>
    </row>
    <row r="13830" spans="1:23">
      <c r="A13830" t="n">
        <v>131345</v>
      </c>
      <c r="B13830" s="51" t="n">
        <v>45</v>
      </c>
      <c r="C13830" s="7" t="n">
        <v>5</v>
      </c>
      <c r="D13830" s="7" t="n">
        <v>3</v>
      </c>
      <c r="E13830" s="7" t="n">
        <v>0.800000011920929</v>
      </c>
      <c r="F13830" s="7" t="n">
        <v>0</v>
      </c>
    </row>
    <row r="13831" spans="1:23">
      <c r="A13831" t="s">
        <v>4</v>
      </c>
      <c r="B13831" s="4" t="s">
        <v>5</v>
      </c>
      <c r="C13831" s="4" t="s">
        <v>7</v>
      </c>
      <c r="D13831" s="4" t="s">
        <v>7</v>
      </c>
      <c r="E13831" s="4" t="s">
        <v>13</v>
      </c>
      <c r="F13831" s="4" t="s">
        <v>11</v>
      </c>
    </row>
    <row r="13832" spans="1:23">
      <c r="A13832" t="n">
        <v>131354</v>
      </c>
      <c r="B13832" s="51" t="n">
        <v>45</v>
      </c>
      <c r="C13832" s="7" t="n">
        <v>11</v>
      </c>
      <c r="D13832" s="7" t="n">
        <v>3</v>
      </c>
      <c r="E13832" s="7" t="n">
        <v>40.2999992370605</v>
      </c>
      <c r="F13832" s="7" t="n">
        <v>0</v>
      </c>
    </row>
    <row r="13833" spans="1:23">
      <c r="A13833" t="s">
        <v>4</v>
      </c>
      <c r="B13833" s="4" t="s">
        <v>5</v>
      </c>
      <c r="C13833" s="4" t="s">
        <v>7</v>
      </c>
      <c r="D13833" s="4" t="s">
        <v>11</v>
      </c>
      <c r="E13833" s="4" t="s">
        <v>8</v>
      </c>
      <c r="F13833" s="4" t="s">
        <v>8</v>
      </c>
      <c r="G13833" s="4" t="s">
        <v>8</v>
      </c>
      <c r="H13833" s="4" t="s">
        <v>8</v>
      </c>
    </row>
    <row r="13834" spans="1:23">
      <c r="A13834" t="n">
        <v>131363</v>
      </c>
      <c r="B13834" s="38" t="n">
        <v>51</v>
      </c>
      <c r="C13834" s="7" t="n">
        <v>3</v>
      </c>
      <c r="D13834" s="7" t="n">
        <v>6</v>
      </c>
      <c r="E13834" s="7" t="s">
        <v>99</v>
      </c>
      <c r="F13834" s="7" t="s">
        <v>232</v>
      </c>
      <c r="G13834" s="7" t="s">
        <v>78</v>
      </c>
      <c r="H13834" s="7" t="s">
        <v>79</v>
      </c>
    </row>
    <row r="13835" spans="1:23">
      <c r="A13835" t="s">
        <v>4</v>
      </c>
      <c r="B13835" s="4" t="s">
        <v>5</v>
      </c>
      <c r="C13835" s="4" t="s">
        <v>7</v>
      </c>
      <c r="D13835" s="4" t="s">
        <v>11</v>
      </c>
    </row>
    <row r="13836" spans="1:23">
      <c r="A13836" t="n">
        <v>131376</v>
      </c>
      <c r="B13836" s="23" t="n">
        <v>58</v>
      </c>
      <c r="C13836" s="7" t="n">
        <v>255</v>
      </c>
      <c r="D13836" s="7" t="n">
        <v>0</v>
      </c>
    </row>
    <row r="13837" spans="1:23">
      <c r="A13837" t="s">
        <v>4</v>
      </c>
      <c r="B13837" s="4" t="s">
        <v>5</v>
      </c>
      <c r="C13837" s="4" t="s">
        <v>11</v>
      </c>
      <c r="D13837" s="4" t="s">
        <v>7</v>
      </c>
      <c r="E13837" s="4" t="s">
        <v>7</v>
      </c>
      <c r="F13837" s="4" t="s">
        <v>8</v>
      </c>
    </row>
    <row r="13838" spans="1:23">
      <c r="A13838" t="n">
        <v>131380</v>
      </c>
      <c r="B13838" s="50" t="n">
        <v>20</v>
      </c>
      <c r="C13838" s="7" t="n">
        <v>6</v>
      </c>
      <c r="D13838" s="7" t="n">
        <v>2</v>
      </c>
      <c r="E13838" s="7" t="n">
        <v>10</v>
      </c>
      <c r="F13838" s="7" t="s">
        <v>260</v>
      </c>
    </row>
    <row r="13839" spans="1:23">
      <c r="A13839" t="s">
        <v>4</v>
      </c>
      <c r="B13839" s="4" t="s">
        <v>5</v>
      </c>
      <c r="C13839" s="4" t="s">
        <v>7</v>
      </c>
      <c r="D13839" s="4" t="s">
        <v>11</v>
      </c>
      <c r="E13839" s="4" t="s">
        <v>8</v>
      </c>
    </row>
    <row r="13840" spans="1:23">
      <c r="A13840" t="n">
        <v>131400</v>
      </c>
      <c r="B13840" s="38" t="n">
        <v>51</v>
      </c>
      <c r="C13840" s="7" t="n">
        <v>4</v>
      </c>
      <c r="D13840" s="7" t="n">
        <v>6</v>
      </c>
      <c r="E13840" s="7" t="s">
        <v>417</v>
      </c>
    </row>
    <row r="13841" spans="1:9">
      <c r="A13841" t="s">
        <v>4</v>
      </c>
      <c r="B13841" s="4" t="s">
        <v>5</v>
      </c>
      <c r="C13841" s="4" t="s">
        <v>11</v>
      </c>
    </row>
    <row r="13842" spans="1:9">
      <c r="A13842" t="n">
        <v>131414</v>
      </c>
      <c r="B13842" s="29" t="n">
        <v>16</v>
      </c>
      <c r="C13842" s="7" t="n">
        <v>0</v>
      </c>
    </row>
    <row r="13843" spans="1:9">
      <c r="A13843" t="s">
        <v>4</v>
      </c>
      <c r="B13843" s="4" t="s">
        <v>5</v>
      </c>
      <c r="C13843" s="4" t="s">
        <v>11</v>
      </c>
      <c r="D13843" s="4" t="s">
        <v>7</v>
      </c>
      <c r="E13843" s="4" t="s">
        <v>15</v>
      </c>
      <c r="F13843" s="4" t="s">
        <v>55</v>
      </c>
      <c r="G13843" s="4" t="s">
        <v>7</v>
      </c>
      <c r="H13843" s="4" t="s">
        <v>7</v>
      </c>
      <c r="I13843" s="4" t="s">
        <v>7</v>
      </c>
      <c r="J13843" s="4" t="s">
        <v>15</v>
      </c>
      <c r="K13843" s="4" t="s">
        <v>55</v>
      </c>
      <c r="L13843" s="4" t="s">
        <v>7</v>
      </c>
      <c r="M13843" s="4" t="s">
        <v>7</v>
      </c>
      <c r="N13843" s="4" t="s">
        <v>7</v>
      </c>
      <c r="O13843" s="4" t="s">
        <v>15</v>
      </c>
      <c r="P13843" s="4" t="s">
        <v>55</v>
      </c>
      <c r="Q13843" s="4" t="s">
        <v>7</v>
      </c>
      <c r="R13843" s="4" t="s">
        <v>7</v>
      </c>
    </row>
    <row r="13844" spans="1:9">
      <c r="A13844" t="n">
        <v>131417</v>
      </c>
      <c r="B13844" s="55" t="n">
        <v>26</v>
      </c>
      <c r="C13844" s="7" t="n">
        <v>6</v>
      </c>
      <c r="D13844" s="7" t="n">
        <v>17</v>
      </c>
      <c r="E13844" s="7" t="n">
        <v>8814</v>
      </c>
      <c r="F13844" s="7" t="s">
        <v>1119</v>
      </c>
      <c r="G13844" s="7" t="n">
        <v>2</v>
      </c>
      <c r="H13844" s="7" t="n">
        <v>3</v>
      </c>
      <c r="I13844" s="7" t="n">
        <v>17</v>
      </c>
      <c r="J13844" s="7" t="n">
        <v>8815</v>
      </c>
      <c r="K13844" s="7" t="s">
        <v>1120</v>
      </c>
      <c r="L13844" s="7" t="n">
        <v>2</v>
      </c>
      <c r="M13844" s="7" t="n">
        <v>3</v>
      </c>
      <c r="N13844" s="7" t="n">
        <v>17</v>
      </c>
      <c r="O13844" s="7" t="n">
        <v>8816</v>
      </c>
      <c r="P13844" s="7" t="s">
        <v>1121</v>
      </c>
      <c r="Q13844" s="7" t="n">
        <v>2</v>
      </c>
      <c r="R13844" s="7" t="n">
        <v>0</v>
      </c>
    </row>
    <row r="13845" spans="1:9">
      <c r="A13845" t="s">
        <v>4</v>
      </c>
      <c r="B13845" s="4" t="s">
        <v>5</v>
      </c>
    </row>
    <row r="13846" spans="1:9">
      <c r="A13846" t="n">
        <v>131773</v>
      </c>
      <c r="B13846" s="27" t="n">
        <v>28</v>
      </c>
    </row>
    <row r="13847" spans="1:9">
      <c r="A13847" t="s">
        <v>4</v>
      </c>
      <c r="B13847" s="4" t="s">
        <v>5</v>
      </c>
      <c r="C13847" s="4" t="s">
        <v>7</v>
      </c>
      <c r="D13847" s="4" t="s">
        <v>11</v>
      </c>
      <c r="E13847" s="4" t="s">
        <v>8</v>
      </c>
    </row>
    <row r="13848" spans="1:9">
      <c r="A13848" t="n">
        <v>131774</v>
      </c>
      <c r="B13848" s="38" t="n">
        <v>51</v>
      </c>
      <c r="C13848" s="7" t="n">
        <v>4</v>
      </c>
      <c r="D13848" s="7" t="n">
        <v>0</v>
      </c>
      <c r="E13848" s="7" t="s">
        <v>285</v>
      </c>
    </row>
    <row r="13849" spans="1:9">
      <c r="A13849" t="s">
        <v>4</v>
      </c>
      <c r="B13849" s="4" t="s">
        <v>5</v>
      </c>
      <c r="C13849" s="4" t="s">
        <v>11</v>
      </c>
    </row>
    <row r="13850" spans="1:9">
      <c r="A13850" t="n">
        <v>131787</v>
      </c>
      <c r="B13850" s="29" t="n">
        <v>16</v>
      </c>
      <c r="C13850" s="7" t="n">
        <v>0</v>
      </c>
    </row>
    <row r="13851" spans="1:9">
      <c r="A13851" t="s">
        <v>4</v>
      </c>
      <c r="B13851" s="4" t="s">
        <v>5</v>
      </c>
      <c r="C13851" s="4" t="s">
        <v>11</v>
      </c>
      <c r="D13851" s="4" t="s">
        <v>7</v>
      </c>
      <c r="E13851" s="4" t="s">
        <v>15</v>
      </c>
      <c r="F13851" s="4" t="s">
        <v>55</v>
      </c>
      <c r="G13851" s="4" t="s">
        <v>7</v>
      </c>
      <c r="H13851" s="4" t="s">
        <v>7</v>
      </c>
    </row>
    <row r="13852" spans="1:9">
      <c r="A13852" t="n">
        <v>131790</v>
      </c>
      <c r="B13852" s="55" t="n">
        <v>26</v>
      </c>
      <c r="C13852" s="7" t="n">
        <v>0</v>
      </c>
      <c r="D13852" s="7" t="n">
        <v>17</v>
      </c>
      <c r="E13852" s="7" t="n">
        <v>64208</v>
      </c>
      <c r="F13852" s="7" t="s">
        <v>1122</v>
      </c>
      <c r="G13852" s="7" t="n">
        <v>2</v>
      </c>
      <c r="H13852" s="7" t="n">
        <v>0</v>
      </c>
    </row>
    <row r="13853" spans="1:9">
      <c r="A13853" t="s">
        <v>4</v>
      </c>
      <c r="B13853" s="4" t="s">
        <v>5</v>
      </c>
    </row>
    <row r="13854" spans="1:9">
      <c r="A13854" t="n">
        <v>131828</v>
      </c>
      <c r="B13854" s="27" t="n">
        <v>28</v>
      </c>
    </row>
    <row r="13855" spans="1:9">
      <c r="A13855" t="s">
        <v>4</v>
      </c>
      <c r="B13855" s="4" t="s">
        <v>5</v>
      </c>
      <c r="C13855" s="4" t="s">
        <v>11</v>
      </c>
      <c r="D13855" s="4" t="s">
        <v>7</v>
      </c>
    </row>
    <row r="13856" spans="1:9">
      <c r="A13856" t="n">
        <v>131829</v>
      </c>
      <c r="B13856" s="68" t="n">
        <v>89</v>
      </c>
      <c r="C13856" s="7" t="n">
        <v>65533</v>
      </c>
      <c r="D13856" s="7" t="n">
        <v>1</v>
      </c>
    </row>
    <row r="13857" spans="1:18">
      <c r="A13857" t="s">
        <v>4</v>
      </c>
      <c r="B13857" s="4" t="s">
        <v>5</v>
      </c>
      <c r="C13857" s="4" t="s">
        <v>7</v>
      </c>
      <c r="D13857" s="4" t="s">
        <v>11</v>
      </c>
      <c r="E13857" s="4" t="s">
        <v>13</v>
      </c>
    </row>
    <row r="13858" spans="1:18">
      <c r="A13858" t="n">
        <v>131833</v>
      </c>
      <c r="B13858" s="23" t="n">
        <v>58</v>
      </c>
      <c r="C13858" s="7" t="n">
        <v>101</v>
      </c>
      <c r="D13858" s="7" t="n">
        <v>500</v>
      </c>
      <c r="E13858" s="7" t="n">
        <v>1</v>
      </c>
    </row>
    <row r="13859" spans="1:18">
      <c r="A13859" t="s">
        <v>4</v>
      </c>
      <c r="B13859" s="4" t="s">
        <v>5</v>
      </c>
      <c r="C13859" s="4" t="s">
        <v>7</v>
      </c>
      <c r="D13859" s="4" t="s">
        <v>11</v>
      </c>
    </row>
    <row r="13860" spans="1:18">
      <c r="A13860" t="n">
        <v>131841</v>
      </c>
      <c r="B13860" s="23" t="n">
        <v>58</v>
      </c>
      <c r="C13860" s="7" t="n">
        <v>254</v>
      </c>
      <c r="D13860" s="7" t="n">
        <v>0</v>
      </c>
    </row>
    <row r="13861" spans="1:18">
      <c r="A13861" t="s">
        <v>4</v>
      </c>
      <c r="B13861" s="4" t="s">
        <v>5</v>
      </c>
      <c r="C13861" s="4" t="s">
        <v>11</v>
      </c>
      <c r="D13861" s="4" t="s">
        <v>13</v>
      </c>
      <c r="E13861" s="4" t="s">
        <v>13</v>
      </c>
      <c r="F13861" s="4" t="s">
        <v>13</v>
      </c>
      <c r="G13861" s="4" t="s">
        <v>13</v>
      </c>
    </row>
    <row r="13862" spans="1:18">
      <c r="A13862" t="n">
        <v>131845</v>
      </c>
      <c r="B13862" s="36" t="n">
        <v>46</v>
      </c>
      <c r="C13862" s="7" t="n">
        <v>6</v>
      </c>
      <c r="D13862" s="7" t="n">
        <v>-7.28999996185303</v>
      </c>
      <c r="E13862" s="7" t="n">
        <v>5</v>
      </c>
      <c r="F13862" s="7" t="n">
        <v>29.7399997711182</v>
      </c>
      <c r="G13862" s="7" t="n">
        <v>83.9000015258789</v>
      </c>
    </row>
    <row r="13863" spans="1:18">
      <c r="A13863" t="s">
        <v>4</v>
      </c>
      <c r="B13863" s="4" t="s">
        <v>5</v>
      </c>
      <c r="C13863" s="4" t="s">
        <v>7</v>
      </c>
      <c r="D13863" s="4" t="s">
        <v>7</v>
      </c>
      <c r="E13863" s="4" t="s">
        <v>13</v>
      </c>
      <c r="F13863" s="4" t="s">
        <v>13</v>
      </c>
      <c r="G13863" s="4" t="s">
        <v>13</v>
      </c>
      <c r="H13863" s="4" t="s">
        <v>11</v>
      </c>
    </row>
    <row r="13864" spans="1:18">
      <c r="A13864" t="n">
        <v>131864</v>
      </c>
      <c r="B13864" s="51" t="n">
        <v>45</v>
      </c>
      <c r="C13864" s="7" t="n">
        <v>2</v>
      </c>
      <c r="D13864" s="7" t="n">
        <v>3</v>
      </c>
      <c r="E13864" s="7" t="n">
        <v>-6.92999982833862</v>
      </c>
      <c r="F13864" s="7" t="n">
        <v>6.44000005722046</v>
      </c>
      <c r="G13864" s="7" t="n">
        <v>29.8400001525879</v>
      </c>
      <c r="H13864" s="7" t="n">
        <v>0</v>
      </c>
    </row>
    <row r="13865" spans="1:18">
      <c r="A13865" t="s">
        <v>4</v>
      </c>
      <c r="B13865" s="4" t="s">
        <v>5</v>
      </c>
      <c r="C13865" s="4" t="s">
        <v>7</v>
      </c>
      <c r="D13865" s="4" t="s">
        <v>7</v>
      </c>
      <c r="E13865" s="4" t="s">
        <v>13</v>
      </c>
      <c r="F13865" s="4" t="s">
        <v>13</v>
      </c>
      <c r="G13865" s="4" t="s">
        <v>13</v>
      </c>
      <c r="H13865" s="4" t="s">
        <v>11</v>
      </c>
      <c r="I13865" s="4" t="s">
        <v>7</v>
      </c>
    </row>
    <row r="13866" spans="1:18">
      <c r="A13866" t="n">
        <v>131881</v>
      </c>
      <c r="B13866" s="51" t="n">
        <v>45</v>
      </c>
      <c r="C13866" s="7" t="n">
        <v>4</v>
      </c>
      <c r="D13866" s="7" t="n">
        <v>3</v>
      </c>
      <c r="E13866" s="7" t="n">
        <v>2.8199999332428</v>
      </c>
      <c r="F13866" s="7" t="n">
        <v>322.450012207031</v>
      </c>
      <c r="G13866" s="7" t="n">
        <v>354</v>
      </c>
      <c r="H13866" s="7" t="n">
        <v>0</v>
      </c>
      <c r="I13866" s="7" t="n">
        <v>0</v>
      </c>
    </row>
    <row r="13867" spans="1:18">
      <c r="A13867" t="s">
        <v>4</v>
      </c>
      <c r="B13867" s="4" t="s">
        <v>5</v>
      </c>
      <c r="C13867" s="4" t="s">
        <v>7</v>
      </c>
      <c r="D13867" s="4" t="s">
        <v>7</v>
      </c>
      <c r="E13867" s="4" t="s">
        <v>13</v>
      </c>
      <c r="F13867" s="4" t="s">
        <v>11</v>
      </c>
    </row>
    <row r="13868" spans="1:18">
      <c r="A13868" t="n">
        <v>131899</v>
      </c>
      <c r="B13868" s="51" t="n">
        <v>45</v>
      </c>
      <c r="C13868" s="7" t="n">
        <v>5</v>
      </c>
      <c r="D13868" s="7" t="n">
        <v>3</v>
      </c>
      <c r="E13868" s="7" t="n">
        <v>1.20000004768372</v>
      </c>
      <c r="F13868" s="7" t="n">
        <v>0</v>
      </c>
    </row>
    <row r="13869" spans="1:18">
      <c r="A13869" t="s">
        <v>4</v>
      </c>
      <c r="B13869" s="4" t="s">
        <v>5</v>
      </c>
      <c r="C13869" s="4" t="s">
        <v>7</v>
      </c>
      <c r="D13869" s="4" t="s">
        <v>7</v>
      </c>
      <c r="E13869" s="4" t="s">
        <v>13</v>
      </c>
      <c r="F13869" s="4" t="s">
        <v>11</v>
      </c>
    </row>
    <row r="13870" spans="1:18">
      <c r="A13870" t="n">
        <v>131908</v>
      </c>
      <c r="B13870" s="51" t="n">
        <v>45</v>
      </c>
      <c r="C13870" s="7" t="n">
        <v>11</v>
      </c>
      <c r="D13870" s="7" t="n">
        <v>3</v>
      </c>
      <c r="E13870" s="7" t="n">
        <v>40.2999992370605</v>
      </c>
      <c r="F13870" s="7" t="n">
        <v>0</v>
      </c>
    </row>
    <row r="13871" spans="1:18">
      <c r="A13871" t="s">
        <v>4</v>
      </c>
      <c r="B13871" s="4" t="s">
        <v>5</v>
      </c>
      <c r="C13871" s="4" t="s">
        <v>7</v>
      </c>
      <c r="D13871" s="4" t="s">
        <v>7</v>
      </c>
      <c r="E13871" s="4" t="s">
        <v>13</v>
      </c>
      <c r="F13871" s="4" t="s">
        <v>13</v>
      </c>
      <c r="G13871" s="4" t="s">
        <v>13</v>
      </c>
      <c r="H13871" s="4" t="s">
        <v>11</v>
      </c>
    </row>
    <row r="13872" spans="1:18">
      <c r="A13872" t="n">
        <v>131917</v>
      </c>
      <c r="B13872" s="51" t="n">
        <v>45</v>
      </c>
      <c r="C13872" s="7" t="n">
        <v>2</v>
      </c>
      <c r="D13872" s="7" t="n">
        <v>3</v>
      </c>
      <c r="E13872" s="7" t="n">
        <v>-6.88000011444092</v>
      </c>
      <c r="F13872" s="7" t="n">
        <v>6.48000001907349</v>
      </c>
      <c r="G13872" s="7" t="n">
        <v>29.7600002288818</v>
      </c>
      <c r="H13872" s="7" t="n">
        <v>4000</v>
      </c>
    </row>
    <row r="13873" spans="1:9">
      <c r="A13873" t="s">
        <v>4</v>
      </c>
      <c r="B13873" s="4" t="s">
        <v>5</v>
      </c>
      <c r="C13873" s="4" t="s">
        <v>7</v>
      </c>
      <c r="D13873" s="4" t="s">
        <v>7</v>
      </c>
      <c r="E13873" s="4" t="s">
        <v>13</v>
      </c>
      <c r="F13873" s="4" t="s">
        <v>13</v>
      </c>
      <c r="G13873" s="4" t="s">
        <v>13</v>
      </c>
      <c r="H13873" s="4" t="s">
        <v>11</v>
      </c>
      <c r="I13873" s="4" t="s">
        <v>7</v>
      </c>
    </row>
    <row r="13874" spans="1:9">
      <c r="A13874" t="n">
        <v>131934</v>
      </c>
      <c r="B13874" s="51" t="n">
        <v>45</v>
      </c>
      <c r="C13874" s="7" t="n">
        <v>4</v>
      </c>
      <c r="D13874" s="7" t="n">
        <v>3</v>
      </c>
      <c r="E13874" s="7" t="n">
        <v>8.09000015258789</v>
      </c>
      <c r="F13874" s="7" t="n">
        <v>44.4799995422363</v>
      </c>
      <c r="G13874" s="7" t="n">
        <v>354</v>
      </c>
      <c r="H13874" s="7" t="n">
        <v>4000</v>
      </c>
      <c r="I13874" s="7" t="n">
        <v>1</v>
      </c>
    </row>
    <row r="13875" spans="1:9">
      <c r="A13875" t="s">
        <v>4</v>
      </c>
      <c r="B13875" s="4" t="s">
        <v>5</v>
      </c>
      <c r="C13875" s="4" t="s">
        <v>7</v>
      </c>
      <c r="D13875" s="4" t="s">
        <v>7</v>
      </c>
      <c r="E13875" s="4" t="s">
        <v>13</v>
      </c>
      <c r="F13875" s="4" t="s">
        <v>11</v>
      </c>
    </row>
    <row r="13876" spans="1:9">
      <c r="A13876" t="n">
        <v>131952</v>
      </c>
      <c r="B13876" s="51" t="n">
        <v>45</v>
      </c>
      <c r="C13876" s="7" t="n">
        <v>5</v>
      </c>
      <c r="D13876" s="7" t="n">
        <v>3</v>
      </c>
      <c r="E13876" s="7" t="n">
        <v>0.899999976158142</v>
      </c>
      <c r="F13876" s="7" t="n">
        <v>4000</v>
      </c>
    </row>
    <row r="13877" spans="1:9">
      <c r="A13877" t="s">
        <v>4</v>
      </c>
      <c r="B13877" s="4" t="s">
        <v>5</v>
      </c>
      <c r="C13877" s="4" t="s">
        <v>11</v>
      </c>
      <c r="D13877" s="4" t="s">
        <v>15</v>
      </c>
    </row>
    <row r="13878" spans="1:9">
      <c r="A13878" t="n">
        <v>131961</v>
      </c>
      <c r="B13878" s="39" t="n">
        <v>43</v>
      </c>
      <c r="C13878" s="7" t="n">
        <v>0</v>
      </c>
      <c r="D13878" s="7" t="n">
        <v>256</v>
      </c>
    </row>
    <row r="13879" spans="1:9">
      <c r="A13879" t="s">
        <v>4</v>
      </c>
      <c r="B13879" s="4" t="s">
        <v>5</v>
      </c>
      <c r="C13879" s="4" t="s">
        <v>11</v>
      </c>
      <c r="D13879" s="4" t="s">
        <v>7</v>
      </c>
      <c r="E13879" s="4" t="s">
        <v>8</v>
      </c>
      <c r="F13879" s="4" t="s">
        <v>13</v>
      </c>
      <c r="G13879" s="4" t="s">
        <v>13</v>
      </c>
      <c r="H13879" s="4" t="s">
        <v>13</v>
      </c>
    </row>
    <row r="13880" spans="1:9">
      <c r="A13880" t="n">
        <v>131968</v>
      </c>
      <c r="B13880" s="42" t="n">
        <v>48</v>
      </c>
      <c r="C13880" s="7" t="n">
        <v>0</v>
      </c>
      <c r="D13880" s="7" t="n">
        <v>0</v>
      </c>
      <c r="E13880" s="7" t="s">
        <v>210</v>
      </c>
      <c r="F13880" s="7" t="n">
        <v>0</v>
      </c>
      <c r="G13880" s="7" t="n">
        <v>1</v>
      </c>
      <c r="H13880" s="7" t="n">
        <v>0</v>
      </c>
    </row>
    <row r="13881" spans="1:9">
      <c r="A13881" t="s">
        <v>4</v>
      </c>
      <c r="B13881" s="4" t="s">
        <v>5</v>
      </c>
      <c r="C13881" s="4" t="s">
        <v>11</v>
      </c>
      <c r="D13881" s="4" t="s">
        <v>7</v>
      </c>
      <c r="E13881" s="4" t="s">
        <v>8</v>
      </c>
      <c r="F13881" s="4" t="s">
        <v>13</v>
      </c>
      <c r="G13881" s="4" t="s">
        <v>13</v>
      </c>
      <c r="H13881" s="4" t="s">
        <v>13</v>
      </c>
    </row>
    <row r="13882" spans="1:9">
      <c r="A13882" t="n">
        <v>131993</v>
      </c>
      <c r="B13882" s="42" t="n">
        <v>48</v>
      </c>
      <c r="C13882" s="7" t="n">
        <v>6</v>
      </c>
      <c r="D13882" s="7" t="n">
        <v>0</v>
      </c>
      <c r="E13882" s="7" t="s">
        <v>210</v>
      </c>
      <c r="F13882" s="7" t="n">
        <v>0</v>
      </c>
      <c r="G13882" s="7" t="n">
        <v>1</v>
      </c>
      <c r="H13882" s="7" t="n">
        <v>0</v>
      </c>
    </row>
    <row r="13883" spans="1:9">
      <c r="A13883" t="s">
        <v>4</v>
      </c>
      <c r="B13883" s="4" t="s">
        <v>5</v>
      </c>
      <c r="C13883" s="4" t="s">
        <v>7</v>
      </c>
      <c r="D13883" s="4" t="s">
        <v>11</v>
      </c>
      <c r="E13883" s="4" t="s">
        <v>8</v>
      </c>
      <c r="F13883" s="4" t="s">
        <v>8</v>
      </c>
      <c r="G13883" s="4" t="s">
        <v>8</v>
      </c>
      <c r="H13883" s="4" t="s">
        <v>8</v>
      </c>
    </row>
    <row r="13884" spans="1:9">
      <c r="A13884" t="n">
        <v>132018</v>
      </c>
      <c r="B13884" s="38" t="n">
        <v>51</v>
      </c>
      <c r="C13884" s="7" t="n">
        <v>3</v>
      </c>
      <c r="D13884" s="7" t="n">
        <v>6</v>
      </c>
      <c r="E13884" s="7" t="s">
        <v>79</v>
      </c>
      <c r="F13884" s="7" t="s">
        <v>232</v>
      </c>
      <c r="G13884" s="7" t="s">
        <v>78</v>
      </c>
      <c r="H13884" s="7" t="s">
        <v>79</v>
      </c>
    </row>
    <row r="13885" spans="1:9">
      <c r="A13885" t="s">
        <v>4</v>
      </c>
      <c r="B13885" s="4" t="s">
        <v>5</v>
      </c>
      <c r="C13885" s="4" t="s">
        <v>7</v>
      </c>
      <c r="D13885" s="4" t="s">
        <v>11</v>
      </c>
      <c r="E13885" s="4" t="s">
        <v>8</v>
      </c>
      <c r="F13885" s="4" t="s">
        <v>8</v>
      </c>
      <c r="G13885" s="4" t="s">
        <v>8</v>
      </c>
      <c r="H13885" s="4" t="s">
        <v>8</v>
      </c>
    </row>
    <row r="13886" spans="1:9">
      <c r="A13886" t="n">
        <v>132031</v>
      </c>
      <c r="B13886" s="38" t="n">
        <v>51</v>
      </c>
      <c r="C13886" s="7" t="n">
        <v>3</v>
      </c>
      <c r="D13886" s="7" t="n">
        <v>0</v>
      </c>
      <c r="E13886" s="7" t="s">
        <v>79</v>
      </c>
      <c r="F13886" s="7" t="s">
        <v>99</v>
      </c>
      <c r="G13886" s="7" t="s">
        <v>78</v>
      </c>
      <c r="H13886" s="7" t="s">
        <v>79</v>
      </c>
    </row>
    <row r="13887" spans="1:9">
      <c r="A13887" t="s">
        <v>4</v>
      </c>
      <c r="B13887" s="4" t="s">
        <v>5</v>
      </c>
      <c r="C13887" s="4" t="s">
        <v>7</v>
      </c>
      <c r="D13887" s="4" t="s">
        <v>11</v>
      </c>
    </row>
    <row r="13888" spans="1:9">
      <c r="A13888" t="n">
        <v>132044</v>
      </c>
      <c r="B13888" s="23" t="n">
        <v>58</v>
      </c>
      <c r="C13888" s="7" t="n">
        <v>255</v>
      </c>
      <c r="D13888" s="7" t="n">
        <v>0</v>
      </c>
    </row>
    <row r="13889" spans="1:9">
      <c r="A13889" t="s">
        <v>4</v>
      </c>
      <c r="B13889" s="4" t="s">
        <v>5</v>
      </c>
      <c r="C13889" s="4" t="s">
        <v>11</v>
      </c>
    </row>
    <row r="13890" spans="1:9">
      <c r="A13890" t="n">
        <v>132048</v>
      </c>
      <c r="B13890" s="29" t="n">
        <v>16</v>
      </c>
      <c r="C13890" s="7" t="n">
        <v>1000</v>
      </c>
    </row>
    <row r="13891" spans="1:9">
      <c r="A13891" t="s">
        <v>4</v>
      </c>
      <c r="B13891" s="4" t="s">
        <v>5</v>
      </c>
      <c r="C13891" s="4" t="s">
        <v>11</v>
      </c>
      <c r="D13891" s="4" t="s">
        <v>7</v>
      </c>
      <c r="E13891" s="4" t="s">
        <v>8</v>
      </c>
      <c r="F13891" s="4" t="s">
        <v>13</v>
      </c>
      <c r="G13891" s="4" t="s">
        <v>13</v>
      </c>
      <c r="H13891" s="4" t="s">
        <v>13</v>
      </c>
    </row>
    <row r="13892" spans="1:9">
      <c r="A13892" t="n">
        <v>132051</v>
      </c>
      <c r="B13892" s="42" t="n">
        <v>48</v>
      </c>
      <c r="C13892" s="7" t="n">
        <v>0</v>
      </c>
      <c r="D13892" s="7" t="n">
        <v>0</v>
      </c>
      <c r="E13892" s="7" t="s">
        <v>1066</v>
      </c>
      <c r="F13892" s="7" t="n">
        <v>-1</v>
      </c>
      <c r="G13892" s="7" t="n">
        <v>1</v>
      </c>
      <c r="H13892" s="7" t="n">
        <v>0</v>
      </c>
    </row>
    <row r="13893" spans="1:9">
      <c r="A13893" t="s">
        <v>4</v>
      </c>
      <c r="B13893" s="4" t="s">
        <v>5</v>
      </c>
      <c r="C13893" s="4" t="s">
        <v>11</v>
      </c>
    </row>
    <row r="13894" spans="1:9">
      <c r="A13894" t="n">
        <v>132077</v>
      </c>
      <c r="B13894" s="29" t="n">
        <v>16</v>
      </c>
      <c r="C13894" s="7" t="n">
        <v>50</v>
      </c>
    </row>
    <row r="13895" spans="1:9">
      <c r="A13895" t="s">
        <v>4</v>
      </c>
      <c r="B13895" s="4" t="s">
        <v>5</v>
      </c>
      <c r="C13895" s="4" t="s">
        <v>11</v>
      </c>
      <c r="D13895" s="4" t="s">
        <v>7</v>
      </c>
      <c r="E13895" s="4" t="s">
        <v>8</v>
      </c>
      <c r="F13895" s="4" t="s">
        <v>13</v>
      </c>
      <c r="G13895" s="4" t="s">
        <v>13</v>
      </c>
      <c r="H13895" s="4" t="s">
        <v>13</v>
      </c>
    </row>
    <row r="13896" spans="1:9">
      <c r="A13896" t="n">
        <v>132080</v>
      </c>
      <c r="B13896" s="42" t="n">
        <v>48</v>
      </c>
      <c r="C13896" s="7" t="n">
        <v>6</v>
      </c>
      <c r="D13896" s="7" t="n">
        <v>0</v>
      </c>
      <c r="E13896" s="7" t="s">
        <v>1066</v>
      </c>
      <c r="F13896" s="7" t="n">
        <v>-1</v>
      </c>
      <c r="G13896" s="7" t="n">
        <v>1</v>
      </c>
      <c r="H13896" s="7" t="n">
        <v>0</v>
      </c>
    </row>
    <row r="13897" spans="1:9">
      <c r="A13897" t="s">
        <v>4</v>
      </c>
      <c r="B13897" s="4" t="s">
        <v>5</v>
      </c>
      <c r="C13897" s="4" t="s">
        <v>11</v>
      </c>
    </row>
    <row r="13898" spans="1:9">
      <c r="A13898" t="n">
        <v>132106</v>
      </c>
      <c r="B13898" s="29" t="n">
        <v>16</v>
      </c>
      <c r="C13898" s="7" t="n">
        <v>500</v>
      </c>
    </row>
    <row r="13899" spans="1:9">
      <c r="A13899" t="s">
        <v>4</v>
      </c>
      <c r="B13899" s="4" t="s">
        <v>5</v>
      </c>
      <c r="C13899" s="4" t="s">
        <v>7</v>
      </c>
      <c r="D13899" s="4" t="s">
        <v>11</v>
      </c>
      <c r="E13899" s="4" t="s">
        <v>13</v>
      </c>
      <c r="F13899" s="4" t="s">
        <v>11</v>
      </c>
      <c r="G13899" s="4" t="s">
        <v>15</v>
      </c>
      <c r="H13899" s="4" t="s">
        <v>15</v>
      </c>
      <c r="I13899" s="4" t="s">
        <v>11</v>
      </c>
      <c r="J13899" s="4" t="s">
        <v>11</v>
      </c>
      <c r="K13899" s="4" t="s">
        <v>15</v>
      </c>
      <c r="L13899" s="4" t="s">
        <v>15</v>
      </c>
      <c r="M13899" s="4" t="s">
        <v>15</v>
      </c>
      <c r="N13899" s="4" t="s">
        <v>15</v>
      </c>
      <c r="O13899" s="4" t="s">
        <v>8</v>
      </c>
    </row>
    <row r="13900" spans="1:9">
      <c r="A13900" t="n">
        <v>132109</v>
      </c>
      <c r="B13900" s="57" t="n">
        <v>50</v>
      </c>
      <c r="C13900" s="7" t="n">
        <v>0</v>
      </c>
      <c r="D13900" s="7" t="n">
        <v>2003</v>
      </c>
      <c r="E13900" s="7" t="n">
        <v>0.5</v>
      </c>
      <c r="F13900" s="7" t="n">
        <v>0</v>
      </c>
      <c r="G13900" s="7" t="n">
        <v>0</v>
      </c>
      <c r="H13900" s="7" t="n">
        <v>1082130432</v>
      </c>
      <c r="I13900" s="7" t="n">
        <v>0</v>
      </c>
      <c r="J13900" s="7" t="n">
        <v>65533</v>
      </c>
      <c r="K13900" s="7" t="n">
        <v>0</v>
      </c>
      <c r="L13900" s="7" t="n">
        <v>0</v>
      </c>
      <c r="M13900" s="7" t="n">
        <v>0</v>
      </c>
      <c r="N13900" s="7" t="n">
        <v>0</v>
      </c>
      <c r="O13900" s="7" t="s">
        <v>16</v>
      </c>
    </row>
    <row r="13901" spans="1:9">
      <c r="A13901" t="s">
        <v>4</v>
      </c>
      <c r="B13901" s="4" t="s">
        <v>5</v>
      </c>
      <c r="C13901" s="4" t="s">
        <v>7</v>
      </c>
      <c r="D13901" s="4" t="s">
        <v>11</v>
      </c>
      <c r="E13901" s="4" t="s">
        <v>13</v>
      </c>
      <c r="F13901" s="4" t="s">
        <v>11</v>
      </c>
      <c r="G13901" s="4" t="s">
        <v>15</v>
      </c>
      <c r="H13901" s="4" t="s">
        <v>15</v>
      </c>
      <c r="I13901" s="4" t="s">
        <v>11</v>
      </c>
      <c r="J13901" s="4" t="s">
        <v>11</v>
      </c>
      <c r="K13901" s="4" t="s">
        <v>15</v>
      </c>
      <c r="L13901" s="4" t="s">
        <v>15</v>
      </c>
      <c r="M13901" s="4" t="s">
        <v>15</v>
      </c>
      <c r="N13901" s="4" t="s">
        <v>15</v>
      </c>
      <c r="O13901" s="4" t="s">
        <v>8</v>
      </c>
    </row>
    <row r="13902" spans="1:9">
      <c r="A13902" t="n">
        <v>132148</v>
      </c>
      <c r="B13902" s="57" t="n">
        <v>50</v>
      </c>
      <c r="C13902" s="7" t="n">
        <v>0</v>
      </c>
      <c r="D13902" s="7" t="n">
        <v>4272</v>
      </c>
      <c r="E13902" s="7" t="n">
        <v>0.5</v>
      </c>
      <c r="F13902" s="7" t="n">
        <v>0</v>
      </c>
      <c r="G13902" s="7" t="n">
        <v>0</v>
      </c>
      <c r="H13902" s="7" t="n">
        <v>1084227584</v>
      </c>
      <c r="I13902" s="7" t="n">
        <v>0</v>
      </c>
      <c r="J13902" s="7" t="n">
        <v>65533</v>
      </c>
      <c r="K13902" s="7" t="n">
        <v>0</v>
      </c>
      <c r="L13902" s="7" t="n">
        <v>0</v>
      </c>
      <c r="M13902" s="7" t="n">
        <v>0</v>
      </c>
      <c r="N13902" s="7" t="n">
        <v>0</v>
      </c>
      <c r="O13902" s="7" t="s">
        <v>16</v>
      </c>
    </row>
    <row r="13903" spans="1:9">
      <c r="A13903" t="s">
        <v>4</v>
      </c>
      <c r="B13903" s="4" t="s">
        <v>5</v>
      </c>
      <c r="C13903" s="4" t="s">
        <v>7</v>
      </c>
      <c r="D13903" s="4" t="s">
        <v>13</v>
      </c>
      <c r="E13903" s="4" t="s">
        <v>13</v>
      </c>
      <c r="F13903" s="4" t="s">
        <v>13</v>
      </c>
    </row>
    <row r="13904" spans="1:9">
      <c r="A13904" t="n">
        <v>132187</v>
      </c>
      <c r="B13904" s="51" t="n">
        <v>45</v>
      </c>
      <c r="C13904" s="7" t="n">
        <v>9</v>
      </c>
      <c r="D13904" s="7" t="n">
        <v>0.00999999977648258</v>
      </c>
      <c r="E13904" s="7" t="n">
        <v>0.00999999977648258</v>
      </c>
      <c r="F13904" s="7" t="n">
        <v>0.300000011920929</v>
      </c>
    </row>
    <row r="13905" spans="1:15">
      <c r="A13905" t="s">
        <v>4</v>
      </c>
      <c r="B13905" s="4" t="s">
        <v>5</v>
      </c>
      <c r="C13905" s="4" t="s">
        <v>7</v>
      </c>
      <c r="D13905" s="4" t="s">
        <v>11</v>
      </c>
    </row>
    <row r="13906" spans="1:15">
      <c r="A13906" t="n">
        <v>132201</v>
      </c>
      <c r="B13906" s="51" t="n">
        <v>45</v>
      </c>
      <c r="C13906" s="7" t="n">
        <v>7</v>
      </c>
      <c r="D13906" s="7" t="n">
        <v>255</v>
      </c>
    </row>
    <row r="13907" spans="1:15">
      <c r="A13907" t="s">
        <v>4</v>
      </c>
      <c r="B13907" s="4" t="s">
        <v>5</v>
      </c>
      <c r="C13907" s="4" t="s">
        <v>7</v>
      </c>
      <c r="D13907" s="4" t="s">
        <v>7</v>
      </c>
      <c r="E13907" s="4" t="s">
        <v>13</v>
      </c>
      <c r="F13907" s="4" t="s">
        <v>13</v>
      </c>
      <c r="G13907" s="4" t="s">
        <v>13</v>
      </c>
      <c r="H13907" s="4" t="s">
        <v>11</v>
      </c>
    </row>
    <row r="13908" spans="1:15">
      <c r="A13908" t="n">
        <v>132205</v>
      </c>
      <c r="B13908" s="51" t="n">
        <v>45</v>
      </c>
      <c r="C13908" s="7" t="n">
        <v>2</v>
      </c>
      <c r="D13908" s="7" t="n">
        <v>3</v>
      </c>
      <c r="E13908" s="7" t="n">
        <v>-6.88000011444092</v>
      </c>
      <c r="F13908" s="7" t="n">
        <v>6.5</v>
      </c>
      <c r="G13908" s="7" t="n">
        <v>29.7600002288818</v>
      </c>
      <c r="H13908" s="7" t="n">
        <v>40000</v>
      </c>
    </row>
    <row r="13909" spans="1:15">
      <c r="A13909" t="s">
        <v>4</v>
      </c>
      <c r="B13909" s="4" t="s">
        <v>5</v>
      </c>
      <c r="C13909" s="4" t="s">
        <v>7</v>
      </c>
      <c r="D13909" s="4" t="s">
        <v>7</v>
      </c>
      <c r="E13909" s="4" t="s">
        <v>13</v>
      </c>
      <c r="F13909" s="4" t="s">
        <v>13</v>
      </c>
      <c r="G13909" s="4" t="s">
        <v>13</v>
      </c>
      <c r="H13909" s="4" t="s">
        <v>11</v>
      </c>
      <c r="I13909" s="4" t="s">
        <v>7</v>
      </c>
    </row>
    <row r="13910" spans="1:15">
      <c r="A13910" t="n">
        <v>132222</v>
      </c>
      <c r="B13910" s="51" t="n">
        <v>45</v>
      </c>
      <c r="C13910" s="7" t="n">
        <v>4</v>
      </c>
      <c r="D13910" s="7" t="n">
        <v>3</v>
      </c>
      <c r="E13910" s="7" t="n">
        <v>11.2600002288818</v>
      </c>
      <c r="F13910" s="7" t="n">
        <v>52.6300010681152</v>
      </c>
      <c r="G13910" s="7" t="n">
        <v>354</v>
      </c>
      <c r="H13910" s="7" t="n">
        <v>40000</v>
      </c>
      <c r="I13910" s="7" t="n">
        <v>1</v>
      </c>
    </row>
    <row r="13911" spans="1:15">
      <c r="A13911" t="s">
        <v>4</v>
      </c>
      <c r="B13911" s="4" t="s">
        <v>5</v>
      </c>
      <c r="C13911" s="4" t="s">
        <v>7</v>
      </c>
      <c r="D13911" s="4" t="s">
        <v>11</v>
      </c>
      <c r="E13911" s="4" t="s">
        <v>8</v>
      </c>
    </row>
    <row r="13912" spans="1:15">
      <c r="A13912" t="n">
        <v>132240</v>
      </c>
      <c r="B13912" s="38" t="n">
        <v>51</v>
      </c>
      <c r="C13912" s="7" t="n">
        <v>4</v>
      </c>
      <c r="D13912" s="7" t="n">
        <v>0</v>
      </c>
      <c r="E13912" s="7" t="s">
        <v>285</v>
      </c>
    </row>
    <row r="13913" spans="1:15">
      <c r="A13913" t="s">
        <v>4</v>
      </c>
      <c r="B13913" s="4" t="s">
        <v>5</v>
      </c>
      <c r="C13913" s="4" t="s">
        <v>11</v>
      </c>
    </row>
    <row r="13914" spans="1:15">
      <c r="A13914" t="n">
        <v>132253</v>
      </c>
      <c r="B13914" s="29" t="n">
        <v>16</v>
      </c>
      <c r="C13914" s="7" t="n">
        <v>0</v>
      </c>
    </row>
    <row r="13915" spans="1:15">
      <c r="A13915" t="s">
        <v>4</v>
      </c>
      <c r="B13915" s="4" t="s">
        <v>5</v>
      </c>
      <c r="C13915" s="4" t="s">
        <v>11</v>
      </c>
      <c r="D13915" s="4" t="s">
        <v>7</v>
      </c>
      <c r="E13915" s="4" t="s">
        <v>15</v>
      </c>
      <c r="F13915" s="4" t="s">
        <v>55</v>
      </c>
      <c r="G13915" s="4" t="s">
        <v>7</v>
      </c>
      <c r="H13915" s="4" t="s">
        <v>7</v>
      </c>
      <c r="I13915" s="4" t="s">
        <v>7</v>
      </c>
      <c r="J13915" s="4" t="s">
        <v>15</v>
      </c>
      <c r="K13915" s="4" t="s">
        <v>55</v>
      </c>
      <c r="L13915" s="4" t="s">
        <v>7</v>
      </c>
      <c r="M13915" s="4" t="s">
        <v>7</v>
      </c>
    </row>
    <row r="13916" spans="1:15">
      <c r="A13916" t="n">
        <v>132256</v>
      </c>
      <c r="B13916" s="55" t="n">
        <v>26</v>
      </c>
      <c r="C13916" s="7" t="n">
        <v>0</v>
      </c>
      <c r="D13916" s="7" t="n">
        <v>17</v>
      </c>
      <c r="E13916" s="7" t="n">
        <v>64209</v>
      </c>
      <c r="F13916" s="7" t="s">
        <v>1123</v>
      </c>
      <c r="G13916" s="7" t="n">
        <v>2</v>
      </c>
      <c r="H13916" s="7" t="n">
        <v>3</v>
      </c>
      <c r="I13916" s="7" t="n">
        <v>17</v>
      </c>
      <c r="J13916" s="7" t="n">
        <v>64210</v>
      </c>
      <c r="K13916" s="7" t="s">
        <v>1124</v>
      </c>
      <c r="L13916" s="7" t="n">
        <v>2</v>
      </c>
      <c r="M13916" s="7" t="n">
        <v>0</v>
      </c>
    </row>
    <row r="13917" spans="1:15">
      <c r="A13917" t="s">
        <v>4</v>
      </c>
      <c r="B13917" s="4" t="s">
        <v>5</v>
      </c>
    </row>
    <row r="13918" spans="1:15">
      <c r="A13918" t="n">
        <v>132375</v>
      </c>
      <c r="B13918" s="27" t="n">
        <v>28</v>
      </c>
    </row>
    <row r="13919" spans="1:15">
      <c r="A13919" t="s">
        <v>4</v>
      </c>
      <c r="B13919" s="4" t="s">
        <v>5</v>
      </c>
      <c r="C13919" s="4" t="s">
        <v>7</v>
      </c>
      <c r="D13919" s="4" t="s">
        <v>11</v>
      </c>
      <c r="E13919" s="4" t="s">
        <v>8</v>
      </c>
    </row>
    <row r="13920" spans="1:15">
      <c r="A13920" t="n">
        <v>132376</v>
      </c>
      <c r="B13920" s="38" t="n">
        <v>51</v>
      </c>
      <c r="C13920" s="7" t="n">
        <v>4</v>
      </c>
      <c r="D13920" s="7" t="n">
        <v>6</v>
      </c>
      <c r="E13920" s="7" t="s">
        <v>247</v>
      </c>
    </row>
    <row r="13921" spans="1:13">
      <c r="A13921" t="s">
        <v>4</v>
      </c>
      <c r="B13921" s="4" t="s">
        <v>5</v>
      </c>
      <c r="C13921" s="4" t="s">
        <v>11</v>
      </c>
    </row>
    <row r="13922" spans="1:13">
      <c r="A13922" t="n">
        <v>132390</v>
      </c>
      <c r="B13922" s="29" t="n">
        <v>16</v>
      </c>
      <c r="C13922" s="7" t="n">
        <v>0</v>
      </c>
    </row>
    <row r="13923" spans="1:13">
      <c r="A13923" t="s">
        <v>4</v>
      </c>
      <c r="B13923" s="4" t="s">
        <v>5</v>
      </c>
      <c r="C13923" s="4" t="s">
        <v>11</v>
      </c>
      <c r="D13923" s="4" t="s">
        <v>7</v>
      </c>
      <c r="E13923" s="4" t="s">
        <v>15</v>
      </c>
      <c r="F13923" s="4" t="s">
        <v>55</v>
      </c>
      <c r="G13923" s="4" t="s">
        <v>7</v>
      </c>
      <c r="H13923" s="4" t="s">
        <v>7</v>
      </c>
      <c r="I13923" s="4" t="s">
        <v>7</v>
      </c>
      <c r="J13923" s="4" t="s">
        <v>15</v>
      </c>
      <c r="K13923" s="4" t="s">
        <v>55</v>
      </c>
      <c r="L13923" s="4" t="s">
        <v>7</v>
      </c>
      <c r="M13923" s="4" t="s">
        <v>7</v>
      </c>
    </row>
    <row r="13924" spans="1:13">
      <c r="A13924" t="n">
        <v>132393</v>
      </c>
      <c r="B13924" s="55" t="n">
        <v>26</v>
      </c>
      <c r="C13924" s="7" t="n">
        <v>6</v>
      </c>
      <c r="D13924" s="7" t="n">
        <v>17</v>
      </c>
      <c r="E13924" s="7" t="n">
        <v>8817</v>
      </c>
      <c r="F13924" s="7" t="s">
        <v>1125</v>
      </c>
      <c r="G13924" s="7" t="n">
        <v>2</v>
      </c>
      <c r="H13924" s="7" t="n">
        <v>3</v>
      </c>
      <c r="I13924" s="7" t="n">
        <v>17</v>
      </c>
      <c r="J13924" s="7" t="n">
        <v>8818</v>
      </c>
      <c r="K13924" s="7" t="s">
        <v>1126</v>
      </c>
      <c r="L13924" s="7" t="n">
        <v>2</v>
      </c>
      <c r="M13924" s="7" t="n">
        <v>0</v>
      </c>
    </row>
    <row r="13925" spans="1:13">
      <c r="A13925" t="s">
        <v>4</v>
      </c>
      <c r="B13925" s="4" t="s">
        <v>5</v>
      </c>
    </row>
    <row r="13926" spans="1:13">
      <c r="A13926" t="n">
        <v>132492</v>
      </c>
      <c r="B13926" s="27" t="n">
        <v>28</v>
      </c>
    </row>
    <row r="13927" spans="1:13">
      <c r="A13927" t="s">
        <v>4</v>
      </c>
      <c r="B13927" s="4" t="s">
        <v>5</v>
      </c>
      <c r="C13927" s="4" t="s">
        <v>11</v>
      </c>
      <c r="D13927" s="4" t="s">
        <v>7</v>
      </c>
    </row>
    <row r="13928" spans="1:13">
      <c r="A13928" t="n">
        <v>132493</v>
      </c>
      <c r="B13928" s="68" t="n">
        <v>89</v>
      </c>
      <c r="C13928" s="7" t="n">
        <v>65533</v>
      </c>
      <c r="D13928" s="7" t="n">
        <v>1</v>
      </c>
    </row>
    <row r="13929" spans="1:13">
      <c r="A13929" t="s">
        <v>4</v>
      </c>
      <c r="B13929" s="4" t="s">
        <v>5</v>
      </c>
      <c r="C13929" s="4" t="s">
        <v>11</v>
      </c>
    </row>
    <row r="13930" spans="1:13">
      <c r="A13930" t="n">
        <v>132497</v>
      </c>
      <c r="B13930" s="29" t="n">
        <v>16</v>
      </c>
      <c r="C13930" s="7" t="n">
        <v>1000</v>
      </c>
    </row>
    <row r="13931" spans="1:13">
      <c r="A13931" t="s">
        <v>4</v>
      </c>
      <c r="B13931" s="4" t="s">
        <v>5</v>
      </c>
      <c r="C13931" s="4" t="s">
        <v>7</v>
      </c>
      <c r="D13931" s="4" t="s">
        <v>13</v>
      </c>
      <c r="E13931" s="4" t="s">
        <v>11</v>
      </c>
      <c r="F13931" s="4" t="s">
        <v>7</v>
      </c>
    </row>
    <row r="13932" spans="1:13">
      <c r="A13932" t="n">
        <v>132500</v>
      </c>
      <c r="B13932" s="13" t="n">
        <v>49</v>
      </c>
      <c r="C13932" s="7" t="n">
        <v>3</v>
      </c>
      <c r="D13932" s="7" t="n">
        <v>1</v>
      </c>
      <c r="E13932" s="7" t="n">
        <v>1000</v>
      </c>
      <c r="F13932" s="7" t="n">
        <v>0</v>
      </c>
    </row>
    <row r="13933" spans="1:13">
      <c r="A13933" t="s">
        <v>4</v>
      </c>
      <c r="B13933" s="4" t="s">
        <v>5</v>
      </c>
      <c r="C13933" s="4" t="s">
        <v>7</v>
      </c>
      <c r="D13933" s="4" t="s">
        <v>11</v>
      </c>
      <c r="E13933" s="4" t="s">
        <v>13</v>
      </c>
    </row>
    <row r="13934" spans="1:13">
      <c r="A13934" t="n">
        <v>132509</v>
      </c>
      <c r="B13934" s="23" t="n">
        <v>58</v>
      </c>
      <c r="C13934" s="7" t="n">
        <v>101</v>
      </c>
      <c r="D13934" s="7" t="n">
        <v>1000</v>
      </c>
      <c r="E13934" s="7" t="n">
        <v>1</v>
      </c>
    </row>
    <row r="13935" spans="1:13">
      <c r="A13935" t="s">
        <v>4</v>
      </c>
      <c r="B13935" s="4" t="s">
        <v>5</v>
      </c>
      <c r="C13935" s="4" t="s">
        <v>7</v>
      </c>
      <c r="D13935" s="4" t="s">
        <v>11</v>
      </c>
    </row>
    <row r="13936" spans="1:13">
      <c r="A13936" t="n">
        <v>132517</v>
      </c>
      <c r="B13936" s="23" t="n">
        <v>58</v>
      </c>
      <c r="C13936" s="7" t="n">
        <v>254</v>
      </c>
      <c r="D13936" s="7" t="n">
        <v>0</v>
      </c>
    </row>
    <row r="13937" spans="1:13">
      <c r="A13937" t="s">
        <v>4</v>
      </c>
      <c r="B13937" s="4" t="s">
        <v>5</v>
      </c>
      <c r="C13937" s="4" t="s">
        <v>7</v>
      </c>
    </row>
    <row r="13938" spans="1:13">
      <c r="A13938" t="n">
        <v>132521</v>
      </c>
      <c r="B13938" s="49" t="n">
        <v>116</v>
      </c>
      <c r="C13938" s="7" t="n">
        <v>0</v>
      </c>
    </row>
    <row r="13939" spans="1:13">
      <c r="A13939" t="s">
        <v>4</v>
      </c>
      <c r="B13939" s="4" t="s">
        <v>5</v>
      </c>
      <c r="C13939" s="4" t="s">
        <v>7</v>
      </c>
      <c r="D13939" s="4" t="s">
        <v>11</v>
      </c>
    </row>
    <row r="13940" spans="1:13">
      <c r="A13940" t="n">
        <v>132523</v>
      </c>
      <c r="B13940" s="49" t="n">
        <v>116</v>
      </c>
      <c r="C13940" s="7" t="n">
        <v>2</v>
      </c>
      <c r="D13940" s="7" t="n">
        <v>1</v>
      </c>
    </row>
    <row r="13941" spans="1:13">
      <c r="A13941" t="s">
        <v>4</v>
      </c>
      <c r="B13941" s="4" t="s">
        <v>5</v>
      </c>
      <c r="C13941" s="4" t="s">
        <v>7</v>
      </c>
      <c r="D13941" s="4" t="s">
        <v>15</v>
      </c>
    </row>
    <row r="13942" spans="1:13">
      <c r="A13942" t="n">
        <v>132527</v>
      </c>
      <c r="B13942" s="49" t="n">
        <v>116</v>
      </c>
      <c r="C13942" s="7" t="n">
        <v>5</v>
      </c>
      <c r="D13942" s="7" t="n">
        <v>1092616192</v>
      </c>
    </row>
    <row r="13943" spans="1:13">
      <c r="A13943" t="s">
        <v>4</v>
      </c>
      <c r="B13943" s="4" t="s">
        <v>5</v>
      </c>
      <c r="C13943" s="4" t="s">
        <v>7</v>
      </c>
      <c r="D13943" s="4" t="s">
        <v>11</v>
      </c>
    </row>
    <row r="13944" spans="1:13">
      <c r="A13944" t="n">
        <v>132533</v>
      </c>
      <c r="B13944" s="49" t="n">
        <v>116</v>
      </c>
      <c r="C13944" s="7" t="n">
        <v>6</v>
      </c>
      <c r="D13944" s="7" t="n">
        <v>1</v>
      </c>
    </row>
    <row r="13945" spans="1:13">
      <c r="A13945" t="s">
        <v>4</v>
      </c>
      <c r="B13945" s="4" t="s">
        <v>5</v>
      </c>
      <c r="C13945" s="4" t="s">
        <v>7</v>
      </c>
      <c r="D13945" s="4" t="s">
        <v>7</v>
      </c>
      <c r="E13945" s="4" t="s">
        <v>13</v>
      </c>
      <c r="F13945" s="4" t="s">
        <v>13</v>
      </c>
      <c r="G13945" s="4" t="s">
        <v>13</v>
      </c>
      <c r="H13945" s="4" t="s">
        <v>11</v>
      </c>
    </row>
    <row r="13946" spans="1:13">
      <c r="A13946" t="n">
        <v>132537</v>
      </c>
      <c r="B13946" s="51" t="n">
        <v>45</v>
      </c>
      <c r="C13946" s="7" t="n">
        <v>2</v>
      </c>
      <c r="D13946" s="7" t="n">
        <v>3</v>
      </c>
      <c r="E13946" s="7" t="n">
        <v>-6.67000007629395</v>
      </c>
      <c r="F13946" s="7" t="n">
        <v>6.42000007629395</v>
      </c>
      <c r="G13946" s="7" t="n">
        <v>29.8899993896484</v>
      </c>
      <c r="H13946" s="7" t="n">
        <v>0</v>
      </c>
    </row>
    <row r="13947" spans="1:13">
      <c r="A13947" t="s">
        <v>4</v>
      </c>
      <c r="B13947" s="4" t="s">
        <v>5</v>
      </c>
      <c r="C13947" s="4" t="s">
        <v>7</v>
      </c>
      <c r="D13947" s="4" t="s">
        <v>7</v>
      </c>
      <c r="E13947" s="4" t="s">
        <v>13</v>
      </c>
      <c r="F13947" s="4" t="s">
        <v>13</v>
      </c>
      <c r="G13947" s="4" t="s">
        <v>13</v>
      </c>
      <c r="H13947" s="4" t="s">
        <v>11</v>
      </c>
      <c r="I13947" s="4" t="s">
        <v>7</v>
      </c>
    </row>
    <row r="13948" spans="1:13">
      <c r="A13948" t="n">
        <v>132554</v>
      </c>
      <c r="B13948" s="51" t="n">
        <v>45</v>
      </c>
      <c r="C13948" s="7" t="n">
        <v>4</v>
      </c>
      <c r="D13948" s="7" t="n">
        <v>3</v>
      </c>
      <c r="E13948" s="7" t="n">
        <v>15.4700002670288</v>
      </c>
      <c r="F13948" s="7" t="n">
        <v>56.1100006103516</v>
      </c>
      <c r="G13948" s="7" t="n">
        <v>354</v>
      </c>
      <c r="H13948" s="7" t="n">
        <v>0</v>
      </c>
      <c r="I13948" s="7" t="n">
        <v>0</v>
      </c>
    </row>
    <row r="13949" spans="1:13">
      <c r="A13949" t="s">
        <v>4</v>
      </c>
      <c r="B13949" s="4" t="s">
        <v>5</v>
      </c>
      <c r="C13949" s="4" t="s">
        <v>7</v>
      </c>
      <c r="D13949" s="4" t="s">
        <v>7</v>
      </c>
      <c r="E13949" s="4" t="s">
        <v>13</v>
      </c>
      <c r="F13949" s="4" t="s">
        <v>11</v>
      </c>
    </row>
    <row r="13950" spans="1:13">
      <c r="A13950" t="n">
        <v>132572</v>
      </c>
      <c r="B13950" s="51" t="n">
        <v>45</v>
      </c>
      <c r="C13950" s="7" t="n">
        <v>5</v>
      </c>
      <c r="D13950" s="7" t="n">
        <v>3</v>
      </c>
      <c r="E13950" s="7" t="n">
        <v>1.5</v>
      </c>
      <c r="F13950" s="7" t="n">
        <v>0</v>
      </c>
    </row>
    <row r="13951" spans="1:13">
      <c r="A13951" t="s">
        <v>4</v>
      </c>
      <c r="B13951" s="4" t="s">
        <v>5</v>
      </c>
      <c r="C13951" s="4" t="s">
        <v>7</v>
      </c>
      <c r="D13951" s="4" t="s">
        <v>7</v>
      </c>
      <c r="E13951" s="4" t="s">
        <v>13</v>
      </c>
      <c r="F13951" s="4" t="s">
        <v>11</v>
      </c>
    </row>
    <row r="13952" spans="1:13">
      <c r="A13952" t="n">
        <v>132581</v>
      </c>
      <c r="B13952" s="51" t="n">
        <v>45</v>
      </c>
      <c r="C13952" s="7" t="n">
        <v>11</v>
      </c>
      <c r="D13952" s="7" t="n">
        <v>3</v>
      </c>
      <c r="E13952" s="7" t="n">
        <v>40.2999992370605</v>
      </c>
      <c r="F13952" s="7" t="n">
        <v>0</v>
      </c>
    </row>
    <row r="13953" spans="1:9">
      <c r="A13953" t="s">
        <v>4</v>
      </c>
      <c r="B13953" s="4" t="s">
        <v>5</v>
      </c>
      <c r="C13953" s="4" t="s">
        <v>7</v>
      </c>
      <c r="D13953" s="4" t="s">
        <v>7</v>
      </c>
      <c r="E13953" s="4" t="s">
        <v>13</v>
      </c>
      <c r="F13953" s="4" t="s">
        <v>13</v>
      </c>
      <c r="G13953" s="4" t="s">
        <v>13</v>
      </c>
      <c r="H13953" s="4" t="s">
        <v>11</v>
      </c>
    </row>
    <row r="13954" spans="1:9">
      <c r="A13954" t="n">
        <v>132590</v>
      </c>
      <c r="B13954" s="51" t="n">
        <v>45</v>
      </c>
      <c r="C13954" s="7" t="n">
        <v>2</v>
      </c>
      <c r="D13954" s="7" t="n">
        <v>3</v>
      </c>
      <c r="E13954" s="7" t="n">
        <v>-6.34000015258789</v>
      </c>
      <c r="F13954" s="7" t="n">
        <v>6.59000015258789</v>
      </c>
      <c r="G13954" s="7" t="n">
        <v>28.8899993896484</v>
      </c>
      <c r="H13954" s="7" t="n">
        <v>6000</v>
      </c>
    </row>
    <row r="13955" spans="1:9">
      <c r="A13955" t="s">
        <v>4</v>
      </c>
      <c r="B13955" s="4" t="s">
        <v>5</v>
      </c>
      <c r="C13955" s="4" t="s">
        <v>7</v>
      </c>
      <c r="D13955" s="4" t="s">
        <v>7</v>
      </c>
      <c r="E13955" s="4" t="s">
        <v>13</v>
      </c>
      <c r="F13955" s="4" t="s">
        <v>13</v>
      </c>
      <c r="G13955" s="4" t="s">
        <v>13</v>
      </c>
      <c r="H13955" s="4" t="s">
        <v>11</v>
      </c>
      <c r="I13955" s="4" t="s">
        <v>7</v>
      </c>
    </row>
    <row r="13956" spans="1:9">
      <c r="A13956" t="n">
        <v>132607</v>
      </c>
      <c r="B13956" s="51" t="n">
        <v>45</v>
      </c>
      <c r="C13956" s="7" t="n">
        <v>4</v>
      </c>
      <c r="D13956" s="7" t="n">
        <v>3</v>
      </c>
      <c r="E13956" s="7" t="n">
        <v>10.7700004577637</v>
      </c>
      <c r="F13956" s="7" t="n">
        <v>43.6100006103516</v>
      </c>
      <c r="G13956" s="7" t="n">
        <v>360</v>
      </c>
      <c r="H13956" s="7" t="n">
        <v>6000</v>
      </c>
      <c r="I13956" s="7" t="n">
        <v>1</v>
      </c>
    </row>
    <row r="13957" spans="1:9">
      <c r="A13957" t="s">
        <v>4</v>
      </c>
      <c r="B13957" s="4" t="s">
        <v>5</v>
      </c>
      <c r="C13957" s="4" t="s">
        <v>7</v>
      </c>
      <c r="D13957" s="4" t="s">
        <v>11</v>
      </c>
    </row>
    <row r="13958" spans="1:9">
      <c r="A13958" t="n">
        <v>132625</v>
      </c>
      <c r="B13958" s="23" t="n">
        <v>58</v>
      </c>
      <c r="C13958" s="7" t="n">
        <v>255</v>
      </c>
      <c r="D13958" s="7" t="n">
        <v>0</v>
      </c>
    </row>
    <row r="13959" spans="1:9">
      <c r="A13959" t="s">
        <v>4</v>
      </c>
      <c r="B13959" s="4" t="s">
        <v>5</v>
      </c>
      <c r="C13959" s="4" t="s">
        <v>7</v>
      </c>
      <c r="D13959" s="4" t="s">
        <v>11</v>
      </c>
    </row>
    <row r="13960" spans="1:9">
      <c r="A13960" t="n">
        <v>132629</v>
      </c>
      <c r="B13960" s="51" t="n">
        <v>45</v>
      </c>
      <c r="C13960" s="7" t="n">
        <v>7</v>
      </c>
      <c r="D13960" s="7" t="n">
        <v>255</v>
      </c>
    </row>
    <row r="13961" spans="1:9">
      <c r="A13961" t="s">
        <v>4</v>
      </c>
      <c r="B13961" s="4" t="s">
        <v>5</v>
      </c>
      <c r="C13961" s="4" t="s">
        <v>7</v>
      </c>
      <c r="D13961" s="4" t="s">
        <v>11</v>
      </c>
      <c r="E13961" s="4" t="s">
        <v>13</v>
      </c>
    </row>
    <row r="13962" spans="1:9">
      <c r="A13962" t="n">
        <v>132633</v>
      </c>
      <c r="B13962" s="23" t="n">
        <v>58</v>
      </c>
      <c r="C13962" s="7" t="n">
        <v>0</v>
      </c>
      <c r="D13962" s="7" t="n">
        <v>2000</v>
      </c>
      <c r="E13962" s="7" t="n">
        <v>1</v>
      </c>
    </row>
    <row r="13963" spans="1:9">
      <c r="A13963" t="s">
        <v>4</v>
      </c>
      <c r="B13963" s="4" t="s">
        <v>5</v>
      </c>
      <c r="C13963" s="4" t="s">
        <v>7</v>
      </c>
      <c r="D13963" s="4" t="s">
        <v>11</v>
      </c>
    </row>
    <row r="13964" spans="1:9">
      <c r="A13964" t="n">
        <v>132641</v>
      </c>
      <c r="B13964" s="23" t="n">
        <v>58</v>
      </c>
      <c r="C13964" s="7" t="n">
        <v>255</v>
      </c>
      <c r="D13964" s="7" t="n">
        <v>0</v>
      </c>
    </row>
    <row r="13965" spans="1:9">
      <c r="A13965" t="s">
        <v>4</v>
      </c>
      <c r="B13965" s="4" t="s">
        <v>5</v>
      </c>
      <c r="C13965" s="4" t="s">
        <v>7</v>
      </c>
      <c r="D13965" s="4" t="s">
        <v>11</v>
      </c>
      <c r="E13965" s="4" t="s">
        <v>11</v>
      </c>
      <c r="F13965" s="4" t="s">
        <v>15</v>
      </c>
    </row>
    <row r="13966" spans="1:9">
      <c r="A13966" t="n">
        <v>132645</v>
      </c>
      <c r="B13966" s="76" t="n">
        <v>84</v>
      </c>
      <c r="C13966" s="7" t="n">
        <v>1</v>
      </c>
      <c r="D13966" s="7" t="n">
        <v>0</v>
      </c>
      <c r="E13966" s="7" t="n">
        <v>0</v>
      </c>
      <c r="F13966" s="7" t="n">
        <v>0</v>
      </c>
    </row>
    <row r="13967" spans="1:9">
      <c r="A13967" t="s">
        <v>4</v>
      </c>
      <c r="B13967" s="4" t="s">
        <v>5</v>
      </c>
      <c r="C13967" s="4" t="s">
        <v>7</v>
      </c>
    </row>
    <row r="13968" spans="1:9">
      <c r="A13968" t="n">
        <v>132655</v>
      </c>
      <c r="B13968" s="28" t="n">
        <v>78</v>
      </c>
      <c r="C13968" s="7" t="n">
        <v>255</v>
      </c>
    </row>
    <row r="13969" spans="1:9">
      <c r="A13969" t="s">
        <v>4</v>
      </c>
      <c r="B13969" s="4" t="s">
        <v>5</v>
      </c>
      <c r="C13969" s="4" t="s">
        <v>7</v>
      </c>
      <c r="D13969" s="4" t="s">
        <v>11</v>
      </c>
      <c r="E13969" s="4" t="s">
        <v>7</v>
      </c>
    </row>
    <row r="13970" spans="1:9">
      <c r="A13970" t="n">
        <v>132657</v>
      </c>
      <c r="B13970" s="40" t="n">
        <v>36</v>
      </c>
      <c r="C13970" s="7" t="n">
        <v>9</v>
      </c>
      <c r="D13970" s="7" t="n">
        <v>0</v>
      </c>
      <c r="E13970" s="7" t="n">
        <v>0</v>
      </c>
    </row>
    <row r="13971" spans="1:9">
      <c r="A13971" t="s">
        <v>4</v>
      </c>
      <c r="B13971" s="4" t="s">
        <v>5</v>
      </c>
      <c r="C13971" s="4" t="s">
        <v>7</v>
      </c>
      <c r="D13971" s="4" t="s">
        <v>11</v>
      </c>
      <c r="E13971" s="4" t="s">
        <v>7</v>
      </c>
    </row>
    <row r="13972" spans="1:9">
      <c r="A13972" t="n">
        <v>132662</v>
      </c>
      <c r="B13972" s="40" t="n">
        <v>36</v>
      </c>
      <c r="C13972" s="7" t="n">
        <v>9</v>
      </c>
      <c r="D13972" s="7" t="n">
        <v>6</v>
      </c>
      <c r="E13972" s="7" t="n">
        <v>0</v>
      </c>
    </row>
    <row r="13973" spans="1:9">
      <c r="A13973" t="s">
        <v>4</v>
      </c>
      <c r="B13973" s="4" t="s">
        <v>5</v>
      </c>
      <c r="C13973" s="4" t="s">
        <v>11</v>
      </c>
    </row>
    <row r="13974" spans="1:9">
      <c r="A13974" t="n">
        <v>132667</v>
      </c>
      <c r="B13974" s="43" t="n">
        <v>12</v>
      </c>
      <c r="C13974" s="7" t="n">
        <v>10835</v>
      </c>
    </row>
    <row r="13975" spans="1:9">
      <c r="A13975" t="s">
        <v>4</v>
      </c>
      <c r="B13975" s="4" t="s">
        <v>5</v>
      </c>
      <c r="C13975" s="4" t="s">
        <v>11</v>
      </c>
    </row>
    <row r="13976" spans="1:9">
      <c r="A13976" t="n">
        <v>132670</v>
      </c>
      <c r="B13976" s="43" t="n">
        <v>12</v>
      </c>
      <c r="C13976" s="7" t="n">
        <v>6581</v>
      </c>
    </row>
    <row r="13977" spans="1:9">
      <c r="A13977" t="s">
        <v>4</v>
      </c>
      <c r="B13977" s="4" t="s">
        <v>5</v>
      </c>
      <c r="C13977" s="4" t="s">
        <v>7</v>
      </c>
      <c r="D13977" s="4" t="s">
        <v>15</v>
      </c>
    </row>
    <row r="13978" spans="1:9">
      <c r="A13978" t="n">
        <v>132673</v>
      </c>
      <c r="B13978" s="79" t="n">
        <v>137</v>
      </c>
      <c r="C13978" s="7" t="n">
        <v>6</v>
      </c>
      <c r="D13978" s="7" t="n">
        <v>4096</v>
      </c>
    </row>
    <row r="13979" spans="1:9">
      <c r="A13979" t="s">
        <v>4</v>
      </c>
      <c r="B13979" s="4" t="s">
        <v>5</v>
      </c>
      <c r="C13979" s="4" t="s">
        <v>11</v>
      </c>
      <c r="D13979" s="4" t="s">
        <v>7</v>
      </c>
      <c r="E13979" s="4" t="s">
        <v>11</v>
      </c>
    </row>
    <row r="13980" spans="1:9">
      <c r="A13980" t="n">
        <v>132679</v>
      </c>
      <c r="B13980" s="58" t="n">
        <v>104</v>
      </c>
      <c r="C13980" s="7" t="n">
        <v>127</v>
      </c>
      <c r="D13980" s="7" t="n">
        <v>1</v>
      </c>
      <c r="E13980" s="7" t="n">
        <v>8</v>
      </c>
    </row>
    <row r="13981" spans="1:9">
      <c r="A13981" t="s">
        <v>4</v>
      </c>
      <c r="B13981" s="4" t="s">
        <v>5</v>
      </c>
    </row>
    <row r="13982" spans="1:9">
      <c r="A13982" t="n">
        <v>132685</v>
      </c>
      <c r="B13982" s="5" t="n">
        <v>1</v>
      </c>
    </row>
    <row r="13983" spans="1:9">
      <c r="A13983" t="s">
        <v>4</v>
      </c>
      <c r="B13983" s="4" t="s">
        <v>5</v>
      </c>
      <c r="C13983" s="4" t="s">
        <v>7</v>
      </c>
      <c r="D13983" s="4" t="s">
        <v>11</v>
      </c>
      <c r="E13983" s="4" t="s">
        <v>11</v>
      </c>
      <c r="F13983" s="4" t="s">
        <v>15</v>
      </c>
      <c r="G13983" s="4" t="s">
        <v>15</v>
      </c>
      <c r="H13983" s="4" t="s">
        <v>15</v>
      </c>
    </row>
    <row r="13984" spans="1:9">
      <c r="A13984" t="n">
        <v>132686</v>
      </c>
      <c r="B13984" s="77" t="n">
        <v>97</v>
      </c>
      <c r="C13984" s="7" t="n">
        <v>7</v>
      </c>
      <c r="D13984" s="7" t="n">
        <v>0</v>
      </c>
      <c r="E13984" s="7" t="n">
        <v>0</v>
      </c>
      <c r="F13984" s="7" t="n">
        <v>0</v>
      </c>
      <c r="G13984" s="7" t="n">
        <v>0</v>
      </c>
      <c r="H13984" s="7" t="n">
        <v>0</v>
      </c>
    </row>
    <row r="13985" spans="1:8">
      <c r="A13985" t="s">
        <v>4</v>
      </c>
      <c r="B13985" s="4" t="s">
        <v>5</v>
      </c>
      <c r="C13985" s="4" t="s">
        <v>11</v>
      </c>
      <c r="D13985" s="4" t="s">
        <v>15</v>
      </c>
    </row>
    <row r="13986" spans="1:8">
      <c r="A13986" t="n">
        <v>132704</v>
      </c>
      <c r="B13986" s="63" t="n">
        <v>44</v>
      </c>
      <c r="C13986" s="7" t="n">
        <v>0</v>
      </c>
      <c r="D13986" s="7" t="n">
        <v>256</v>
      </c>
    </row>
    <row r="13987" spans="1:8">
      <c r="A13987" t="s">
        <v>4</v>
      </c>
      <c r="B13987" s="4" t="s">
        <v>5</v>
      </c>
      <c r="C13987" s="4" t="s">
        <v>11</v>
      </c>
      <c r="D13987" s="4" t="s">
        <v>13</v>
      </c>
      <c r="E13987" s="4" t="s">
        <v>13</v>
      </c>
      <c r="F13987" s="4" t="s">
        <v>13</v>
      </c>
      <c r="G13987" s="4" t="s">
        <v>13</v>
      </c>
    </row>
    <row r="13988" spans="1:8">
      <c r="A13988" t="n">
        <v>132711</v>
      </c>
      <c r="B13988" s="36" t="n">
        <v>46</v>
      </c>
      <c r="C13988" s="7" t="n">
        <v>61456</v>
      </c>
      <c r="D13988" s="7" t="n">
        <v>0</v>
      </c>
      <c r="E13988" s="7" t="n">
        <v>0</v>
      </c>
      <c r="F13988" s="7" t="n">
        <v>0</v>
      </c>
      <c r="G13988" s="7" t="n">
        <v>0</v>
      </c>
    </row>
    <row r="13989" spans="1:8">
      <c r="A13989" t="s">
        <v>4</v>
      </c>
      <c r="B13989" s="4" t="s">
        <v>5</v>
      </c>
      <c r="C13989" s="4" t="s">
        <v>7</v>
      </c>
      <c r="D13989" s="4" t="s">
        <v>11</v>
      </c>
    </row>
    <row r="13990" spans="1:8">
      <c r="A13990" t="n">
        <v>132730</v>
      </c>
      <c r="B13990" s="8" t="n">
        <v>162</v>
      </c>
      <c r="C13990" s="7" t="n">
        <v>1</v>
      </c>
      <c r="D13990" s="7" t="n">
        <v>0</v>
      </c>
    </row>
    <row r="13991" spans="1:8">
      <c r="A13991" t="s">
        <v>4</v>
      </c>
      <c r="B13991" s="4" t="s">
        <v>5</v>
      </c>
    </row>
    <row r="13992" spans="1:8">
      <c r="A13992" t="n">
        <v>132734</v>
      </c>
      <c r="B13992" s="5" t="n">
        <v>1</v>
      </c>
    </row>
    <row r="13993" spans="1:8" s="3" customFormat="1" customHeight="0">
      <c r="A13993" s="3" t="s">
        <v>2</v>
      </c>
      <c r="B13993" s="3" t="s">
        <v>1127</v>
      </c>
    </row>
    <row r="13994" spans="1:8">
      <c r="A13994" t="s">
        <v>4</v>
      </c>
      <c r="B13994" s="4" t="s">
        <v>5</v>
      </c>
      <c r="C13994" s="4" t="s">
        <v>7</v>
      </c>
      <c r="D13994" s="4" t="s">
        <v>7</v>
      </c>
      <c r="E13994" s="4" t="s">
        <v>7</v>
      </c>
      <c r="F13994" s="4" t="s">
        <v>7</v>
      </c>
    </row>
    <row r="13995" spans="1:8">
      <c r="A13995" t="n">
        <v>132736</v>
      </c>
      <c r="B13995" s="9" t="n">
        <v>14</v>
      </c>
      <c r="C13995" s="7" t="n">
        <v>2</v>
      </c>
      <c r="D13995" s="7" t="n">
        <v>0</v>
      </c>
      <c r="E13995" s="7" t="n">
        <v>0</v>
      </c>
      <c r="F13995" s="7" t="n">
        <v>0</v>
      </c>
    </row>
    <row r="13996" spans="1:8">
      <c r="A13996" t="s">
        <v>4</v>
      </c>
      <c r="B13996" s="4" t="s">
        <v>5</v>
      </c>
      <c r="C13996" s="4" t="s">
        <v>7</v>
      </c>
      <c r="D13996" s="20" t="s">
        <v>35</v>
      </c>
      <c r="E13996" s="4" t="s">
        <v>5</v>
      </c>
      <c r="F13996" s="4" t="s">
        <v>7</v>
      </c>
      <c r="G13996" s="4" t="s">
        <v>11</v>
      </c>
      <c r="H13996" s="20" t="s">
        <v>36</v>
      </c>
      <c r="I13996" s="4" t="s">
        <v>7</v>
      </c>
      <c r="J13996" s="4" t="s">
        <v>15</v>
      </c>
      <c r="K13996" s="4" t="s">
        <v>7</v>
      </c>
      <c r="L13996" s="4" t="s">
        <v>7</v>
      </c>
      <c r="M13996" s="20" t="s">
        <v>35</v>
      </c>
      <c r="N13996" s="4" t="s">
        <v>5</v>
      </c>
      <c r="O13996" s="4" t="s">
        <v>7</v>
      </c>
      <c r="P13996" s="4" t="s">
        <v>11</v>
      </c>
      <c r="Q13996" s="20" t="s">
        <v>36</v>
      </c>
      <c r="R13996" s="4" t="s">
        <v>7</v>
      </c>
      <c r="S13996" s="4" t="s">
        <v>15</v>
      </c>
      <c r="T13996" s="4" t="s">
        <v>7</v>
      </c>
      <c r="U13996" s="4" t="s">
        <v>7</v>
      </c>
      <c r="V13996" s="4" t="s">
        <v>7</v>
      </c>
      <c r="W13996" s="4" t="s">
        <v>12</v>
      </c>
    </row>
    <row r="13997" spans="1:8">
      <c r="A13997" t="n">
        <v>132741</v>
      </c>
      <c r="B13997" s="10" t="n">
        <v>5</v>
      </c>
      <c r="C13997" s="7" t="n">
        <v>28</v>
      </c>
      <c r="D13997" s="20" t="s">
        <v>3</v>
      </c>
      <c r="E13997" s="8" t="n">
        <v>162</v>
      </c>
      <c r="F13997" s="7" t="n">
        <v>3</v>
      </c>
      <c r="G13997" s="7" t="n">
        <v>32899</v>
      </c>
      <c r="H13997" s="20" t="s">
        <v>3</v>
      </c>
      <c r="I13997" s="7" t="n">
        <v>0</v>
      </c>
      <c r="J13997" s="7" t="n">
        <v>1</v>
      </c>
      <c r="K13997" s="7" t="n">
        <v>2</v>
      </c>
      <c r="L13997" s="7" t="n">
        <v>28</v>
      </c>
      <c r="M13997" s="20" t="s">
        <v>3</v>
      </c>
      <c r="N13997" s="8" t="n">
        <v>162</v>
      </c>
      <c r="O13997" s="7" t="n">
        <v>3</v>
      </c>
      <c r="P13997" s="7" t="n">
        <v>32899</v>
      </c>
      <c r="Q13997" s="20" t="s">
        <v>3</v>
      </c>
      <c r="R13997" s="7" t="n">
        <v>0</v>
      </c>
      <c r="S13997" s="7" t="n">
        <v>2</v>
      </c>
      <c r="T13997" s="7" t="n">
        <v>2</v>
      </c>
      <c r="U13997" s="7" t="n">
        <v>11</v>
      </c>
      <c r="V13997" s="7" t="n">
        <v>1</v>
      </c>
      <c r="W13997" s="11" t="n">
        <f t="normal" ca="1">A14001</f>
        <v>0</v>
      </c>
    </row>
    <row r="13998" spans="1:8">
      <c r="A13998" t="s">
        <v>4</v>
      </c>
      <c r="B13998" s="4" t="s">
        <v>5</v>
      </c>
      <c r="C13998" s="4" t="s">
        <v>7</v>
      </c>
      <c r="D13998" s="4" t="s">
        <v>11</v>
      </c>
      <c r="E13998" s="4" t="s">
        <v>13</v>
      </c>
    </row>
    <row r="13999" spans="1:8">
      <c r="A13999" t="n">
        <v>132770</v>
      </c>
      <c r="B13999" s="23" t="n">
        <v>58</v>
      </c>
      <c r="C13999" s="7" t="n">
        <v>0</v>
      </c>
      <c r="D13999" s="7" t="n">
        <v>0</v>
      </c>
      <c r="E13999" s="7" t="n">
        <v>1</v>
      </c>
    </row>
    <row r="14000" spans="1:8">
      <c r="A14000" t="s">
        <v>4</v>
      </c>
      <c r="B14000" s="4" t="s">
        <v>5</v>
      </c>
      <c r="C14000" s="4" t="s">
        <v>7</v>
      </c>
      <c r="D14000" s="20" t="s">
        <v>35</v>
      </c>
      <c r="E14000" s="4" t="s">
        <v>5</v>
      </c>
      <c r="F14000" s="4" t="s">
        <v>7</v>
      </c>
      <c r="G14000" s="4" t="s">
        <v>11</v>
      </c>
      <c r="H14000" s="20" t="s">
        <v>36</v>
      </c>
      <c r="I14000" s="4" t="s">
        <v>7</v>
      </c>
      <c r="J14000" s="4" t="s">
        <v>15</v>
      </c>
      <c r="K14000" s="4" t="s">
        <v>7</v>
      </c>
      <c r="L14000" s="4" t="s">
        <v>7</v>
      </c>
      <c r="M14000" s="20" t="s">
        <v>35</v>
      </c>
      <c r="N14000" s="4" t="s">
        <v>5</v>
      </c>
      <c r="O14000" s="4" t="s">
        <v>7</v>
      </c>
      <c r="P14000" s="4" t="s">
        <v>11</v>
      </c>
      <c r="Q14000" s="20" t="s">
        <v>36</v>
      </c>
      <c r="R14000" s="4" t="s">
        <v>7</v>
      </c>
      <c r="S14000" s="4" t="s">
        <v>15</v>
      </c>
      <c r="T14000" s="4" t="s">
        <v>7</v>
      </c>
      <c r="U14000" s="4" t="s">
        <v>7</v>
      </c>
      <c r="V14000" s="4" t="s">
        <v>7</v>
      </c>
      <c r="W14000" s="4" t="s">
        <v>12</v>
      </c>
    </row>
    <row r="14001" spans="1:23">
      <c r="A14001" t="n">
        <v>132778</v>
      </c>
      <c r="B14001" s="10" t="n">
        <v>5</v>
      </c>
      <c r="C14001" s="7" t="n">
        <v>28</v>
      </c>
      <c r="D14001" s="20" t="s">
        <v>3</v>
      </c>
      <c r="E14001" s="8" t="n">
        <v>162</v>
      </c>
      <c r="F14001" s="7" t="n">
        <v>3</v>
      </c>
      <c r="G14001" s="7" t="n">
        <v>32899</v>
      </c>
      <c r="H14001" s="20" t="s">
        <v>3</v>
      </c>
      <c r="I14001" s="7" t="n">
        <v>0</v>
      </c>
      <c r="J14001" s="7" t="n">
        <v>1</v>
      </c>
      <c r="K14001" s="7" t="n">
        <v>3</v>
      </c>
      <c r="L14001" s="7" t="n">
        <v>28</v>
      </c>
      <c r="M14001" s="20" t="s">
        <v>3</v>
      </c>
      <c r="N14001" s="8" t="n">
        <v>162</v>
      </c>
      <c r="O14001" s="7" t="n">
        <v>3</v>
      </c>
      <c r="P14001" s="7" t="n">
        <v>32899</v>
      </c>
      <c r="Q14001" s="20" t="s">
        <v>3</v>
      </c>
      <c r="R14001" s="7" t="n">
        <v>0</v>
      </c>
      <c r="S14001" s="7" t="n">
        <v>2</v>
      </c>
      <c r="T14001" s="7" t="n">
        <v>3</v>
      </c>
      <c r="U14001" s="7" t="n">
        <v>9</v>
      </c>
      <c r="V14001" s="7" t="n">
        <v>1</v>
      </c>
      <c r="W14001" s="11" t="n">
        <f t="normal" ca="1">A14011</f>
        <v>0</v>
      </c>
    </row>
    <row r="14002" spans="1:23">
      <c r="A14002" t="s">
        <v>4</v>
      </c>
      <c r="B14002" s="4" t="s">
        <v>5</v>
      </c>
      <c r="C14002" s="4" t="s">
        <v>7</v>
      </c>
      <c r="D14002" s="20" t="s">
        <v>35</v>
      </c>
      <c r="E14002" s="4" t="s">
        <v>5</v>
      </c>
      <c r="F14002" s="4" t="s">
        <v>11</v>
      </c>
      <c r="G14002" s="4" t="s">
        <v>7</v>
      </c>
      <c r="H14002" s="4" t="s">
        <v>7</v>
      </c>
      <c r="I14002" s="4" t="s">
        <v>8</v>
      </c>
      <c r="J14002" s="20" t="s">
        <v>36</v>
      </c>
      <c r="K14002" s="4" t="s">
        <v>7</v>
      </c>
      <c r="L14002" s="4" t="s">
        <v>7</v>
      </c>
      <c r="M14002" s="20" t="s">
        <v>35</v>
      </c>
      <c r="N14002" s="4" t="s">
        <v>5</v>
      </c>
      <c r="O14002" s="4" t="s">
        <v>7</v>
      </c>
      <c r="P14002" s="20" t="s">
        <v>36</v>
      </c>
      <c r="Q14002" s="4" t="s">
        <v>7</v>
      </c>
      <c r="R14002" s="4" t="s">
        <v>15</v>
      </c>
      <c r="S14002" s="4" t="s">
        <v>7</v>
      </c>
      <c r="T14002" s="4" t="s">
        <v>7</v>
      </c>
      <c r="U14002" s="4" t="s">
        <v>7</v>
      </c>
      <c r="V14002" s="20" t="s">
        <v>35</v>
      </c>
      <c r="W14002" s="4" t="s">
        <v>5</v>
      </c>
      <c r="X14002" s="4" t="s">
        <v>7</v>
      </c>
      <c r="Y14002" s="20" t="s">
        <v>36</v>
      </c>
      <c r="Z14002" s="4" t="s">
        <v>7</v>
      </c>
      <c r="AA14002" s="4" t="s">
        <v>15</v>
      </c>
      <c r="AB14002" s="4" t="s">
        <v>7</v>
      </c>
      <c r="AC14002" s="4" t="s">
        <v>7</v>
      </c>
      <c r="AD14002" s="4" t="s">
        <v>7</v>
      </c>
      <c r="AE14002" s="4" t="s">
        <v>12</v>
      </c>
    </row>
    <row r="14003" spans="1:23">
      <c r="A14003" t="n">
        <v>132807</v>
      </c>
      <c r="B14003" s="10" t="n">
        <v>5</v>
      </c>
      <c r="C14003" s="7" t="n">
        <v>28</v>
      </c>
      <c r="D14003" s="20" t="s">
        <v>3</v>
      </c>
      <c r="E14003" s="41" t="n">
        <v>47</v>
      </c>
      <c r="F14003" s="7" t="n">
        <v>61456</v>
      </c>
      <c r="G14003" s="7" t="n">
        <v>2</v>
      </c>
      <c r="H14003" s="7" t="n">
        <v>0</v>
      </c>
      <c r="I14003" s="7" t="s">
        <v>105</v>
      </c>
      <c r="J14003" s="20" t="s">
        <v>3</v>
      </c>
      <c r="K14003" s="7" t="n">
        <v>8</v>
      </c>
      <c r="L14003" s="7" t="n">
        <v>28</v>
      </c>
      <c r="M14003" s="20" t="s">
        <v>3</v>
      </c>
      <c r="N14003" s="45" t="n">
        <v>74</v>
      </c>
      <c r="O14003" s="7" t="n">
        <v>65</v>
      </c>
      <c r="P14003" s="20" t="s">
        <v>3</v>
      </c>
      <c r="Q14003" s="7" t="n">
        <v>0</v>
      </c>
      <c r="R14003" s="7" t="n">
        <v>1</v>
      </c>
      <c r="S14003" s="7" t="n">
        <v>3</v>
      </c>
      <c r="T14003" s="7" t="n">
        <v>9</v>
      </c>
      <c r="U14003" s="7" t="n">
        <v>28</v>
      </c>
      <c r="V14003" s="20" t="s">
        <v>3</v>
      </c>
      <c r="W14003" s="45" t="n">
        <v>74</v>
      </c>
      <c r="X14003" s="7" t="n">
        <v>65</v>
      </c>
      <c r="Y14003" s="20" t="s">
        <v>3</v>
      </c>
      <c r="Z14003" s="7" t="n">
        <v>0</v>
      </c>
      <c r="AA14003" s="7" t="n">
        <v>2</v>
      </c>
      <c r="AB14003" s="7" t="n">
        <v>3</v>
      </c>
      <c r="AC14003" s="7" t="n">
        <v>9</v>
      </c>
      <c r="AD14003" s="7" t="n">
        <v>1</v>
      </c>
      <c r="AE14003" s="11" t="n">
        <f t="normal" ca="1">A14007</f>
        <v>0</v>
      </c>
    </row>
    <row r="14004" spans="1:23">
      <c r="A14004" t="s">
        <v>4</v>
      </c>
      <c r="B14004" s="4" t="s">
        <v>5</v>
      </c>
      <c r="C14004" s="4" t="s">
        <v>11</v>
      </c>
      <c r="D14004" s="4" t="s">
        <v>7</v>
      </c>
      <c r="E14004" s="4" t="s">
        <v>7</v>
      </c>
      <c r="F14004" s="4" t="s">
        <v>8</v>
      </c>
    </row>
    <row r="14005" spans="1:23">
      <c r="A14005" t="n">
        <v>132855</v>
      </c>
      <c r="B14005" s="41" t="n">
        <v>47</v>
      </c>
      <c r="C14005" s="7" t="n">
        <v>61456</v>
      </c>
      <c r="D14005" s="7" t="n">
        <v>0</v>
      </c>
      <c r="E14005" s="7" t="n">
        <v>0</v>
      </c>
      <c r="F14005" s="7" t="s">
        <v>106</v>
      </c>
    </row>
    <row r="14006" spans="1:23">
      <c r="A14006" t="s">
        <v>4</v>
      </c>
      <c r="B14006" s="4" t="s">
        <v>5</v>
      </c>
      <c r="C14006" s="4" t="s">
        <v>7</v>
      </c>
      <c r="D14006" s="4" t="s">
        <v>11</v>
      </c>
      <c r="E14006" s="4" t="s">
        <v>13</v>
      </c>
    </row>
    <row r="14007" spans="1:23">
      <c r="A14007" t="n">
        <v>132868</v>
      </c>
      <c r="B14007" s="23" t="n">
        <v>58</v>
      </c>
      <c r="C14007" s="7" t="n">
        <v>0</v>
      </c>
      <c r="D14007" s="7" t="n">
        <v>300</v>
      </c>
      <c r="E14007" s="7" t="n">
        <v>1</v>
      </c>
    </row>
    <row r="14008" spans="1:23">
      <c r="A14008" t="s">
        <v>4</v>
      </c>
      <c r="B14008" s="4" t="s">
        <v>5</v>
      </c>
      <c r="C14008" s="4" t="s">
        <v>7</v>
      </c>
      <c r="D14008" s="4" t="s">
        <v>11</v>
      </c>
    </row>
    <row r="14009" spans="1:23">
      <c r="A14009" t="n">
        <v>132876</v>
      </c>
      <c r="B14009" s="23" t="n">
        <v>58</v>
      </c>
      <c r="C14009" s="7" t="n">
        <v>255</v>
      </c>
      <c r="D14009" s="7" t="n">
        <v>0</v>
      </c>
    </row>
    <row r="14010" spans="1:23">
      <c r="A14010" t="s">
        <v>4</v>
      </c>
      <c r="B14010" s="4" t="s">
        <v>5</v>
      </c>
      <c r="C14010" s="4" t="s">
        <v>7</v>
      </c>
      <c r="D14010" s="4" t="s">
        <v>7</v>
      </c>
      <c r="E14010" s="4" t="s">
        <v>7</v>
      </c>
      <c r="F14010" s="4" t="s">
        <v>7</v>
      </c>
    </row>
    <row r="14011" spans="1:23">
      <c r="A14011" t="n">
        <v>132880</v>
      </c>
      <c r="B14011" s="9" t="n">
        <v>14</v>
      </c>
      <c r="C14011" s="7" t="n">
        <v>0</v>
      </c>
      <c r="D14011" s="7" t="n">
        <v>0</v>
      </c>
      <c r="E14011" s="7" t="n">
        <v>0</v>
      </c>
      <c r="F14011" s="7" t="n">
        <v>64</v>
      </c>
    </row>
    <row r="14012" spans="1:23">
      <c r="A14012" t="s">
        <v>4</v>
      </c>
      <c r="B14012" s="4" t="s">
        <v>5</v>
      </c>
      <c r="C14012" s="4" t="s">
        <v>7</v>
      </c>
      <c r="D14012" s="4" t="s">
        <v>11</v>
      </c>
    </row>
    <row r="14013" spans="1:23">
      <c r="A14013" t="n">
        <v>132885</v>
      </c>
      <c r="B14013" s="22" t="n">
        <v>22</v>
      </c>
      <c r="C14013" s="7" t="n">
        <v>0</v>
      </c>
      <c r="D14013" s="7" t="n">
        <v>32899</v>
      </c>
    </row>
    <row r="14014" spans="1:23">
      <c r="A14014" t="s">
        <v>4</v>
      </c>
      <c r="B14014" s="4" t="s">
        <v>5</v>
      </c>
      <c r="C14014" s="4" t="s">
        <v>7</v>
      </c>
      <c r="D14014" s="4" t="s">
        <v>11</v>
      </c>
    </row>
    <row r="14015" spans="1:23">
      <c r="A14015" t="n">
        <v>132889</v>
      </c>
      <c r="B14015" s="23" t="n">
        <v>58</v>
      </c>
      <c r="C14015" s="7" t="n">
        <v>5</v>
      </c>
      <c r="D14015" s="7" t="n">
        <v>300</v>
      </c>
    </row>
    <row r="14016" spans="1:23">
      <c r="A14016" t="s">
        <v>4</v>
      </c>
      <c r="B14016" s="4" t="s">
        <v>5</v>
      </c>
      <c r="C14016" s="4" t="s">
        <v>13</v>
      </c>
      <c r="D14016" s="4" t="s">
        <v>11</v>
      </c>
    </row>
    <row r="14017" spans="1:31">
      <c r="A14017" t="n">
        <v>132893</v>
      </c>
      <c r="B14017" s="46" t="n">
        <v>103</v>
      </c>
      <c r="C14017" s="7" t="n">
        <v>0</v>
      </c>
      <c r="D14017" s="7" t="n">
        <v>300</v>
      </c>
    </row>
    <row r="14018" spans="1:31">
      <c r="A14018" t="s">
        <v>4</v>
      </c>
      <c r="B14018" s="4" t="s">
        <v>5</v>
      </c>
      <c r="C14018" s="4" t="s">
        <v>7</v>
      </c>
    </row>
    <row r="14019" spans="1:31">
      <c r="A14019" t="n">
        <v>132900</v>
      </c>
      <c r="B14019" s="47" t="n">
        <v>64</v>
      </c>
      <c r="C14019" s="7" t="n">
        <v>7</v>
      </c>
    </row>
    <row r="14020" spans="1:31">
      <c r="A14020" t="s">
        <v>4</v>
      </c>
      <c r="B14020" s="4" t="s">
        <v>5</v>
      </c>
      <c r="C14020" s="4" t="s">
        <v>7</v>
      </c>
      <c r="D14020" s="4" t="s">
        <v>11</v>
      </c>
    </row>
    <row r="14021" spans="1:31">
      <c r="A14021" t="n">
        <v>132902</v>
      </c>
      <c r="B14021" s="48" t="n">
        <v>72</v>
      </c>
      <c r="C14021" s="7" t="n">
        <v>5</v>
      </c>
      <c r="D14021" s="7" t="n">
        <v>0</v>
      </c>
    </row>
    <row r="14022" spans="1:31">
      <c r="A14022" t="s">
        <v>4</v>
      </c>
      <c r="B14022" s="4" t="s">
        <v>5</v>
      </c>
      <c r="C14022" s="4" t="s">
        <v>7</v>
      </c>
      <c r="D14022" s="20" t="s">
        <v>35</v>
      </c>
      <c r="E14022" s="4" t="s">
        <v>5</v>
      </c>
      <c r="F14022" s="4" t="s">
        <v>7</v>
      </c>
      <c r="G14022" s="4" t="s">
        <v>11</v>
      </c>
      <c r="H14022" s="20" t="s">
        <v>36</v>
      </c>
      <c r="I14022" s="4" t="s">
        <v>7</v>
      </c>
      <c r="J14022" s="4" t="s">
        <v>15</v>
      </c>
      <c r="K14022" s="4" t="s">
        <v>7</v>
      </c>
      <c r="L14022" s="4" t="s">
        <v>7</v>
      </c>
      <c r="M14022" s="4" t="s">
        <v>12</v>
      </c>
    </row>
    <row r="14023" spans="1:31">
      <c r="A14023" t="n">
        <v>132906</v>
      </c>
      <c r="B14023" s="10" t="n">
        <v>5</v>
      </c>
      <c r="C14023" s="7" t="n">
        <v>28</v>
      </c>
      <c r="D14023" s="20" t="s">
        <v>3</v>
      </c>
      <c r="E14023" s="8" t="n">
        <v>162</v>
      </c>
      <c r="F14023" s="7" t="n">
        <v>4</v>
      </c>
      <c r="G14023" s="7" t="n">
        <v>32899</v>
      </c>
      <c r="H14023" s="20" t="s">
        <v>3</v>
      </c>
      <c r="I14023" s="7" t="n">
        <v>0</v>
      </c>
      <c r="J14023" s="7" t="n">
        <v>1</v>
      </c>
      <c r="K14023" s="7" t="n">
        <v>2</v>
      </c>
      <c r="L14023" s="7" t="n">
        <v>1</v>
      </c>
      <c r="M14023" s="11" t="n">
        <f t="normal" ca="1">A14029</f>
        <v>0</v>
      </c>
    </row>
    <row r="14024" spans="1:31">
      <c r="A14024" t="s">
        <v>4</v>
      </c>
      <c r="B14024" s="4" t="s">
        <v>5</v>
      </c>
      <c r="C14024" s="4" t="s">
        <v>7</v>
      </c>
      <c r="D14024" s="4" t="s">
        <v>8</v>
      </c>
    </row>
    <row r="14025" spans="1:31">
      <c r="A14025" t="n">
        <v>132923</v>
      </c>
      <c r="B14025" s="6" t="n">
        <v>2</v>
      </c>
      <c r="C14025" s="7" t="n">
        <v>10</v>
      </c>
      <c r="D14025" s="7" t="s">
        <v>107</v>
      </c>
    </row>
    <row r="14026" spans="1:31">
      <c r="A14026" t="s">
        <v>4</v>
      </c>
      <c r="B14026" s="4" t="s">
        <v>5</v>
      </c>
      <c r="C14026" s="4" t="s">
        <v>11</v>
      </c>
    </row>
    <row r="14027" spans="1:31">
      <c r="A14027" t="n">
        <v>132940</v>
      </c>
      <c r="B14027" s="29" t="n">
        <v>16</v>
      </c>
      <c r="C14027" s="7" t="n">
        <v>0</v>
      </c>
    </row>
    <row r="14028" spans="1:31">
      <c r="A14028" t="s">
        <v>4</v>
      </c>
      <c r="B14028" s="4" t="s">
        <v>5</v>
      </c>
      <c r="C14028" s="4" t="s">
        <v>7</v>
      </c>
      <c r="D14028" s="4" t="s">
        <v>11</v>
      </c>
      <c r="E14028" s="4" t="s">
        <v>11</v>
      </c>
      <c r="F14028" s="4" t="s">
        <v>11</v>
      </c>
      <c r="G14028" s="4" t="s">
        <v>11</v>
      </c>
      <c r="H14028" s="4" t="s">
        <v>11</v>
      </c>
      <c r="I14028" s="4" t="s">
        <v>11</v>
      </c>
      <c r="J14028" s="4" t="s">
        <v>11</v>
      </c>
      <c r="K14028" s="4" t="s">
        <v>11</v>
      </c>
      <c r="L14028" s="4" t="s">
        <v>11</v>
      </c>
      <c r="M14028" s="4" t="s">
        <v>11</v>
      </c>
      <c r="N14028" s="4" t="s">
        <v>15</v>
      </c>
      <c r="O14028" s="4" t="s">
        <v>15</v>
      </c>
      <c r="P14028" s="4" t="s">
        <v>15</v>
      </c>
      <c r="Q14028" s="4" t="s">
        <v>15</v>
      </c>
      <c r="R14028" s="4" t="s">
        <v>7</v>
      </c>
      <c r="S14028" s="4" t="s">
        <v>8</v>
      </c>
    </row>
    <row r="14029" spans="1:31">
      <c r="A14029" t="n">
        <v>132943</v>
      </c>
      <c r="B14029" s="24" t="n">
        <v>75</v>
      </c>
      <c r="C14029" s="7" t="n">
        <v>0</v>
      </c>
      <c r="D14029" s="7" t="n">
        <v>484</v>
      </c>
      <c r="E14029" s="7" t="n">
        <v>328</v>
      </c>
      <c r="F14029" s="7" t="n">
        <v>996</v>
      </c>
      <c r="G14029" s="7" t="n">
        <v>392</v>
      </c>
      <c r="H14029" s="7" t="n">
        <v>0</v>
      </c>
      <c r="I14029" s="7" t="n">
        <v>0</v>
      </c>
      <c r="J14029" s="7" t="n">
        <v>0</v>
      </c>
      <c r="K14029" s="7" t="n">
        <v>448</v>
      </c>
      <c r="L14029" s="7" t="n">
        <v>512</v>
      </c>
      <c r="M14029" s="7" t="n">
        <v>512</v>
      </c>
      <c r="N14029" s="7" t="n">
        <v>1065353216</v>
      </c>
      <c r="O14029" s="7" t="n">
        <v>1065353216</v>
      </c>
      <c r="P14029" s="7" t="n">
        <v>1065353216</v>
      </c>
      <c r="Q14029" s="7" t="n">
        <v>0</v>
      </c>
      <c r="R14029" s="7" t="n">
        <v>0</v>
      </c>
      <c r="S14029" s="7" t="s">
        <v>271</v>
      </c>
    </row>
    <row r="14030" spans="1:31">
      <c r="A14030" t="s">
        <v>4</v>
      </c>
      <c r="B14030" s="4" t="s">
        <v>5</v>
      </c>
      <c r="C14030" s="4" t="s">
        <v>11</v>
      </c>
      <c r="D14030" s="4" t="s">
        <v>8</v>
      </c>
      <c r="E14030" s="4" t="s">
        <v>8</v>
      </c>
      <c r="F14030" s="4" t="s">
        <v>8</v>
      </c>
      <c r="G14030" s="4" t="s">
        <v>7</v>
      </c>
      <c r="H14030" s="4" t="s">
        <v>15</v>
      </c>
      <c r="I14030" s="4" t="s">
        <v>13</v>
      </c>
      <c r="J14030" s="4" t="s">
        <v>13</v>
      </c>
      <c r="K14030" s="4" t="s">
        <v>13</v>
      </c>
      <c r="L14030" s="4" t="s">
        <v>13</v>
      </c>
      <c r="M14030" s="4" t="s">
        <v>13</v>
      </c>
      <c r="N14030" s="4" t="s">
        <v>13</v>
      </c>
      <c r="O14030" s="4" t="s">
        <v>13</v>
      </c>
      <c r="P14030" s="4" t="s">
        <v>8</v>
      </c>
      <c r="Q14030" s="4" t="s">
        <v>8</v>
      </c>
      <c r="R14030" s="4" t="s">
        <v>15</v>
      </c>
      <c r="S14030" s="4" t="s">
        <v>7</v>
      </c>
      <c r="T14030" s="4" t="s">
        <v>15</v>
      </c>
      <c r="U14030" s="4" t="s">
        <v>15</v>
      </c>
      <c r="V14030" s="4" t="s">
        <v>11</v>
      </c>
    </row>
    <row r="14031" spans="1:31">
      <c r="A14031" t="n">
        <v>132992</v>
      </c>
      <c r="B14031" s="62" t="n">
        <v>19</v>
      </c>
      <c r="C14031" s="7" t="n">
        <v>8</v>
      </c>
      <c r="D14031" s="7" t="s">
        <v>1128</v>
      </c>
      <c r="E14031" s="7" t="s">
        <v>1129</v>
      </c>
      <c r="F14031" s="7" t="s">
        <v>16</v>
      </c>
      <c r="G14031" s="7" t="n">
        <v>0</v>
      </c>
      <c r="H14031" s="7" t="n">
        <v>1</v>
      </c>
      <c r="I14031" s="7" t="n">
        <v>0</v>
      </c>
      <c r="J14031" s="7" t="n">
        <v>0</v>
      </c>
      <c r="K14031" s="7" t="n">
        <v>0</v>
      </c>
      <c r="L14031" s="7" t="n">
        <v>0</v>
      </c>
      <c r="M14031" s="7" t="n">
        <v>1</v>
      </c>
      <c r="N14031" s="7" t="n">
        <v>1.60000002384186</v>
      </c>
      <c r="O14031" s="7" t="n">
        <v>0.0900000035762787</v>
      </c>
      <c r="P14031" s="7" t="s">
        <v>16</v>
      </c>
      <c r="Q14031" s="7" t="s">
        <v>16</v>
      </c>
      <c r="R14031" s="7" t="n">
        <v>-1</v>
      </c>
      <c r="S14031" s="7" t="n">
        <v>0</v>
      </c>
      <c r="T14031" s="7" t="n">
        <v>0</v>
      </c>
      <c r="U14031" s="7" t="n">
        <v>0</v>
      </c>
      <c r="V14031" s="7" t="n">
        <v>0</v>
      </c>
    </row>
    <row r="14032" spans="1:31">
      <c r="A14032" t="s">
        <v>4</v>
      </c>
      <c r="B14032" s="4" t="s">
        <v>5</v>
      </c>
      <c r="C14032" s="4" t="s">
        <v>11</v>
      </c>
      <c r="D14032" s="4" t="s">
        <v>7</v>
      </c>
      <c r="E14032" s="4" t="s">
        <v>7</v>
      </c>
      <c r="F14032" s="4" t="s">
        <v>8</v>
      </c>
    </row>
    <row r="14033" spans="1:22">
      <c r="A14033" t="n">
        <v>133065</v>
      </c>
      <c r="B14033" s="50" t="n">
        <v>20</v>
      </c>
      <c r="C14033" s="7" t="n">
        <v>0</v>
      </c>
      <c r="D14033" s="7" t="n">
        <v>3</v>
      </c>
      <c r="E14033" s="7" t="n">
        <v>10</v>
      </c>
      <c r="F14033" s="7" t="s">
        <v>108</v>
      </c>
    </row>
    <row r="14034" spans="1:22">
      <c r="A14034" t="s">
        <v>4</v>
      </c>
      <c r="B14034" s="4" t="s">
        <v>5</v>
      </c>
      <c r="C14034" s="4" t="s">
        <v>11</v>
      </c>
    </row>
    <row r="14035" spans="1:22">
      <c r="A14035" t="n">
        <v>133083</v>
      </c>
      <c r="B14035" s="29" t="n">
        <v>16</v>
      </c>
      <c r="C14035" s="7" t="n">
        <v>0</v>
      </c>
    </row>
    <row r="14036" spans="1:22">
      <c r="A14036" t="s">
        <v>4</v>
      </c>
      <c r="B14036" s="4" t="s">
        <v>5</v>
      </c>
      <c r="C14036" s="4" t="s">
        <v>11</v>
      </c>
      <c r="D14036" s="4" t="s">
        <v>7</v>
      </c>
      <c r="E14036" s="4" t="s">
        <v>7</v>
      </c>
      <c r="F14036" s="4" t="s">
        <v>8</v>
      </c>
    </row>
    <row r="14037" spans="1:22">
      <c r="A14037" t="n">
        <v>133086</v>
      </c>
      <c r="B14037" s="50" t="n">
        <v>20</v>
      </c>
      <c r="C14037" s="7" t="n">
        <v>8</v>
      </c>
      <c r="D14037" s="7" t="n">
        <v>3</v>
      </c>
      <c r="E14037" s="7" t="n">
        <v>10</v>
      </c>
      <c r="F14037" s="7" t="s">
        <v>108</v>
      </c>
    </row>
    <row r="14038" spans="1:22">
      <c r="A14038" t="s">
        <v>4</v>
      </c>
      <c r="B14038" s="4" t="s">
        <v>5</v>
      </c>
      <c r="C14038" s="4" t="s">
        <v>11</v>
      </c>
    </row>
    <row r="14039" spans="1:22">
      <c r="A14039" t="n">
        <v>133104</v>
      </c>
      <c r="B14039" s="29" t="n">
        <v>16</v>
      </c>
      <c r="C14039" s="7" t="n">
        <v>0</v>
      </c>
    </row>
    <row r="14040" spans="1:22">
      <c r="A14040" t="s">
        <v>4</v>
      </c>
      <c r="B14040" s="4" t="s">
        <v>5</v>
      </c>
      <c r="C14040" s="4" t="s">
        <v>11</v>
      </c>
      <c r="D14040" s="4" t="s">
        <v>15</v>
      </c>
    </row>
    <row r="14041" spans="1:22">
      <c r="A14041" t="n">
        <v>133107</v>
      </c>
      <c r="B14041" s="39" t="n">
        <v>43</v>
      </c>
      <c r="C14041" s="7" t="n">
        <v>8</v>
      </c>
      <c r="D14041" s="7" t="n">
        <v>1</v>
      </c>
    </row>
    <row r="14042" spans="1:22">
      <c r="A14042" t="s">
        <v>4</v>
      </c>
      <c r="B14042" s="4" t="s">
        <v>5</v>
      </c>
      <c r="C14042" s="4" t="s">
        <v>7</v>
      </c>
    </row>
    <row r="14043" spans="1:22">
      <c r="A14043" t="n">
        <v>133114</v>
      </c>
      <c r="B14043" s="49" t="n">
        <v>116</v>
      </c>
      <c r="C14043" s="7" t="n">
        <v>0</v>
      </c>
    </row>
    <row r="14044" spans="1:22">
      <c r="A14044" t="s">
        <v>4</v>
      </c>
      <c r="B14044" s="4" t="s">
        <v>5</v>
      </c>
      <c r="C14044" s="4" t="s">
        <v>7</v>
      </c>
      <c r="D14044" s="4" t="s">
        <v>11</v>
      </c>
    </row>
    <row r="14045" spans="1:22">
      <c r="A14045" t="n">
        <v>133116</v>
      </c>
      <c r="B14045" s="49" t="n">
        <v>116</v>
      </c>
      <c r="C14045" s="7" t="n">
        <v>2</v>
      </c>
      <c r="D14045" s="7" t="n">
        <v>1</v>
      </c>
    </row>
    <row r="14046" spans="1:22">
      <c r="A14046" t="s">
        <v>4</v>
      </c>
      <c r="B14046" s="4" t="s">
        <v>5</v>
      </c>
      <c r="C14046" s="4" t="s">
        <v>7</v>
      </c>
      <c r="D14046" s="4" t="s">
        <v>15</v>
      </c>
    </row>
    <row r="14047" spans="1:22">
      <c r="A14047" t="n">
        <v>133120</v>
      </c>
      <c r="B14047" s="49" t="n">
        <v>116</v>
      </c>
      <c r="C14047" s="7" t="n">
        <v>5</v>
      </c>
      <c r="D14047" s="7" t="n">
        <v>1106247680</v>
      </c>
    </row>
    <row r="14048" spans="1:22">
      <c r="A14048" t="s">
        <v>4</v>
      </c>
      <c r="B14048" s="4" t="s">
        <v>5</v>
      </c>
      <c r="C14048" s="4" t="s">
        <v>7</v>
      </c>
      <c r="D14048" s="4" t="s">
        <v>11</v>
      </c>
    </row>
    <row r="14049" spans="1:6">
      <c r="A14049" t="n">
        <v>133126</v>
      </c>
      <c r="B14049" s="49" t="n">
        <v>116</v>
      </c>
      <c r="C14049" s="7" t="n">
        <v>6</v>
      </c>
      <c r="D14049" s="7" t="n">
        <v>1</v>
      </c>
    </row>
    <row r="14050" spans="1:6">
      <c r="A14050" t="s">
        <v>4</v>
      </c>
      <c r="B14050" s="4" t="s">
        <v>5</v>
      </c>
      <c r="C14050" s="4" t="s">
        <v>7</v>
      </c>
      <c r="D14050" s="4" t="s">
        <v>11</v>
      </c>
      <c r="E14050" s="4" t="s">
        <v>11</v>
      </c>
      <c r="F14050" s="4" t="s">
        <v>15</v>
      </c>
    </row>
    <row r="14051" spans="1:6">
      <c r="A14051" t="n">
        <v>133130</v>
      </c>
      <c r="B14051" s="76" t="n">
        <v>84</v>
      </c>
      <c r="C14051" s="7" t="n">
        <v>0</v>
      </c>
      <c r="D14051" s="7" t="n">
        <v>0</v>
      </c>
      <c r="E14051" s="7" t="n">
        <v>0</v>
      </c>
      <c r="F14051" s="7" t="n">
        <v>1045220557</v>
      </c>
    </row>
    <row r="14052" spans="1:6">
      <c r="A14052" t="s">
        <v>4</v>
      </c>
      <c r="B14052" s="4" t="s">
        <v>5</v>
      </c>
      <c r="C14052" s="4" t="s">
        <v>11</v>
      </c>
      <c r="D14052" s="4" t="s">
        <v>13</v>
      </c>
      <c r="E14052" s="4" t="s">
        <v>13</v>
      </c>
      <c r="F14052" s="4" t="s">
        <v>13</v>
      </c>
      <c r="G14052" s="4" t="s">
        <v>13</v>
      </c>
    </row>
    <row r="14053" spans="1:6">
      <c r="A14053" t="n">
        <v>133140</v>
      </c>
      <c r="B14053" s="36" t="n">
        <v>46</v>
      </c>
      <c r="C14053" s="7" t="n">
        <v>8</v>
      </c>
      <c r="D14053" s="7" t="n">
        <v>7.6100001335144</v>
      </c>
      <c r="E14053" s="7" t="n">
        <v>0</v>
      </c>
      <c r="F14053" s="7" t="n">
        <v>46.0200004577637</v>
      </c>
      <c r="G14053" s="7" t="n">
        <v>272.200012207031</v>
      </c>
    </row>
    <row r="14054" spans="1:6">
      <c r="A14054" t="s">
        <v>4</v>
      </c>
      <c r="B14054" s="4" t="s">
        <v>5</v>
      </c>
      <c r="C14054" s="4" t="s">
        <v>11</v>
      </c>
      <c r="D14054" s="4" t="s">
        <v>13</v>
      </c>
      <c r="E14054" s="4" t="s">
        <v>13</v>
      </c>
      <c r="F14054" s="4" t="s">
        <v>13</v>
      </c>
      <c r="G14054" s="4" t="s">
        <v>13</v>
      </c>
    </row>
    <row r="14055" spans="1:6">
      <c r="A14055" t="n">
        <v>133159</v>
      </c>
      <c r="B14055" s="36" t="n">
        <v>46</v>
      </c>
      <c r="C14055" s="7" t="n">
        <v>0</v>
      </c>
      <c r="D14055" s="7" t="n">
        <v>4.78000020980835</v>
      </c>
      <c r="E14055" s="7" t="n">
        <v>0</v>
      </c>
      <c r="F14055" s="7" t="n">
        <v>45.3300018310547</v>
      </c>
      <c r="G14055" s="7" t="n">
        <v>-102.300003051758</v>
      </c>
    </row>
    <row r="14056" spans="1:6">
      <c r="A14056" t="s">
        <v>4</v>
      </c>
      <c r="B14056" s="4" t="s">
        <v>5</v>
      </c>
      <c r="C14056" s="4" t="s">
        <v>11</v>
      </c>
      <c r="D14056" s="4" t="s">
        <v>7</v>
      </c>
      <c r="E14056" s="4" t="s">
        <v>8</v>
      </c>
      <c r="F14056" s="4" t="s">
        <v>13</v>
      </c>
      <c r="G14056" s="4" t="s">
        <v>13</v>
      </c>
      <c r="H14056" s="4" t="s">
        <v>13</v>
      </c>
    </row>
    <row r="14057" spans="1:6">
      <c r="A14057" t="n">
        <v>133178</v>
      </c>
      <c r="B14057" s="42" t="n">
        <v>48</v>
      </c>
      <c r="C14057" s="7" t="n">
        <v>0</v>
      </c>
      <c r="D14057" s="7" t="n">
        <v>0</v>
      </c>
      <c r="E14057" s="7" t="s">
        <v>275</v>
      </c>
      <c r="F14057" s="7" t="n">
        <v>0</v>
      </c>
      <c r="G14057" s="7" t="n">
        <v>1</v>
      </c>
      <c r="H14057" s="7" t="n">
        <v>0</v>
      </c>
    </row>
    <row r="14058" spans="1:6">
      <c r="A14058" t="s">
        <v>4</v>
      </c>
      <c r="B14058" s="4" t="s">
        <v>5</v>
      </c>
      <c r="C14058" s="4" t="s">
        <v>7</v>
      </c>
      <c r="D14058" s="4" t="s">
        <v>11</v>
      </c>
      <c r="E14058" s="4" t="s">
        <v>8</v>
      </c>
      <c r="F14058" s="4" t="s">
        <v>8</v>
      </c>
      <c r="G14058" s="4" t="s">
        <v>8</v>
      </c>
      <c r="H14058" s="4" t="s">
        <v>8</v>
      </c>
    </row>
    <row r="14059" spans="1:6">
      <c r="A14059" t="n">
        <v>133203</v>
      </c>
      <c r="B14059" s="38" t="n">
        <v>51</v>
      </c>
      <c r="C14059" s="7" t="n">
        <v>3</v>
      </c>
      <c r="D14059" s="7" t="n">
        <v>0</v>
      </c>
      <c r="E14059" s="7" t="s">
        <v>101</v>
      </c>
      <c r="F14059" s="7" t="s">
        <v>99</v>
      </c>
      <c r="G14059" s="7" t="s">
        <v>78</v>
      </c>
      <c r="H14059" s="7" t="s">
        <v>79</v>
      </c>
    </row>
    <row r="14060" spans="1:6">
      <c r="A14060" t="s">
        <v>4</v>
      </c>
      <c r="B14060" s="4" t="s">
        <v>5</v>
      </c>
      <c r="C14060" s="4" t="s">
        <v>7</v>
      </c>
      <c r="D14060" s="4" t="s">
        <v>11</v>
      </c>
      <c r="E14060" s="4" t="s">
        <v>8</v>
      </c>
      <c r="F14060" s="4" t="s">
        <v>8</v>
      </c>
      <c r="G14060" s="4" t="s">
        <v>8</v>
      </c>
      <c r="H14060" s="4" t="s">
        <v>8</v>
      </c>
    </row>
    <row r="14061" spans="1:6">
      <c r="A14061" t="n">
        <v>133224</v>
      </c>
      <c r="B14061" s="38" t="n">
        <v>51</v>
      </c>
      <c r="C14061" s="7" t="n">
        <v>3</v>
      </c>
      <c r="D14061" s="7" t="n">
        <v>8</v>
      </c>
      <c r="E14061" s="7" t="s">
        <v>101</v>
      </c>
      <c r="F14061" s="7" t="s">
        <v>99</v>
      </c>
      <c r="G14061" s="7" t="s">
        <v>78</v>
      </c>
      <c r="H14061" s="7" t="s">
        <v>79</v>
      </c>
    </row>
    <row r="14062" spans="1:6">
      <c r="A14062" t="s">
        <v>4</v>
      </c>
      <c r="B14062" s="4" t="s">
        <v>5</v>
      </c>
      <c r="C14062" s="4" t="s">
        <v>7</v>
      </c>
      <c r="D14062" s="4" t="s">
        <v>11</v>
      </c>
      <c r="E14062" s="4" t="s">
        <v>7</v>
      </c>
      <c r="F14062" s="4" t="s">
        <v>8</v>
      </c>
      <c r="G14062" s="4" t="s">
        <v>8</v>
      </c>
      <c r="H14062" s="4" t="s">
        <v>8</v>
      </c>
      <c r="I14062" s="4" t="s">
        <v>8</v>
      </c>
      <c r="J14062" s="4" t="s">
        <v>8</v>
      </c>
      <c r="K14062" s="4" t="s">
        <v>8</v>
      </c>
      <c r="L14062" s="4" t="s">
        <v>8</v>
      </c>
      <c r="M14062" s="4" t="s">
        <v>8</v>
      </c>
      <c r="N14062" s="4" t="s">
        <v>8</v>
      </c>
      <c r="O14062" s="4" t="s">
        <v>8</v>
      </c>
      <c r="P14062" s="4" t="s">
        <v>8</v>
      </c>
      <c r="Q14062" s="4" t="s">
        <v>8</v>
      </c>
      <c r="R14062" s="4" t="s">
        <v>8</v>
      </c>
      <c r="S14062" s="4" t="s">
        <v>8</v>
      </c>
      <c r="T14062" s="4" t="s">
        <v>8</v>
      </c>
      <c r="U14062" s="4" t="s">
        <v>8</v>
      </c>
    </row>
    <row r="14063" spans="1:6">
      <c r="A14063" t="n">
        <v>133245</v>
      </c>
      <c r="B14063" s="40" t="n">
        <v>36</v>
      </c>
      <c r="C14063" s="7" t="n">
        <v>8</v>
      </c>
      <c r="D14063" s="7" t="n">
        <v>0</v>
      </c>
      <c r="E14063" s="7" t="n">
        <v>0</v>
      </c>
      <c r="F14063" s="7" t="s">
        <v>1066</v>
      </c>
      <c r="G14063" s="7" t="s">
        <v>16</v>
      </c>
      <c r="H14063" s="7" t="s">
        <v>16</v>
      </c>
      <c r="I14063" s="7" t="s">
        <v>16</v>
      </c>
      <c r="J14063" s="7" t="s">
        <v>16</v>
      </c>
      <c r="K14063" s="7" t="s">
        <v>16</v>
      </c>
      <c r="L14063" s="7" t="s">
        <v>16</v>
      </c>
      <c r="M14063" s="7" t="s">
        <v>16</v>
      </c>
      <c r="N14063" s="7" t="s">
        <v>16</v>
      </c>
      <c r="O14063" s="7" t="s">
        <v>16</v>
      </c>
      <c r="P14063" s="7" t="s">
        <v>16</v>
      </c>
      <c r="Q14063" s="7" t="s">
        <v>16</v>
      </c>
      <c r="R14063" s="7" t="s">
        <v>16</v>
      </c>
      <c r="S14063" s="7" t="s">
        <v>16</v>
      </c>
      <c r="T14063" s="7" t="s">
        <v>16</v>
      </c>
      <c r="U14063" s="7" t="s">
        <v>16</v>
      </c>
    </row>
    <row r="14064" spans="1:6">
      <c r="A14064" t="s">
        <v>4</v>
      </c>
      <c r="B14064" s="4" t="s">
        <v>5</v>
      </c>
      <c r="C14064" s="4" t="s">
        <v>7</v>
      </c>
      <c r="D14064" s="4" t="s">
        <v>11</v>
      </c>
      <c r="E14064" s="4" t="s">
        <v>7</v>
      </c>
      <c r="F14064" s="4" t="s">
        <v>8</v>
      </c>
      <c r="G14064" s="4" t="s">
        <v>8</v>
      </c>
      <c r="H14064" s="4" t="s">
        <v>8</v>
      </c>
      <c r="I14064" s="4" t="s">
        <v>8</v>
      </c>
      <c r="J14064" s="4" t="s">
        <v>8</v>
      </c>
      <c r="K14064" s="4" t="s">
        <v>8</v>
      </c>
      <c r="L14064" s="4" t="s">
        <v>8</v>
      </c>
      <c r="M14064" s="4" t="s">
        <v>8</v>
      </c>
      <c r="N14064" s="4" t="s">
        <v>8</v>
      </c>
      <c r="O14064" s="4" t="s">
        <v>8</v>
      </c>
      <c r="P14064" s="4" t="s">
        <v>8</v>
      </c>
      <c r="Q14064" s="4" t="s">
        <v>8</v>
      </c>
      <c r="R14064" s="4" t="s">
        <v>8</v>
      </c>
      <c r="S14064" s="4" t="s">
        <v>8</v>
      </c>
      <c r="T14064" s="4" t="s">
        <v>8</v>
      </c>
      <c r="U14064" s="4" t="s">
        <v>8</v>
      </c>
    </row>
    <row r="14065" spans="1:21">
      <c r="A14065" t="n">
        <v>133275</v>
      </c>
      <c r="B14065" s="40" t="n">
        <v>36</v>
      </c>
      <c r="C14065" s="7" t="n">
        <v>8</v>
      </c>
      <c r="D14065" s="7" t="n">
        <v>8</v>
      </c>
      <c r="E14065" s="7" t="n">
        <v>0</v>
      </c>
      <c r="F14065" s="7" t="s">
        <v>1066</v>
      </c>
      <c r="G14065" s="7" t="s">
        <v>16</v>
      </c>
      <c r="H14065" s="7" t="s">
        <v>16</v>
      </c>
      <c r="I14065" s="7" t="s">
        <v>16</v>
      </c>
      <c r="J14065" s="7" t="s">
        <v>16</v>
      </c>
      <c r="K14065" s="7" t="s">
        <v>16</v>
      </c>
      <c r="L14065" s="7" t="s">
        <v>16</v>
      </c>
      <c r="M14065" s="7" t="s">
        <v>16</v>
      </c>
      <c r="N14065" s="7" t="s">
        <v>16</v>
      </c>
      <c r="O14065" s="7" t="s">
        <v>16</v>
      </c>
      <c r="P14065" s="7" t="s">
        <v>16</v>
      </c>
      <c r="Q14065" s="7" t="s">
        <v>16</v>
      </c>
      <c r="R14065" s="7" t="s">
        <v>16</v>
      </c>
      <c r="S14065" s="7" t="s">
        <v>16</v>
      </c>
      <c r="T14065" s="7" t="s">
        <v>16</v>
      </c>
      <c r="U14065" s="7" t="s">
        <v>16</v>
      </c>
    </row>
    <row r="14066" spans="1:21">
      <c r="A14066" t="s">
        <v>4</v>
      </c>
      <c r="B14066" s="4" t="s">
        <v>5</v>
      </c>
      <c r="C14066" s="4" t="s">
        <v>7</v>
      </c>
      <c r="D14066" s="4" t="s">
        <v>7</v>
      </c>
      <c r="E14066" s="4" t="s">
        <v>13</v>
      </c>
      <c r="F14066" s="4" t="s">
        <v>13</v>
      </c>
      <c r="G14066" s="4" t="s">
        <v>13</v>
      </c>
      <c r="H14066" s="4" t="s">
        <v>11</v>
      </c>
    </row>
    <row r="14067" spans="1:21">
      <c r="A14067" t="n">
        <v>133305</v>
      </c>
      <c r="B14067" s="51" t="n">
        <v>45</v>
      </c>
      <c r="C14067" s="7" t="n">
        <v>2</v>
      </c>
      <c r="D14067" s="7" t="n">
        <v>3</v>
      </c>
      <c r="E14067" s="7" t="n">
        <v>-3</v>
      </c>
      <c r="F14067" s="7" t="n">
        <v>2.89000010490417</v>
      </c>
      <c r="G14067" s="7" t="n">
        <v>41.3699989318848</v>
      </c>
      <c r="H14067" s="7" t="n">
        <v>0</v>
      </c>
    </row>
    <row r="14068" spans="1:21">
      <c r="A14068" t="s">
        <v>4</v>
      </c>
      <c r="B14068" s="4" t="s">
        <v>5</v>
      </c>
      <c r="C14068" s="4" t="s">
        <v>7</v>
      </c>
      <c r="D14068" s="4" t="s">
        <v>7</v>
      </c>
      <c r="E14068" s="4" t="s">
        <v>13</v>
      </c>
      <c r="F14068" s="4" t="s">
        <v>13</v>
      </c>
      <c r="G14068" s="4" t="s">
        <v>13</v>
      </c>
      <c r="H14068" s="4" t="s">
        <v>11</v>
      </c>
      <c r="I14068" s="4" t="s">
        <v>7</v>
      </c>
    </row>
    <row r="14069" spans="1:21">
      <c r="A14069" t="n">
        <v>133322</v>
      </c>
      <c r="B14069" s="51" t="n">
        <v>45</v>
      </c>
      <c r="C14069" s="7" t="n">
        <v>4</v>
      </c>
      <c r="D14069" s="7" t="n">
        <v>3</v>
      </c>
      <c r="E14069" s="7" t="n">
        <v>0.649999976158142</v>
      </c>
      <c r="F14069" s="7" t="n">
        <v>105.529998779297</v>
      </c>
      <c r="G14069" s="7" t="n">
        <v>0</v>
      </c>
      <c r="H14069" s="7" t="n">
        <v>0</v>
      </c>
      <c r="I14069" s="7" t="n">
        <v>0</v>
      </c>
    </row>
    <row r="14070" spans="1:21">
      <c r="A14070" t="s">
        <v>4</v>
      </c>
      <c r="B14070" s="4" t="s">
        <v>5</v>
      </c>
      <c r="C14070" s="4" t="s">
        <v>7</v>
      </c>
      <c r="D14070" s="4" t="s">
        <v>7</v>
      </c>
      <c r="E14070" s="4" t="s">
        <v>13</v>
      </c>
      <c r="F14070" s="4" t="s">
        <v>11</v>
      </c>
    </row>
    <row r="14071" spans="1:21">
      <c r="A14071" t="n">
        <v>133340</v>
      </c>
      <c r="B14071" s="51" t="n">
        <v>45</v>
      </c>
      <c r="C14071" s="7" t="n">
        <v>5</v>
      </c>
      <c r="D14071" s="7" t="n">
        <v>3</v>
      </c>
      <c r="E14071" s="7" t="n">
        <v>2.40000009536743</v>
      </c>
      <c r="F14071" s="7" t="n">
        <v>0</v>
      </c>
    </row>
    <row r="14072" spans="1:21">
      <c r="A14072" t="s">
        <v>4</v>
      </c>
      <c r="B14072" s="4" t="s">
        <v>5</v>
      </c>
      <c r="C14072" s="4" t="s">
        <v>7</v>
      </c>
      <c r="D14072" s="4" t="s">
        <v>7</v>
      </c>
      <c r="E14072" s="4" t="s">
        <v>13</v>
      </c>
      <c r="F14072" s="4" t="s">
        <v>11</v>
      </c>
    </row>
    <row r="14073" spans="1:21">
      <c r="A14073" t="n">
        <v>133349</v>
      </c>
      <c r="B14073" s="51" t="n">
        <v>45</v>
      </c>
      <c r="C14073" s="7" t="n">
        <v>11</v>
      </c>
      <c r="D14073" s="7" t="n">
        <v>3</v>
      </c>
      <c r="E14073" s="7" t="n">
        <v>33.4000015258789</v>
      </c>
      <c r="F14073" s="7" t="n">
        <v>0</v>
      </c>
    </row>
    <row r="14074" spans="1:21">
      <c r="A14074" t="s">
        <v>4</v>
      </c>
      <c r="B14074" s="4" t="s">
        <v>5</v>
      </c>
      <c r="C14074" s="4" t="s">
        <v>11</v>
      </c>
      <c r="D14074" s="4" t="s">
        <v>13</v>
      </c>
      <c r="E14074" s="4" t="s">
        <v>13</v>
      </c>
      <c r="F14074" s="4" t="s">
        <v>13</v>
      </c>
      <c r="G14074" s="4" t="s">
        <v>11</v>
      </c>
      <c r="H14074" s="4" t="s">
        <v>11</v>
      </c>
    </row>
    <row r="14075" spans="1:21">
      <c r="A14075" t="n">
        <v>133358</v>
      </c>
      <c r="B14075" s="37" t="n">
        <v>60</v>
      </c>
      <c r="C14075" s="7" t="n">
        <v>0</v>
      </c>
      <c r="D14075" s="7" t="n">
        <v>0</v>
      </c>
      <c r="E14075" s="7" t="n">
        <v>20</v>
      </c>
      <c r="F14075" s="7" t="n">
        <v>0</v>
      </c>
      <c r="G14075" s="7" t="n">
        <v>0</v>
      </c>
      <c r="H14075" s="7" t="n">
        <v>0</v>
      </c>
    </row>
    <row r="14076" spans="1:21">
      <c r="A14076" t="s">
        <v>4</v>
      </c>
      <c r="B14076" s="4" t="s">
        <v>5</v>
      </c>
      <c r="C14076" s="4" t="s">
        <v>7</v>
      </c>
      <c r="D14076" s="4" t="s">
        <v>7</v>
      </c>
      <c r="E14076" s="4" t="s">
        <v>7</v>
      </c>
      <c r="F14076" s="4" t="s">
        <v>13</v>
      </c>
      <c r="G14076" s="4" t="s">
        <v>13</v>
      </c>
      <c r="H14076" s="4" t="s">
        <v>13</v>
      </c>
      <c r="I14076" s="4" t="s">
        <v>13</v>
      </c>
      <c r="J14076" s="4" t="s">
        <v>13</v>
      </c>
    </row>
    <row r="14077" spans="1:21">
      <c r="A14077" t="n">
        <v>133377</v>
      </c>
      <c r="B14077" s="25" t="n">
        <v>76</v>
      </c>
      <c r="C14077" s="7" t="n">
        <v>0</v>
      </c>
      <c r="D14077" s="7" t="n">
        <v>3</v>
      </c>
      <c r="E14077" s="7" t="n">
        <v>2</v>
      </c>
      <c r="F14077" s="7" t="n">
        <v>1</v>
      </c>
      <c r="G14077" s="7" t="n">
        <v>1</v>
      </c>
      <c r="H14077" s="7" t="n">
        <v>1</v>
      </c>
      <c r="I14077" s="7" t="n">
        <v>1</v>
      </c>
      <c r="J14077" s="7" t="n">
        <v>2000</v>
      </c>
    </row>
    <row r="14078" spans="1:21">
      <c r="A14078" t="s">
        <v>4</v>
      </c>
      <c r="B14078" s="4" t="s">
        <v>5</v>
      </c>
      <c r="C14078" s="4" t="s">
        <v>7</v>
      </c>
      <c r="D14078" s="4" t="s">
        <v>7</v>
      </c>
      <c r="E14078" s="4" t="s">
        <v>7</v>
      </c>
      <c r="F14078" s="4" t="s">
        <v>13</v>
      </c>
      <c r="G14078" s="4" t="s">
        <v>13</v>
      </c>
      <c r="H14078" s="4" t="s">
        <v>13</v>
      </c>
      <c r="I14078" s="4" t="s">
        <v>13</v>
      </c>
      <c r="J14078" s="4" t="s">
        <v>13</v>
      </c>
    </row>
    <row r="14079" spans="1:21">
      <c r="A14079" t="n">
        <v>133401</v>
      </c>
      <c r="B14079" s="25" t="n">
        <v>76</v>
      </c>
      <c r="C14079" s="7" t="n">
        <v>0</v>
      </c>
      <c r="D14079" s="7" t="n">
        <v>0</v>
      </c>
      <c r="E14079" s="7" t="n">
        <v>2</v>
      </c>
      <c r="F14079" s="7" t="n">
        <v>64</v>
      </c>
      <c r="G14079" s="7" t="n">
        <v>0</v>
      </c>
      <c r="H14079" s="7" t="n">
        <v>2000</v>
      </c>
      <c r="I14079" s="7" t="n">
        <v>0</v>
      </c>
      <c r="J14079" s="7" t="n">
        <v>0</v>
      </c>
    </row>
    <row r="14080" spans="1:21">
      <c r="A14080" t="s">
        <v>4</v>
      </c>
      <c r="B14080" s="4" t="s">
        <v>5</v>
      </c>
      <c r="C14080" s="4" t="s">
        <v>7</v>
      </c>
      <c r="D14080" s="4" t="s">
        <v>7</v>
      </c>
    </row>
    <row r="14081" spans="1:21">
      <c r="A14081" t="n">
        <v>133425</v>
      </c>
      <c r="B14081" s="26" t="n">
        <v>77</v>
      </c>
      <c r="C14081" s="7" t="n">
        <v>0</v>
      </c>
      <c r="D14081" s="7" t="n">
        <v>3</v>
      </c>
    </row>
    <row r="14082" spans="1:21">
      <c r="A14082" t="s">
        <v>4</v>
      </c>
      <c r="B14082" s="4" t="s">
        <v>5</v>
      </c>
      <c r="C14082" s="4" t="s">
        <v>7</v>
      </c>
      <c r="D14082" s="4" t="s">
        <v>7</v>
      </c>
    </row>
    <row r="14083" spans="1:21">
      <c r="A14083" t="n">
        <v>133428</v>
      </c>
      <c r="B14083" s="26" t="n">
        <v>77</v>
      </c>
      <c r="C14083" s="7" t="n">
        <v>0</v>
      </c>
      <c r="D14083" s="7" t="n">
        <v>0</v>
      </c>
    </row>
    <row r="14084" spans="1:21">
      <c r="A14084" t="s">
        <v>4</v>
      </c>
      <c r="B14084" s="4" t="s">
        <v>5</v>
      </c>
      <c r="C14084" s="4" t="s">
        <v>11</v>
      </c>
    </row>
    <row r="14085" spans="1:21">
      <c r="A14085" t="n">
        <v>133431</v>
      </c>
      <c r="B14085" s="29" t="n">
        <v>16</v>
      </c>
      <c r="C14085" s="7" t="n">
        <v>2000</v>
      </c>
    </row>
    <row r="14086" spans="1:21">
      <c r="A14086" t="s">
        <v>4</v>
      </c>
      <c r="B14086" s="4" t="s">
        <v>5</v>
      </c>
      <c r="C14086" s="4" t="s">
        <v>7</v>
      </c>
      <c r="D14086" s="4" t="s">
        <v>11</v>
      </c>
      <c r="E14086" s="4" t="s">
        <v>15</v>
      </c>
      <c r="F14086" s="4" t="s">
        <v>11</v>
      </c>
      <c r="G14086" s="4" t="s">
        <v>15</v>
      </c>
      <c r="H14086" s="4" t="s">
        <v>7</v>
      </c>
    </row>
    <row r="14087" spans="1:21">
      <c r="A14087" t="n">
        <v>133434</v>
      </c>
      <c r="B14087" s="13" t="n">
        <v>49</v>
      </c>
      <c r="C14087" s="7" t="n">
        <v>0</v>
      </c>
      <c r="D14087" s="7" t="n">
        <v>514</v>
      </c>
      <c r="E14087" s="7" t="n">
        <v>1065353216</v>
      </c>
      <c r="F14087" s="7" t="n">
        <v>0</v>
      </c>
      <c r="G14087" s="7" t="n">
        <v>0</v>
      </c>
      <c r="H14087" s="7" t="n">
        <v>0</v>
      </c>
    </row>
    <row r="14088" spans="1:21">
      <c r="A14088" t="s">
        <v>4</v>
      </c>
      <c r="B14088" s="4" t="s">
        <v>5</v>
      </c>
      <c r="C14088" s="4" t="s">
        <v>7</v>
      </c>
      <c r="D14088" s="4" t="s">
        <v>7</v>
      </c>
      <c r="E14088" s="4" t="s">
        <v>7</v>
      </c>
      <c r="F14088" s="4" t="s">
        <v>13</v>
      </c>
      <c r="G14088" s="4" t="s">
        <v>13</v>
      </c>
      <c r="H14088" s="4" t="s">
        <v>13</v>
      </c>
      <c r="I14088" s="4" t="s">
        <v>13</v>
      </c>
      <c r="J14088" s="4" t="s">
        <v>13</v>
      </c>
    </row>
    <row r="14089" spans="1:21">
      <c r="A14089" t="n">
        <v>133449</v>
      </c>
      <c r="B14089" s="25" t="n">
        <v>76</v>
      </c>
      <c r="C14089" s="7" t="n">
        <v>0</v>
      </c>
      <c r="D14089" s="7" t="n">
        <v>3</v>
      </c>
      <c r="E14089" s="7" t="n">
        <v>1</v>
      </c>
      <c r="F14089" s="7" t="n">
        <v>1</v>
      </c>
      <c r="G14089" s="7" t="n">
        <v>1</v>
      </c>
      <c r="H14089" s="7" t="n">
        <v>1</v>
      </c>
      <c r="I14089" s="7" t="n">
        <v>0</v>
      </c>
      <c r="J14089" s="7" t="n">
        <v>2000</v>
      </c>
    </row>
    <row r="14090" spans="1:21">
      <c r="A14090" t="s">
        <v>4</v>
      </c>
      <c r="B14090" s="4" t="s">
        <v>5</v>
      </c>
      <c r="C14090" s="4" t="s">
        <v>7</v>
      </c>
      <c r="D14090" s="4" t="s">
        <v>7</v>
      </c>
      <c r="E14090" s="4" t="s">
        <v>7</v>
      </c>
      <c r="F14090" s="4" t="s">
        <v>13</v>
      </c>
      <c r="G14090" s="4" t="s">
        <v>13</v>
      </c>
      <c r="H14090" s="4" t="s">
        <v>13</v>
      </c>
      <c r="I14090" s="4" t="s">
        <v>13</v>
      </c>
      <c r="J14090" s="4" t="s">
        <v>13</v>
      </c>
    </row>
    <row r="14091" spans="1:21">
      <c r="A14091" t="n">
        <v>133473</v>
      </c>
      <c r="B14091" s="25" t="n">
        <v>76</v>
      </c>
      <c r="C14091" s="7" t="n">
        <v>0</v>
      </c>
      <c r="D14091" s="7" t="n">
        <v>0</v>
      </c>
      <c r="E14091" s="7" t="n">
        <v>1</v>
      </c>
      <c r="F14091" s="7" t="n">
        <v>128</v>
      </c>
      <c r="G14091" s="7" t="n">
        <v>0</v>
      </c>
      <c r="H14091" s="7" t="n">
        <v>2000</v>
      </c>
      <c r="I14091" s="7" t="n">
        <v>0</v>
      </c>
      <c r="J14091" s="7" t="n">
        <v>0</v>
      </c>
    </row>
    <row r="14092" spans="1:21">
      <c r="A14092" t="s">
        <v>4</v>
      </c>
      <c r="B14092" s="4" t="s">
        <v>5</v>
      </c>
      <c r="C14092" s="4" t="s">
        <v>7</v>
      </c>
      <c r="D14092" s="4" t="s">
        <v>7</v>
      </c>
    </row>
    <row r="14093" spans="1:21">
      <c r="A14093" t="n">
        <v>133497</v>
      </c>
      <c r="B14093" s="26" t="n">
        <v>77</v>
      </c>
      <c r="C14093" s="7" t="n">
        <v>0</v>
      </c>
      <c r="D14093" s="7" t="n">
        <v>3</v>
      </c>
    </row>
    <row r="14094" spans="1:21">
      <c r="A14094" t="s">
        <v>4</v>
      </c>
      <c r="B14094" s="4" t="s">
        <v>5</v>
      </c>
      <c r="C14094" s="4" t="s">
        <v>7</v>
      </c>
      <c r="D14094" s="4" t="s">
        <v>7</v>
      </c>
    </row>
    <row r="14095" spans="1:21">
      <c r="A14095" t="n">
        <v>133500</v>
      </c>
      <c r="B14095" s="26" t="n">
        <v>77</v>
      </c>
      <c r="C14095" s="7" t="n">
        <v>0</v>
      </c>
      <c r="D14095" s="7" t="n">
        <v>0</v>
      </c>
    </row>
    <row r="14096" spans="1:21">
      <c r="A14096" t="s">
        <v>4</v>
      </c>
      <c r="B14096" s="4" t="s">
        <v>5</v>
      </c>
      <c r="C14096" s="4" t="s">
        <v>7</v>
      </c>
      <c r="D14096" s="4" t="s">
        <v>7</v>
      </c>
      <c r="E14096" s="4" t="s">
        <v>13</v>
      </c>
      <c r="F14096" s="4" t="s">
        <v>13</v>
      </c>
      <c r="G14096" s="4" t="s">
        <v>13</v>
      </c>
      <c r="H14096" s="4" t="s">
        <v>11</v>
      </c>
    </row>
    <row r="14097" spans="1:10">
      <c r="A14097" t="n">
        <v>133503</v>
      </c>
      <c r="B14097" s="51" t="n">
        <v>45</v>
      </c>
      <c r="C14097" s="7" t="n">
        <v>2</v>
      </c>
      <c r="D14097" s="7" t="n">
        <v>3</v>
      </c>
      <c r="E14097" s="7" t="n">
        <v>5.23999977111816</v>
      </c>
      <c r="F14097" s="7" t="n">
        <v>2.15000009536743</v>
      </c>
      <c r="G14097" s="7" t="n">
        <v>43.8600006103516</v>
      </c>
      <c r="H14097" s="7" t="n">
        <v>8000</v>
      </c>
    </row>
    <row r="14098" spans="1:10">
      <c r="A14098" t="s">
        <v>4</v>
      </c>
      <c r="B14098" s="4" t="s">
        <v>5</v>
      </c>
      <c r="C14098" s="4" t="s">
        <v>7</v>
      </c>
      <c r="D14098" s="4" t="s">
        <v>7</v>
      </c>
      <c r="E14098" s="4" t="s">
        <v>13</v>
      </c>
      <c r="F14098" s="4" t="s">
        <v>13</v>
      </c>
      <c r="G14098" s="4" t="s">
        <v>13</v>
      </c>
      <c r="H14098" s="4" t="s">
        <v>11</v>
      </c>
      <c r="I14098" s="4" t="s">
        <v>7</v>
      </c>
    </row>
    <row r="14099" spans="1:10">
      <c r="A14099" t="n">
        <v>133520</v>
      </c>
      <c r="B14099" s="51" t="n">
        <v>45</v>
      </c>
      <c r="C14099" s="7" t="n">
        <v>4</v>
      </c>
      <c r="D14099" s="7" t="n">
        <v>3</v>
      </c>
      <c r="E14099" s="7" t="n">
        <v>12.4799995422363</v>
      </c>
      <c r="F14099" s="7" t="n">
        <v>144.25</v>
      </c>
      <c r="G14099" s="7" t="n">
        <v>0</v>
      </c>
      <c r="H14099" s="7" t="n">
        <v>8000</v>
      </c>
      <c r="I14099" s="7" t="n">
        <v>0</v>
      </c>
    </row>
    <row r="14100" spans="1:10">
      <c r="A14100" t="s">
        <v>4</v>
      </c>
      <c r="B14100" s="4" t="s">
        <v>5</v>
      </c>
      <c r="C14100" s="4" t="s">
        <v>7</v>
      </c>
      <c r="D14100" s="4" t="s">
        <v>7</v>
      </c>
      <c r="E14100" s="4" t="s">
        <v>13</v>
      </c>
      <c r="F14100" s="4" t="s">
        <v>11</v>
      </c>
    </row>
    <row r="14101" spans="1:10">
      <c r="A14101" t="n">
        <v>133538</v>
      </c>
      <c r="B14101" s="51" t="n">
        <v>45</v>
      </c>
      <c r="C14101" s="7" t="n">
        <v>5</v>
      </c>
      <c r="D14101" s="7" t="n">
        <v>3</v>
      </c>
      <c r="E14101" s="7" t="n">
        <v>2.40000009536743</v>
      </c>
      <c r="F14101" s="7" t="n">
        <v>8000</v>
      </c>
    </row>
    <row r="14102" spans="1:10">
      <c r="A14102" t="s">
        <v>4</v>
      </c>
      <c r="B14102" s="4" t="s">
        <v>5</v>
      </c>
      <c r="C14102" s="4" t="s">
        <v>7</v>
      </c>
      <c r="D14102" s="4" t="s">
        <v>7</v>
      </c>
      <c r="E14102" s="4" t="s">
        <v>13</v>
      </c>
      <c r="F14102" s="4" t="s">
        <v>11</v>
      </c>
    </row>
    <row r="14103" spans="1:10">
      <c r="A14103" t="n">
        <v>133547</v>
      </c>
      <c r="B14103" s="51" t="n">
        <v>45</v>
      </c>
      <c r="C14103" s="7" t="n">
        <v>11</v>
      </c>
      <c r="D14103" s="7" t="n">
        <v>3</v>
      </c>
      <c r="E14103" s="7" t="n">
        <v>33.4000015258789</v>
      </c>
      <c r="F14103" s="7" t="n">
        <v>8000</v>
      </c>
    </row>
    <row r="14104" spans="1:10">
      <c r="A14104" t="s">
        <v>4</v>
      </c>
      <c r="B14104" s="4" t="s">
        <v>5</v>
      </c>
      <c r="C14104" s="4" t="s">
        <v>7</v>
      </c>
      <c r="D14104" s="4" t="s">
        <v>11</v>
      </c>
      <c r="E14104" s="4" t="s">
        <v>13</v>
      </c>
    </row>
    <row r="14105" spans="1:10">
      <c r="A14105" t="n">
        <v>133556</v>
      </c>
      <c r="B14105" s="23" t="n">
        <v>58</v>
      </c>
      <c r="C14105" s="7" t="n">
        <v>100</v>
      </c>
      <c r="D14105" s="7" t="n">
        <v>1000</v>
      </c>
      <c r="E14105" s="7" t="n">
        <v>1</v>
      </c>
    </row>
    <row r="14106" spans="1:10">
      <c r="A14106" t="s">
        <v>4</v>
      </c>
      <c r="B14106" s="4" t="s">
        <v>5</v>
      </c>
      <c r="C14106" s="4" t="s">
        <v>7</v>
      </c>
      <c r="D14106" s="4" t="s">
        <v>11</v>
      </c>
    </row>
    <row r="14107" spans="1:10">
      <c r="A14107" t="n">
        <v>133564</v>
      </c>
      <c r="B14107" s="23" t="n">
        <v>58</v>
      </c>
      <c r="C14107" s="7" t="n">
        <v>255</v>
      </c>
      <c r="D14107" s="7" t="n">
        <v>0</v>
      </c>
    </row>
    <row r="14108" spans="1:10">
      <c r="A14108" t="s">
        <v>4</v>
      </c>
      <c r="B14108" s="4" t="s">
        <v>5</v>
      </c>
      <c r="C14108" s="4" t="s">
        <v>7</v>
      </c>
      <c r="D14108" s="4" t="s">
        <v>11</v>
      </c>
    </row>
    <row r="14109" spans="1:10">
      <c r="A14109" t="n">
        <v>133568</v>
      </c>
      <c r="B14109" s="51" t="n">
        <v>45</v>
      </c>
      <c r="C14109" s="7" t="n">
        <v>7</v>
      </c>
      <c r="D14109" s="7" t="n">
        <v>255</v>
      </c>
    </row>
    <row r="14110" spans="1:10">
      <c r="A14110" t="s">
        <v>4</v>
      </c>
      <c r="B14110" s="4" t="s">
        <v>5</v>
      </c>
      <c r="C14110" s="4" t="s">
        <v>7</v>
      </c>
      <c r="D14110" s="4" t="s">
        <v>11</v>
      </c>
      <c r="E14110" s="4" t="s">
        <v>13</v>
      </c>
    </row>
    <row r="14111" spans="1:10">
      <c r="A14111" t="n">
        <v>133572</v>
      </c>
      <c r="B14111" s="23" t="n">
        <v>58</v>
      </c>
      <c r="C14111" s="7" t="n">
        <v>101</v>
      </c>
      <c r="D14111" s="7" t="n">
        <v>800</v>
      </c>
      <c r="E14111" s="7" t="n">
        <v>1</v>
      </c>
    </row>
    <row r="14112" spans="1:10">
      <c r="A14112" t="s">
        <v>4</v>
      </c>
      <c r="B14112" s="4" t="s">
        <v>5</v>
      </c>
      <c r="C14112" s="4" t="s">
        <v>7</v>
      </c>
      <c r="D14112" s="4" t="s">
        <v>11</v>
      </c>
    </row>
    <row r="14113" spans="1:9">
      <c r="A14113" t="n">
        <v>133580</v>
      </c>
      <c r="B14113" s="23" t="n">
        <v>58</v>
      </c>
      <c r="C14113" s="7" t="n">
        <v>254</v>
      </c>
      <c r="D14113" s="7" t="n">
        <v>0</v>
      </c>
    </row>
    <row r="14114" spans="1:9">
      <c r="A14114" t="s">
        <v>4</v>
      </c>
      <c r="B14114" s="4" t="s">
        <v>5</v>
      </c>
      <c r="C14114" s="4" t="s">
        <v>7</v>
      </c>
      <c r="D14114" s="4" t="s">
        <v>7</v>
      </c>
      <c r="E14114" s="4" t="s">
        <v>13</v>
      </c>
      <c r="F14114" s="4" t="s">
        <v>13</v>
      </c>
      <c r="G14114" s="4" t="s">
        <v>13</v>
      </c>
      <c r="H14114" s="4" t="s">
        <v>11</v>
      </c>
    </row>
    <row r="14115" spans="1:9">
      <c r="A14115" t="n">
        <v>133584</v>
      </c>
      <c r="B14115" s="51" t="n">
        <v>45</v>
      </c>
      <c r="C14115" s="7" t="n">
        <v>2</v>
      </c>
      <c r="D14115" s="7" t="n">
        <v>3</v>
      </c>
      <c r="E14115" s="7" t="n">
        <v>4.26999998092651</v>
      </c>
      <c r="F14115" s="7" t="n">
        <v>2.44000005722046</v>
      </c>
      <c r="G14115" s="7" t="n">
        <v>44.1500015258789</v>
      </c>
      <c r="H14115" s="7" t="n">
        <v>0</v>
      </c>
    </row>
    <row r="14116" spans="1:9">
      <c r="A14116" t="s">
        <v>4</v>
      </c>
      <c r="B14116" s="4" t="s">
        <v>5</v>
      </c>
      <c r="C14116" s="4" t="s">
        <v>7</v>
      </c>
      <c r="D14116" s="4" t="s">
        <v>7</v>
      </c>
      <c r="E14116" s="4" t="s">
        <v>13</v>
      </c>
      <c r="F14116" s="4" t="s">
        <v>13</v>
      </c>
      <c r="G14116" s="4" t="s">
        <v>13</v>
      </c>
      <c r="H14116" s="4" t="s">
        <v>11</v>
      </c>
      <c r="I14116" s="4" t="s">
        <v>7</v>
      </c>
    </row>
    <row r="14117" spans="1:9">
      <c r="A14117" t="n">
        <v>133601</v>
      </c>
      <c r="B14117" s="51" t="n">
        <v>45</v>
      </c>
      <c r="C14117" s="7" t="n">
        <v>4</v>
      </c>
      <c r="D14117" s="7" t="n">
        <v>3</v>
      </c>
      <c r="E14117" s="7" t="n">
        <v>357.880004882813</v>
      </c>
      <c r="F14117" s="7" t="n">
        <v>321.779998779297</v>
      </c>
      <c r="G14117" s="7" t="n">
        <v>0</v>
      </c>
      <c r="H14117" s="7" t="n">
        <v>0</v>
      </c>
      <c r="I14117" s="7" t="n">
        <v>0</v>
      </c>
    </row>
    <row r="14118" spans="1:9">
      <c r="A14118" t="s">
        <v>4</v>
      </c>
      <c r="B14118" s="4" t="s">
        <v>5</v>
      </c>
      <c r="C14118" s="4" t="s">
        <v>7</v>
      </c>
      <c r="D14118" s="4" t="s">
        <v>7</v>
      </c>
      <c r="E14118" s="4" t="s">
        <v>13</v>
      </c>
      <c r="F14118" s="4" t="s">
        <v>11</v>
      </c>
    </row>
    <row r="14119" spans="1:9">
      <c r="A14119" t="n">
        <v>133619</v>
      </c>
      <c r="B14119" s="51" t="n">
        <v>45</v>
      </c>
      <c r="C14119" s="7" t="n">
        <v>5</v>
      </c>
      <c r="D14119" s="7" t="n">
        <v>3</v>
      </c>
      <c r="E14119" s="7" t="n">
        <v>2.40000009536743</v>
      </c>
      <c r="F14119" s="7" t="n">
        <v>0</v>
      </c>
    </row>
    <row r="14120" spans="1:9">
      <c r="A14120" t="s">
        <v>4</v>
      </c>
      <c r="B14120" s="4" t="s">
        <v>5</v>
      </c>
      <c r="C14120" s="4" t="s">
        <v>7</v>
      </c>
      <c r="D14120" s="4" t="s">
        <v>7</v>
      </c>
      <c r="E14120" s="4" t="s">
        <v>13</v>
      </c>
      <c r="F14120" s="4" t="s">
        <v>11</v>
      </c>
    </row>
    <row r="14121" spans="1:9">
      <c r="A14121" t="n">
        <v>133628</v>
      </c>
      <c r="B14121" s="51" t="n">
        <v>45</v>
      </c>
      <c r="C14121" s="7" t="n">
        <v>11</v>
      </c>
      <c r="D14121" s="7" t="n">
        <v>3</v>
      </c>
      <c r="E14121" s="7" t="n">
        <v>33.4000015258789</v>
      </c>
      <c r="F14121" s="7" t="n">
        <v>0</v>
      </c>
    </row>
    <row r="14122" spans="1:9">
      <c r="A14122" t="s">
        <v>4</v>
      </c>
      <c r="B14122" s="4" t="s">
        <v>5</v>
      </c>
      <c r="C14122" s="4" t="s">
        <v>7</v>
      </c>
      <c r="D14122" s="4" t="s">
        <v>7</v>
      </c>
      <c r="E14122" s="4" t="s">
        <v>13</v>
      </c>
      <c r="F14122" s="4" t="s">
        <v>13</v>
      </c>
      <c r="G14122" s="4" t="s">
        <v>13</v>
      </c>
      <c r="H14122" s="4" t="s">
        <v>11</v>
      </c>
    </row>
    <row r="14123" spans="1:9">
      <c r="A14123" t="n">
        <v>133637</v>
      </c>
      <c r="B14123" s="51" t="n">
        <v>45</v>
      </c>
      <c r="C14123" s="7" t="n">
        <v>2</v>
      </c>
      <c r="D14123" s="7" t="n">
        <v>3</v>
      </c>
      <c r="E14123" s="7" t="n">
        <v>4.76999998092651</v>
      </c>
      <c r="F14123" s="7" t="n">
        <v>1.45000004768372</v>
      </c>
      <c r="G14123" s="7" t="n">
        <v>45.2599983215332</v>
      </c>
      <c r="H14123" s="7" t="n">
        <v>8000</v>
      </c>
    </row>
    <row r="14124" spans="1:9">
      <c r="A14124" t="s">
        <v>4</v>
      </c>
      <c r="B14124" s="4" t="s">
        <v>5</v>
      </c>
      <c r="C14124" s="4" t="s">
        <v>7</v>
      </c>
      <c r="D14124" s="4" t="s">
        <v>7</v>
      </c>
      <c r="E14124" s="4" t="s">
        <v>13</v>
      </c>
      <c r="F14124" s="4" t="s">
        <v>13</v>
      </c>
      <c r="G14124" s="4" t="s">
        <v>13</v>
      </c>
      <c r="H14124" s="4" t="s">
        <v>11</v>
      </c>
      <c r="I14124" s="4" t="s">
        <v>7</v>
      </c>
    </row>
    <row r="14125" spans="1:9">
      <c r="A14125" t="n">
        <v>133654</v>
      </c>
      <c r="B14125" s="51" t="n">
        <v>45</v>
      </c>
      <c r="C14125" s="7" t="n">
        <v>4</v>
      </c>
      <c r="D14125" s="7" t="n">
        <v>3</v>
      </c>
      <c r="E14125" s="7" t="n">
        <v>358.660003662109</v>
      </c>
      <c r="F14125" s="7" t="n">
        <v>283.079986572266</v>
      </c>
      <c r="G14125" s="7" t="n">
        <v>0</v>
      </c>
      <c r="H14125" s="7" t="n">
        <v>8000</v>
      </c>
      <c r="I14125" s="7" t="n">
        <v>0</v>
      </c>
    </row>
    <row r="14126" spans="1:9">
      <c r="A14126" t="s">
        <v>4</v>
      </c>
      <c r="B14126" s="4" t="s">
        <v>5</v>
      </c>
      <c r="C14126" s="4" t="s">
        <v>7</v>
      </c>
      <c r="D14126" s="4" t="s">
        <v>7</v>
      </c>
      <c r="E14126" s="4" t="s">
        <v>13</v>
      </c>
      <c r="F14126" s="4" t="s">
        <v>11</v>
      </c>
    </row>
    <row r="14127" spans="1:9">
      <c r="A14127" t="n">
        <v>133672</v>
      </c>
      <c r="B14127" s="51" t="n">
        <v>45</v>
      </c>
      <c r="C14127" s="7" t="n">
        <v>5</v>
      </c>
      <c r="D14127" s="7" t="n">
        <v>3</v>
      </c>
      <c r="E14127" s="7" t="n">
        <v>2</v>
      </c>
      <c r="F14127" s="7" t="n">
        <v>8000</v>
      </c>
    </row>
    <row r="14128" spans="1:9">
      <c r="A14128" t="s">
        <v>4</v>
      </c>
      <c r="B14128" s="4" t="s">
        <v>5</v>
      </c>
      <c r="C14128" s="4" t="s">
        <v>7</v>
      </c>
      <c r="D14128" s="4" t="s">
        <v>11</v>
      </c>
    </row>
    <row r="14129" spans="1:9">
      <c r="A14129" t="n">
        <v>133681</v>
      </c>
      <c r="B14129" s="23" t="n">
        <v>58</v>
      </c>
      <c r="C14129" s="7" t="n">
        <v>255</v>
      </c>
      <c r="D14129" s="7" t="n">
        <v>0</v>
      </c>
    </row>
    <row r="14130" spans="1:9">
      <c r="A14130" t="s">
        <v>4</v>
      </c>
      <c r="B14130" s="4" t="s">
        <v>5</v>
      </c>
      <c r="C14130" s="4" t="s">
        <v>7</v>
      </c>
      <c r="D14130" s="4" t="s">
        <v>11</v>
      </c>
    </row>
    <row r="14131" spans="1:9">
      <c r="A14131" t="n">
        <v>133685</v>
      </c>
      <c r="B14131" s="51" t="n">
        <v>45</v>
      </c>
      <c r="C14131" s="7" t="n">
        <v>7</v>
      </c>
      <c r="D14131" s="7" t="n">
        <v>255</v>
      </c>
    </row>
    <row r="14132" spans="1:9">
      <c r="A14132" t="s">
        <v>4</v>
      </c>
      <c r="B14132" s="4" t="s">
        <v>5</v>
      </c>
      <c r="C14132" s="4" t="s">
        <v>7</v>
      </c>
      <c r="D14132" s="4" t="s">
        <v>11</v>
      </c>
      <c r="E14132" s="4" t="s">
        <v>13</v>
      </c>
    </row>
    <row r="14133" spans="1:9">
      <c r="A14133" t="n">
        <v>133689</v>
      </c>
      <c r="B14133" s="23" t="n">
        <v>58</v>
      </c>
      <c r="C14133" s="7" t="n">
        <v>101</v>
      </c>
      <c r="D14133" s="7" t="n">
        <v>800</v>
      </c>
      <c r="E14133" s="7" t="n">
        <v>1</v>
      </c>
    </row>
    <row r="14134" spans="1:9">
      <c r="A14134" t="s">
        <v>4</v>
      </c>
      <c r="B14134" s="4" t="s">
        <v>5</v>
      </c>
      <c r="C14134" s="4" t="s">
        <v>7</v>
      </c>
      <c r="D14134" s="4" t="s">
        <v>11</v>
      </c>
    </row>
    <row r="14135" spans="1:9">
      <c r="A14135" t="n">
        <v>133697</v>
      </c>
      <c r="B14135" s="23" t="n">
        <v>58</v>
      </c>
      <c r="C14135" s="7" t="n">
        <v>254</v>
      </c>
      <c r="D14135" s="7" t="n">
        <v>0</v>
      </c>
    </row>
    <row r="14136" spans="1:9">
      <c r="A14136" t="s">
        <v>4</v>
      </c>
      <c r="B14136" s="4" t="s">
        <v>5</v>
      </c>
      <c r="C14136" s="4" t="s">
        <v>7</v>
      </c>
      <c r="D14136" s="4" t="s">
        <v>7</v>
      </c>
      <c r="E14136" s="4" t="s">
        <v>13</v>
      </c>
      <c r="F14136" s="4" t="s">
        <v>13</v>
      </c>
      <c r="G14136" s="4" t="s">
        <v>13</v>
      </c>
      <c r="H14136" s="4" t="s">
        <v>11</v>
      </c>
    </row>
    <row r="14137" spans="1:9">
      <c r="A14137" t="n">
        <v>133701</v>
      </c>
      <c r="B14137" s="51" t="n">
        <v>45</v>
      </c>
      <c r="C14137" s="7" t="n">
        <v>2</v>
      </c>
      <c r="D14137" s="7" t="n">
        <v>3</v>
      </c>
      <c r="E14137" s="7" t="n">
        <v>4.73999977111816</v>
      </c>
      <c r="F14137" s="7" t="n">
        <v>1.37000000476837</v>
      </c>
      <c r="G14137" s="7" t="n">
        <v>45.310001373291</v>
      </c>
      <c r="H14137" s="7" t="n">
        <v>0</v>
      </c>
    </row>
    <row r="14138" spans="1:9">
      <c r="A14138" t="s">
        <v>4</v>
      </c>
      <c r="B14138" s="4" t="s">
        <v>5</v>
      </c>
      <c r="C14138" s="4" t="s">
        <v>7</v>
      </c>
      <c r="D14138" s="4" t="s">
        <v>7</v>
      </c>
      <c r="E14138" s="4" t="s">
        <v>13</v>
      </c>
      <c r="F14138" s="4" t="s">
        <v>13</v>
      </c>
      <c r="G14138" s="4" t="s">
        <v>13</v>
      </c>
      <c r="H14138" s="4" t="s">
        <v>11</v>
      </c>
      <c r="I14138" s="4" t="s">
        <v>7</v>
      </c>
    </row>
    <row r="14139" spans="1:9">
      <c r="A14139" t="n">
        <v>133718</v>
      </c>
      <c r="B14139" s="51" t="n">
        <v>45</v>
      </c>
      <c r="C14139" s="7" t="n">
        <v>4</v>
      </c>
      <c r="D14139" s="7" t="n">
        <v>3</v>
      </c>
      <c r="E14139" s="7" t="n">
        <v>4.3899998664856</v>
      </c>
      <c r="F14139" s="7" t="n">
        <v>107.779998779297</v>
      </c>
      <c r="G14139" s="7" t="n">
        <v>0</v>
      </c>
      <c r="H14139" s="7" t="n">
        <v>0</v>
      </c>
      <c r="I14139" s="7" t="n">
        <v>0</v>
      </c>
    </row>
    <row r="14140" spans="1:9">
      <c r="A14140" t="s">
        <v>4</v>
      </c>
      <c r="B14140" s="4" t="s">
        <v>5</v>
      </c>
      <c r="C14140" s="4" t="s">
        <v>7</v>
      </c>
      <c r="D14140" s="4" t="s">
        <v>7</v>
      </c>
      <c r="E14140" s="4" t="s">
        <v>13</v>
      </c>
      <c r="F14140" s="4" t="s">
        <v>11</v>
      </c>
    </row>
    <row r="14141" spans="1:9">
      <c r="A14141" t="n">
        <v>133736</v>
      </c>
      <c r="B14141" s="51" t="n">
        <v>45</v>
      </c>
      <c r="C14141" s="7" t="n">
        <v>5</v>
      </c>
      <c r="D14141" s="7" t="n">
        <v>3</v>
      </c>
      <c r="E14141" s="7" t="n">
        <v>2</v>
      </c>
      <c r="F14141" s="7" t="n">
        <v>0</v>
      </c>
    </row>
    <row r="14142" spans="1:9">
      <c r="A14142" t="s">
        <v>4</v>
      </c>
      <c r="B14142" s="4" t="s">
        <v>5</v>
      </c>
      <c r="C14142" s="4" t="s">
        <v>7</v>
      </c>
      <c r="D14142" s="4" t="s">
        <v>7</v>
      </c>
      <c r="E14142" s="4" t="s">
        <v>13</v>
      </c>
      <c r="F14142" s="4" t="s">
        <v>11</v>
      </c>
    </row>
    <row r="14143" spans="1:9">
      <c r="A14143" t="n">
        <v>133745</v>
      </c>
      <c r="B14143" s="51" t="n">
        <v>45</v>
      </c>
      <c r="C14143" s="7" t="n">
        <v>11</v>
      </c>
      <c r="D14143" s="7" t="n">
        <v>3</v>
      </c>
      <c r="E14143" s="7" t="n">
        <v>33.4000015258789</v>
      </c>
      <c r="F14143" s="7" t="n">
        <v>0</v>
      </c>
    </row>
    <row r="14144" spans="1:9">
      <c r="A14144" t="s">
        <v>4</v>
      </c>
      <c r="B14144" s="4" t="s">
        <v>5</v>
      </c>
      <c r="C14144" s="4" t="s">
        <v>11</v>
      </c>
      <c r="D14144" s="4" t="s">
        <v>15</v>
      </c>
    </row>
    <row r="14145" spans="1:9">
      <c r="A14145" t="n">
        <v>133754</v>
      </c>
      <c r="B14145" s="63" t="n">
        <v>44</v>
      </c>
      <c r="C14145" s="7" t="n">
        <v>8</v>
      </c>
      <c r="D14145" s="7" t="n">
        <v>1</v>
      </c>
    </row>
    <row r="14146" spans="1:9">
      <c r="A14146" t="s">
        <v>4</v>
      </c>
      <c r="B14146" s="4" t="s">
        <v>5</v>
      </c>
      <c r="C14146" s="4" t="s">
        <v>7</v>
      </c>
      <c r="D14146" s="4" t="s">
        <v>11</v>
      </c>
    </row>
    <row r="14147" spans="1:9">
      <c r="A14147" t="n">
        <v>133761</v>
      </c>
      <c r="B14147" s="23" t="n">
        <v>58</v>
      </c>
      <c r="C14147" s="7" t="n">
        <v>255</v>
      </c>
      <c r="D14147" s="7" t="n">
        <v>0</v>
      </c>
    </row>
    <row r="14148" spans="1:9">
      <c r="A14148" t="s">
        <v>4</v>
      </c>
      <c r="B14148" s="4" t="s">
        <v>5</v>
      </c>
      <c r="C14148" s="4" t="s">
        <v>8</v>
      </c>
      <c r="D14148" s="4" t="s">
        <v>8</v>
      </c>
    </row>
    <row r="14149" spans="1:9">
      <c r="A14149" t="n">
        <v>133765</v>
      </c>
      <c r="B14149" s="52" t="n">
        <v>70</v>
      </c>
      <c r="C14149" s="7" t="s">
        <v>279</v>
      </c>
      <c r="D14149" s="7" t="s">
        <v>280</v>
      </c>
    </row>
    <row r="14150" spans="1:9">
      <c r="A14150" t="s">
        <v>4</v>
      </c>
      <c r="B14150" s="4" t="s">
        <v>5</v>
      </c>
      <c r="C14150" s="4" t="s">
        <v>11</v>
      </c>
    </row>
    <row r="14151" spans="1:9">
      <c r="A14151" t="n">
        <v>133782</v>
      </c>
      <c r="B14151" s="29" t="n">
        <v>16</v>
      </c>
      <c r="C14151" s="7" t="n">
        <v>1000</v>
      </c>
    </row>
    <row r="14152" spans="1:9">
      <c r="A14152" t="s">
        <v>4</v>
      </c>
      <c r="B14152" s="4" t="s">
        <v>5</v>
      </c>
      <c r="C14152" s="4" t="s">
        <v>7</v>
      </c>
      <c r="D14152" s="4" t="s">
        <v>11</v>
      </c>
      <c r="E14152" s="4" t="s">
        <v>11</v>
      </c>
      <c r="F14152" s="4" t="s">
        <v>7</v>
      </c>
    </row>
    <row r="14153" spans="1:9">
      <c r="A14153" t="n">
        <v>133785</v>
      </c>
      <c r="B14153" s="31" t="n">
        <v>25</v>
      </c>
      <c r="C14153" s="7" t="n">
        <v>1</v>
      </c>
      <c r="D14153" s="7" t="n">
        <v>100</v>
      </c>
      <c r="E14153" s="7" t="n">
        <v>500</v>
      </c>
      <c r="F14153" s="7" t="n">
        <v>5</v>
      </c>
    </row>
    <row r="14154" spans="1:9">
      <c r="A14154" t="s">
        <v>4</v>
      </c>
      <c r="B14154" s="4" t="s">
        <v>5</v>
      </c>
      <c r="C14154" s="4" t="s">
        <v>8</v>
      </c>
      <c r="D14154" s="4" t="s">
        <v>11</v>
      </c>
    </row>
    <row r="14155" spans="1:9">
      <c r="A14155" t="n">
        <v>133792</v>
      </c>
      <c r="B14155" s="67" t="n">
        <v>29</v>
      </c>
      <c r="C14155" s="7" t="s">
        <v>281</v>
      </c>
      <c r="D14155" s="7" t="n">
        <v>65533</v>
      </c>
    </row>
    <row r="14156" spans="1:9">
      <c r="A14156" t="s">
        <v>4</v>
      </c>
      <c r="B14156" s="4" t="s">
        <v>5</v>
      </c>
      <c r="C14156" s="4" t="s">
        <v>7</v>
      </c>
      <c r="D14156" s="4" t="s">
        <v>11</v>
      </c>
      <c r="E14156" s="4" t="s">
        <v>8</v>
      </c>
    </row>
    <row r="14157" spans="1:9">
      <c r="A14157" t="n">
        <v>133801</v>
      </c>
      <c r="B14157" s="38" t="n">
        <v>51</v>
      </c>
      <c r="C14157" s="7" t="n">
        <v>4</v>
      </c>
      <c r="D14157" s="7" t="n">
        <v>8</v>
      </c>
      <c r="E14157" s="7" t="s">
        <v>288</v>
      </c>
    </row>
    <row r="14158" spans="1:9">
      <c r="A14158" t="s">
        <v>4</v>
      </c>
      <c r="B14158" s="4" t="s">
        <v>5</v>
      </c>
      <c r="C14158" s="4" t="s">
        <v>11</v>
      </c>
    </row>
    <row r="14159" spans="1:9">
      <c r="A14159" t="n">
        <v>133814</v>
      </c>
      <c r="B14159" s="29" t="n">
        <v>16</v>
      </c>
      <c r="C14159" s="7" t="n">
        <v>0</v>
      </c>
    </row>
    <row r="14160" spans="1:9">
      <c r="A14160" t="s">
        <v>4</v>
      </c>
      <c r="B14160" s="4" t="s">
        <v>5</v>
      </c>
      <c r="C14160" s="4" t="s">
        <v>11</v>
      </c>
      <c r="D14160" s="4" t="s">
        <v>7</v>
      </c>
      <c r="E14160" s="4" t="s">
        <v>15</v>
      </c>
      <c r="F14160" s="4" t="s">
        <v>55</v>
      </c>
      <c r="G14160" s="4" t="s">
        <v>7</v>
      </c>
      <c r="H14160" s="4" t="s">
        <v>7</v>
      </c>
    </row>
    <row r="14161" spans="1:8">
      <c r="A14161" t="n">
        <v>133817</v>
      </c>
      <c r="B14161" s="55" t="n">
        <v>26</v>
      </c>
      <c r="C14161" s="7" t="n">
        <v>8</v>
      </c>
      <c r="D14161" s="7" t="n">
        <v>17</v>
      </c>
      <c r="E14161" s="7" t="n">
        <v>64211</v>
      </c>
      <c r="F14161" s="7" t="s">
        <v>1130</v>
      </c>
      <c r="G14161" s="7" t="n">
        <v>2</v>
      </c>
      <c r="H14161" s="7" t="n">
        <v>0</v>
      </c>
    </row>
    <row r="14162" spans="1:8">
      <c r="A14162" t="s">
        <v>4</v>
      </c>
      <c r="B14162" s="4" t="s">
        <v>5</v>
      </c>
    </row>
    <row r="14163" spans="1:8">
      <c r="A14163" t="n">
        <v>133869</v>
      </c>
      <c r="B14163" s="27" t="n">
        <v>28</v>
      </c>
    </row>
    <row r="14164" spans="1:8">
      <c r="A14164" t="s">
        <v>4</v>
      </c>
      <c r="B14164" s="4" t="s">
        <v>5</v>
      </c>
      <c r="C14164" s="4" t="s">
        <v>11</v>
      </c>
      <c r="D14164" s="4" t="s">
        <v>7</v>
      </c>
    </row>
    <row r="14165" spans="1:8">
      <c r="A14165" t="n">
        <v>133870</v>
      </c>
      <c r="B14165" s="68" t="n">
        <v>89</v>
      </c>
      <c r="C14165" s="7" t="n">
        <v>65533</v>
      </c>
      <c r="D14165" s="7" t="n">
        <v>1</v>
      </c>
    </row>
    <row r="14166" spans="1:8">
      <c r="A14166" t="s">
        <v>4</v>
      </c>
      <c r="B14166" s="4" t="s">
        <v>5</v>
      </c>
      <c r="C14166" s="4" t="s">
        <v>7</v>
      </c>
      <c r="D14166" s="4" t="s">
        <v>11</v>
      </c>
      <c r="E14166" s="4" t="s">
        <v>11</v>
      </c>
      <c r="F14166" s="4" t="s">
        <v>7</v>
      </c>
    </row>
    <row r="14167" spans="1:8">
      <c r="A14167" t="n">
        <v>133874</v>
      </c>
      <c r="B14167" s="31" t="n">
        <v>25</v>
      </c>
      <c r="C14167" s="7" t="n">
        <v>1</v>
      </c>
      <c r="D14167" s="7" t="n">
        <v>65535</v>
      </c>
      <c r="E14167" s="7" t="n">
        <v>65535</v>
      </c>
      <c r="F14167" s="7" t="n">
        <v>0</v>
      </c>
    </row>
    <row r="14168" spans="1:8">
      <c r="A14168" t="s">
        <v>4</v>
      </c>
      <c r="B14168" s="4" t="s">
        <v>5</v>
      </c>
      <c r="C14168" s="4" t="s">
        <v>8</v>
      </c>
      <c r="D14168" s="4" t="s">
        <v>11</v>
      </c>
    </row>
    <row r="14169" spans="1:8">
      <c r="A14169" t="n">
        <v>133881</v>
      </c>
      <c r="B14169" s="67" t="n">
        <v>29</v>
      </c>
      <c r="C14169" s="7" t="s">
        <v>16</v>
      </c>
      <c r="D14169" s="7" t="n">
        <v>65533</v>
      </c>
    </row>
    <row r="14170" spans="1:8">
      <c r="A14170" t="s">
        <v>4</v>
      </c>
      <c r="B14170" s="4" t="s">
        <v>5</v>
      </c>
      <c r="C14170" s="4" t="s">
        <v>11</v>
      </c>
      <c r="D14170" s="4" t="s">
        <v>7</v>
      </c>
      <c r="E14170" s="4" t="s">
        <v>13</v>
      </c>
      <c r="F14170" s="4" t="s">
        <v>11</v>
      </c>
    </row>
    <row r="14171" spans="1:8">
      <c r="A14171" t="n">
        <v>133885</v>
      </c>
      <c r="B14171" s="56" t="n">
        <v>59</v>
      </c>
      <c r="C14171" s="7" t="n">
        <v>0</v>
      </c>
      <c r="D14171" s="7" t="n">
        <v>13</v>
      </c>
      <c r="E14171" s="7" t="n">
        <v>0.150000005960464</v>
      </c>
      <c r="F14171" s="7" t="n">
        <v>0</v>
      </c>
    </row>
    <row r="14172" spans="1:8">
      <c r="A14172" t="s">
        <v>4</v>
      </c>
      <c r="B14172" s="4" t="s">
        <v>5</v>
      </c>
      <c r="C14172" s="4" t="s">
        <v>11</v>
      </c>
    </row>
    <row r="14173" spans="1:8">
      <c r="A14173" t="n">
        <v>133895</v>
      </c>
      <c r="B14173" s="29" t="n">
        <v>16</v>
      </c>
      <c r="C14173" s="7" t="n">
        <v>1000</v>
      </c>
    </row>
    <row r="14174" spans="1:8">
      <c r="A14174" t="s">
        <v>4</v>
      </c>
      <c r="B14174" s="4" t="s">
        <v>5</v>
      </c>
      <c r="C14174" s="4" t="s">
        <v>11</v>
      </c>
      <c r="D14174" s="4" t="s">
        <v>13</v>
      </c>
      <c r="E14174" s="4" t="s">
        <v>13</v>
      </c>
      <c r="F14174" s="4" t="s">
        <v>13</v>
      </c>
      <c r="G14174" s="4" t="s">
        <v>11</v>
      </c>
      <c r="H14174" s="4" t="s">
        <v>11</v>
      </c>
    </row>
    <row r="14175" spans="1:8">
      <c r="A14175" t="n">
        <v>133898</v>
      </c>
      <c r="B14175" s="37" t="n">
        <v>60</v>
      </c>
      <c r="C14175" s="7" t="n">
        <v>0</v>
      </c>
      <c r="D14175" s="7" t="n">
        <v>0</v>
      </c>
      <c r="E14175" s="7" t="n">
        <v>0</v>
      </c>
      <c r="F14175" s="7" t="n">
        <v>0</v>
      </c>
      <c r="G14175" s="7" t="n">
        <v>1000</v>
      </c>
      <c r="H14175" s="7" t="n">
        <v>0</v>
      </c>
    </row>
    <row r="14176" spans="1:8">
      <c r="A14176" t="s">
        <v>4</v>
      </c>
      <c r="B14176" s="4" t="s">
        <v>5</v>
      </c>
      <c r="C14176" s="4" t="s">
        <v>11</v>
      </c>
      <c r="D14176" s="4" t="s">
        <v>11</v>
      </c>
      <c r="E14176" s="4" t="s">
        <v>11</v>
      </c>
    </row>
    <row r="14177" spans="1:8">
      <c r="A14177" t="n">
        <v>133917</v>
      </c>
      <c r="B14177" s="72" t="n">
        <v>61</v>
      </c>
      <c r="C14177" s="7" t="n">
        <v>0</v>
      </c>
      <c r="D14177" s="7" t="n">
        <v>8</v>
      </c>
      <c r="E14177" s="7" t="n">
        <v>1000</v>
      </c>
    </row>
    <row r="14178" spans="1:8">
      <c r="A14178" t="s">
        <v>4</v>
      </c>
      <c r="B14178" s="4" t="s">
        <v>5</v>
      </c>
      <c r="C14178" s="4" t="s">
        <v>11</v>
      </c>
      <c r="D14178" s="4" t="s">
        <v>11</v>
      </c>
      <c r="E14178" s="4" t="s">
        <v>11</v>
      </c>
    </row>
    <row r="14179" spans="1:8">
      <c r="A14179" t="n">
        <v>133924</v>
      </c>
      <c r="B14179" s="72" t="n">
        <v>61</v>
      </c>
      <c r="C14179" s="7" t="n">
        <v>8</v>
      </c>
      <c r="D14179" s="7" t="n">
        <v>0</v>
      </c>
      <c r="E14179" s="7" t="n">
        <v>1000</v>
      </c>
    </row>
    <row r="14180" spans="1:8">
      <c r="A14180" t="s">
        <v>4</v>
      </c>
      <c r="B14180" s="4" t="s">
        <v>5</v>
      </c>
      <c r="C14180" s="4" t="s">
        <v>11</v>
      </c>
      <c r="D14180" s="4" t="s">
        <v>13</v>
      </c>
      <c r="E14180" s="4" t="s">
        <v>13</v>
      </c>
      <c r="F14180" s="4" t="s">
        <v>7</v>
      </c>
    </row>
    <row r="14181" spans="1:8">
      <c r="A14181" t="n">
        <v>133931</v>
      </c>
      <c r="B14181" s="65" t="n">
        <v>52</v>
      </c>
      <c r="C14181" s="7" t="n">
        <v>0</v>
      </c>
      <c r="D14181" s="7" t="n">
        <v>332.399993896484</v>
      </c>
      <c r="E14181" s="7" t="n">
        <v>5</v>
      </c>
      <c r="F14181" s="7" t="n">
        <v>0</v>
      </c>
    </row>
    <row r="14182" spans="1:8">
      <c r="A14182" t="s">
        <v>4</v>
      </c>
      <c r="B14182" s="4" t="s">
        <v>5</v>
      </c>
      <c r="C14182" s="4" t="s">
        <v>11</v>
      </c>
    </row>
    <row r="14183" spans="1:8">
      <c r="A14183" t="n">
        <v>133943</v>
      </c>
      <c r="B14183" s="66" t="n">
        <v>54</v>
      </c>
      <c r="C14183" s="7" t="n">
        <v>0</v>
      </c>
    </row>
    <row r="14184" spans="1:8">
      <c r="A14184" t="s">
        <v>4</v>
      </c>
      <c r="B14184" s="4" t="s">
        <v>5</v>
      </c>
      <c r="C14184" s="4" t="s">
        <v>7</v>
      </c>
      <c r="D14184" s="4" t="s">
        <v>11</v>
      </c>
      <c r="E14184" s="4" t="s">
        <v>13</v>
      </c>
    </row>
    <row r="14185" spans="1:8">
      <c r="A14185" t="n">
        <v>133946</v>
      </c>
      <c r="B14185" s="23" t="n">
        <v>58</v>
      </c>
      <c r="C14185" s="7" t="n">
        <v>101</v>
      </c>
      <c r="D14185" s="7" t="n">
        <v>500</v>
      </c>
      <c r="E14185" s="7" t="n">
        <v>1</v>
      </c>
    </row>
    <row r="14186" spans="1:8">
      <c r="A14186" t="s">
        <v>4</v>
      </c>
      <c r="B14186" s="4" t="s">
        <v>5</v>
      </c>
      <c r="C14186" s="4" t="s">
        <v>7</v>
      </c>
      <c r="D14186" s="4" t="s">
        <v>11</v>
      </c>
    </row>
    <row r="14187" spans="1:8">
      <c r="A14187" t="n">
        <v>133954</v>
      </c>
      <c r="B14187" s="23" t="n">
        <v>58</v>
      </c>
      <c r="C14187" s="7" t="n">
        <v>254</v>
      </c>
      <c r="D14187" s="7" t="n">
        <v>0</v>
      </c>
    </row>
    <row r="14188" spans="1:8">
      <c r="A14188" t="s">
        <v>4</v>
      </c>
      <c r="B14188" s="4" t="s">
        <v>5</v>
      </c>
      <c r="C14188" s="4" t="s">
        <v>7</v>
      </c>
      <c r="D14188" s="4" t="s">
        <v>7</v>
      </c>
      <c r="E14188" s="4" t="s">
        <v>13</v>
      </c>
      <c r="F14188" s="4" t="s">
        <v>13</v>
      </c>
      <c r="G14188" s="4" t="s">
        <v>13</v>
      </c>
      <c r="H14188" s="4" t="s">
        <v>11</v>
      </c>
    </row>
    <row r="14189" spans="1:8">
      <c r="A14189" t="n">
        <v>133958</v>
      </c>
      <c r="B14189" s="51" t="n">
        <v>45</v>
      </c>
      <c r="C14189" s="7" t="n">
        <v>2</v>
      </c>
      <c r="D14189" s="7" t="n">
        <v>3</v>
      </c>
      <c r="E14189" s="7" t="n">
        <v>4.92999982833862</v>
      </c>
      <c r="F14189" s="7" t="n">
        <v>1.46000003814697</v>
      </c>
      <c r="G14189" s="7" t="n">
        <v>45.6699981689453</v>
      </c>
      <c r="H14189" s="7" t="n">
        <v>0</v>
      </c>
    </row>
    <row r="14190" spans="1:8">
      <c r="A14190" t="s">
        <v>4</v>
      </c>
      <c r="B14190" s="4" t="s">
        <v>5</v>
      </c>
      <c r="C14190" s="4" t="s">
        <v>7</v>
      </c>
      <c r="D14190" s="4" t="s">
        <v>7</v>
      </c>
      <c r="E14190" s="4" t="s">
        <v>13</v>
      </c>
      <c r="F14190" s="4" t="s">
        <v>13</v>
      </c>
      <c r="G14190" s="4" t="s">
        <v>13</v>
      </c>
      <c r="H14190" s="4" t="s">
        <v>11</v>
      </c>
      <c r="I14190" s="4" t="s">
        <v>7</v>
      </c>
    </row>
    <row r="14191" spans="1:8">
      <c r="A14191" t="n">
        <v>133975</v>
      </c>
      <c r="B14191" s="51" t="n">
        <v>45</v>
      </c>
      <c r="C14191" s="7" t="n">
        <v>4</v>
      </c>
      <c r="D14191" s="7" t="n">
        <v>3</v>
      </c>
      <c r="E14191" s="7" t="n">
        <v>5.69000005722046</v>
      </c>
      <c r="F14191" s="7" t="n">
        <v>260.239990234375</v>
      </c>
      <c r="G14191" s="7" t="n">
        <v>0</v>
      </c>
      <c r="H14191" s="7" t="n">
        <v>0</v>
      </c>
      <c r="I14191" s="7" t="n">
        <v>0</v>
      </c>
    </row>
    <row r="14192" spans="1:8">
      <c r="A14192" t="s">
        <v>4</v>
      </c>
      <c r="B14192" s="4" t="s">
        <v>5</v>
      </c>
      <c r="C14192" s="4" t="s">
        <v>7</v>
      </c>
      <c r="D14192" s="4" t="s">
        <v>7</v>
      </c>
      <c r="E14192" s="4" t="s">
        <v>13</v>
      </c>
      <c r="F14192" s="4" t="s">
        <v>11</v>
      </c>
    </row>
    <row r="14193" spans="1:9">
      <c r="A14193" t="n">
        <v>133993</v>
      </c>
      <c r="B14193" s="51" t="n">
        <v>45</v>
      </c>
      <c r="C14193" s="7" t="n">
        <v>5</v>
      </c>
      <c r="D14193" s="7" t="n">
        <v>3</v>
      </c>
      <c r="E14193" s="7" t="n">
        <v>1.70000004768372</v>
      </c>
      <c r="F14193" s="7" t="n">
        <v>0</v>
      </c>
    </row>
    <row r="14194" spans="1:9">
      <c r="A14194" t="s">
        <v>4</v>
      </c>
      <c r="B14194" s="4" t="s">
        <v>5</v>
      </c>
      <c r="C14194" s="4" t="s">
        <v>7</v>
      </c>
      <c r="D14194" s="4" t="s">
        <v>7</v>
      </c>
      <c r="E14194" s="4" t="s">
        <v>13</v>
      </c>
      <c r="F14194" s="4" t="s">
        <v>11</v>
      </c>
    </row>
    <row r="14195" spans="1:9">
      <c r="A14195" t="n">
        <v>134002</v>
      </c>
      <c r="B14195" s="51" t="n">
        <v>45</v>
      </c>
      <c r="C14195" s="7" t="n">
        <v>11</v>
      </c>
      <c r="D14195" s="7" t="n">
        <v>3</v>
      </c>
      <c r="E14195" s="7" t="n">
        <v>34</v>
      </c>
      <c r="F14195" s="7" t="n">
        <v>0</v>
      </c>
    </row>
    <row r="14196" spans="1:9">
      <c r="A14196" t="s">
        <v>4</v>
      </c>
      <c r="B14196" s="4" t="s">
        <v>5</v>
      </c>
      <c r="C14196" s="4" t="s">
        <v>7</v>
      </c>
      <c r="D14196" s="4" t="s">
        <v>7</v>
      </c>
      <c r="E14196" s="4" t="s">
        <v>13</v>
      </c>
      <c r="F14196" s="4" t="s">
        <v>13</v>
      </c>
      <c r="G14196" s="4" t="s">
        <v>13</v>
      </c>
      <c r="H14196" s="4" t="s">
        <v>11</v>
      </c>
    </row>
    <row r="14197" spans="1:9">
      <c r="A14197" t="n">
        <v>134011</v>
      </c>
      <c r="B14197" s="51" t="n">
        <v>45</v>
      </c>
      <c r="C14197" s="7" t="n">
        <v>2</v>
      </c>
      <c r="D14197" s="7" t="n">
        <v>3</v>
      </c>
      <c r="E14197" s="7" t="n">
        <v>4.84999990463257</v>
      </c>
      <c r="F14197" s="7" t="n">
        <v>1.4099999666214</v>
      </c>
      <c r="G14197" s="7" t="n">
        <v>45.7999992370605</v>
      </c>
      <c r="H14197" s="7" t="n">
        <v>5500</v>
      </c>
    </row>
    <row r="14198" spans="1:9">
      <c r="A14198" t="s">
        <v>4</v>
      </c>
      <c r="B14198" s="4" t="s">
        <v>5</v>
      </c>
      <c r="C14198" s="4" t="s">
        <v>7</v>
      </c>
      <c r="D14198" s="4" t="s">
        <v>7</v>
      </c>
      <c r="E14198" s="4" t="s">
        <v>13</v>
      </c>
      <c r="F14198" s="4" t="s">
        <v>13</v>
      </c>
      <c r="G14198" s="4" t="s">
        <v>13</v>
      </c>
      <c r="H14198" s="4" t="s">
        <v>11</v>
      </c>
      <c r="I14198" s="4" t="s">
        <v>7</v>
      </c>
    </row>
    <row r="14199" spans="1:9">
      <c r="A14199" t="n">
        <v>134028</v>
      </c>
      <c r="B14199" s="51" t="n">
        <v>45</v>
      </c>
      <c r="C14199" s="7" t="n">
        <v>4</v>
      </c>
      <c r="D14199" s="7" t="n">
        <v>3</v>
      </c>
      <c r="E14199" s="7" t="n">
        <v>5.46999979019165</v>
      </c>
      <c r="F14199" s="7" t="n">
        <v>232.490005493164</v>
      </c>
      <c r="G14199" s="7" t="n">
        <v>0</v>
      </c>
      <c r="H14199" s="7" t="n">
        <v>5500</v>
      </c>
      <c r="I14199" s="7" t="n">
        <v>0</v>
      </c>
    </row>
    <row r="14200" spans="1:9">
      <c r="A14200" t="s">
        <v>4</v>
      </c>
      <c r="B14200" s="4" t="s">
        <v>5</v>
      </c>
      <c r="C14200" s="4" t="s">
        <v>11</v>
      </c>
      <c r="D14200" s="4" t="s">
        <v>7</v>
      </c>
      <c r="E14200" s="4" t="s">
        <v>7</v>
      </c>
      <c r="F14200" s="4" t="s">
        <v>8</v>
      </c>
    </row>
    <row r="14201" spans="1:9">
      <c r="A14201" t="n">
        <v>134046</v>
      </c>
      <c r="B14201" s="50" t="n">
        <v>20</v>
      </c>
      <c r="C14201" s="7" t="n">
        <v>8</v>
      </c>
      <c r="D14201" s="7" t="n">
        <v>2</v>
      </c>
      <c r="E14201" s="7" t="n">
        <v>11</v>
      </c>
      <c r="F14201" s="7" t="s">
        <v>283</v>
      </c>
    </row>
    <row r="14202" spans="1:9">
      <c r="A14202" t="s">
        <v>4</v>
      </c>
      <c r="B14202" s="4" t="s">
        <v>5</v>
      </c>
      <c r="C14202" s="4" t="s">
        <v>7</v>
      </c>
    </row>
    <row r="14203" spans="1:9">
      <c r="A14203" t="n">
        <v>134073</v>
      </c>
      <c r="B14203" s="49" t="n">
        <v>116</v>
      </c>
      <c r="C14203" s="7" t="n">
        <v>0</v>
      </c>
    </row>
    <row r="14204" spans="1:9">
      <c r="A14204" t="s">
        <v>4</v>
      </c>
      <c r="B14204" s="4" t="s">
        <v>5</v>
      </c>
      <c r="C14204" s="4" t="s">
        <v>7</v>
      </c>
      <c r="D14204" s="4" t="s">
        <v>11</v>
      </c>
    </row>
    <row r="14205" spans="1:9">
      <c r="A14205" t="n">
        <v>134075</v>
      </c>
      <c r="B14205" s="49" t="n">
        <v>116</v>
      </c>
      <c r="C14205" s="7" t="n">
        <v>2</v>
      </c>
      <c r="D14205" s="7" t="n">
        <v>1</v>
      </c>
    </row>
    <row r="14206" spans="1:9">
      <c r="A14206" t="s">
        <v>4</v>
      </c>
      <c r="B14206" s="4" t="s">
        <v>5</v>
      </c>
      <c r="C14206" s="4" t="s">
        <v>7</v>
      </c>
      <c r="D14206" s="4" t="s">
        <v>15</v>
      </c>
    </row>
    <row r="14207" spans="1:9">
      <c r="A14207" t="n">
        <v>134079</v>
      </c>
      <c r="B14207" s="49" t="n">
        <v>116</v>
      </c>
      <c r="C14207" s="7" t="n">
        <v>5</v>
      </c>
      <c r="D14207" s="7" t="n">
        <v>1084227584</v>
      </c>
    </row>
    <row r="14208" spans="1:9">
      <c r="A14208" t="s">
        <v>4</v>
      </c>
      <c r="B14208" s="4" t="s">
        <v>5</v>
      </c>
      <c r="C14208" s="4" t="s">
        <v>7</v>
      </c>
      <c r="D14208" s="4" t="s">
        <v>11</v>
      </c>
    </row>
    <row r="14209" spans="1:9">
      <c r="A14209" t="n">
        <v>134085</v>
      </c>
      <c r="B14209" s="49" t="n">
        <v>116</v>
      </c>
      <c r="C14209" s="7" t="n">
        <v>6</v>
      </c>
      <c r="D14209" s="7" t="n">
        <v>1</v>
      </c>
    </row>
    <row r="14210" spans="1:9">
      <c r="A14210" t="s">
        <v>4</v>
      </c>
      <c r="B14210" s="4" t="s">
        <v>5</v>
      </c>
      <c r="C14210" s="4" t="s">
        <v>7</v>
      </c>
      <c r="D14210" s="4" t="s">
        <v>11</v>
      </c>
    </row>
    <row r="14211" spans="1:9">
      <c r="A14211" t="n">
        <v>134089</v>
      </c>
      <c r="B14211" s="23" t="n">
        <v>58</v>
      </c>
      <c r="C14211" s="7" t="n">
        <v>255</v>
      </c>
      <c r="D14211" s="7" t="n">
        <v>0</v>
      </c>
    </row>
    <row r="14212" spans="1:9">
      <c r="A14212" t="s">
        <v>4</v>
      </c>
      <c r="B14212" s="4" t="s">
        <v>5</v>
      </c>
      <c r="C14212" s="4" t="s">
        <v>11</v>
      </c>
    </row>
    <row r="14213" spans="1:9">
      <c r="A14213" t="n">
        <v>134093</v>
      </c>
      <c r="B14213" s="29" t="n">
        <v>16</v>
      </c>
      <c r="C14213" s="7" t="n">
        <v>800</v>
      </c>
    </row>
    <row r="14214" spans="1:9">
      <c r="A14214" t="s">
        <v>4</v>
      </c>
      <c r="B14214" s="4" t="s">
        <v>5</v>
      </c>
      <c r="C14214" s="4" t="s">
        <v>8</v>
      </c>
      <c r="D14214" s="4" t="s">
        <v>8</v>
      </c>
    </row>
    <row r="14215" spans="1:9">
      <c r="A14215" t="n">
        <v>134096</v>
      </c>
      <c r="B14215" s="52" t="n">
        <v>70</v>
      </c>
      <c r="C14215" s="7" t="s">
        <v>279</v>
      </c>
      <c r="D14215" s="7" t="s">
        <v>284</v>
      </c>
    </row>
    <row r="14216" spans="1:9">
      <c r="A14216" t="s">
        <v>4</v>
      </c>
      <c r="B14216" s="4" t="s">
        <v>5</v>
      </c>
      <c r="C14216" s="4" t="s">
        <v>7</v>
      </c>
      <c r="D14216" s="4" t="s">
        <v>11</v>
      </c>
    </row>
    <row r="14217" spans="1:9">
      <c r="A14217" t="n">
        <v>134114</v>
      </c>
      <c r="B14217" s="51" t="n">
        <v>45</v>
      </c>
      <c r="C14217" s="7" t="n">
        <v>7</v>
      </c>
      <c r="D14217" s="7" t="n">
        <v>255</v>
      </c>
    </row>
    <row r="14218" spans="1:9">
      <c r="A14218" t="s">
        <v>4</v>
      </c>
      <c r="B14218" s="4" t="s">
        <v>5</v>
      </c>
      <c r="C14218" s="4" t="s">
        <v>7</v>
      </c>
      <c r="D14218" s="4" t="s">
        <v>11</v>
      </c>
      <c r="E14218" s="4" t="s">
        <v>8</v>
      </c>
    </row>
    <row r="14219" spans="1:9">
      <c r="A14219" t="n">
        <v>134118</v>
      </c>
      <c r="B14219" s="38" t="n">
        <v>51</v>
      </c>
      <c r="C14219" s="7" t="n">
        <v>4</v>
      </c>
      <c r="D14219" s="7" t="n">
        <v>0</v>
      </c>
      <c r="E14219" s="7" t="s">
        <v>304</v>
      </c>
    </row>
    <row r="14220" spans="1:9">
      <c r="A14220" t="s">
        <v>4</v>
      </c>
      <c r="B14220" s="4" t="s">
        <v>5</v>
      </c>
      <c r="C14220" s="4" t="s">
        <v>11</v>
      </c>
    </row>
    <row r="14221" spans="1:9">
      <c r="A14221" t="n">
        <v>134131</v>
      </c>
      <c r="B14221" s="29" t="n">
        <v>16</v>
      </c>
      <c r="C14221" s="7" t="n">
        <v>0</v>
      </c>
    </row>
    <row r="14222" spans="1:9">
      <c r="A14222" t="s">
        <v>4</v>
      </c>
      <c r="B14222" s="4" t="s">
        <v>5</v>
      </c>
      <c r="C14222" s="4" t="s">
        <v>11</v>
      </c>
      <c r="D14222" s="4" t="s">
        <v>7</v>
      </c>
      <c r="E14222" s="4" t="s">
        <v>15</v>
      </c>
      <c r="F14222" s="4" t="s">
        <v>55</v>
      </c>
      <c r="G14222" s="4" t="s">
        <v>7</v>
      </c>
      <c r="H14222" s="4" t="s">
        <v>7</v>
      </c>
    </row>
    <row r="14223" spans="1:9">
      <c r="A14223" t="n">
        <v>134134</v>
      </c>
      <c r="B14223" s="55" t="n">
        <v>26</v>
      </c>
      <c r="C14223" s="7" t="n">
        <v>0</v>
      </c>
      <c r="D14223" s="7" t="n">
        <v>17</v>
      </c>
      <c r="E14223" s="7" t="n">
        <v>64212</v>
      </c>
      <c r="F14223" s="7" t="s">
        <v>1131</v>
      </c>
      <c r="G14223" s="7" t="n">
        <v>2</v>
      </c>
      <c r="H14223" s="7" t="n">
        <v>0</v>
      </c>
    </row>
    <row r="14224" spans="1:9">
      <c r="A14224" t="s">
        <v>4</v>
      </c>
      <c r="B14224" s="4" t="s">
        <v>5</v>
      </c>
    </row>
    <row r="14225" spans="1:8">
      <c r="A14225" t="n">
        <v>134223</v>
      </c>
      <c r="B14225" s="27" t="n">
        <v>28</v>
      </c>
    </row>
    <row r="14226" spans="1:8">
      <c r="A14226" t="s">
        <v>4</v>
      </c>
      <c r="B14226" s="4" t="s">
        <v>5</v>
      </c>
      <c r="C14226" s="4" t="s">
        <v>7</v>
      </c>
      <c r="D14226" s="4" t="s">
        <v>11</v>
      </c>
      <c r="E14226" s="4" t="s">
        <v>13</v>
      </c>
    </row>
    <row r="14227" spans="1:8">
      <c r="A14227" t="n">
        <v>134224</v>
      </c>
      <c r="B14227" s="23" t="n">
        <v>58</v>
      </c>
      <c r="C14227" s="7" t="n">
        <v>101</v>
      </c>
      <c r="D14227" s="7" t="n">
        <v>500</v>
      </c>
      <c r="E14227" s="7" t="n">
        <v>1</v>
      </c>
    </row>
    <row r="14228" spans="1:8">
      <c r="A14228" t="s">
        <v>4</v>
      </c>
      <c r="B14228" s="4" t="s">
        <v>5</v>
      </c>
      <c r="C14228" s="4" t="s">
        <v>7</v>
      </c>
      <c r="D14228" s="4" t="s">
        <v>11</v>
      </c>
    </row>
    <row r="14229" spans="1:8">
      <c r="A14229" t="n">
        <v>134232</v>
      </c>
      <c r="B14229" s="23" t="n">
        <v>58</v>
      </c>
      <c r="C14229" s="7" t="n">
        <v>254</v>
      </c>
      <c r="D14229" s="7" t="n">
        <v>0</v>
      </c>
    </row>
    <row r="14230" spans="1:8">
      <c r="A14230" t="s">
        <v>4</v>
      </c>
      <c r="B14230" s="4" t="s">
        <v>5</v>
      </c>
      <c r="C14230" s="4" t="s">
        <v>7</v>
      </c>
      <c r="D14230" s="4" t="s">
        <v>7</v>
      </c>
      <c r="E14230" s="4" t="s">
        <v>13</v>
      </c>
      <c r="F14230" s="4" t="s">
        <v>13</v>
      </c>
      <c r="G14230" s="4" t="s">
        <v>13</v>
      </c>
      <c r="H14230" s="4" t="s">
        <v>11</v>
      </c>
    </row>
    <row r="14231" spans="1:8">
      <c r="A14231" t="n">
        <v>134236</v>
      </c>
      <c r="B14231" s="51" t="n">
        <v>45</v>
      </c>
      <c r="C14231" s="7" t="n">
        <v>2</v>
      </c>
      <c r="D14231" s="7" t="n">
        <v>3</v>
      </c>
      <c r="E14231" s="7" t="n">
        <v>4.96999979019165</v>
      </c>
      <c r="F14231" s="7" t="n">
        <v>1.5900000333786</v>
      </c>
      <c r="G14231" s="7" t="n">
        <v>46.3800010681152</v>
      </c>
      <c r="H14231" s="7" t="n">
        <v>0</v>
      </c>
    </row>
    <row r="14232" spans="1:8">
      <c r="A14232" t="s">
        <v>4</v>
      </c>
      <c r="B14232" s="4" t="s">
        <v>5</v>
      </c>
      <c r="C14232" s="4" t="s">
        <v>7</v>
      </c>
      <c r="D14232" s="4" t="s">
        <v>7</v>
      </c>
      <c r="E14232" s="4" t="s">
        <v>13</v>
      </c>
      <c r="F14232" s="4" t="s">
        <v>13</v>
      </c>
      <c r="G14232" s="4" t="s">
        <v>13</v>
      </c>
      <c r="H14232" s="4" t="s">
        <v>11</v>
      </c>
      <c r="I14232" s="4" t="s">
        <v>7</v>
      </c>
    </row>
    <row r="14233" spans="1:8">
      <c r="A14233" t="n">
        <v>134253</v>
      </c>
      <c r="B14233" s="51" t="n">
        <v>45</v>
      </c>
      <c r="C14233" s="7" t="n">
        <v>4</v>
      </c>
      <c r="D14233" s="7" t="n">
        <v>3</v>
      </c>
      <c r="E14233" s="7" t="n">
        <v>0.519999980926514</v>
      </c>
      <c r="F14233" s="7" t="n">
        <v>208.940002441406</v>
      </c>
      <c r="G14233" s="7" t="n">
        <v>0</v>
      </c>
      <c r="H14233" s="7" t="n">
        <v>0</v>
      </c>
      <c r="I14233" s="7" t="n">
        <v>0</v>
      </c>
    </row>
    <row r="14234" spans="1:8">
      <c r="A14234" t="s">
        <v>4</v>
      </c>
      <c r="B14234" s="4" t="s">
        <v>5</v>
      </c>
      <c r="C14234" s="4" t="s">
        <v>7</v>
      </c>
      <c r="D14234" s="4" t="s">
        <v>7</v>
      </c>
      <c r="E14234" s="4" t="s">
        <v>13</v>
      </c>
      <c r="F14234" s="4" t="s">
        <v>11</v>
      </c>
    </row>
    <row r="14235" spans="1:8">
      <c r="A14235" t="n">
        <v>134271</v>
      </c>
      <c r="B14235" s="51" t="n">
        <v>45</v>
      </c>
      <c r="C14235" s="7" t="n">
        <v>5</v>
      </c>
      <c r="D14235" s="7" t="n">
        <v>3</v>
      </c>
      <c r="E14235" s="7" t="n">
        <v>1</v>
      </c>
      <c r="F14235" s="7" t="n">
        <v>0</v>
      </c>
    </row>
    <row r="14236" spans="1:8">
      <c r="A14236" t="s">
        <v>4</v>
      </c>
      <c r="B14236" s="4" t="s">
        <v>5</v>
      </c>
      <c r="C14236" s="4" t="s">
        <v>7</v>
      </c>
      <c r="D14236" s="4" t="s">
        <v>7</v>
      </c>
      <c r="E14236" s="4" t="s">
        <v>13</v>
      </c>
      <c r="F14236" s="4" t="s">
        <v>11</v>
      </c>
    </row>
    <row r="14237" spans="1:8">
      <c r="A14237" t="n">
        <v>134280</v>
      </c>
      <c r="B14237" s="51" t="n">
        <v>45</v>
      </c>
      <c r="C14237" s="7" t="n">
        <v>11</v>
      </c>
      <c r="D14237" s="7" t="n">
        <v>3</v>
      </c>
      <c r="E14237" s="7" t="n">
        <v>34</v>
      </c>
      <c r="F14237" s="7" t="n">
        <v>0</v>
      </c>
    </row>
    <row r="14238" spans="1:8">
      <c r="A14238" t="s">
        <v>4</v>
      </c>
      <c r="B14238" s="4" t="s">
        <v>5</v>
      </c>
      <c r="C14238" s="4" t="s">
        <v>7</v>
      </c>
      <c r="D14238" s="4" t="s">
        <v>11</v>
      </c>
    </row>
    <row r="14239" spans="1:8">
      <c r="A14239" t="n">
        <v>134289</v>
      </c>
      <c r="B14239" s="23" t="n">
        <v>58</v>
      </c>
      <c r="C14239" s="7" t="n">
        <v>255</v>
      </c>
      <c r="D14239" s="7" t="n">
        <v>0</v>
      </c>
    </row>
    <row r="14240" spans="1:8">
      <c r="A14240" t="s">
        <v>4</v>
      </c>
      <c r="B14240" s="4" t="s">
        <v>5</v>
      </c>
      <c r="C14240" s="4" t="s">
        <v>7</v>
      </c>
      <c r="D14240" s="4" t="s">
        <v>11</v>
      </c>
      <c r="E14240" s="4" t="s">
        <v>8</v>
      </c>
    </row>
    <row r="14241" spans="1:9">
      <c r="A14241" t="n">
        <v>134293</v>
      </c>
      <c r="B14241" s="38" t="n">
        <v>51</v>
      </c>
      <c r="C14241" s="7" t="n">
        <v>4</v>
      </c>
      <c r="D14241" s="7" t="n">
        <v>8</v>
      </c>
      <c r="E14241" s="7" t="s">
        <v>247</v>
      </c>
    </row>
    <row r="14242" spans="1:9">
      <c r="A14242" t="s">
        <v>4</v>
      </c>
      <c r="B14242" s="4" t="s">
        <v>5</v>
      </c>
      <c r="C14242" s="4" t="s">
        <v>11</v>
      </c>
    </row>
    <row r="14243" spans="1:9">
      <c r="A14243" t="n">
        <v>134307</v>
      </c>
      <c r="B14243" s="29" t="n">
        <v>16</v>
      </c>
      <c r="C14243" s="7" t="n">
        <v>0</v>
      </c>
    </row>
    <row r="14244" spans="1:9">
      <c r="A14244" t="s">
        <v>4</v>
      </c>
      <c r="B14244" s="4" t="s">
        <v>5</v>
      </c>
      <c r="C14244" s="4" t="s">
        <v>11</v>
      </c>
      <c r="D14244" s="4" t="s">
        <v>7</v>
      </c>
      <c r="E14244" s="4" t="s">
        <v>15</v>
      </c>
      <c r="F14244" s="4" t="s">
        <v>55</v>
      </c>
      <c r="G14244" s="4" t="s">
        <v>7</v>
      </c>
      <c r="H14244" s="4" t="s">
        <v>7</v>
      </c>
      <c r="I14244" s="4" t="s">
        <v>7</v>
      </c>
      <c r="J14244" s="4" t="s">
        <v>15</v>
      </c>
      <c r="K14244" s="4" t="s">
        <v>55</v>
      </c>
      <c r="L14244" s="4" t="s">
        <v>7</v>
      </c>
      <c r="M14244" s="4" t="s">
        <v>7</v>
      </c>
    </row>
    <row r="14245" spans="1:9">
      <c r="A14245" t="n">
        <v>134310</v>
      </c>
      <c r="B14245" s="55" t="n">
        <v>26</v>
      </c>
      <c r="C14245" s="7" t="n">
        <v>8</v>
      </c>
      <c r="D14245" s="7" t="n">
        <v>17</v>
      </c>
      <c r="E14245" s="7" t="n">
        <v>64213</v>
      </c>
      <c r="F14245" s="7" t="s">
        <v>1132</v>
      </c>
      <c r="G14245" s="7" t="n">
        <v>2</v>
      </c>
      <c r="H14245" s="7" t="n">
        <v>3</v>
      </c>
      <c r="I14245" s="7" t="n">
        <v>17</v>
      </c>
      <c r="J14245" s="7" t="n">
        <v>64214</v>
      </c>
      <c r="K14245" s="7" t="s">
        <v>1133</v>
      </c>
      <c r="L14245" s="7" t="n">
        <v>2</v>
      </c>
      <c r="M14245" s="7" t="n">
        <v>0</v>
      </c>
    </row>
    <row r="14246" spans="1:9">
      <c r="A14246" t="s">
        <v>4</v>
      </c>
      <c r="B14246" s="4" t="s">
        <v>5</v>
      </c>
    </row>
    <row r="14247" spans="1:9">
      <c r="A14247" t="n">
        <v>134479</v>
      </c>
      <c r="B14247" s="27" t="n">
        <v>28</v>
      </c>
    </row>
    <row r="14248" spans="1:9">
      <c r="A14248" t="s">
        <v>4</v>
      </c>
      <c r="B14248" s="4" t="s">
        <v>5</v>
      </c>
      <c r="C14248" s="4" t="s">
        <v>7</v>
      </c>
      <c r="D14248" s="4" t="s">
        <v>11</v>
      </c>
      <c r="E14248" s="4" t="s">
        <v>8</v>
      </c>
      <c r="F14248" s="4" t="s">
        <v>8</v>
      </c>
      <c r="G14248" s="4" t="s">
        <v>8</v>
      </c>
      <c r="H14248" s="4" t="s">
        <v>8</v>
      </c>
    </row>
    <row r="14249" spans="1:9">
      <c r="A14249" t="n">
        <v>134480</v>
      </c>
      <c r="B14249" s="38" t="n">
        <v>51</v>
      </c>
      <c r="C14249" s="7" t="n">
        <v>3</v>
      </c>
      <c r="D14249" s="7" t="n">
        <v>8</v>
      </c>
      <c r="E14249" s="7" t="s">
        <v>295</v>
      </c>
      <c r="F14249" s="7" t="s">
        <v>232</v>
      </c>
      <c r="G14249" s="7" t="s">
        <v>78</v>
      </c>
      <c r="H14249" s="7" t="s">
        <v>79</v>
      </c>
    </row>
    <row r="14250" spans="1:9">
      <c r="A14250" t="s">
        <v>4</v>
      </c>
      <c r="B14250" s="4" t="s">
        <v>5</v>
      </c>
      <c r="C14250" s="4" t="s">
        <v>11</v>
      </c>
      <c r="D14250" s="4" t="s">
        <v>13</v>
      </c>
      <c r="E14250" s="4" t="s">
        <v>13</v>
      </c>
      <c r="F14250" s="4" t="s">
        <v>13</v>
      </c>
      <c r="G14250" s="4" t="s">
        <v>11</v>
      </c>
      <c r="H14250" s="4" t="s">
        <v>11</v>
      </c>
    </row>
    <row r="14251" spans="1:9">
      <c r="A14251" t="n">
        <v>134493</v>
      </c>
      <c r="B14251" s="37" t="n">
        <v>60</v>
      </c>
      <c r="C14251" s="7" t="n">
        <v>8</v>
      </c>
      <c r="D14251" s="7" t="n">
        <v>-45</v>
      </c>
      <c r="E14251" s="7" t="n">
        <v>0</v>
      </c>
      <c r="F14251" s="7" t="n">
        <v>0</v>
      </c>
      <c r="G14251" s="7" t="n">
        <v>1000</v>
      </c>
      <c r="H14251" s="7" t="n">
        <v>0</v>
      </c>
    </row>
    <row r="14252" spans="1:9">
      <c r="A14252" t="s">
        <v>4</v>
      </c>
      <c r="B14252" s="4" t="s">
        <v>5</v>
      </c>
      <c r="C14252" s="4" t="s">
        <v>11</v>
      </c>
    </row>
    <row r="14253" spans="1:9">
      <c r="A14253" t="n">
        <v>134512</v>
      </c>
      <c r="B14253" s="29" t="n">
        <v>16</v>
      </c>
      <c r="C14253" s="7" t="n">
        <v>1000</v>
      </c>
    </row>
    <row r="14254" spans="1:9">
      <c r="A14254" t="s">
        <v>4</v>
      </c>
      <c r="B14254" s="4" t="s">
        <v>5</v>
      </c>
      <c r="C14254" s="4" t="s">
        <v>7</v>
      </c>
      <c r="D14254" s="4" t="s">
        <v>11</v>
      </c>
      <c r="E14254" s="4" t="s">
        <v>8</v>
      </c>
      <c r="F14254" s="4" t="s">
        <v>8</v>
      </c>
      <c r="G14254" s="4" t="s">
        <v>8</v>
      </c>
      <c r="H14254" s="4" t="s">
        <v>8</v>
      </c>
    </row>
    <row r="14255" spans="1:9">
      <c r="A14255" t="n">
        <v>134515</v>
      </c>
      <c r="B14255" s="38" t="n">
        <v>51</v>
      </c>
      <c r="C14255" s="7" t="n">
        <v>3</v>
      </c>
      <c r="D14255" s="7" t="n">
        <v>8</v>
      </c>
      <c r="E14255" s="7" t="s">
        <v>296</v>
      </c>
      <c r="F14255" s="7" t="s">
        <v>232</v>
      </c>
      <c r="G14255" s="7" t="s">
        <v>78</v>
      </c>
      <c r="H14255" s="7" t="s">
        <v>79</v>
      </c>
    </row>
    <row r="14256" spans="1:9">
      <c r="A14256" t="s">
        <v>4</v>
      </c>
      <c r="B14256" s="4" t="s">
        <v>5</v>
      </c>
      <c r="C14256" s="4" t="s">
        <v>11</v>
      </c>
      <c r="D14256" s="4" t="s">
        <v>13</v>
      </c>
      <c r="E14256" s="4" t="s">
        <v>13</v>
      </c>
      <c r="F14256" s="4" t="s">
        <v>13</v>
      </c>
      <c r="G14256" s="4" t="s">
        <v>11</v>
      </c>
      <c r="H14256" s="4" t="s">
        <v>11</v>
      </c>
    </row>
    <row r="14257" spans="1:13">
      <c r="A14257" t="n">
        <v>134529</v>
      </c>
      <c r="B14257" s="37" t="n">
        <v>60</v>
      </c>
      <c r="C14257" s="7" t="n">
        <v>8</v>
      </c>
      <c r="D14257" s="7" t="n">
        <v>45</v>
      </c>
      <c r="E14257" s="7" t="n">
        <v>0</v>
      </c>
      <c r="F14257" s="7" t="n">
        <v>0</v>
      </c>
      <c r="G14257" s="7" t="n">
        <v>1000</v>
      </c>
      <c r="H14257" s="7" t="n">
        <v>0</v>
      </c>
    </row>
    <row r="14258" spans="1:13">
      <c r="A14258" t="s">
        <v>4</v>
      </c>
      <c r="B14258" s="4" t="s">
        <v>5</v>
      </c>
      <c r="C14258" s="4" t="s">
        <v>11</v>
      </c>
    </row>
    <row r="14259" spans="1:13">
      <c r="A14259" t="n">
        <v>134548</v>
      </c>
      <c r="B14259" s="29" t="n">
        <v>16</v>
      </c>
      <c r="C14259" s="7" t="n">
        <v>1200</v>
      </c>
    </row>
    <row r="14260" spans="1:13">
      <c r="A14260" t="s">
        <v>4</v>
      </c>
      <c r="B14260" s="4" t="s">
        <v>5</v>
      </c>
      <c r="C14260" s="4" t="s">
        <v>7</v>
      </c>
      <c r="D14260" s="4" t="s">
        <v>11</v>
      </c>
      <c r="E14260" s="4" t="s">
        <v>8</v>
      </c>
      <c r="F14260" s="4" t="s">
        <v>8</v>
      </c>
      <c r="G14260" s="4" t="s">
        <v>8</v>
      </c>
      <c r="H14260" s="4" t="s">
        <v>8</v>
      </c>
    </row>
    <row r="14261" spans="1:13">
      <c r="A14261" t="n">
        <v>134551</v>
      </c>
      <c r="B14261" s="38" t="n">
        <v>51</v>
      </c>
      <c r="C14261" s="7" t="n">
        <v>3</v>
      </c>
      <c r="D14261" s="7" t="n">
        <v>8</v>
      </c>
      <c r="E14261" s="7" t="s">
        <v>319</v>
      </c>
      <c r="F14261" s="7" t="s">
        <v>232</v>
      </c>
      <c r="G14261" s="7" t="s">
        <v>78</v>
      </c>
      <c r="H14261" s="7" t="s">
        <v>79</v>
      </c>
    </row>
    <row r="14262" spans="1:13">
      <c r="A14262" t="s">
        <v>4</v>
      </c>
      <c r="B14262" s="4" t="s">
        <v>5</v>
      </c>
      <c r="C14262" s="4" t="s">
        <v>11</v>
      </c>
      <c r="D14262" s="4" t="s">
        <v>13</v>
      </c>
      <c r="E14262" s="4" t="s">
        <v>13</v>
      </c>
      <c r="F14262" s="4" t="s">
        <v>13</v>
      </c>
      <c r="G14262" s="4" t="s">
        <v>11</v>
      </c>
      <c r="H14262" s="4" t="s">
        <v>11</v>
      </c>
    </row>
    <row r="14263" spans="1:13">
      <c r="A14263" t="n">
        <v>134564</v>
      </c>
      <c r="B14263" s="37" t="n">
        <v>60</v>
      </c>
      <c r="C14263" s="7" t="n">
        <v>8</v>
      </c>
      <c r="D14263" s="7" t="n">
        <v>0</v>
      </c>
      <c r="E14263" s="7" t="n">
        <v>0</v>
      </c>
      <c r="F14263" s="7" t="n">
        <v>0</v>
      </c>
      <c r="G14263" s="7" t="n">
        <v>1000</v>
      </c>
      <c r="H14263" s="7" t="n">
        <v>0</v>
      </c>
    </row>
    <row r="14264" spans="1:13">
      <c r="A14264" t="s">
        <v>4</v>
      </c>
      <c r="B14264" s="4" t="s">
        <v>5</v>
      </c>
      <c r="C14264" s="4" t="s">
        <v>11</v>
      </c>
    </row>
    <row r="14265" spans="1:13">
      <c r="A14265" t="n">
        <v>134583</v>
      </c>
      <c r="B14265" s="29" t="n">
        <v>16</v>
      </c>
      <c r="C14265" s="7" t="n">
        <v>1000</v>
      </c>
    </row>
    <row r="14266" spans="1:13">
      <c r="A14266" t="s">
        <v>4</v>
      </c>
      <c r="B14266" s="4" t="s">
        <v>5</v>
      </c>
      <c r="C14266" s="4" t="s">
        <v>7</v>
      </c>
      <c r="D14266" s="4" t="s">
        <v>11</v>
      </c>
      <c r="E14266" s="4" t="s">
        <v>8</v>
      </c>
    </row>
    <row r="14267" spans="1:13">
      <c r="A14267" t="n">
        <v>134586</v>
      </c>
      <c r="B14267" s="38" t="n">
        <v>51</v>
      </c>
      <c r="C14267" s="7" t="n">
        <v>4</v>
      </c>
      <c r="D14267" s="7" t="n">
        <v>8</v>
      </c>
      <c r="E14267" s="7" t="s">
        <v>1134</v>
      </c>
    </row>
    <row r="14268" spans="1:13">
      <c r="A14268" t="s">
        <v>4</v>
      </c>
      <c r="B14268" s="4" t="s">
        <v>5</v>
      </c>
      <c r="C14268" s="4" t="s">
        <v>11</v>
      </c>
    </row>
    <row r="14269" spans="1:13">
      <c r="A14269" t="n">
        <v>134600</v>
      </c>
      <c r="B14269" s="29" t="n">
        <v>16</v>
      </c>
      <c r="C14269" s="7" t="n">
        <v>0</v>
      </c>
    </row>
    <row r="14270" spans="1:13">
      <c r="A14270" t="s">
        <v>4</v>
      </c>
      <c r="B14270" s="4" t="s">
        <v>5</v>
      </c>
      <c r="C14270" s="4" t="s">
        <v>11</v>
      </c>
      <c r="D14270" s="4" t="s">
        <v>7</v>
      </c>
      <c r="E14270" s="4" t="s">
        <v>15</v>
      </c>
      <c r="F14270" s="4" t="s">
        <v>55</v>
      </c>
      <c r="G14270" s="4" t="s">
        <v>7</v>
      </c>
      <c r="H14270" s="4" t="s">
        <v>7</v>
      </c>
    </row>
    <row r="14271" spans="1:13">
      <c r="A14271" t="n">
        <v>134603</v>
      </c>
      <c r="B14271" s="55" t="n">
        <v>26</v>
      </c>
      <c r="C14271" s="7" t="n">
        <v>8</v>
      </c>
      <c r="D14271" s="7" t="n">
        <v>17</v>
      </c>
      <c r="E14271" s="7" t="n">
        <v>64215</v>
      </c>
      <c r="F14271" s="7" t="s">
        <v>1135</v>
      </c>
      <c r="G14271" s="7" t="n">
        <v>2</v>
      </c>
      <c r="H14271" s="7" t="n">
        <v>0</v>
      </c>
    </row>
    <row r="14272" spans="1:13">
      <c r="A14272" t="s">
        <v>4</v>
      </c>
      <c r="B14272" s="4" t="s">
        <v>5</v>
      </c>
    </row>
    <row r="14273" spans="1:8">
      <c r="A14273" t="n">
        <v>134693</v>
      </c>
      <c r="B14273" s="27" t="n">
        <v>28</v>
      </c>
    </row>
    <row r="14274" spans="1:8">
      <c r="A14274" t="s">
        <v>4</v>
      </c>
      <c r="B14274" s="4" t="s">
        <v>5</v>
      </c>
      <c r="C14274" s="4" t="s">
        <v>7</v>
      </c>
      <c r="D14274" s="4" t="s">
        <v>11</v>
      </c>
      <c r="E14274" s="4" t="s">
        <v>8</v>
      </c>
    </row>
    <row r="14275" spans="1:8">
      <c r="A14275" t="n">
        <v>134694</v>
      </c>
      <c r="B14275" s="38" t="n">
        <v>51</v>
      </c>
      <c r="C14275" s="7" t="n">
        <v>4</v>
      </c>
      <c r="D14275" s="7" t="n">
        <v>0</v>
      </c>
      <c r="E14275" s="7" t="s">
        <v>179</v>
      </c>
    </row>
    <row r="14276" spans="1:8">
      <c r="A14276" t="s">
        <v>4</v>
      </c>
      <c r="B14276" s="4" t="s">
        <v>5</v>
      </c>
      <c r="C14276" s="4" t="s">
        <v>11</v>
      </c>
    </row>
    <row r="14277" spans="1:8">
      <c r="A14277" t="n">
        <v>134708</v>
      </c>
      <c r="B14277" s="29" t="n">
        <v>16</v>
      </c>
      <c r="C14277" s="7" t="n">
        <v>0</v>
      </c>
    </row>
    <row r="14278" spans="1:8">
      <c r="A14278" t="s">
        <v>4</v>
      </c>
      <c r="B14278" s="4" t="s">
        <v>5</v>
      </c>
      <c r="C14278" s="4" t="s">
        <v>11</v>
      </c>
      <c r="D14278" s="4" t="s">
        <v>7</v>
      </c>
      <c r="E14278" s="4" t="s">
        <v>15</v>
      </c>
      <c r="F14278" s="4" t="s">
        <v>55</v>
      </c>
      <c r="G14278" s="4" t="s">
        <v>7</v>
      </c>
      <c r="H14278" s="4" t="s">
        <v>7</v>
      </c>
      <c r="I14278" s="4" t="s">
        <v>7</v>
      </c>
      <c r="J14278" s="4" t="s">
        <v>15</v>
      </c>
      <c r="K14278" s="4" t="s">
        <v>55</v>
      </c>
      <c r="L14278" s="4" t="s">
        <v>7</v>
      </c>
      <c r="M14278" s="4" t="s">
        <v>7</v>
      </c>
      <c r="N14278" s="4" t="s">
        <v>7</v>
      </c>
      <c r="O14278" s="4" t="s">
        <v>15</v>
      </c>
      <c r="P14278" s="4" t="s">
        <v>55</v>
      </c>
      <c r="Q14278" s="4" t="s">
        <v>7</v>
      </c>
      <c r="R14278" s="4" t="s">
        <v>7</v>
      </c>
    </row>
    <row r="14279" spans="1:8">
      <c r="A14279" t="n">
        <v>134711</v>
      </c>
      <c r="B14279" s="55" t="n">
        <v>26</v>
      </c>
      <c r="C14279" s="7" t="n">
        <v>0</v>
      </c>
      <c r="D14279" s="7" t="n">
        <v>17</v>
      </c>
      <c r="E14279" s="7" t="n">
        <v>64216</v>
      </c>
      <c r="F14279" s="7" t="s">
        <v>1136</v>
      </c>
      <c r="G14279" s="7" t="n">
        <v>2</v>
      </c>
      <c r="H14279" s="7" t="n">
        <v>3</v>
      </c>
      <c r="I14279" s="7" t="n">
        <v>17</v>
      </c>
      <c r="J14279" s="7" t="n">
        <v>64217</v>
      </c>
      <c r="K14279" s="7" t="s">
        <v>1137</v>
      </c>
      <c r="L14279" s="7" t="n">
        <v>2</v>
      </c>
      <c r="M14279" s="7" t="n">
        <v>3</v>
      </c>
      <c r="N14279" s="7" t="n">
        <v>17</v>
      </c>
      <c r="O14279" s="7" t="n">
        <v>63780</v>
      </c>
      <c r="P14279" s="7" t="s">
        <v>301</v>
      </c>
      <c r="Q14279" s="7" t="n">
        <v>2</v>
      </c>
      <c r="R14279" s="7" t="n">
        <v>0</v>
      </c>
    </row>
    <row r="14280" spans="1:8">
      <c r="A14280" t="s">
        <v>4</v>
      </c>
      <c r="B14280" s="4" t="s">
        <v>5</v>
      </c>
    </row>
    <row r="14281" spans="1:8">
      <c r="A14281" t="n">
        <v>134909</v>
      </c>
      <c r="B14281" s="27" t="n">
        <v>28</v>
      </c>
    </row>
    <row r="14282" spans="1:8">
      <c r="A14282" t="s">
        <v>4</v>
      </c>
      <c r="B14282" s="4" t="s">
        <v>5</v>
      </c>
      <c r="C14282" s="4" t="s">
        <v>7</v>
      </c>
      <c r="D14282" s="4" t="s">
        <v>11</v>
      </c>
      <c r="E14282" s="4" t="s">
        <v>8</v>
      </c>
    </row>
    <row r="14283" spans="1:8">
      <c r="A14283" t="n">
        <v>134910</v>
      </c>
      <c r="B14283" s="38" t="n">
        <v>51</v>
      </c>
      <c r="C14283" s="7" t="n">
        <v>4</v>
      </c>
      <c r="D14283" s="7" t="n">
        <v>8</v>
      </c>
      <c r="E14283" s="7" t="s">
        <v>288</v>
      </c>
    </row>
    <row r="14284" spans="1:8">
      <c r="A14284" t="s">
        <v>4</v>
      </c>
      <c r="B14284" s="4" t="s">
        <v>5</v>
      </c>
      <c r="C14284" s="4" t="s">
        <v>11</v>
      </c>
    </row>
    <row r="14285" spans="1:8">
      <c r="A14285" t="n">
        <v>134923</v>
      </c>
      <c r="B14285" s="29" t="n">
        <v>16</v>
      </c>
      <c r="C14285" s="7" t="n">
        <v>0</v>
      </c>
    </row>
    <row r="14286" spans="1:8">
      <c r="A14286" t="s">
        <v>4</v>
      </c>
      <c r="B14286" s="4" t="s">
        <v>5</v>
      </c>
      <c r="C14286" s="4" t="s">
        <v>11</v>
      </c>
      <c r="D14286" s="4" t="s">
        <v>7</v>
      </c>
      <c r="E14286" s="4" t="s">
        <v>15</v>
      </c>
      <c r="F14286" s="4" t="s">
        <v>55</v>
      </c>
      <c r="G14286" s="4" t="s">
        <v>7</v>
      </c>
      <c r="H14286" s="4" t="s">
        <v>7</v>
      </c>
    </row>
    <row r="14287" spans="1:8">
      <c r="A14287" t="n">
        <v>134926</v>
      </c>
      <c r="B14287" s="55" t="n">
        <v>26</v>
      </c>
      <c r="C14287" s="7" t="n">
        <v>8</v>
      </c>
      <c r="D14287" s="7" t="n">
        <v>17</v>
      </c>
      <c r="E14287" s="7" t="n">
        <v>64218</v>
      </c>
      <c r="F14287" s="7" t="s">
        <v>1138</v>
      </c>
      <c r="G14287" s="7" t="n">
        <v>2</v>
      </c>
      <c r="H14287" s="7" t="n">
        <v>0</v>
      </c>
    </row>
    <row r="14288" spans="1:8">
      <c r="A14288" t="s">
        <v>4</v>
      </c>
      <c r="B14288" s="4" t="s">
        <v>5</v>
      </c>
    </row>
    <row r="14289" spans="1:18">
      <c r="A14289" t="n">
        <v>134941</v>
      </c>
      <c r="B14289" s="27" t="n">
        <v>28</v>
      </c>
    </row>
    <row r="14290" spans="1:18">
      <c r="A14290" t="s">
        <v>4</v>
      </c>
      <c r="B14290" s="4" t="s">
        <v>5</v>
      </c>
      <c r="C14290" s="4" t="s">
        <v>11</v>
      </c>
      <c r="D14290" s="4" t="s">
        <v>7</v>
      </c>
    </row>
    <row r="14291" spans="1:18">
      <c r="A14291" t="n">
        <v>134942</v>
      </c>
      <c r="B14291" s="68" t="n">
        <v>89</v>
      </c>
      <c r="C14291" s="7" t="n">
        <v>65533</v>
      </c>
      <c r="D14291" s="7" t="n">
        <v>1</v>
      </c>
    </row>
    <row r="14292" spans="1:18">
      <c r="A14292" t="s">
        <v>4</v>
      </c>
      <c r="B14292" s="4" t="s">
        <v>5</v>
      </c>
      <c r="C14292" s="4" t="s">
        <v>7</v>
      </c>
      <c r="D14292" s="4" t="s">
        <v>11</v>
      </c>
      <c r="E14292" s="4" t="s">
        <v>13</v>
      </c>
    </row>
    <row r="14293" spans="1:18">
      <c r="A14293" t="n">
        <v>134946</v>
      </c>
      <c r="B14293" s="23" t="n">
        <v>58</v>
      </c>
      <c r="C14293" s="7" t="n">
        <v>101</v>
      </c>
      <c r="D14293" s="7" t="n">
        <v>500</v>
      </c>
      <c r="E14293" s="7" t="n">
        <v>1</v>
      </c>
    </row>
    <row r="14294" spans="1:18">
      <c r="A14294" t="s">
        <v>4</v>
      </c>
      <c r="B14294" s="4" t="s">
        <v>5</v>
      </c>
      <c r="C14294" s="4" t="s">
        <v>7</v>
      </c>
      <c r="D14294" s="4" t="s">
        <v>11</v>
      </c>
    </row>
    <row r="14295" spans="1:18">
      <c r="A14295" t="n">
        <v>134954</v>
      </c>
      <c r="B14295" s="23" t="n">
        <v>58</v>
      </c>
      <c r="C14295" s="7" t="n">
        <v>254</v>
      </c>
      <c r="D14295" s="7" t="n">
        <v>0</v>
      </c>
    </row>
    <row r="14296" spans="1:18">
      <c r="A14296" t="s">
        <v>4</v>
      </c>
      <c r="B14296" s="4" t="s">
        <v>5</v>
      </c>
      <c r="C14296" s="4" t="s">
        <v>7</v>
      </c>
      <c r="D14296" s="4" t="s">
        <v>11</v>
      </c>
      <c r="E14296" s="4" t="s">
        <v>8</v>
      </c>
      <c r="F14296" s="4" t="s">
        <v>8</v>
      </c>
      <c r="G14296" s="4" t="s">
        <v>8</v>
      </c>
      <c r="H14296" s="4" t="s">
        <v>8</v>
      </c>
    </row>
    <row r="14297" spans="1:18">
      <c r="A14297" t="n">
        <v>134958</v>
      </c>
      <c r="B14297" s="38" t="n">
        <v>51</v>
      </c>
      <c r="C14297" s="7" t="n">
        <v>3</v>
      </c>
      <c r="D14297" s="7" t="n">
        <v>0</v>
      </c>
      <c r="E14297" s="7" t="s">
        <v>65</v>
      </c>
      <c r="F14297" s="7" t="s">
        <v>99</v>
      </c>
      <c r="G14297" s="7" t="s">
        <v>78</v>
      </c>
      <c r="H14297" s="7" t="s">
        <v>79</v>
      </c>
    </row>
    <row r="14298" spans="1:18">
      <c r="A14298" t="s">
        <v>4</v>
      </c>
      <c r="B14298" s="4" t="s">
        <v>5</v>
      </c>
      <c r="C14298" s="4" t="s">
        <v>7</v>
      </c>
      <c r="D14298" s="4" t="s">
        <v>11</v>
      </c>
      <c r="E14298" s="4" t="s">
        <v>8</v>
      </c>
      <c r="F14298" s="4" t="s">
        <v>8</v>
      </c>
      <c r="G14298" s="4" t="s">
        <v>8</v>
      </c>
      <c r="H14298" s="4" t="s">
        <v>8</v>
      </c>
    </row>
    <row r="14299" spans="1:18">
      <c r="A14299" t="n">
        <v>134979</v>
      </c>
      <c r="B14299" s="38" t="n">
        <v>51</v>
      </c>
      <c r="C14299" s="7" t="n">
        <v>3</v>
      </c>
      <c r="D14299" s="7" t="n">
        <v>8</v>
      </c>
      <c r="E14299" s="7" t="s">
        <v>101</v>
      </c>
      <c r="F14299" s="7" t="s">
        <v>232</v>
      </c>
      <c r="G14299" s="7" t="s">
        <v>78</v>
      </c>
      <c r="H14299" s="7" t="s">
        <v>79</v>
      </c>
    </row>
    <row r="14300" spans="1:18">
      <c r="A14300" t="s">
        <v>4</v>
      </c>
      <c r="B14300" s="4" t="s">
        <v>5</v>
      </c>
      <c r="C14300" s="4" t="s">
        <v>11</v>
      </c>
      <c r="D14300" s="4" t="s">
        <v>11</v>
      </c>
      <c r="E14300" s="4" t="s">
        <v>11</v>
      </c>
    </row>
    <row r="14301" spans="1:18">
      <c r="A14301" t="n">
        <v>135000</v>
      </c>
      <c r="B14301" s="72" t="n">
        <v>61</v>
      </c>
      <c r="C14301" s="7" t="n">
        <v>0</v>
      </c>
      <c r="D14301" s="7" t="n">
        <v>65533</v>
      </c>
      <c r="E14301" s="7" t="n">
        <v>0</v>
      </c>
    </row>
    <row r="14302" spans="1:18">
      <c r="A14302" t="s">
        <v>4</v>
      </c>
      <c r="B14302" s="4" t="s">
        <v>5</v>
      </c>
      <c r="C14302" s="4" t="s">
        <v>11</v>
      </c>
      <c r="D14302" s="4" t="s">
        <v>11</v>
      </c>
      <c r="E14302" s="4" t="s">
        <v>11</v>
      </c>
    </row>
    <row r="14303" spans="1:18">
      <c r="A14303" t="n">
        <v>135007</v>
      </c>
      <c r="B14303" s="72" t="n">
        <v>61</v>
      </c>
      <c r="C14303" s="7" t="n">
        <v>8</v>
      </c>
      <c r="D14303" s="7" t="n">
        <v>65533</v>
      </c>
      <c r="E14303" s="7" t="n">
        <v>0</v>
      </c>
    </row>
    <row r="14304" spans="1:18">
      <c r="A14304" t="s">
        <v>4</v>
      </c>
      <c r="B14304" s="4" t="s">
        <v>5</v>
      </c>
      <c r="C14304" s="4" t="s">
        <v>7</v>
      </c>
    </row>
    <row r="14305" spans="1:8">
      <c r="A14305" t="n">
        <v>135014</v>
      </c>
      <c r="B14305" s="49" t="n">
        <v>116</v>
      </c>
      <c r="C14305" s="7" t="n">
        <v>0</v>
      </c>
    </row>
    <row r="14306" spans="1:8">
      <c r="A14306" t="s">
        <v>4</v>
      </c>
      <c r="B14306" s="4" t="s">
        <v>5</v>
      </c>
      <c r="C14306" s="4" t="s">
        <v>7</v>
      </c>
      <c r="D14306" s="4" t="s">
        <v>11</v>
      </c>
    </row>
    <row r="14307" spans="1:8">
      <c r="A14307" t="n">
        <v>135016</v>
      </c>
      <c r="B14307" s="49" t="n">
        <v>116</v>
      </c>
      <c r="C14307" s="7" t="n">
        <v>2</v>
      </c>
      <c r="D14307" s="7" t="n">
        <v>1</v>
      </c>
    </row>
    <row r="14308" spans="1:8">
      <c r="A14308" t="s">
        <v>4</v>
      </c>
      <c r="B14308" s="4" t="s">
        <v>5</v>
      </c>
      <c r="C14308" s="4" t="s">
        <v>7</v>
      </c>
      <c r="D14308" s="4" t="s">
        <v>15</v>
      </c>
    </row>
    <row r="14309" spans="1:8">
      <c r="A14309" t="n">
        <v>135020</v>
      </c>
      <c r="B14309" s="49" t="n">
        <v>116</v>
      </c>
      <c r="C14309" s="7" t="n">
        <v>5</v>
      </c>
      <c r="D14309" s="7" t="n">
        <v>1106247680</v>
      </c>
    </row>
    <row r="14310" spans="1:8">
      <c r="A14310" t="s">
        <v>4</v>
      </c>
      <c r="B14310" s="4" t="s">
        <v>5</v>
      </c>
      <c r="C14310" s="4" t="s">
        <v>7</v>
      </c>
      <c r="D14310" s="4" t="s">
        <v>11</v>
      </c>
    </row>
    <row r="14311" spans="1:8">
      <c r="A14311" t="n">
        <v>135026</v>
      </c>
      <c r="B14311" s="49" t="n">
        <v>116</v>
      </c>
      <c r="C14311" s="7" t="n">
        <v>6</v>
      </c>
      <c r="D14311" s="7" t="n">
        <v>1</v>
      </c>
    </row>
    <row r="14312" spans="1:8">
      <c r="A14312" t="s">
        <v>4</v>
      </c>
      <c r="B14312" s="4" t="s">
        <v>5</v>
      </c>
      <c r="C14312" s="4" t="s">
        <v>7</v>
      </c>
      <c r="D14312" s="4" t="s">
        <v>7</v>
      </c>
      <c r="E14312" s="4" t="s">
        <v>13</v>
      </c>
      <c r="F14312" s="4" t="s">
        <v>13</v>
      </c>
      <c r="G14312" s="4" t="s">
        <v>13</v>
      </c>
      <c r="H14312" s="4" t="s">
        <v>11</v>
      </c>
    </row>
    <row r="14313" spans="1:8">
      <c r="A14313" t="n">
        <v>135030</v>
      </c>
      <c r="B14313" s="51" t="n">
        <v>45</v>
      </c>
      <c r="C14313" s="7" t="n">
        <v>2</v>
      </c>
      <c r="D14313" s="7" t="n">
        <v>3</v>
      </c>
      <c r="E14313" s="7" t="n">
        <v>4.53000020980835</v>
      </c>
      <c r="F14313" s="7" t="n">
        <v>1.30999994277954</v>
      </c>
      <c r="G14313" s="7" t="n">
        <v>46.2700004577637</v>
      </c>
      <c r="H14313" s="7" t="n">
        <v>0</v>
      </c>
    </row>
    <row r="14314" spans="1:8">
      <c r="A14314" t="s">
        <v>4</v>
      </c>
      <c r="B14314" s="4" t="s">
        <v>5</v>
      </c>
      <c r="C14314" s="4" t="s">
        <v>7</v>
      </c>
      <c r="D14314" s="4" t="s">
        <v>7</v>
      </c>
      <c r="E14314" s="4" t="s">
        <v>13</v>
      </c>
      <c r="F14314" s="4" t="s">
        <v>13</v>
      </c>
      <c r="G14314" s="4" t="s">
        <v>13</v>
      </c>
      <c r="H14314" s="4" t="s">
        <v>11</v>
      </c>
      <c r="I14314" s="4" t="s">
        <v>7</v>
      </c>
    </row>
    <row r="14315" spans="1:8">
      <c r="A14315" t="n">
        <v>135047</v>
      </c>
      <c r="B14315" s="51" t="n">
        <v>45</v>
      </c>
      <c r="C14315" s="7" t="n">
        <v>4</v>
      </c>
      <c r="D14315" s="7" t="n">
        <v>3</v>
      </c>
      <c r="E14315" s="7" t="n">
        <v>12.8699998855591</v>
      </c>
      <c r="F14315" s="7" t="n">
        <v>80.0199966430664</v>
      </c>
      <c r="G14315" s="7" t="n">
        <v>0</v>
      </c>
      <c r="H14315" s="7" t="n">
        <v>0</v>
      </c>
      <c r="I14315" s="7" t="n">
        <v>0</v>
      </c>
    </row>
    <row r="14316" spans="1:8">
      <c r="A14316" t="s">
        <v>4</v>
      </c>
      <c r="B14316" s="4" t="s">
        <v>5</v>
      </c>
      <c r="C14316" s="4" t="s">
        <v>7</v>
      </c>
      <c r="D14316" s="4" t="s">
        <v>7</v>
      </c>
      <c r="E14316" s="4" t="s">
        <v>13</v>
      </c>
      <c r="F14316" s="4" t="s">
        <v>11</v>
      </c>
    </row>
    <row r="14317" spans="1:8">
      <c r="A14317" t="n">
        <v>135065</v>
      </c>
      <c r="B14317" s="51" t="n">
        <v>45</v>
      </c>
      <c r="C14317" s="7" t="n">
        <v>5</v>
      </c>
      <c r="D14317" s="7" t="n">
        <v>3</v>
      </c>
      <c r="E14317" s="7" t="n">
        <v>3</v>
      </c>
      <c r="F14317" s="7" t="n">
        <v>0</v>
      </c>
    </row>
    <row r="14318" spans="1:8">
      <c r="A14318" t="s">
        <v>4</v>
      </c>
      <c r="B14318" s="4" t="s">
        <v>5</v>
      </c>
      <c r="C14318" s="4" t="s">
        <v>7</v>
      </c>
      <c r="D14318" s="4" t="s">
        <v>7</v>
      </c>
      <c r="E14318" s="4" t="s">
        <v>13</v>
      </c>
      <c r="F14318" s="4" t="s">
        <v>11</v>
      </c>
    </row>
    <row r="14319" spans="1:8">
      <c r="A14319" t="n">
        <v>135074</v>
      </c>
      <c r="B14319" s="51" t="n">
        <v>45</v>
      </c>
      <c r="C14319" s="7" t="n">
        <v>11</v>
      </c>
      <c r="D14319" s="7" t="n">
        <v>3</v>
      </c>
      <c r="E14319" s="7" t="n">
        <v>34</v>
      </c>
      <c r="F14319" s="7" t="n">
        <v>0</v>
      </c>
    </row>
    <row r="14320" spans="1:8">
      <c r="A14320" t="s">
        <v>4</v>
      </c>
      <c r="B14320" s="4" t="s">
        <v>5</v>
      </c>
      <c r="C14320" s="4" t="s">
        <v>7</v>
      </c>
      <c r="D14320" s="4" t="s">
        <v>7</v>
      </c>
      <c r="E14320" s="4" t="s">
        <v>13</v>
      </c>
      <c r="F14320" s="4" t="s">
        <v>13</v>
      </c>
      <c r="G14320" s="4" t="s">
        <v>13</v>
      </c>
      <c r="H14320" s="4" t="s">
        <v>11</v>
      </c>
    </row>
    <row r="14321" spans="1:9">
      <c r="A14321" t="n">
        <v>135083</v>
      </c>
      <c r="B14321" s="51" t="n">
        <v>45</v>
      </c>
      <c r="C14321" s="7" t="n">
        <v>2</v>
      </c>
      <c r="D14321" s="7" t="n">
        <v>3</v>
      </c>
      <c r="E14321" s="7" t="n">
        <v>4.53000020980835</v>
      </c>
      <c r="F14321" s="7" t="n">
        <v>2.30999994277954</v>
      </c>
      <c r="G14321" s="7" t="n">
        <v>46.2700004577637</v>
      </c>
      <c r="H14321" s="7" t="n">
        <v>5000</v>
      </c>
    </row>
    <row r="14322" spans="1:9">
      <c r="A14322" t="s">
        <v>4</v>
      </c>
      <c r="B14322" s="4" t="s">
        <v>5</v>
      </c>
      <c r="C14322" s="4" t="s">
        <v>7</v>
      </c>
      <c r="D14322" s="4" t="s">
        <v>11</v>
      </c>
    </row>
    <row r="14323" spans="1:9">
      <c r="A14323" t="n">
        <v>135100</v>
      </c>
      <c r="B14323" s="23" t="n">
        <v>58</v>
      </c>
      <c r="C14323" s="7" t="n">
        <v>255</v>
      </c>
      <c r="D14323" s="7" t="n">
        <v>0</v>
      </c>
    </row>
    <row r="14324" spans="1:9">
      <c r="A14324" t="s">
        <v>4</v>
      </c>
      <c r="B14324" s="4" t="s">
        <v>5</v>
      </c>
      <c r="C14324" s="4" t="s">
        <v>11</v>
      </c>
      <c r="D14324" s="4" t="s">
        <v>13</v>
      </c>
      <c r="E14324" s="4" t="s">
        <v>13</v>
      </c>
      <c r="F14324" s="4" t="s">
        <v>7</v>
      </c>
    </row>
    <row r="14325" spans="1:9">
      <c r="A14325" t="n">
        <v>135104</v>
      </c>
      <c r="B14325" s="65" t="n">
        <v>52</v>
      </c>
      <c r="C14325" s="7" t="n">
        <v>0</v>
      </c>
      <c r="D14325" s="7" t="n">
        <v>255</v>
      </c>
      <c r="E14325" s="7" t="n">
        <v>5</v>
      </c>
      <c r="F14325" s="7" t="n">
        <v>0</v>
      </c>
    </row>
    <row r="14326" spans="1:9">
      <c r="A14326" t="s">
        <v>4</v>
      </c>
      <c r="B14326" s="4" t="s">
        <v>5</v>
      </c>
      <c r="C14326" s="4" t="s">
        <v>11</v>
      </c>
    </row>
    <row r="14327" spans="1:9">
      <c r="A14327" t="n">
        <v>135116</v>
      </c>
      <c r="B14327" s="29" t="n">
        <v>16</v>
      </c>
      <c r="C14327" s="7" t="n">
        <v>100</v>
      </c>
    </row>
    <row r="14328" spans="1:9">
      <c r="A14328" t="s">
        <v>4</v>
      </c>
      <c r="B14328" s="4" t="s">
        <v>5</v>
      </c>
      <c r="C14328" s="4" t="s">
        <v>11</v>
      </c>
      <c r="D14328" s="4" t="s">
        <v>13</v>
      </c>
      <c r="E14328" s="4" t="s">
        <v>13</v>
      </c>
      <c r="F14328" s="4" t="s">
        <v>7</v>
      </c>
    </row>
    <row r="14329" spans="1:9">
      <c r="A14329" t="n">
        <v>135119</v>
      </c>
      <c r="B14329" s="65" t="n">
        <v>52</v>
      </c>
      <c r="C14329" s="7" t="n">
        <v>8</v>
      </c>
      <c r="D14329" s="7" t="n">
        <v>255</v>
      </c>
      <c r="E14329" s="7" t="n">
        <v>5</v>
      </c>
      <c r="F14329" s="7" t="n">
        <v>0</v>
      </c>
    </row>
    <row r="14330" spans="1:9">
      <c r="A14330" t="s">
        <v>4</v>
      </c>
      <c r="B14330" s="4" t="s">
        <v>5</v>
      </c>
      <c r="C14330" s="4" t="s">
        <v>11</v>
      </c>
    </row>
    <row r="14331" spans="1:9">
      <c r="A14331" t="n">
        <v>135131</v>
      </c>
      <c r="B14331" s="66" t="n">
        <v>54</v>
      </c>
      <c r="C14331" s="7" t="n">
        <v>0</v>
      </c>
    </row>
    <row r="14332" spans="1:9">
      <c r="A14332" t="s">
        <v>4</v>
      </c>
      <c r="B14332" s="4" t="s">
        <v>5</v>
      </c>
      <c r="C14332" s="4" t="s">
        <v>11</v>
      </c>
      <c r="D14332" s="4" t="s">
        <v>11</v>
      </c>
      <c r="E14332" s="4" t="s">
        <v>13</v>
      </c>
      <c r="F14332" s="4" t="s">
        <v>13</v>
      </c>
      <c r="G14332" s="4" t="s">
        <v>13</v>
      </c>
      <c r="H14332" s="4" t="s">
        <v>13</v>
      </c>
      <c r="I14332" s="4" t="s">
        <v>7</v>
      </c>
      <c r="J14332" s="4" t="s">
        <v>11</v>
      </c>
    </row>
    <row r="14333" spans="1:9">
      <c r="A14333" t="n">
        <v>135134</v>
      </c>
      <c r="B14333" s="53" t="n">
        <v>55</v>
      </c>
      <c r="C14333" s="7" t="n">
        <v>0</v>
      </c>
      <c r="D14333" s="7" t="n">
        <v>65024</v>
      </c>
      <c r="E14333" s="7" t="n">
        <v>0</v>
      </c>
      <c r="F14333" s="7" t="n">
        <v>0</v>
      </c>
      <c r="G14333" s="7" t="n">
        <v>6</v>
      </c>
      <c r="H14333" s="7" t="n">
        <v>1.20000004768372</v>
      </c>
      <c r="I14333" s="7" t="n">
        <v>1</v>
      </c>
      <c r="J14333" s="7" t="n">
        <v>0</v>
      </c>
    </row>
    <row r="14334" spans="1:9">
      <c r="A14334" t="s">
        <v>4</v>
      </c>
      <c r="B14334" s="4" t="s">
        <v>5</v>
      </c>
      <c r="C14334" s="4" t="s">
        <v>11</v>
      </c>
    </row>
    <row r="14335" spans="1:9">
      <c r="A14335" t="n">
        <v>135158</v>
      </c>
      <c r="B14335" s="66" t="n">
        <v>54</v>
      </c>
      <c r="C14335" s="7" t="n">
        <v>8</v>
      </c>
    </row>
    <row r="14336" spans="1:9">
      <c r="A14336" t="s">
        <v>4</v>
      </c>
      <c r="B14336" s="4" t="s">
        <v>5</v>
      </c>
      <c r="C14336" s="4" t="s">
        <v>11</v>
      </c>
    </row>
    <row r="14337" spans="1:10">
      <c r="A14337" t="n">
        <v>135161</v>
      </c>
      <c r="B14337" s="29" t="n">
        <v>16</v>
      </c>
      <c r="C14337" s="7" t="n">
        <v>200</v>
      </c>
    </row>
    <row r="14338" spans="1:10">
      <c r="A14338" t="s">
        <v>4</v>
      </c>
      <c r="B14338" s="4" t="s">
        <v>5</v>
      </c>
      <c r="C14338" s="4" t="s">
        <v>11</v>
      </c>
      <c r="D14338" s="4" t="s">
        <v>11</v>
      </c>
      <c r="E14338" s="4" t="s">
        <v>13</v>
      </c>
      <c r="F14338" s="4" t="s">
        <v>13</v>
      </c>
      <c r="G14338" s="4" t="s">
        <v>13</v>
      </c>
      <c r="H14338" s="4" t="s">
        <v>13</v>
      </c>
      <c r="I14338" s="4" t="s">
        <v>7</v>
      </c>
      <c r="J14338" s="4" t="s">
        <v>11</v>
      </c>
    </row>
    <row r="14339" spans="1:10">
      <c r="A14339" t="n">
        <v>135164</v>
      </c>
      <c r="B14339" s="53" t="n">
        <v>55</v>
      </c>
      <c r="C14339" s="7" t="n">
        <v>8</v>
      </c>
      <c r="D14339" s="7" t="n">
        <v>65024</v>
      </c>
      <c r="E14339" s="7" t="n">
        <v>0</v>
      </c>
      <c r="F14339" s="7" t="n">
        <v>0</v>
      </c>
      <c r="G14339" s="7" t="n">
        <v>6</v>
      </c>
      <c r="H14339" s="7" t="n">
        <v>1.20000004768372</v>
      </c>
      <c r="I14339" s="7" t="n">
        <v>1</v>
      </c>
      <c r="J14339" s="7" t="n">
        <v>0</v>
      </c>
    </row>
    <row r="14340" spans="1:10">
      <c r="A14340" t="s">
        <v>4</v>
      </c>
      <c r="B14340" s="4" t="s">
        <v>5</v>
      </c>
      <c r="C14340" s="4" t="s">
        <v>11</v>
      </c>
    </row>
    <row r="14341" spans="1:10">
      <c r="A14341" t="n">
        <v>135188</v>
      </c>
      <c r="B14341" s="29" t="n">
        <v>16</v>
      </c>
      <c r="C14341" s="7" t="n">
        <v>2000</v>
      </c>
    </row>
    <row r="14342" spans="1:10">
      <c r="A14342" t="s">
        <v>4</v>
      </c>
      <c r="B14342" s="4" t="s">
        <v>5</v>
      </c>
      <c r="C14342" s="4" t="s">
        <v>7</v>
      </c>
      <c r="D14342" s="4" t="s">
        <v>11</v>
      </c>
      <c r="E14342" s="4" t="s">
        <v>13</v>
      </c>
    </row>
    <row r="14343" spans="1:10">
      <c r="A14343" t="n">
        <v>135191</v>
      </c>
      <c r="B14343" s="23" t="n">
        <v>58</v>
      </c>
      <c r="C14343" s="7" t="n">
        <v>0</v>
      </c>
      <c r="D14343" s="7" t="n">
        <v>1000</v>
      </c>
      <c r="E14343" s="7" t="n">
        <v>1</v>
      </c>
    </row>
    <row r="14344" spans="1:10">
      <c r="A14344" t="s">
        <v>4</v>
      </c>
      <c r="B14344" s="4" t="s">
        <v>5</v>
      </c>
      <c r="C14344" s="4" t="s">
        <v>7</v>
      </c>
      <c r="D14344" s="4" t="s">
        <v>11</v>
      </c>
    </row>
    <row r="14345" spans="1:10">
      <c r="A14345" t="n">
        <v>135199</v>
      </c>
      <c r="B14345" s="23" t="n">
        <v>58</v>
      </c>
      <c r="C14345" s="7" t="n">
        <v>255</v>
      </c>
      <c r="D14345" s="7" t="n">
        <v>0</v>
      </c>
    </row>
    <row r="14346" spans="1:10">
      <c r="A14346" t="s">
        <v>4</v>
      </c>
      <c r="B14346" s="4" t="s">
        <v>5</v>
      </c>
      <c r="C14346" s="4" t="s">
        <v>11</v>
      </c>
      <c r="D14346" s="4" t="s">
        <v>7</v>
      </c>
    </row>
    <row r="14347" spans="1:10">
      <c r="A14347" t="n">
        <v>135203</v>
      </c>
      <c r="B14347" s="54" t="n">
        <v>56</v>
      </c>
      <c r="C14347" s="7" t="n">
        <v>0</v>
      </c>
      <c r="D14347" s="7" t="n">
        <v>1</v>
      </c>
    </row>
    <row r="14348" spans="1:10">
      <c r="A14348" t="s">
        <v>4</v>
      </c>
      <c r="B14348" s="4" t="s">
        <v>5</v>
      </c>
      <c r="C14348" s="4" t="s">
        <v>11</v>
      </c>
      <c r="D14348" s="4" t="s">
        <v>7</v>
      </c>
    </row>
    <row r="14349" spans="1:10">
      <c r="A14349" t="n">
        <v>135207</v>
      </c>
      <c r="B14349" s="54" t="n">
        <v>56</v>
      </c>
      <c r="C14349" s="7" t="n">
        <v>8</v>
      </c>
      <c r="D14349" s="7" t="n">
        <v>1</v>
      </c>
    </row>
    <row r="14350" spans="1:10">
      <c r="A14350" t="s">
        <v>4</v>
      </c>
      <c r="B14350" s="4" t="s">
        <v>5</v>
      </c>
      <c r="C14350" s="4" t="s">
        <v>11</v>
      </c>
      <c r="D14350" s="4" t="s">
        <v>13</v>
      </c>
      <c r="E14350" s="4" t="s">
        <v>13</v>
      </c>
      <c r="F14350" s="4" t="s">
        <v>13</v>
      </c>
      <c r="G14350" s="4" t="s">
        <v>13</v>
      </c>
    </row>
    <row r="14351" spans="1:10">
      <c r="A14351" t="n">
        <v>135211</v>
      </c>
      <c r="B14351" s="36" t="n">
        <v>46</v>
      </c>
      <c r="C14351" s="7" t="n">
        <v>0</v>
      </c>
      <c r="D14351" s="7" t="n">
        <v>-11.1899995803833</v>
      </c>
      <c r="E14351" s="7" t="n">
        <v>5.01000022888184</v>
      </c>
      <c r="F14351" s="7" t="n">
        <v>56.2900009155273</v>
      </c>
      <c r="G14351" s="7" t="n">
        <v>270.799987792969</v>
      </c>
    </row>
    <row r="14352" spans="1:10">
      <c r="A14352" t="s">
        <v>4</v>
      </c>
      <c r="B14352" s="4" t="s">
        <v>5</v>
      </c>
      <c r="C14352" s="4" t="s">
        <v>11</v>
      </c>
      <c r="D14352" s="4" t="s">
        <v>13</v>
      </c>
      <c r="E14352" s="4" t="s">
        <v>13</v>
      </c>
      <c r="F14352" s="4" t="s">
        <v>13</v>
      </c>
      <c r="G14352" s="4" t="s">
        <v>13</v>
      </c>
    </row>
    <row r="14353" spans="1:10">
      <c r="A14353" t="n">
        <v>135230</v>
      </c>
      <c r="B14353" s="36" t="n">
        <v>46</v>
      </c>
      <c r="C14353" s="7" t="n">
        <v>8</v>
      </c>
      <c r="D14353" s="7" t="n">
        <v>-11.7600002288818</v>
      </c>
      <c r="E14353" s="7" t="n">
        <v>5.01000022888184</v>
      </c>
      <c r="F14353" s="7" t="n">
        <v>55.6599998474121</v>
      </c>
      <c r="G14353" s="7" t="n">
        <v>272.600006103516</v>
      </c>
    </row>
    <row r="14354" spans="1:10">
      <c r="A14354" t="s">
        <v>4</v>
      </c>
      <c r="B14354" s="4" t="s">
        <v>5</v>
      </c>
      <c r="C14354" s="4" t="s">
        <v>11</v>
      </c>
      <c r="D14354" s="4" t="s">
        <v>11</v>
      </c>
      <c r="E14354" s="4" t="s">
        <v>11</v>
      </c>
    </row>
    <row r="14355" spans="1:10">
      <c r="A14355" t="n">
        <v>135249</v>
      </c>
      <c r="B14355" s="72" t="n">
        <v>61</v>
      </c>
      <c r="C14355" s="7" t="n">
        <v>0</v>
      </c>
      <c r="D14355" s="7" t="n">
        <v>65533</v>
      </c>
      <c r="E14355" s="7" t="n">
        <v>0</v>
      </c>
    </row>
    <row r="14356" spans="1:10">
      <c r="A14356" t="s">
        <v>4</v>
      </c>
      <c r="B14356" s="4" t="s">
        <v>5</v>
      </c>
      <c r="C14356" s="4" t="s">
        <v>11</v>
      </c>
      <c r="D14356" s="4" t="s">
        <v>11</v>
      </c>
      <c r="E14356" s="4" t="s">
        <v>11</v>
      </c>
    </row>
    <row r="14357" spans="1:10">
      <c r="A14357" t="n">
        <v>135256</v>
      </c>
      <c r="B14357" s="72" t="n">
        <v>61</v>
      </c>
      <c r="C14357" s="7" t="n">
        <v>8</v>
      </c>
      <c r="D14357" s="7" t="n">
        <v>65533</v>
      </c>
      <c r="E14357" s="7" t="n">
        <v>0</v>
      </c>
    </row>
    <row r="14358" spans="1:10">
      <c r="A14358" t="s">
        <v>4</v>
      </c>
      <c r="B14358" s="4" t="s">
        <v>5</v>
      </c>
      <c r="C14358" s="4" t="s">
        <v>7</v>
      </c>
      <c r="D14358" s="4" t="s">
        <v>7</v>
      </c>
      <c r="E14358" s="4" t="s">
        <v>13</v>
      </c>
      <c r="F14358" s="4" t="s">
        <v>13</v>
      </c>
      <c r="G14358" s="4" t="s">
        <v>13</v>
      </c>
      <c r="H14358" s="4" t="s">
        <v>11</v>
      </c>
    </row>
    <row r="14359" spans="1:10">
      <c r="A14359" t="n">
        <v>135263</v>
      </c>
      <c r="B14359" s="51" t="n">
        <v>45</v>
      </c>
      <c r="C14359" s="7" t="n">
        <v>2</v>
      </c>
      <c r="D14359" s="7" t="n">
        <v>3</v>
      </c>
      <c r="E14359" s="7" t="n">
        <v>-15.7299995422363</v>
      </c>
      <c r="F14359" s="7" t="n">
        <v>6.75</v>
      </c>
      <c r="G14359" s="7" t="n">
        <v>57.2599983215332</v>
      </c>
      <c r="H14359" s="7" t="n">
        <v>0</v>
      </c>
    </row>
    <row r="14360" spans="1:10">
      <c r="A14360" t="s">
        <v>4</v>
      </c>
      <c r="B14360" s="4" t="s">
        <v>5</v>
      </c>
      <c r="C14360" s="4" t="s">
        <v>7</v>
      </c>
      <c r="D14360" s="4" t="s">
        <v>7</v>
      </c>
      <c r="E14360" s="4" t="s">
        <v>13</v>
      </c>
      <c r="F14360" s="4" t="s">
        <v>13</v>
      </c>
      <c r="G14360" s="4" t="s">
        <v>13</v>
      </c>
      <c r="H14360" s="4" t="s">
        <v>11</v>
      </c>
      <c r="I14360" s="4" t="s">
        <v>7</v>
      </c>
    </row>
    <row r="14361" spans="1:10">
      <c r="A14361" t="n">
        <v>135280</v>
      </c>
      <c r="B14361" s="51" t="n">
        <v>45</v>
      </c>
      <c r="C14361" s="7" t="n">
        <v>4</v>
      </c>
      <c r="D14361" s="7" t="n">
        <v>3</v>
      </c>
      <c r="E14361" s="7" t="n">
        <v>354.579986572266</v>
      </c>
      <c r="F14361" s="7" t="n">
        <v>77.2699966430664</v>
      </c>
      <c r="G14361" s="7" t="n">
        <v>0</v>
      </c>
      <c r="H14361" s="7" t="n">
        <v>0</v>
      </c>
      <c r="I14361" s="7" t="n">
        <v>0</v>
      </c>
    </row>
    <row r="14362" spans="1:10">
      <c r="A14362" t="s">
        <v>4</v>
      </c>
      <c r="B14362" s="4" t="s">
        <v>5</v>
      </c>
      <c r="C14362" s="4" t="s">
        <v>7</v>
      </c>
      <c r="D14362" s="4" t="s">
        <v>7</v>
      </c>
      <c r="E14362" s="4" t="s">
        <v>13</v>
      </c>
      <c r="F14362" s="4" t="s">
        <v>11</v>
      </c>
    </row>
    <row r="14363" spans="1:10">
      <c r="A14363" t="n">
        <v>135298</v>
      </c>
      <c r="B14363" s="51" t="n">
        <v>45</v>
      </c>
      <c r="C14363" s="7" t="n">
        <v>5</v>
      </c>
      <c r="D14363" s="7" t="n">
        <v>3</v>
      </c>
      <c r="E14363" s="7" t="n">
        <v>2.09999990463257</v>
      </c>
      <c r="F14363" s="7" t="n">
        <v>0</v>
      </c>
    </row>
    <row r="14364" spans="1:10">
      <c r="A14364" t="s">
        <v>4</v>
      </c>
      <c r="B14364" s="4" t="s">
        <v>5</v>
      </c>
      <c r="C14364" s="4" t="s">
        <v>7</v>
      </c>
      <c r="D14364" s="4" t="s">
        <v>7</v>
      </c>
      <c r="E14364" s="4" t="s">
        <v>13</v>
      </c>
      <c r="F14364" s="4" t="s">
        <v>11</v>
      </c>
    </row>
    <row r="14365" spans="1:10">
      <c r="A14365" t="n">
        <v>135307</v>
      </c>
      <c r="B14365" s="51" t="n">
        <v>45</v>
      </c>
      <c r="C14365" s="7" t="n">
        <v>11</v>
      </c>
      <c r="D14365" s="7" t="n">
        <v>3</v>
      </c>
      <c r="E14365" s="7" t="n">
        <v>34</v>
      </c>
      <c r="F14365" s="7" t="n">
        <v>0</v>
      </c>
    </row>
    <row r="14366" spans="1:10">
      <c r="A14366" t="s">
        <v>4</v>
      </c>
      <c r="B14366" s="4" t="s">
        <v>5</v>
      </c>
      <c r="C14366" s="4" t="s">
        <v>7</v>
      </c>
      <c r="D14366" s="4" t="s">
        <v>7</v>
      </c>
      <c r="E14366" s="4" t="s">
        <v>13</v>
      </c>
      <c r="F14366" s="4" t="s">
        <v>13</v>
      </c>
      <c r="G14366" s="4" t="s">
        <v>13</v>
      </c>
      <c r="H14366" s="4" t="s">
        <v>11</v>
      </c>
    </row>
    <row r="14367" spans="1:10">
      <c r="A14367" t="n">
        <v>135316</v>
      </c>
      <c r="B14367" s="51" t="n">
        <v>45</v>
      </c>
      <c r="C14367" s="7" t="n">
        <v>2</v>
      </c>
      <c r="D14367" s="7" t="n">
        <v>3</v>
      </c>
      <c r="E14367" s="7" t="n">
        <v>-14.5</v>
      </c>
      <c r="F14367" s="7" t="n">
        <v>6.55999994277954</v>
      </c>
      <c r="G14367" s="7" t="n">
        <v>56.7999992370605</v>
      </c>
      <c r="H14367" s="7" t="n">
        <v>7000</v>
      </c>
    </row>
    <row r="14368" spans="1:10">
      <c r="A14368" t="s">
        <v>4</v>
      </c>
      <c r="B14368" s="4" t="s">
        <v>5</v>
      </c>
      <c r="C14368" s="4" t="s">
        <v>7</v>
      </c>
      <c r="D14368" s="4" t="s">
        <v>7</v>
      </c>
      <c r="E14368" s="4" t="s">
        <v>13</v>
      </c>
      <c r="F14368" s="4" t="s">
        <v>13</v>
      </c>
      <c r="G14368" s="4" t="s">
        <v>13</v>
      </c>
      <c r="H14368" s="4" t="s">
        <v>11</v>
      </c>
      <c r="I14368" s="4" t="s">
        <v>7</v>
      </c>
    </row>
    <row r="14369" spans="1:9">
      <c r="A14369" t="n">
        <v>135333</v>
      </c>
      <c r="B14369" s="51" t="n">
        <v>45</v>
      </c>
      <c r="C14369" s="7" t="n">
        <v>4</v>
      </c>
      <c r="D14369" s="7" t="n">
        <v>3</v>
      </c>
      <c r="E14369" s="7" t="n">
        <v>7.53999996185303</v>
      </c>
      <c r="F14369" s="7" t="n">
        <v>308.570007324219</v>
      </c>
      <c r="G14369" s="7" t="n">
        <v>0</v>
      </c>
      <c r="H14369" s="7" t="n">
        <v>7000</v>
      </c>
      <c r="I14369" s="7" t="n">
        <v>1</v>
      </c>
    </row>
    <row r="14370" spans="1:9">
      <c r="A14370" t="s">
        <v>4</v>
      </c>
      <c r="B14370" s="4" t="s">
        <v>5</v>
      </c>
      <c r="C14370" s="4" t="s">
        <v>7</v>
      </c>
      <c r="D14370" s="4" t="s">
        <v>7</v>
      </c>
      <c r="E14370" s="4" t="s">
        <v>13</v>
      </c>
      <c r="F14370" s="4" t="s">
        <v>11</v>
      </c>
    </row>
    <row r="14371" spans="1:9">
      <c r="A14371" t="n">
        <v>135351</v>
      </c>
      <c r="B14371" s="51" t="n">
        <v>45</v>
      </c>
      <c r="C14371" s="7" t="n">
        <v>5</v>
      </c>
      <c r="D14371" s="7" t="n">
        <v>3</v>
      </c>
      <c r="E14371" s="7" t="n">
        <v>1.70000004768372</v>
      </c>
      <c r="F14371" s="7" t="n">
        <v>7000</v>
      </c>
    </row>
    <row r="14372" spans="1:9">
      <c r="A14372" t="s">
        <v>4</v>
      </c>
      <c r="B14372" s="4" t="s">
        <v>5</v>
      </c>
      <c r="C14372" s="4" t="s">
        <v>7</v>
      </c>
      <c r="D14372" s="4" t="s">
        <v>11</v>
      </c>
      <c r="E14372" s="4" t="s">
        <v>13</v>
      </c>
    </row>
    <row r="14373" spans="1:9">
      <c r="A14373" t="n">
        <v>135360</v>
      </c>
      <c r="B14373" s="23" t="n">
        <v>58</v>
      </c>
      <c r="C14373" s="7" t="n">
        <v>100</v>
      </c>
      <c r="D14373" s="7" t="n">
        <v>1000</v>
      </c>
      <c r="E14373" s="7" t="n">
        <v>1</v>
      </c>
    </row>
    <row r="14374" spans="1:9">
      <c r="A14374" t="s">
        <v>4</v>
      </c>
      <c r="B14374" s="4" t="s">
        <v>5</v>
      </c>
      <c r="C14374" s="4" t="s">
        <v>7</v>
      </c>
      <c r="D14374" s="4" t="s">
        <v>11</v>
      </c>
    </row>
    <row r="14375" spans="1:9">
      <c r="A14375" t="n">
        <v>135368</v>
      </c>
      <c r="B14375" s="23" t="n">
        <v>58</v>
      </c>
      <c r="C14375" s="7" t="n">
        <v>255</v>
      </c>
      <c r="D14375" s="7" t="n">
        <v>0</v>
      </c>
    </row>
    <row r="14376" spans="1:9">
      <c r="A14376" t="s">
        <v>4</v>
      </c>
      <c r="B14376" s="4" t="s">
        <v>5</v>
      </c>
      <c r="C14376" s="4" t="s">
        <v>8</v>
      </c>
      <c r="D14376" s="4" t="s">
        <v>8</v>
      </c>
    </row>
    <row r="14377" spans="1:9">
      <c r="A14377" t="n">
        <v>135372</v>
      </c>
      <c r="B14377" s="52" t="n">
        <v>70</v>
      </c>
      <c r="C14377" s="7" t="s">
        <v>1139</v>
      </c>
      <c r="D14377" s="7" t="s">
        <v>109</v>
      </c>
    </row>
    <row r="14378" spans="1:9">
      <c r="A14378" t="s">
        <v>4</v>
      </c>
      <c r="B14378" s="4" t="s">
        <v>5</v>
      </c>
      <c r="C14378" s="4" t="s">
        <v>11</v>
      </c>
    </row>
    <row r="14379" spans="1:9">
      <c r="A14379" t="n">
        <v>135389</v>
      </c>
      <c r="B14379" s="29" t="n">
        <v>16</v>
      </c>
      <c r="C14379" s="7" t="n">
        <v>4000</v>
      </c>
    </row>
    <row r="14380" spans="1:9">
      <c r="A14380" t="s">
        <v>4</v>
      </c>
      <c r="B14380" s="4" t="s">
        <v>5</v>
      </c>
      <c r="C14380" s="4" t="s">
        <v>11</v>
      </c>
      <c r="D14380" s="4" t="s">
        <v>7</v>
      </c>
      <c r="E14380" s="4" t="s">
        <v>13</v>
      </c>
      <c r="F14380" s="4" t="s">
        <v>11</v>
      </c>
    </row>
    <row r="14381" spans="1:9">
      <c r="A14381" t="n">
        <v>135392</v>
      </c>
      <c r="B14381" s="56" t="n">
        <v>59</v>
      </c>
      <c r="C14381" s="7" t="n">
        <v>8</v>
      </c>
      <c r="D14381" s="7" t="n">
        <v>9</v>
      </c>
      <c r="E14381" s="7" t="n">
        <v>0.150000005960464</v>
      </c>
      <c r="F14381" s="7" t="n">
        <v>0</v>
      </c>
    </row>
    <row r="14382" spans="1:9">
      <c r="A14382" t="s">
        <v>4</v>
      </c>
      <c r="B14382" s="4" t="s">
        <v>5</v>
      </c>
      <c r="C14382" s="4" t="s">
        <v>11</v>
      </c>
      <c r="D14382" s="4" t="s">
        <v>13</v>
      </c>
      <c r="E14382" s="4" t="s">
        <v>13</v>
      </c>
      <c r="F14382" s="4" t="s">
        <v>13</v>
      </c>
      <c r="G14382" s="4" t="s">
        <v>11</v>
      </c>
      <c r="H14382" s="4" t="s">
        <v>11</v>
      </c>
    </row>
    <row r="14383" spans="1:9">
      <c r="A14383" t="n">
        <v>135402</v>
      </c>
      <c r="B14383" s="37" t="n">
        <v>60</v>
      </c>
      <c r="C14383" s="7" t="n">
        <v>8</v>
      </c>
      <c r="D14383" s="7" t="n">
        <v>-45</v>
      </c>
      <c r="E14383" s="7" t="n">
        <v>0</v>
      </c>
      <c r="F14383" s="7" t="n">
        <v>0</v>
      </c>
      <c r="G14383" s="7" t="n">
        <v>1000</v>
      </c>
      <c r="H14383" s="7" t="n">
        <v>0</v>
      </c>
    </row>
    <row r="14384" spans="1:9">
      <c r="A14384" t="s">
        <v>4</v>
      </c>
      <c r="B14384" s="4" t="s">
        <v>5</v>
      </c>
      <c r="C14384" s="4" t="s">
        <v>11</v>
      </c>
    </row>
    <row r="14385" spans="1:9">
      <c r="A14385" t="n">
        <v>135421</v>
      </c>
      <c r="B14385" s="29" t="n">
        <v>16</v>
      </c>
      <c r="C14385" s="7" t="n">
        <v>1000</v>
      </c>
    </row>
    <row r="14386" spans="1:9">
      <c r="A14386" t="s">
        <v>4</v>
      </c>
      <c r="B14386" s="4" t="s">
        <v>5</v>
      </c>
      <c r="C14386" s="4" t="s">
        <v>11</v>
      </c>
      <c r="D14386" s="4" t="s">
        <v>13</v>
      </c>
      <c r="E14386" s="4" t="s">
        <v>13</v>
      </c>
      <c r="F14386" s="4" t="s">
        <v>13</v>
      </c>
      <c r="G14386" s="4" t="s">
        <v>11</v>
      </c>
      <c r="H14386" s="4" t="s">
        <v>11</v>
      </c>
    </row>
    <row r="14387" spans="1:9">
      <c r="A14387" t="n">
        <v>135424</v>
      </c>
      <c r="B14387" s="37" t="n">
        <v>60</v>
      </c>
      <c r="C14387" s="7" t="n">
        <v>8</v>
      </c>
      <c r="D14387" s="7" t="n">
        <v>45</v>
      </c>
      <c r="E14387" s="7" t="n">
        <v>0</v>
      </c>
      <c r="F14387" s="7" t="n">
        <v>0</v>
      </c>
      <c r="G14387" s="7" t="n">
        <v>1000</v>
      </c>
      <c r="H14387" s="7" t="n">
        <v>0</v>
      </c>
    </row>
    <row r="14388" spans="1:9">
      <c r="A14388" t="s">
        <v>4</v>
      </c>
      <c r="B14388" s="4" t="s">
        <v>5</v>
      </c>
      <c r="C14388" s="4" t="s">
        <v>11</v>
      </c>
    </row>
    <row r="14389" spans="1:9">
      <c r="A14389" t="n">
        <v>135443</v>
      </c>
      <c r="B14389" s="29" t="n">
        <v>16</v>
      </c>
      <c r="C14389" s="7" t="n">
        <v>1000</v>
      </c>
    </row>
    <row r="14390" spans="1:9">
      <c r="A14390" t="s">
        <v>4</v>
      </c>
      <c r="B14390" s="4" t="s">
        <v>5</v>
      </c>
      <c r="C14390" s="4" t="s">
        <v>11</v>
      </c>
      <c r="D14390" s="4" t="s">
        <v>13</v>
      </c>
      <c r="E14390" s="4" t="s">
        <v>13</v>
      </c>
      <c r="F14390" s="4" t="s">
        <v>13</v>
      </c>
      <c r="G14390" s="4" t="s">
        <v>11</v>
      </c>
      <c r="H14390" s="4" t="s">
        <v>11</v>
      </c>
    </row>
    <row r="14391" spans="1:9">
      <c r="A14391" t="n">
        <v>135446</v>
      </c>
      <c r="B14391" s="37" t="n">
        <v>60</v>
      </c>
      <c r="C14391" s="7" t="n">
        <v>8</v>
      </c>
      <c r="D14391" s="7" t="n">
        <v>0</v>
      </c>
      <c r="E14391" s="7" t="n">
        <v>0</v>
      </c>
      <c r="F14391" s="7" t="n">
        <v>0</v>
      </c>
      <c r="G14391" s="7" t="n">
        <v>500</v>
      </c>
      <c r="H14391" s="7" t="n">
        <v>0</v>
      </c>
    </row>
    <row r="14392" spans="1:9">
      <c r="A14392" t="s">
        <v>4</v>
      </c>
      <c r="B14392" s="4" t="s">
        <v>5</v>
      </c>
      <c r="C14392" s="4" t="s">
        <v>11</v>
      </c>
    </row>
    <row r="14393" spans="1:9">
      <c r="A14393" t="n">
        <v>135465</v>
      </c>
      <c r="B14393" s="29" t="n">
        <v>16</v>
      </c>
      <c r="C14393" s="7" t="n">
        <v>1000</v>
      </c>
    </row>
    <row r="14394" spans="1:9">
      <c r="A14394" t="s">
        <v>4</v>
      </c>
      <c r="B14394" s="4" t="s">
        <v>5</v>
      </c>
      <c r="C14394" s="4" t="s">
        <v>7</v>
      </c>
      <c r="D14394" s="4" t="s">
        <v>11</v>
      </c>
    </row>
    <row r="14395" spans="1:9">
      <c r="A14395" t="n">
        <v>135468</v>
      </c>
      <c r="B14395" s="51" t="n">
        <v>45</v>
      </c>
      <c r="C14395" s="7" t="n">
        <v>7</v>
      </c>
      <c r="D14395" s="7" t="n">
        <v>255</v>
      </c>
    </row>
    <row r="14396" spans="1:9">
      <c r="A14396" t="s">
        <v>4</v>
      </c>
      <c r="B14396" s="4" t="s">
        <v>5</v>
      </c>
      <c r="C14396" s="4" t="s">
        <v>7</v>
      </c>
      <c r="D14396" s="4" t="s">
        <v>11</v>
      </c>
      <c r="E14396" s="4" t="s">
        <v>13</v>
      </c>
    </row>
    <row r="14397" spans="1:9">
      <c r="A14397" t="n">
        <v>135472</v>
      </c>
      <c r="B14397" s="23" t="n">
        <v>58</v>
      </c>
      <c r="C14397" s="7" t="n">
        <v>0</v>
      </c>
      <c r="D14397" s="7" t="n">
        <v>1000</v>
      </c>
      <c r="E14397" s="7" t="n">
        <v>1</v>
      </c>
    </row>
    <row r="14398" spans="1:9">
      <c r="A14398" t="s">
        <v>4</v>
      </c>
      <c r="B14398" s="4" t="s">
        <v>5</v>
      </c>
      <c r="C14398" s="4" t="s">
        <v>7</v>
      </c>
      <c r="D14398" s="4" t="s">
        <v>11</v>
      </c>
    </row>
    <row r="14399" spans="1:9">
      <c r="A14399" t="n">
        <v>135480</v>
      </c>
      <c r="B14399" s="23" t="n">
        <v>58</v>
      </c>
      <c r="C14399" s="7" t="n">
        <v>255</v>
      </c>
      <c r="D14399" s="7" t="n">
        <v>0</v>
      </c>
    </row>
    <row r="14400" spans="1:9">
      <c r="A14400" t="s">
        <v>4</v>
      </c>
      <c r="B14400" s="4" t="s">
        <v>5</v>
      </c>
      <c r="C14400" s="4" t="s">
        <v>8</v>
      </c>
      <c r="D14400" s="4" t="s">
        <v>8</v>
      </c>
    </row>
    <row r="14401" spans="1:8">
      <c r="A14401" t="n">
        <v>135484</v>
      </c>
      <c r="B14401" s="52" t="n">
        <v>70</v>
      </c>
      <c r="C14401" s="7" t="s">
        <v>1139</v>
      </c>
      <c r="D14401" s="7" t="s">
        <v>118</v>
      </c>
    </row>
    <row r="14402" spans="1:8">
      <c r="A14402" t="s">
        <v>4</v>
      </c>
      <c r="B14402" s="4" t="s">
        <v>5</v>
      </c>
      <c r="C14402" s="4" t="s">
        <v>11</v>
      </c>
      <c r="D14402" s="4" t="s">
        <v>11</v>
      </c>
      <c r="E14402" s="4" t="s">
        <v>11</v>
      </c>
    </row>
    <row r="14403" spans="1:8">
      <c r="A14403" t="n">
        <v>135500</v>
      </c>
      <c r="B14403" s="72" t="n">
        <v>61</v>
      </c>
      <c r="C14403" s="7" t="n">
        <v>0</v>
      </c>
      <c r="D14403" s="7" t="n">
        <v>65533</v>
      </c>
      <c r="E14403" s="7" t="n">
        <v>1000</v>
      </c>
    </row>
    <row r="14404" spans="1:8">
      <c r="A14404" t="s">
        <v>4</v>
      </c>
      <c r="B14404" s="4" t="s">
        <v>5</v>
      </c>
      <c r="C14404" s="4" t="s">
        <v>11</v>
      </c>
      <c r="D14404" s="4" t="s">
        <v>11</v>
      </c>
      <c r="E14404" s="4" t="s">
        <v>11</v>
      </c>
    </row>
    <row r="14405" spans="1:8">
      <c r="A14405" t="n">
        <v>135507</v>
      </c>
      <c r="B14405" s="72" t="n">
        <v>61</v>
      </c>
      <c r="C14405" s="7" t="n">
        <v>8</v>
      </c>
      <c r="D14405" s="7" t="n">
        <v>65533</v>
      </c>
      <c r="E14405" s="7" t="n">
        <v>1000</v>
      </c>
    </row>
    <row r="14406" spans="1:8">
      <c r="A14406" t="s">
        <v>4</v>
      </c>
      <c r="B14406" s="4" t="s">
        <v>5</v>
      </c>
      <c r="C14406" s="4" t="s">
        <v>11</v>
      </c>
      <c r="D14406" s="4" t="s">
        <v>13</v>
      </c>
      <c r="E14406" s="4" t="s">
        <v>13</v>
      </c>
      <c r="F14406" s="4" t="s">
        <v>13</v>
      </c>
      <c r="G14406" s="4" t="s">
        <v>13</v>
      </c>
    </row>
    <row r="14407" spans="1:8">
      <c r="A14407" t="n">
        <v>135514</v>
      </c>
      <c r="B14407" s="36" t="n">
        <v>46</v>
      </c>
      <c r="C14407" s="7" t="n">
        <v>0</v>
      </c>
      <c r="D14407" s="7" t="n">
        <v>-2.66000008583069</v>
      </c>
      <c r="E14407" s="7" t="n">
        <v>5.01000022888184</v>
      </c>
      <c r="F14407" s="7" t="n">
        <v>32.189998626709</v>
      </c>
      <c r="G14407" s="7" t="n">
        <v>90</v>
      </c>
    </row>
    <row r="14408" spans="1:8">
      <c r="A14408" t="s">
        <v>4</v>
      </c>
      <c r="B14408" s="4" t="s">
        <v>5</v>
      </c>
      <c r="C14408" s="4" t="s">
        <v>11</v>
      </c>
      <c r="D14408" s="4" t="s">
        <v>13</v>
      </c>
      <c r="E14408" s="4" t="s">
        <v>13</v>
      </c>
      <c r="F14408" s="4" t="s">
        <v>13</v>
      </c>
      <c r="G14408" s="4" t="s">
        <v>13</v>
      </c>
    </row>
    <row r="14409" spans="1:8">
      <c r="A14409" t="n">
        <v>135533</v>
      </c>
      <c r="B14409" s="36" t="n">
        <v>46</v>
      </c>
      <c r="C14409" s="7" t="n">
        <v>8</v>
      </c>
      <c r="D14409" s="7" t="n">
        <v>-3.16000008583069</v>
      </c>
      <c r="E14409" s="7" t="n">
        <v>5.01000022888184</v>
      </c>
      <c r="F14409" s="7" t="n">
        <v>31.7900009155273</v>
      </c>
      <c r="G14409" s="7" t="n">
        <v>90</v>
      </c>
    </row>
    <row r="14410" spans="1:8">
      <c r="A14410" t="s">
        <v>4</v>
      </c>
      <c r="B14410" s="4" t="s">
        <v>5</v>
      </c>
      <c r="C14410" s="4" t="s">
        <v>7</v>
      </c>
      <c r="D14410" s="4" t="s">
        <v>7</v>
      </c>
      <c r="E14410" s="4" t="s">
        <v>13</v>
      </c>
      <c r="F14410" s="4" t="s">
        <v>13</v>
      </c>
      <c r="G14410" s="4" t="s">
        <v>13</v>
      </c>
      <c r="H14410" s="4" t="s">
        <v>11</v>
      </c>
    </row>
    <row r="14411" spans="1:8">
      <c r="A14411" t="n">
        <v>135552</v>
      </c>
      <c r="B14411" s="51" t="n">
        <v>45</v>
      </c>
      <c r="C14411" s="7" t="n">
        <v>2</v>
      </c>
      <c r="D14411" s="7" t="n">
        <v>3</v>
      </c>
      <c r="E14411" s="7" t="n">
        <v>6.82000017166138</v>
      </c>
      <c r="F14411" s="7" t="n">
        <v>6.17999982833862</v>
      </c>
      <c r="G14411" s="7" t="n">
        <v>32.2799987792969</v>
      </c>
      <c r="H14411" s="7" t="n">
        <v>0</v>
      </c>
    </row>
    <row r="14412" spans="1:8">
      <c r="A14412" t="s">
        <v>4</v>
      </c>
      <c r="B14412" s="4" t="s">
        <v>5</v>
      </c>
      <c r="C14412" s="4" t="s">
        <v>7</v>
      </c>
      <c r="D14412" s="4" t="s">
        <v>7</v>
      </c>
      <c r="E14412" s="4" t="s">
        <v>13</v>
      </c>
      <c r="F14412" s="4" t="s">
        <v>13</v>
      </c>
      <c r="G14412" s="4" t="s">
        <v>13</v>
      </c>
      <c r="H14412" s="4" t="s">
        <v>11</v>
      </c>
      <c r="I14412" s="4" t="s">
        <v>7</v>
      </c>
    </row>
    <row r="14413" spans="1:8">
      <c r="A14413" t="n">
        <v>135569</v>
      </c>
      <c r="B14413" s="51" t="n">
        <v>45</v>
      </c>
      <c r="C14413" s="7" t="n">
        <v>4</v>
      </c>
      <c r="D14413" s="7" t="n">
        <v>3</v>
      </c>
      <c r="E14413" s="7" t="n">
        <v>358.239990234375</v>
      </c>
      <c r="F14413" s="7" t="n">
        <v>344.200012207031</v>
      </c>
      <c r="G14413" s="7" t="n">
        <v>0</v>
      </c>
      <c r="H14413" s="7" t="n">
        <v>0</v>
      </c>
      <c r="I14413" s="7" t="n">
        <v>0</v>
      </c>
    </row>
    <row r="14414" spans="1:8">
      <c r="A14414" t="s">
        <v>4</v>
      </c>
      <c r="B14414" s="4" t="s">
        <v>5</v>
      </c>
      <c r="C14414" s="4" t="s">
        <v>7</v>
      </c>
      <c r="D14414" s="4" t="s">
        <v>7</v>
      </c>
      <c r="E14414" s="4" t="s">
        <v>13</v>
      </c>
      <c r="F14414" s="4" t="s">
        <v>11</v>
      </c>
    </row>
    <row r="14415" spans="1:8">
      <c r="A14415" t="n">
        <v>135587</v>
      </c>
      <c r="B14415" s="51" t="n">
        <v>45</v>
      </c>
      <c r="C14415" s="7" t="n">
        <v>5</v>
      </c>
      <c r="D14415" s="7" t="n">
        <v>3</v>
      </c>
      <c r="E14415" s="7" t="n">
        <v>3.40000009536743</v>
      </c>
      <c r="F14415" s="7" t="n">
        <v>0</v>
      </c>
    </row>
    <row r="14416" spans="1:8">
      <c r="A14416" t="s">
        <v>4</v>
      </c>
      <c r="B14416" s="4" t="s">
        <v>5</v>
      </c>
      <c r="C14416" s="4" t="s">
        <v>7</v>
      </c>
      <c r="D14416" s="4" t="s">
        <v>7</v>
      </c>
      <c r="E14416" s="4" t="s">
        <v>13</v>
      </c>
      <c r="F14416" s="4" t="s">
        <v>11</v>
      </c>
    </row>
    <row r="14417" spans="1:9">
      <c r="A14417" t="n">
        <v>135596</v>
      </c>
      <c r="B14417" s="51" t="n">
        <v>45</v>
      </c>
      <c r="C14417" s="7" t="n">
        <v>11</v>
      </c>
      <c r="D14417" s="7" t="n">
        <v>3</v>
      </c>
      <c r="E14417" s="7" t="n">
        <v>40.2999992370605</v>
      </c>
      <c r="F14417" s="7" t="n">
        <v>0</v>
      </c>
    </row>
    <row r="14418" spans="1:9">
      <c r="A14418" t="s">
        <v>4</v>
      </c>
      <c r="B14418" s="4" t="s">
        <v>5</v>
      </c>
      <c r="C14418" s="4" t="s">
        <v>7</v>
      </c>
      <c r="D14418" s="4" t="s">
        <v>7</v>
      </c>
      <c r="E14418" s="4" t="s">
        <v>13</v>
      </c>
      <c r="F14418" s="4" t="s">
        <v>13</v>
      </c>
      <c r="G14418" s="4" t="s">
        <v>13</v>
      </c>
      <c r="H14418" s="4" t="s">
        <v>11</v>
      </c>
    </row>
    <row r="14419" spans="1:9">
      <c r="A14419" t="n">
        <v>135605</v>
      </c>
      <c r="B14419" s="51" t="n">
        <v>45</v>
      </c>
      <c r="C14419" s="7" t="n">
        <v>2</v>
      </c>
      <c r="D14419" s="7" t="n">
        <v>3</v>
      </c>
      <c r="E14419" s="7" t="n">
        <v>-2.55999994277954</v>
      </c>
      <c r="F14419" s="7" t="n">
        <v>6.17999982833862</v>
      </c>
      <c r="G14419" s="7" t="n">
        <v>32.1800003051758</v>
      </c>
      <c r="H14419" s="7" t="n">
        <v>6000</v>
      </c>
    </row>
    <row r="14420" spans="1:9">
      <c r="A14420" t="s">
        <v>4</v>
      </c>
      <c r="B14420" s="4" t="s">
        <v>5</v>
      </c>
      <c r="C14420" s="4" t="s">
        <v>7</v>
      </c>
      <c r="D14420" s="4" t="s">
        <v>7</v>
      </c>
      <c r="E14420" s="4" t="s">
        <v>13</v>
      </c>
      <c r="F14420" s="4" t="s">
        <v>13</v>
      </c>
      <c r="G14420" s="4" t="s">
        <v>13</v>
      </c>
      <c r="H14420" s="4" t="s">
        <v>11</v>
      </c>
      <c r="I14420" s="4" t="s">
        <v>7</v>
      </c>
    </row>
    <row r="14421" spans="1:9">
      <c r="A14421" t="n">
        <v>135622</v>
      </c>
      <c r="B14421" s="51" t="n">
        <v>45</v>
      </c>
      <c r="C14421" s="7" t="n">
        <v>4</v>
      </c>
      <c r="D14421" s="7" t="n">
        <v>3</v>
      </c>
      <c r="E14421" s="7" t="n">
        <v>12.2700004577637</v>
      </c>
      <c r="F14421" s="7" t="n">
        <v>75.7099990844727</v>
      </c>
      <c r="G14421" s="7" t="n">
        <v>0</v>
      </c>
      <c r="H14421" s="7" t="n">
        <v>6000</v>
      </c>
      <c r="I14421" s="7" t="n">
        <v>1</v>
      </c>
    </row>
    <row r="14422" spans="1:9">
      <c r="A14422" t="s">
        <v>4</v>
      </c>
      <c r="B14422" s="4" t="s">
        <v>5</v>
      </c>
      <c r="C14422" s="4" t="s">
        <v>7</v>
      </c>
      <c r="D14422" s="4" t="s">
        <v>7</v>
      </c>
      <c r="E14422" s="4" t="s">
        <v>13</v>
      </c>
      <c r="F14422" s="4" t="s">
        <v>11</v>
      </c>
    </row>
    <row r="14423" spans="1:9">
      <c r="A14423" t="n">
        <v>135640</v>
      </c>
      <c r="B14423" s="51" t="n">
        <v>45</v>
      </c>
      <c r="C14423" s="7" t="n">
        <v>5</v>
      </c>
      <c r="D14423" s="7" t="n">
        <v>3</v>
      </c>
      <c r="E14423" s="7" t="n">
        <v>2.70000004768372</v>
      </c>
      <c r="F14423" s="7" t="n">
        <v>6000</v>
      </c>
    </row>
    <row r="14424" spans="1:9">
      <c r="A14424" t="s">
        <v>4</v>
      </c>
      <c r="B14424" s="4" t="s">
        <v>5</v>
      </c>
      <c r="C14424" s="4" t="s">
        <v>7</v>
      </c>
      <c r="D14424" s="4" t="s">
        <v>11</v>
      </c>
      <c r="E14424" s="4" t="s">
        <v>13</v>
      </c>
    </row>
    <row r="14425" spans="1:9">
      <c r="A14425" t="n">
        <v>135649</v>
      </c>
      <c r="B14425" s="23" t="n">
        <v>58</v>
      </c>
      <c r="C14425" s="7" t="n">
        <v>100</v>
      </c>
      <c r="D14425" s="7" t="n">
        <v>1000</v>
      </c>
      <c r="E14425" s="7" t="n">
        <v>1</v>
      </c>
    </row>
    <row r="14426" spans="1:9">
      <c r="A14426" t="s">
        <v>4</v>
      </c>
      <c r="B14426" s="4" t="s">
        <v>5</v>
      </c>
      <c r="C14426" s="4" t="s">
        <v>7</v>
      </c>
      <c r="D14426" s="4" t="s">
        <v>11</v>
      </c>
    </row>
    <row r="14427" spans="1:9">
      <c r="A14427" t="n">
        <v>135657</v>
      </c>
      <c r="B14427" s="23" t="n">
        <v>58</v>
      </c>
      <c r="C14427" s="7" t="n">
        <v>255</v>
      </c>
      <c r="D14427" s="7" t="n">
        <v>0</v>
      </c>
    </row>
    <row r="14428" spans="1:9">
      <c r="A14428" t="s">
        <v>4</v>
      </c>
      <c r="B14428" s="4" t="s">
        <v>5</v>
      </c>
      <c r="C14428" s="4" t="s">
        <v>8</v>
      </c>
      <c r="D14428" s="4" t="s">
        <v>8</v>
      </c>
    </row>
    <row r="14429" spans="1:9">
      <c r="A14429" t="n">
        <v>135661</v>
      </c>
      <c r="B14429" s="52" t="n">
        <v>70</v>
      </c>
      <c r="C14429" s="7" t="s">
        <v>24</v>
      </c>
      <c r="D14429" s="7" t="s">
        <v>109</v>
      </c>
    </row>
    <row r="14430" spans="1:9">
      <c r="A14430" t="s">
        <v>4</v>
      </c>
      <c r="B14430" s="4" t="s">
        <v>5</v>
      </c>
      <c r="C14430" s="4" t="s">
        <v>11</v>
      </c>
    </row>
    <row r="14431" spans="1:9">
      <c r="A14431" t="n">
        <v>135678</v>
      </c>
      <c r="B14431" s="29" t="n">
        <v>16</v>
      </c>
      <c r="C14431" s="7" t="n">
        <v>4000</v>
      </c>
    </row>
    <row r="14432" spans="1:9">
      <c r="A14432" t="s">
        <v>4</v>
      </c>
      <c r="B14432" s="4" t="s">
        <v>5</v>
      </c>
      <c r="C14432" s="4" t="s">
        <v>11</v>
      </c>
      <c r="D14432" s="4" t="s">
        <v>7</v>
      </c>
      <c r="E14432" s="4" t="s">
        <v>13</v>
      </c>
      <c r="F14432" s="4" t="s">
        <v>11</v>
      </c>
    </row>
    <row r="14433" spans="1:9">
      <c r="A14433" t="n">
        <v>135681</v>
      </c>
      <c r="B14433" s="56" t="n">
        <v>59</v>
      </c>
      <c r="C14433" s="7" t="n">
        <v>0</v>
      </c>
      <c r="D14433" s="7" t="n">
        <v>9</v>
      </c>
      <c r="E14433" s="7" t="n">
        <v>0.150000005960464</v>
      </c>
      <c r="F14433" s="7" t="n">
        <v>0</v>
      </c>
    </row>
    <row r="14434" spans="1:9">
      <c r="A14434" t="s">
        <v>4</v>
      </c>
      <c r="B14434" s="4" t="s">
        <v>5</v>
      </c>
      <c r="C14434" s="4" t="s">
        <v>11</v>
      </c>
    </row>
    <row r="14435" spans="1:9">
      <c r="A14435" t="n">
        <v>135691</v>
      </c>
      <c r="B14435" s="29" t="n">
        <v>16</v>
      </c>
      <c r="C14435" s="7" t="n">
        <v>1800</v>
      </c>
    </row>
    <row r="14436" spans="1:9">
      <c r="A14436" t="s">
        <v>4</v>
      </c>
      <c r="B14436" s="4" t="s">
        <v>5</v>
      </c>
      <c r="C14436" s="4" t="s">
        <v>7</v>
      </c>
      <c r="D14436" s="4" t="s">
        <v>11</v>
      </c>
    </row>
    <row r="14437" spans="1:9">
      <c r="A14437" t="n">
        <v>135694</v>
      </c>
      <c r="B14437" s="51" t="n">
        <v>45</v>
      </c>
      <c r="C14437" s="7" t="n">
        <v>7</v>
      </c>
      <c r="D14437" s="7" t="n">
        <v>255</v>
      </c>
    </row>
    <row r="14438" spans="1:9">
      <c r="A14438" t="s">
        <v>4</v>
      </c>
      <c r="B14438" s="4" t="s">
        <v>5</v>
      </c>
      <c r="C14438" s="4" t="s">
        <v>7</v>
      </c>
      <c r="D14438" s="4" t="s">
        <v>11</v>
      </c>
      <c r="E14438" s="4" t="s">
        <v>13</v>
      </c>
    </row>
    <row r="14439" spans="1:9">
      <c r="A14439" t="n">
        <v>135698</v>
      </c>
      <c r="B14439" s="23" t="n">
        <v>58</v>
      </c>
      <c r="C14439" s="7" t="n">
        <v>0</v>
      </c>
      <c r="D14439" s="7" t="n">
        <v>1000</v>
      </c>
      <c r="E14439" s="7" t="n">
        <v>1</v>
      </c>
    </row>
    <row r="14440" spans="1:9">
      <c r="A14440" t="s">
        <v>4</v>
      </c>
      <c r="B14440" s="4" t="s">
        <v>5</v>
      </c>
      <c r="C14440" s="4" t="s">
        <v>7</v>
      </c>
      <c r="D14440" s="4" t="s">
        <v>11</v>
      </c>
    </row>
    <row r="14441" spans="1:9">
      <c r="A14441" t="n">
        <v>135706</v>
      </c>
      <c r="B14441" s="23" t="n">
        <v>58</v>
      </c>
      <c r="C14441" s="7" t="n">
        <v>255</v>
      </c>
      <c r="D14441" s="7" t="n">
        <v>0</v>
      </c>
    </row>
    <row r="14442" spans="1:9">
      <c r="A14442" t="s">
        <v>4</v>
      </c>
      <c r="B14442" s="4" t="s">
        <v>5</v>
      </c>
      <c r="C14442" s="4" t="s">
        <v>8</v>
      </c>
      <c r="D14442" s="4" t="s">
        <v>8</v>
      </c>
    </row>
    <row r="14443" spans="1:9">
      <c r="A14443" t="n">
        <v>135710</v>
      </c>
      <c r="B14443" s="52" t="n">
        <v>70</v>
      </c>
      <c r="C14443" s="7" t="s">
        <v>24</v>
      </c>
      <c r="D14443" s="7" t="s">
        <v>118</v>
      </c>
    </row>
    <row r="14444" spans="1:9">
      <c r="A14444" t="s">
        <v>4</v>
      </c>
      <c r="B14444" s="4" t="s">
        <v>5</v>
      </c>
      <c r="C14444" s="4" t="s">
        <v>11</v>
      </c>
      <c r="D14444" s="4" t="s">
        <v>13</v>
      </c>
      <c r="E14444" s="4" t="s">
        <v>13</v>
      </c>
      <c r="F14444" s="4" t="s">
        <v>13</v>
      </c>
      <c r="G14444" s="4" t="s">
        <v>13</v>
      </c>
    </row>
    <row r="14445" spans="1:9">
      <c r="A14445" t="n">
        <v>135726</v>
      </c>
      <c r="B14445" s="36" t="n">
        <v>46</v>
      </c>
      <c r="C14445" s="7" t="n">
        <v>0</v>
      </c>
      <c r="D14445" s="7" t="n">
        <v>-10.9899997711182</v>
      </c>
      <c r="E14445" s="7" t="n">
        <v>5.01000022888184</v>
      </c>
      <c r="F14445" s="7" t="n">
        <v>32.4300003051758</v>
      </c>
      <c r="G14445" s="7" t="n">
        <v>270</v>
      </c>
    </row>
    <row r="14446" spans="1:9">
      <c r="A14446" t="s">
        <v>4</v>
      </c>
      <c r="B14446" s="4" t="s">
        <v>5</v>
      </c>
      <c r="C14446" s="4" t="s">
        <v>11</v>
      </c>
      <c r="D14446" s="4" t="s">
        <v>13</v>
      </c>
      <c r="E14446" s="4" t="s">
        <v>13</v>
      </c>
      <c r="F14446" s="4" t="s">
        <v>13</v>
      </c>
      <c r="G14446" s="4" t="s">
        <v>13</v>
      </c>
    </row>
    <row r="14447" spans="1:9">
      <c r="A14447" t="n">
        <v>135745</v>
      </c>
      <c r="B14447" s="36" t="n">
        <v>46</v>
      </c>
      <c r="C14447" s="7" t="n">
        <v>8</v>
      </c>
      <c r="D14447" s="7" t="n">
        <v>-10.5500001907349</v>
      </c>
      <c r="E14447" s="7" t="n">
        <v>5.01000022888184</v>
      </c>
      <c r="F14447" s="7" t="n">
        <v>31.5499992370605</v>
      </c>
      <c r="G14447" s="7" t="n">
        <v>270</v>
      </c>
    </row>
    <row r="14448" spans="1:9">
      <c r="A14448" t="s">
        <v>4</v>
      </c>
      <c r="B14448" s="4" t="s">
        <v>5</v>
      </c>
      <c r="C14448" s="4" t="s">
        <v>7</v>
      </c>
      <c r="D14448" s="4" t="s">
        <v>7</v>
      </c>
      <c r="E14448" s="4" t="s">
        <v>13</v>
      </c>
      <c r="F14448" s="4" t="s">
        <v>13</v>
      </c>
      <c r="G14448" s="4" t="s">
        <v>13</v>
      </c>
      <c r="H14448" s="4" t="s">
        <v>11</v>
      </c>
    </row>
    <row r="14449" spans="1:8">
      <c r="A14449" t="n">
        <v>135764</v>
      </c>
      <c r="B14449" s="51" t="n">
        <v>45</v>
      </c>
      <c r="C14449" s="7" t="n">
        <v>2</v>
      </c>
      <c r="D14449" s="7" t="n">
        <v>3</v>
      </c>
      <c r="E14449" s="7" t="n">
        <v>-14.1199998855591</v>
      </c>
      <c r="F14449" s="7" t="n">
        <v>6.75</v>
      </c>
      <c r="G14449" s="7" t="n">
        <v>31.9300003051758</v>
      </c>
      <c r="H14449" s="7" t="n">
        <v>0</v>
      </c>
    </row>
    <row r="14450" spans="1:8">
      <c r="A14450" t="s">
        <v>4</v>
      </c>
      <c r="B14450" s="4" t="s">
        <v>5</v>
      </c>
      <c r="C14450" s="4" t="s">
        <v>7</v>
      </c>
      <c r="D14450" s="4" t="s">
        <v>7</v>
      </c>
      <c r="E14450" s="4" t="s">
        <v>13</v>
      </c>
      <c r="F14450" s="4" t="s">
        <v>13</v>
      </c>
      <c r="G14450" s="4" t="s">
        <v>13</v>
      </c>
      <c r="H14450" s="4" t="s">
        <v>11</v>
      </c>
      <c r="I14450" s="4" t="s">
        <v>7</v>
      </c>
    </row>
    <row r="14451" spans="1:8">
      <c r="A14451" t="n">
        <v>135781</v>
      </c>
      <c r="B14451" s="51" t="n">
        <v>45</v>
      </c>
      <c r="C14451" s="7" t="n">
        <v>4</v>
      </c>
      <c r="D14451" s="7" t="n">
        <v>3</v>
      </c>
      <c r="E14451" s="7" t="n">
        <v>7.63000011444092</v>
      </c>
      <c r="F14451" s="7" t="n">
        <v>90</v>
      </c>
      <c r="G14451" s="7" t="n">
        <v>0</v>
      </c>
      <c r="H14451" s="7" t="n">
        <v>0</v>
      </c>
      <c r="I14451" s="7" t="n">
        <v>0</v>
      </c>
    </row>
    <row r="14452" spans="1:8">
      <c r="A14452" t="s">
        <v>4</v>
      </c>
      <c r="B14452" s="4" t="s">
        <v>5</v>
      </c>
      <c r="C14452" s="4" t="s">
        <v>7</v>
      </c>
      <c r="D14452" s="4" t="s">
        <v>7</v>
      </c>
      <c r="E14452" s="4" t="s">
        <v>13</v>
      </c>
      <c r="F14452" s="4" t="s">
        <v>11</v>
      </c>
    </row>
    <row r="14453" spans="1:8">
      <c r="A14453" t="n">
        <v>135799</v>
      </c>
      <c r="B14453" s="51" t="n">
        <v>45</v>
      </c>
      <c r="C14453" s="7" t="n">
        <v>5</v>
      </c>
      <c r="D14453" s="7" t="n">
        <v>3</v>
      </c>
      <c r="E14453" s="7" t="n">
        <v>2.09999990463257</v>
      </c>
      <c r="F14453" s="7" t="n">
        <v>0</v>
      </c>
    </row>
    <row r="14454" spans="1:8">
      <c r="A14454" t="s">
        <v>4</v>
      </c>
      <c r="B14454" s="4" t="s">
        <v>5</v>
      </c>
      <c r="C14454" s="4" t="s">
        <v>7</v>
      </c>
      <c r="D14454" s="4" t="s">
        <v>7</v>
      </c>
      <c r="E14454" s="4" t="s">
        <v>13</v>
      </c>
      <c r="F14454" s="4" t="s">
        <v>11</v>
      </c>
    </row>
    <row r="14455" spans="1:8">
      <c r="A14455" t="n">
        <v>135808</v>
      </c>
      <c r="B14455" s="51" t="n">
        <v>45</v>
      </c>
      <c r="C14455" s="7" t="n">
        <v>11</v>
      </c>
      <c r="D14455" s="7" t="n">
        <v>3</v>
      </c>
      <c r="E14455" s="7" t="n">
        <v>40.2999992370605</v>
      </c>
      <c r="F14455" s="7" t="n">
        <v>0</v>
      </c>
    </row>
    <row r="14456" spans="1:8">
      <c r="A14456" t="s">
        <v>4</v>
      </c>
      <c r="B14456" s="4" t="s">
        <v>5</v>
      </c>
      <c r="C14456" s="4" t="s">
        <v>7</v>
      </c>
      <c r="D14456" s="4" t="s">
        <v>7</v>
      </c>
      <c r="E14456" s="4" t="s">
        <v>13</v>
      </c>
      <c r="F14456" s="4" t="s">
        <v>13</v>
      </c>
      <c r="G14456" s="4" t="s">
        <v>13</v>
      </c>
      <c r="H14456" s="4" t="s">
        <v>11</v>
      </c>
    </row>
    <row r="14457" spans="1:8">
      <c r="A14457" t="n">
        <v>135817</v>
      </c>
      <c r="B14457" s="51" t="n">
        <v>45</v>
      </c>
      <c r="C14457" s="7" t="n">
        <v>2</v>
      </c>
      <c r="D14457" s="7" t="n">
        <v>3</v>
      </c>
      <c r="E14457" s="7" t="n">
        <v>-9.10000038146973</v>
      </c>
      <c r="F14457" s="7" t="n">
        <v>6.75</v>
      </c>
      <c r="G14457" s="7" t="n">
        <v>31.9699993133545</v>
      </c>
      <c r="H14457" s="7" t="n">
        <v>6000</v>
      </c>
    </row>
    <row r="14458" spans="1:8">
      <c r="A14458" t="s">
        <v>4</v>
      </c>
      <c r="B14458" s="4" t="s">
        <v>5</v>
      </c>
      <c r="C14458" s="4" t="s">
        <v>7</v>
      </c>
      <c r="D14458" s="4" t="s">
        <v>7</v>
      </c>
      <c r="E14458" s="4" t="s">
        <v>13</v>
      </c>
      <c r="F14458" s="4" t="s">
        <v>13</v>
      </c>
      <c r="G14458" s="4" t="s">
        <v>13</v>
      </c>
      <c r="H14458" s="4" t="s">
        <v>11</v>
      </c>
      <c r="I14458" s="4" t="s">
        <v>7</v>
      </c>
    </row>
    <row r="14459" spans="1:8">
      <c r="A14459" t="n">
        <v>135834</v>
      </c>
      <c r="B14459" s="51" t="n">
        <v>45</v>
      </c>
      <c r="C14459" s="7" t="n">
        <v>4</v>
      </c>
      <c r="D14459" s="7" t="n">
        <v>3</v>
      </c>
      <c r="E14459" s="7" t="n">
        <v>0.0299999993294477</v>
      </c>
      <c r="F14459" s="7" t="n">
        <v>90</v>
      </c>
      <c r="G14459" s="7" t="n">
        <v>0</v>
      </c>
      <c r="H14459" s="7" t="n">
        <v>6000</v>
      </c>
      <c r="I14459" s="7" t="n">
        <v>0</v>
      </c>
    </row>
    <row r="14460" spans="1:8">
      <c r="A14460" t="s">
        <v>4</v>
      </c>
      <c r="B14460" s="4" t="s">
        <v>5</v>
      </c>
      <c r="C14460" s="4" t="s">
        <v>7</v>
      </c>
      <c r="D14460" s="4" t="s">
        <v>7</v>
      </c>
      <c r="E14460" s="4" t="s">
        <v>13</v>
      </c>
      <c r="F14460" s="4" t="s">
        <v>11</v>
      </c>
    </row>
    <row r="14461" spans="1:8">
      <c r="A14461" t="n">
        <v>135852</v>
      </c>
      <c r="B14461" s="51" t="n">
        <v>45</v>
      </c>
      <c r="C14461" s="7" t="n">
        <v>5</v>
      </c>
      <c r="D14461" s="7" t="n">
        <v>3</v>
      </c>
      <c r="E14461" s="7" t="n">
        <v>1.79999995231628</v>
      </c>
      <c r="F14461" s="7" t="n">
        <v>6000</v>
      </c>
    </row>
    <row r="14462" spans="1:8">
      <c r="A14462" t="s">
        <v>4</v>
      </c>
      <c r="B14462" s="4" t="s">
        <v>5</v>
      </c>
      <c r="C14462" s="4" t="s">
        <v>8</v>
      </c>
      <c r="D14462" s="4" t="s">
        <v>8</v>
      </c>
    </row>
    <row r="14463" spans="1:8">
      <c r="A14463" t="n">
        <v>135861</v>
      </c>
      <c r="B14463" s="52" t="n">
        <v>70</v>
      </c>
      <c r="C14463" s="7" t="s">
        <v>25</v>
      </c>
      <c r="D14463" s="7" t="s">
        <v>109</v>
      </c>
    </row>
    <row r="14464" spans="1:8">
      <c r="A14464" t="s">
        <v>4</v>
      </c>
      <c r="B14464" s="4" t="s">
        <v>5</v>
      </c>
      <c r="C14464" s="4" t="s">
        <v>7</v>
      </c>
      <c r="D14464" s="4" t="s">
        <v>11</v>
      </c>
      <c r="E14464" s="4" t="s">
        <v>13</v>
      </c>
    </row>
    <row r="14465" spans="1:9">
      <c r="A14465" t="n">
        <v>135878</v>
      </c>
      <c r="B14465" s="23" t="n">
        <v>58</v>
      </c>
      <c r="C14465" s="7" t="n">
        <v>100</v>
      </c>
      <c r="D14465" s="7" t="n">
        <v>1000</v>
      </c>
      <c r="E14465" s="7" t="n">
        <v>1</v>
      </c>
    </row>
    <row r="14466" spans="1:9">
      <c r="A14466" t="s">
        <v>4</v>
      </c>
      <c r="B14466" s="4" t="s">
        <v>5</v>
      </c>
      <c r="C14466" s="4" t="s">
        <v>7</v>
      </c>
      <c r="D14466" s="4" t="s">
        <v>11</v>
      </c>
    </row>
    <row r="14467" spans="1:9">
      <c r="A14467" t="n">
        <v>135886</v>
      </c>
      <c r="B14467" s="23" t="n">
        <v>58</v>
      </c>
      <c r="C14467" s="7" t="n">
        <v>255</v>
      </c>
      <c r="D14467" s="7" t="n">
        <v>0</v>
      </c>
    </row>
    <row r="14468" spans="1:9">
      <c r="A14468" t="s">
        <v>4</v>
      </c>
      <c r="B14468" s="4" t="s">
        <v>5</v>
      </c>
      <c r="C14468" s="4" t="s">
        <v>7</v>
      </c>
      <c r="D14468" s="4" t="s">
        <v>8</v>
      </c>
      <c r="E14468" s="4" t="s">
        <v>11</v>
      </c>
    </row>
    <row r="14469" spans="1:9">
      <c r="A14469" t="n">
        <v>135890</v>
      </c>
      <c r="B14469" s="15" t="n">
        <v>94</v>
      </c>
      <c r="C14469" s="7" t="n">
        <v>1</v>
      </c>
      <c r="D14469" s="7" t="s">
        <v>25</v>
      </c>
      <c r="E14469" s="7" t="n">
        <v>512</v>
      </c>
    </row>
    <row r="14470" spans="1:9">
      <c r="A14470" t="s">
        <v>4</v>
      </c>
      <c r="B14470" s="4" t="s">
        <v>5</v>
      </c>
      <c r="C14470" s="4" t="s">
        <v>11</v>
      </c>
    </row>
    <row r="14471" spans="1:9">
      <c r="A14471" t="n">
        <v>135904</v>
      </c>
      <c r="B14471" s="29" t="n">
        <v>16</v>
      </c>
      <c r="C14471" s="7" t="n">
        <v>4000</v>
      </c>
    </row>
    <row r="14472" spans="1:9">
      <c r="A14472" t="s">
        <v>4</v>
      </c>
      <c r="B14472" s="4" t="s">
        <v>5</v>
      </c>
      <c r="C14472" s="4" t="s">
        <v>11</v>
      </c>
      <c r="D14472" s="4" t="s">
        <v>7</v>
      </c>
      <c r="E14472" s="4" t="s">
        <v>13</v>
      </c>
      <c r="F14472" s="4" t="s">
        <v>11</v>
      </c>
    </row>
    <row r="14473" spans="1:9">
      <c r="A14473" t="n">
        <v>135907</v>
      </c>
      <c r="B14473" s="56" t="n">
        <v>59</v>
      </c>
      <c r="C14473" s="7" t="n">
        <v>0</v>
      </c>
      <c r="D14473" s="7" t="n">
        <v>9</v>
      </c>
      <c r="E14473" s="7" t="n">
        <v>0.150000005960464</v>
      </c>
      <c r="F14473" s="7" t="n">
        <v>0</v>
      </c>
    </row>
    <row r="14474" spans="1:9">
      <c r="A14474" t="s">
        <v>4</v>
      </c>
      <c r="B14474" s="4" t="s">
        <v>5</v>
      </c>
      <c r="C14474" s="4" t="s">
        <v>11</v>
      </c>
      <c r="D14474" s="4" t="s">
        <v>7</v>
      </c>
      <c r="E14474" s="4" t="s">
        <v>13</v>
      </c>
      <c r="F14474" s="4" t="s">
        <v>11</v>
      </c>
    </row>
    <row r="14475" spans="1:9">
      <c r="A14475" t="n">
        <v>135917</v>
      </c>
      <c r="B14475" s="56" t="n">
        <v>59</v>
      </c>
      <c r="C14475" s="7" t="n">
        <v>8</v>
      </c>
      <c r="D14475" s="7" t="n">
        <v>9</v>
      </c>
      <c r="E14475" s="7" t="n">
        <v>0.150000005960464</v>
      </c>
      <c r="F14475" s="7" t="n">
        <v>0</v>
      </c>
    </row>
    <row r="14476" spans="1:9">
      <c r="A14476" t="s">
        <v>4</v>
      </c>
      <c r="B14476" s="4" t="s">
        <v>5</v>
      </c>
      <c r="C14476" s="4" t="s">
        <v>11</v>
      </c>
    </row>
    <row r="14477" spans="1:9">
      <c r="A14477" t="n">
        <v>135927</v>
      </c>
      <c r="B14477" s="29" t="n">
        <v>16</v>
      </c>
      <c r="C14477" s="7" t="n">
        <v>1500</v>
      </c>
    </row>
    <row r="14478" spans="1:9">
      <c r="A14478" t="s">
        <v>4</v>
      </c>
      <c r="B14478" s="4" t="s">
        <v>5</v>
      </c>
      <c r="C14478" s="4" t="s">
        <v>7</v>
      </c>
      <c r="D14478" s="4" t="s">
        <v>11</v>
      </c>
    </row>
    <row r="14479" spans="1:9">
      <c r="A14479" t="n">
        <v>135930</v>
      </c>
      <c r="B14479" s="51" t="n">
        <v>45</v>
      </c>
      <c r="C14479" s="7" t="n">
        <v>7</v>
      </c>
      <c r="D14479" s="7" t="n">
        <v>255</v>
      </c>
    </row>
    <row r="14480" spans="1:9">
      <c r="A14480" t="s">
        <v>4</v>
      </c>
      <c r="B14480" s="4" t="s">
        <v>5</v>
      </c>
      <c r="C14480" s="4" t="s">
        <v>7</v>
      </c>
      <c r="D14480" s="4" t="s">
        <v>11</v>
      </c>
      <c r="E14480" s="4" t="s">
        <v>13</v>
      </c>
    </row>
    <row r="14481" spans="1:6">
      <c r="A14481" t="n">
        <v>135934</v>
      </c>
      <c r="B14481" s="23" t="n">
        <v>58</v>
      </c>
      <c r="C14481" s="7" t="n">
        <v>0</v>
      </c>
      <c r="D14481" s="7" t="n">
        <v>2000</v>
      </c>
      <c r="E14481" s="7" t="n">
        <v>1</v>
      </c>
    </row>
    <row r="14482" spans="1:6">
      <c r="A14482" t="s">
        <v>4</v>
      </c>
      <c r="B14482" s="4" t="s">
        <v>5</v>
      </c>
      <c r="C14482" s="4" t="s">
        <v>7</v>
      </c>
      <c r="D14482" s="4" t="s">
        <v>11</v>
      </c>
    </row>
    <row r="14483" spans="1:6">
      <c r="A14483" t="n">
        <v>135942</v>
      </c>
      <c r="B14483" s="23" t="n">
        <v>58</v>
      </c>
      <c r="C14483" s="7" t="n">
        <v>255</v>
      </c>
      <c r="D14483" s="7" t="n">
        <v>0</v>
      </c>
    </row>
    <row r="14484" spans="1:6">
      <c r="A14484" t="s">
        <v>4</v>
      </c>
      <c r="B14484" s="4" t="s">
        <v>5</v>
      </c>
      <c r="C14484" s="4" t="s">
        <v>7</v>
      </c>
      <c r="D14484" s="4" t="s">
        <v>7</v>
      </c>
      <c r="E14484" s="4" t="s">
        <v>13</v>
      </c>
      <c r="F14484" s="4" t="s">
        <v>13</v>
      </c>
      <c r="G14484" s="4" t="s">
        <v>13</v>
      </c>
      <c r="H14484" s="4" t="s">
        <v>11</v>
      </c>
    </row>
    <row r="14485" spans="1:6">
      <c r="A14485" t="n">
        <v>135946</v>
      </c>
      <c r="B14485" s="51" t="n">
        <v>45</v>
      </c>
      <c r="C14485" s="7" t="n">
        <v>2</v>
      </c>
      <c r="D14485" s="7" t="n">
        <v>3</v>
      </c>
      <c r="E14485" s="7" t="n">
        <v>-7.84000015258789</v>
      </c>
      <c r="F14485" s="7" t="n">
        <v>7.17000007629395</v>
      </c>
      <c r="G14485" s="7" t="n">
        <v>31.6599998474121</v>
      </c>
      <c r="H14485" s="7" t="n">
        <v>0</v>
      </c>
    </row>
    <row r="14486" spans="1:6">
      <c r="A14486" t="s">
        <v>4</v>
      </c>
      <c r="B14486" s="4" t="s">
        <v>5</v>
      </c>
      <c r="C14486" s="4" t="s">
        <v>7</v>
      </c>
      <c r="D14486" s="4" t="s">
        <v>7</v>
      </c>
      <c r="E14486" s="4" t="s">
        <v>13</v>
      </c>
      <c r="F14486" s="4" t="s">
        <v>13</v>
      </c>
      <c r="G14486" s="4" t="s">
        <v>13</v>
      </c>
      <c r="H14486" s="4" t="s">
        <v>11</v>
      </c>
      <c r="I14486" s="4" t="s">
        <v>7</v>
      </c>
    </row>
    <row r="14487" spans="1:6">
      <c r="A14487" t="n">
        <v>135963</v>
      </c>
      <c r="B14487" s="51" t="n">
        <v>45</v>
      </c>
      <c r="C14487" s="7" t="n">
        <v>4</v>
      </c>
      <c r="D14487" s="7" t="n">
        <v>3</v>
      </c>
      <c r="E14487" s="7" t="n">
        <v>9.01000022888184</v>
      </c>
      <c r="F14487" s="7" t="n">
        <v>55.7900009155273</v>
      </c>
      <c r="G14487" s="7" t="n">
        <v>0</v>
      </c>
      <c r="H14487" s="7" t="n">
        <v>0</v>
      </c>
      <c r="I14487" s="7" t="n">
        <v>0</v>
      </c>
    </row>
    <row r="14488" spans="1:6">
      <c r="A14488" t="s">
        <v>4</v>
      </c>
      <c r="B14488" s="4" t="s">
        <v>5</v>
      </c>
      <c r="C14488" s="4" t="s">
        <v>7</v>
      </c>
      <c r="D14488" s="4" t="s">
        <v>7</v>
      </c>
      <c r="E14488" s="4" t="s">
        <v>13</v>
      </c>
      <c r="F14488" s="4" t="s">
        <v>11</v>
      </c>
    </row>
    <row r="14489" spans="1:6">
      <c r="A14489" t="n">
        <v>135981</v>
      </c>
      <c r="B14489" s="51" t="n">
        <v>45</v>
      </c>
      <c r="C14489" s="7" t="n">
        <v>5</v>
      </c>
      <c r="D14489" s="7" t="n">
        <v>3</v>
      </c>
      <c r="E14489" s="7" t="n">
        <v>2.40000009536743</v>
      </c>
      <c r="F14489" s="7" t="n">
        <v>0</v>
      </c>
    </row>
    <row r="14490" spans="1:6">
      <c r="A14490" t="s">
        <v>4</v>
      </c>
      <c r="B14490" s="4" t="s">
        <v>5</v>
      </c>
      <c r="C14490" s="4" t="s">
        <v>7</v>
      </c>
      <c r="D14490" s="4" t="s">
        <v>7</v>
      </c>
      <c r="E14490" s="4" t="s">
        <v>13</v>
      </c>
      <c r="F14490" s="4" t="s">
        <v>11</v>
      </c>
    </row>
    <row r="14491" spans="1:6">
      <c r="A14491" t="n">
        <v>135990</v>
      </c>
      <c r="B14491" s="51" t="n">
        <v>45</v>
      </c>
      <c r="C14491" s="7" t="n">
        <v>11</v>
      </c>
      <c r="D14491" s="7" t="n">
        <v>3</v>
      </c>
      <c r="E14491" s="7" t="n">
        <v>40.2999992370605</v>
      </c>
      <c r="F14491" s="7" t="n">
        <v>0</v>
      </c>
    </row>
    <row r="14492" spans="1:6">
      <c r="A14492" t="s">
        <v>4</v>
      </c>
      <c r="B14492" s="4" t="s">
        <v>5</v>
      </c>
      <c r="C14492" s="4" t="s">
        <v>7</v>
      </c>
      <c r="D14492" s="4" t="s">
        <v>7</v>
      </c>
      <c r="E14492" s="4" t="s">
        <v>13</v>
      </c>
      <c r="F14492" s="4" t="s">
        <v>13</v>
      </c>
      <c r="G14492" s="4" t="s">
        <v>13</v>
      </c>
      <c r="H14492" s="4" t="s">
        <v>11</v>
      </c>
    </row>
    <row r="14493" spans="1:6">
      <c r="A14493" t="n">
        <v>135999</v>
      </c>
      <c r="B14493" s="51" t="n">
        <v>45</v>
      </c>
      <c r="C14493" s="7" t="n">
        <v>2</v>
      </c>
      <c r="D14493" s="7" t="n">
        <v>3</v>
      </c>
      <c r="E14493" s="7" t="n">
        <v>-6.8899998664856</v>
      </c>
      <c r="F14493" s="7" t="n">
        <v>6.26999998092651</v>
      </c>
      <c r="G14493" s="7" t="n">
        <v>30.0599994659424</v>
      </c>
      <c r="H14493" s="7" t="n">
        <v>6000</v>
      </c>
    </row>
    <row r="14494" spans="1:6">
      <c r="A14494" t="s">
        <v>4</v>
      </c>
      <c r="B14494" s="4" t="s">
        <v>5</v>
      </c>
      <c r="C14494" s="4" t="s">
        <v>7</v>
      </c>
      <c r="D14494" s="4" t="s">
        <v>7</v>
      </c>
      <c r="E14494" s="4" t="s">
        <v>13</v>
      </c>
      <c r="F14494" s="4" t="s">
        <v>13</v>
      </c>
      <c r="G14494" s="4" t="s">
        <v>13</v>
      </c>
      <c r="H14494" s="4" t="s">
        <v>11</v>
      </c>
      <c r="I14494" s="4" t="s">
        <v>7</v>
      </c>
    </row>
    <row r="14495" spans="1:6">
      <c r="A14495" t="n">
        <v>136016</v>
      </c>
      <c r="B14495" s="51" t="n">
        <v>45</v>
      </c>
      <c r="C14495" s="7" t="n">
        <v>4</v>
      </c>
      <c r="D14495" s="7" t="n">
        <v>3</v>
      </c>
      <c r="E14495" s="7" t="n">
        <v>6.73999977111816</v>
      </c>
      <c r="F14495" s="7" t="n">
        <v>13.6199998855591</v>
      </c>
      <c r="G14495" s="7" t="n">
        <v>0</v>
      </c>
      <c r="H14495" s="7" t="n">
        <v>6000</v>
      </c>
      <c r="I14495" s="7" t="n">
        <v>1</v>
      </c>
    </row>
    <row r="14496" spans="1:6">
      <c r="A14496" t="s">
        <v>4</v>
      </c>
      <c r="B14496" s="4" t="s">
        <v>5</v>
      </c>
      <c r="C14496" s="4" t="s">
        <v>11</v>
      </c>
      <c r="D14496" s="4" t="s">
        <v>13</v>
      </c>
      <c r="E14496" s="4" t="s">
        <v>13</v>
      </c>
      <c r="F14496" s="4" t="s">
        <v>13</v>
      </c>
      <c r="G14496" s="4" t="s">
        <v>13</v>
      </c>
    </row>
    <row r="14497" spans="1:9">
      <c r="A14497" t="n">
        <v>136034</v>
      </c>
      <c r="B14497" s="36" t="n">
        <v>46</v>
      </c>
      <c r="C14497" s="7" t="n">
        <v>0</v>
      </c>
      <c r="D14497" s="7" t="n">
        <v>-6.51000022888184</v>
      </c>
      <c r="E14497" s="7" t="n">
        <v>5</v>
      </c>
      <c r="F14497" s="7" t="n">
        <v>29.8999996185303</v>
      </c>
      <c r="G14497" s="7" t="n">
        <v>208</v>
      </c>
    </row>
    <row r="14498" spans="1:9">
      <c r="A14498" t="s">
        <v>4</v>
      </c>
      <c r="B14498" s="4" t="s">
        <v>5</v>
      </c>
      <c r="C14498" s="4" t="s">
        <v>11</v>
      </c>
      <c r="D14498" s="4" t="s">
        <v>13</v>
      </c>
      <c r="E14498" s="4" t="s">
        <v>13</v>
      </c>
      <c r="F14498" s="4" t="s">
        <v>13</v>
      </c>
      <c r="G14498" s="4" t="s">
        <v>13</v>
      </c>
    </row>
    <row r="14499" spans="1:9">
      <c r="A14499" t="n">
        <v>136053</v>
      </c>
      <c r="B14499" s="36" t="n">
        <v>46</v>
      </c>
      <c r="C14499" s="7" t="n">
        <v>8</v>
      </c>
      <c r="D14499" s="7" t="n">
        <v>-7.44999980926514</v>
      </c>
      <c r="E14499" s="7" t="n">
        <v>5</v>
      </c>
      <c r="F14499" s="7" t="n">
        <v>29.7999992370605</v>
      </c>
      <c r="G14499" s="7" t="n">
        <v>151.199996948242</v>
      </c>
    </row>
    <row r="14500" spans="1:9">
      <c r="A14500" t="s">
        <v>4</v>
      </c>
      <c r="B14500" s="4" t="s">
        <v>5</v>
      </c>
      <c r="C14500" s="4" t="s">
        <v>8</v>
      </c>
      <c r="D14500" s="4" t="s">
        <v>8</v>
      </c>
    </row>
    <row r="14501" spans="1:9">
      <c r="A14501" t="n">
        <v>136072</v>
      </c>
      <c r="B14501" s="52" t="n">
        <v>70</v>
      </c>
      <c r="C14501" s="7" t="s">
        <v>25</v>
      </c>
      <c r="D14501" s="7" t="s">
        <v>118</v>
      </c>
    </row>
    <row r="14502" spans="1:9">
      <c r="A14502" t="s">
        <v>4</v>
      </c>
      <c r="B14502" s="4" t="s">
        <v>5</v>
      </c>
      <c r="C14502" s="4" t="s">
        <v>11</v>
      </c>
      <c r="D14502" s="4" t="s">
        <v>11</v>
      </c>
      <c r="E14502" s="4" t="s">
        <v>11</v>
      </c>
    </row>
    <row r="14503" spans="1:9">
      <c r="A14503" t="n">
        <v>136088</v>
      </c>
      <c r="B14503" s="72" t="n">
        <v>61</v>
      </c>
      <c r="C14503" s="7" t="n">
        <v>0</v>
      </c>
      <c r="D14503" s="7" t="n">
        <v>8</v>
      </c>
      <c r="E14503" s="7" t="n">
        <v>0</v>
      </c>
    </row>
    <row r="14504" spans="1:9">
      <c r="A14504" t="s">
        <v>4</v>
      </c>
      <c r="B14504" s="4" t="s">
        <v>5</v>
      </c>
      <c r="C14504" s="4" t="s">
        <v>11</v>
      </c>
      <c r="D14504" s="4" t="s">
        <v>11</v>
      </c>
      <c r="E14504" s="4" t="s">
        <v>11</v>
      </c>
    </row>
    <row r="14505" spans="1:9">
      <c r="A14505" t="n">
        <v>136095</v>
      </c>
      <c r="B14505" s="72" t="n">
        <v>61</v>
      </c>
      <c r="C14505" s="7" t="n">
        <v>8</v>
      </c>
      <c r="D14505" s="7" t="n">
        <v>0</v>
      </c>
      <c r="E14505" s="7" t="n">
        <v>0</v>
      </c>
    </row>
    <row r="14506" spans="1:9">
      <c r="A14506" t="s">
        <v>4</v>
      </c>
      <c r="B14506" s="4" t="s">
        <v>5</v>
      </c>
      <c r="C14506" s="4" t="s">
        <v>7</v>
      </c>
      <c r="D14506" s="4" t="s">
        <v>11</v>
      </c>
      <c r="E14506" s="4" t="s">
        <v>13</v>
      </c>
    </row>
    <row r="14507" spans="1:9">
      <c r="A14507" t="n">
        <v>136102</v>
      </c>
      <c r="B14507" s="23" t="n">
        <v>58</v>
      </c>
      <c r="C14507" s="7" t="n">
        <v>100</v>
      </c>
      <c r="D14507" s="7" t="n">
        <v>1000</v>
      </c>
      <c r="E14507" s="7" t="n">
        <v>1</v>
      </c>
    </row>
    <row r="14508" spans="1:9">
      <c r="A14508" t="s">
        <v>4</v>
      </c>
      <c r="B14508" s="4" t="s">
        <v>5</v>
      </c>
      <c r="C14508" s="4" t="s">
        <v>7</v>
      </c>
      <c r="D14508" s="4" t="s">
        <v>11</v>
      </c>
    </row>
    <row r="14509" spans="1:9">
      <c r="A14509" t="n">
        <v>136110</v>
      </c>
      <c r="B14509" s="23" t="n">
        <v>58</v>
      </c>
      <c r="C14509" s="7" t="n">
        <v>255</v>
      </c>
      <c r="D14509" s="7" t="n">
        <v>0</v>
      </c>
    </row>
    <row r="14510" spans="1:9">
      <c r="A14510" t="s">
        <v>4</v>
      </c>
      <c r="B14510" s="4" t="s">
        <v>5</v>
      </c>
      <c r="C14510" s="4" t="s">
        <v>11</v>
      </c>
    </row>
    <row r="14511" spans="1:9">
      <c r="A14511" t="n">
        <v>136114</v>
      </c>
      <c r="B14511" s="29" t="n">
        <v>16</v>
      </c>
      <c r="C14511" s="7" t="n">
        <v>1000</v>
      </c>
    </row>
    <row r="14512" spans="1:9">
      <c r="A14512" t="s">
        <v>4</v>
      </c>
      <c r="B14512" s="4" t="s">
        <v>5</v>
      </c>
      <c r="C14512" s="4" t="s">
        <v>7</v>
      </c>
      <c r="D14512" s="4" t="s">
        <v>11</v>
      </c>
    </row>
    <row r="14513" spans="1:7">
      <c r="A14513" t="n">
        <v>136117</v>
      </c>
      <c r="B14513" s="51" t="n">
        <v>45</v>
      </c>
      <c r="C14513" s="7" t="n">
        <v>7</v>
      </c>
      <c r="D14513" s="7" t="n">
        <v>255</v>
      </c>
    </row>
    <row r="14514" spans="1:7">
      <c r="A14514" t="s">
        <v>4</v>
      </c>
      <c r="B14514" s="4" t="s">
        <v>5</v>
      </c>
      <c r="C14514" s="4" t="s">
        <v>7</v>
      </c>
      <c r="D14514" s="4" t="s">
        <v>11</v>
      </c>
      <c r="E14514" s="4" t="s">
        <v>13</v>
      </c>
    </row>
    <row r="14515" spans="1:7">
      <c r="A14515" t="n">
        <v>136121</v>
      </c>
      <c r="B14515" s="23" t="n">
        <v>58</v>
      </c>
      <c r="C14515" s="7" t="n">
        <v>101</v>
      </c>
      <c r="D14515" s="7" t="n">
        <v>500</v>
      </c>
      <c r="E14515" s="7" t="n">
        <v>1</v>
      </c>
    </row>
    <row r="14516" spans="1:7">
      <c r="A14516" t="s">
        <v>4</v>
      </c>
      <c r="B14516" s="4" t="s">
        <v>5</v>
      </c>
      <c r="C14516" s="4" t="s">
        <v>7</v>
      </c>
      <c r="D14516" s="4" t="s">
        <v>11</v>
      </c>
    </row>
    <row r="14517" spans="1:7">
      <c r="A14517" t="n">
        <v>136129</v>
      </c>
      <c r="B14517" s="23" t="n">
        <v>58</v>
      </c>
      <c r="C14517" s="7" t="n">
        <v>254</v>
      </c>
      <c r="D14517" s="7" t="n">
        <v>0</v>
      </c>
    </row>
    <row r="14518" spans="1:7">
      <c r="A14518" t="s">
        <v>4</v>
      </c>
      <c r="B14518" s="4" t="s">
        <v>5</v>
      </c>
      <c r="C14518" s="4" t="s">
        <v>7</v>
      </c>
      <c r="D14518" s="4" t="s">
        <v>11</v>
      </c>
      <c r="E14518" s="4" t="s">
        <v>8</v>
      </c>
      <c r="F14518" s="4" t="s">
        <v>8</v>
      </c>
      <c r="G14518" s="4" t="s">
        <v>8</v>
      </c>
      <c r="H14518" s="4" t="s">
        <v>8</v>
      </c>
    </row>
    <row r="14519" spans="1:7">
      <c r="A14519" t="n">
        <v>136133</v>
      </c>
      <c r="B14519" s="38" t="n">
        <v>51</v>
      </c>
      <c r="C14519" s="7" t="n">
        <v>3</v>
      </c>
      <c r="D14519" s="7" t="n">
        <v>8</v>
      </c>
      <c r="E14519" s="7" t="s">
        <v>79</v>
      </c>
      <c r="F14519" s="7" t="s">
        <v>79</v>
      </c>
      <c r="G14519" s="7" t="s">
        <v>78</v>
      </c>
      <c r="H14519" s="7" t="s">
        <v>79</v>
      </c>
    </row>
    <row r="14520" spans="1:7">
      <c r="A14520" t="s">
        <v>4</v>
      </c>
      <c r="B14520" s="4" t="s">
        <v>5</v>
      </c>
      <c r="C14520" s="4" t="s">
        <v>7</v>
      </c>
      <c r="D14520" s="4" t="s">
        <v>11</v>
      </c>
      <c r="E14520" s="4" t="s">
        <v>11</v>
      </c>
      <c r="F14520" s="4" t="s">
        <v>15</v>
      </c>
      <c r="G14520" s="4" t="s">
        <v>15</v>
      </c>
      <c r="H14520" s="4" t="s">
        <v>15</v>
      </c>
    </row>
    <row r="14521" spans="1:7">
      <c r="A14521" t="n">
        <v>136146</v>
      </c>
      <c r="B14521" s="77" t="n">
        <v>97</v>
      </c>
      <c r="C14521" s="7" t="n">
        <v>6</v>
      </c>
      <c r="D14521" s="7" t="n">
        <v>0</v>
      </c>
      <c r="E14521" s="7" t="n">
        <v>0</v>
      </c>
      <c r="F14521" s="7" t="n">
        <v>-1065143501</v>
      </c>
      <c r="G14521" s="7" t="n">
        <v>1101004800</v>
      </c>
      <c r="H14521" s="7" t="n">
        <v>1101004800</v>
      </c>
    </row>
    <row r="14522" spans="1:7">
      <c r="A14522" t="s">
        <v>4</v>
      </c>
      <c r="B14522" s="4" t="s">
        <v>5</v>
      </c>
      <c r="C14522" s="4" t="s">
        <v>7</v>
      </c>
      <c r="D14522" s="4" t="s">
        <v>7</v>
      </c>
      <c r="E14522" s="4" t="s">
        <v>13</v>
      </c>
      <c r="F14522" s="4" t="s">
        <v>13</v>
      </c>
      <c r="G14522" s="4" t="s">
        <v>13</v>
      </c>
      <c r="H14522" s="4" t="s">
        <v>11</v>
      </c>
    </row>
    <row r="14523" spans="1:7">
      <c r="A14523" t="n">
        <v>136164</v>
      </c>
      <c r="B14523" s="51" t="n">
        <v>45</v>
      </c>
      <c r="C14523" s="7" t="n">
        <v>2</v>
      </c>
      <c r="D14523" s="7" t="n">
        <v>3</v>
      </c>
      <c r="E14523" s="7" t="n">
        <v>-6.86999988555908</v>
      </c>
      <c r="F14523" s="7" t="n">
        <v>6.51000022888184</v>
      </c>
      <c r="G14523" s="7" t="n">
        <v>29.8400001525879</v>
      </c>
      <c r="H14523" s="7" t="n">
        <v>0</v>
      </c>
    </row>
    <row r="14524" spans="1:7">
      <c r="A14524" t="s">
        <v>4</v>
      </c>
      <c r="B14524" s="4" t="s">
        <v>5</v>
      </c>
      <c r="C14524" s="4" t="s">
        <v>7</v>
      </c>
      <c r="D14524" s="4" t="s">
        <v>7</v>
      </c>
      <c r="E14524" s="4" t="s">
        <v>13</v>
      </c>
      <c r="F14524" s="4" t="s">
        <v>13</v>
      </c>
      <c r="G14524" s="4" t="s">
        <v>13</v>
      </c>
      <c r="H14524" s="4" t="s">
        <v>11</v>
      </c>
      <c r="I14524" s="4" t="s">
        <v>7</v>
      </c>
    </row>
    <row r="14525" spans="1:7">
      <c r="A14525" t="n">
        <v>136181</v>
      </c>
      <c r="B14525" s="51" t="n">
        <v>45</v>
      </c>
      <c r="C14525" s="7" t="n">
        <v>4</v>
      </c>
      <c r="D14525" s="7" t="n">
        <v>3</v>
      </c>
      <c r="E14525" s="7" t="n">
        <v>5.55000019073486</v>
      </c>
      <c r="F14525" s="7" t="n">
        <v>135.5</v>
      </c>
      <c r="G14525" s="7" t="n">
        <v>0</v>
      </c>
      <c r="H14525" s="7" t="n">
        <v>0</v>
      </c>
      <c r="I14525" s="7" t="n">
        <v>0</v>
      </c>
    </row>
    <row r="14526" spans="1:7">
      <c r="A14526" t="s">
        <v>4</v>
      </c>
      <c r="B14526" s="4" t="s">
        <v>5</v>
      </c>
      <c r="C14526" s="4" t="s">
        <v>7</v>
      </c>
      <c r="D14526" s="4" t="s">
        <v>7</v>
      </c>
      <c r="E14526" s="4" t="s">
        <v>13</v>
      </c>
      <c r="F14526" s="4" t="s">
        <v>11</v>
      </c>
    </row>
    <row r="14527" spans="1:7">
      <c r="A14527" t="n">
        <v>136199</v>
      </c>
      <c r="B14527" s="51" t="n">
        <v>45</v>
      </c>
      <c r="C14527" s="7" t="n">
        <v>5</v>
      </c>
      <c r="D14527" s="7" t="n">
        <v>3</v>
      </c>
      <c r="E14527" s="7" t="n">
        <v>1.29999995231628</v>
      </c>
      <c r="F14527" s="7" t="n">
        <v>0</v>
      </c>
    </row>
    <row r="14528" spans="1:7">
      <c r="A14528" t="s">
        <v>4</v>
      </c>
      <c r="B14528" s="4" t="s">
        <v>5</v>
      </c>
      <c r="C14528" s="4" t="s">
        <v>7</v>
      </c>
      <c r="D14528" s="4" t="s">
        <v>7</v>
      </c>
      <c r="E14528" s="4" t="s">
        <v>13</v>
      </c>
      <c r="F14528" s="4" t="s">
        <v>11</v>
      </c>
    </row>
    <row r="14529" spans="1:9">
      <c r="A14529" t="n">
        <v>136208</v>
      </c>
      <c r="B14529" s="51" t="n">
        <v>45</v>
      </c>
      <c r="C14529" s="7" t="n">
        <v>11</v>
      </c>
      <c r="D14529" s="7" t="n">
        <v>3</v>
      </c>
      <c r="E14529" s="7" t="n">
        <v>40.2999992370605</v>
      </c>
      <c r="F14529" s="7" t="n">
        <v>0</v>
      </c>
    </row>
    <row r="14530" spans="1:9">
      <c r="A14530" t="s">
        <v>4</v>
      </c>
      <c r="B14530" s="4" t="s">
        <v>5</v>
      </c>
      <c r="C14530" s="4" t="s">
        <v>7</v>
      </c>
      <c r="D14530" s="4" t="s">
        <v>11</v>
      </c>
    </row>
    <row r="14531" spans="1:9">
      <c r="A14531" t="n">
        <v>136217</v>
      </c>
      <c r="B14531" s="23" t="n">
        <v>58</v>
      </c>
      <c r="C14531" s="7" t="n">
        <v>255</v>
      </c>
      <c r="D14531" s="7" t="n">
        <v>0</v>
      </c>
    </row>
    <row r="14532" spans="1:9">
      <c r="A14532" t="s">
        <v>4</v>
      </c>
      <c r="B14532" s="4" t="s">
        <v>5</v>
      </c>
      <c r="C14532" s="4" t="s">
        <v>7</v>
      </c>
      <c r="D14532" s="4" t="s">
        <v>11</v>
      </c>
      <c r="E14532" s="4" t="s">
        <v>8</v>
      </c>
    </row>
    <row r="14533" spans="1:9">
      <c r="A14533" t="n">
        <v>136221</v>
      </c>
      <c r="B14533" s="38" t="n">
        <v>51</v>
      </c>
      <c r="C14533" s="7" t="n">
        <v>4</v>
      </c>
      <c r="D14533" s="7" t="n">
        <v>8</v>
      </c>
      <c r="E14533" s="7" t="s">
        <v>242</v>
      </c>
    </row>
    <row r="14534" spans="1:9">
      <c r="A14534" t="s">
        <v>4</v>
      </c>
      <c r="B14534" s="4" t="s">
        <v>5</v>
      </c>
      <c r="C14534" s="4" t="s">
        <v>11</v>
      </c>
    </row>
    <row r="14535" spans="1:9">
      <c r="A14535" t="n">
        <v>136235</v>
      </c>
      <c r="B14535" s="29" t="n">
        <v>16</v>
      </c>
      <c r="C14535" s="7" t="n">
        <v>0</v>
      </c>
    </row>
    <row r="14536" spans="1:9">
      <c r="A14536" t="s">
        <v>4</v>
      </c>
      <c r="B14536" s="4" t="s">
        <v>5</v>
      </c>
      <c r="C14536" s="4" t="s">
        <v>11</v>
      </c>
      <c r="D14536" s="4" t="s">
        <v>7</v>
      </c>
      <c r="E14536" s="4" t="s">
        <v>15</v>
      </c>
      <c r="F14536" s="4" t="s">
        <v>55</v>
      </c>
      <c r="G14536" s="4" t="s">
        <v>7</v>
      </c>
      <c r="H14536" s="4" t="s">
        <v>7</v>
      </c>
      <c r="I14536" s="4" t="s">
        <v>7</v>
      </c>
      <c r="J14536" s="4" t="s">
        <v>15</v>
      </c>
      <c r="K14536" s="4" t="s">
        <v>55</v>
      </c>
      <c r="L14536" s="4" t="s">
        <v>7</v>
      </c>
      <c r="M14536" s="4" t="s">
        <v>7</v>
      </c>
    </row>
    <row r="14537" spans="1:9">
      <c r="A14537" t="n">
        <v>136238</v>
      </c>
      <c r="B14537" s="55" t="n">
        <v>26</v>
      </c>
      <c r="C14537" s="7" t="n">
        <v>8</v>
      </c>
      <c r="D14537" s="7" t="n">
        <v>17</v>
      </c>
      <c r="E14537" s="7" t="n">
        <v>64219</v>
      </c>
      <c r="F14537" s="7" t="s">
        <v>1140</v>
      </c>
      <c r="G14537" s="7" t="n">
        <v>2</v>
      </c>
      <c r="H14537" s="7" t="n">
        <v>3</v>
      </c>
      <c r="I14537" s="7" t="n">
        <v>17</v>
      </c>
      <c r="J14537" s="7" t="n">
        <v>64220</v>
      </c>
      <c r="K14537" s="7" t="s">
        <v>1141</v>
      </c>
      <c r="L14537" s="7" t="n">
        <v>2</v>
      </c>
      <c r="M14537" s="7" t="n">
        <v>0</v>
      </c>
    </row>
    <row r="14538" spans="1:9">
      <c r="A14538" t="s">
        <v>4</v>
      </c>
      <c r="B14538" s="4" t="s">
        <v>5</v>
      </c>
    </row>
    <row r="14539" spans="1:9">
      <c r="A14539" t="n">
        <v>136428</v>
      </c>
      <c r="B14539" s="27" t="n">
        <v>28</v>
      </c>
    </row>
    <row r="14540" spans="1:9">
      <c r="A14540" t="s">
        <v>4</v>
      </c>
      <c r="B14540" s="4" t="s">
        <v>5</v>
      </c>
      <c r="C14540" s="4" t="s">
        <v>7</v>
      </c>
      <c r="D14540" s="4" t="s">
        <v>11</v>
      </c>
      <c r="E14540" s="4" t="s">
        <v>8</v>
      </c>
    </row>
    <row r="14541" spans="1:9">
      <c r="A14541" t="n">
        <v>136429</v>
      </c>
      <c r="B14541" s="38" t="n">
        <v>51</v>
      </c>
      <c r="C14541" s="7" t="n">
        <v>4</v>
      </c>
      <c r="D14541" s="7" t="n">
        <v>0</v>
      </c>
      <c r="E14541" s="7" t="s">
        <v>173</v>
      </c>
    </row>
    <row r="14542" spans="1:9">
      <c r="A14542" t="s">
        <v>4</v>
      </c>
      <c r="B14542" s="4" t="s">
        <v>5</v>
      </c>
      <c r="C14542" s="4" t="s">
        <v>11</v>
      </c>
    </row>
    <row r="14543" spans="1:9">
      <c r="A14543" t="n">
        <v>136442</v>
      </c>
      <c r="B14543" s="29" t="n">
        <v>16</v>
      </c>
      <c r="C14543" s="7" t="n">
        <v>0</v>
      </c>
    </row>
    <row r="14544" spans="1:9">
      <c r="A14544" t="s">
        <v>4</v>
      </c>
      <c r="B14544" s="4" t="s">
        <v>5</v>
      </c>
      <c r="C14544" s="4" t="s">
        <v>11</v>
      </c>
      <c r="D14544" s="4" t="s">
        <v>7</v>
      </c>
      <c r="E14544" s="4" t="s">
        <v>15</v>
      </c>
      <c r="F14544" s="4" t="s">
        <v>55</v>
      </c>
      <c r="G14544" s="4" t="s">
        <v>7</v>
      </c>
      <c r="H14544" s="4" t="s">
        <v>7</v>
      </c>
      <c r="I14544" s="4" t="s">
        <v>7</v>
      </c>
      <c r="J14544" s="4" t="s">
        <v>15</v>
      </c>
      <c r="K14544" s="4" t="s">
        <v>55</v>
      </c>
      <c r="L14544" s="4" t="s">
        <v>7</v>
      </c>
      <c r="M14544" s="4" t="s">
        <v>7</v>
      </c>
      <c r="N14544" s="4" t="s">
        <v>7</v>
      </c>
      <c r="O14544" s="4" t="s">
        <v>15</v>
      </c>
      <c r="P14544" s="4" t="s">
        <v>55</v>
      </c>
      <c r="Q14544" s="4" t="s">
        <v>7</v>
      </c>
      <c r="R14544" s="4" t="s">
        <v>7</v>
      </c>
    </row>
    <row r="14545" spans="1:18">
      <c r="A14545" t="n">
        <v>136445</v>
      </c>
      <c r="B14545" s="55" t="n">
        <v>26</v>
      </c>
      <c r="C14545" s="7" t="n">
        <v>0</v>
      </c>
      <c r="D14545" s="7" t="n">
        <v>17</v>
      </c>
      <c r="E14545" s="7" t="n">
        <v>64221</v>
      </c>
      <c r="F14545" s="7" t="s">
        <v>1142</v>
      </c>
      <c r="G14545" s="7" t="n">
        <v>2</v>
      </c>
      <c r="H14545" s="7" t="n">
        <v>3</v>
      </c>
      <c r="I14545" s="7" t="n">
        <v>17</v>
      </c>
      <c r="J14545" s="7" t="n">
        <v>64222</v>
      </c>
      <c r="K14545" s="7" t="s">
        <v>1143</v>
      </c>
      <c r="L14545" s="7" t="n">
        <v>2</v>
      </c>
      <c r="M14545" s="7" t="n">
        <v>3</v>
      </c>
      <c r="N14545" s="7" t="n">
        <v>17</v>
      </c>
      <c r="O14545" s="7" t="n">
        <v>64223</v>
      </c>
      <c r="P14545" s="7" t="s">
        <v>1144</v>
      </c>
      <c r="Q14545" s="7" t="n">
        <v>2</v>
      </c>
      <c r="R14545" s="7" t="n">
        <v>0</v>
      </c>
    </row>
    <row r="14546" spans="1:18">
      <c r="A14546" t="s">
        <v>4</v>
      </c>
      <c r="B14546" s="4" t="s">
        <v>5</v>
      </c>
    </row>
    <row r="14547" spans="1:18">
      <c r="A14547" t="n">
        <v>136661</v>
      </c>
      <c r="B14547" s="27" t="n">
        <v>28</v>
      </c>
    </row>
    <row r="14548" spans="1:18">
      <c r="A14548" t="s">
        <v>4</v>
      </c>
      <c r="B14548" s="4" t="s">
        <v>5</v>
      </c>
      <c r="C14548" s="4" t="s">
        <v>7</v>
      </c>
      <c r="D14548" s="4" t="s">
        <v>11</v>
      </c>
      <c r="E14548" s="4" t="s">
        <v>8</v>
      </c>
    </row>
    <row r="14549" spans="1:18">
      <c r="A14549" t="n">
        <v>136662</v>
      </c>
      <c r="B14549" s="38" t="n">
        <v>51</v>
      </c>
      <c r="C14549" s="7" t="n">
        <v>4</v>
      </c>
      <c r="D14549" s="7" t="n">
        <v>8</v>
      </c>
      <c r="E14549" s="7" t="s">
        <v>137</v>
      </c>
    </row>
    <row r="14550" spans="1:18">
      <c r="A14550" t="s">
        <v>4</v>
      </c>
      <c r="B14550" s="4" t="s">
        <v>5</v>
      </c>
      <c r="C14550" s="4" t="s">
        <v>11</v>
      </c>
    </row>
    <row r="14551" spans="1:18">
      <c r="A14551" t="n">
        <v>136675</v>
      </c>
      <c r="B14551" s="29" t="n">
        <v>16</v>
      </c>
      <c r="C14551" s="7" t="n">
        <v>0</v>
      </c>
    </row>
    <row r="14552" spans="1:18">
      <c r="A14552" t="s">
        <v>4</v>
      </c>
      <c r="B14552" s="4" t="s">
        <v>5</v>
      </c>
      <c r="C14552" s="4" t="s">
        <v>11</v>
      </c>
      <c r="D14552" s="4" t="s">
        <v>7</v>
      </c>
      <c r="E14552" s="4" t="s">
        <v>15</v>
      </c>
      <c r="F14552" s="4" t="s">
        <v>55</v>
      </c>
      <c r="G14552" s="4" t="s">
        <v>7</v>
      </c>
      <c r="H14552" s="4" t="s">
        <v>7</v>
      </c>
      <c r="I14552" s="4" t="s">
        <v>7</v>
      </c>
      <c r="J14552" s="4" t="s">
        <v>15</v>
      </c>
      <c r="K14552" s="4" t="s">
        <v>55</v>
      </c>
      <c r="L14552" s="4" t="s">
        <v>7</v>
      </c>
      <c r="M14552" s="4" t="s">
        <v>7</v>
      </c>
      <c r="N14552" s="4" t="s">
        <v>7</v>
      </c>
      <c r="O14552" s="4" t="s">
        <v>15</v>
      </c>
      <c r="P14552" s="4" t="s">
        <v>55</v>
      </c>
      <c r="Q14552" s="4" t="s">
        <v>7</v>
      </c>
      <c r="R14552" s="4" t="s">
        <v>7</v>
      </c>
    </row>
    <row r="14553" spans="1:18">
      <c r="A14553" t="n">
        <v>136678</v>
      </c>
      <c r="B14553" s="55" t="n">
        <v>26</v>
      </c>
      <c r="C14553" s="7" t="n">
        <v>8</v>
      </c>
      <c r="D14553" s="7" t="n">
        <v>17</v>
      </c>
      <c r="E14553" s="7" t="n">
        <v>64224</v>
      </c>
      <c r="F14553" s="7" t="s">
        <v>1145</v>
      </c>
      <c r="G14553" s="7" t="n">
        <v>2</v>
      </c>
      <c r="H14553" s="7" t="n">
        <v>3</v>
      </c>
      <c r="I14553" s="7" t="n">
        <v>17</v>
      </c>
      <c r="J14553" s="7" t="n">
        <v>64225</v>
      </c>
      <c r="K14553" s="7" t="s">
        <v>1146</v>
      </c>
      <c r="L14553" s="7" t="n">
        <v>2</v>
      </c>
      <c r="M14553" s="7" t="n">
        <v>3</v>
      </c>
      <c r="N14553" s="7" t="n">
        <v>17</v>
      </c>
      <c r="O14553" s="7" t="n">
        <v>64226</v>
      </c>
      <c r="P14553" s="7" t="s">
        <v>1147</v>
      </c>
      <c r="Q14553" s="7" t="n">
        <v>2</v>
      </c>
      <c r="R14553" s="7" t="n">
        <v>0</v>
      </c>
    </row>
    <row r="14554" spans="1:18">
      <c r="A14554" t="s">
        <v>4</v>
      </c>
      <c r="B14554" s="4" t="s">
        <v>5</v>
      </c>
    </row>
    <row r="14555" spans="1:18">
      <c r="A14555" t="n">
        <v>137067</v>
      </c>
      <c r="B14555" s="27" t="n">
        <v>28</v>
      </c>
    </row>
    <row r="14556" spans="1:18">
      <c r="A14556" t="s">
        <v>4</v>
      </c>
      <c r="B14556" s="4" t="s">
        <v>5</v>
      </c>
      <c r="C14556" s="4" t="s">
        <v>7</v>
      </c>
      <c r="D14556" s="4" t="s">
        <v>11</v>
      </c>
      <c r="E14556" s="4" t="s">
        <v>8</v>
      </c>
    </row>
    <row r="14557" spans="1:18">
      <c r="A14557" t="n">
        <v>137068</v>
      </c>
      <c r="B14557" s="38" t="n">
        <v>51</v>
      </c>
      <c r="C14557" s="7" t="n">
        <v>4</v>
      </c>
      <c r="D14557" s="7" t="n">
        <v>0</v>
      </c>
      <c r="E14557" s="7" t="s">
        <v>242</v>
      </c>
    </row>
    <row r="14558" spans="1:18">
      <c r="A14558" t="s">
        <v>4</v>
      </c>
      <c r="B14558" s="4" t="s">
        <v>5</v>
      </c>
      <c r="C14558" s="4" t="s">
        <v>11</v>
      </c>
    </row>
    <row r="14559" spans="1:18">
      <c r="A14559" t="n">
        <v>137082</v>
      </c>
      <c r="B14559" s="29" t="n">
        <v>16</v>
      </c>
      <c r="C14559" s="7" t="n">
        <v>0</v>
      </c>
    </row>
    <row r="14560" spans="1:18">
      <c r="A14560" t="s">
        <v>4</v>
      </c>
      <c r="B14560" s="4" t="s">
        <v>5</v>
      </c>
      <c r="C14560" s="4" t="s">
        <v>11</v>
      </c>
      <c r="D14560" s="4" t="s">
        <v>7</v>
      </c>
      <c r="E14560" s="4" t="s">
        <v>15</v>
      </c>
      <c r="F14560" s="4" t="s">
        <v>55</v>
      </c>
      <c r="G14560" s="4" t="s">
        <v>7</v>
      </c>
      <c r="H14560" s="4" t="s">
        <v>7</v>
      </c>
      <c r="I14560" s="4" t="s">
        <v>7</v>
      </c>
      <c r="J14560" s="4" t="s">
        <v>15</v>
      </c>
      <c r="K14560" s="4" t="s">
        <v>55</v>
      </c>
      <c r="L14560" s="4" t="s">
        <v>7</v>
      </c>
      <c r="M14560" s="4" t="s">
        <v>7</v>
      </c>
    </row>
    <row r="14561" spans="1:18">
      <c r="A14561" t="n">
        <v>137085</v>
      </c>
      <c r="B14561" s="55" t="n">
        <v>26</v>
      </c>
      <c r="C14561" s="7" t="n">
        <v>0</v>
      </c>
      <c r="D14561" s="7" t="n">
        <v>17</v>
      </c>
      <c r="E14561" s="7" t="n">
        <v>64227</v>
      </c>
      <c r="F14561" s="7" t="s">
        <v>1148</v>
      </c>
      <c r="G14561" s="7" t="n">
        <v>2</v>
      </c>
      <c r="H14561" s="7" t="n">
        <v>3</v>
      </c>
      <c r="I14561" s="7" t="n">
        <v>17</v>
      </c>
      <c r="J14561" s="7" t="n">
        <v>64228</v>
      </c>
      <c r="K14561" s="7" t="s">
        <v>1149</v>
      </c>
      <c r="L14561" s="7" t="n">
        <v>2</v>
      </c>
      <c r="M14561" s="7" t="n">
        <v>0</v>
      </c>
    </row>
    <row r="14562" spans="1:18">
      <c r="A14562" t="s">
        <v>4</v>
      </c>
      <c r="B14562" s="4" t="s">
        <v>5</v>
      </c>
    </row>
    <row r="14563" spans="1:18">
      <c r="A14563" t="n">
        <v>137248</v>
      </c>
      <c r="B14563" s="27" t="n">
        <v>28</v>
      </c>
    </row>
    <row r="14564" spans="1:18">
      <c r="A14564" t="s">
        <v>4</v>
      </c>
      <c r="B14564" s="4" t="s">
        <v>5</v>
      </c>
      <c r="C14564" s="4" t="s">
        <v>7</v>
      </c>
      <c r="D14564" s="4" t="s">
        <v>11</v>
      </c>
      <c r="E14564" s="4" t="s">
        <v>8</v>
      </c>
    </row>
    <row r="14565" spans="1:18">
      <c r="A14565" t="n">
        <v>137249</v>
      </c>
      <c r="B14565" s="38" t="n">
        <v>51</v>
      </c>
      <c r="C14565" s="7" t="n">
        <v>4</v>
      </c>
      <c r="D14565" s="7" t="n">
        <v>8</v>
      </c>
      <c r="E14565" s="7" t="s">
        <v>288</v>
      </c>
    </row>
    <row r="14566" spans="1:18">
      <c r="A14566" t="s">
        <v>4</v>
      </c>
      <c r="B14566" s="4" t="s">
        <v>5</v>
      </c>
      <c r="C14566" s="4" t="s">
        <v>11</v>
      </c>
    </row>
    <row r="14567" spans="1:18">
      <c r="A14567" t="n">
        <v>137262</v>
      </c>
      <c r="B14567" s="29" t="n">
        <v>16</v>
      </c>
      <c r="C14567" s="7" t="n">
        <v>0</v>
      </c>
    </row>
    <row r="14568" spans="1:18">
      <c r="A14568" t="s">
        <v>4</v>
      </c>
      <c r="B14568" s="4" t="s">
        <v>5</v>
      </c>
      <c r="C14568" s="4" t="s">
        <v>11</v>
      </c>
      <c r="D14568" s="4" t="s">
        <v>7</v>
      </c>
      <c r="E14568" s="4" t="s">
        <v>15</v>
      </c>
      <c r="F14568" s="4" t="s">
        <v>55</v>
      </c>
      <c r="G14568" s="4" t="s">
        <v>7</v>
      </c>
      <c r="H14568" s="4" t="s">
        <v>7</v>
      </c>
    </row>
    <row r="14569" spans="1:18">
      <c r="A14569" t="n">
        <v>137265</v>
      </c>
      <c r="B14569" s="55" t="n">
        <v>26</v>
      </c>
      <c r="C14569" s="7" t="n">
        <v>8</v>
      </c>
      <c r="D14569" s="7" t="n">
        <v>17</v>
      </c>
      <c r="E14569" s="7" t="n">
        <v>64229</v>
      </c>
      <c r="F14569" s="7" t="s">
        <v>1150</v>
      </c>
      <c r="G14569" s="7" t="n">
        <v>2</v>
      </c>
      <c r="H14569" s="7" t="n">
        <v>0</v>
      </c>
    </row>
    <row r="14570" spans="1:18">
      <c r="A14570" t="s">
        <v>4</v>
      </c>
      <c r="B14570" s="4" t="s">
        <v>5</v>
      </c>
    </row>
    <row r="14571" spans="1:18">
      <c r="A14571" t="n">
        <v>137288</v>
      </c>
      <c r="B14571" s="27" t="n">
        <v>28</v>
      </c>
    </row>
    <row r="14572" spans="1:18">
      <c r="A14572" t="s">
        <v>4</v>
      </c>
      <c r="B14572" s="4" t="s">
        <v>5</v>
      </c>
      <c r="C14572" s="4" t="s">
        <v>11</v>
      </c>
      <c r="D14572" s="4" t="s">
        <v>7</v>
      </c>
    </row>
    <row r="14573" spans="1:18">
      <c r="A14573" t="n">
        <v>137289</v>
      </c>
      <c r="B14573" s="68" t="n">
        <v>89</v>
      </c>
      <c r="C14573" s="7" t="n">
        <v>65533</v>
      </c>
      <c r="D14573" s="7" t="n">
        <v>1</v>
      </c>
    </row>
    <row r="14574" spans="1:18">
      <c r="A14574" t="s">
        <v>4</v>
      </c>
      <c r="B14574" s="4" t="s">
        <v>5</v>
      </c>
      <c r="C14574" s="4" t="s">
        <v>7</v>
      </c>
      <c r="D14574" s="4" t="s">
        <v>11</v>
      </c>
      <c r="E14574" s="4" t="s">
        <v>7</v>
      </c>
    </row>
    <row r="14575" spans="1:18">
      <c r="A14575" t="n">
        <v>137293</v>
      </c>
      <c r="B14575" s="13" t="n">
        <v>49</v>
      </c>
      <c r="C14575" s="7" t="n">
        <v>1</v>
      </c>
      <c r="D14575" s="7" t="n">
        <v>3000</v>
      </c>
      <c r="E14575" s="7" t="n">
        <v>0</v>
      </c>
    </row>
    <row r="14576" spans="1:18">
      <c r="A14576" t="s">
        <v>4</v>
      </c>
      <c r="B14576" s="4" t="s">
        <v>5</v>
      </c>
      <c r="C14576" s="4" t="s">
        <v>7</v>
      </c>
      <c r="D14576" s="4" t="s">
        <v>11</v>
      </c>
      <c r="E14576" s="4" t="s">
        <v>8</v>
      </c>
      <c r="F14576" s="4" t="s">
        <v>8</v>
      </c>
      <c r="G14576" s="4" t="s">
        <v>8</v>
      </c>
      <c r="H14576" s="4" t="s">
        <v>8</v>
      </c>
    </row>
    <row r="14577" spans="1:13">
      <c r="A14577" t="n">
        <v>137298</v>
      </c>
      <c r="B14577" s="38" t="n">
        <v>51</v>
      </c>
      <c r="C14577" s="7" t="n">
        <v>3</v>
      </c>
      <c r="D14577" s="7" t="n">
        <v>8</v>
      </c>
      <c r="E14577" s="7" t="s">
        <v>86</v>
      </c>
      <c r="F14577" s="7" t="s">
        <v>79</v>
      </c>
      <c r="G14577" s="7" t="s">
        <v>78</v>
      </c>
      <c r="H14577" s="7" t="s">
        <v>79</v>
      </c>
    </row>
    <row r="14578" spans="1:13">
      <c r="A14578" t="s">
        <v>4</v>
      </c>
      <c r="B14578" s="4" t="s">
        <v>5</v>
      </c>
      <c r="C14578" s="4" t="s">
        <v>11</v>
      </c>
      <c r="D14578" s="4" t="s">
        <v>7</v>
      </c>
      <c r="E14578" s="4" t="s">
        <v>13</v>
      </c>
      <c r="F14578" s="4" t="s">
        <v>11</v>
      </c>
    </row>
    <row r="14579" spans="1:13">
      <c r="A14579" t="n">
        <v>137311</v>
      </c>
      <c r="B14579" s="56" t="n">
        <v>59</v>
      </c>
      <c r="C14579" s="7" t="n">
        <v>8</v>
      </c>
      <c r="D14579" s="7" t="n">
        <v>9</v>
      </c>
      <c r="E14579" s="7" t="n">
        <v>0.150000005960464</v>
      </c>
      <c r="F14579" s="7" t="n">
        <v>0</v>
      </c>
    </row>
    <row r="14580" spans="1:13">
      <c r="A14580" t="s">
        <v>4</v>
      </c>
      <c r="B14580" s="4" t="s">
        <v>5</v>
      </c>
      <c r="C14580" s="4" t="s">
        <v>11</v>
      </c>
    </row>
    <row r="14581" spans="1:13">
      <c r="A14581" t="n">
        <v>137321</v>
      </c>
      <c r="B14581" s="29" t="n">
        <v>16</v>
      </c>
      <c r="C14581" s="7" t="n">
        <v>1800</v>
      </c>
    </row>
    <row r="14582" spans="1:13">
      <c r="A14582" t="s">
        <v>4</v>
      </c>
      <c r="B14582" s="4" t="s">
        <v>5</v>
      </c>
      <c r="C14582" s="4" t="s">
        <v>7</v>
      </c>
      <c r="D14582" s="4" t="s">
        <v>11</v>
      </c>
      <c r="E14582" s="4" t="s">
        <v>13</v>
      </c>
    </row>
    <row r="14583" spans="1:13">
      <c r="A14583" t="n">
        <v>137324</v>
      </c>
      <c r="B14583" s="23" t="n">
        <v>58</v>
      </c>
      <c r="C14583" s="7" t="n">
        <v>101</v>
      </c>
      <c r="D14583" s="7" t="n">
        <v>800</v>
      </c>
      <c r="E14583" s="7" t="n">
        <v>1</v>
      </c>
    </row>
    <row r="14584" spans="1:13">
      <c r="A14584" t="s">
        <v>4</v>
      </c>
      <c r="B14584" s="4" t="s">
        <v>5</v>
      </c>
      <c r="C14584" s="4" t="s">
        <v>7</v>
      </c>
      <c r="D14584" s="4" t="s">
        <v>11</v>
      </c>
    </row>
    <row r="14585" spans="1:13">
      <c r="A14585" t="n">
        <v>137332</v>
      </c>
      <c r="B14585" s="23" t="n">
        <v>58</v>
      </c>
      <c r="C14585" s="7" t="n">
        <v>254</v>
      </c>
      <c r="D14585" s="7" t="n">
        <v>0</v>
      </c>
    </row>
    <row r="14586" spans="1:13">
      <c r="A14586" t="s">
        <v>4</v>
      </c>
      <c r="B14586" s="4" t="s">
        <v>5</v>
      </c>
      <c r="C14586" s="4" t="s">
        <v>7</v>
      </c>
      <c r="D14586" s="4" t="s">
        <v>7</v>
      </c>
      <c r="E14586" s="4" t="s">
        <v>13</v>
      </c>
      <c r="F14586" s="4" t="s">
        <v>13</v>
      </c>
      <c r="G14586" s="4" t="s">
        <v>13</v>
      </c>
      <c r="H14586" s="4" t="s">
        <v>11</v>
      </c>
    </row>
    <row r="14587" spans="1:13">
      <c r="A14587" t="n">
        <v>137336</v>
      </c>
      <c r="B14587" s="51" t="n">
        <v>45</v>
      </c>
      <c r="C14587" s="7" t="n">
        <v>2</v>
      </c>
      <c r="D14587" s="7" t="n">
        <v>3</v>
      </c>
      <c r="E14587" s="7" t="n">
        <v>-7.36999988555908</v>
      </c>
      <c r="F14587" s="7" t="n">
        <v>6.59999990463257</v>
      </c>
      <c r="G14587" s="7" t="n">
        <v>29.8299999237061</v>
      </c>
      <c r="H14587" s="7" t="n">
        <v>0</v>
      </c>
    </row>
    <row r="14588" spans="1:13">
      <c r="A14588" t="s">
        <v>4</v>
      </c>
      <c r="B14588" s="4" t="s">
        <v>5</v>
      </c>
      <c r="C14588" s="4" t="s">
        <v>7</v>
      </c>
      <c r="D14588" s="4" t="s">
        <v>7</v>
      </c>
      <c r="E14588" s="4" t="s">
        <v>13</v>
      </c>
      <c r="F14588" s="4" t="s">
        <v>13</v>
      </c>
      <c r="G14588" s="4" t="s">
        <v>13</v>
      </c>
      <c r="H14588" s="4" t="s">
        <v>11</v>
      </c>
      <c r="I14588" s="4" t="s">
        <v>7</v>
      </c>
    </row>
    <row r="14589" spans="1:13">
      <c r="A14589" t="n">
        <v>137353</v>
      </c>
      <c r="B14589" s="51" t="n">
        <v>45</v>
      </c>
      <c r="C14589" s="7" t="n">
        <v>4</v>
      </c>
      <c r="D14589" s="7" t="n">
        <v>3</v>
      </c>
      <c r="E14589" s="7" t="n">
        <v>6.59999990463257</v>
      </c>
      <c r="F14589" s="7" t="n">
        <v>64.2200012207031</v>
      </c>
      <c r="G14589" s="7" t="n">
        <v>356</v>
      </c>
      <c r="H14589" s="7" t="n">
        <v>0</v>
      </c>
      <c r="I14589" s="7" t="n">
        <v>0</v>
      </c>
    </row>
    <row r="14590" spans="1:13">
      <c r="A14590" t="s">
        <v>4</v>
      </c>
      <c r="B14590" s="4" t="s">
        <v>5</v>
      </c>
      <c r="C14590" s="4" t="s">
        <v>7</v>
      </c>
      <c r="D14590" s="4" t="s">
        <v>7</v>
      </c>
      <c r="E14590" s="4" t="s">
        <v>13</v>
      </c>
      <c r="F14590" s="4" t="s">
        <v>11</v>
      </c>
    </row>
    <row r="14591" spans="1:13">
      <c r="A14591" t="n">
        <v>137371</v>
      </c>
      <c r="B14591" s="51" t="n">
        <v>45</v>
      </c>
      <c r="C14591" s="7" t="n">
        <v>5</v>
      </c>
      <c r="D14591" s="7" t="n">
        <v>3</v>
      </c>
      <c r="E14591" s="7" t="n">
        <v>0.800000011920929</v>
      </c>
      <c r="F14591" s="7" t="n">
        <v>0</v>
      </c>
    </row>
    <row r="14592" spans="1:13">
      <c r="A14592" t="s">
        <v>4</v>
      </c>
      <c r="B14592" s="4" t="s">
        <v>5</v>
      </c>
      <c r="C14592" s="4" t="s">
        <v>7</v>
      </c>
      <c r="D14592" s="4" t="s">
        <v>7</v>
      </c>
      <c r="E14592" s="4" t="s">
        <v>13</v>
      </c>
      <c r="F14592" s="4" t="s">
        <v>11</v>
      </c>
    </row>
    <row r="14593" spans="1:9">
      <c r="A14593" t="n">
        <v>137380</v>
      </c>
      <c r="B14593" s="51" t="n">
        <v>45</v>
      </c>
      <c r="C14593" s="7" t="n">
        <v>11</v>
      </c>
      <c r="D14593" s="7" t="n">
        <v>3</v>
      </c>
      <c r="E14593" s="7" t="n">
        <v>40.2999992370605</v>
      </c>
      <c r="F14593" s="7" t="n">
        <v>0</v>
      </c>
    </row>
    <row r="14594" spans="1:9">
      <c r="A14594" t="s">
        <v>4</v>
      </c>
      <c r="B14594" s="4" t="s">
        <v>5</v>
      </c>
      <c r="C14594" s="4" t="s">
        <v>7</v>
      </c>
    </row>
    <row r="14595" spans="1:9">
      <c r="A14595" t="n">
        <v>137389</v>
      </c>
      <c r="B14595" s="49" t="n">
        <v>116</v>
      </c>
      <c r="C14595" s="7" t="n">
        <v>0</v>
      </c>
    </row>
    <row r="14596" spans="1:9">
      <c r="A14596" t="s">
        <v>4</v>
      </c>
      <c r="B14596" s="4" t="s">
        <v>5</v>
      </c>
      <c r="C14596" s="4" t="s">
        <v>7</v>
      </c>
      <c r="D14596" s="4" t="s">
        <v>11</v>
      </c>
    </row>
    <row r="14597" spans="1:9">
      <c r="A14597" t="n">
        <v>137391</v>
      </c>
      <c r="B14597" s="49" t="n">
        <v>116</v>
      </c>
      <c r="C14597" s="7" t="n">
        <v>2</v>
      </c>
      <c r="D14597" s="7" t="n">
        <v>1</v>
      </c>
    </row>
    <row r="14598" spans="1:9">
      <c r="A14598" t="s">
        <v>4</v>
      </c>
      <c r="B14598" s="4" t="s">
        <v>5</v>
      </c>
      <c r="C14598" s="4" t="s">
        <v>7</v>
      </c>
      <c r="D14598" s="4" t="s">
        <v>15</v>
      </c>
    </row>
    <row r="14599" spans="1:9">
      <c r="A14599" t="n">
        <v>137395</v>
      </c>
      <c r="B14599" s="49" t="n">
        <v>116</v>
      </c>
      <c r="C14599" s="7" t="n">
        <v>5</v>
      </c>
      <c r="D14599" s="7" t="n">
        <v>1077936128</v>
      </c>
    </row>
    <row r="14600" spans="1:9">
      <c r="A14600" t="s">
        <v>4</v>
      </c>
      <c r="B14600" s="4" t="s">
        <v>5</v>
      </c>
      <c r="C14600" s="4" t="s">
        <v>7</v>
      </c>
      <c r="D14600" s="4" t="s">
        <v>11</v>
      </c>
    </row>
    <row r="14601" spans="1:9">
      <c r="A14601" t="n">
        <v>137401</v>
      </c>
      <c r="B14601" s="49" t="n">
        <v>116</v>
      </c>
      <c r="C14601" s="7" t="n">
        <v>6</v>
      </c>
      <c r="D14601" s="7" t="n">
        <v>1</v>
      </c>
    </row>
    <row r="14602" spans="1:9">
      <c r="A14602" t="s">
        <v>4</v>
      </c>
      <c r="B14602" s="4" t="s">
        <v>5</v>
      </c>
      <c r="C14602" s="4" t="s">
        <v>7</v>
      </c>
      <c r="D14602" s="4" t="s">
        <v>11</v>
      </c>
      <c r="E14602" s="4" t="s">
        <v>8</v>
      </c>
      <c r="F14602" s="4" t="s">
        <v>8</v>
      </c>
      <c r="G14602" s="4" t="s">
        <v>8</v>
      </c>
      <c r="H14602" s="4" t="s">
        <v>8</v>
      </c>
    </row>
    <row r="14603" spans="1:9">
      <c r="A14603" t="n">
        <v>137405</v>
      </c>
      <c r="B14603" s="38" t="n">
        <v>51</v>
      </c>
      <c r="C14603" s="7" t="n">
        <v>3</v>
      </c>
      <c r="D14603" s="7" t="n">
        <v>8</v>
      </c>
      <c r="E14603" s="7" t="s">
        <v>86</v>
      </c>
      <c r="F14603" s="7" t="s">
        <v>79</v>
      </c>
      <c r="G14603" s="7" t="s">
        <v>78</v>
      </c>
      <c r="H14603" s="7" t="s">
        <v>79</v>
      </c>
    </row>
    <row r="14604" spans="1:9">
      <c r="A14604" t="s">
        <v>4</v>
      </c>
      <c r="B14604" s="4" t="s">
        <v>5</v>
      </c>
      <c r="C14604" s="4" t="s">
        <v>11</v>
      </c>
      <c r="D14604" s="4" t="s">
        <v>11</v>
      </c>
      <c r="E14604" s="4" t="s">
        <v>13</v>
      </c>
      <c r="F14604" s="4" t="s">
        <v>7</v>
      </c>
    </row>
    <row r="14605" spans="1:9">
      <c r="A14605" t="n">
        <v>137418</v>
      </c>
      <c r="B14605" s="73" t="n">
        <v>53</v>
      </c>
      <c r="C14605" s="7" t="n">
        <v>0</v>
      </c>
      <c r="D14605" s="7" t="n">
        <v>8</v>
      </c>
      <c r="E14605" s="7" t="n">
        <v>0</v>
      </c>
      <c r="F14605" s="7" t="n">
        <v>0</v>
      </c>
    </row>
    <row r="14606" spans="1:9">
      <c r="A14606" t="s">
        <v>4</v>
      </c>
      <c r="B14606" s="4" t="s">
        <v>5</v>
      </c>
      <c r="C14606" s="4" t="s">
        <v>7</v>
      </c>
      <c r="D14606" s="4" t="s">
        <v>11</v>
      </c>
    </row>
    <row r="14607" spans="1:9">
      <c r="A14607" t="n">
        <v>137428</v>
      </c>
      <c r="B14607" s="23" t="n">
        <v>58</v>
      </c>
      <c r="C14607" s="7" t="n">
        <v>255</v>
      </c>
      <c r="D14607" s="7" t="n">
        <v>0</v>
      </c>
    </row>
    <row r="14608" spans="1:9">
      <c r="A14608" t="s">
        <v>4</v>
      </c>
      <c r="B14608" s="4" t="s">
        <v>5</v>
      </c>
      <c r="C14608" s="4" t="s">
        <v>11</v>
      </c>
      <c r="D14608" s="4" t="s">
        <v>11</v>
      </c>
      <c r="E14608" s="4" t="s">
        <v>13</v>
      </c>
      <c r="F14608" s="4" t="s">
        <v>7</v>
      </c>
    </row>
    <row r="14609" spans="1:8">
      <c r="A14609" t="n">
        <v>137432</v>
      </c>
      <c r="B14609" s="73" t="n">
        <v>53</v>
      </c>
      <c r="C14609" s="7" t="n">
        <v>8</v>
      </c>
      <c r="D14609" s="7" t="n">
        <v>0</v>
      </c>
      <c r="E14609" s="7" t="n">
        <v>5</v>
      </c>
      <c r="F14609" s="7" t="n">
        <v>0</v>
      </c>
    </row>
    <row r="14610" spans="1:8">
      <c r="A14610" t="s">
        <v>4</v>
      </c>
      <c r="B14610" s="4" t="s">
        <v>5</v>
      </c>
      <c r="C14610" s="4" t="s">
        <v>11</v>
      </c>
    </row>
    <row r="14611" spans="1:8">
      <c r="A14611" t="n">
        <v>137442</v>
      </c>
      <c r="B14611" s="66" t="n">
        <v>54</v>
      </c>
      <c r="C14611" s="7" t="n">
        <v>8</v>
      </c>
    </row>
    <row r="14612" spans="1:8">
      <c r="A14612" t="s">
        <v>4</v>
      </c>
      <c r="B14612" s="4" t="s">
        <v>5</v>
      </c>
      <c r="C14612" s="4" t="s">
        <v>7</v>
      </c>
      <c r="D14612" s="4" t="s">
        <v>7</v>
      </c>
    </row>
    <row r="14613" spans="1:8">
      <c r="A14613" t="n">
        <v>137445</v>
      </c>
      <c r="B14613" s="13" t="n">
        <v>49</v>
      </c>
      <c r="C14613" s="7" t="n">
        <v>2</v>
      </c>
      <c r="D14613" s="7" t="n">
        <v>0</v>
      </c>
    </row>
    <row r="14614" spans="1:8">
      <c r="A14614" t="s">
        <v>4</v>
      </c>
      <c r="B14614" s="4" t="s">
        <v>5</v>
      </c>
      <c r="C14614" s="4" t="s">
        <v>7</v>
      </c>
      <c r="D14614" s="4" t="s">
        <v>11</v>
      </c>
      <c r="E14614" s="4" t="s">
        <v>15</v>
      </c>
      <c r="F14614" s="4" t="s">
        <v>11</v>
      </c>
      <c r="G14614" s="4" t="s">
        <v>15</v>
      </c>
      <c r="H14614" s="4" t="s">
        <v>7</v>
      </c>
    </row>
    <row r="14615" spans="1:8">
      <c r="A14615" t="n">
        <v>137448</v>
      </c>
      <c r="B14615" s="13" t="n">
        <v>49</v>
      </c>
      <c r="C14615" s="7" t="n">
        <v>0</v>
      </c>
      <c r="D14615" s="7" t="n">
        <v>551</v>
      </c>
      <c r="E14615" s="7" t="n">
        <v>1061997773</v>
      </c>
      <c r="F14615" s="7" t="n">
        <v>0</v>
      </c>
      <c r="G14615" s="7" t="n">
        <v>0</v>
      </c>
      <c r="H14615" s="7" t="n">
        <v>0</v>
      </c>
    </row>
    <row r="14616" spans="1:8">
      <c r="A14616" t="s">
        <v>4</v>
      </c>
      <c r="B14616" s="4" t="s">
        <v>5</v>
      </c>
      <c r="C14616" s="4" t="s">
        <v>7</v>
      </c>
      <c r="D14616" s="4" t="s">
        <v>11</v>
      </c>
    </row>
    <row r="14617" spans="1:8">
      <c r="A14617" t="n">
        <v>137463</v>
      </c>
      <c r="B14617" s="13" t="n">
        <v>49</v>
      </c>
      <c r="C14617" s="7" t="n">
        <v>6</v>
      </c>
      <c r="D14617" s="7" t="n">
        <v>551</v>
      </c>
    </row>
    <row r="14618" spans="1:8">
      <c r="A14618" t="s">
        <v>4</v>
      </c>
      <c r="B14618" s="4" t="s">
        <v>5</v>
      </c>
      <c r="C14618" s="4" t="s">
        <v>11</v>
      </c>
    </row>
    <row r="14619" spans="1:8">
      <c r="A14619" t="n">
        <v>137467</v>
      </c>
      <c r="B14619" s="29" t="n">
        <v>16</v>
      </c>
      <c r="C14619" s="7" t="n">
        <v>500</v>
      </c>
    </row>
    <row r="14620" spans="1:8">
      <c r="A14620" t="s">
        <v>4</v>
      </c>
      <c r="B14620" s="4" t="s">
        <v>5</v>
      </c>
      <c r="C14620" s="4" t="s">
        <v>7</v>
      </c>
      <c r="D14620" s="4" t="s">
        <v>11</v>
      </c>
      <c r="E14620" s="4" t="s">
        <v>8</v>
      </c>
    </row>
    <row r="14621" spans="1:8">
      <c r="A14621" t="n">
        <v>137470</v>
      </c>
      <c r="B14621" s="38" t="n">
        <v>51</v>
      </c>
      <c r="C14621" s="7" t="n">
        <v>4</v>
      </c>
      <c r="D14621" s="7" t="n">
        <v>8</v>
      </c>
      <c r="E14621" s="7" t="s">
        <v>242</v>
      </c>
    </row>
    <row r="14622" spans="1:8">
      <c r="A14622" t="s">
        <v>4</v>
      </c>
      <c r="B14622" s="4" t="s">
        <v>5</v>
      </c>
      <c r="C14622" s="4" t="s">
        <v>11</v>
      </c>
    </row>
    <row r="14623" spans="1:8">
      <c r="A14623" t="n">
        <v>137484</v>
      </c>
      <c r="B14623" s="29" t="n">
        <v>16</v>
      </c>
      <c r="C14623" s="7" t="n">
        <v>0</v>
      </c>
    </row>
    <row r="14624" spans="1:8">
      <c r="A14624" t="s">
        <v>4</v>
      </c>
      <c r="B14624" s="4" t="s">
        <v>5</v>
      </c>
      <c r="C14624" s="4" t="s">
        <v>11</v>
      </c>
      <c r="D14624" s="4" t="s">
        <v>7</v>
      </c>
      <c r="E14624" s="4" t="s">
        <v>15</v>
      </c>
      <c r="F14624" s="4" t="s">
        <v>55</v>
      </c>
      <c r="G14624" s="4" t="s">
        <v>7</v>
      </c>
      <c r="H14624" s="4" t="s">
        <v>7</v>
      </c>
      <c r="I14624" s="4" t="s">
        <v>7</v>
      </c>
      <c r="J14624" s="4" t="s">
        <v>15</v>
      </c>
      <c r="K14624" s="4" t="s">
        <v>55</v>
      </c>
      <c r="L14624" s="4" t="s">
        <v>7</v>
      </c>
      <c r="M14624" s="4" t="s">
        <v>7</v>
      </c>
      <c r="N14624" s="4" t="s">
        <v>7</v>
      </c>
      <c r="O14624" s="4" t="s">
        <v>15</v>
      </c>
      <c r="P14624" s="4" t="s">
        <v>55</v>
      </c>
      <c r="Q14624" s="4" t="s">
        <v>7</v>
      </c>
      <c r="R14624" s="4" t="s">
        <v>7</v>
      </c>
    </row>
    <row r="14625" spans="1:18">
      <c r="A14625" t="n">
        <v>137487</v>
      </c>
      <c r="B14625" s="55" t="n">
        <v>26</v>
      </c>
      <c r="C14625" s="7" t="n">
        <v>8</v>
      </c>
      <c r="D14625" s="7" t="n">
        <v>17</v>
      </c>
      <c r="E14625" s="7" t="n">
        <v>9800</v>
      </c>
      <c r="F14625" s="7" t="s">
        <v>1151</v>
      </c>
      <c r="G14625" s="7" t="n">
        <v>2</v>
      </c>
      <c r="H14625" s="7" t="n">
        <v>3</v>
      </c>
      <c r="I14625" s="7" t="n">
        <v>17</v>
      </c>
      <c r="J14625" s="7" t="n">
        <v>9801</v>
      </c>
      <c r="K14625" s="7" t="s">
        <v>1152</v>
      </c>
      <c r="L14625" s="7" t="n">
        <v>2</v>
      </c>
      <c r="M14625" s="7" t="n">
        <v>3</v>
      </c>
      <c r="N14625" s="7" t="n">
        <v>17</v>
      </c>
      <c r="O14625" s="7" t="n">
        <v>9802</v>
      </c>
      <c r="P14625" s="7" t="s">
        <v>1153</v>
      </c>
      <c r="Q14625" s="7" t="n">
        <v>2</v>
      </c>
      <c r="R14625" s="7" t="n">
        <v>0</v>
      </c>
    </row>
    <row r="14626" spans="1:18">
      <c r="A14626" t="s">
        <v>4</v>
      </c>
      <c r="B14626" s="4" t="s">
        <v>5</v>
      </c>
    </row>
    <row r="14627" spans="1:18">
      <c r="A14627" t="n">
        <v>137869</v>
      </c>
      <c r="B14627" s="27" t="n">
        <v>28</v>
      </c>
    </row>
    <row r="14628" spans="1:18">
      <c r="A14628" t="s">
        <v>4</v>
      </c>
      <c r="B14628" s="4" t="s">
        <v>5</v>
      </c>
      <c r="C14628" s="4" t="s">
        <v>7</v>
      </c>
      <c r="D14628" s="4" t="s">
        <v>11</v>
      </c>
      <c r="E14628" s="4" t="s">
        <v>8</v>
      </c>
    </row>
    <row r="14629" spans="1:18">
      <c r="A14629" t="n">
        <v>137870</v>
      </c>
      <c r="B14629" s="38" t="n">
        <v>51</v>
      </c>
      <c r="C14629" s="7" t="n">
        <v>4</v>
      </c>
      <c r="D14629" s="7" t="n">
        <v>0</v>
      </c>
      <c r="E14629" s="7" t="s">
        <v>242</v>
      </c>
    </row>
    <row r="14630" spans="1:18">
      <c r="A14630" t="s">
        <v>4</v>
      </c>
      <c r="B14630" s="4" t="s">
        <v>5</v>
      </c>
      <c r="C14630" s="4" t="s">
        <v>11</v>
      </c>
    </row>
    <row r="14631" spans="1:18">
      <c r="A14631" t="n">
        <v>137884</v>
      </c>
      <c r="B14631" s="29" t="n">
        <v>16</v>
      </c>
      <c r="C14631" s="7" t="n">
        <v>0</v>
      </c>
    </row>
    <row r="14632" spans="1:18">
      <c r="A14632" t="s">
        <v>4</v>
      </c>
      <c r="B14632" s="4" t="s">
        <v>5</v>
      </c>
      <c r="C14632" s="4" t="s">
        <v>11</v>
      </c>
      <c r="D14632" s="4" t="s">
        <v>7</v>
      </c>
      <c r="E14632" s="4" t="s">
        <v>15</v>
      </c>
      <c r="F14632" s="4" t="s">
        <v>55</v>
      </c>
      <c r="G14632" s="4" t="s">
        <v>7</v>
      </c>
      <c r="H14632" s="4" t="s">
        <v>7</v>
      </c>
    </row>
    <row r="14633" spans="1:18">
      <c r="A14633" t="n">
        <v>137887</v>
      </c>
      <c r="B14633" s="55" t="n">
        <v>26</v>
      </c>
      <c r="C14633" s="7" t="n">
        <v>0</v>
      </c>
      <c r="D14633" s="7" t="n">
        <v>17</v>
      </c>
      <c r="E14633" s="7" t="n">
        <v>64230</v>
      </c>
      <c r="F14633" s="7" t="s">
        <v>1154</v>
      </c>
      <c r="G14633" s="7" t="n">
        <v>2</v>
      </c>
      <c r="H14633" s="7" t="n">
        <v>0</v>
      </c>
    </row>
    <row r="14634" spans="1:18">
      <c r="A14634" t="s">
        <v>4</v>
      </c>
      <c r="B14634" s="4" t="s">
        <v>5</v>
      </c>
    </row>
    <row r="14635" spans="1:18">
      <c r="A14635" t="n">
        <v>137972</v>
      </c>
      <c r="B14635" s="27" t="n">
        <v>28</v>
      </c>
    </row>
    <row r="14636" spans="1:18">
      <c r="A14636" t="s">
        <v>4</v>
      </c>
      <c r="B14636" s="4" t="s">
        <v>5</v>
      </c>
      <c r="C14636" s="4" t="s">
        <v>7</v>
      </c>
      <c r="D14636" s="4" t="s">
        <v>11</v>
      </c>
      <c r="E14636" s="4" t="s">
        <v>8</v>
      </c>
    </row>
    <row r="14637" spans="1:18">
      <c r="A14637" t="n">
        <v>137973</v>
      </c>
      <c r="B14637" s="38" t="n">
        <v>51</v>
      </c>
      <c r="C14637" s="7" t="n">
        <v>4</v>
      </c>
      <c r="D14637" s="7" t="n">
        <v>8</v>
      </c>
      <c r="E14637" s="7" t="s">
        <v>242</v>
      </c>
    </row>
    <row r="14638" spans="1:18">
      <c r="A14638" t="s">
        <v>4</v>
      </c>
      <c r="B14638" s="4" t="s">
        <v>5</v>
      </c>
      <c r="C14638" s="4" t="s">
        <v>11</v>
      </c>
    </row>
    <row r="14639" spans="1:18">
      <c r="A14639" t="n">
        <v>137987</v>
      </c>
      <c r="B14639" s="29" t="n">
        <v>16</v>
      </c>
      <c r="C14639" s="7" t="n">
        <v>0</v>
      </c>
    </row>
    <row r="14640" spans="1:18">
      <c r="A14640" t="s">
        <v>4</v>
      </c>
      <c r="B14640" s="4" t="s">
        <v>5</v>
      </c>
      <c r="C14640" s="4" t="s">
        <v>11</v>
      </c>
      <c r="D14640" s="4" t="s">
        <v>7</v>
      </c>
      <c r="E14640" s="4" t="s">
        <v>15</v>
      </c>
      <c r="F14640" s="4" t="s">
        <v>55</v>
      </c>
      <c r="G14640" s="4" t="s">
        <v>7</v>
      </c>
      <c r="H14640" s="4" t="s">
        <v>7</v>
      </c>
      <c r="I14640" s="4" t="s">
        <v>7</v>
      </c>
      <c r="J14640" s="4" t="s">
        <v>15</v>
      </c>
      <c r="K14640" s="4" t="s">
        <v>55</v>
      </c>
      <c r="L14640" s="4" t="s">
        <v>7</v>
      </c>
      <c r="M14640" s="4" t="s">
        <v>7</v>
      </c>
      <c r="N14640" s="4" t="s">
        <v>7</v>
      </c>
      <c r="O14640" s="4" t="s">
        <v>15</v>
      </c>
      <c r="P14640" s="4" t="s">
        <v>55</v>
      </c>
      <c r="Q14640" s="4" t="s">
        <v>7</v>
      </c>
      <c r="R14640" s="4" t="s">
        <v>7</v>
      </c>
      <c r="S14640" s="4" t="s">
        <v>7</v>
      </c>
      <c r="T14640" s="4" t="s">
        <v>15</v>
      </c>
      <c r="U14640" s="4" t="s">
        <v>55</v>
      </c>
      <c r="V14640" s="4" t="s">
        <v>7</v>
      </c>
      <c r="W14640" s="4" t="s">
        <v>7</v>
      </c>
    </row>
    <row r="14641" spans="1:23">
      <c r="A14641" t="n">
        <v>137990</v>
      </c>
      <c r="B14641" s="55" t="n">
        <v>26</v>
      </c>
      <c r="C14641" s="7" t="n">
        <v>8</v>
      </c>
      <c r="D14641" s="7" t="n">
        <v>17</v>
      </c>
      <c r="E14641" s="7" t="n">
        <v>9803</v>
      </c>
      <c r="F14641" s="7" t="s">
        <v>1155</v>
      </c>
      <c r="G14641" s="7" t="n">
        <v>2</v>
      </c>
      <c r="H14641" s="7" t="n">
        <v>3</v>
      </c>
      <c r="I14641" s="7" t="n">
        <v>17</v>
      </c>
      <c r="J14641" s="7" t="n">
        <v>9804</v>
      </c>
      <c r="K14641" s="7" t="s">
        <v>1156</v>
      </c>
      <c r="L14641" s="7" t="n">
        <v>2</v>
      </c>
      <c r="M14641" s="7" t="n">
        <v>3</v>
      </c>
      <c r="N14641" s="7" t="n">
        <v>17</v>
      </c>
      <c r="O14641" s="7" t="n">
        <v>9805</v>
      </c>
      <c r="P14641" s="7" t="s">
        <v>1157</v>
      </c>
      <c r="Q14641" s="7" t="n">
        <v>2</v>
      </c>
      <c r="R14641" s="7" t="n">
        <v>3</v>
      </c>
      <c r="S14641" s="7" t="n">
        <v>17</v>
      </c>
      <c r="T14641" s="7" t="n">
        <v>9806</v>
      </c>
      <c r="U14641" s="7" t="s">
        <v>1158</v>
      </c>
      <c r="V14641" s="7" t="n">
        <v>2</v>
      </c>
      <c r="W14641" s="7" t="n">
        <v>0</v>
      </c>
    </row>
    <row r="14642" spans="1:23">
      <c r="A14642" t="s">
        <v>4</v>
      </c>
      <c r="B14642" s="4" t="s">
        <v>5</v>
      </c>
    </row>
    <row r="14643" spans="1:23">
      <c r="A14643" t="n">
        <v>138479</v>
      </c>
      <c r="B14643" s="27" t="n">
        <v>28</v>
      </c>
    </row>
    <row r="14644" spans="1:23">
      <c r="A14644" t="s">
        <v>4</v>
      </c>
      <c r="B14644" s="4" t="s">
        <v>5</v>
      </c>
      <c r="C14644" s="4" t="s">
        <v>11</v>
      </c>
      <c r="D14644" s="4" t="s">
        <v>7</v>
      </c>
    </row>
    <row r="14645" spans="1:23">
      <c r="A14645" t="n">
        <v>138480</v>
      </c>
      <c r="B14645" s="68" t="n">
        <v>89</v>
      </c>
      <c r="C14645" s="7" t="n">
        <v>65533</v>
      </c>
      <c r="D14645" s="7" t="n">
        <v>1</v>
      </c>
    </row>
    <row r="14646" spans="1:23">
      <c r="A14646" t="s">
        <v>4</v>
      </c>
      <c r="B14646" s="4" t="s">
        <v>5</v>
      </c>
      <c r="C14646" s="4" t="s">
        <v>7</v>
      </c>
      <c r="D14646" s="4" t="s">
        <v>11</v>
      </c>
      <c r="E14646" s="4" t="s">
        <v>13</v>
      </c>
    </row>
    <row r="14647" spans="1:23">
      <c r="A14647" t="n">
        <v>138484</v>
      </c>
      <c r="B14647" s="23" t="n">
        <v>58</v>
      </c>
      <c r="C14647" s="7" t="n">
        <v>101</v>
      </c>
      <c r="D14647" s="7" t="n">
        <v>500</v>
      </c>
      <c r="E14647" s="7" t="n">
        <v>1</v>
      </c>
    </row>
    <row r="14648" spans="1:23">
      <c r="A14648" t="s">
        <v>4</v>
      </c>
      <c r="B14648" s="4" t="s">
        <v>5</v>
      </c>
      <c r="C14648" s="4" t="s">
        <v>7</v>
      </c>
      <c r="D14648" s="4" t="s">
        <v>11</v>
      </c>
    </row>
    <row r="14649" spans="1:23">
      <c r="A14649" t="n">
        <v>138492</v>
      </c>
      <c r="B14649" s="23" t="n">
        <v>58</v>
      </c>
      <c r="C14649" s="7" t="n">
        <v>254</v>
      </c>
      <c r="D14649" s="7" t="n">
        <v>0</v>
      </c>
    </row>
    <row r="14650" spans="1:23">
      <c r="A14650" t="s">
        <v>4</v>
      </c>
      <c r="B14650" s="4" t="s">
        <v>5</v>
      </c>
      <c r="C14650" s="4" t="s">
        <v>7</v>
      </c>
      <c r="D14650" s="4" t="s">
        <v>7</v>
      </c>
      <c r="E14650" s="4" t="s">
        <v>13</v>
      </c>
      <c r="F14650" s="4" t="s">
        <v>13</v>
      </c>
      <c r="G14650" s="4" t="s">
        <v>13</v>
      </c>
      <c r="H14650" s="4" t="s">
        <v>11</v>
      </c>
    </row>
    <row r="14651" spans="1:23">
      <c r="A14651" t="n">
        <v>138496</v>
      </c>
      <c r="B14651" s="51" t="n">
        <v>45</v>
      </c>
      <c r="C14651" s="7" t="n">
        <v>2</v>
      </c>
      <c r="D14651" s="7" t="n">
        <v>3</v>
      </c>
      <c r="E14651" s="7" t="n">
        <v>-6.8899998664856</v>
      </c>
      <c r="F14651" s="7" t="n">
        <v>6.5</v>
      </c>
      <c r="G14651" s="7" t="n">
        <v>29.9400005340576</v>
      </c>
      <c r="H14651" s="7" t="n">
        <v>0</v>
      </c>
    </row>
    <row r="14652" spans="1:23">
      <c r="A14652" t="s">
        <v>4</v>
      </c>
      <c r="B14652" s="4" t="s">
        <v>5</v>
      </c>
      <c r="C14652" s="4" t="s">
        <v>7</v>
      </c>
      <c r="D14652" s="4" t="s">
        <v>7</v>
      </c>
      <c r="E14652" s="4" t="s">
        <v>13</v>
      </c>
      <c r="F14652" s="4" t="s">
        <v>13</v>
      </c>
      <c r="G14652" s="4" t="s">
        <v>13</v>
      </c>
      <c r="H14652" s="4" t="s">
        <v>11</v>
      </c>
      <c r="I14652" s="4" t="s">
        <v>7</v>
      </c>
    </row>
    <row r="14653" spans="1:23">
      <c r="A14653" t="n">
        <v>138513</v>
      </c>
      <c r="B14653" s="51" t="n">
        <v>45</v>
      </c>
      <c r="C14653" s="7" t="n">
        <v>4</v>
      </c>
      <c r="D14653" s="7" t="n">
        <v>3</v>
      </c>
      <c r="E14653" s="7" t="n">
        <v>355.829986572266</v>
      </c>
      <c r="F14653" s="7" t="n">
        <v>50.6699981689453</v>
      </c>
      <c r="G14653" s="7" t="n">
        <v>8</v>
      </c>
      <c r="H14653" s="7" t="n">
        <v>0</v>
      </c>
      <c r="I14653" s="7" t="n">
        <v>0</v>
      </c>
    </row>
    <row r="14654" spans="1:23">
      <c r="A14654" t="s">
        <v>4</v>
      </c>
      <c r="B14654" s="4" t="s">
        <v>5</v>
      </c>
      <c r="C14654" s="4" t="s">
        <v>7</v>
      </c>
      <c r="D14654" s="4" t="s">
        <v>7</v>
      </c>
      <c r="E14654" s="4" t="s">
        <v>13</v>
      </c>
      <c r="F14654" s="4" t="s">
        <v>11</v>
      </c>
    </row>
    <row r="14655" spans="1:23">
      <c r="A14655" t="n">
        <v>138531</v>
      </c>
      <c r="B14655" s="51" t="n">
        <v>45</v>
      </c>
      <c r="C14655" s="7" t="n">
        <v>5</v>
      </c>
      <c r="D14655" s="7" t="n">
        <v>3</v>
      </c>
      <c r="E14655" s="7" t="n">
        <v>1.10000002384186</v>
      </c>
      <c r="F14655" s="7" t="n">
        <v>0</v>
      </c>
    </row>
    <row r="14656" spans="1:23">
      <c r="A14656" t="s">
        <v>4</v>
      </c>
      <c r="B14656" s="4" t="s">
        <v>5</v>
      </c>
      <c r="C14656" s="4" t="s">
        <v>7</v>
      </c>
      <c r="D14656" s="4" t="s">
        <v>7</v>
      </c>
      <c r="E14656" s="4" t="s">
        <v>13</v>
      </c>
      <c r="F14656" s="4" t="s">
        <v>11</v>
      </c>
    </row>
    <row r="14657" spans="1:23">
      <c r="A14657" t="n">
        <v>138540</v>
      </c>
      <c r="B14657" s="51" t="n">
        <v>45</v>
      </c>
      <c r="C14657" s="7" t="n">
        <v>11</v>
      </c>
      <c r="D14657" s="7" t="n">
        <v>3</v>
      </c>
      <c r="E14657" s="7" t="n">
        <v>40.2999992370605</v>
      </c>
      <c r="F14657" s="7" t="n">
        <v>0</v>
      </c>
    </row>
    <row r="14658" spans="1:23">
      <c r="A14658" t="s">
        <v>4</v>
      </c>
      <c r="B14658" s="4" t="s">
        <v>5</v>
      </c>
      <c r="C14658" s="4" t="s">
        <v>7</v>
      </c>
      <c r="D14658" s="4" t="s">
        <v>11</v>
      </c>
    </row>
    <row r="14659" spans="1:23">
      <c r="A14659" t="n">
        <v>138549</v>
      </c>
      <c r="B14659" s="23" t="n">
        <v>58</v>
      </c>
      <c r="C14659" s="7" t="n">
        <v>255</v>
      </c>
      <c r="D14659" s="7" t="n">
        <v>0</v>
      </c>
    </row>
    <row r="14660" spans="1:23">
      <c r="A14660" t="s">
        <v>4</v>
      </c>
      <c r="B14660" s="4" t="s">
        <v>5</v>
      </c>
      <c r="C14660" s="4" t="s">
        <v>7</v>
      </c>
      <c r="D14660" s="4" t="s">
        <v>11</v>
      </c>
      <c r="E14660" s="4" t="s">
        <v>8</v>
      </c>
    </row>
    <row r="14661" spans="1:23">
      <c r="A14661" t="n">
        <v>138553</v>
      </c>
      <c r="B14661" s="38" t="n">
        <v>51</v>
      </c>
      <c r="C14661" s="7" t="n">
        <v>4</v>
      </c>
      <c r="D14661" s="7" t="n">
        <v>0</v>
      </c>
      <c r="E14661" s="7" t="s">
        <v>147</v>
      </c>
    </row>
    <row r="14662" spans="1:23">
      <c r="A14662" t="s">
        <v>4</v>
      </c>
      <c r="B14662" s="4" t="s">
        <v>5</v>
      </c>
      <c r="C14662" s="4" t="s">
        <v>11</v>
      </c>
    </row>
    <row r="14663" spans="1:23">
      <c r="A14663" t="n">
        <v>138567</v>
      </c>
      <c r="B14663" s="29" t="n">
        <v>16</v>
      </c>
      <c r="C14663" s="7" t="n">
        <v>0</v>
      </c>
    </row>
    <row r="14664" spans="1:23">
      <c r="A14664" t="s">
        <v>4</v>
      </c>
      <c r="B14664" s="4" t="s">
        <v>5</v>
      </c>
      <c r="C14664" s="4" t="s">
        <v>11</v>
      </c>
      <c r="D14664" s="4" t="s">
        <v>7</v>
      </c>
      <c r="E14664" s="4" t="s">
        <v>15</v>
      </c>
      <c r="F14664" s="4" t="s">
        <v>55</v>
      </c>
      <c r="G14664" s="4" t="s">
        <v>7</v>
      </c>
      <c r="H14664" s="4" t="s">
        <v>7</v>
      </c>
      <c r="I14664" s="4" t="s">
        <v>7</v>
      </c>
      <c r="J14664" s="4" t="s">
        <v>15</v>
      </c>
      <c r="K14664" s="4" t="s">
        <v>55</v>
      </c>
      <c r="L14664" s="4" t="s">
        <v>7</v>
      </c>
      <c r="M14664" s="4" t="s">
        <v>7</v>
      </c>
    </row>
    <row r="14665" spans="1:23">
      <c r="A14665" t="n">
        <v>138570</v>
      </c>
      <c r="B14665" s="55" t="n">
        <v>26</v>
      </c>
      <c r="C14665" s="7" t="n">
        <v>0</v>
      </c>
      <c r="D14665" s="7" t="n">
        <v>17</v>
      </c>
      <c r="E14665" s="7" t="n">
        <v>64231</v>
      </c>
      <c r="F14665" s="7" t="s">
        <v>1159</v>
      </c>
      <c r="G14665" s="7" t="n">
        <v>2</v>
      </c>
      <c r="H14665" s="7" t="n">
        <v>3</v>
      </c>
      <c r="I14665" s="7" t="n">
        <v>17</v>
      </c>
      <c r="J14665" s="7" t="n">
        <v>64232</v>
      </c>
      <c r="K14665" s="7" t="s">
        <v>1160</v>
      </c>
      <c r="L14665" s="7" t="n">
        <v>2</v>
      </c>
      <c r="M14665" s="7" t="n">
        <v>0</v>
      </c>
    </row>
    <row r="14666" spans="1:23">
      <c r="A14666" t="s">
        <v>4</v>
      </c>
      <c r="B14666" s="4" t="s">
        <v>5</v>
      </c>
    </row>
    <row r="14667" spans="1:23">
      <c r="A14667" t="n">
        <v>138667</v>
      </c>
      <c r="B14667" s="27" t="n">
        <v>28</v>
      </c>
    </row>
    <row r="14668" spans="1:23">
      <c r="A14668" t="s">
        <v>4</v>
      </c>
      <c r="B14668" s="4" t="s">
        <v>5</v>
      </c>
      <c r="C14668" s="4" t="s">
        <v>7</v>
      </c>
      <c r="D14668" s="4" t="s">
        <v>11</v>
      </c>
      <c r="E14668" s="4" t="s">
        <v>8</v>
      </c>
    </row>
    <row r="14669" spans="1:23">
      <c r="A14669" t="n">
        <v>138668</v>
      </c>
      <c r="B14669" s="38" t="n">
        <v>51</v>
      </c>
      <c r="C14669" s="7" t="n">
        <v>4</v>
      </c>
      <c r="D14669" s="7" t="n">
        <v>8</v>
      </c>
      <c r="E14669" s="7" t="s">
        <v>147</v>
      </c>
    </row>
    <row r="14670" spans="1:23">
      <c r="A14670" t="s">
        <v>4</v>
      </c>
      <c r="B14670" s="4" t="s">
        <v>5</v>
      </c>
      <c r="C14670" s="4" t="s">
        <v>11</v>
      </c>
    </row>
    <row r="14671" spans="1:23">
      <c r="A14671" t="n">
        <v>138682</v>
      </c>
      <c r="B14671" s="29" t="n">
        <v>16</v>
      </c>
      <c r="C14671" s="7" t="n">
        <v>0</v>
      </c>
    </row>
    <row r="14672" spans="1:23">
      <c r="A14672" t="s">
        <v>4</v>
      </c>
      <c r="B14672" s="4" t="s">
        <v>5</v>
      </c>
      <c r="C14672" s="4" t="s">
        <v>11</v>
      </c>
      <c r="D14672" s="4" t="s">
        <v>7</v>
      </c>
      <c r="E14672" s="4" t="s">
        <v>15</v>
      </c>
      <c r="F14672" s="4" t="s">
        <v>55</v>
      </c>
      <c r="G14672" s="4" t="s">
        <v>7</v>
      </c>
      <c r="H14672" s="4" t="s">
        <v>7</v>
      </c>
    </row>
    <row r="14673" spans="1:13">
      <c r="A14673" t="n">
        <v>138685</v>
      </c>
      <c r="B14673" s="55" t="n">
        <v>26</v>
      </c>
      <c r="C14673" s="7" t="n">
        <v>8</v>
      </c>
      <c r="D14673" s="7" t="n">
        <v>17</v>
      </c>
      <c r="E14673" s="7" t="n">
        <v>9807</v>
      </c>
      <c r="F14673" s="7" t="s">
        <v>1161</v>
      </c>
      <c r="G14673" s="7" t="n">
        <v>2</v>
      </c>
      <c r="H14673" s="7" t="n">
        <v>0</v>
      </c>
    </row>
    <row r="14674" spans="1:13">
      <c r="A14674" t="s">
        <v>4</v>
      </c>
      <c r="B14674" s="4" t="s">
        <v>5</v>
      </c>
    </row>
    <row r="14675" spans="1:13">
      <c r="A14675" t="n">
        <v>138699</v>
      </c>
      <c r="B14675" s="27" t="n">
        <v>28</v>
      </c>
    </row>
    <row r="14676" spans="1:13">
      <c r="A14676" t="s">
        <v>4</v>
      </c>
      <c r="B14676" s="4" t="s">
        <v>5</v>
      </c>
      <c r="C14676" s="4" t="s">
        <v>11</v>
      </c>
      <c r="D14676" s="4" t="s">
        <v>7</v>
      </c>
    </row>
    <row r="14677" spans="1:13">
      <c r="A14677" t="n">
        <v>138700</v>
      </c>
      <c r="B14677" s="68" t="n">
        <v>89</v>
      </c>
      <c r="C14677" s="7" t="n">
        <v>65533</v>
      </c>
      <c r="D14677" s="7" t="n">
        <v>1</v>
      </c>
    </row>
    <row r="14678" spans="1:13">
      <c r="A14678" t="s">
        <v>4</v>
      </c>
      <c r="B14678" s="4" t="s">
        <v>5</v>
      </c>
      <c r="C14678" s="4" t="s">
        <v>7</v>
      </c>
      <c r="D14678" s="4" t="s">
        <v>11</v>
      </c>
      <c r="E14678" s="4" t="s">
        <v>13</v>
      </c>
    </row>
    <row r="14679" spans="1:13">
      <c r="A14679" t="n">
        <v>138704</v>
      </c>
      <c r="B14679" s="23" t="n">
        <v>58</v>
      </c>
      <c r="C14679" s="7" t="n">
        <v>101</v>
      </c>
      <c r="D14679" s="7" t="n">
        <v>500</v>
      </c>
      <c r="E14679" s="7" t="n">
        <v>1</v>
      </c>
    </row>
    <row r="14680" spans="1:13">
      <c r="A14680" t="s">
        <v>4</v>
      </c>
      <c r="B14680" s="4" t="s">
        <v>5</v>
      </c>
      <c r="C14680" s="4" t="s">
        <v>7</v>
      </c>
      <c r="D14680" s="4" t="s">
        <v>11</v>
      </c>
    </row>
    <row r="14681" spans="1:13">
      <c r="A14681" t="n">
        <v>138712</v>
      </c>
      <c r="B14681" s="23" t="n">
        <v>58</v>
      </c>
      <c r="C14681" s="7" t="n">
        <v>254</v>
      </c>
      <c r="D14681" s="7" t="n">
        <v>0</v>
      </c>
    </row>
    <row r="14682" spans="1:13">
      <c r="A14682" t="s">
        <v>4</v>
      </c>
      <c r="B14682" s="4" t="s">
        <v>5</v>
      </c>
      <c r="C14682" s="4" t="s">
        <v>7</v>
      </c>
      <c r="D14682" s="4" t="s">
        <v>7</v>
      </c>
      <c r="E14682" s="4" t="s">
        <v>13</v>
      </c>
      <c r="F14682" s="4" t="s">
        <v>13</v>
      </c>
      <c r="G14682" s="4" t="s">
        <v>13</v>
      </c>
      <c r="H14682" s="4" t="s">
        <v>11</v>
      </c>
    </row>
    <row r="14683" spans="1:13">
      <c r="A14683" t="n">
        <v>138716</v>
      </c>
      <c r="B14683" s="51" t="n">
        <v>45</v>
      </c>
      <c r="C14683" s="7" t="n">
        <v>2</v>
      </c>
      <c r="D14683" s="7" t="n">
        <v>3</v>
      </c>
      <c r="E14683" s="7" t="n">
        <v>-6.6100001335144</v>
      </c>
      <c r="F14683" s="7" t="n">
        <v>6.44000005722046</v>
      </c>
      <c r="G14683" s="7" t="n">
        <v>29.9300003051758</v>
      </c>
      <c r="H14683" s="7" t="n">
        <v>0</v>
      </c>
    </row>
    <row r="14684" spans="1:13">
      <c r="A14684" t="s">
        <v>4</v>
      </c>
      <c r="B14684" s="4" t="s">
        <v>5</v>
      </c>
      <c r="C14684" s="4" t="s">
        <v>7</v>
      </c>
      <c r="D14684" s="4" t="s">
        <v>7</v>
      </c>
      <c r="E14684" s="4" t="s">
        <v>13</v>
      </c>
      <c r="F14684" s="4" t="s">
        <v>13</v>
      </c>
      <c r="G14684" s="4" t="s">
        <v>13</v>
      </c>
      <c r="H14684" s="4" t="s">
        <v>11</v>
      </c>
      <c r="I14684" s="4" t="s">
        <v>7</v>
      </c>
    </row>
    <row r="14685" spans="1:13">
      <c r="A14685" t="n">
        <v>138733</v>
      </c>
      <c r="B14685" s="51" t="n">
        <v>45</v>
      </c>
      <c r="C14685" s="7" t="n">
        <v>4</v>
      </c>
      <c r="D14685" s="7" t="n">
        <v>3</v>
      </c>
      <c r="E14685" s="7" t="n">
        <v>357</v>
      </c>
      <c r="F14685" s="7" t="n">
        <v>284.700012207031</v>
      </c>
      <c r="G14685" s="7" t="n">
        <v>4</v>
      </c>
      <c r="H14685" s="7" t="n">
        <v>0</v>
      </c>
      <c r="I14685" s="7" t="n">
        <v>0</v>
      </c>
    </row>
    <row r="14686" spans="1:13">
      <c r="A14686" t="s">
        <v>4</v>
      </c>
      <c r="B14686" s="4" t="s">
        <v>5</v>
      </c>
      <c r="C14686" s="4" t="s">
        <v>7</v>
      </c>
      <c r="D14686" s="4" t="s">
        <v>7</v>
      </c>
      <c r="E14686" s="4" t="s">
        <v>13</v>
      </c>
      <c r="F14686" s="4" t="s">
        <v>11</v>
      </c>
    </row>
    <row r="14687" spans="1:13">
      <c r="A14687" t="n">
        <v>138751</v>
      </c>
      <c r="B14687" s="51" t="n">
        <v>45</v>
      </c>
      <c r="C14687" s="7" t="n">
        <v>5</v>
      </c>
      <c r="D14687" s="7" t="n">
        <v>3</v>
      </c>
      <c r="E14687" s="7" t="n">
        <v>1</v>
      </c>
      <c r="F14687" s="7" t="n">
        <v>0</v>
      </c>
    </row>
    <row r="14688" spans="1:13">
      <c r="A14688" t="s">
        <v>4</v>
      </c>
      <c r="B14688" s="4" t="s">
        <v>5</v>
      </c>
      <c r="C14688" s="4" t="s">
        <v>7</v>
      </c>
      <c r="D14688" s="4" t="s">
        <v>7</v>
      </c>
      <c r="E14688" s="4" t="s">
        <v>13</v>
      </c>
      <c r="F14688" s="4" t="s">
        <v>11</v>
      </c>
    </row>
    <row r="14689" spans="1:9">
      <c r="A14689" t="n">
        <v>138760</v>
      </c>
      <c r="B14689" s="51" t="n">
        <v>45</v>
      </c>
      <c r="C14689" s="7" t="n">
        <v>11</v>
      </c>
      <c r="D14689" s="7" t="n">
        <v>3</v>
      </c>
      <c r="E14689" s="7" t="n">
        <v>40.2999992370605</v>
      </c>
      <c r="F14689" s="7" t="n">
        <v>0</v>
      </c>
    </row>
    <row r="14690" spans="1:9">
      <c r="A14690" t="s">
        <v>4</v>
      </c>
      <c r="B14690" s="4" t="s">
        <v>5</v>
      </c>
      <c r="C14690" s="4" t="s">
        <v>7</v>
      </c>
      <c r="D14690" s="4" t="s">
        <v>11</v>
      </c>
    </row>
    <row r="14691" spans="1:9">
      <c r="A14691" t="n">
        <v>138769</v>
      </c>
      <c r="B14691" s="23" t="n">
        <v>58</v>
      </c>
      <c r="C14691" s="7" t="n">
        <v>255</v>
      </c>
      <c r="D14691" s="7" t="n">
        <v>0</v>
      </c>
    </row>
    <row r="14692" spans="1:9">
      <c r="A14692" t="s">
        <v>4</v>
      </c>
      <c r="B14692" s="4" t="s">
        <v>5</v>
      </c>
      <c r="C14692" s="4" t="s">
        <v>7</v>
      </c>
      <c r="D14692" s="4" t="s">
        <v>11</v>
      </c>
      <c r="E14692" s="4" t="s">
        <v>8</v>
      </c>
    </row>
    <row r="14693" spans="1:9">
      <c r="A14693" t="n">
        <v>138773</v>
      </c>
      <c r="B14693" s="38" t="n">
        <v>51</v>
      </c>
      <c r="C14693" s="7" t="n">
        <v>4</v>
      </c>
      <c r="D14693" s="7" t="n">
        <v>0</v>
      </c>
      <c r="E14693" s="7" t="s">
        <v>179</v>
      </c>
    </row>
    <row r="14694" spans="1:9">
      <c r="A14694" t="s">
        <v>4</v>
      </c>
      <c r="B14694" s="4" t="s">
        <v>5</v>
      </c>
      <c r="C14694" s="4" t="s">
        <v>11</v>
      </c>
    </row>
    <row r="14695" spans="1:9">
      <c r="A14695" t="n">
        <v>138787</v>
      </c>
      <c r="B14695" s="29" t="n">
        <v>16</v>
      </c>
      <c r="C14695" s="7" t="n">
        <v>0</v>
      </c>
    </row>
    <row r="14696" spans="1:9">
      <c r="A14696" t="s">
        <v>4</v>
      </c>
      <c r="B14696" s="4" t="s">
        <v>5</v>
      </c>
      <c r="C14696" s="4" t="s">
        <v>11</v>
      </c>
      <c r="D14696" s="4" t="s">
        <v>7</v>
      </c>
      <c r="E14696" s="4" t="s">
        <v>15</v>
      </c>
      <c r="F14696" s="4" t="s">
        <v>55</v>
      </c>
      <c r="G14696" s="4" t="s">
        <v>7</v>
      </c>
      <c r="H14696" s="4" t="s">
        <v>7</v>
      </c>
      <c r="I14696" s="4" t="s">
        <v>7</v>
      </c>
      <c r="J14696" s="4" t="s">
        <v>15</v>
      </c>
      <c r="K14696" s="4" t="s">
        <v>55</v>
      </c>
      <c r="L14696" s="4" t="s">
        <v>7</v>
      </c>
      <c r="M14696" s="4" t="s">
        <v>7</v>
      </c>
      <c r="N14696" s="4" t="s">
        <v>7</v>
      </c>
      <c r="O14696" s="4" t="s">
        <v>15</v>
      </c>
      <c r="P14696" s="4" t="s">
        <v>55</v>
      </c>
      <c r="Q14696" s="4" t="s">
        <v>7</v>
      </c>
      <c r="R14696" s="4" t="s">
        <v>7</v>
      </c>
    </row>
    <row r="14697" spans="1:9">
      <c r="A14697" t="n">
        <v>138790</v>
      </c>
      <c r="B14697" s="55" t="n">
        <v>26</v>
      </c>
      <c r="C14697" s="7" t="n">
        <v>0</v>
      </c>
      <c r="D14697" s="7" t="n">
        <v>17</v>
      </c>
      <c r="E14697" s="7" t="n">
        <v>64233</v>
      </c>
      <c r="F14697" s="7" t="s">
        <v>1162</v>
      </c>
      <c r="G14697" s="7" t="n">
        <v>2</v>
      </c>
      <c r="H14697" s="7" t="n">
        <v>3</v>
      </c>
      <c r="I14697" s="7" t="n">
        <v>17</v>
      </c>
      <c r="J14697" s="7" t="n">
        <v>64234</v>
      </c>
      <c r="K14697" s="7" t="s">
        <v>1163</v>
      </c>
      <c r="L14697" s="7" t="n">
        <v>2</v>
      </c>
      <c r="M14697" s="7" t="n">
        <v>3</v>
      </c>
      <c r="N14697" s="7" t="n">
        <v>17</v>
      </c>
      <c r="O14697" s="7" t="n">
        <v>64235</v>
      </c>
      <c r="P14697" s="7" t="s">
        <v>1164</v>
      </c>
      <c r="Q14697" s="7" t="n">
        <v>2</v>
      </c>
      <c r="R14697" s="7" t="n">
        <v>0</v>
      </c>
    </row>
    <row r="14698" spans="1:9">
      <c r="A14698" t="s">
        <v>4</v>
      </c>
      <c r="B14698" s="4" t="s">
        <v>5</v>
      </c>
    </row>
    <row r="14699" spans="1:9">
      <c r="A14699" t="n">
        <v>139145</v>
      </c>
      <c r="B14699" s="27" t="n">
        <v>28</v>
      </c>
    </row>
    <row r="14700" spans="1:9">
      <c r="A14700" t="s">
        <v>4</v>
      </c>
      <c r="B14700" s="4" t="s">
        <v>5</v>
      </c>
      <c r="C14700" s="4" t="s">
        <v>11</v>
      </c>
      <c r="D14700" s="4" t="s">
        <v>7</v>
      </c>
    </row>
    <row r="14701" spans="1:9">
      <c r="A14701" t="n">
        <v>139146</v>
      </c>
      <c r="B14701" s="68" t="n">
        <v>89</v>
      </c>
      <c r="C14701" s="7" t="n">
        <v>65533</v>
      </c>
      <c r="D14701" s="7" t="n">
        <v>1</v>
      </c>
    </row>
    <row r="14702" spans="1:9">
      <c r="A14702" t="s">
        <v>4</v>
      </c>
      <c r="B14702" s="4" t="s">
        <v>5</v>
      </c>
      <c r="C14702" s="4" t="s">
        <v>7</v>
      </c>
      <c r="D14702" s="4" t="s">
        <v>11</v>
      </c>
      <c r="E14702" s="4" t="s">
        <v>13</v>
      </c>
    </row>
    <row r="14703" spans="1:9">
      <c r="A14703" t="n">
        <v>139150</v>
      </c>
      <c r="B14703" s="23" t="n">
        <v>58</v>
      </c>
      <c r="C14703" s="7" t="n">
        <v>101</v>
      </c>
      <c r="D14703" s="7" t="n">
        <v>500</v>
      </c>
      <c r="E14703" s="7" t="n">
        <v>1</v>
      </c>
    </row>
    <row r="14704" spans="1:9">
      <c r="A14704" t="s">
        <v>4</v>
      </c>
      <c r="B14704" s="4" t="s">
        <v>5</v>
      </c>
      <c r="C14704" s="4" t="s">
        <v>7</v>
      </c>
      <c r="D14704" s="4" t="s">
        <v>11</v>
      </c>
    </row>
    <row r="14705" spans="1:18">
      <c r="A14705" t="n">
        <v>139158</v>
      </c>
      <c r="B14705" s="23" t="n">
        <v>58</v>
      </c>
      <c r="C14705" s="7" t="n">
        <v>254</v>
      </c>
      <c r="D14705" s="7" t="n">
        <v>0</v>
      </c>
    </row>
    <row r="14706" spans="1:18">
      <c r="A14706" t="s">
        <v>4</v>
      </c>
      <c r="B14706" s="4" t="s">
        <v>5</v>
      </c>
      <c r="C14706" s="4" t="s">
        <v>7</v>
      </c>
      <c r="D14706" s="4" t="s">
        <v>7</v>
      </c>
      <c r="E14706" s="4" t="s">
        <v>13</v>
      </c>
      <c r="F14706" s="4" t="s">
        <v>13</v>
      </c>
      <c r="G14706" s="4" t="s">
        <v>13</v>
      </c>
      <c r="H14706" s="4" t="s">
        <v>11</v>
      </c>
    </row>
    <row r="14707" spans="1:18">
      <c r="A14707" t="n">
        <v>139162</v>
      </c>
      <c r="B14707" s="51" t="n">
        <v>45</v>
      </c>
      <c r="C14707" s="7" t="n">
        <v>2</v>
      </c>
      <c r="D14707" s="7" t="n">
        <v>3</v>
      </c>
      <c r="E14707" s="7" t="n">
        <v>-7.36999988555908</v>
      </c>
      <c r="F14707" s="7" t="n">
        <v>6.51999998092651</v>
      </c>
      <c r="G14707" s="7" t="n">
        <v>29.8299999237061</v>
      </c>
      <c r="H14707" s="7" t="n">
        <v>0</v>
      </c>
    </row>
    <row r="14708" spans="1:18">
      <c r="A14708" t="s">
        <v>4</v>
      </c>
      <c r="B14708" s="4" t="s">
        <v>5</v>
      </c>
      <c r="C14708" s="4" t="s">
        <v>7</v>
      </c>
      <c r="D14708" s="4" t="s">
        <v>7</v>
      </c>
      <c r="E14708" s="4" t="s">
        <v>13</v>
      </c>
      <c r="F14708" s="4" t="s">
        <v>13</v>
      </c>
      <c r="G14708" s="4" t="s">
        <v>13</v>
      </c>
      <c r="H14708" s="4" t="s">
        <v>11</v>
      </c>
    </row>
    <row r="14709" spans="1:18">
      <c r="A14709" t="n">
        <v>139179</v>
      </c>
      <c r="B14709" s="51" t="n">
        <v>45</v>
      </c>
      <c r="C14709" s="7" t="n">
        <v>2</v>
      </c>
      <c r="D14709" s="7" t="n">
        <v>3</v>
      </c>
      <c r="E14709" s="7" t="n">
        <v>-7.36999988555908</v>
      </c>
      <c r="F14709" s="7" t="n">
        <v>6.59000015258789</v>
      </c>
      <c r="G14709" s="7" t="n">
        <v>29.8299999237061</v>
      </c>
      <c r="H14709" s="7" t="n">
        <v>0</v>
      </c>
    </row>
    <row r="14710" spans="1:18">
      <c r="A14710" t="s">
        <v>4</v>
      </c>
      <c r="B14710" s="4" t="s">
        <v>5</v>
      </c>
      <c r="C14710" s="4" t="s">
        <v>7</v>
      </c>
      <c r="D14710" s="4" t="s">
        <v>7</v>
      </c>
      <c r="E14710" s="4" t="s">
        <v>13</v>
      </c>
      <c r="F14710" s="4" t="s">
        <v>13</v>
      </c>
      <c r="G14710" s="4" t="s">
        <v>13</v>
      </c>
      <c r="H14710" s="4" t="s">
        <v>11</v>
      </c>
      <c r="I14710" s="4" t="s">
        <v>7</v>
      </c>
    </row>
    <row r="14711" spans="1:18">
      <c r="A14711" t="n">
        <v>139196</v>
      </c>
      <c r="B14711" s="51" t="n">
        <v>45</v>
      </c>
      <c r="C14711" s="7" t="n">
        <v>4</v>
      </c>
      <c r="D14711" s="7" t="n">
        <v>3</v>
      </c>
      <c r="E14711" s="7" t="n">
        <v>8.11999988555908</v>
      </c>
      <c r="F14711" s="7" t="n">
        <v>60.310001373291</v>
      </c>
      <c r="G14711" s="7" t="n">
        <v>354</v>
      </c>
      <c r="H14711" s="7" t="n">
        <v>0</v>
      </c>
      <c r="I14711" s="7" t="n">
        <v>0</v>
      </c>
    </row>
    <row r="14712" spans="1:18">
      <c r="A14712" t="s">
        <v>4</v>
      </c>
      <c r="B14712" s="4" t="s">
        <v>5</v>
      </c>
      <c r="C14712" s="4" t="s">
        <v>7</v>
      </c>
      <c r="D14712" s="4" t="s">
        <v>7</v>
      </c>
      <c r="E14712" s="4" t="s">
        <v>13</v>
      </c>
      <c r="F14712" s="4" t="s">
        <v>11</v>
      </c>
    </row>
    <row r="14713" spans="1:18">
      <c r="A14713" t="n">
        <v>139214</v>
      </c>
      <c r="B14713" s="51" t="n">
        <v>45</v>
      </c>
      <c r="C14713" s="7" t="n">
        <v>5</v>
      </c>
      <c r="D14713" s="7" t="n">
        <v>3</v>
      </c>
      <c r="E14713" s="7" t="n">
        <v>0.800000011920929</v>
      </c>
      <c r="F14713" s="7" t="n">
        <v>0</v>
      </c>
    </row>
    <row r="14714" spans="1:18">
      <c r="A14714" t="s">
        <v>4</v>
      </c>
      <c r="B14714" s="4" t="s">
        <v>5</v>
      </c>
      <c r="C14714" s="4" t="s">
        <v>7</v>
      </c>
      <c r="D14714" s="4" t="s">
        <v>7</v>
      </c>
      <c r="E14714" s="4" t="s">
        <v>13</v>
      </c>
      <c r="F14714" s="4" t="s">
        <v>11</v>
      </c>
    </row>
    <row r="14715" spans="1:18">
      <c r="A14715" t="n">
        <v>139223</v>
      </c>
      <c r="B14715" s="51" t="n">
        <v>45</v>
      </c>
      <c r="C14715" s="7" t="n">
        <v>11</v>
      </c>
      <c r="D14715" s="7" t="n">
        <v>3</v>
      </c>
      <c r="E14715" s="7" t="n">
        <v>40.2999992370605</v>
      </c>
      <c r="F14715" s="7" t="n">
        <v>0</v>
      </c>
    </row>
    <row r="14716" spans="1:18">
      <c r="A14716" t="s">
        <v>4</v>
      </c>
      <c r="B14716" s="4" t="s">
        <v>5</v>
      </c>
      <c r="C14716" s="4" t="s">
        <v>7</v>
      </c>
      <c r="D14716" s="4" t="s">
        <v>11</v>
      </c>
      <c r="E14716" s="4" t="s">
        <v>8</v>
      </c>
      <c r="F14716" s="4" t="s">
        <v>8</v>
      </c>
      <c r="G14716" s="4" t="s">
        <v>8</v>
      </c>
      <c r="H14716" s="4" t="s">
        <v>8</v>
      </c>
    </row>
    <row r="14717" spans="1:18">
      <c r="A14717" t="n">
        <v>139232</v>
      </c>
      <c r="B14717" s="38" t="n">
        <v>51</v>
      </c>
      <c r="C14717" s="7" t="n">
        <v>3</v>
      </c>
      <c r="D14717" s="7" t="n">
        <v>8</v>
      </c>
      <c r="E14717" s="7" t="s">
        <v>232</v>
      </c>
      <c r="F14717" s="7" t="s">
        <v>232</v>
      </c>
      <c r="G14717" s="7" t="s">
        <v>78</v>
      </c>
      <c r="H14717" s="7" t="s">
        <v>79</v>
      </c>
    </row>
    <row r="14718" spans="1:18">
      <c r="A14718" t="s">
        <v>4</v>
      </c>
      <c r="B14718" s="4" t="s">
        <v>5</v>
      </c>
      <c r="C14718" s="4" t="s">
        <v>7</v>
      </c>
      <c r="D14718" s="4" t="s">
        <v>11</v>
      </c>
    </row>
    <row r="14719" spans="1:18">
      <c r="A14719" t="n">
        <v>139245</v>
      </c>
      <c r="B14719" s="23" t="n">
        <v>58</v>
      </c>
      <c r="C14719" s="7" t="n">
        <v>255</v>
      </c>
      <c r="D14719" s="7" t="n">
        <v>0</v>
      </c>
    </row>
    <row r="14720" spans="1:18">
      <c r="A14720" t="s">
        <v>4</v>
      </c>
      <c r="B14720" s="4" t="s">
        <v>5</v>
      </c>
      <c r="C14720" s="4" t="s">
        <v>7</v>
      </c>
      <c r="D14720" s="4" t="s">
        <v>11</v>
      </c>
      <c r="E14720" s="4" t="s">
        <v>8</v>
      </c>
    </row>
    <row r="14721" spans="1:9">
      <c r="A14721" t="n">
        <v>139249</v>
      </c>
      <c r="B14721" s="38" t="n">
        <v>51</v>
      </c>
      <c r="C14721" s="7" t="n">
        <v>4</v>
      </c>
      <c r="D14721" s="7" t="n">
        <v>8</v>
      </c>
      <c r="E14721" s="7" t="s">
        <v>247</v>
      </c>
    </row>
    <row r="14722" spans="1:9">
      <c r="A14722" t="s">
        <v>4</v>
      </c>
      <c r="B14722" s="4" t="s">
        <v>5</v>
      </c>
      <c r="C14722" s="4" t="s">
        <v>11</v>
      </c>
    </row>
    <row r="14723" spans="1:9">
      <c r="A14723" t="n">
        <v>139263</v>
      </c>
      <c r="B14723" s="29" t="n">
        <v>16</v>
      </c>
      <c r="C14723" s="7" t="n">
        <v>0</v>
      </c>
    </row>
    <row r="14724" spans="1:9">
      <c r="A14724" t="s">
        <v>4</v>
      </c>
      <c r="B14724" s="4" t="s">
        <v>5</v>
      </c>
      <c r="C14724" s="4" t="s">
        <v>11</v>
      </c>
      <c r="D14724" s="4" t="s">
        <v>7</v>
      </c>
      <c r="E14724" s="4" t="s">
        <v>15</v>
      </c>
      <c r="F14724" s="4" t="s">
        <v>55</v>
      </c>
      <c r="G14724" s="4" t="s">
        <v>7</v>
      </c>
      <c r="H14724" s="4" t="s">
        <v>7</v>
      </c>
      <c r="I14724" s="4" t="s">
        <v>7</v>
      </c>
      <c r="J14724" s="4" t="s">
        <v>15</v>
      </c>
      <c r="K14724" s="4" t="s">
        <v>55</v>
      </c>
      <c r="L14724" s="4" t="s">
        <v>7</v>
      </c>
      <c r="M14724" s="4" t="s">
        <v>7</v>
      </c>
      <c r="N14724" s="4" t="s">
        <v>7</v>
      </c>
      <c r="O14724" s="4" t="s">
        <v>15</v>
      </c>
      <c r="P14724" s="4" t="s">
        <v>55</v>
      </c>
      <c r="Q14724" s="4" t="s">
        <v>7</v>
      </c>
      <c r="R14724" s="4" t="s">
        <v>7</v>
      </c>
      <c r="S14724" s="4" t="s">
        <v>7</v>
      </c>
      <c r="T14724" s="4" t="s">
        <v>15</v>
      </c>
      <c r="U14724" s="4" t="s">
        <v>55</v>
      </c>
      <c r="V14724" s="4" t="s">
        <v>7</v>
      </c>
      <c r="W14724" s="4" t="s">
        <v>7</v>
      </c>
      <c r="X14724" s="4" t="s">
        <v>7</v>
      </c>
      <c r="Y14724" s="4" t="s">
        <v>15</v>
      </c>
      <c r="Z14724" s="4" t="s">
        <v>55</v>
      </c>
      <c r="AA14724" s="4" t="s">
        <v>7</v>
      </c>
      <c r="AB14724" s="4" t="s">
        <v>7</v>
      </c>
      <c r="AC14724" s="4" t="s">
        <v>7</v>
      </c>
      <c r="AD14724" s="4" t="s">
        <v>15</v>
      </c>
      <c r="AE14724" s="4" t="s">
        <v>55</v>
      </c>
      <c r="AF14724" s="4" t="s">
        <v>7</v>
      </c>
      <c r="AG14724" s="4" t="s">
        <v>7</v>
      </c>
    </row>
    <row r="14725" spans="1:9">
      <c r="A14725" t="n">
        <v>139266</v>
      </c>
      <c r="B14725" s="55" t="n">
        <v>26</v>
      </c>
      <c r="C14725" s="7" t="n">
        <v>8</v>
      </c>
      <c r="D14725" s="7" t="n">
        <v>17</v>
      </c>
      <c r="E14725" s="7" t="n">
        <v>9808</v>
      </c>
      <c r="F14725" s="7" t="s">
        <v>1165</v>
      </c>
      <c r="G14725" s="7" t="n">
        <v>2</v>
      </c>
      <c r="H14725" s="7" t="n">
        <v>3</v>
      </c>
      <c r="I14725" s="7" t="n">
        <v>17</v>
      </c>
      <c r="J14725" s="7" t="n">
        <v>9809</v>
      </c>
      <c r="K14725" s="7" t="s">
        <v>1166</v>
      </c>
      <c r="L14725" s="7" t="n">
        <v>2</v>
      </c>
      <c r="M14725" s="7" t="n">
        <v>3</v>
      </c>
      <c r="N14725" s="7" t="n">
        <v>17</v>
      </c>
      <c r="O14725" s="7" t="n">
        <v>9810</v>
      </c>
      <c r="P14725" s="7" t="s">
        <v>1167</v>
      </c>
      <c r="Q14725" s="7" t="n">
        <v>2</v>
      </c>
      <c r="R14725" s="7" t="n">
        <v>3</v>
      </c>
      <c r="S14725" s="7" t="n">
        <v>17</v>
      </c>
      <c r="T14725" s="7" t="n">
        <v>9811</v>
      </c>
      <c r="U14725" s="7" t="s">
        <v>1168</v>
      </c>
      <c r="V14725" s="7" t="n">
        <v>2</v>
      </c>
      <c r="W14725" s="7" t="n">
        <v>3</v>
      </c>
      <c r="X14725" s="7" t="n">
        <v>17</v>
      </c>
      <c r="Y14725" s="7" t="n">
        <v>9812</v>
      </c>
      <c r="Z14725" s="7" t="s">
        <v>1169</v>
      </c>
      <c r="AA14725" s="7" t="n">
        <v>2</v>
      </c>
      <c r="AB14725" s="7" t="n">
        <v>3</v>
      </c>
      <c r="AC14725" s="7" t="n">
        <v>17</v>
      </c>
      <c r="AD14725" s="7" t="n">
        <v>9813</v>
      </c>
      <c r="AE14725" s="7" t="s">
        <v>1170</v>
      </c>
      <c r="AF14725" s="7" t="n">
        <v>2</v>
      </c>
      <c r="AG14725" s="7" t="n">
        <v>0</v>
      </c>
    </row>
    <row r="14726" spans="1:9">
      <c r="A14726" t="s">
        <v>4</v>
      </c>
      <c r="B14726" s="4" t="s">
        <v>5</v>
      </c>
    </row>
    <row r="14727" spans="1:9">
      <c r="A14727" t="n">
        <v>139893</v>
      </c>
      <c r="B14727" s="27" t="n">
        <v>28</v>
      </c>
    </row>
    <row r="14728" spans="1:9">
      <c r="A14728" t="s">
        <v>4</v>
      </c>
      <c r="B14728" s="4" t="s">
        <v>5</v>
      </c>
      <c r="C14728" s="4" t="s">
        <v>7</v>
      </c>
      <c r="D14728" s="4" t="s">
        <v>11</v>
      </c>
      <c r="E14728" s="4" t="s">
        <v>8</v>
      </c>
    </row>
    <row r="14729" spans="1:9">
      <c r="A14729" t="n">
        <v>139894</v>
      </c>
      <c r="B14729" s="38" t="n">
        <v>51</v>
      </c>
      <c r="C14729" s="7" t="n">
        <v>4</v>
      </c>
      <c r="D14729" s="7" t="n">
        <v>0</v>
      </c>
      <c r="E14729" s="7" t="s">
        <v>147</v>
      </c>
    </row>
    <row r="14730" spans="1:9">
      <c r="A14730" t="s">
        <v>4</v>
      </c>
      <c r="B14730" s="4" t="s">
        <v>5</v>
      </c>
      <c r="C14730" s="4" t="s">
        <v>11</v>
      </c>
    </row>
    <row r="14731" spans="1:9">
      <c r="A14731" t="n">
        <v>139908</v>
      </c>
      <c r="B14731" s="29" t="n">
        <v>16</v>
      </c>
      <c r="C14731" s="7" t="n">
        <v>500</v>
      </c>
    </row>
    <row r="14732" spans="1:9">
      <c r="A14732" t="s">
        <v>4</v>
      </c>
      <c r="B14732" s="4" t="s">
        <v>5</v>
      </c>
      <c r="C14732" s="4" t="s">
        <v>11</v>
      </c>
      <c r="D14732" s="4" t="s">
        <v>7</v>
      </c>
      <c r="E14732" s="4" t="s">
        <v>15</v>
      </c>
      <c r="F14732" s="4" t="s">
        <v>55</v>
      </c>
      <c r="G14732" s="4" t="s">
        <v>7</v>
      </c>
      <c r="H14732" s="4" t="s">
        <v>7</v>
      </c>
      <c r="I14732" s="4" t="s">
        <v>7</v>
      </c>
      <c r="J14732" s="4" t="s">
        <v>15</v>
      </c>
      <c r="K14732" s="4" t="s">
        <v>55</v>
      </c>
      <c r="L14732" s="4" t="s">
        <v>7</v>
      </c>
      <c r="M14732" s="4" t="s">
        <v>7</v>
      </c>
    </row>
    <row r="14733" spans="1:9">
      <c r="A14733" t="n">
        <v>139911</v>
      </c>
      <c r="B14733" s="55" t="n">
        <v>26</v>
      </c>
      <c r="C14733" s="7" t="n">
        <v>0</v>
      </c>
      <c r="D14733" s="7" t="n">
        <v>17</v>
      </c>
      <c r="E14733" s="7" t="n">
        <v>64236</v>
      </c>
      <c r="F14733" s="7" t="s">
        <v>1171</v>
      </c>
      <c r="G14733" s="7" t="n">
        <v>2</v>
      </c>
      <c r="H14733" s="7" t="n">
        <v>3</v>
      </c>
      <c r="I14733" s="7" t="n">
        <v>17</v>
      </c>
      <c r="J14733" s="7" t="n">
        <v>64237</v>
      </c>
      <c r="K14733" s="7" t="s">
        <v>1172</v>
      </c>
      <c r="L14733" s="7" t="n">
        <v>2</v>
      </c>
      <c r="M14733" s="7" t="n">
        <v>0</v>
      </c>
    </row>
    <row r="14734" spans="1:9">
      <c r="A14734" t="s">
        <v>4</v>
      </c>
      <c r="B14734" s="4" t="s">
        <v>5</v>
      </c>
    </row>
    <row r="14735" spans="1:9">
      <c r="A14735" t="n">
        <v>140026</v>
      </c>
      <c r="B14735" s="27" t="n">
        <v>28</v>
      </c>
    </row>
    <row r="14736" spans="1:9">
      <c r="A14736" t="s">
        <v>4</v>
      </c>
      <c r="B14736" s="4" t="s">
        <v>5</v>
      </c>
      <c r="C14736" s="4" t="s">
        <v>11</v>
      </c>
      <c r="D14736" s="4" t="s">
        <v>7</v>
      </c>
    </row>
    <row r="14737" spans="1:33">
      <c r="A14737" t="n">
        <v>140027</v>
      </c>
      <c r="B14737" s="68" t="n">
        <v>89</v>
      </c>
      <c r="C14737" s="7" t="n">
        <v>65533</v>
      </c>
      <c r="D14737" s="7" t="n">
        <v>1</v>
      </c>
    </row>
    <row r="14738" spans="1:33">
      <c r="A14738" t="s">
        <v>4</v>
      </c>
      <c r="B14738" s="4" t="s">
        <v>5</v>
      </c>
      <c r="C14738" s="4" t="s">
        <v>7</v>
      </c>
      <c r="D14738" s="4" t="s">
        <v>11</v>
      </c>
      <c r="E14738" s="4" t="s">
        <v>13</v>
      </c>
    </row>
    <row r="14739" spans="1:33">
      <c r="A14739" t="n">
        <v>140031</v>
      </c>
      <c r="B14739" s="23" t="n">
        <v>58</v>
      </c>
      <c r="C14739" s="7" t="n">
        <v>101</v>
      </c>
      <c r="D14739" s="7" t="n">
        <v>500</v>
      </c>
      <c r="E14739" s="7" t="n">
        <v>1</v>
      </c>
    </row>
    <row r="14740" spans="1:33">
      <c r="A14740" t="s">
        <v>4</v>
      </c>
      <c r="B14740" s="4" t="s">
        <v>5</v>
      </c>
      <c r="C14740" s="4" t="s">
        <v>7</v>
      </c>
      <c r="D14740" s="4" t="s">
        <v>11</v>
      </c>
    </row>
    <row r="14741" spans="1:33">
      <c r="A14741" t="n">
        <v>140039</v>
      </c>
      <c r="B14741" s="23" t="n">
        <v>58</v>
      </c>
      <c r="C14741" s="7" t="n">
        <v>254</v>
      </c>
      <c r="D14741" s="7" t="n">
        <v>0</v>
      </c>
    </row>
    <row r="14742" spans="1:33">
      <c r="A14742" t="s">
        <v>4</v>
      </c>
      <c r="B14742" s="4" t="s">
        <v>5</v>
      </c>
      <c r="C14742" s="4" t="s">
        <v>11</v>
      </c>
      <c r="D14742" s="4" t="s">
        <v>13</v>
      </c>
      <c r="E14742" s="4" t="s">
        <v>13</v>
      </c>
      <c r="F14742" s="4" t="s">
        <v>13</v>
      </c>
      <c r="G14742" s="4" t="s">
        <v>13</v>
      </c>
    </row>
    <row r="14743" spans="1:33">
      <c r="A14743" t="n">
        <v>140043</v>
      </c>
      <c r="B14743" s="36" t="n">
        <v>46</v>
      </c>
      <c r="C14743" s="7" t="n">
        <v>8</v>
      </c>
      <c r="D14743" s="7" t="n">
        <v>-7.28999996185303</v>
      </c>
      <c r="E14743" s="7" t="n">
        <v>5</v>
      </c>
      <c r="F14743" s="7" t="n">
        <v>29.7399997711182</v>
      </c>
      <c r="G14743" s="7" t="n">
        <v>83.9000015258789</v>
      </c>
    </row>
    <row r="14744" spans="1:33">
      <c r="A14744" t="s">
        <v>4</v>
      </c>
      <c r="B14744" s="4" t="s">
        <v>5</v>
      </c>
      <c r="C14744" s="4" t="s">
        <v>7</v>
      </c>
      <c r="D14744" s="4" t="s">
        <v>7</v>
      </c>
      <c r="E14744" s="4" t="s">
        <v>13</v>
      </c>
      <c r="F14744" s="4" t="s">
        <v>13</v>
      </c>
      <c r="G14744" s="4" t="s">
        <v>13</v>
      </c>
      <c r="H14744" s="4" t="s">
        <v>11</v>
      </c>
    </row>
    <row r="14745" spans="1:33">
      <c r="A14745" t="n">
        <v>140062</v>
      </c>
      <c r="B14745" s="51" t="n">
        <v>45</v>
      </c>
      <c r="C14745" s="7" t="n">
        <v>2</v>
      </c>
      <c r="D14745" s="7" t="n">
        <v>3</v>
      </c>
      <c r="E14745" s="7" t="n">
        <v>-7</v>
      </c>
      <c r="F14745" s="7" t="n">
        <v>6.48000001907349</v>
      </c>
      <c r="G14745" s="7" t="n">
        <v>29.7900009155273</v>
      </c>
      <c r="H14745" s="7" t="n">
        <v>0</v>
      </c>
    </row>
    <row r="14746" spans="1:33">
      <c r="A14746" t="s">
        <v>4</v>
      </c>
      <c r="B14746" s="4" t="s">
        <v>5</v>
      </c>
      <c r="C14746" s="4" t="s">
        <v>7</v>
      </c>
      <c r="D14746" s="4" t="s">
        <v>7</v>
      </c>
      <c r="E14746" s="4" t="s">
        <v>13</v>
      </c>
      <c r="F14746" s="4" t="s">
        <v>13</v>
      </c>
      <c r="G14746" s="4" t="s">
        <v>13</v>
      </c>
      <c r="H14746" s="4" t="s">
        <v>11</v>
      </c>
      <c r="I14746" s="4" t="s">
        <v>7</v>
      </c>
    </row>
    <row r="14747" spans="1:33">
      <c r="A14747" t="n">
        <v>140079</v>
      </c>
      <c r="B14747" s="51" t="n">
        <v>45</v>
      </c>
      <c r="C14747" s="7" t="n">
        <v>4</v>
      </c>
      <c r="D14747" s="7" t="n">
        <v>3</v>
      </c>
      <c r="E14747" s="7" t="n">
        <v>13.2700004577637</v>
      </c>
      <c r="F14747" s="7" t="n">
        <v>321.540008544922</v>
      </c>
      <c r="G14747" s="7" t="n">
        <v>354</v>
      </c>
      <c r="H14747" s="7" t="n">
        <v>0</v>
      </c>
      <c r="I14747" s="7" t="n">
        <v>0</v>
      </c>
    </row>
    <row r="14748" spans="1:33">
      <c r="A14748" t="s">
        <v>4</v>
      </c>
      <c r="B14748" s="4" t="s">
        <v>5</v>
      </c>
      <c r="C14748" s="4" t="s">
        <v>7</v>
      </c>
      <c r="D14748" s="4" t="s">
        <v>7</v>
      </c>
      <c r="E14748" s="4" t="s">
        <v>13</v>
      </c>
      <c r="F14748" s="4" t="s">
        <v>11</v>
      </c>
    </row>
    <row r="14749" spans="1:33">
      <c r="A14749" t="n">
        <v>140097</v>
      </c>
      <c r="B14749" s="51" t="n">
        <v>45</v>
      </c>
      <c r="C14749" s="7" t="n">
        <v>5</v>
      </c>
      <c r="D14749" s="7" t="n">
        <v>3</v>
      </c>
      <c r="E14749" s="7" t="n">
        <v>1.20000004768372</v>
      </c>
      <c r="F14749" s="7" t="n">
        <v>0</v>
      </c>
    </row>
    <row r="14750" spans="1:33">
      <c r="A14750" t="s">
        <v>4</v>
      </c>
      <c r="B14750" s="4" t="s">
        <v>5</v>
      </c>
      <c r="C14750" s="4" t="s">
        <v>7</v>
      </c>
      <c r="D14750" s="4" t="s">
        <v>7</v>
      </c>
      <c r="E14750" s="4" t="s">
        <v>13</v>
      </c>
      <c r="F14750" s="4" t="s">
        <v>11</v>
      </c>
    </row>
    <row r="14751" spans="1:33">
      <c r="A14751" t="n">
        <v>140106</v>
      </c>
      <c r="B14751" s="51" t="n">
        <v>45</v>
      </c>
      <c r="C14751" s="7" t="n">
        <v>11</v>
      </c>
      <c r="D14751" s="7" t="n">
        <v>3</v>
      </c>
      <c r="E14751" s="7" t="n">
        <v>40.2999992370605</v>
      </c>
      <c r="F14751" s="7" t="n">
        <v>0</v>
      </c>
    </row>
    <row r="14752" spans="1:33">
      <c r="A14752" t="s">
        <v>4</v>
      </c>
      <c r="B14752" s="4" t="s">
        <v>5</v>
      </c>
      <c r="C14752" s="4" t="s">
        <v>7</v>
      </c>
      <c r="D14752" s="4" t="s">
        <v>7</v>
      </c>
      <c r="E14752" s="4" t="s">
        <v>13</v>
      </c>
      <c r="F14752" s="4" t="s">
        <v>13</v>
      </c>
      <c r="G14752" s="4" t="s">
        <v>13</v>
      </c>
      <c r="H14752" s="4" t="s">
        <v>11</v>
      </c>
    </row>
    <row r="14753" spans="1:9">
      <c r="A14753" t="n">
        <v>140115</v>
      </c>
      <c r="B14753" s="51" t="n">
        <v>45</v>
      </c>
      <c r="C14753" s="7" t="n">
        <v>2</v>
      </c>
      <c r="D14753" s="7" t="n">
        <v>3</v>
      </c>
      <c r="E14753" s="7" t="n">
        <v>-6.8600001335144</v>
      </c>
      <c r="F14753" s="7" t="n">
        <v>6.51999998092651</v>
      </c>
      <c r="G14753" s="7" t="n">
        <v>29.7700004577637</v>
      </c>
      <c r="H14753" s="7" t="n">
        <v>4000</v>
      </c>
    </row>
    <row r="14754" spans="1:9">
      <c r="A14754" t="s">
        <v>4</v>
      </c>
      <c r="B14754" s="4" t="s">
        <v>5</v>
      </c>
      <c r="C14754" s="4" t="s">
        <v>7</v>
      </c>
      <c r="D14754" s="4" t="s">
        <v>7</v>
      </c>
      <c r="E14754" s="4" t="s">
        <v>13</v>
      </c>
      <c r="F14754" s="4" t="s">
        <v>13</v>
      </c>
      <c r="G14754" s="4" t="s">
        <v>13</v>
      </c>
      <c r="H14754" s="4" t="s">
        <v>11</v>
      </c>
      <c r="I14754" s="4" t="s">
        <v>7</v>
      </c>
    </row>
    <row r="14755" spans="1:9">
      <c r="A14755" t="n">
        <v>140132</v>
      </c>
      <c r="B14755" s="51" t="n">
        <v>45</v>
      </c>
      <c r="C14755" s="7" t="n">
        <v>4</v>
      </c>
      <c r="D14755" s="7" t="n">
        <v>3</v>
      </c>
      <c r="E14755" s="7" t="n">
        <v>350.350006103516</v>
      </c>
      <c r="F14755" s="7" t="n">
        <v>32.2000007629395</v>
      </c>
      <c r="G14755" s="7" t="n">
        <v>354</v>
      </c>
      <c r="H14755" s="7" t="n">
        <v>4000</v>
      </c>
      <c r="I14755" s="7" t="n">
        <v>1</v>
      </c>
    </row>
    <row r="14756" spans="1:9">
      <c r="A14756" t="s">
        <v>4</v>
      </c>
      <c r="B14756" s="4" t="s">
        <v>5</v>
      </c>
      <c r="C14756" s="4" t="s">
        <v>7</v>
      </c>
      <c r="D14756" s="4" t="s">
        <v>7</v>
      </c>
      <c r="E14756" s="4" t="s">
        <v>13</v>
      </c>
      <c r="F14756" s="4" t="s">
        <v>11</v>
      </c>
    </row>
    <row r="14757" spans="1:9">
      <c r="A14757" t="n">
        <v>140150</v>
      </c>
      <c r="B14757" s="51" t="n">
        <v>45</v>
      </c>
      <c r="C14757" s="7" t="n">
        <v>5</v>
      </c>
      <c r="D14757" s="7" t="n">
        <v>3</v>
      </c>
      <c r="E14757" s="7" t="n">
        <v>0.899999976158142</v>
      </c>
      <c r="F14757" s="7" t="n">
        <v>4000</v>
      </c>
    </row>
    <row r="14758" spans="1:9">
      <c r="A14758" t="s">
        <v>4</v>
      </c>
      <c r="B14758" s="4" t="s">
        <v>5</v>
      </c>
      <c r="C14758" s="4" t="s">
        <v>11</v>
      </c>
      <c r="D14758" s="4" t="s">
        <v>15</v>
      </c>
    </row>
    <row r="14759" spans="1:9">
      <c r="A14759" t="n">
        <v>140159</v>
      </c>
      <c r="B14759" s="39" t="n">
        <v>43</v>
      </c>
      <c r="C14759" s="7" t="n">
        <v>0</v>
      </c>
      <c r="D14759" s="7" t="n">
        <v>256</v>
      </c>
    </row>
    <row r="14760" spans="1:9">
      <c r="A14760" t="s">
        <v>4</v>
      </c>
      <c r="B14760" s="4" t="s">
        <v>5</v>
      </c>
      <c r="C14760" s="4" t="s">
        <v>11</v>
      </c>
      <c r="D14760" s="4" t="s">
        <v>7</v>
      </c>
      <c r="E14760" s="4" t="s">
        <v>8</v>
      </c>
      <c r="F14760" s="4" t="s">
        <v>13</v>
      </c>
      <c r="G14760" s="4" t="s">
        <v>13</v>
      </c>
      <c r="H14760" s="4" t="s">
        <v>13</v>
      </c>
    </row>
    <row r="14761" spans="1:9">
      <c r="A14761" t="n">
        <v>140166</v>
      </c>
      <c r="B14761" s="42" t="n">
        <v>48</v>
      </c>
      <c r="C14761" s="7" t="n">
        <v>0</v>
      </c>
      <c r="D14761" s="7" t="n">
        <v>0</v>
      </c>
      <c r="E14761" s="7" t="s">
        <v>210</v>
      </c>
      <c r="F14761" s="7" t="n">
        <v>0</v>
      </c>
      <c r="G14761" s="7" t="n">
        <v>1</v>
      </c>
      <c r="H14761" s="7" t="n">
        <v>0</v>
      </c>
    </row>
    <row r="14762" spans="1:9">
      <c r="A14762" t="s">
        <v>4</v>
      </c>
      <c r="B14762" s="4" t="s">
        <v>5</v>
      </c>
      <c r="C14762" s="4" t="s">
        <v>11</v>
      </c>
      <c r="D14762" s="4" t="s">
        <v>7</v>
      </c>
      <c r="E14762" s="4" t="s">
        <v>8</v>
      </c>
      <c r="F14762" s="4" t="s">
        <v>13</v>
      </c>
      <c r="G14762" s="4" t="s">
        <v>13</v>
      </c>
      <c r="H14762" s="4" t="s">
        <v>13</v>
      </c>
    </row>
    <row r="14763" spans="1:9">
      <c r="A14763" t="n">
        <v>140191</v>
      </c>
      <c r="B14763" s="42" t="n">
        <v>48</v>
      </c>
      <c r="C14763" s="7" t="n">
        <v>8</v>
      </c>
      <c r="D14763" s="7" t="n">
        <v>0</v>
      </c>
      <c r="E14763" s="7" t="s">
        <v>210</v>
      </c>
      <c r="F14763" s="7" t="n">
        <v>0</v>
      </c>
      <c r="G14763" s="7" t="n">
        <v>1</v>
      </c>
      <c r="H14763" s="7" t="n">
        <v>0</v>
      </c>
    </row>
    <row r="14764" spans="1:9">
      <c r="A14764" t="s">
        <v>4</v>
      </c>
      <c r="B14764" s="4" t="s">
        <v>5</v>
      </c>
      <c r="C14764" s="4" t="s">
        <v>7</v>
      </c>
      <c r="D14764" s="4" t="s">
        <v>11</v>
      </c>
      <c r="E14764" s="4" t="s">
        <v>8</v>
      </c>
      <c r="F14764" s="4" t="s">
        <v>8</v>
      </c>
      <c r="G14764" s="4" t="s">
        <v>8</v>
      </c>
      <c r="H14764" s="4" t="s">
        <v>8</v>
      </c>
    </row>
    <row r="14765" spans="1:9">
      <c r="A14765" t="n">
        <v>140216</v>
      </c>
      <c r="B14765" s="38" t="n">
        <v>51</v>
      </c>
      <c r="C14765" s="7" t="n">
        <v>3</v>
      </c>
      <c r="D14765" s="7" t="n">
        <v>8</v>
      </c>
      <c r="E14765" s="7" t="s">
        <v>79</v>
      </c>
      <c r="F14765" s="7" t="s">
        <v>232</v>
      </c>
      <c r="G14765" s="7" t="s">
        <v>78</v>
      </c>
      <c r="H14765" s="7" t="s">
        <v>79</v>
      </c>
    </row>
    <row r="14766" spans="1:9">
      <c r="A14766" t="s">
        <v>4</v>
      </c>
      <c r="B14766" s="4" t="s">
        <v>5</v>
      </c>
      <c r="C14766" s="4" t="s">
        <v>7</v>
      </c>
      <c r="D14766" s="4" t="s">
        <v>11</v>
      </c>
      <c r="E14766" s="4" t="s">
        <v>8</v>
      </c>
      <c r="F14766" s="4" t="s">
        <v>8</v>
      </c>
      <c r="G14766" s="4" t="s">
        <v>8</v>
      </c>
      <c r="H14766" s="4" t="s">
        <v>8</v>
      </c>
    </row>
    <row r="14767" spans="1:9">
      <c r="A14767" t="n">
        <v>140229</v>
      </c>
      <c r="B14767" s="38" t="n">
        <v>51</v>
      </c>
      <c r="C14767" s="7" t="n">
        <v>3</v>
      </c>
      <c r="D14767" s="7" t="n">
        <v>0</v>
      </c>
      <c r="E14767" s="7" t="s">
        <v>79</v>
      </c>
      <c r="F14767" s="7" t="s">
        <v>99</v>
      </c>
      <c r="G14767" s="7" t="s">
        <v>78</v>
      </c>
      <c r="H14767" s="7" t="s">
        <v>79</v>
      </c>
    </row>
    <row r="14768" spans="1:9">
      <c r="A14768" t="s">
        <v>4</v>
      </c>
      <c r="B14768" s="4" t="s">
        <v>5</v>
      </c>
      <c r="C14768" s="4" t="s">
        <v>7</v>
      </c>
      <c r="D14768" s="4" t="s">
        <v>11</v>
      </c>
    </row>
    <row r="14769" spans="1:9">
      <c r="A14769" t="n">
        <v>140242</v>
      </c>
      <c r="B14769" s="23" t="n">
        <v>58</v>
      </c>
      <c r="C14769" s="7" t="n">
        <v>255</v>
      </c>
      <c r="D14769" s="7" t="n">
        <v>0</v>
      </c>
    </row>
    <row r="14770" spans="1:9">
      <c r="A14770" t="s">
        <v>4</v>
      </c>
      <c r="B14770" s="4" t="s">
        <v>5</v>
      </c>
      <c r="C14770" s="4" t="s">
        <v>11</v>
      </c>
    </row>
    <row r="14771" spans="1:9">
      <c r="A14771" t="n">
        <v>140246</v>
      </c>
      <c r="B14771" s="29" t="n">
        <v>16</v>
      </c>
      <c r="C14771" s="7" t="n">
        <v>1000</v>
      </c>
    </row>
    <row r="14772" spans="1:9">
      <c r="A14772" t="s">
        <v>4</v>
      </c>
      <c r="B14772" s="4" t="s">
        <v>5</v>
      </c>
      <c r="C14772" s="4" t="s">
        <v>11</v>
      </c>
      <c r="D14772" s="4" t="s">
        <v>7</v>
      </c>
      <c r="E14772" s="4" t="s">
        <v>8</v>
      </c>
      <c r="F14772" s="4" t="s">
        <v>13</v>
      </c>
      <c r="G14772" s="4" t="s">
        <v>13</v>
      </c>
      <c r="H14772" s="4" t="s">
        <v>13</v>
      </c>
    </row>
    <row r="14773" spans="1:9">
      <c r="A14773" t="n">
        <v>140249</v>
      </c>
      <c r="B14773" s="42" t="n">
        <v>48</v>
      </c>
      <c r="C14773" s="7" t="n">
        <v>0</v>
      </c>
      <c r="D14773" s="7" t="n">
        <v>0</v>
      </c>
      <c r="E14773" s="7" t="s">
        <v>1066</v>
      </c>
      <c r="F14773" s="7" t="n">
        <v>-1</v>
      </c>
      <c r="G14773" s="7" t="n">
        <v>1</v>
      </c>
      <c r="H14773" s="7" t="n">
        <v>0</v>
      </c>
    </row>
    <row r="14774" spans="1:9">
      <c r="A14774" t="s">
        <v>4</v>
      </c>
      <c r="B14774" s="4" t="s">
        <v>5</v>
      </c>
      <c r="C14774" s="4" t="s">
        <v>11</v>
      </c>
    </row>
    <row r="14775" spans="1:9">
      <c r="A14775" t="n">
        <v>140275</v>
      </c>
      <c r="B14775" s="29" t="n">
        <v>16</v>
      </c>
      <c r="C14775" s="7" t="n">
        <v>50</v>
      </c>
    </row>
    <row r="14776" spans="1:9">
      <c r="A14776" t="s">
        <v>4</v>
      </c>
      <c r="B14776" s="4" t="s">
        <v>5</v>
      </c>
      <c r="C14776" s="4" t="s">
        <v>11</v>
      </c>
      <c r="D14776" s="4" t="s">
        <v>7</v>
      </c>
      <c r="E14776" s="4" t="s">
        <v>8</v>
      </c>
      <c r="F14776" s="4" t="s">
        <v>13</v>
      </c>
      <c r="G14776" s="4" t="s">
        <v>13</v>
      </c>
      <c r="H14776" s="4" t="s">
        <v>13</v>
      </c>
    </row>
    <row r="14777" spans="1:9">
      <c r="A14777" t="n">
        <v>140278</v>
      </c>
      <c r="B14777" s="42" t="n">
        <v>48</v>
      </c>
      <c r="C14777" s="7" t="n">
        <v>8</v>
      </c>
      <c r="D14777" s="7" t="n">
        <v>0</v>
      </c>
      <c r="E14777" s="7" t="s">
        <v>1066</v>
      </c>
      <c r="F14777" s="7" t="n">
        <v>-1</v>
      </c>
      <c r="G14777" s="7" t="n">
        <v>1</v>
      </c>
      <c r="H14777" s="7" t="n">
        <v>0</v>
      </c>
    </row>
    <row r="14778" spans="1:9">
      <c r="A14778" t="s">
        <v>4</v>
      </c>
      <c r="B14778" s="4" t="s">
        <v>5</v>
      </c>
      <c r="C14778" s="4" t="s">
        <v>11</v>
      </c>
    </row>
    <row r="14779" spans="1:9">
      <c r="A14779" t="n">
        <v>140304</v>
      </c>
      <c r="B14779" s="29" t="n">
        <v>16</v>
      </c>
      <c r="C14779" s="7" t="n">
        <v>500</v>
      </c>
    </row>
    <row r="14780" spans="1:9">
      <c r="A14780" t="s">
        <v>4</v>
      </c>
      <c r="B14780" s="4" t="s">
        <v>5</v>
      </c>
      <c r="C14780" s="4" t="s">
        <v>7</v>
      </c>
      <c r="D14780" s="4" t="s">
        <v>11</v>
      </c>
      <c r="E14780" s="4" t="s">
        <v>13</v>
      </c>
      <c r="F14780" s="4" t="s">
        <v>11</v>
      </c>
      <c r="G14780" s="4" t="s">
        <v>15</v>
      </c>
      <c r="H14780" s="4" t="s">
        <v>15</v>
      </c>
      <c r="I14780" s="4" t="s">
        <v>11</v>
      </c>
      <c r="J14780" s="4" t="s">
        <v>11</v>
      </c>
      <c r="K14780" s="4" t="s">
        <v>15</v>
      </c>
      <c r="L14780" s="4" t="s">
        <v>15</v>
      </c>
      <c r="M14780" s="4" t="s">
        <v>15</v>
      </c>
      <c r="N14780" s="4" t="s">
        <v>15</v>
      </c>
      <c r="O14780" s="4" t="s">
        <v>8</v>
      </c>
    </row>
    <row r="14781" spans="1:9">
      <c r="A14781" t="n">
        <v>140307</v>
      </c>
      <c r="B14781" s="57" t="n">
        <v>50</v>
      </c>
      <c r="C14781" s="7" t="n">
        <v>0</v>
      </c>
      <c r="D14781" s="7" t="n">
        <v>2003</v>
      </c>
      <c r="E14781" s="7" t="n">
        <v>0.5</v>
      </c>
      <c r="F14781" s="7" t="n">
        <v>0</v>
      </c>
      <c r="G14781" s="7" t="n">
        <v>0</v>
      </c>
      <c r="H14781" s="7" t="n">
        <v>1082130432</v>
      </c>
      <c r="I14781" s="7" t="n">
        <v>0</v>
      </c>
      <c r="J14781" s="7" t="n">
        <v>65533</v>
      </c>
      <c r="K14781" s="7" t="n">
        <v>0</v>
      </c>
      <c r="L14781" s="7" t="n">
        <v>0</v>
      </c>
      <c r="M14781" s="7" t="n">
        <v>0</v>
      </c>
      <c r="N14781" s="7" t="n">
        <v>0</v>
      </c>
      <c r="O14781" s="7" t="s">
        <v>16</v>
      </c>
    </row>
    <row r="14782" spans="1:9">
      <c r="A14782" t="s">
        <v>4</v>
      </c>
      <c r="B14782" s="4" t="s">
        <v>5</v>
      </c>
      <c r="C14782" s="4" t="s">
        <v>7</v>
      </c>
      <c r="D14782" s="4" t="s">
        <v>11</v>
      </c>
      <c r="E14782" s="4" t="s">
        <v>13</v>
      </c>
      <c r="F14782" s="4" t="s">
        <v>11</v>
      </c>
      <c r="G14782" s="4" t="s">
        <v>15</v>
      </c>
      <c r="H14782" s="4" t="s">
        <v>15</v>
      </c>
      <c r="I14782" s="4" t="s">
        <v>11</v>
      </c>
      <c r="J14782" s="4" t="s">
        <v>11</v>
      </c>
      <c r="K14782" s="4" t="s">
        <v>15</v>
      </c>
      <c r="L14782" s="4" t="s">
        <v>15</v>
      </c>
      <c r="M14782" s="4" t="s">
        <v>15</v>
      </c>
      <c r="N14782" s="4" t="s">
        <v>15</v>
      </c>
      <c r="O14782" s="4" t="s">
        <v>8</v>
      </c>
    </row>
    <row r="14783" spans="1:9">
      <c r="A14783" t="n">
        <v>140346</v>
      </c>
      <c r="B14783" s="57" t="n">
        <v>50</v>
      </c>
      <c r="C14783" s="7" t="n">
        <v>0</v>
      </c>
      <c r="D14783" s="7" t="n">
        <v>4272</v>
      </c>
      <c r="E14783" s="7" t="n">
        <v>0.699999988079071</v>
      </c>
      <c r="F14783" s="7" t="n">
        <v>0</v>
      </c>
      <c r="G14783" s="7" t="n">
        <v>0</v>
      </c>
      <c r="H14783" s="7" t="n">
        <v>1082130432</v>
      </c>
      <c r="I14783" s="7" t="n">
        <v>0</v>
      </c>
      <c r="J14783" s="7" t="n">
        <v>65533</v>
      </c>
      <c r="K14783" s="7" t="n">
        <v>0</v>
      </c>
      <c r="L14783" s="7" t="n">
        <v>0</v>
      </c>
      <c r="M14783" s="7" t="n">
        <v>0</v>
      </c>
      <c r="N14783" s="7" t="n">
        <v>0</v>
      </c>
      <c r="O14783" s="7" t="s">
        <v>16</v>
      </c>
    </row>
    <row r="14784" spans="1:9">
      <c r="A14784" t="s">
        <v>4</v>
      </c>
      <c r="B14784" s="4" t="s">
        <v>5</v>
      </c>
      <c r="C14784" s="4" t="s">
        <v>7</v>
      </c>
      <c r="D14784" s="4" t="s">
        <v>13</v>
      </c>
      <c r="E14784" s="4" t="s">
        <v>13</v>
      </c>
      <c r="F14784" s="4" t="s">
        <v>13</v>
      </c>
    </row>
    <row r="14785" spans="1:15">
      <c r="A14785" t="n">
        <v>140385</v>
      </c>
      <c r="B14785" s="51" t="n">
        <v>45</v>
      </c>
      <c r="C14785" s="7" t="n">
        <v>9</v>
      </c>
      <c r="D14785" s="7" t="n">
        <v>0.00999999977648258</v>
      </c>
      <c r="E14785" s="7" t="n">
        <v>0.00999999977648258</v>
      </c>
      <c r="F14785" s="7" t="n">
        <v>0.300000011920929</v>
      </c>
    </row>
    <row r="14786" spans="1:15">
      <c r="A14786" t="s">
        <v>4</v>
      </c>
      <c r="B14786" s="4" t="s">
        <v>5</v>
      </c>
      <c r="C14786" s="4" t="s">
        <v>7</v>
      </c>
      <c r="D14786" s="4" t="s">
        <v>11</v>
      </c>
    </row>
    <row r="14787" spans="1:15">
      <c r="A14787" t="n">
        <v>140399</v>
      </c>
      <c r="B14787" s="51" t="n">
        <v>45</v>
      </c>
      <c r="C14787" s="7" t="n">
        <v>7</v>
      </c>
      <c r="D14787" s="7" t="n">
        <v>255</v>
      </c>
    </row>
    <row r="14788" spans="1:15">
      <c r="A14788" t="s">
        <v>4</v>
      </c>
      <c r="B14788" s="4" t="s">
        <v>5</v>
      </c>
      <c r="C14788" s="4" t="s">
        <v>7</v>
      </c>
      <c r="D14788" s="4" t="s">
        <v>7</v>
      </c>
      <c r="E14788" s="4" t="s">
        <v>13</v>
      </c>
      <c r="F14788" s="4" t="s">
        <v>13</v>
      </c>
      <c r="G14788" s="4" t="s">
        <v>13</v>
      </c>
      <c r="H14788" s="4" t="s">
        <v>11</v>
      </c>
      <c r="I14788" s="4" t="s">
        <v>7</v>
      </c>
    </row>
    <row r="14789" spans="1:15">
      <c r="A14789" t="n">
        <v>140403</v>
      </c>
      <c r="B14789" s="51" t="n">
        <v>45</v>
      </c>
      <c r="C14789" s="7" t="n">
        <v>4</v>
      </c>
      <c r="D14789" s="7" t="n">
        <v>3</v>
      </c>
      <c r="E14789" s="7" t="n">
        <v>1.4099999666214</v>
      </c>
      <c r="F14789" s="7" t="n">
        <v>50.7599983215332</v>
      </c>
      <c r="G14789" s="7" t="n">
        <v>354</v>
      </c>
      <c r="H14789" s="7" t="n">
        <v>40000</v>
      </c>
      <c r="I14789" s="7" t="n">
        <v>1</v>
      </c>
    </row>
    <row r="14790" spans="1:15">
      <c r="A14790" t="s">
        <v>4</v>
      </c>
      <c r="B14790" s="4" t="s">
        <v>5</v>
      </c>
      <c r="C14790" s="4" t="s">
        <v>7</v>
      </c>
      <c r="D14790" s="4" t="s">
        <v>11</v>
      </c>
      <c r="E14790" s="4" t="s">
        <v>8</v>
      </c>
    </row>
    <row r="14791" spans="1:15">
      <c r="A14791" t="n">
        <v>140421</v>
      </c>
      <c r="B14791" s="38" t="n">
        <v>51</v>
      </c>
      <c r="C14791" s="7" t="n">
        <v>4</v>
      </c>
      <c r="D14791" s="7" t="n">
        <v>0</v>
      </c>
      <c r="E14791" s="7" t="s">
        <v>285</v>
      </c>
    </row>
    <row r="14792" spans="1:15">
      <c r="A14792" t="s">
        <v>4</v>
      </c>
      <c r="B14792" s="4" t="s">
        <v>5</v>
      </c>
      <c r="C14792" s="4" t="s">
        <v>11</v>
      </c>
    </row>
    <row r="14793" spans="1:15">
      <c r="A14793" t="n">
        <v>140434</v>
      </c>
      <c r="B14793" s="29" t="n">
        <v>16</v>
      </c>
      <c r="C14793" s="7" t="n">
        <v>0</v>
      </c>
    </row>
    <row r="14794" spans="1:15">
      <c r="A14794" t="s">
        <v>4</v>
      </c>
      <c r="B14794" s="4" t="s">
        <v>5</v>
      </c>
      <c r="C14794" s="4" t="s">
        <v>11</v>
      </c>
      <c r="D14794" s="4" t="s">
        <v>7</v>
      </c>
      <c r="E14794" s="4" t="s">
        <v>15</v>
      </c>
      <c r="F14794" s="4" t="s">
        <v>55</v>
      </c>
      <c r="G14794" s="4" t="s">
        <v>7</v>
      </c>
      <c r="H14794" s="4" t="s">
        <v>7</v>
      </c>
      <c r="I14794" s="4" t="s">
        <v>7</v>
      </c>
      <c r="J14794" s="4" t="s">
        <v>15</v>
      </c>
      <c r="K14794" s="4" t="s">
        <v>55</v>
      </c>
      <c r="L14794" s="4" t="s">
        <v>7</v>
      </c>
      <c r="M14794" s="4" t="s">
        <v>7</v>
      </c>
    </row>
    <row r="14795" spans="1:15">
      <c r="A14795" t="n">
        <v>140437</v>
      </c>
      <c r="B14795" s="55" t="n">
        <v>26</v>
      </c>
      <c r="C14795" s="7" t="n">
        <v>0</v>
      </c>
      <c r="D14795" s="7" t="n">
        <v>17</v>
      </c>
      <c r="E14795" s="7" t="n">
        <v>64238</v>
      </c>
      <c r="F14795" s="7" t="s">
        <v>1173</v>
      </c>
      <c r="G14795" s="7" t="n">
        <v>2</v>
      </c>
      <c r="H14795" s="7" t="n">
        <v>3</v>
      </c>
      <c r="I14795" s="7" t="n">
        <v>17</v>
      </c>
      <c r="J14795" s="7" t="n">
        <v>64239</v>
      </c>
      <c r="K14795" s="7" t="s">
        <v>1174</v>
      </c>
      <c r="L14795" s="7" t="n">
        <v>2</v>
      </c>
      <c r="M14795" s="7" t="n">
        <v>0</v>
      </c>
    </row>
    <row r="14796" spans="1:15">
      <c r="A14796" t="s">
        <v>4</v>
      </c>
      <c r="B14796" s="4" t="s">
        <v>5</v>
      </c>
    </row>
    <row r="14797" spans="1:15">
      <c r="A14797" t="n">
        <v>140666</v>
      </c>
      <c r="B14797" s="27" t="n">
        <v>28</v>
      </c>
    </row>
    <row r="14798" spans="1:15">
      <c r="A14798" t="s">
        <v>4</v>
      </c>
      <c r="B14798" s="4" t="s">
        <v>5</v>
      </c>
      <c r="C14798" s="4" t="s">
        <v>7</v>
      </c>
      <c r="D14798" s="4" t="s">
        <v>11</v>
      </c>
      <c r="E14798" s="4" t="s">
        <v>8</v>
      </c>
    </row>
    <row r="14799" spans="1:15">
      <c r="A14799" t="n">
        <v>140667</v>
      </c>
      <c r="B14799" s="38" t="n">
        <v>51</v>
      </c>
      <c r="C14799" s="7" t="n">
        <v>4</v>
      </c>
      <c r="D14799" s="7" t="n">
        <v>8</v>
      </c>
      <c r="E14799" s="7" t="s">
        <v>247</v>
      </c>
    </row>
    <row r="14800" spans="1:15">
      <c r="A14800" t="s">
        <v>4</v>
      </c>
      <c r="B14800" s="4" t="s">
        <v>5</v>
      </c>
      <c r="C14800" s="4" t="s">
        <v>11</v>
      </c>
    </row>
    <row r="14801" spans="1:13">
      <c r="A14801" t="n">
        <v>140681</v>
      </c>
      <c r="B14801" s="29" t="n">
        <v>16</v>
      </c>
      <c r="C14801" s="7" t="n">
        <v>0</v>
      </c>
    </row>
    <row r="14802" spans="1:13">
      <c r="A14802" t="s">
        <v>4</v>
      </c>
      <c r="B14802" s="4" t="s">
        <v>5</v>
      </c>
      <c r="C14802" s="4" t="s">
        <v>11</v>
      </c>
      <c r="D14802" s="4" t="s">
        <v>7</v>
      </c>
      <c r="E14802" s="4" t="s">
        <v>15</v>
      </c>
      <c r="F14802" s="4" t="s">
        <v>55</v>
      </c>
      <c r="G14802" s="4" t="s">
        <v>7</v>
      </c>
      <c r="H14802" s="4" t="s">
        <v>7</v>
      </c>
      <c r="I14802" s="4" t="s">
        <v>7</v>
      </c>
      <c r="J14802" s="4" t="s">
        <v>15</v>
      </c>
      <c r="K14802" s="4" t="s">
        <v>55</v>
      </c>
      <c r="L14802" s="4" t="s">
        <v>7</v>
      </c>
      <c r="M14802" s="4" t="s">
        <v>7</v>
      </c>
    </row>
    <row r="14803" spans="1:13">
      <c r="A14803" t="n">
        <v>140684</v>
      </c>
      <c r="B14803" s="55" t="n">
        <v>26</v>
      </c>
      <c r="C14803" s="7" t="n">
        <v>8</v>
      </c>
      <c r="D14803" s="7" t="n">
        <v>17</v>
      </c>
      <c r="E14803" s="7" t="n">
        <v>9814</v>
      </c>
      <c r="F14803" s="7" t="s">
        <v>1175</v>
      </c>
      <c r="G14803" s="7" t="n">
        <v>2</v>
      </c>
      <c r="H14803" s="7" t="n">
        <v>3</v>
      </c>
      <c r="I14803" s="7" t="n">
        <v>17</v>
      </c>
      <c r="J14803" s="7" t="n">
        <v>9815</v>
      </c>
      <c r="K14803" s="7" t="s">
        <v>1176</v>
      </c>
      <c r="L14803" s="7" t="n">
        <v>2</v>
      </c>
      <c r="M14803" s="7" t="n">
        <v>0</v>
      </c>
    </row>
    <row r="14804" spans="1:13">
      <c r="A14804" t="s">
        <v>4</v>
      </c>
      <c r="B14804" s="4" t="s">
        <v>5</v>
      </c>
    </row>
    <row r="14805" spans="1:13">
      <c r="A14805" t="n">
        <v>140859</v>
      </c>
      <c r="B14805" s="27" t="n">
        <v>28</v>
      </c>
    </row>
    <row r="14806" spans="1:13">
      <c r="A14806" t="s">
        <v>4</v>
      </c>
      <c r="B14806" s="4" t="s">
        <v>5</v>
      </c>
      <c r="C14806" s="4" t="s">
        <v>11</v>
      </c>
      <c r="D14806" s="4" t="s">
        <v>7</v>
      </c>
    </row>
    <row r="14807" spans="1:13">
      <c r="A14807" t="n">
        <v>140860</v>
      </c>
      <c r="B14807" s="68" t="n">
        <v>89</v>
      </c>
      <c r="C14807" s="7" t="n">
        <v>65533</v>
      </c>
      <c r="D14807" s="7" t="n">
        <v>1</v>
      </c>
    </row>
    <row r="14808" spans="1:13">
      <c r="A14808" t="s">
        <v>4</v>
      </c>
      <c r="B14808" s="4" t="s">
        <v>5</v>
      </c>
      <c r="C14808" s="4" t="s">
        <v>11</v>
      </c>
    </row>
    <row r="14809" spans="1:13">
      <c r="A14809" t="n">
        <v>140864</v>
      </c>
      <c r="B14809" s="29" t="n">
        <v>16</v>
      </c>
      <c r="C14809" s="7" t="n">
        <v>1000</v>
      </c>
    </row>
    <row r="14810" spans="1:13">
      <c r="A14810" t="s">
        <v>4</v>
      </c>
      <c r="B14810" s="4" t="s">
        <v>5</v>
      </c>
      <c r="C14810" s="4" t="s">
        <v>7</v>
      </c>
      <c r="D14810" s="4" t="s">
        <v>11</v>
      </c>
      <c r="E14810" s="4" t="s">
        <v>13</v>
      </c>
    </row>
    <row r="14811" spans="1:13">
      <c r="A14811" t="n">
        <v>140867</v>
      </c>
      <c r="B14811" s="23" t="n">
        <v>58</v>
      </c>
      <c r="C14811" s="7" t="n">
        <v>101</v>
      </c>
      <c r="D14811" s="7" t="n">
        <v>1000</v>
      </c>
      <c r="E14811" s="7" t="n">
        <v>1</v>
      </c>
    </row>
    <row r="14812" spans="1:13">
      <c r="A14812" t="s">
        <v>4</v>
      </c>
      <c r="B14812" s="4" t="s">
        <v>5</v>
      </c>
      <c r="C14812" s="4" t="s">
        <v>7</v>
      </c>
      <c r="D14812" s="4" t="s">
        <v>11</v>
      </c>
    </row>
    <row r="14813" spans="1:13">
      <c r="A14813" t="n">
        <v>140875</v>
      </c>
      <c r="B14813" s="23" t="n">
        <v>58</v>
      </c>
      <c r="C14813" s="7" t="n">
        <v>254</v>
      </c>
      <c r="D14813" s="7" t="n">
        <v>0</v>
      </c>
    </row>
    <row r="14814" spans="1:13">
      <c r="A14814" t="s">
        <v>4</v>
      </c>
      <c r="B14814" s="4" t="s">
        <v>5</v>
      </c>
      <c r="C14814" s="4" t="s">
        <v>7</v>
      </c>
    </row>
    <row r="14815" spans="1:13">
      <c r="A14815" t="n">
        <v>140879</v>
      </c>
      <c r="B14815" s="49" t="n">
        <v>116</v>
      </c>
      <c r="C14815" s="7" t="n">
        <v>0</v>
      </c>
    </row>
    <row r="14816" spans="1:13">
      <c r="A14816" t="s">
        <v>4</v>
      </c>
      <c r="B14816" s="4" t="s">
        <v>5</v>
      </c>
      <c r="C14816" s="4" t="s">
        <v>7</v>
      </c>
      <c r="D14816" s="4" t="s">
        <v>11</v>
      </c>
    </row>
    <row r="14817" spans="1:13">
      <c r="A14817" t="n">
        <v>140881</v>
      </c>
      <c r="B14817" s="49" t="n">
        <v>116</v>
      </c>
      <c r="C14817" s="7" t="n">
        <v>2</v>
      </c>
      <c r="D14817" s="7" t="n">
        <v>1</v>
      </c>
    </row>
    <row r="14818" spans="1:13">
      <c r="A14818" t="s">
        <v>4</v>
      </c>
      <c r="B14818" s="4" t="s">
        <v>5</v>
      </c>
      <c r="C14818" s="4" t="s">
        <v>7</v>
      </c>
      <c r="D14818" s="4" t="s">
        <v>15</v>
      </c>
    </row>
    <row r="14819" spans="1:13">
      <c r="A14819" t="n">
        <v>140885</v>
      </c>
      <c r="B14819" s="49" t="n">
        <v>116</v>
      </c>
      <c r="C14819" s="7" t="n">
        <v>5</v>
      </c>
      <c r="D14819" s="7" t="n">
        <v>1092616192</v>
      </c>
    </row>
    <row r="14820" spans="1:13">
      <c r="A14820" t="s">
        <v>4</v>
      </c>
      <c r="B14820" s="4" t="s">
        <v>5</v>
      </c>
      <c r="C14820" s="4" t="s">
        <v>7</v>
      </c>
      <c r="D14820" s="4" t="s">
        <v>11</v>
      </c>
    </row>
    <row r="14821" spans="1:13">
      <c r="A14821" t="n">
        <v>140891</v>
      </c>
      <c r="B14821" s="49" t="n">
        <v>116</v>
      </c>
      <c r="C14821" s="7" t="n">
        <v>6</v>
      </c>
      <c r="D14821" s="7" t="n">
        <v>1</v>
      </c>
    </row>
    <row r="14822" spans="1:13">
      <c r="A14822" t="s">
        <v>4</v>
      </c>
      <c r="B14822" s="4" t="s">
        <v>5</v>
      </c>
      <c r="C14822" s="4" t="s">
        <v>7</v>
      </c>
      <c r="D14822" s="4" t="s">
        <v>7</v>
      </c>
      <c r="E14822" s="4" t="s">
        <v>13</v>
      </c>
      <c r="F14822" s="4" t="s">
        <v>13</v>
      </c>
      <c r="G14822" s="4" t="s">
        <v>13</v>
      </c>
      <c r="H14822" s="4" t="s">
        <v>11</v>
      </c>
    </row>
    <row r="14823" spans="1:13">
      <c r="A14823" t="n">
        <v>140895</v>
      </c>
      <c r="B14823" s="51" t="n">
        <v>45</v>
      </c>
      <c r="C14823" s="7" t="n">
        <v>2</v>
      </c>
      <c r="D14823" s="7" t="n">
        <v>3</v>
      </c>
      <c r="E14823" s="7" t="n">
        <v>-6.67000007629395</v>
      </c>
      <c r="F14823" s="7" t="n">
        <v>6.42000007629395</v>
      </c>
      <c r="G14823" s="7" t="n">
        <v>29.8899993896484</v>
      </c>
      <c r="H14823" s="7" t="n">
        <v>0</v>
      </c>
    </row>
    <row r="14824" spans="1:13">
      <c r="A14824" t="s">
        <v>4</v>
      </c>
      <c r="B14824" s="4" t="s">
        <v>5</v>
      </c>
      <c r="C14824" s="4" t="s">
        <v>7</v>
      </c>
      <c r="D14824" s="4" t="s">
        <v>7</v>
      </c>
      <c r="E14824" s="4" t="s">
        <v>13</v>
      </c>
      <c r="F14824" s="4" t="s">
        <v>13</v>
      </c>
      <c r="G14824" s="4" t="s">
        <v>13</v>
      </c>
      <c r="H14824" s="4" t="s">
        <v>11</v>
      </c>
      <c r="I14824" s="4" t="s">
        <v>7</v>
      </c>
    </row>
    <row r="14825" spans="1:13">
      <c r="A14825" t="n">
        <v>140912</v>
      </c>
      <c r="B14825" s="51" t="n">
        <v>45</v>
      </c>
      <c r="C14825" s="7" t="n">
        <v>4</v>
      </c>
      <c r="D14825" s="7" t="n">
        <v>3</v>
      </c>
      <c r="E14825" s="7" t="n">
        <v>15.4700002670288</v>
      </c>
      <c r="F14825" s="7" t="n">
        <v>56.1100006103516</v>
      </c>
      <c r="G14825" s="7" t="n">
        <v>354</v>
      </c>
      <c r="H14825" s="7" t="n">
        <v>0</v>
      </c>
      <c r="I14825" s="7" t="n">
        <v>0</v>
      </c>
    </row>
    <row r="14826" spans="1:13">
      <c r="A14826" t="s">
        <v>4</v>
      </c>
      <c r="B14826" s="4" t="s">
        <v>5</v>
      </c>
      <c r="C14826" s="4" t="s">
        <v>7</v>
      </c>
      <c r="D14826" s="4" t="s">
        <v>7</v>
      </c>
      <c r="E14826" s="4" t="s">
        <v>13</v>
      </c>
      <c r="F14826" s="4" t="s">
        <v>11</v>
      </c>
    </row>
    <row r="14827" spans="1:13">
      <c r="A14827" t="n">
        <v>140930</v>
      </c>
      <c r="B14827" s="51" t="n">
        <v>45</v>
      </c>
      <c r="C14827" s="7" t="n">
        <v>5</v>
      </c>
      <c r="D14827" s="7" t="n">
        <v>3</v>
      </c>
      <c r="E14827" s="7" t="n">
        <v>1.5</v>
      </c>
      <c r="F14827" s="7" t="n">
        <v>0</v>
      </c>
    </row>
    <row r="14828" spans="1:13">
      <c r="A14828" t="s">
        <v>4</v>
      </c>
      <c r="B14828" s="4" t="s">
        <v>5</v>
      </c>
      <c r="C14828" s="4" t="s">
        <v>7</v>
      </c>
      <c r="D14828" s="4" t="s">
        <v>7</v>
      </c>
      <c r="E14828" s="4" t="s">
        <v>13</v>
      </c>
      <c r="F14828" s="4" t="s">
        <v>11</v>
      </c>
    </row>
    <row r="14829" spans="1:13">
      <c r="A14829" t="n">
        <v>140939</v>
      </c>
      <c r="B14829" s="51" t="n">
        <v>45</v>
      </c>
      <c r="C14829" s="7" t="n">
        <v>11</v>
      </c>
      <c r="D14829" s="7" t="n">
        <v>3</v>
      </c>
      <c r="E14829" s="7" t="n">
        <v>40.2999992370605</v>
      </c>
      <c r="F14829" s="7" t="n">
        <v>0</v>
      </c>
    </row>
    <row r="14830" spans="1:13">
      <c r="A14830" t="s">
        <v>4</v>
      </c>
      <c r="B14830" s="4" t="s">
        <v>5</v>
      </c>
      <c r="C14830" s="4" t="s">
        <v>7</v>
      </c>
      <c r="D14830" s="4" t="s">
        <v>7</v>
      </c>
      <c r="E14830" s="4" t="s">
        <v>13</v>
      </c>
      <c r="F14830" s="4" t="s">
        <v>13</v>
      </c>
      <c r="G14830" s="4" t="s">
        <v>13</v>
      </c>
      <c r="H14830" s="4" t="s">
        <v>11</v>
      </c>
    </row>
    <row r="14831" spans="1:13">
      <c r="A14831" t="n">
        <v>140948</v>
      </c>
      <c r="B14831" s="51" t="n">
        <v>45</v>
      </c>
      <c r="C14831" s="7" t="n">
        <v>2</v>
      </c>
      <c r="D14831" s="7" t="n">
        <v>3</v>
      </c>
      <c r="E14831" s="7" t="n">
        <v>-6.34000015258789</v>
      </c>
      <c r="F14831" s="7" t="n">
        <v>6.59000015258789</v>
      </c>
      <c r="G14831" s="7" t="n">
        <v>28.8899993896484</v>
      </c>
      <c r="H14831" s="7" t="n">
        <v>6000</v>
      </c>
    </row>
    <row r="14832" spans="1:13">
      <c r="A14832" t="s">
        <v>4</v>
      </c>
      <c r="B14832" s="4" t="s">
        <v>5</v>
      </c>
      <c r="C14832" s="4" t="s">
        <v>7</v>
      </c>
      <c r="D14832" s="4" t="s">
        <v>7</v>
      </c>
      <c r="E14832" s="4" t="s">
        <v>13</v>
      </c>
      <c r="F14832" s="4" t="s">
        <v>13</v>
      </c>
      <c r="G14832" s="4" t="s">
        <v>13</v>
      </c>
      <c r="H14832" s="4" t="s">
        <v>11</v>
      </c>
      <c r="I14832" s="4" t="s">
        <v>7</v>
      </c>
    </row>
    <row r="14833" spans="1:9">
      <c r="A14833" t="n">
        <v>140965</v>
      </c>
      <c r="B14833" s="51" t="n">
        <v>45</v>
      </c>
      <c r="C14833" s="7" t="n">
        <v>4</v>
      </c>
      <c r="D14833" s="7" t="n">
        <v>3</v>
      </c>
      <c r="E14833" s="7" t="n">
        <v>10.7700004577637</v>
      </c>
      <c r="F14833" s="7" t="n">
        <v>43.6100006103516</v>
      </c>
      <c r="G14833" s="7" t="n">
        <v>360</v>
      </c>
      <c r="H14833" s="7" t="n">
        <v>6000</v>
      </c>
      <c r="I14833" s="7" t="n">
        <v>1</v>
      </c>
    </row>
    <row r="14834" spans="1:9">
      <c r="A14834" t="s">
        <v>4</v>
      </c>
      <c r="B14834" s="4" t="s">
        <v>5</v>
      </c>
      <c r="C14834" s="4" t="s">
        <v>7</v>
      </c>
      <c r="D14834" s="4" t="s">
        <v>11</v>
      </c>
    </row>
    <row r="14835" spans="1:9">
      <c r="A14835" t="n">
        <v>140983</v>
      </c>
      <c r="B14835" s="23" t="n">
        <v>58</v>
      </c>
      <c r="C14835" s="7" t="n">
        <v>255</v>
      </c>
      <c r="D14835" s="7" t="n">
        <v>0</v>
      </c>
    </row>
    <row r="14836" spans="1:9">
      <c r="A14836" t="s">
        <v>4</v>
      </c>
      <c r="B14836" s="4" t="s">
        <v>5</v>
      </c>
      <c r="C14836" s="4" t="s">
        <v>7</v>
      </c>
      <c r="D14836" s="4" t="s">
        <v>11</v>
      </c>
    </row>
    <row r="14837" spans="1:9">
      <c r="A14837" t="n">
        <v>140987</v>
      </c>
      <c r="B14837" s="51" t="n">
        <v>45</v>
      </c>
      <c r="C14837" s="7" t="n">
        <v>7</v>
      </c>
      <c r="D14837" s="7" t="n">
        <v>255</v>
      </c>
    </row>
    <row r="14838" spans="1:9">
      <c r="A14838" t="s">
        <v>4</v>
      </c>
      <c r="B14838" s="4" t="s">
        <v>5</v>
      </c>
      <c r="C14838" s="4" t="s">
        <v>7</v>
      </c>
      <c r="D14838" s="4" t="s">
        <v>11</v>
      </c>
      <c r="E14838" s="4" t="s">
        <v>13</v>
      </c>
    </row>
    <row r="14839" spans="1:9">
      <c r="A14839" t="n">
        <v>140991</v>
      </c>
      <c r="B14839" s="23" t="n">
        <v>58</v>
      </c>
      <c r="C14839" s="7" t="n">
        <v>0</v>
      </c>
      <c r="D14839" s="7" t="n">
        <v>2000</v>
      </c>
      <c r="E14839" s="7" t="n">
        <v>1</v>
      </c>
    </row>
    <row r="14840" spans="1:9">
      <c r="A14840" t="s">
        <v>4</v>
      </c>
      <c r="B14840" s="4" t="s">
        <v>5</v>
      </c>
      <c r="C14840" s="4" t="s">
        <v>7</v>
      </c>
      <c r="D14840" s="4" t="s">
        <v>11</v>
      </c>
    </row>
    <row r="14841" spans="1:9">
      <c r="A14841" t="n">
        <v>140999</v>
      </c>
      <c r="B14841" s="23" t="n">
        <v>58</v>
      </c>
      <c r="C14841" s="7" t="n">
        <v>255</v>
      </c>
      <c r="D14841" s="7" t="n">
        <v>0</v>
      </c>
    </row>
    <row r="14842" spans="1:9">
      <c r="A14842" t="s">
        <v>4</v>
      </c>
      <c r="B14842" s="4" t="s">
        <v>5</v>
      </c>
      <c r="C14842" s="4" t="s">
        <v>7</v>
      </c>
      <c r="D14842" s="4" t="s">
        <v>11</v>
      </c>
      <c r="E14842" s="4" t="s">
        <v>11</v>
      </c>
      <c r="F14842" s="4" t="s">
        <v>15</v>
      </c>
    </row>
    <row r="14843" spans="1:9">
      <c r="A14843" t="n">
        <v>141003</v>
      </c>
      <c r="B14843" s="76" t="n">
        <v>84</v>
      </c>
      <c r="C14843" s="7" t="n">
        <v>1</v>
      </c>
      <c r="D14843" s="7" t="n">
        <v>0</v>
      </c>
      <c r="E14843" s="7" t="n">
        <v>0</v>
      </c>
      <c r="F14843" s="7" t="n">
        <v>0</v>
      </c>
    </row>
    <row r="14844" spans="1:9">
      <c r="A14844" t="s">
        <v>4</v>
      </c>
      <c r="B14844" s="4" t="s">
        <v>5</v>
      </c>
      <c r="C14844" s="4" t="s">
        <v>7</v>
      </c>
    </row>
    <row r="14845" spans="1:9">
      <c r="A14845" t="n">
        <v>141013</v>
      </c>
      <c r="B14845" s="28" t="n">
        <v>78</v>
      </c>
      <c r="C14845" s="7" t="n">
        <v>255</v>
      </c>
    </row>
    <row r="14846" spans="1:9">
      <c r="A14846" t="s">
        <v>4</v>
      </c>
      <c r="B14846" s="4" t="s">
        <v>5</v>
      </c>
      <c r="C14846" s="4" t="s">
        <v>7</v>
      </c>
      <c r="D14846" s="4" t="s">
        <v>11</v>
      </c>
      <c r="E14846" s="4" t="s">
        <v>7</v>
      </c>
    </row>
    <row r="14847" spans="1:9">
      <c r="A14847" t="n">
        <v>141015</v>
      </c>
      <c r="B14847" s="40" t="n">
        <v>36</v>
      </c>
      <c r="C14847" s="7" t="n">
        <v>9</v>
      </c>
      <c r="D14847" s="7" t="n">
        <v>0</v>
      </c>
      <c r="E14847" s="7" t="n">
        <v>0</v>
      </c>
    </row>
    <row r="14848" spans="1:9">
      <c r="A14848" t="s">
        <v>4</v>
      </c>
      <c r="B14848" s="4" t="s">
        <v>5</v>
      </c>
      <c r="C14848" s="4" t="s">
        <v>7</v>
      </c>
      <c r="D14848" s="4" t="s">
        <v>11</v>
      </c>
      <c r="E14848" s="4" t="s">
        <v>7</v>
      </c>
    </row>
    <row r="14849" spans="1:9">
      <c r="A14849" t="n">
        <v>141020</v>
      </c>
      <c r="B14849" s="40" t="n">
        <v>36</v>
      </c>
      <c r="C14849" s="7" t="n">
        <v>9</v>
      </c>
      <c r="D14849" s="7" t="n">
        <v>8</v>
      </c>
      <c r="E14849" s="7" t="n">
        <v>0</v>
      </c>
    </row>
    <row r="14850" spans="1:9">
      <c r="A14850" t="s">
        <v>4</v>
      </c>
      <c r="B14850" s="4" t="s">
        <v>5</v>
      </c>
      <c r="C14850" s="4" t="s">
        <v>11</v>
      </c>
    </row>
    <row r="14851" spans="1:9">
      <c r="A14851" t="n">
        <v>141025</v>
      </c>
      <c r="B14851" s="43" t="n">
        <v>12</v>
      </c>
      <c r="C14851" s="7" t="n">
        <v>10847</v>
      </c>
    </row>
    <row r="14852" spans="1:9">
      <c r="A14852" t="s">
        <v>4</v>
      </c>
      <c r="B14852" s="4" t="s">
        <v>5</v>
      </c>
      <c r="C14852" s="4" t="s">
        <v>11</v>
      </c>
    </row>
    <row r="14853" spans="1:9">
      <c r="A14853" t="n">
        <v>141028</v>
      </c>
      <c r="B14853" s="43" t="n">
        <v>12</v>
      </c>
      <c r="C14853" s="7" t="n">
        <v>6583</v>
      </c>
    </row>
    <row r="14854" spans="1:9">
      <c r="A14854" t="s">
        <v>4</v>
      </c>
      <c r="B14854" s="4" t="s">
        <v>5</v>
      </c>
      <c r="C14854" s="4" t="s">
        <v>7</v>
      </c>
      <c r="D14854" s="4" t="s">
        <v>15</v>
      </c>
    </row>
    <row r="14855" spans="1:9">
      <c r="A14855" t="n">
        <v>141031</v>
      </c>
      <c r="B14855" s="79" t="n">
        <v>137</v>
      </c>
      <c r="C14855" s="7" t="n">
        <v>6</v>
      </c>
      <c r="D14855" s="7" t="n">
        <v>65536</v>
      </c>
    </row>
    <row r="14856" spans="1:9">
      <c r="A14856" t="s">
        <v>4</v>
      </c>
      <c r="B14856" s="4" t="s">
        <v>5</v>
      </c>
      <c r="C14856" s="4" t="s">
        <v>11</v>
      </c>
      <c r="D14856" s="4" t="s">
        <v>7</v>
      </c>
      <c r="E14856" s="4" t="s">
        <v>11</v>
      </c>
    </row>
    <row r="14857" spans="1:9">
      <c r="A14857" t="n">
        <v>141037</v>
      </c>
      <c r="B14857" s="58" t="n">
        <v>104</v>
      </c>
      <c r="C14857" s="7" t="n">
        <v>127</v>
      </c>
      <c r="D14857" s="7" t="n">
        <v>1</v>
      </c>
      <c r="E14857" s="7" t="n">
        <v>10</v>
      </c>
    </row>
    <row r="14858" spans="1:9">
      <c r="A14858" t="s">
        <v>4</v>
      </c>
      <c r="B14858" s="4" t="s">
        <v>5</v>
      </c>
    </row>
    <row r="14859" spans="1:9">
      <c r="A14859" t="n">
        <v>141043</v>
      </c>
      <c r="B14859" s="5" t="n">
        <v>1</v>
      </c>
    </row>
    <row r="14860" spans="1:9">
      <c r="A14860" t="s">
        <v>4</v>
      </c>
      <c r="B14860" s="4" t="s">
        <v>5</v>
      </c>
      <c r="C14860" s="4" t="s">
        <v>7</v>
      </c>
      <c r="D14860" s="4" t="s">
        <v>11</v>
      </c>
      <c r="E14860" s="4" t="s">
        <v>11</v>
      </c>
      <c r="F14860" s="4" t="s">
        <v>15</v>
      </c>
      <c r="G14860" s="4" t="s">
        <v>15</v>
      </c>
      <c r="H14860" s="4" t="s">
        <v>15</v>
      </c>
    </row>
    <row r="14861" spans="1:9">
      <c r="A14861" t="n">
        <v>141044</v>
      </c>
      <c r="B14861" s="77" t="n">
        <v>97</v>
      </c>
      <c r="C14861" s="7" t="n">
        <v>7</v>
      </c>
      <c r="D14861" s="7" t="n">
        <v>0</v>
      </c>
      <c r="E14861" s="7" t="n">
        <v>0</v>
      </c>
      <c r="F14861" s="7" t="n">
        <v>0</v>
      </c>
      <c r="G14861" s="7" t="n">
        <v>0</v>
      </c>
      <c r="H14861" s="7" t="n">
        <v>0</v>
      </c>
    </row>
    <row r="14862" spans="1:9">
      <c r="A14862" t="s">
        <v>4</v>
      </c>
      <c r="B14862" s="4" t="s">
        <v>5</v>
      </c>
      <c r="C14862" s="4" t="s">
        <v>11</v>
      </c>
      <c r="D14862" s="4" t="s">
        <v>15</v>
      </c>
    </row>
    <row r="14863" spans="1:9">
      <c r="A14863" t="n">
        <v>141062</v>
      </c>
      <c r="B14863" s="63" t="n">
        <v>44</v>
      </c>
      <c r="C14863" s="7" t="n">
        <v>0</v>
      </c>
      <c r="D14863" s="7" t="n">
        <v>256</v>
      </c>
    </row>
    <row r="14864" spans="1:9">
      <c r="A14864" t="s">
        <v>4</v>
      </c>
      <c r="B14864" s="4" t="s">
        <v>5</v>
      </c>
      <c r="C14864" s="4" t="s">
        <v>11</v>
      </c>
      <c r="D14864" s="4" t="s">
        <v>13</v>
      </c>
      <c r="E14864" s="4" t="s">
        <v>13</v>
      </c>
      <c r="F14864" s="4" t="s">
        <v>13</v>
      </c>
      <c r="G14864" s="4" t="s">
        <v>13</v>
      </c>
    </row>
    <row r="14865" spans="1:8">
      <c r="A14865" t="n">
        <v>141069</v>
      </c>
      <c r="B14865" s="36" t="n">
        <v>46</v>
      </c>
      <c r="C14865" s="7" t="n">
        <v>61456</v>
      </c>
      <c r="D14865" s="7" t="n">
        <v>0</v>
      </c>
      <c r="E14865" s="7" t="n">
        <v>0</v>
      </c>
      <c r="F14865" s="7" t="n">
        <v>0</v>
      </c>
      <c r="G14865" s="7" t="n">
        <v>0</v>
      </c>
    </row>
    <row r="14866" spans="1:8">
      <c r="A14866" t="s">
        <v>4</v>
      </c>
      <c r="B14866" s="4" t="s">
        <v>5</v>
      </c>
      <c r="C14866" s="4" t="s">
        <v>7</v>
      </c>
      <c r="D14866" s="4" t="s">
        <v>11</v>
      </c>
    </row>
    <row r="14867" spans="1:8">
      <c r="A14867" t="n">
        <v>141088</v>
      </c>
      <c r="B14867" s="8" t="n">
        <v>162</v>
      </c>
      <c r="C14867" s="7" t="n">
        <v>1</v>
      </c>
      <c r="D14867" s="7" t="n">
        <v>0</v>
      </c>
    </row>
    <row r="14868" spans="1:8">
      <c r="A14868" t="s">
        <v>4</v>
      </c>
      <c r="B14868" s="4" t="s">
        <v>5</v>
      </c>
    </row>
    <row r="14869" spans="1:8">
      <c r="A14869" t="n">
        <v>141092</v>
      </c>
      <c r="B14869" s="5" t="n">
        <v>1</v>
      </c>
    </row>
    <row r="14870" spans="1:8" s="3" customFormat="1" customHeight="0">
      <c r="A14870" s="3" t="s">
        <v>2</v>
      </c>
      <c r="B14870" s="3" t="s">
        <v>1177</v>
      </c>
    </row>
    <row r="14871" spans="1:8">
      <c r="A14871" t="s">
        <v>4</v>
      </c>
      <c r="B14871" s="4" t="s">
        <v>5</v>
      </c>
      <c r="C14871" s="4" t="s">
        <v>7</v>
      </c>
      <c r="D14871" s="4" t="s">
        <v>7</v>
      </c>
      <c r="E14871" s="4" t="s">
        <v>7</v>
      </c>
      <c r="F14871" s="4" t="s">
        <v>7</v>
      </c>
    </row>
    <row r="14872" spans="1:8">
      <c r="A14872" t="n">
        <v>141096</v>
      </c>
      <c r="B14872" s="9" t="n">
        <v>14</v>
      </c>
      <c r="C14872" s="7" t="n">
        <v>2</v>
      </c>
      <c r="D14872" s="7" t="n">
        <v>0</v>
      </c>
      <c r="E14872" s="7" t="n">
        <v>0</v>
      </c>
      <c r="F14872" s="7" t="n">
        <v>0</v>
      </c>
    </row>
    <row r="14873" spans="1:8">
      <c r="A14873" t="s">
        <v>4</v>
      </c>
      <c r="B14873" s="4" t="s">
        <v>5</v>
      </c>
      <c r="C14873" s="4" t="s">
        <v>7</v>
      </c>
      <c r="D14873" s="20" t="s">
        <v>35</v>
      </c>
      <c r="E14873" s="4" t="s">
        <v>5</v>
      </c>
      <c r="F14873" s="4" t="s">
        <v>7</v>
      </c>
      <c r="G14873" s="4" t="s">
        <v>11</v>
      </c>
      <c r="H14873" s="20" t="s">
        <v>36</v>
      </c>
      <c r="I14873" s="4" t="s">
        <v>7</v>
      </c>
      <c r="J14873" s="4" t="s">
        <v>15</v>
      </c>
      <c r="K14873" s="4" t="s">
        <v>7</v>
      </c>
      <c r="L14873" s="4" t="s">
        <v>7</v>
      </c>
      <c r="M14873" s="20" t="s">
        <v>35</v>
      </c>
      <c r="N14873" s="4" t="s">
        <v>5</v>
      </c>
      <c r="O14873" s="4" t="s">
        <v>7</v>
      </c>
      <c r="P14873" s="4" t="s">
        <v>11</v>
      </c>
      <c r="Q14873" s="20" t="s">
        <v>36</v>
      </c>
      <c r="R14873" s="4" t="s">
        <v>7</v>
      </c>
      <c r="S14873" s="4" t="s">
        <v>15</v>
      </c>
      <c r="T14873" s="4" t="s">
        <v>7</v>
      </c>
      <c r="U14873" s="4" t="s">
        <v>7</v>
      </c>
      <c r="V14873" s="4" t="s">
        <v>7</v>
      </c>
      <c r="W14873" s="4" t="s">
        <v>12</v>
      </c>
    </row>
    <row r="14874" spans="1:8">
      <c r="A14874" t="n">
        <v>141101</v>
      </c>
      <c r="B14874" s="10" t="n">
        <v>5</v>
      </c>
      <c r="C14874" s="7" t="n">
        <v>28</v>
      </c>
      <c r="D14874" s="20" t="s">
        <v>3</v>
      </c>
      <c r="E14874" s="8" t="n">
        <v>162</v>
      </c>
      <c r="F14874" s="7" t="n">
        <v>3</v>
      </c>
      <c r="G14874" s="7" t="n">
        <v>33149</v>
      </c>
      <c r="H14874" s="20" t="s">
        <v>3</v>
      </c>
      <c r="I14874" s="7" t="n">
        <v>0</v>
      </c>
      <c r="J14874" s="7" t="n">
        <v>1</v>
      </c>
      <c r="K14874" s="7" t="n">
        <v>2</v>
      </c>
      <c r="L14874" s="7" t="n">
        <v>28</v>
      </c>
      <c r="M14874" s="20" t="s">
        <v>3</v>
      </c>
      <c r="N14874" s="8" t="n">
        <v>162</v>
      </c>
      <c r="O14874" s="7" t="n">
        <v>3</v>
      </c>
      <c r="P14874" s="7" t="n">
        <v>33149</v>
      </c>
      <c r="Q14874" s="20" t="s">
        <v>3</v>
      </c>
      <c r="R14874" s="7" t="n">
        <v>0</v>
      </c>
      <c r="S14874" s="7" t="n">
        <v>2</v>
      </c>
      <c r="T14874" s="7" t="n">
        <v>2</v>
      </c>
      <c r="U14874" s="7" t="n">
        <v>11</v>
      </c>
      <c r="V14874" s="7" t="n">
        <v>1</v>
      </c>
      <c r="W14874" s="11" t="n">
        <f t="normal" ca="1">A14878</f>
        <v>0</v>
      </c>
    </row>
    <row r="14875" spans="1:8">
      <c r="A14875" t="s">
        <v>4</v>
      </c>
      <c r="B14875" s="4" t="s">
        <v>5</v>
      </c>
      <c r="C14875" s="4" t="s">
        <v>7</v>
      </c>
      <c r="D14875" s="4" t="s">
        <v>11</v>
      </c>
      <c r="E14875" s="4" t="s">
        <v>13</v>
      </c>
    </row>
    <row r="14876" spans="1:8">
      <c r="A14876" t="n">
        <v>141130</v>
      </c>
      <c r="B14876" s="23" t="n">
        <v>58</v>
      </c>
      <c r="C14876" s="7" t="n">
        <v>0</v>
      </c>
      <c r="D14876" s="7" t="n">
        <v>0</v>
      </c>
      <c r="E14876" s="7" t="n">
        <v>1</v>
      </c>
    </row>
    <row r="14877" spans="1:8">
      <c r="A14877" t="s">
        <v>4</v>
      </c>
      <c r="B14877" s="4" t="s">
        <v>5</v>
      </c>
      <c r="C14877" s="4" t="s">
        <v>7</v>
      </c>
      <c r="D14877" s="20" t="s">
        <v>35</v>
      </c>
      <c r="E14877" s="4" t="s">
        <v>5</v>
      </c>
      <c r="F14877" s="4" t="s">
        <v>7</v>
      </c>
      <c r="G14877" s="4" t="s">
        <v>11</v>
      </c>
      <c r="H14877" s="20" t="s">
        <v>36</v>
      </c>
      <c r="I14877" s="4" t="s">
        <v>7</v>
      </c>
      <c r="J14877" s="4" t="s">
        <v>15</v>
      </c>
      <c r="K14877" s="4" t="s">
        <v>7</v>
      </c>
      <c r="L14877" s="4" t="s">
        <v>7</v>
      </c>
      <c r="M14877" s="20" t="s">
        <v>35</v>
      </c>
      <c r="N14877" s="4" t="s">
        <v>5</v>
      </c>
      <c r="O14877" s="4" t="s">
        <v>7</v>
      </c>
      <c r="P14877" s="4" t="s">
        <v>11</v>
      </c>
      <c r="Q14877" s="20" t="s">
        <v>36</v>
      </c>
      <c r="R14877" s="4" t="s">
        <v>7</v>
      </c>
      <c r="S14877" s="4" t="s">
        <v>15</v>
      </c>
      <c r="T14877" s="4" t="s">
        <v>7</v>
      </c>
      <c r="U14877" s="4" t="s">
        <v>7</v>
      </c>
      <c r="V14877" s="4" t="s">
        <v>7</v>
      </c>
      <c r="W14877" s="4" t="s">
        <v>12</v>
      </c>
    </row>
    <row r="14878" spans="1:8">
      <c r="A14878" t="n">
        <v>141138</v>
      </c>
      <c r="B14878" s="10" t="n">
        <v>5</v>
      </c>
      <c r="C14878" s="7" t="n">
        <v>28</v>
      </c>
      <c r="D14878" s="20" t="s">
        <v>3</v>
      </c>
      <c r="E14878" s="8" t="n">
        <v>162</v>
      </c>
      <c r="F14878" s="7" t="n">
        <v>3</v>
      </c>
      <c r="G14878" s="7" t="n">
        <v>33149</v>
      </c>
      <c r="H14878" s="20" t="s">
        <v>3</v>
      </c>
      <c r="I14878" s="7" t="n">
        <v>0</v>
      </c>
      <c r="J14878" s="7" t="n">
        <v>1</v>
      </c>
      <c r="K14878" s="7" t="n">
        <v>3</v>
      </c>
      <c r="L14878" s="7" t="n">
        <v>28</v>
      </c>
      <c r="M14878" s="20" t="s">
        <v>3</v>
      </c>
      <c r="N14878" s="8" t="n">
        <v>162</v>
      </c>
      <c r="O14878" s="7" t="n">
        <v>3</v>
      </c>
      <c r="P14878" s="7" t="n">
        <v>33149</v>
      </c>
      <c r="Q14878" s="20" t="s">
        <v>3</v>
      </c>
      <c r="R14878" s="7" t="n">
        <v>0</v>
      </c>
      <c r="S14878" s="7" t="n">
        <v>2</v>
      </c>
      <c r="T14878" s="7" t="n">
        <v>3</v>
      </c>
      <c r="U14878" s="7" t="n">
        <v>9</v>
      </c>
      <c r="V14878" s="7" t="n">
        <v>1</v>
      </c>
      <c r="W14878" s="11" t="n">
        <f t="normal" ca="1">A14888</f>
        <v>0</v>
      </c>
    </row>
    <row r="14879" spans="1:8">
      <c r="A14879" t="s">
        <v>4</v>
      </c>
      <c r="B14879" s="4" t="s">
        <v>5</v>
      </c>
      <c r="C14879" s="4" t="s">
        <v>7</v>
      </c>
      <c r="D14879" s="20" t="s">
        <v>35</v>
      </c>
      <c r="E14879" s="4" t="s">
        <v>5</v>
      </c>
      <c r="F14879" s="4" t="s">
        <v>11</v>
      </c>
      <c r="G14879" s="4" t="s">
        <v>7</v>
      </c>
      <c r="H14879" s="4" t="s">
        <v>7</v>
      </c>
      <c r="I14879" s="4" t="s">
        <v>8</v>
      </c>
      <c r="J14879" s="20" t="s">
        <v>36</v>
      </c>
      <c r="K14879" s="4" t="s">
        <v>7</v>
      </c>
      <c r="L14879" s="4" t="s">
        <v>7</v>
      </c>
      <c r="M14879" s="20" t="s">
        <v>35</v>
      </c>
      <c r="N14879" s="4" t="s">
        <v>5</v>
      </c>
      <c r="O14879" s="4" t="s">
        <v>7</v>
      </c>
      <c r="P14879" s="20" t="s">
        <v>36</v>
      </c>
      <c r="Q14879" s="4" t="s">
        <v>7</v>
      </c>
      <c r="R14879" s="4" t="s">
        <v>15</v>
      </c>
      <c r="S14879" s="4" t="s">
        <v>7</v>
      </c>
      <c r="T14879" s="4" t="s">
        <v>7</v>
      </c>
      <c r="U14879" s="4" t="s">
        <v>7</v>
      </c>
      <c r="V14879" s="20" t="s">
        <v>35</v>
      </c>
      <c r="W14879" s="4" t="s">
        <v>5</v>
      </c>
      <c r="X14879" s="4" t="s">
        <v>7</v>
      </c>
      <c r="Y14879" s="20" t="s">
        <v>36</v>
      </c>
      <c r="Z14879" s="4" t="s">
        <v>7</v>
      </c>
      <c r="AA14879" s="4" t="s">
        <v>15</v>
      </c>
      <c r="AB14879" s="4" t="s">
        <v>7</v>
      </c>
      <c r="AC14879" s="4" t="s">
        <v>7</v>
      </c>
      <c r="AD14879" s="4" t="s">
        <v>7</v>
      </c>
      <c r="AE14879" s="4" t="s">
        <v>12</v>
      </c>
    </row>
    <row r="14880" spans="1:8">
      <c r="A14880" t="n">
        <v>141167</v>
      </c>
      <c r="B14880" s="10" t="n">
        <v>5</v>
      </c>
      <c r="C14880" s="7" t="n">
        <v>28</v>
      </c>
      <c r="D14880" s="20" t="s">
        <v>3</v>
      </c>
      <c r="E14880" s="41" t="n">
        <v>47</v>
      </c>
      <c r="F14880" s="7" t="n">
        <v>61456</v>
      </c>
      <c r="G14880" s="7" t="n">
        <v>2</v>
      </c>
      <c r="H14880" s="7" t="n">
        <v>0</v>
      </c>
      <c r="I14880" s="7" t="s">
        <v>105</v>
      </c>
      <c r="J14880" s="20" t="s">
        <v>3</v>
      </c>
      <c r="K14880" s="7" t="n">
        <v>8</v>
      </c>
      <c r="L14880" s="7" t="n">
        <v>28</v>
      </c>
      <c r="M14880" s="20" t="s">
        <v>3</v>
      </c>
      <c r="N14880" s="45" t="n">
        <v>74</v>
      </c>
      <c r="O14880" s="7" t="n">
        <v>65</v>
      </c>
      <c r="P14880" s="20" t="s">
        <v>3</v>
      </c>
      <c r="Q14880" s="7" t="n">
        <v>0</v>
      </c>
      <c r="R14880" s="7" t="n">
        <v>1</v>
      </c>
      <c r="S14880" s="7" t="n">
        <v>3</v>
      </c>
      <c r="T14880" s="7" t="n">
        <v>9</v>
      </c>
      <c r="U14880" s="7" t="n">
        <v>28</v>
      </c>
      <c r="V14880" s="20" t="s">
        <v>3</v>
      </c>
      <c r="W14880" s="45" t="n">
        <v>74</v>
      </c>
      <c r="X14880" s="7" t="n">
        <v>65</v>
      </c>
      <c r="Y14880" s="20" t="s">
        <v>3</v>
      </c>
      <c r="Z14880" s="7" t="n">
        <v>0</v>
      </c>
      <c r="AA14880" s="7" t="n">
        <v>2</v>
      </c>
      <c r="AB14880" s="7" t="n">
        <v>3</v>
      </c>
      <c r="AC14880" s="7" t="n">
        <v>9</v>
      </c>
      <c r="AD14880" s="7" t="n">
        <v>1</v>
      </c>
      <c r="AE14880" s="11" t="n">
        <f t="normal" ca="1">A14884</f>
        <v>0</v>
      </c>
    </row>
    <row r="14881" spans="1:31">
      <c r="A14881" t="s">
        <v>4</v>
      </c>
      <c r="B14881" s="4" t="s">
        <v>5</v>
      </c>
      <c r="C14881" s="4" t="s">
        <v>11</v>
      </c>
      <c r="D14881" s="4" t="s">
        <v>7</v>
      </c>
      <c r="E14881" s="4" t="s">
        <v>7</v>
      </c>
      <c r="F14881" s="4" t="s">
        <v>8</v>
      </c>
    </row>
    <row r="14882" spans="1:31">
      <c r="A14882" t="n">
        <v>141215</v>
      </c>
      <c r="B14882" s="41" t="n">
        <v>47</v>
      </c>
      <c r="C14882" s="7" t="n">
        <v>61456</v>
      </c>
      <c r="D14882" s="7" t="n">
        <v>0</v>
      </c>
      <c r="E14882" s="7" t="n">
        <v>0</v>
      </c>
      <c r="F14882" s="7" t="s">
        <v>106</v>
      </c>
    </row>
    <row r="14883" spans="1:31">
      <c r="A14883" t="s">
        <v>4</v>
      </c>
      <c r="B14883" s="4" t="s">
        <v>5</v>
      </c>
      <c r="C14883" s="4" t="s">
        <v>7</v>
      </c>
      <c r="D14883" s="4" t="s">
        <v>11</v>
      </c>
      <c r="E14883" s="4" t="s">
        <v>13</v>
      </c>
    </row>
    <row r="14884" spans="1:31">
      <c r="A14884" t="n">
        <v>141228</v>
      </c>
      <c r="B14884" s="23" t="n">
        <v>58</v>
      </c>
      <c r="C14884" s="7" t="n">
        <v>0</v>
      </c>
      <c r="D14884" s="7" t="n">
        <v>300</v>
      </c>
      <c r="E14884" s="7" t="n">
        <v>1</v>
      </c>
    </row>
    <row r="14885" spans="1:31">
      <c r="A14885" t="s">
        <v>4</v>
      </c>
      <c r="B14885" s="4" t="s">
        <v>5</v>
      </c>
      <c r="C14885" s="4" t="s">
        <v>7</v>
      </c>
      <c r="D14885" s="4" t="s">
        <v>11</v>
      </c>
    </row>
    <row r="14886" spans="1:31">
      <c r="A14886" t="n">
        <v>141236</v>
      </c>
      <c r="B14886" s="23" t="n">
        <v>58</v>
      </c>
      <c r="C14886" s="7" t="n">
        <v>255</v>
      </c>
      <c r="D14886" s="7" t="n">
        <v>0</v>
      </c>
    </row>
    <row r="14887" spans="1:31">
      <c r="A14887" t="s">
        <v>4</v>
      </c>
      <c r="B14887" s="4" t="s">
        <v>5</v>
      </c>
      <c r="C14887" s="4" t="s">
        <v>7</v>
      </c>
      <c r="D14887" s="4" t="s">
        <v>7</v>
      </c>
      <c r="E14887" s="4" t="s">
        <v>7</v>
      </c>
      <c r="F14887" s="4" t="s">
        <v>7</v>
      </c>
    </row>
    <row r="14888" spans="1:31">
      <c r="A14888" t="n">
        <v>141240</v>
      </c>
      <c r="B14888" s="9" t="n">
        <v>14</v>
      </c>
      <c r="C14888" s="7" t="n">
        <v>0</v>
      </c>
      <c r="D14888" s="7" t="n">
        <v>0</v>
      </c>
      <c r="E14888" s="7" t="n">
        <v>0</v>
      </c>
      <c r="F14888" s="7" t="n">
        <v>64</v>
      </c>
    </row>
    <row r="14889" spans="1:31">
      <c r="A14889" t="s">
        <v>4</v>
      </c>
      <c r="B14889" s="4" t="s">
        <v>5</v>
      </c>
      <c r="C14889" s="4" t="s">
        <v>7</v>
      </c>
      <c r="D14889" s="4" t="s">
        <v>11</v>
      </c>
    </row>
    <row r="14890" spans="1:31">
      <c r="A14890" t="n">
        <v>141245</v>
      </c>
      <c r="B14890" s="22" t="n">
        <v>22</v>
      </c>
      <c r="C14890" s="7" t="n">
        <v>0</v>
      </c>
      <c r="D14890" s="7" t="n">
        <v>33149</v>
      </c>
    </row>
    <row r="14891" spans="1:31">
      <c r="A14891" t="s">
        <v>4</v>
      </c>
      <c r="B14891" s="4" t="s">
        <v>5</v>
      </c>
      <c r="C14891" s="4" t="s">
        <v>7</v>
      </c>
      <c r="D14891" s="4" t="s">
        <v>11</v>
      </c>
    </row>
    <row r="14892" spans="1:31">
      <c r="A14892" t="n">
        <v>141249</v>
      </c>
      <c r="B14892" s="23" t="n">
        <v>58</v>
      </c>
      <c r="C14892" s="7" t="n">
        <v>5</v>
      </c>
      <c r="D14892" s="7" t="n">
        <v>300</v>
      </c>
    </row>
    <row r="14893" spans="1:31">
      <c r="A14893" t="s">
        <v>4</v>
      </c>
      <c r="B14893" s="4" t="s">
        <v>5</v>
      </c>
      <c r="C14893" s="4" t="s">
        <v>13</v>
      </c>
      <c r="D14893" s="4" t="s">
        <v>11</v>
      </c>
    </row>
    <row r="14894" spans="1:31">
      <c r="A14894" t="n">
        <v>141253</v>
      </c>
      <c r="B14894" s="46" t="n">
        <v>103</v>
      </c>
      <c r="C14894" s="7" t="n">
        <v>0</v>
      </c>
      <c r="D14894" s="7" t="n">
        <v>300</v>
      </c>
    </row>
    <row r="14895" spans="1:31">
      <c r="A14895" t="s">
        <v>4</v>
      </c>
      <c r="B14895" s="4" t="s">
        <v>5</v>
      </c>
      <c r="C14895" s="4" t="s">
        <v>7</v>
      </c>
    </row>
    <row r="14896" spans="1:31">
      <c r="A14896" t="n">
        <v>141260</v>
      </c>
      <c r="B14896" s="47" t="n">
        <v>64</v>
      </c>
      <c r="C14896" s="7" t="n">
        <v>7</v>
      </c>
    </row>
    <row r="14897" spans="1:6">
      <c r="A14897" t="s">
        <v>4</v>
      </c>
      <c r="B14897" s="4" t="s">
        <v>5</v>
      </c>
      <c r="C14897" s="4" t="s">
        <v>7</v>
      </c>
      <c r="D14897" s="4" t="s">
        <v>11</v>
      </c>
    </row>
    <row r="14898" spans="1:6">
      <c r="A14898" t="n">
        <v>141262</v>
      </c>
      <c r="B14898" s="48" t="n">
        <v>72</v>
      </c>
      <c r="C14898" s="7" t="n">
        <v>5</v>
      </c>
      <c r="D14898" s="7" t="n">
        <v>0</v>
      </c>
    </row>
    <row r="14899" spans="1:6">
      <c r="A14899" t="s">
        <v>4</v>
      </c>
      <c r="B14899" s="4" t="s">
        <v>5</v>
      </c>
      <c r="C14899" s="4" t="s">
        <v>7</v>
      </c>
      <c r="D14899" s="20" t="s">
        <v>35</v>
      </c>
      <c r="E14899" s="4" t="s">
        <v>5</v>
      </c>
      <c r="F14899" s="4" t="s">
        <v>7</v>
      </c>
      <c r="G14899" s="4" t="s">
        <v>11</v>
      </c>
      <c r="H14899" s="20" t="s">
        <v>36</v>
      </c>
      <c r="I14899" s="4" t="s">
        <v>7</v>
      </c>
      <c r="J14899" s="4" t="s">
        <v>15</v>
      </c>
      <c r="K14899" s="4" t="s">
        <v>7</v>
      </c>
      <c r="L14899" s="4" t="s">
        <v>7</v>
      </c>
      <c r="M14899" s="4" t="s">
        <v>12</v>
      </c>
    </row>
    <row r="14900" spans="1:6">
      <c r="A14900" t="n">
        <v>141266</v>
      </c>
      <c r="B14900" s="10" t="n">
        <v>5</v>
      </c>
      <c r="C14900" s="7" t="n">
        <v>28</v>
      </c>
      <c r="D14900" s="20" t="s">
        <v>3</v>
      </c>
      <c r="E14900" s="8" t="n">
        <v>162</v>
      </c>
      <c r="F14900" s="7" t="n">
        <v>4</v>
      </c>
      <c r="G14900" s="7" t="n">
        <v>33149</v>
      </c>
      <c r="H14900" s="20" t="s">
        <v>3</v>
      </c>
      <c r="I14900" s="7" t="n">
        <v>0</v>
      </c>
      <c r="J14900" s="7" t="n">
        <v>1</v>
      </c>
      <c r="K14900" s="7" t="n">
        <v>2</v>
      </c>
      <c r="L14900" s="7" t="n">
        <v>1</v>
      </c>
      <c r="M14900" s="11" t="n">
        <f t="normal" ca="1">A14906</f>
        <v>0</v>
      </c>
    </row>
    <row r="14901" spans="1:6">
      <c r="A14901" t="s">
        <v>4</v>
      </c>
      <c r="B14901" s="4" t="s">
        <v>5</v>
      </c>
      <c r="C14901" s="4" t="s">
        <v>7</v>
      </c>
      <c r="D14901" s="4" t="s">
        <v>8</v>
      </c>
    </row>
    <row r="14902" spans="1:6">
      <c r="A14902" t="n">
        <v>141283</v>
      </c>
      <c r="B14902" s="6" t="n">
        <v>2</v>
      </c>
      <c r="C14902" s="7" t="n">
        <v>10</v>
      </c>
      <c r="D14902" s="7" t="s">
        <v>107</v>
      </c>
    </row>
    <row r="14903" spans="1:6">
      <c r="A14903" t="s">
        <v>4</v>
      </c>
      <c r="B14903" s="4" t="s">
        <v>5</v>
      </c>
      <c r="C14903" s="4" t="s">
        <v>11</v>
      </c>
    </row>
    <row r="14904" spans="1:6">
      <c r="A14904" t="n">
        <v>141300</v>
      </c>
      <c r="B14904" s="29" t="n">
        <v>16</v>
      </c>
      <c r="C14904" s="7" t="n">
        <v>0</v>
      </c>
    </row>
    <row r="14905" spans="1:6">
      <c r="A14905" t="s">
        <v>4</v>
      </c>
      <c r="B14905" s="4" t="s">
        <v>5</v>
      </c>
      <c r="C14905" s="4" t="s">
        <v>7</v>
      </c>
      <c r="D14905" s="4" t="s">
        <v>11</v>
      </c>
      <c r="E14905" s="4" t="s">
        <v>11</v>
      </c>
      <c r="F14905" s="4" t="s">
        <v>11</v>
      </c>
      <c r="G14905" s="4" t="s">
        <v>11</v>
      </c>
      <c r="H14905" s="4" t="s">
        <v>11</v>
      </c>
      <c r="I14905" s="4" t="s">
        <v>11</v>
      </c>
      <c r="J14905" s="4" t="s">
        <v>11</v>
      </c>
      <c r="K14905" s="4" t="s">
        <v>11</v>
      </c>
      <c r="L14905" s="4" t="s">
        <v>11</v>
      </c>
      <c r="M14905" s="4" t="s">
        <v>11</v>
      </c>
      <c r="N14905" s="4" t="s">
        <v>15</v>
      </c>
      <c r="O14905" s="4" t="s">
        <v>15</v>
      </c>
      <c r="P14905" s="4" t="s">
        <v>15</v>
      </c>
      <c r="Q14905" s="4" t="s">
        <v>15</v>
      </c>
      <c r="R14905" s="4" t="s">
        <v>7</v>
      </c>
      <c r="S14905" s="4" t="s">
        <v>8</v>
      </c>
    </row>
    <row r="14906" spans="1:6">
      <c r="A14906" t="n">
        <v>141303</v>
      </c>
      <c r="B14906" s="24" t="n">
        <v>75</v>
      </c>
      <c r="C14906" s="7" t="n">
        <v>0</v>
      </c>
      <c r="D14906" s="7" t="n">
        <v>484</v>
      </c>
      <c r="E14906" s="7" t="n">
        <v>328</v>
      </c>
      <c r="F14906" s="7" t="n">
        <v>996</v>
      </c>
      <c r="G14906" s="7" t="n">
        <v>392</v>
      </c>
      <c r="H14906" s="7" t="n">
        <v>0</v>
      </c>
      <c r="I14906" s="7" t="n">
        <v>0</v>
      </c>
      <c r="J14906" s="7" t="n">
        <v>0</v>
      </c>
      <c r="K14906" s="7" t="n">
        <v>448</v>
      </c>
      <c r="L14906" s="7" t="n">
        <v>512</v>
      </c>
      <c r="M14906" s="7" t="n">
        <v>512</v>
      </c>
      <c r="N14906" s="7" t="n">
        <v>1065353216</v>
      </c>
      <c r="O14906" s="7" t="n">
        <v>1065353216</v>
      </c>
      <c r="P14906" s="7" t="n">
        <v>1065353216</v>
      </c>
      <c r="Q14906" s="7" t="n">
        <v>0</v>
      </c>
      <c r="R14906" s="7" t="n">
        <v>0</v>
      </c>
      <c r="S14906" s="7" t="s">
        <v>271</v>
      </c>
    </row>
    <row r="14907" spans="1:6">
      <c r="A14907" t="s">
        <v>4</v>
      </c>
      <c r="B14907" s="4" t="s">
        <v>5</v>
      </c>
      <c r="C14907" s="4" t="s">
        <v>11</v>
      </c>
      <c r="D14907" s="4" t="s">
        <v>7</v>
      </c>
      <c r="E14907" s="4" t="s">
        <v>7</v>
      </c>
      <c r="F14907" s="4" t="s">
        <v>8</v>
      </c>
    </row>
    <row r="14908" spans="1:6">
      <c r="A14908" t="n">
        <v>141352</v>
      </c>
      <c r="B14908" s="50" t="n">
        <v>20</v>
      </c>
      <c r="C14908" s="7" t="n">
        <v>0</v>
      </c>
      <c r="D14908" s="7" t="n">
        <v>3</v>
      </c>
      <c r="E14908" s="7" t="n">
        <v>10</v>
      </c>
      <c r="F14908" s="7" t="s">
        <v>108</v>
      </c>
    </row>
    <row r="14909" spans="1:6">
      <c r="A14909" t="s">
        <v>4</v>
      </c>
      <c r="B14909" s="4" t="s">
        <v>5</v>
      </c>
      <c r="C14909" s="4" t="s">
        <v>11</v>
      </c>
    </row>
    <row r="14910" spans="1:6">
      <c r="A14910" t="n">
        <v>141370</v>
      </c>
      <c r="B14910" s="29" t="n">
        <v>16</v>
      </c>
      <c r="C14910" s="7" t="n">
        <v>0</v>
      </c>
    </row>
    <row r="14911" spans="1:6">
      <c r="A14911" t="s">
        <v>4</v>
      </c>
      <c r="B14911" s="4" t="s">
        <v>5</v>
      </c>
      <c r="C14911" s="4" t="s">
        <v>7</v>
      </c>
    </row>
    <row r="14912" spans="1:6">
      <c r="A14912" t="n">
        <v>141373</v>
      </c>
      <c r="B14912" s="49" t="n">
        <v>116</v>
      </c>
      <c r="C14912" s="7" t="n">
        <v>0</v>
      </c>
    </row>
    <row r="14913" spans="1:19">
      <c r="A14913" t="s">
        <v>4</v>
      </c>
      <c r="B14913" s="4" t="s">
        <v>5</v>
      </c>
      <c r="C14913" s="4" t="s">
        <v>7</v>
      </c>
      <c r="D14913" s="4" t="s">
        <v>11</v>
      </c>
    </row>
    <row r="14914" spans="1:19">
      <c r="A14914" t="n">
        <v>141375</v>
      </c>
      <c r="B14914" s="49" t="n">
        <v>116</v>
      </c>
      <c r="C14914" s="7" t="n">
        <v>2</v>
      </c>
      <c r="D14914" s="7" t="n">
        <v>1</v>
      </c>
    </row>
    <row r="14915" spans="1:19">
      <c r="A14915" t="s">
        <v>4</v>
      </c>
      <c r="B14915" s="4" t="s">
        <v>5</v>
      </c>
      <c r="C14915" s="4" t="s">
        <v>7</v>
      </c>
      <c r="D14915" s="4" t="s">
        <v>15</v>
      </c>
    </row>
    <row r="14916" spans="1:19">
      <c r="A14916" t="n">
        <v>141379</v>
      </c>
      <c r="B14916" s="49" t="n">
        <v>116</v>
      </c>
      <c r="C14916" s="7" t="n">
        <v>5</v>
      </c>
      <c r="D14916" s="7" t="n">
        <v>1106247680</v>
      </c>
    </row>
    <row r="14917" spans="1:19">
      <c r="A14917" t="s">
        <v>4</v>
      </c>
      <c r="B14917" s="4" t="s">
        <v>5</v>
      </c>
      <c r="C14917" s="4" t="s">
        <v>7</v>
      </c>
      <c r="D14917" s="4" t="s">
        <v>11</v>
      </c>
    </row>
    <row r="14918" spans="1:19">
      <c r="A14918" t="n">
        <v>141385</v>
      </c>
      <c r="B14918" s="49" t="n">
        <v>116</v>
      </c>
      <c r="C14918" s="7" t="n">
        <v>6</v>
      </c>
      <c r="D14918" s="7" t="n">
        <v>1</v>
      </c>
    </row>
    <row r="14919" spans="1:19">
      <c r="A14919" t="s">
        <v>4</v>
      </c>
      <c r="B14919" s="4" t="s">
        <v>5</v>
      </c>
      <c r="C14919" s="4" t="s">
        <v>7</v>
      </c>
      <c r="D14919" s="4" t="s">
        <v>11</v>
      </c>
      <c r="E14919" s="4" t="s">
        <v>7</v>
      </c>
      <c r="F14919" s="4" t="s">
        <v>8</v>
      </c>
      <c r="G14919" s="4" t="s">
        <v>8</v>
      </c>
      <c r="H14919" s="4" t="s">
        <v>8</v>
      </c>
      <c r="I14919" s="4" t="s">
        <v>8</v>
      </c>
      <c r="J14919" s="4" t="s">
        <v>8</v>
      </c>
      <c r="K14919" s="4" t="s">
        <v>8</v>
      </c>
      <c r="L14919" s="4" t="s">
        <v>8</v>
      </c>
      <c r="M14919" s="4" t="s">
        <v>8</v>
      </c>
      <c r="N14919" s="4" t="s">
        <v>8</v>
      </c>
      <c r="O14919" s="4" t="s">
        <v>8</v>
      </c>
      <c r="P14919" s="4" t="s">
        <v>8</v>
      </c>
      <c r="Q14919" s="4" t="s">
        <v>8</v>
      </c>
      <c r="R14919" s="4" t="s">
        <v>8</v>
      </c>
      <c r="S14919" s="4" t="s">
        <v>8</v>
      </c>
      <c r="T14919" s="4" t="s">
        <v>8</v>
      </c>
      <c r="U14919" s="4" t="s">
        <v>8</v>
      </c>
    </row>
    <row r="14920" spans="1:19">
      <c r="A14920" t="n">
        <v>141389</v>
      </c>
      <c r="B14920" s="40" t="n">
        <v>36</v>
      </c>
      <c r="C14920" s="7" t="n">
        <v>8</v>
      </c>
      <c r="D14920" s="7" t="n">
        <v>0</v>
      </c>
      <c r="E14920" s="7" t="n">
        <v>0</v>
      </c>
      <c r="F14920" s="7" t="s">
        <v>202</v>
      </c>
      <c r="G14920" s="7" t="s">
        <v>16</v>
      </c>
      <c r="H14920" s="7" t="s">
        <v>16</v>
      </c>
      <c r="I14920" s="7" t="s">
        <v>16</v>
      </c>
      <c r="J14920" s="7" t="s">
        <v>16</v>
      </c>
      <c r="K14920" s="7" t="s">
        <v>16</v>
      </c>
      <c r="L14920" s="7" t="s">
        <v>16</v>
      </c>
      <c r="M14920" s="7" t="s">
        <v>16</v>
      </c>
      <c r="N14920" s="7" t="s">
        <v>16</v>
      </c>
      <c r="O14920" s="7" t="s">
        <v>16</v>
      </c>
      <c r="P14920" s="7" t="s">
        <v>16</v>
      </c>
      <c r="Q14920" s="7" t="s">
        <v>16</v>
      </c>
      <c r="R14920" s="7" t="s">
        <v>16</v>
      </c>
      <c r="S14920" s="7" t="s">
        <v>16</v>
      </c>
      <c r="T14920" s="7" t="s">
        <v>16</v>
      </c>
      <c r="U14920" s="7" t="s">
        <v>16</v>
      </c>
    </row>
    <row r="14921" spans="1:19">
      <c r="A14921" t="s">
        <v>4</v>
      </c>
      <c r="B14921" s="4" t="s">
        <v>5</v>
      </c>
      <c r="C14921" s="4" t="s">
        <v>11</v>
      </c>
      <c r="D14921" s="4" t="s">
        <v>13</v>
      </c>
      <c r="E14921" s="4" t="s">
        <v>13</v>
      </c>
      <c r="F14921" s="4" t="s">
        <v>13</v>
      </c>
      <c r="G14921" s="4" t="s">
        <v>13</v>
      </c>
    </row>
    <row r="14922" spans="1:19">
      <c r="A14922" t="n">
        <v>141418</v>
      </c>
      <c r="B14922" s="36" t="n">
        <v>46</v>
      </c>
      <c r="C14922" s="7" t="n">
        <v>0</v>
      </c>
      <c r="D14922" s="7" t="n">
        <v>4.78000020980835</v>
      </c>
      <c r="E14922" s="7" t="n">
        <v>0</v>
      </c>
      <c r="F14922" s="7" t="n">
        <v>45.3300018310547</v>
      </c>
      <c r="G14922" s="7" t="n">
        <v>-102.300003051758</v>
      </c>
    </row>
    <row r="14923" spans="1:19">
      <c r="A14923" t="s">
        <v>4</v>
      </c>
      <c r="B14923" s="4" t="s">
        <v>5</v>
      </c>
      <c r="C14923" s="4" t="s">
        <v>7</v>
      </c>
      <c r="D14923" s="4" t="s">
        <v>11</v>
      </c>
      <c r="E14923" s="4" t="s">
        <v>8</v>
      </c>
      <c r="F14923" s="4" t="s">
        <v>8</v>
      </c>
      <c r="G14923" s="4" t="s">
        <v>8</v>
      </c>
      <c r="H14923" s="4" t="s">
        <v>8</v>
      </c>
    </row>
    <row r="14924" spans="1:19">
      <c r="A14924" t="n">
        <v>141437</v>
      </c>
      <c r="B14924" s="38" t="n">
        <v>51</v>
      </c>
      <c r="C14924" s="7" t="n">
        <v>3</v>
      </c>
      <c r="D14924" s="7" t="n">
        <v>0</v>
      </c>
      <c r="E14924" s="7" t="s">
        <v>101</v>
      </c>
      <c r="F14924" s="7" t="s">
        <v>99</v>
      </c>
      <c r="G14924" s="7" t="s">
        <v>78</v>
      </c>
      <c r="H14924" s="7" t="s">
        <v>79</v>
      </c>
    </row>
    <row r="14925" spans="1:19">
      <c r="A14925" t="s">
        <v>4</v>
      </c>
      <c r="B14925" s="4" t="s">
        <v>5</v>
      </c>
      <c r="C14925" s="4" t="s">
        <v>7</v>
      </c>
      <c r="D14925" s="4" t="s">
        <v>7</v>
      </c>
      <c r="E14925" s="4" t="s">
        <v>13</v>
      </c>
      <c r="F14925" s="4" t="s">
        <v>13</v>
      </c>
      <c r="G14925" s="4" t="s">
        <v>13</v>
      </c>
      <c r="H14925" s="4" t="s">
        <v>11</v>
      </c>
    </row>
    <row r="14926" spans="1:19">
      <c r="A14926" t="n">
        <v>141458</v>
      </c>
      <c r="B14926" s="51" t="n">
        <v>45</v>
      </c>
      <c r="C14926" s="7" t="n">
        <v>2</v>
      </c>
      <c r="D14926" s="7" t="n">
        <v>3</v>
      </c>
      <c r="E14926" s="7" t="n">
        <v>-3</v>
      </c>
      <c r="F14926" s="7" t="n">
        <v>2.89000010490417</v>
      </c>
      <c r="G14926" s="7" t="n">
        <v>41.3699989318848</v>
      </c>
      <c r="H14926" s="7" t="n">
        <v>0</v>
      </c>
    </row>
    <row r="14927" spans="1:19">
      <c r="A14927" t="s">
        <v>4</v>
      </c>
      <c r="B14927" s="4" t="s">
        <v>5</v>
      </c>
      <c r="C14927" s="4" t="s">
        <v>7</v>
      </c>
      <c r="D14927" s="4" t="s">
        <v>7</v>
      </c>
      <c r="E14927" s="4" t="s">
        <v>13</v>
      </c>
      <c r="F14927" s="4" t="s">
        <v>13</v>
      </c>
      <c r="G14927" s="4" t="s">
        <v>13</v>
      </c>
      <c r="H14927" s="4" t="s">
        <v>11</v>
      </c>
      <c r="I14927" s="4" t="s">
        <v>7</v>
      </c>
    </row>
    <row r="14928" spans="1:19">
      <c r="A14928" t="n">
        <v>141475</v>
      </c>
      <c r="B14928" s="51" t="n">
        <v>45</v>
      </c>
      <c r="C14928" s="7" t="n">
        <v>4</v>
      </c>
      <c r="D14928" s="7" t="n">
        <v>3</v>
      </c>
      <c r="E14928" s="7" t="n">
        <v>0.649999976158142</v>
      </c>
      <c r="F14928" s="7" t="n">
        <v>105.529998779297</v>
      </c>
      <c r="G14928" s="7" t="n">
        <v>0</v>
      </c>
      <c r="H14928" s="7" t="n">
        <v>0</v>
      </c>
      <c r="I14928" s="7" t="n">
        <v>0</v>
      </c>
    </row>
    <row r="14929" spans="1:21">
      <c r="A14929" t="s">
        <v>4</v>
      </c>
      <c r="B14929" s="4" t="s">
        <v>5</v>
      </c>
      <c r="C14929" s="4" t="s">
        <v>7</v>
      </c>
      <c r="D14929" s="4" t="s">
        <v>7</v>
      </c>
      <c r="E14929" s="4" t="s">
        <v>13</v>
      </c>
      <c r="F14929" s="4" t="s">
        <v>11</v>
      </c>
    </row>
    <row r="14930" spans="1:21">
      <c r="A14930" t="n">
        <v>141493</v>
      </c>
      <c r="B14930" s="51" t="n">
        <v>45</v>
      </c>
      <c r="C14930" s="7" t="n">
        <v>5</v>
      </c>
      <c r="D14930" s="7" t="n">
        <v>3</v>
      </c>
      <c r="E14930" s="7" t="n">
        <v>2.40000009536743</v>
      </c>
      <c r="F14930" s="7" t="n">
        <v>0</v>
      </c>
    </row>
    <row r="14931" spans="1:21">
      <c r="A14931" t="s">
        <v>4</v>
      </c>
      <c r="B14931" s="4" t="s">
        <v>5</v>
      </c>
      <c r="C14931" s="4" t="s">
        <v>7</v>
      </c>
      <c r="D14931" s="4" t="s">
        <v>7</v>
      </c>
      <c r="E14931" s="4" t="s">
        <v>13</v>
      </c>
      <c r="F14931" s="4" t="s">
        <v>11</v>
      </c>
    </row>
    <row r="14932" spans="1:21">
      <c r="A14932" t="n">
        <v>141502</v>
      </c>
      <c r="B14932" s="51" t="n">
        <v>45</v>
      </c>
      <c r="C14932" s="7" t="n">
        <v>11</v>
      </c>
      <c r="D14932" s="7" t="n">
        <v>3</v>
      </c>
      <c r="E14932" s="7" t="n">
        <v>33.4000015258789</v>
      </c>
      <c r="F14932" s="7" t="n">
        <v>0</v>
      </c>
    </row>
    <row r="14933" spans="1:21">
      <c r="A14933" t="s">
        <v>4</v>
      </c>
      <c r="B14933" s="4" t="s">
        <v>5</v>
      </c>
      <c r="C14933" s="4" t="s">
        <v>11</v>
      </c>
      <c r="D14933" s="4" t="s">
        <v>13</v>
      </c>
      <c r="E14933" s="4" t="s">
        <v>13</v>
      </c>
      <c r="F14933" s="4" t="s">
        <v>13</v>
      </c>
      <c r="G14933" s="4" t="s">
        <v>11</v>
      </c>
      <c r="H14933" s="4" t="s">
        <v>11</v>
      </c>
    </row>
    <row r="14934" spans="1:21">
      <c r="A14934" t="n">
        <v>141511</v>
      </c>
      <c r="B14934" s="37" t="n">
        <v>60</v>
      </c>
      <c r="C14934" s="7" t="n">
        <v>0</v>
      </c>
      <c r="D14934" s="7" t="n">
        <v>0</v>
      </c>
      <c r="E14934" s="7" t="n">
        <v>20</v>
      </c>
      <c r="F14934" s="7" t="n">
        <v>0</v>
      </c>
      <c r="G14934" s="7" t="n">
        <v>0</v>
      </c>
      <c r="H14934" s="7" t="n">
        <v>0</v>
      </c>
    </row>
    <row r="14935" spans="1:21">
      <c r="A14935" t="s">
        <v>4</v>
      </c>
      <c r="B14935" s="4" t="s">
        <v>5</v>
      </c>
      <c r="C14935" s="4" t="s">
        <v>7</v>
      </c>
      <c r="D14935" s="4" t="s">
        <v>7</v>
      </c>
      <c r="E14935" s="4" t="s">
        <v>7</v>
      </c>
      <c r="F14935" s="4" t="s">
        <v>13</v>
      </c>
      <c r="G14935" s="4" t="s">
        <v>13</v>
      </c>
      <c r="H14935" s="4" t="s">
        <v>13</v>
      </c>
      <c r="I14935" s="4" t="s">
        <v>13</v>
      </c>
      <c r="J14935" s="4" t="s">
        <v>13</v>
      </c>
    </row>
    <row r="14936" spans="1:21">
      <c r="A14936" t="n">
        <v>141530</v>
      </c>
      <c r="B14936" s="25" t="n">
        <v>76</v>
      </c>
      <c r="C14936" s="7" t="n">
        <v>0</v>
      </c>
      <c r="D14936" s="7" t="n">
        <v>3</v>
      </c>
      <c r="E14936" s="7" t="n">
        <v>2</v>
      </c>
      <c r="F14936" s="7" t="n">
        <v>1</v>
      </c>
      <c r="G14936" s="7" t="n">
        <v>1</v>
      </c>
      <c r="H14936" s="7" t="n">
        <v>1</v>
      </c>
      <c r="I14936" s="7" t="n">
        <v>1</v>
      </c>
      <c r="J14936" s="7" t="n">
        <v>2000</v>
      </c>
    </row>
    <row r="14937" spans="1:21">
      <c r="A14937" t="s">
        <v>4</v>
      </c>
      <c r="B14937" s="4" t="s">
        <v>5</v>
      </c>
      <c r="C14937" s="4" t="s">
        <v>7</v>
      </c>
      <c r="D14937" s="4" t="s">
        <v>7</v>
      </c>
      <c r="E14937" s="4" t="s">
        <v>7</v>
      </c>
      <c r="F14937" s="4" t="s">
        <v>13</v>
      </c>
      <c r="G14937" s="4" t="s">
        <v>13</v>
      </c>
      <c r="H14937" s="4" t="s">
        <v>13</v>
      </c>
      <c r="I14937" s="4" t="s">
        <v>13</v>
      </c>
      <c r="J14937" s="4" t="s">
        <v>13</v>
      </c>
    </row>
    <row r="14938" spans="1:21">
      <c r="A14938" t="n">
        <v>141554</v>
      </c>
      <c r="B14938" s="25" t="n">
        <v>76</v>
      </c>
      <c r="C14938" s="7" t="n">
        <v>0</v>
      </c>
      <c r="D14938" s="7" t="n">
        <v>0</v>
      </c>
      <c r="E14938" s="7" t="n">
        <v>2</v>
      </c>
      <c r="F14938" s="7" t="n">
        <v>64</v>
      </c>
      <c r="G14938" s="7" t="n">
        <v>0</v>
      </c>
      <c r="H14938" s="7" t="n">
        <v>2000</v>
      </c>
      <c r="I14938" s="7" t="n">
        <v>0</v>
      </c>
      <c r="J14938" s="7" t="n">
        <v>0</v>
      </c>
    </row>
    <row r="14939" spans="1:21">
      <c r="A14939" t="s">
        <v>4</v>
      </c>
      <c r="B14939" s="4" t="s">
        <v>5</v>
      </c>
      <c r="C14939" s="4" t="s">
        <v>7</v>
      </c>
      <c r="D14939" s="4" t="s">
        <v>7</v>
      </c>
    </row>
    <row r="14940" spans="1:21">
      <c r="A14940" t="n">
        <v>141578</v>
      </c>
      <c r="B14940" s="26" t="n">
        <v>77</v>
      </c>
      <c r="C14940" s="7" t="n">
        <v>0</v>
      </c>
      <c r="D14940" s="7" t="n">
        <v>3</v>
      </c>
    </row>
    <row r="14941" spans="1:21">
      <c r="A14941" t="s">
        <v>4</v>
      </c>
      <c r="B14941" s="4" t="s">
        <v>5</v>
      </c>
      <c r="C14941" s="4" t="s">
        <v>7</v>
      </c>
      <c r="D14941" s="4" t="s">
        <v>7</v>
      </c>
    </row>
    <row r="14942" spans="1:21">
      <c r="A14942" t="n">
        <v>141581</v>
      </c>
      <c r="B14942" s="26" t="n">
        <v>77</v>
      </c>
      <c r="C14942" s="7" t="n">
        <v>0</v>
      </c>
      <c r="D14942" s="7" t="n">
        <v>0</v>
      </c>
    </row>
    <row r="14943" spans="1:21">
      <c r="A14943" t="s">
        <v>4</v>
      </c>
      <c r="B14943" s="4" t="s">
        <v>5</v>
      </c>
      <c r="C14943" s="4" t="s">
        <v>11</v>
      </c>
    </row>
    <row r="14944" spans="1:21">
      <c r="A14944" t="n">
        <v>141584</v>
      </c>
      <c r="B14944" s="29" t="n">
        <v>16</v>
      </c>
      <c r="C14944" s="7" t="n">
        <v>2000</v>
      </c>
    </row>
    <row r="14945" spans="1:10">
      <c r="A14945" t="s">
        <v>4</v>
      </c>
      <c r="B14945" s="4" t="s">
        <v>5</v>
      </c>
      <c r="C14945" s="4" t="s">
        <v>7</v>
      </c>
      <c r="D14945" s="4" t="s">
        <v>11</v>
      </c>
      <c r="E14945" s="4" t="s">
        <v>15</v>
      </c>
      <c r="F14945" s="4" t="s">
        <v>11</v>
      </c>
      <c r="G14945" s="4" t="s">
        <v>15</v>
      </c>
      <c r="H14945" s="4" t="s">
        <v>7</v>
      </c>
    </row>
    <row r="14946" spans="1:10">
      <c r="A14946" t="n">
        <v>141587</v>
      </c>
      <c r="B14946" s="13" t="n">
        <v>49</v>
      </c>
      <c r="C14946" s="7" t="n">
        <v>0</v>
      </c>
      <c r="D14946" s="7" t="n">
        <v>514</v>
      </c>
      <c r="E14946" s="7" t="n">
        <v>1065353216</v>
      </c>
      <c r="F14946" s="7" t="n">
        <v>0</v>
      </c>
      <c r="G14946" s="7" t="n">
        <v>0</v>
      </c>
      <c r="H14946" s="7" t="n">
        <v>0</v>
      </c>
    </row>
    <row r="14947" spans="1:10">
      <c r="A14947" t="s">
        <v>4</v>
      </c>
      <c r="B14947" s="4" t="s">
        <v>5</v>
      </c>
      <c r="C14947" s="4" t="s">
        <v>7</v>
      </c>
      <c r="D14947" s="4" t="s">
        <v>11</v>
      </c>
    </row>
    <row r="14948" spans="1:10">
      <c r="A14948" t="n">
        <v>141602</v>
      </c>
      <c r="B14948" s="13" t="n">
        <v>49</v>
      </c>
      <c r="C14948" s="7" t="n">
        <v>6</v>
      </c>
      <c r="D14948" s="7" t="n">
        <v>514</v>
      </c>
    </row>
    <row r="14949" spans="1:10">
      <c r="A14949" t="s">
        <v>4</v>
      </c>
      <c r="B14949" s="4" t="s">
        <v>5</v>
      </c>
      <c r="C14949" s="4" t="s">
        <v>7</v>
      </c>
      <c r="D14949" s="4" t="s">
        <v>7</v>
      </c>
      <c r="E14949" s="4" t="s">
        <v>7</v>
      </c>
      <c r="F14949" s="4" t="s">
        <v>13</v>
      </c>
      <c r="G14949" s="4" t="s">
        <v>13</v>
      </c>
      <c r="H14949" s="4" t="s">
        <v>13</v>
      </c>
      <c r="I14949" s="4" t="s">
        <v>13</v>
      </c>
      <c r="J14949" s="4" t="s">
        <v>13</v>
      </c>
    </row>
    <row r="14950" spans="1:10">
      <c r="A14950" t="n">
        <v>141606</v>
      </c>
      <c r="B14950" s="25" t="n">
        <v>76</v>
      </c>
      <c r="C14950" s="7" t="n">
        <v>0</v>
      </c>
      <c r="D14950" s="7" t="n">
        <v>3</v>
      </c>
      <c r="E14950" s="7" t="n">
        <v>1</v>
      </c>
      <c r="F14950" s="7" t="n">
        <v>1</v>
      </c>
      <c r="G14950" s="7" t="n">
        <v>1</v>
      </c>
      <c r="H14950" s="7" t="n">
        <v>1</v>
      </c>
      <c r="I14950" s="7" t="n">
        <v>0</v>
      </c>
      <c r="J14950" s="7" t="n">
        <v>2000</v>
      </c>
    </row>
    <row r="14951" spans="1:10">
      <c r="A14951" t="s">
        <v>4</v>
      </c>
      <c r="B14951" s="4" t="s">
        <v>5</v>
      </c>
      <c r="C14951" s="4" t="s">
        <v>7</v>
      </c>
      <c r="D14951" s="4" t="s">
        <v>7</v>
      </c>
      <c r="E14951" s="4" t="s">
        <v>7</v>
      </c>
      <c r="F14951" s="4" t="s">
        <v>13</v>
      </c>
      <c r="G14951" s="4" t="s">
        <v>13</v>
      </c>
      <c r="H14951" s="4" t="s">
        <v>13</v>
      </c>
      <c r="I14951" s="4" t="s">
        <v>13</v>
      </c>
      <c r="J14951" s="4" t="s">
        <v>13</v>
      </c>
    </row>
    <row r="14952" spans="1:10">
      <c r="A14952" t="n">
        <v>141630</v>
      </c>
      <c r="B14952" s="25" t="n">
        <v>76</v>
      </c>
      <c r="C14952" s="7" t="n">
        <v>0</v>
      </c>
      <c r="D14952" s="7" t="n">
        <v>0</v>
      </c>
      <c r="E14952" s="7" t="n">
        <v>1</v>
      </c>
      <c r="F14952" s="7" t="n">
        <v>128</v>
      </c>
      <c r="G14952" s="7" t="n">
        <v>0</v>
      </c>
      <c r="H14952" s="7" t="n">
        <v>2000</v>
      </c>
      <c r="I14952" s="7" t="n">
        <v>0</v>
      </c>
      <c r="J14952" s="7" t="n">
        <v>0</v>
      </c>
    </row>
    <row r="14953" spans="1:10">
      <c r="A14953" t="s">
        <v>4</v>
      </c>
      <c r="B14953" s="4" t="s">
        <v>5</v>
      </c>
      <c r="C14953" s="4" t="s">
        <v>7</v>
      </c>
      <c r="D14953" s="4" t="s">
        <v>7</v>
      </c>
    </row>
    <row r="14954" spans="1:10">
      <c r="A14954" t="n">
        <v>141654</v>
      </c>
      <c r="B14954" s="26" t="n">
        <v>77</v>
      </c>
      <c r="C14954" s="7" t="n">
        <v>0</v>
      </c>
      <c r="D14954" s="7" t="n">
        <v>3</v>
      </c>
    </row>
    <row r="14955" spans="1:10">
      <c r="A14955" t="s">
        <v>4</v>
      </c>
      <c r="B14955" s="4" t="s">
        <v>5</v>
      </c>
      <c r="C14955" s="4" t="s">
        <v>7</v>
      </c>
      <c r="D14955" s="4" t="s">
        <v>7</v>
      </c>
    </row>
    <row r="14956" spans="1:10">
      <c r="A14956" t="n">
        <v>141657</v>
      </c>
      <c r="B14956" s="26" t="n">
        <v>77</v>
      </c>
      <c r="C14956" s="7" t="n">
        <v>0</v>
      </c>
      <c r="D14956" s="7" t="n">
        <v>0</v>
      </c>
    </row>
    <row r="14957" spans="1:10">
      <c r="A14957" t="s">
        <v>4</v>
      </c>
      <c r="B14957" s="4" t="s">
        <v>5</v>
      </c>
      <c r="C14957" s="4" t="s">
        <v>7</v>
      </c>
      <c r="D14957" s="4" t="s">
        <v>7</v>
      </c>
      <c r="E14957" s="4" t="s">
        <v>13</v>
      </c>
      <c r="F14957" s="4" t="s">
        <v>13</v>
      </c>
      <c r="G14957" s="4" t="s">
        <v>13</v>
      </c>
      <c r="H14957" s="4" t="s">
        <v>11</v>
      </c>
    </row>
    <row r="14958" spans="1:10">
      <c r="A14958" t="n">
        <v>141660</v>
      </c>
      <c r="B14958" s="51" t="n">
        <v>45</v>
      </c>
      <c r="C14958" s="7" t="n">
        <v>2</v>
      </c>
      <c r="D14958" s="7" t="n">
        <v>3</v>
      </c>
      <c r="E14958" s="7" t="n">
        <v>5.23999977111816</v>
      </c>
      <c r="F14958" s="7" t="n">
        <v>2.15000009536743</v>
      </c>
      <c r="G14958" s="7" t="n">
        <v>43.8600006103516</v>
      </c>
      <c r="H14958" s="7" t="n">
        <v>8000</v>
      </c>
    </row>
    <row r="14959" spans="1:10">
      <c r="A14959" t="s">
        <v>4</v>
      </c>
      <c r="B14959" s="4" t="s">
        <v>5</v>
      </c>
      <c r="C14959" s="4" t="s">
        <v>7</v>
      </c>
      <c r="D14959" s="4" t="s">
        <v>7</v>
      </c>
      <c r="E14959" s="4" t="s">
        <v>13</v>
      </c>
      <c r="F14959" s="4" t="s">
        <v>13</v>
      </c>
      <c r="G14959" s="4" t="s">
        <v>13</v>
      </c>
      <c r="H14959" s="4" t="s">
        <v>11</v>
      </c>
      <c r="I14959" s="4" t="s">
        <v>7</v>
      </c>
    </row>
    <row r="14960" spans="1:10">
      <c r="A14960" t="n">
        <v>141677</v>
      </c>
      <c r="B14960" s="51" t="n">
        <v>45</v>
      </c>
      <c r="C14960" s="7" t="n">
        <v>4</v>
      </c>
      <c r="D14960" s="7" t="n">
        <v>3</v>
      </c>
      <c r="E14960" s="7" t="n">
        <v>12.4799995422363</v>
      </c>
      <c r="F14960" s="7" t="n">
        <v>144.25</v>
      </c>
      <c r="G14960" s="7" t="n">
        <v>0</v>
      </c>
      <c r="H14960" s="7" t="n">
        <v>8000</v>
      </c>
      <c r="I14960" s="7" t="n">
        <v>0</v>
      </c>
    </row>
    <row r="14961" spans="1:10">
      <c r="A14961" t="s">
        <v>4</v>
      </c>
      <c r="B14961" s="4" t="s">
        <v>5</v>
      </c>
      <c r="C14961" s="4" t="s">
        <v>7</v>
      </c>
      <c r="D14961" s="4" t="s">
        <v>7</v>
      </c>
      <c r="E14961" s="4" t="s">
        <v>13</v>
      </c>
      <c r="F14961" s="4" t="s">
        <v>11</v>
      </c>
    </row>
    <row r="14962" spans="1:10">
      <c r="A14962" t="n">
        <v>141695</v>
      </c>
      <c r="B14962" s="51" t="n">
        <v>45</v>
      </c>
      <c r="C14962" s="7" t="n">
        <v>5</v>
      </c>
      <c r="D14962" s="7" t="n">
        <v>3</v>
      </c>
      <c r="E14962" s="7" t="n">
        <v>2.40000009536743</v>
      </c>
      <c r="F14962" s="7" t="n">
        <v>8000</v>
      </c>
    </row>
    <row r="14963" spans="1:10">
      <c r="A14963" t="s">
        <v>4</v>
      </c>
      <c r="B14963" s="4" t="s">
        <v>5</v>
      </c>
      <c r="C14963" s="4" t="s">
        <v>7</v>
      </c>
      <c r="D14963" s="4" t="s">
        <v>7</v>
      </c>
      <c r="E14963" s="4" t="s">
        <v>13</v>
      </c>
      <c r="F14963" s="4" t="s">
        <v>11</v>
      </c>
    </row>
    <row r="14964" spans="1:10">
      <c r="A14964" t="n">
        <v>141704</v>
      </c>
      <c r="B14964" s="51" t="n">
        <v>45</v>
      </c>
      <c r="C14964" s="7" t="n">
        <v>11</v>
      </c>
      <c r="D14964" s="7" t="n">
        <v>3</v>
      </c>
      <c r="E14964" s="7" t="n">
        <v>33.4000015258789</v>
      </c>
      <c r="F14964" s="7" t="n">
        <v>8000</v>
      </c>
    </row>
    <row r="14965" spans="1:10">
      <c r="A14965" t="s">
        <v>4</v>
      </c>
      <c r="B14965" s="4" t="s">
        <v>5</v>
      </c>
      <c r="C14965" s="4" t="s">
        <v>7</v>
      </c>
      <c r="D14965" s="4" t="s">
        <v>11</v>
      </c>
      <c r="E14965" s="4" t="s">
        <v>13</v>
      </c>
    </row>
    <row r="14966" spans="1:10">
      <c r="A14966" t="n">
        <v>141713</v>
      </c>
      <c r="B14966" s="23" t="n">
        <v>58</v>
      </c>
      <c r="C14966" s="7" t="n">
        <v>100</v>
      </c>
      <c r="D14966" s="7" t="n">
        <v>1000</v>
      </c>
      <c r="E14966" s="7" t="n">
        <v>1</v>
      </c>
    </row>
    <row r="14967" spans="1:10">
      <c r="A14967" t="s">
        <v>4</v>
      </c>
      <c r="B14967" s="4" t="s">
        <v>5</v>
      </c>
      <c r="C14967" s="4" t="s">
        <v>7</v>
      </c>
      <c r="D14967" s="4" t="s">
        <v>11</v>
      </c>
    </row>
    <row r="14968" spans="1:10">
      <c r="A14968" t="n">
        <v>141721</v>
      </c>
      <c r="B14968" s="23" t="n">
        <v>58</v>
      </c>
      <c r="C14968" s="7" t="n">
        <v>255</v>
      </c>
      <c r="D14968" s="7" t="n">
        <v>0</v>
      </c>
    </row>
    <row r="14969" spans="1:10">
      <c r="A14969" t="s">
        <v>4</v>
      </c>
      <c r="B14969" s="4" t="s">
        <v>5</v>
      </c>
      <c r="C14969" s="4" t="s">
        <v>7</v>
      </c>
      <c r="D14969" s="4" t="s">
        <v>11</v>
      </c>
    </row>
    <row r="14970" spans="1:10">
      <c r="A14970" t="n">
        <v>141725</v>
      </c>
      <c r="B14970" s="51" t="n">
        <v>45</v>
      </c>
      <c r="C14970" s="7" t="n">
        <v>7</v>
      </c>
      <c r="D14970" s="7" t="n">
        <v>255</v>
      </c>
    </row>
    <row r="14971" spans="1:10">
      <c r="A14971" t="s">
        <v>4</v>
      </c>
      <c r="B14971" s="4" t="s">
        <v>5</v>
      </c>
      <c r="C14971" s="4" t="s">
        <v>7</v>
      </c>
      <c r="D14971" s="4" t="s">
        <v>11</v>
      </c>
      <c r="E14971" s="4" t="s">
        <v>13</v>
      </c>
    </row>
    <row r="14972" spans="1:10">
      <c r="A14972" t="n">
        <v>141729</v>
      </c>
      <c r="B14972" s="23" t="n">
        <v>58</v>
      </c>
      <c r="C14972" s="7" t="n">
        <v>101</v>
      </c>
      <c r="D14972" s="7" t="n">
        <v>800</v>
      </c>
      <c r="E14972" s="7" t="n">
        <v>1</v>
      </c>
    </row>
    <row r="14973" spans="1:10">
      <c r="A14973" t="s">
        <v>4</v>
      </c>
      <c r="B14973" s="4" t="s">
        <v>5</v>
      </c>
      <c r="C14973" s="4" t="s">
        <v>7</v>
      </c>
      <c r="D14973" s="4" t="s">
        <v>11</v>
      </c>
    </row>
    <row r="14974" spans="1:10">
      <c r="A14974" t="n">
        <v>141737</v>
      </c>
      <c r="B14974" s="23" t="n">
        <v>58</v>
      </c>
      <c r="C14974" s="7" t="n">
        <v>254</v>
      </c>
      <c r="D14974" s="7" t="n">
        <v>0</v>
      </c>
    </row>
    <row r="14975" spans="1:10">
      <c r="A14975" t="s">
        <v>4</v>
      </c>
      <c r="B14975" s="4" t="s">
        <v>5</v>
      </c>
      <c r="C14975" s="4" t="s">
        <v>7</v>
      </c>
      <c r="D14975" s="4" t="s">
        <v>7</v>
      </c>
      <c r="E14975" s="4" t="s">
        <v>13</v>
      </c>
      <c r="F14975" s="4" t="s">
        <v>13</v>
      </c>
      <c r="G14975" s="4" t="s">
        <v>13</v>
      </c>
      <c r="H14975" s="4" t="s">
        <v>11</v>
      </c>
    </row>
    <row r="14976" spans="1:10">
      <c r="A14976" t="n">
        <v>141741</v>
      </c>
      <c r="B14976" s="51" t="n">
        <v>45</v>
      </c>
      <c r="C14976" s="7" t="n">
        <v>2</v>
      </c>
      <c r="D14976" s="7" t="n">
        <v>3</v>
      </c>
      <c r="E14976" s="7" t="n">
        <v>4.26999998092651</v>
      </c>
      <c r="F14976" s="7" t="n">
        <v>2.44000005722046</v>
      </c>
      <c r="G14976" s="7" t="n">
        <v>44.1500015258789</v>
      </c>
      <c r="H14976" s="7" t="n">
        <v>0</v>
      </c>
    </row>
    <row r="14977" spans="1:8">
      <c r="A14977" t="s">
        <v>4</v>
      </c>
      <c r="B14977" s="4" t="s">
        <v>5</v>
      </c>
      <c r="C14977" s="4" t="s">
        <v>7</v>
      </c>
      <c r="D14977" s="4" t="s">
        <v>7</v>
      </c>
      <c r="E14977" s="4" t="s">
        <v>13</v>
      </c>
      <c r="F14977" s="4" t="s">
        <v>13</v>
      </c>
      <c r="G14977" s="4" t="s">
        <v>13</v>
      </c>
      <c r="H14977" s="4" t="s">
        <v>11</v>
      </c>
      <c r="I14977" s="4" t="s">
        <v>7</v>
      </c>
    </row>
    <row r="14978" spans="1:8">
      <c r="A14978" t="n">
        <v>141758</v>
      </c>
      <c r="B14978" s="51" t="n">
        <v>45</v>
      </c>
      <c r="C14978" s="7" t="n">
        <v>4</v>
      </c>
      <c r="D14978" s="7" t="n">
        <v>3</v>
      </c>
      <c r="E14978" s="7" t="n">
        <v>357.880004882813</v>
      </c>
      <c r="F14978" s="7" t="n">
        <v>321.779998779297</v>
      </c>
      <c r="G14978" s="7" t="n">
        <v>0</v>
      </c>
      <c r="H14978" s="7" t="n">
        <v>0</v>
      </c>
      <c r="I14978" s="7" t="n">
        <v>0</v>
      </c>
    </row>
    <row r="14979" spans="1:8">
      <c r="A14979" t="s">
        <v>4</v>
      </c>
      <c r="B14979" s="4" t="s">
        <v>5</v>
      </c>
      <c r="C14979" s="4" t="s">
        <v>7</v>
      </c>
      <c r="D14979" s="4" t="s">
        <v>7</v>
      </c>
      <c r="E14979" s="4" t="s">
        <v>13</v>
      </c>
      <c r="F14979" s="4" t="s">
        <v>11</v>
      </c>
    </row>
    <row r="14980" spans="1:8">
      <c r="A14980" t="n">
        <v>141776</v>
      </c>
      <c r="B14980" s="51" t="n">
        <v>45</v>
      </c>
      <c r="C14980" s="7" t="n">
        <v>5</v>
      </c>
      <c r="D14980" s="7" t="n">
        <v>3</v>
      </c>
      <c r="E14980" s="7" t="n">
        <v>2.40000009536743</v>
      </c>
      <c r="F14980" s="7" t="n">
        <v>0</v>
      </c>
    </row>
    <row r="14981" spans="1:8">
      <c r="A14981" t="s">
        <v>4</v>
      </c>
      <c r="B14981" s="4" t="s">
        <v>5</v>
      </c>
      <c r="C14981" s="4" t="s">
        <v>7</v>
      </c>
      <c r="D14981" s="4" t="s">
        <v>7</v>
      </c>
      <c r="E14981" s="4" t="s">
        <v>13</v>
      </c>
      <c r="F14981" s="4" t="s">
        <v>11</v>
      </c>
    </row>
    <row r="14982" spans="1:8">
      <c r="A14982" t="n">
        <v>141785</v>
      </c>
      <c r="B14982" s="51" t="n">
        <v>45</v>
      </c>
      <c r="C14982" s="7" t="n">
        <v>11</v>
      </c>
      <c r="D14982" s="7" t="n">
        <v>3</v>
      </c>
      <c r="E14982" s="7" t="n">
        <v>33.4000015258789</v>
      </c>
      <c r="F14982" s="7" t="n">
        <v>0</v>
      </c>
    </row>
    <row r="14983" spans="1:8">
      <c r="A14983" t="s">
        <v>4</v>
      </c>
      <c r="B14983" s="4" t="s">
        <v>5</v>
      </c>
      <c r="C14983" s="4" t="s">
        <v>7</v>
      </c>
      <c r="D14983" s="4" t="s">
        <v>7</v>
      </c>
      <c r="E14983" s="4" t="s">
        <v>13</v>
      </c>
      <c r="F14983" s="4" t="s">
        <v>13</v>
      </c>
      <c r="G14983" s="4" t="s">
        <v>13</v>
      </c>
      <c r="H14983" s="4" t="s">
        <v>11</v>
      </c>
    </row>
    <row r="14984" spans="1:8">
      <c r="A14984" t="n">
        <v>141794</v>
      </c>
      <c r="B14984" s="51" t="n">
        <v>45</v>
      </c>
      <c r="C14984" s="7" t="n">
        <v>2</v>
      </c>
      <c r="D14984" s="7" t="n">
        <v>3</v>
      </c>
      <c r="E14984" s="7" t="n">
        <v>4.76999998092651</v>
      </c>
      <c r="F14984" s="7" t="n">
        <v>1.45000004768372</v>
      </c>
      <c r="G14984" s="7" t="n">
        <v>45.2599983215332</v>
      </c>
      <c r="H14984" s="7" t="n">
        <v>8000</v>
      </c>
    </row>
    <row r="14985" spans="1:8">
      <c r="A14985" t="s">
        <v>4</v>
      </c>
      <c r="B14985" s="4" t="s">
        <v>5</v>
      </c>
      <c r="C14985" s="4" t="s">
        <v>7</v>
      </c>
      <c r="D14985" s="4" t="s">
        <v>7</v>
      </c>
      <c r="E14985" s="4" t="s">
        <v>13</v>
      </c>
      <c r="F14985" s="4" t="s">
        <v>13</v>
      </c>
      <c r="G14985" s="4" t="s">
        <v>13</v>
      </c>
      <c r="H14985" s="4" t="s">
        <v>11</v>
      </c>
      <c r="I14985" s="4" t="s">
        <v>7</v>
      </c>
    </row>
    <row r="14986" spans="1:8">
      <c r="A14986" t="n">
        <v>141811</v>
      </c>
      <c r="B14986" s="51" t="n">
        <v>45</v>
      </c>
      <c r="C14986" s="7" t="n">
        <v>4</v>
      </c>
      <c r="D14986" s="7" t="n">
        <v>3</v>
      </c>
      <c r="E14986" s="7" t="n">
        <v>358.660003662109</v>
      </c>
      <c r="F14986" s="7" t="n">
        <v>283.079986572266</v>
      </c>
      <c r="G14986" s="7" t="n">
        <v>0</v>
      </c>
      <c r="H14986" s="7" t="n">
        <v>8000</v>
      </c>
      <c r="I14986" s="7" t="n">
        <v>0</v>
      </c>
    </row>
    <row r="14987" spans="1:8">
      <c r="A14987" t="s">
        <v>4</v>
      </c>
      <c r="B14987" s="4" t="s">
        <v>5</v>
      </c>
      <c r="C14987" s="4" t="s">
        <v>7</v>
      </c>
      <c r="D14987" s="4" t="s">
        <v>7</v>
      </c>
      <c r="E14987" s="4" t="s">
        <v>13</v>
      </c>
      <c r="F14987" s="4" t="s">
        <v>11</v>
      </c>
    </row>
    <row r="14988" spans="1:8">
      <c r="A14988" t="n">
        <v>141829</v>
      </c>
      <c r="B14988" s="51" t="n">
        <v>45</v>
      </c>
      <c r="C14988" s="7" t="n">
        <v>5</v>
      </c>
      <c r="D14988" s="7" t="n">
        <v>3</v>
      </c>
      <c r="E14988" s="7" t="n">
        <v>2</v>
      </c>
      <c r="F14988" s="7" t="n">
        <v>8000</v>
      </c>
    </row>
    <row r="14989" spans="1:8">
      <c r="A14989" t="s">
        <v>4</v>
      </c>
      <c r="B14989" s="4" t="s">
        <v>5</v>
      </c>
      <c r="C14989" s="4" t="s">
        <v>7</v>
      </c>
      <c r="D14989" s="4" t="s">
        <v>11</v>
      </c>
    </row>
    <row r="14990" spans="1:8">
      <c r="A14990" t="n">
        <v>141838</v>
      </c>
      <c r="B14990" s="23" t="n">
        <v>58</v>
      </c>
      <c r="C14990" s="7" t="n">
        <v>255</v>
      </c>
      <c r="D14990" s="7" t="n">
        <v>0</v>
      </c>
    </row>
    <row r="14991" spans="1:8">
      <c r="A14991" t="s">
        <v>4</v>
      </c>
      <c r="B14991" s="4" t="s">
        <v>5</v>
      </c>
      <c r="C14991" s="4" t="s">
        <v>7</v>
      </c>
      <c r="D14991" s="4" t="s">
        <v>11</v>
      </c>
    </row>
    <row r="14992" spans="1:8">
      <c r="A14992" t="n">
        <v>141842</v>
      </c>
      <c r="B14992" s="51" t="n">
        <v>45</v>
      </c>
      <c r="C14992" s="7" t="n">
        <v>7</v>
      </c>
      <c r="D14992" s="7" t="n">
        <v>255</v>
      </c>
    </row>
    <row r="14993" spans="1:9">
      <c r="A14993" t="s">
        <v>4</v>
      </c>
      <c r="B14993" s="4" t="s">
        <v>5</v>
      </c>
      <c r="C14993" s="4" t="s">
        <v>7</v>
      </c>
      <c r="D14993" s="4" t="s">
        <v>11</v>
      </c>
      <c r="E14993" s="4" t="s">
        <v>13</v>
      </c>
    </row>
    <row r="14994" spans="1:9">
      <c r="A14994" t="n">
        <v>141846</v>
      </c>
      <c r="B14994" s="23" t="n">
        <v>58</v>
      </c>
      <c r="C14994" s="7" t="n">
        <v>101</v>
      </c>
      <c r="D14994" s="7" t="n">
        <v>800</v>
      </c>
      <c r="E14994" s="7" t="n">
        <v>1</v>
      </c>
    </row>
    <row r="14995" spans="1:9">
      <c r="A14995" t="s">
        <v>4</v>
      </c>
      <c r="B14995" s="4" t="s">
        <v>5</v>
      </c>
      <c r="C14995" s="4" t="s">
        <v>7</v>
      </c>
      <c r="D14995" s="4" t="s">
        <v>11</v>
      </c>
    </row>
    <row r="14996" spans="1:9">
      <c r="A14996" t="n">
        <v>141854</v>
      </c>
      <c r="B14996" s="23" t="n">
        <v>58</v>
      </c>
      <c r="C14996" s="7" t="n">
        <v>254</v>
      </c>
      <c r="D14996" s="7" t="n">
        <v>0</v>
      </c>
    </row>
    <row r="14997" spans="1:9">
      <c r="A14997" t="s">
        <v>4</v>
      </c>
      <c r="B14997" s="4" t="s">
        <v>5</v>
      </c>
      <c r="C14997" s="4" t="s">
        <v>11</v>
      </c>
      <c r="D14997" s="4" t="s">
        <v>13</v>
      </c>
      <c r="E14997" s="4" t="s">
        <v>13</v>
      </c>
      <c r="F14997" s="4" t="s">
        <v>13</v>
      </c>
      <c r="G14997" s="4" t="s">
        <v>11</v>
      </c>
      <c r="H14997" s="4" t="s">
        <v>11</v>
      </c>
    </row>
    <row r="14998" spans="1:9">
      <c r="A14998" t="n">
        <v>141858</v>
      </c>
      <c r="B14998" s="37" t="n">
        <v>60</v>
      </c>
      <c r="C14998" s="7" t="n">
        <v>0</v>
      </c>
      <c r="D14998" s="7" t="n">
        <v>0</v>
      </c>
      <c r="E14998" s="7" t="n">
        <v>10</v>
      </c>
      <c r="F14998" s="7" t="n">
        <v>0</v>
      </c>
      <c r="G14998" s="7" t="n">
        <v>0</v>
      </c>
      <c r="H14998" s="7" t="n">
        <v>0</v>
      </c>
    </row>
    <row r="14999" spans="1:9">
      <c r="A14999" t="s">
        <v>4</v>
      </c>
      <c r="B14999" s="4" t="s">
        <v>5</v>
      </c>
      <c r="C14999" s="4" t="s">
        <v>7</v>
      </c>
      <c r="D14999" s="4" t="s">
        <v>7</v>
      </c>
      <c r="E14999" s="4" t="s">
        <v>13</v>
      </c>
      <c r="F14999" s="4" t="s">
        <v>13</v>
      </c>
      <c r="G14999" s="4" t="s">
        <v>13</v>
      </c>
      <c r="H14999" s="4" t="s">
        <v>11</v>
      </c>
    </row>
    <row r="15000" spans="1:9">
      <c r="A15000" t="n">
        <v>141877</v>
      </c>
      <c r="B15000" s="51" t="n">
        <v>45</v>
      </c>
      <c r="C15000" s="7" t="n">
        <v>2</v>
      </c>
      <c r="D15000" s="7" t="n">
        <v>3</v>
      </c>
      <c r="E15000" s="7" t="n">
        <v>4.84999990463257</v>
      </c>
      <c r="F15000" s="7" t="n">
        <v>1.50999999046326</v>
      </c>
      <c r="G15000" s="7" t="n">
        <v>45.2999992370605</v>
      </c>
      <c r="H15000" s="7" t="n">
        <v>0</v>
      </c>
    </row>
    <row r="15001" spans="1:9">
      <c r="A15001" t="s">
        <v>4</v>
      </c>
      <c r="B15001" s="4" t="s">
        <v>5</v>
      </c>
      <c r="C15001" s="4" t="s">
        <v>7</v>
      </c>
      <c r="D15001" s="4" t="s">
        <v>7</v>
      </c>
      <c r="E15001" s="4" t="s">
        <v>13</v>
      </c>
      <c r="F15001" s="4" t="s">
        <v>13</v>
      </c>
      <c r="G15001" s="4" t="s">
        <v>13</v>
      </c>
      <c r="H15001" s="4" t="s">
        <v>11</v>
      </c>
      <c r="I15001" s="4" t="s">
        <v>7</v>
      </c>
    </row>
    <row r="15002" spans="1:9">
      <c r="A15002" t="n">
        <v>141894</v>
      </c>
      <c r="B15002" s="51" t="n">
        <v>45</v>
      </c>
      <c r="C15002" s="7" t="n">
        <v>4</v>
      </c>
      <c r="D15002" s="7" t="n">
        <v>3</v>
      </c>
      <c r="E15002" s="7" t="n">
        <v>357.279998779297</v>
      </c>
      <c r="F15002" s="7" t="n">
        <v>110.430000305176</v>
      </c>
      <c r="G15002" s="7" t="n">
        <v>0</v>
      </c>
      <c r="H15002" s="7" t="n">
        <v>0</v>
      </c>
      <c r="I15002" s="7" t="n">
        <v>0</v>
      </c>
    </row>
    <row r="15003" spans="1:9">
      <c r="A15003" t="s">
        <v>4</v>
      </c>
      <c r="B15003" s="4" t="s">
        <v>5</v>
      </c>
      <c r="C15003" s="4" t="s">
        <v>7</v>
      </c>
      <c r="D15003" s="4" t="s">
        <v>7</v>
      </c>
      <c r="E15003" s="4" t="s">
        <v>13</v>
      </c>
      <c r="F15003" s="4" t="s">
        <v>13</v>
      </c>
      <c r="G15003" s="4" t="s">
        <v>13</v>
      </c>
      <c r="H15003" s="4" t="s">
        <v>11</v>
      </c>
      <c r="I15003" s="4" t="s">
        <v>7</v>
      </c>
    </row>
    <row r="15004" spans="1:9">
      <c r="A15004" t="n">
        <v>141912</v>
      </c>
      <c r="B15004" s="51" t="n">
        <v>45</v>
      </c>
      <c r="C15004" s="7" t="n">
        <v>4</v>
      </c>
      <c r="D15004" s="7" t="n">
        <v>3</v>
      </c>
      <c r="E15004" s="7" t="n">
        <v>357.279998779297</v>
      </c>
      <c r="F15004" s="7" t="n">
        <v>71.120002746582</v>
      </c>
      <c r="G15004" s="7" t="n">
        <v>0</v>
      </c>
      <c r="H15004" s="7" t="n">
        <v>6000</v>
      </c>
      <c r="I15004" s="7" t="n">
        <v>0</v>
      </c>
    </row>
    <row r="15005" spans="1:9">
      <c r="A15005" t="s">
        <v>4</v>
      </c>
      <c r="B15005" s="4" t="s">
        <v>5</v>
      </c>
      <c r="C15005" s="4" t="s">
        <v>7</v>
      </c>
      <c r="D15005" s="4" t="s">
        <v>7</v>
      </c>
      <c r="E15005" s="4" t="s">
        <v>13</v>
      </c>
      <c r="F15005" s="4" t="s">
        <v>11</v>
      </c>
    </row>
    <row r="15006" spans="1:9">
      <c r="A15006" t="n">
        <v>141930</v>
      </c>
      <c r="B15006" s="51" t="n">
        <v>45</v>
      </c>
      <c r="C15006" s="7" t="n">
        <v>5</v>
      </c>
      <c r="D15006" s="7" t="n">
        <v>3</v>
      </c>
      <c r="E15006" s="7" t="n">
        <v>1.79999995231628</v>
      </c>
      <c r="F15006" s="7" t="n">
        <v>0</v>
      </c>
    </row>
    <row r="15007" spans="1:9">
      <c r="A15007" t="s">
        <v>4</v>
      </c>
      <c r="B15007" s="4" t="s">
        <v>5</v>
      </c>
      <c r="C15007" s="4" t="s">
        <v>7</v>
      </c>
      <c r="D15007" s="4" t="s">
        <v>7</v>
      </c>
      <c r="E15007" s="4" t="s">
        <v>13</v>
      </c>
      <c r="F15007" s="4" t="s">
        <v>11</v>
      </c>
    </row>
    <row r="15008" spans="1:9">
      <c r="A15008" t="n">
        <v>141939</v>
      </c>
      <c r="B15008" s="51" t="n">
        <v>45</v>
      </c>
      <c r="C15008" s="7" t="n">
        <v>11</v>
      </c>
      <c r="D15008" s="7" t="n">
        <v>3</v>
      </c>
      <c r="E15008" s="7" t="n">
        <v>33.4000015258789</v>
      </c>
      <c r="F15008" s="7" t="n">
        <v>0</v>
      </c>
    </row>
    <row r="15009" spans="1:9">
      <c r="A15009" t="s">
        <v>4</v>
      </c>
      <c r="B15009" s="4" t="s">
        <v>5</v>
      </c>
      <c r="C15009" s="4" t="s">
        <v>7</v>
      </c>
      <c r="D15009" s="4" t="s">
        <v>11</v>
      </c>
    </row>
    <row r="15010" spans="1:9">
      <c r="A15010" t="n">
        <v>141948</v>
      </c>
      <c r="B15010" s="23" t="n">
        <v>58</v>
      </c>
      <c r="C15010" s="7" t="n">
        <v>255</v>
      </c>
      <c r="D15010" s="7" t="n">
        <v>0</v>
      </c>
    </row>
    <row r="15011" spans="1:9">
      <c r="A15011" t="s">
        <v>4</v>
      </c>
      <c r="B15011" s="4" t="s">
        <v>5</v>
      </c>
      <c r="C15011" s="4" t="s">
        <v>11</v>
      </c>
      <c r="D15011" s="4" t="s">
        <v>13</v>
      </c>
      <c r="E15011" s="4" t="s">
        <v>13</v>
      </c>
      <c r="F15011" s="4" t="s">
        <v>13</v>
      </c>
      <c r="G15011" s="4" t="s">
        <v>11</v>
      </c>
      <c r="H15011" s="4" t="s">
        <v>11</v>
      </c>
    </row>
    <row r="15012" spans="1:9">
      <c r="A15012" t="n">
        <v>141952</v>
      </c>
      <c r="B15012" s="37" t="n">
        <v>60</v>
      </c>
      <c r="C15012" s="7" t="n">
        <v>0</v>
      </c>
      <c r="D15012" s="7" t="n">
        <v>-30</v>
      </c>
      <c r="E15012" s="7" t="n">
        <v>10</v>
      </c>
      <c r="F15012" s="7" t="n">
        <v>0</v>
      </c>
      <c r="G15012" s="7" t="n">
        <v>1000</v>
      </c>
      <c r="H15012" s="7" t="n">
        <v>0</v>
      </c>
    </row>
    <row r="15013" spans="1:9">
      <c r="A15013" t="s">
        <v>4</v>
      </c>
      <c r="B15013" s="4" t="s">
        <v>5</v>
      </c>
      <c r="C15013" s="4" t="s">
        <v>11</v>
      </c>
    </row>
    <row r="15014" spans="1:9">
      <c r="A15014" t="n">
        <v>141971</v>
      </c>
      <c r="B15014" s="29" t="n">
        <v>16</v>
      </c>
      <c r="C15014" s="7" t="n">
        <v>1000</v>
      </c>
    </row>
    <row r="15015" spans="1:9">
      <c r="A15015" t="s">
        <v>4</v>
      </c>
      <c r="B15015" s="4" t="s">
        <v>5</v>
      </c>
      <c r="C15015" s="4" t="s">
        <v>11</v>
      </c>
      <c r="D15015" s="4" t="s">
        <v>13</v>
      </c>
      <c r="E15015" s="4" t="s">
        <v>13</v>
      </c>
      <c r="F15015" s="4" t="s">
        <v>13</v>
      </c>
      <c r="G15015" s="4" t="s">
        <v>11</v>
      </c>
      <c r="H15015" s="4" t="s">
        <v>11</v>
      </c>
    </row>
    <row r="15016" spans="1:9">
      <c r="A15016" t="n">
        <v>141974</v>
      </c>
      <c r="B15016" s="37" t="n">
        <v>60</v>
      </c>
      <c r="C15016" s="7" t="n">
        <v>0</v>
      </c>
      <c r="D15016" s="7" t="n">
        <v>30</v>
      </c>
      <c r="E15016" s="7" t="n">
        <v>10</v>
      </c>
      <c r="F15016" s="7" t="n">
        <v>0</v>
      </c>
      <c r="G15016" s="7" t="n">
        <v>2000</v>
      </c>
      <c r="H15016" s="7" t="n">
        <v>0</v>
      </c>
    </row>
    <row r="15017" spans="1:9">
      <c r="A15017" t="s">
        <v>4</v>
      </c>
      <c r="B15017" s="4" t="s">
        <v>5</v>
      </c>
      <c r="C15017" s="4" t="s">
        <v>11</v>
      </c>
    </row>
    <row r="15018" spans="1:9">
      <c r="A15018" t="n">
        <v>141993</v>
      </c>
      <c r="B15018" s="29" t="n">
        <v>16</v>
      </c>
      <c r="C15018" s="7" t="n">
        <v>2000</v>
      </c>
    </row>
    <row r="15019" spans="1:9">
      <c r="A15019" t="s">
        <v>4</v>
      </c>
      <c r="B15019" s="4" t="s">
        <v>5</v>
      </c>
      <c r="C15019" s="4" t="s">
        <v>11</v>
      </c>
      <c r="D15019" s="4" t="s">
        <v>13</v>
      </c>
      <c r="E15019" s="4" t="s">
        <v>13</v>
      </c>
      <c r="F15019" s="4" t="s">
        <v>13</v>
      </c>
      <c r="G15019" s="4" t="s">
        <v>11</v>
      </c>
      <c r="H15019" s="4" t="s">
        <v>11</v>
      </c>
    </row>
    <row r="15020" spans="1:9">
      <c r="A15020" t="n">
        <v>141996</v>
      </c>
      <c r="B15020" s="37" t="n">
        <v>60</v>
      </c>
      <c r="C15020" s="7" t="n">
        <v>0</v>
      </c>
      <c r="D15020" s="7" t="n">
        <v>0</v>
      </c>
      <c r="E15020" s="7" t="n">
        <v>10</v>
      </c>
      <c r="F15020" s="7" t="n">
        <v>0</v>
      </c>
      <c r="G15020" s="7" t="n">
        <v>1000</v>
      </c>
      <c r="H15020" s="7" t="n">
        <v>0</v>
      </c>
    </row>
    <row r="15021" spans="1:9">
      <c r="A15021" t="s">
        <v>4</v>
      </c>
      <c r="B15021" s="4" t="s">
        <v>5</v>
      </c>
      <c r="C15021" s="4" t="s">
        <v>11</v>
      </c>
    </row>
    <row r="15022" spans="1:9">
      <c r="A15022" t="n">
        <v>142015</v>
      </c>
      <c r="B15022" s="29" t="n">
        <v>16</v>
      </c>
      <c r="C15022" s="7" t="n">
        <v>1000</v>
      </c>
    </row>
    <row r="15023" spans="1:9">
      <c r="A15023" t="s">
        <v>4</v>
      </c>
      <c r="B15023" s="4" t="s">
        <v>5</v>
      </c>
      <c r="C15023" s="4" t="s">
        <v>7</v>
      </c>
      <c r="D15023" s="4" t="s">
        <v>11</v>
      </c>
    </row>
    <row r="15024" spans="1:9">
      <c r="A15024" t="n">
        <v>142018</v>
      </c>
      <c r="B15024" s="51" t="n">
        <v>45</v>
      </c>
      <c r="C15024" s="7" t="n">
        <v>7</v>
      </c>
      <c r="D15024" s="7" t="n">
        <v>255</v>
      </c>
    </row>
    <row r="15025" spans="1:8">
      <c r="A15025" t="s">
        <v>4</v>
      </c>
      <c r="B15025" s="4" t="s">
        <v>5</v>
      </c>
      <c r="C15025" s="4" t="s">
        <v>7</v>
      </c>
      <c r="D15025" s="4" t="s">
        <v>11</v>
      </c>
      <c r="E15025" s="4" t="s">
        <v>8</v>
      </c>
    </row>
    <row r="15026" spans="1:8">
      <c r="A15026" t="n">
        <v>142022</v>
      </c>
      <c r="B15026" s="38" t="n">
        <v>51</v>
      </c>
      <c r="C15026" s="7" t="n">
        <v>4</v>
      </c>
      <c r="D15026" s="7" t="n">
        <v>0</v>
      </c>
      <c r="E15026" s="7" t="s">
        <v>1178</v>
      </c>
    </row>
    <row r="15027" spans="1:8">
      <c r="A15027" t="s">
        <v>4</v>
      </c>
      <c r="B15027" s="4" t="s">
        <v>5</v>
      </c>
      <c r="C15027" s="4" t="s">
        <v>11</v>
      </c>
    </row>
    <row r="15028" spans="1:8">
      <c r="A15028" t="n">
        <v>142036</v>
      </c>
      <c r="B15028" s="29" t="n">
        <v>16</v>
      </c>
      <c r="C15028" s="7" t="n">
        <v>0</v>
      </c>
    </row>
    <row r="15029" spans="1:8">
      <c r="A15029" t="s">
        <v>4</v>
      </c>
      <c r="B15029" s="4" t="s">
        <v>5</v>
      </c>
      <c r="C15029" s="4" t="s">
        <v>11</v>
      </c>
      <c r="D15029" s="4" t="s">
        <v>7</v>
      </c>
      <c r="E15029" s="4" t="s">
        <v>15</v>
      </c>
      <c r="F15029" s="4" t="s">
        <v>55</v>
      </c>
      <c r="G15029" s="4" t="s">
        <v>7</v>
      </c>
      <c r="H15029" s="4" t="s">
        <v>7</v>
      </c>
      <c r="I15029" s="4" t="s">
        <v>7</v>
      </c>
      <c r="J15029" s="4" t="s">
        <v>15</v>
      </c>
      <c r="K15029" s="4" t="s">
        <v>55</v>
      </c>
      <c r="L15029" s="4" t="s">
        <v>7</v>
      </c>
      <c r="M15029" s="4" t="s">
        <v>7</v>
      </c>
    </row>
    <row r="15030" spans="1:8">
      <c r="A15030" t="n">
        <v>142039</v>
      </c>
      <c r="B15030" s="55" t="n">
        <v>26</v>
      </c>
      <c r="C15030" s="7" t="n">
        <v>0</v>
      </c>
      <c r="D15030" s="7" t="n">
        <v>17</v>
      </c>
      <c r="E15030" s="7" t="n">
        <v>64240</v>
      </c>
      <c r="F15030" s="7" t="s">
        <v>1179</v>
      </c>
      <c r="G15030" s="7" t="n">
        <v>2</v>
      </c>
      <c r="H15030" s="7" t="n">
        <v>3</v>
      </c>
      <c r="I15030" s="7" t="n">
        <v>17</v>
      </c>
      <c r="J15030" s="7" t="n">
        <v>64241</v>
      </c>
      <c r="K15030" s="7" t="s">
        <v>1180</v>
      </c>
      <c r="L15030" s="7" t="n">
        <v>2</v>
      </c>
      <c r="M15030" s="7" t="n">
        <v>0</v>
      </c>
    </row>
    <row r="15031" spans="1:8">
      <c r="A15031" t="s">
        <v>4</v>
      </c>
      <c r="B15031" s="4" t="s">
        <v>5</v>
      </c>
    </row>
    <row r="15032" spans="1:8">
      <c r="A15032" t="n">
        <v>142199</v>
      </c>
      <c r="B15032" s="27" t="n">
        <v>28</v>
      </c>
    </row>
    <row r="15033" spans="1:8">
      <c r="A15033" t="s">
        <v>4</v>
      </c>
      <c r="B15033" s="4" t="s">
        <v>5</v>
      </c>
      <c r="C15033" s="4" t="s">
        <v>11</v>
      </c>
      <c r="D15033" s="4" t="s">
        <v>7</v>
      </c>
    </row>
    <row r="15034" spans="1:8">
      <c r="A15034" t="n">
        <v>142200</v>
      </c>
      <c r="B15034" s="68" t="n">
        <v>89</v>
      </c>
      <c r="C15034" s="7" t="n">
        <v>65533</v>
      </c>
      <c r="D15034" s="7" t="n">
        <v>1</v>
      </c>
    </row>
    <row r="15035" spans="1:8">
      <c r="A15035" t="s">
        <v>4</v>
      </c>
      <c r="B15035" s="4" t="s">
        <v>5</v>
      </c>
      <c r="C15035" s="4" t="s">
        <v>11</v>
      </c>
    </row>
    <row r="15036" spans="1:8">
      <c r="A15036" t="n">
        <v>142204</v>
      </c>
      <c r="B15036" s="29" t="n">
        <v>16</v>
      </c>
      <c r="C15036" s="7" t="n">
        <v>500</v>
      </c>
    </row>
    <row r="15037" spans="1:8">
      <c r="A15037" t="s">
        <v>4</v>
      </c>
      <c r="B15037" s="4" t="s">
        <v>5</v>
      </c>
      <c r="C15037" s="4" t="s">
        <v>11</v>
      </c>
      <c r="D15037" s="4" t="s">
        <v>13</v>
      </c>
      <c r="E15037" s="4" t="s">
        <v>13</v>
      </c>
      <c r="F15037" s="4" t="s">
        <v>13</v>
      </c>
      <c r="G15037" s="4" t="s">
        <v>11</v>
      </c>
      <c r="H15037" s="4" t="s">
        <v>11</v>
      </c>
    </row>
    <row r="15038" spans="1:8">
      <c r="A15038" t="n">
        <v>142207</v>
      </c>
      <c r="B15038" s="37" t="n">
        <v>60</v>
      </c>
      <c r="C15038" s="7" t="n">
        <v>0</v>
      </c>
      <c r="D15038" s="7" t="n">
        <v>0</v>
      </c>
      <c r="E15038" s="7" t="n">
        <v>0</v>
      </c>
      <c r="F15038" s="7" t="n">
        <v>0</v>
      </c>
      <c r="G15038" s="7" t="n">
        <v>1000</v>
      </c>
      <c r="H15038" s="7" t="n">
        <v>0</v>
      </c>
    </row>
    <row r="15039" spans="1:8">
      <c r="A15039" t="s">
        <v>4</v>
      </c>
      <c r="B15039" s="4" t="s">
        <v>5</v>
      </c>
      <c r="C15039" s="4" t="s">
        <v>11</v>
      </c>
      <c r="D15039" s="4" t="s">
        <v>11</v>
      </c>
      <c r="E15039" s="4" t="s">
        <v>13</v>
      </c>
      <c r="F15039" s="4" t="s">
        <v>13</v>
      </c>
      <c r="G15039" s="4" t="s">
        <v>13</v>
      </c>
      <c r="H15039" s="4" t="s">
        <v>13</v>
      </c>
      <c r="I15039" s="4" t="s">
        <v>7</v>
      </c>
      <c r="J15039" s="4" t="s">
        <v>11</v>
      </c>
    </row>
    <row r="15040" spans="1:8">
      <c r="A15040" t="n">
        <v>142226</v>
      </c>
      <c r="B15040" s="53" t="n">
        <v>55</v>
      </c>
      <c r="C15040" s="7" t="n">
        <v>0</v>
      </c>
      <c r="D15040" s="7" t="n">
        <v>65024</v>
      </c>
      <c r="E15040" s="7" t="n">
        <v>0</v>
      </c>
      <c r="F15040" s="7" t="n">
        <v>0</v>
      </c>
      <c r="G15040" s="7" t="n">
        <v>3</v>
      </c>
      <c r="H15040" s="7" t="n">
        <v>0.899999976158142</v>
      </c>
      <c r="I15040" s="7" t="n">
        <v>1</v>
      </c>
      <c r="J15040" s="7" t="n">
        <v>0</v>
      </c>
    </row>
    <row r="15041" spans="1:13">
      <c r="A15041" t="s">
        <v>4</v>
      </c>
      <c r="B15041" s="4" t="s">
        <v>5</v>
      </c>
      <c r="C15041" s="4" t="s">
        <v>11</v>
      </c>
    </row>
    <row r="15042" spans="1:13">
      <c r="A15042" t="n">
        <v>142250</v>
      </c>
      <c r="B15042" s="29" t="n">
        <v>16</v>
      </c>
      <c r="C15042" s="7" t="n">
        <v>1000</v>
      </c>
    </row>
    <row r="15043" spans="1:13">
      <c r="A15043" t="s">
        <v>4</v>
      </c>
      <c r="B15043" s="4" t="s">
        <v>5</v>
      </c>
      <c r="C15043" s="4" t="s">
        <v>7</v>
      </c>
      <c r="D15043" s="4" t="s">
        <v>11</v>
      </c>
      <c r="E15043" s="4" t="s">
        <v>13</v>
      </c>
    </row>
    <row r="15044" spans="1:13">
      <c r="A15044" t="n">
        <v>142253</v>
      </c>
      <c r="B15044" s="23" t="n">
        <v>58</v>
      </c>
      <c r="C15044" s="7" t="n">
        <v>0</v>
      </c>
      <c r="D15044" s="7" t="n">
        <v>2000</v>
      </c>
      <c r="E15044" s="7" t="n">
        <v>1</v>
      </c>
    </row>
    <row r="15045" spans="1:13">
      <c r="A15045" t="s">
        <v>4</v>
      </c>
      <c r="B15045" s="4" t="s">
        <v>5</v>
      </c>
      <c r="C15045" s="4" t="s">
        <v>7</v>
      </c>
      <c r="D15045" s="4" t="s">
        <v>11</v>
      </c>
    </row>
    <row r="15046" spans="1:13">
      <c r="A15046" t="n">
        <v>142261</v>
      </c>
      <c r="B15046" s="23" t="n">
        <v>58</v>
      </c>
      <c r="C15046" s="7" t="n">
        <v>255</v>
      </c>
      <c r="D15046" s="7" t="n">
        <v>0</v>
      </c>
    </row>
    <row r="15047" spans="1:13">
      <c r="A15047" t="s">
        <v>4</v>
      </c>
      <c r="B15047" s="4" t="s">
        <v>5</v>
      </c>
      <c r="C15047" s="4" t="s">
        <v>11</v>
      </c>
      <c r="D15047" s="4" t="s">
        <v>7</v>
      </c>
    </row>
    <row r="15048" spans="1:13">
      <c r="A15048" t="n">
        <v>142265</v>
      </c>
      <c r="B15048" s="54" t="n">
        <v>56</v>
      </c>
      <c r="C15048" s="7" t="n">
        <v>0</v>
      </c>
      <c r="D15048" s="7" t="n">
        <v>1</v>
      </c>
    </row>
    <row r="15049" spans="1:13">
      <c r="A15049" t="s">
        <v>4</v>
      </c>
      <c r="B15049" s="4" t="s">
        <v>5</v>
      </c>
      <c r="C15049" s="4" t="s">
        <v>11</v>
      </c>
    </row>
    <row r="15050" spans="1:13">
      <c r="A15050" t="n">
        <v>142269</v>
      </c>
      <c r="B15050" s="29" t="n">
        <v>16</v>
      </c>
      <c r="C15050" s="7" t="n">
        <v>1000</v>
      </c>
    </row>
    <row r="15051" spans="1:13">
      <c r="A15051" t="s">
        <v>4</v>
      </c>
      <c r="B15051" s="4" t="s">
        <v>5</v>
      </c>
      <c r="C15051" s="4" t="s">
        <v>7</v>
      </c>
      <c r="D15051" s="4" t="s">
        <v>11</v>
      </c>
      <c r="E15051" s="4" t="s">
        <v>8</v>
      </c>
      <c r="F15051" s="4" t="s">
        <v>8</v>
      </c>
      <c r="G15051" s="4" t="s">
        <v>8</v>
      </c>
      <c r="H15051" s="4" t="s">
        <v>8</v>
      </c>
    </row>
    <row r="15052" spans="1:13">
      <c r="A15052" t="n">
        <v>142272</v>
      </c>
      <c r="B15052" s="38" t="n">
        <v>51</v>
      </c>
      <c r="C15052" s="7" t="n">
        <v>3</v>
      </c>
      <c r="D15052" s="7" t="n">
        <v>0</v>
      </c>
      <c r="E15052" s="7" t="s">
        <v>79</v>
      </c>
      <c r="F15052" s="7" t="s">
        <v>79</v>
      </c>
      <c r="G15052" s="7" t="s">
        <v>78</v>
      </c>
      <c r="H15052" s="7" t="s">
        <v>79</v>
      </c>
    </row>
    <row r="15053" spans="1:13">
      <c r="A15053" t="s">
        <v>4</v>
      </c>
      <c r="B15053" s="4" t="s">
        <v>5</v>
      </c>
      <c r="C15053" s="4" t="s">
        <v>11</v>
      </c>
      <c r="D15053" s="4" t="s">
        <v>13</v>
      </c>
      <c r="E15053" s="4" t="s">
        <v>13</v>
      </c>
      <c r="F15053" s="4" t="s">
        <v>13</v>
      </c>
      <c r="G15053" s="4" t="s">
        <v>13</v>
      </c>
    </row>
    <row r="15054" spans="1:13">
      <c r="A15054" t="n">
        <v>142285</v>
      </c>
      <c r="B15054" s="36" t="n">
        <v>46</v>
      </c>
      <c r="C15054" s="7" t="n">
        <v>0</v>
      </c>
      <c r="D15054" s="7" t="n">
        <v>-13</v>
      </c>
      <c r="E15054" s="7" t="n">
        <v>4.5</v>
      </c>
      <c r="F15054" s="7" t="n">
        <v>37.939998626709</v>
      </c>
      <c r="G15054" s="7" t="n">
        <v>90</v>
      </c>
    </row>
    <row r="15055" spans="1:13">
      <c r="A15055" t="s">
        <v>4</v>
      </c>
      <c r="B15055" s="4" t="s">
        <v>5</v>
      </c>
      <c r="C15055" s="4" t="s">
        <v>11</v>
      </c>
      <c r="D15055" s="4" t="s">
        <v>13</v>
      </c>
      <c r="E15055" s="4" t="s">
        <v>13</v>
      </c>
      <c r="F15055" s="4" t="s">
        <v>13</v>
      </c>
      <c r="G15055" s="4" t="s">
        <v>11</v>
      </c>
      <c r="H15055" s="4" t="s">
        <v>11</v>
      </c>
    </row>
    <row r="15056" spans="1:13">
      <c r="A15056" t="n">
        <v>142304</v>
      </c>
      <c r="B15056" s="37" t="n">
        <v>60</v>
      </c>
      <c r="C15056" s="7" t="n">
        <v>0</v>
      </c>
      <c r="D15056" s="7" t="n">
        <v>0</v>
      </c>
      <c r="E15056" s="7" t="n">
        <v>5</v>
      </c>
      <c r="F15056" s="7" t="n">
        <v>0</v>
      </c>
      <c r="G15056" s="7" t="n">
        <v>0</v>
      </c>
      <c r="H15056" s="7" t="n">
        <v>0</v>
      </c>
    </row>
    <row r="15057" spans="1:8">
      <c r="A15057" t="s">
        <v>4</v>
      </c>
      <c r="B15057" s="4" t="s">
        <v>5</v>
      </c>
      <c r="C15057" s="4" t="s">
        <v>7</v>
      </c>
      <c r="D15057" s="4" t="s">
        <v>7</v>
      </c>
      <c r="E15057" s="4" t="s">
        <v>13</v>
      </c>
      <c r="F15057" s="4" t="s">
        <v>13</v>
      </c>
      <c r="G15057" s="4" t="s">
        <v>13</v>
      </c>
      <c r="H15057" s="4" t="s">
        <v>11</v>
      </c>
    </row>
    <row r="15058" spans="1:8">
      <c r="A15058" t="n">
        <v>142323</v>
      </c>
      <c r="B15058" s="51" t="n">
        <v>45</v>
      </c>
      <c r="C15058" s="7" t="n">
        <v>2</v>
      </c>
      <c r="D15058" s="7" t="n">
        <v>3</v>
      </c>
      <c r="E15058" s="7" t="n">
        <v>-12.8000001907349</v>
      </c>
      <c r="F15058" s="7" t="n">
        <v>5.73000001907349</v>
      </c>
      <c r="G15058" s="7" t="n">
        <v>38.0299987792969</v>
      </c>
      <c r="H15058" s="7" t="n">
        <v>0</v>
      </c>
    </row>
    <row r="15059" spans="1:8">
      <c r="A15059" t="s">
        <v>4</v>
      </c>
      <c r="B15059" s="4" t="s">
        <v>5</v>
      </c>
      <c r="C15059" s="4" t="s">
        <v>7</v>
      </c>
      <c r="D15059" s="4" t="s">
        <v>7</v>
      </c>
      <c r="E15059" s="4" t="s">
        <v>13</v>
      </c>
      <c r="F15059" s="4" t="s">
        <v>13</v>
      </c>
      <c r="G15059" s="4" t="s">
        <v>13</v>
      </c>
      <c r="H15059" s="4" t="s">
        <v>11</v>
      </c>
      <c r="I15059" s="4" t="s">
        <v>7</v>
      </c>
    </row>
    <row r="15060" spans="1:8">
      <c r="A15060" t="n">
        <v>142340</v>
      </c>
      <c r="B15060" s="51" t="n">
        <v>45</v>
      </c>
      <c r="C15060" s="7" t="n">
        <v>4</v>
      </c>
      <c r="D15060" s="7" t="n">
        <v>3</v>
      </c>
      <c r="E15060" s="7" t="n">
        <v>378.470001220703</v>
      </c>
      <c r="F15060" s="7" t="n">
        <v>58.2200012207031</v>
      </c>
      <c r="G15060" s="7" t="n">
        <v>358</v>
      </c>
      <c r="H15060" s="7" t="n">
        <v>0</v>
      </c>
      <c r="I15060" s="7" t="n">
        <v>0</v>
      </c>
    </row>
    <row r="15061" spans="1:8">
      <c r="A15061" t="s">
        <v>4</v>
      </c>
      <c r="B15061" s="4" t="s">
        <v>5</v>
      </c>
      <c r="C15061" s="4" t="s">
        <v>7</v>
      </c>
      <c r="D15061" s="4" t="s">
        <v>7</v>
      </c>
      <c r="E15061" s="4" t="s">
        <v>13</v>
      </c>
      <c r="F15061" s="4" t="s">
        <v>11</v>
      </c>
    </row>
    <row r="15062" spans="1:8">
      <c r="A15062" t="n">
        <v>142358</v>
      </c>
      <c r="B15062" s="51" t="n">
        <v>45</v>
      </c>
      <c r="C15062" s="7" t="n">
        <v>5</v>
      </c>
      <c r="D15062" s="7" t="n">
        <v>3</v>
      </c>
      <c r="E15062" s="7" t="n">
        <v>3.20000004768372</v>
      </c>
      <c r="F15062" s="7" t="n">
        <v>0</v>
      </c>
    </row>
    <row r="15063" spans="1:8">
      <c r="A15063" t="s">
        <v>4</v>
      </c>
      <c r="B15063" s="4" t="s">
        <v>5</v>
      </c>
      <c r="C15063" s="4" t="s">
        <v>7</v>
      </c>
      <c r="D15063" s="4" t="s">
        <v>7</v>
      </c>
      <c r="E15063" s="4" t="s">
        <v>13</v>
      </c>
      <c r="F15063" s="4" t="s">
        <v>11</v>
      </c>
    </row>
    <row r="15064" spans="1:8">
      <c r="A15064" t="n">
        <v>142367</v>
      </c>
      <c r="B15064" s="51" t="n">
        <v>45</v>
      </c>
      <c r="C15064" s="7" t="n">
        <v>11</v>
      </c>
      <c r="D15064" s="7" t="n">
        <v>3</v>
      </c>
      <c r="E15064" s="7" t="n">
        <v>40.2999992370605</v>
      </c>
      <c r="F15064" s="7" t="n">
        <v>0</v>
      </c>
    </row>
    <row r="15065" spans="1:8">
      <c r="A15065" t="s">
        <v>4</v>
      </c>
      <c r="B15065" s="4" t="s">
        <v>5</v>
      </c>
      <c r="C15065" s="4" t="s">
        <v>7</v>
      </c>
      <c r="D15065" s="4" t="s">
        <v>7</v>
      </c>
      <c r="E15065" s="4" t="s">
        <v>13</v>
      </c>
      <c r="F15065" s="4" t="s">
        <v>13</v>
      </c>
      <c r="G15065" s="4" t="s">
        <v>13</v>
      </c>
      <c r="H15065" s="4" t="s">
        <v>11</v>
      </c>
    </row>
    <row r="15066" spans="1:8">
      <c r="A15066" t="n">
        <v>142376</v>
      </c>
      <c r="B15066" s="51" t="n">
        <v>45</v>
      </c>
      <c r="C15066" s="7" t="n">
        <v>2</v>
      </c>
      <c r="D15066" s="7" t="n">
        <v>3</v>
      </c>
      <c r="E15066" s="7" t="n">
        <v>-8.94999980926514</v>
      </c>
      <c r="F15066" s="7" t="n">
        <v>6.32000017166138</v>
      </c>
      <c r="G15066" s="7" t="n">
        <v>38</v>
      </c>
      <c r="H15066" s="7" t="n">
        <v>5500</v>
      </c>
    </row>
    <row r="15067" spans="1:8">
      <c r="A15067" t="s">
        <v>4</v>
      </c>
      <c r="B15067" s="4" t="s">
        <v>5</v>
      </c>
      <c r="C15067" s="4" t="s">
        <v>7</v>
      </c>
      <c r="D15067" s="4" t="s">
        <v>7</v>
      </c>
      <c r="E15067" s="4" t="s">
        <v>13</v>
      </c>
      <c r="F15067" s="4" t="s">
        <v>13</v>
      </c>
      <c r="G15067" s="4" t="s">
        <v>13</v>
      </c>
      <c r="H15067" s="4" t="s">
        <v>11</v>
      </c>
      <c r="I15067" s="4" t="s">
        <v>7</v>
      </c>
    </row>
    <row r="15068" spans="1:8">
      <c r="A15068" t="n">
        <v>142393</v>
      </c>
      <c r="B15068" s="51" t="n">
        <v>45</v>
      </c>
      <c r="C15068" s="7" t="n">
        <v>4</v>
      </c>
      <c r="D15068" s="7" t="n">
        <v>3</v>
      </c>
      <c r="E15068" s="7" t="n">
        <v>358.720001220703</v>
      </c>
      <c r="F15068" s="7" t="n">
        <v>57.2200012207031</v>
      </c>
      <c r="G15068" s="7" t="n">
        <v>358</v>
      </c>
      <c r="H15068" s="7" t="n">
        <v>5500</v>
      </c>
      <c r="I15068" s="7" t="n">
        <v>0</v>
      </c>
    </row>
    <row r="15069" spans="1:8">
      <c r="A15069" t="s">
        <v>4</v>
      </c>
      <c r="B15069" s="4" t="s">
        <v>5</v>
      </c>
      <c r="C15069" s="4" t="s">
        <v>7</v>
      </c>
      <c r="D15069" s="4" t="s">
        <v>7</v>
      </c>
      <c r="E15069" s="4" t="s">
        <v>13</v>
      </c>
      <c r="F15069" s="4" t="s">
        <v>11</v>
      </c>
    </row>
    <row r="15070" spans="1:8">
      <c r="A15070" t="n">
        <v>142411</v>
      </c>
      <c r="B15070" s="51" t="n">
        <v>45</v>
      </c>
      <c r="C15070" s="7" t="n">
        <v>5</v>
      </c>
      <c r="D15070" s="7" t="n">
        <v>3</v>
      </c>
      <c r="E15070" s="7" t="n">
        <v>1.79999995231628</v>
      </c>
      <c r="F15070" s="7" t="n">
        <v>5500</v>
      </c>
    </row>
    <row r="15071" spans="1:8">
      <c r="A15071" t="s">
        <v>4</v>
      </c>
      <c r="B15071" s="4" t="s">
        <v>5</v>
      </c>
      <c r="C15071" s="4" t="s">
        <v>11</v>
      </c>
      <c r="D15071" s="4" t="s">
        <v>11</v>
      </c>
      <c r="E15071" s="4" t="s">
        <v>13</v>
      </c>
      <c r="F15071" s="4" t="s">
        <v>13</v>
      </c>
      <c r="G15071" s="4" t="s">
        <v>13</v>
      </c>
      <c r="H15071" s="4" t="s">
        <v>13</v>
      </c>
      <c r="I15071" s="4" t="s">
        <v>7</v>
      </c>
      <c r="J15071" s="4" t="s">
        <v>11</v>
      </c>
    </row>
    <row r="15072" spans="1:8">
      <c r="A15072" t="n">
        <v>142420</v>
      </c>
      <c r="B15072" s="53" t="n">
        <v>55</v>
      </c>
      <c r="C15072" s="7" t="n">
        <v>0</v>
      </c>
      <c r="D15072" s="7" t="n">
        <v>65533</v>
      </c>
      <c r="E15072" s="7" t="n">
        <v>-9.06999969482422</v>
      </c>
      <c r="F15072" s="7" t="n">
        <v>5</v>
      </c>
      <c r="G15072" s="7" t="n">
        <v>37.939998626709</v>
      </c>
      <c r="H15072" s="7" t="n">
        <v>0.800000011920929</v>
      </c>
      <c r="I15072" s="7" t="n">
        <v>1</v>
      </c>
      <c r="J15072" s="7" t="n">
        <v>0</v>
      </c>
    </row>
    <row r="15073" spans="1:10">
      <c r="A15073" t="s">
        <v>4</v>
      </c>
      <c r="B15073" s="4" t="s">
        <v>5</v>
      </c>
      <c r="C15073" s="4" t="s">
        <v>7</v>
      </c>
      <c r="D15073" s="4" t="s">
        <v>11</v>
      </c>
      <c r="E15073" s="4" t="s">
        <v>13</v>
      </c>
    </row>
    <row r="15074" spans="1:10">
      <c r="A15074" t="n">
        <v>142444</v>
      </c>
      <c r="B15074" s="23" t="n">
        <v>58</v>
      </c>
      <c r="C15074" s="7" t="n">
        <v>100</v>
      </c>
      <c r="D15074" s="7" t="n">
        <v>2000</v>
      </c>
      <c r="E15074" s="7" t="n">
        <v>1</v>
      </c>
    </row>
    <row r="15075" spans="1:10">
      <c r="A15075" t="s">
        <v>4</v>
      </c>
      <c r="B15075" s="4" t="s">
        <v>5</v>
      </c>
      <c r="C15075" s="4" t="s">
        <v>11</v>
      </c>
      <c r="D15075" s="4" t="s">
        <v>7</v>
      </c>
    </row>
    <row r="15076" spans="1:10">
      <c r="A15076" t="n">
        <v>142452</v>
      </c>
      <c r="B15076" s="54" t="n">
        <v>56</v>
      </c>
      <c r="C15076" s="7" t="n">
        <v>0</v>
      </c>
      <c r="D15076" s="7" t="n">
        <v>0</v>
      </c>
    </row>
    <row r="15077" spans="1:10">
      <c r="A15077" t="s">
        <v>4</v>
      </c>
      <c r="B15077" s="4" t="s">
        <v>5</v>
      </c>
      <c r="C15077" s="4" t="s">
        <v>11</v>
      </c>
    </row>
    <row r="15078" spans="1:10">
      <c r="A15078" t="n">
        <v>142456</v>
      </c>
      <c r="B15078" s="29" t="n">
        <v>16</v>
      </c>
      <c r="C15078" s="7" t="n">
        <v>1000</v>
      </c>
    </row>
    <row r="15079" spans="1:10">
      <c r="A15079" t="s">
        <v>4</v>
      </c>
      <c r="B15079" s="4" t="s">
        <v>5</v>
      </c>
      <c r="C15079" s="4" t="s">
        <v>7</v>
      </c>
      <c r="D15079" s="4" t="s">
        <v>11</v>
      </c>
      <c r="E15079" s="4" t="s">
        <v>8</v>
      </c>
      <c r="F15079" s="4" t="s">
        <v>8</v>
      </c>
      <c r="G15079" s="4" t="s">
        <v>8</v>
      </c>
      <c r="H15079" s="4" t="s">
        <v>8</v>
      </c>
    </row>
    <row r="15080" spans="1:10">
      <c r="A15080" t="n">
        <v>142459</v>
      </c>
      <c r="B15080" s="38" t="n">
        <v>51</v>
      </c>
      <c r="C15080" s="7" t="n">
        <v>3</v>
      </c>
      <c r="D15080" s="7" t="n">
        <v>0</v>
      </c>
      <c r="E15080" s="7" t="s">
        <v>1181</v>
      </c>
      <c r="F15080" s="7" t="s">
        <v>218</v>
      </c>
      <c r="G15080" s="7" t="s">
        <v>78</v>
      </c>
      <c r="H15080" s="7" t="s">
        <v>79</v>
      </c>
    </row>
    <row r="15081" spans="1:10">
      <c r="A15081" t="s">
        <v>4</v>
      </c>
      <c r="B15081" s="4" t="s">
        <v>5</v>
      </c>
      <c r="C15081" s="4" t="s">
        <v>11</v>
      </c>
      <c r="D15081" s="4" t="s">
        <v>13</v>
      </c>
      <c r="E15081" s="4" t="s">
        <v>13</v>
      </c>
      <c r="F15081" s="4" t="s">
        <v>13</v>
      </c>
      <c r="G15081" s="4" t="s">
        <v>11</v>
      </c>
      <c r="H15081" s="4" t="s">
        <v>11</v>
      </c>
    </row>
    <row r="15082" spans="1:10">
      <c r="A15082" t="n">
        <v>142472</v>
      </c>
      <c r="B15082" s="37" t="n">
        <v>60</v>
      </c>
      <c r="C15082" s="7" t="n">
        <v>0</v>
      </c>
      <c r="D15082" s="7" t="n">
        <v>30</v>
      </c>
      <c r="E15082" s="7" t="n">
        <v>10</v>
      </c>
      <c r="F15082" s="7" t="n">
        <v>0</v>
      </c>
      <c r="G15082" s="7" t="n">
        <v>1500</v>
      </c>
      <c r="H15082" s="7" t="n">
        <v>0</v>
      </c>
    </row>
    <row r="15083" spans="1:10">
      <c r="A15083" t="s">
        <v>4</v>
      </c>
      <c r="B15083" s="4" t="s">
        <v>5</v>
      </c>
      <c r="C15083" s="4" t="s">
        <v>11</v>
      </c>
    </row>
    <row r="15084" spans="1:10">
      <c r="A15084" t="n">
        <v>142491</v>
      </c>
      <c r="B15084" s="29" t="n">
        <v>16</v>
      </c>
      <c r="C15084" s="7" t="n">
        <v>2000</v>
      </c>
    </row>
    <row r="15085" spans="1:10">
      <c r="A15085" t="s">
        <v>4</v>
      </c>
      <c r="B15085" s="4" t="s">
        <v>5</v>
      </c>
      <c r="C15085" s="4" t="s">
        <v>7</v>
      </c>
      <c r="D15085" s="4" t="s">
        <v>11</v>
      </c>
      <c r="E15085" s="4" t="s">
        <v>13</v>
      </c>
    </row>
    <row r="15086" spans="1:10">
      <c r="A15086" t="n">
        <v>142494</v>
      </c>
      <c r="B15086" s="23" t="n">
        <v>58</v>
      </c>
      <c r="C15086" s="7" t="n">
        <v>101</v>
      </c>
      <c r="D15086" s="7" t="n">
        <v>1000</v>
      </c>
      <c r="E15086" s="7" t="n">
        <v>1</v>
      </c>
    </row>
    <row r="15087" spans="1:10">
      <c r="A15087" t="s">
        <v>4</v>
      </c>
      <c r="B15087" s="4" t="s">
        <v>5</v>
      </c>
      <c r="C15087" s="4" t="s">
        <v>7</v>
      </c>
      <c r="D15087" s="4" t="s">
        <v>11</v>
      </c>
    </row>
    <row r="15088" spans="1:10">
      <c r="A15088" t="n">
        <v>142502</v>
      </c>
      <c r="B15088" s="23" t="n">
        <v>58</v>
      </c>
      <c r="C15088" s="7" t="n">
        <v>254</v>
      </c>
      <c r="D15088" s="7" t="n">
        <v>0</v>
      </c>
    </row>
    <row r="15089" spans="1:8">
      <c r="A15089" t="s">
        <v>4</v>
      </c>
      <c r="B15089" s="4" t="s">
        <v>5</v>
      </c>
      <c r="C15089" s="4" t="s">
        <v>7</v>
      </c>
      <c r="D15089" s="4" t="s">
        <v>7</v>
      </c>
      <c r="E15089" s="4" t="s">
        <v>13</v>
      </c>
      <c r="F15089" s="4" t="s">
        <v>13</v>
      </c>
      <c r="G15089" s="4" t="s">
        <v>13</v>
      </c>
      <c r="H15089" s="4" t="s">
        <v>11</v>
      </c>
    </row>
    <row r="15090" spans="1:8">
      <c r="A15090" t="n">
        <v>142506</v>
      </c>
      <c r="B15090" s="51" t="n">
        <v>45</v>
      </c>
      <c r="C15090" s="7" t="n">
        <v>2</v>
      </c>
      <c r="D15090" s="7" t="n">
        <v>3</v>
      </c>
      <c r="E15090" s="7" t="n">
        <v>-7.53999996185303</v>
      </c>
      <c r="F15090" s="7" t="n">
        <v>6.6100001335144</v>
      </c>
      <c r="G15090" s="7" t="n">
        <v>37.3400001525879</v>
      </c>
      <c r="H15090" s="7" t="n">
        <v>0</v>
      </c>
    </row>
    <row r="15091" spans="1:8">
      <c r="A15091" t="s">
        <v>4</v>
      </c>
      <c r="B15091" s="4" t="s">
        <v>5</v>
      </c>
      <c r="C15091" s="4" t="s">
        <v>7</v>
      </c>
      <c r="D15091" s="4" t="s">
        <v>7</v>
      </c>
      <c r="E15091" s="4" t="s">
        <v>13</v>
      </c>
      <c r="F15091" s="4" t="s">
        <v>13</v>
      </c>
      <c r="G15091" s="4" t="s">
        <v>13</v>
      </c>
      <c r="H15091" s="4" t="s">
        <v>11</v>
      </c>
      <c r="I15091" s="4" t="s">
        <v>7</v>
      </c>
    </row>
    <row r="15092" spans="1:8">
      <c r="A15092" t="n">
        <v>142523</v>
      </c>
      <c r="B15092" s="51" t="n">
        <v>45</v>
      </c>
      <c r="C15092" s="7" t="n">
        <v>4</v>
      </c>
      <c r="D15092" s="7" t="n">
        <v>3</v>
      </c>
      <c r="E15092" s="7" t="n">
        <v>5.09000015258789</v>
      </c>
      <c r="F15092" s="7" t="n">
        <v>357.519989013672</v>
      </c>
      <c r="G15092" s="7" t="n">
        <v>360</v>
      </c>
      <c r="H15092" s="7" t="n">
        <v>0</v>
      </c>
      <c r="I15092" s="7" t="n">
        <v>0</v>
      </c>
    </row>
    <row r="15093" spans="1:8">
      <c r="A15093" t="s">
        <v>4</v>
      </c>
      <c r="B15093" s="4" t="s">
        <v>5</v>
      </c>
      <c r="C15093" s="4" t="s">
        <v>7</v>
      </c>
      <c r="D15093" s="4" t="s">
        <v>7</v>
      </c>
      <c r="E15093" s="4" t="s">
        <v>13</v>
      </c>
      <c r="F15093" s="4" t="s">
        <v>11</v>
      </c>
    </row>
    <row r="15094" spans="1:8">
      <c r="A15094" t="n">
        <v>142541</v>
      </c>
      <c r="B15094" s="51" t="n">
        <v>45</v>
      </c>
      <c r="C15094" s="7" t="n">
        <v>5</v>
      </c>
      <c r="D15094" s="7" t="n">
        <v>3</v>
      </c>
      <c r="E15094" s="7" t="n">
        <v>1.89999997615814</v>
      </c>
      <c r="F15094" s="7" t="n">
        <v>0</v>
      </c>
    </row>
    <row r="15095" spans="1:8">
      <c r="A15095" t="s">
        <v>4</v>
      </c>
      <c r="B15095" s="4" t="s">
        <v>5</v>
      </c>
      <c r="C15095" s="4" t="s">
        <v>7</v>
      </c>
      <c r="D15095" s="4" t="s">
        <v>7</v>
      </c>
      <c r="E15095" s="4" t="s">
        <v>13</v>
      </c>
      <c r="F15095" s="4" t="s">
        <v>11</v>
      </c>
    </row>
    <row r="15096" spans="1:8">
      <c r="A15096" t="n">
        <v>142550</v>
      </c>
      <c r="B15096" s="51" t="n">
        <v>45</v>
      </c>
      <c r="C15096" s="7" t="n">
        <v>11</v>
      </c>
      <c r="D15096" s="7" t="n">
        <v>3</v>
      </c>
      <c r="E15096" s="7" t="n">
        <v>37.4000015258789</v>
      </c>
      <c r="F15096" s="7" t="n">
        <v>0</v>
      </c>
    </row>
    <row r="15097" spans="1:8">
      <c r="A15097" t="s">
        <v>4</v>
      </c>
      <c r="B15097" s="4" t="s">
        <v>5</v>
      </c>
      <c r="C15097" s="4" t="s">
        <v>7</v>
      </c>
      <c r="D15097" s="4" t="s">
        <v>7</v>
      </c>
      <c r="E15097" s="4" t="s">
        <v>13</v>
      </c>
      <c r="F15097" s="4" t="s">
        <v>13</v>
      </c>
      <c r="G15097" s="4" t="s">
        <v>13</v>
      </c>
      <c r="H15097" s="4" t="s">
        <v>11</v>
      </c>
    </row>
    <row r="15098" spans="1:8">
      <c r="A15098" t="n">
        <v>142559</v>
      </c>
      <c r="B15098" s="51" t="n">
        <v>45</v>
      </c>
      <c r="C15098" s="7" t="n">
        <v>2</v>
      </c>
      <c r="D15098" s="7" t="n">
        <v>3</v>
      </c>
      <c r="E15098" s="7" t="n">
        <v>-7.61999988555908</v>
      </c>
      <c r="F15098" s="7" t="n">
        <v>6.6100001335144</v>
      </c>
      <c r="G15098" s="7" t="n">
        <v>39.2000007629395</v>
      </c>
      <c r="H15098" s="7" t="n">
        <v>4500</v>
      </c>
    </row>
    <row r="15099" spans="1:8">
      <c r="A15099" t="s">
        <v>4</v>
      </c>
      <c r="B15099" s="4" t="s">
        <v>5</v>
      </c>
      <c r="C15099" s="4" t="s">
        <v>11</v>
      </c>
    </row>
    <row r="15100" spans="1:8">
      <c r="A15100" t="n">
        <v>142576</v>
      </c>
      <c r="B15100" s="29" t="n">
        <v>16</v>
      </c>
      <c r="C15100" s="7" t="n">
        <v>4500</v>
      </c>
    </row>
    <row r="15101" spans="1:8">
      <c r="A15101" t="s">
        <v>4</v>
      </c>
      <c r="B15101" s="4" t="s">
        <v>5</v>
      </c>
      <c r="C15101" s="4" t="s">
        <v>11</v>
      </c>
      <c r="D15101" s="4" t="s">
        <v>7</v>
      </c>
      <c r="E15101" s="4" t="s">
        <v>13</v>
      </c>
      <c r="F15101" s="4" t="s">
        <v>11</v>
      </c>
    </row>
    <row r="15102" spans="1:8">
      <c r="A15102" t="n">
        <v>142579</v>
      </c>
      <c r="B15102" s="56" t="n">
        <v>59</v>
      </c>
      <c r="C15102" s="7" t="n">
        <v>0</v>
      </c>
      <c r="D15102" s="7" t="n">
        <v>9</v>
      </c>
      <c r="E15102" s="7" t="n">
        <v>0.150000005960464</v>
      </c>
      <c r="F15102" s="7" t="n">
        <v>0</v>
      </c>
    </row>
    <row r="15103" spans="1:8">
      <c r="A15103" t="s">
        <v>4</v>
      </c>
      <c r="B15103" s="4" t="s">
        <v>5</v>
      </c>
      <c r="C15103" s="4" t="s">
        <v>11</v>
      </c>
    </row>
    <row r="15104" spans="1:8">
      <c r="A15104" t="n">
        <v>142589</v>
      </c>
      <c r="B15104" s="29" t="n">
        <v>16</v>
      </c>
      <c r="C15104" s="7" t="n">
        <v>2500</v>
      </c>
    </row>
    <row r="15105" spans="1:9">
      <c r="A15105" t="s">
        <v>4</v>
      </c>
      <c r="B15105" s="4" t="s">
        <v>5</v>
      </c>
      <c r="C15105" s="4" t="s">
        <v>7</v>
      </c>
      <c r="D15105" s="4" t="s">
        <v>11</v>
      </c>
      <c r="E15105" s="4" t="s">
        <v>13</v>
      </c>
    </row>
    <row r="15106" spans="1:9">
      <c r="A15106" t="n">
        <v>142592</v>
      </c>
      <c r="B15106" s="23" t="n">
        <v>58</v>
      </c>
      <c r="C15106" s="7" t="n">
        <v>0</v>
      </c>
      <c r="D15106" s="7" t="n">
        <v>1000</v>
      </c>
      <c r="E15106" s="7" t="n">
        <v>1</v>
      </c>
    </row>
    <row r="15107" spans="1:9">
      <c r="A15107" t="s">
        <v>4</v>
      </c>
      <c r="B15107" s="4" t="s">
        <v>5</v>
      </c>
      <c r="C15107" s="4" t="s">
        <v>7</v>
      </c>
      <c r="D15107" s="4" t="s">
        <v>11</v>
      </c>
    </row>
    <row r="15108" spans="1:9">
      <c r="A15108" t="n">
        <v>142600</v>
      </c>
      <c r="B15108" s="23" t="n">
        <v>58</v>
      </c>
      <c r="C15108" s="7" t="n">
        <v>255</v>
      </c>
      <c r="D15108" s="7" t="n">
        <v>0</v>
      </c>
    </row>
    <row r="15109" spans="1:9">
      <c r="A15109" t="s">
        <v>4</v>
      </c>
      <c r="B15109" s="4" t="s">
        <v>5</v>
      </c>
      <c r="C15109" s="4" t="s">
        <v>8</v>
      </c>
      <c r="D15109" s="4" t="s">
        <v>8</v>
      </c>
    </row>
    <row r="15110" spans="1:9">
      <c r="A15110" t="n">
        <v>142604</v>
      </c>
      <c r="B15110" s="52" t="n">
        <v>70</v>
      </c>
      <c r="C15110" s="7" t="s">
        <v>25</v>
      </c>
      <c r="D15110" s="7" t="s">
        <v>1182</v>
      </c>
    </row>
    <row r="15111" spans="1:9">
      <c r="A15111" t="s">
        <v>4</v>
      </c>
      <c r="B15111" s="4" t="s">
        <v>5</v>
      </c>
      <c r="C15111" s="4" t="s">
        <v>7</v>
      </c>
      <c r="D15111" s="4" t="s">
        <v>8</v>
      </c>
      <c r="E15111" s="4" t="s">
        <v>11</v>
      </c>
    </row>
    <row r="15112" spans="1:9">
      <c r="A15112" t="n">
        <v>142623</v>
      </c>
      <c r="B15112" s="15" t="n">
        <v>94</v>
      </c>
      <c r="C15112" s="7" t="n">
        <v>1</v>
      </c>
      <c r="D15112" s="7" t="s">
        <v>25</v>
      </c>
      <c r="E15112" s="7" t="n">
        <v>512</v>
      </c>
    </row>
    <row r="15113" spans="1:9">
      <c r="A15113" t="s">
        <v>4</v>
      </c>
      <c r="B15113" s="4" t="s">
        <v>5</v>
      </c>
      <c r="C15113" s="4" t="s">
        <v>11</v>
      </c>
      <c r="D15113" s="4" t="s">
        <v>13</v>
      </c>
      <c r="E15113" s="4" t="s">
        <v>13</v>
      </c>
      <c r="F15113" s="4" t="s">
        <v>13</v>
      </c>
      <c r="G15113" s="4" t="s">
        <v>13</v>
      </c>
    </row>
    <row r="15114" spans="1:9">
      <c r="A15114" t="n">
        <v>142637</v>
      </c>
      <c r="B15114" s="36" t="n">
        <v>46</v>
      </c>
      <c r="C15114" s="7" t="n">
        <v>0</v>
      </c>
      <c r="D15114" s="7" t="n">
        <v>-10.3400001525879</v>
      </c>
      <c r="E15114" s="7" t="n">
        <v>5</v>
      </c>
      <c r="F15114" s="7" t="n">
        <v>32.1300010681152</v>
      </c>
      <c r="G15114" s="7" t="n">
        <v>270</v>
      </c>
    </row>
    <row r="15115" spans="1:9">
      <c r="A15115" t="s">
        <v>4</v>
      </c>
      <c r="B15115" s="4" t="s">
        <v>5</v>
      </c>
      <c r="C15115" s="4" t="s">
        <v>11</v>
      </c>
      <c r="D15115" s="4" t="s">
        <v>11</v>
      </c>
      <c r="E15115" s="4" t="s">
        <v>13</v>
      </c>
      <c r="F15115" s="4" t="s">
        <v>13</v>
      </c>
      <c r="G15115" s="4" t="s">
        <v>13</v>
      </c>
      <c r="H15115" s="4" t="s">
        <v>13</v>
      </c>
      <c r="I15115" s="4" t="s">
        <v>7</v>
      </c>
      <c r="J15115" s="4" t="s">
        <v>11</v>
      </c>
    </row>
    <row r="15116" spans="1:9">
      <c r="A15116" t="n">
        <v>142656</v>
      </c>
      <c r="B15116" s="53" t="n">
        <v>55</v>
      </c>
      <c r="C15116" s="7" t="n">
        <v>0</v>
      </c>
      <c r="D15116" s="7" t="n">
        <v>65533</v>
      </c>
      <c r="E15116" s="7" t="n">
        <v>-12.4399995803833</v>
      </c>
      <c r="F15116" s="7" t="n">
        <v>5.01000022888184</v>
      </c>
      <c r="G15116" s="7" t="n">
        <v>32.1300010681152</v>
      </c>
      <c r="H15116" s="7" t="n">
        <v>0.899999976158142</v>
      </c>
      <c r="I15116" s="7" t="n">
        <v>1</v>
      </c>
      <c r="J15116" s="7" t="n">
        <v>0</v>
      </c>
    </row>
    <row r="15117" spans="1:9">
      <c r="A15117" t="s">
        <v>4</v>
      </c>
      <c r="B15117" s="4" t="s">
        <v>5</v>
      </c>
      <c r="C15117" s="4" t="s">
        <v>7</v>
      </c>
      <c r="D15117" s="4" t="s">
        <v>7</v>
      </c>
      <c r="E15117" s="4" t="s">
        <v>13</v>
      </c>
      <c r="F15117" s="4" t="s">
        <v>13</v>
      </c>
      <c r="G15117" s="4" t="s">
        <v>13</v>
      </c>
      <c r="H15117" s="4" t="s">
        <v>11</v>
      </c>
    </row>
    <row r="15118" spans="1:9">
      <c r="A15118" t="n">
        <v>142680</v>
      </c>
      <c r="B15118" s="51" t="n">
        <v>45</v>
      </c>
      <c r="C15118" s="7" t="n">
        <v>2</v>
      </c>
      <c r="D15118" s="7" t="n">
        <v>3</v>
      </c>
      <c r="E15118" s="7" t="n">
        <v>-13.1400003433228</v>
      </c>
      <c r="F15118" s="7" t="n">
        <v>7.17000007629395</v>
      </c>
      <c r="G15118" s="7" t="n">
        <v>31.6599998474121</v>
      </c>
      <c r="H15118" s="7" t="n">
        <v>0</v>
      </c>
    </row>
    <row r="15119" spans="1:9">
      <c r="A15119" t="s">
        <v>4</v>
      </c>
      <c r="B15119" s="4" t="s">
        <v>5</v>
      </c>
      <c r="C15119" s="4" t="s">
        <v>7</v>
      </c>
      <c r="D15119" s="4" t="s">
        <v>7</v>
      </c>
      <c r="E15119" s="4" t="s">
        <v>13</v>
      </c>
      <c r="F15119" s="4" t="s">
        <v>13</v>
      </c>
      <c r="G15119" s="4" t="s">
        <v>13</v>
      </c>
      <c r="H15119" s="4" t="s">
        <v>11</v>
      </c>
      <c r="I15119" s="4" t="s">
        <v>7</v>
      </c>
    </row>
    <row r="15120" spans="1:9">
      <c r="A15120" t="n">
        <v>142697</v>
      </c>
      <c r="B15120" s="51" t="n">
        <v>45</v>
      </c>
      <c r="C15120" s="7" t="n">
        <v>4</v>
      </c>
      <c r="D15120" s="7" t="n">
        <v>3</v>
      </c>
      <c r="E15120" s="7" t="n">
        <v>5.09000015258789</v>
      </c>
      <c r="F15120" s="7" t="n">
        <v>241.339996337891</v>
      </c>
      <c r="G15120" s="7" t="n">
        <v>360</v>
      </c>
      <c r="H15120" s="7" t="n">
        <v>0</v>
      </c>
      <c r="I15120" s="7" t="n">
        <v>0</v>
      </c>
    </row>
    <row r="15121" spans="1:10">
      <c r="A15121" t="s">
        <v>4</v>
      </c>
      <c r="B15121" s="4" t="s">
        <v>5</v>
      </c>
      <c r="C15121" s="4" t="s">
        <v>7</v>
      </c>
      <c r="D15121" s="4" t="s">
        <v>7</v>
      </c>
      <c r="E15121" s="4" t="s">
        <v>13</v>
      </c>
      <c r="F15121" s="4" t="s">
        <v>11</v>
      </c>
    </row>
    <row r="15122" spans="1:10">
      <c r="A15122" t="n">
        <v>142715</v>
      </c>
      <c r="B15122" s="51" t="n">
        <v>45</v>
      </c>
      <c r="C15122" s="7" t="n">
        <v>5</v>
      </c>
      <c r="D15122" s="7" t="n">
        <v>3</v>
      </c>
      <c r="E15122" s="7" t="n">
        <v>1.89999997615814</v>
      </c>
      <c r="F15122" s="7" t="n">
        <v>0</v>
      </c>
    </row>
    <row r="15123" spans="1:10">
      <c r="A15123" t="s">
        <v>4</v>
      </c>
      <c r="B15123" s="4" t="s">
        <v>5</v>
      </c>
      <c r="C15123" s="4" t="s">
        <v>7</v>
      </c>
      <c r="D15123" s="4" t="s">
        <v>7</v>
      </c>
      <c r="E15123" s="4" t="s">
        <v>13</v>
      </c>
      <c r="F15123" s="4" t="s">
        <v>11</v>
      </c>
    </row>
    <row r="15124" spans="1:10">
      <c r="A15124" t="n">
        <v>142724</v>
      </c>
      <c r="B15124" s="51" t="n">
        <v>45</v>
      </c>
      <c r="C15124" s="7" t="n">
        <v>11</v>
      </c>
      <c r="D15124" s="7" t="n">
        <v>3</v>
      </c>
      <c r="E15124" s="7" t="n">
        <v>37.4000015258789</v>
      </c>
      <c r="F15124" s="7" t="n">
        <v>0</v>
      </c>
    </row>
    <row r="15125" spans="1:10">
      <c r="A15125" t="s">
        <v>4</v>
      </c>
      <c r="B15125" s="4" t="s">
        <v>5</v>
      </c>
      <c r="C15125" s="4" t="s">
        <v>7</v>
      </c>
      <c r="D15125" s="4" t="s">
        <v>7</v>
      </c>
      <c r="E15125" s="4" t="s">
        <v>13</v>
      </c>
      <c r="F15125" s="4" t="s">
        <v>13</v>
      </c>
      <c r="G15125" s="4" t="s">
        <v>13</v>
      </c>
      <c r="H15125" s="4" t="s">
        <v>11</v>
      </c>
    </row>
    <row r="15126" spans="1:10">
      <c r="A15126" t="n">
        <v>142733</v>
      </c>
      <c r="B15126" s="51" t="n">
        <v>45</v>
      </c>
      <c r="C15126" s="7" t="n">
        <v>2</v>
      </c>
      <c r="D15126" s="7" t="n">
        <v>3</v>
      </c>
      <c r="E15126" s="7" t="n">
        <v>-13.1400003433228</v>
      </c>
      <c r="F15126" s="7" t="n">
        <v>6.28999996185303</v>
      </c>
      <c r="G15126" s="7" t="n">
        <v>31.6599998474121</v>
      </c>
      <c r="H15126" s="7" t="n">
        <v>4000</v>
      </c>
    </row>
    <row r="15127" spans="1:10">
      <c r="A15127" t="s">
        <v>4</v>
      </c>
      <c r="B15127" s="4" t="s">
        <v>5</v>
      </c>
      <c r="C15127" s="4" t="s">
        <v>11</v>
      </c>
      <c r="D15127" s="4" t="s">
        <v>13</v>
      </c>
      <c r="E15127" s="4" t="s">
        <v>13</v>
      </c>
      <c r="F15127" s="4" t="s">
        <v>13</v>
      </c>
      <c r="G15127" s="4" t="s">
        <v>11</v>
      </c>
      <c r="H15127" s="4" t="s">
        <v>11</v>
      </c>
    </row>
    <row r="15128" spans="1:10">
      <c r="A15128" t="n">
        <v>142750</v>
      </c>
      <c r="B15128" s="37" t="n">
        <v>60</v>
      </c>
      <c r="C15128" s="7" t="n">
        <v>0</v>
      </c>
      <c r="D15128" s="7" t="n">
        <v>0</v>
      </c>
      <c r="E15128" s="7" t="n">
        <v>10</v>
      </c>
      <c r="F15128" s="7" t="n">
        <v>0</v>
      </c>
      <c r="G15128" s="7" t="n">
        <v>0</v>
      </c>
      <c r="H15128" s="7" t="n">
        <v>0</v>
      </c>
    </row>
    <row r="15129" spans="1:10">
      <c r="A15129" t="s">
        <v>4</v>
      </c>
      <c r="B15129" s="4" t="s">
        <v>5</v>
      </c>
      <c r="C15129" s="4" t="s">
        <v>7</v>
      </c>
      <c r="D15129" s="4" t="s">
        <v>11</v>
      </c>
      <c r="E15129" s="4" t="s">
        <v>8</v>
      </c>
      <c r="F15129" s="4" t="s">
        <v>8</v>
      </c>
      <c r="G15129" s="4" t="s">
        <v>8</v>
      </c>
      <c r="H15129" s="4" t="s">
        <v>8</v>
      </c>
    </row>
    <row r="15130" spans="1:10">
      <c r="A15130" t="n">
        <v>142769</v>
      </c>
      <c r="B15130" s="38" t="n">
        <v>51</v>
      </c>
      <c r="C15130" s="7" t="n">
        <v>3</v>
      </c>
      <c r="D15130" s="7" t="n">
        <v>0</v>
      </c>
      <c r="E15130" s="7" t="s">
        <v>101</v>
      </c>
      <c r="F15130" s="7" t="s">
        <v>87</v>
      </c>
      <c r="G15130" s="7" t="s">
        <v>78</v>
      </c>
      <c r="H15130" s="7" t="s">
        <v>79</v>
      </c>
    </row>
    <row r="15131" spans="1:10">
      <c r="A15131" t="s">
        <v>4</v>
      </c>
      <c r="B15131" s="4" t="s">
        <v>5</v>
      </c>
      <c r="C15131" s="4" t="s">
        <v>7</v>
      </c>
      <c r="D15131" s="4" t="s">
        <v>11</v>
      </c>
      <c r="E15131" s="4" t="s">
        <v>13</v>
      </c>
    </row>
    <row r="15132" spans="1:10">
      <c r="A15132" t="n">
        <v>142798</v>
      </c>
      <c r="B15132" s="23" t="n">
        <v>58</v>
      </c>
      <c r="C15132" s="7" t="n">
        <v>100</v>
      </c>
      <c r="D15132" s="7" t="n">
        <v>1000</v>
      </c>
      <c r="E15132" s="7" t="n">
        <v>1</v>
      </c>
    </row>
    <row r="15133" spans="1:10">
      <c r="A15133" t="s">
        <v>4</v>
      </c>
      <c r="B15133" s="4" t="s">
        <v>5</v>
      </c>
      <c r="C15133" s="4" t="s">
        <v>11</v>
      </c>
      <c r="D15133" s="4" t="s">
        <v>13</v>
      </c>
      <c r="E15133" s="4" t="s">
        <v>13</v>
      </c>
      <c r="F15133" s="4" t="s">
        <v>13</v>
      </c>
      <c r="G15133" s="4" t="s">
        <v>11</v>
      </c>
      <c r="H15133" s="4" t="s">
        <v>11</v>
      </c>
    </row>
    <row r="15134" spans="1:10">
      <c r="A15134" t="n">
        <v>142806</v>
      </c>
      <c r="B15134" s="37" t="n">
        <v>60</v>
      </c>
      <c r="C15134" s="7" t="n">
        <v>0</v>
      </c>
      <c r="D15134" s="7" t="n">
        <v>-30</v>
      </c>
      <c r="E15134" s="7" t="n">
        <v>10</v>
      </c>
      <c r="F15134" s="7" t="n">
        <v>0</v>
      </c>
      <c r="G15134" s="7" t="n">
        <v>1000</v>
      </c>
      <c r="H15134" s="7" t="n">
        <v>0</v>
      </c>
    </row>
    <row r="15135" spans="1:10">
      <c r="A15135" t="s">
        <v>4</v>
      </c>
      <c r="B15135" s="4" t="s">
        <v>5</v>
      </c>
      <c r="C15135" s="4" t="s">
        <v>11</v>
      </c>
    </row>
    <row r="15136" spans="1:10">
      <c r="A15136" t="n">
        <v>142825</v>
      </c>
      <c r="B15136" s="29" t="n">
        <v>16</v>
      </c>
      <c r="C15136" s="7" t="n">
        <v>1000</v>
      </c>
    </row>
    <row r="15137" spans="1:8">
      <c r="A15137" t="s">
        <v>4</v>
      </c>
      <c r="B15137" s="4" t="s">
        <v>5</v>
      </c>
      <c r="C15137" s="4" t="s">
        <v>11</v>
      </c>
      <c r="D15137" s="4" t="s">
        <v>13</v>
      </c>
      <c r="E15137" s="4" t="s">
        <v>13</v>
      </c>
      <c r="F15137" s="4" t="s">
        <v>13</v>
      </c>
      <c r="G15137" s="4" t="s">
        <v>11</v>
      </c>
      <c r="H15137" s="4" t="s">
        <v>11</v>
      </c>
    </row>
    <row r="15138" spans="1:8">
      <c r="A15138" t="n">
        <v>142828</v>
      </c>
      <c r="B15138" s="37" t="n">
        <v>60</v>
      </c>
      <c r="C15138" s="7" t="n">
        <v>0</v>
      </c>
      <c r="D15138" s="7" t="n">
        <v>30</v>
      </c>
      <c r="E15138" s="7" t="n">
        <v>10</v>
      </c>
      <c r="F15138" s="7" t="n">
        <v>0</v>
      </c>
      <c r="G15138" s="7" t="n">
        <v>2000</v>
      </c>
      <c r="H15138" s="7" t="n">
        <v>0</v>
      </c>
    </row>
    <row r="15139" spans="1:8">
      <c r="A15139" t="s">
        <v>4</v>
      </c>
      <c r="B15139" s="4" t="s">
        <v>5</v>
      </c>
      <c r="C15139" s="4" t="s">
        <v>11</v>
      </c>
    </row>
    <row r="15140" spans="1:8">
      <c r="A15140" t="n">
        <v>142847</v>
      </c>
      <c r="B15140" s="29" t="n">
        <v>16</v>
      </c>
      <c r="C15140" s="7" t="n">
        <v>2000</v>
      </c>
    </row>
    <row r="15141" spans="1:8">
      <c r="A15141" t="s">
        <v>4</v>
      </c>
      <c r="B15141" s="4" t="s">
        <v>5</v>
      </c>
      <c r="C15141" s="4" t="s">
        <v>11</v>
      </c>
      <c r="D15141" s="4" t="s">
        <v>13</v>
      </c>
      <c r="E15141" s="4" t="s">
        <v>13</v>
      </c>
      <c r="F15141" s="4" t="s">
        <v>13</v>
      </c>
      <c r="G15141" s="4" t="s">
        <v>11</v>
      </c>
      <c r="H15141" s="4" t="s">
        <v>11</v>
      </c>
    </row>
    <row r="15142" spans="1:8">
      <c r="A15142" t="n">
        <v>142850</v>
      </c>
      <c r="B15142" s="37" t="n">
        <v>60</v>
      </c>
      <c r="C15142" s="7" t="n">
        <v>0</v>
      </c>
      <c r="D15142" s="7" t="n">
        <v>0</v>
      </c>
      <c r="E15142" s="7" t="n">
        <v>10</v>
      </c>
      <c r="F15142" s="7" t="n">
        <v>0</v>
      </c>
      <c r="G15142" s="7" t="n">
        <v>1000</v>
      </c>
      <c r="H15142" s="7" t="n">
        <v>0</v>
      </c>
    </row>
    <row r="15143" spans="1:8">
      <c r="A15143" t="s">
        <v>4</v>
      </c>
      <c r="B15143" s="4" t="s">
        <v>5</v>
      </c>
      <c r="C15143" s="4" t="s">
        <v>7</v>
      </c>
      <c r="D15143" s="4" t="s">
        <v>11</v>
      </c>
    </row>
    <row r="15144" spans="1:8">
      <c r="A15144" t="n">
        <v>142869</v>
      </c>
      <c r="B15144" s="51" t="n">
        <v>45</v>
      </c>
      <c r="C15144" s="7" t="n">
        <v>7</v>
      </c>
      <c r="D15144" s="7" t="n">
        <v>255</v>
      </c>
    </row>
    <row r="15145" spans="1:8">
      <c r="A15145" t="s">
        <v>4</v>
      </c>
      <c r="B15145" s="4" t="s">
        <v>5</v>
      </c>
      <c r="C15145" s="4" t="s">
        <v>7</v>
      </c>
      <c r="D15145" s="4" t="s">
        <v>11</v>
      </c>
      <c r="E15145" s="4" t="s">
        <v>13</v>
      </c>
    </row>
    <row r="15146" spans="1:8">
      <c r="A15146" t="n">
        <v>142873</v>
      </c>
      <c r="B15146" s="23" t="n">
        <v>58</v>
      </c>
      <c r="C15146" s="7" t="n">
        <v>101</v>
      </c>
      <c r="D15146" s="7" t="n">
        <v>1000</v>
      </c>
      <c r="E15146" s="7" t="n">
        <v>1</v>
      </c>
    </row>
    <row r="15147" spans="1:8">
      <c r="A15147" t="s">
        <v>4</v>
      </c>
      <c r="B15147" s="4" t="s">
        <v>5</v>
      </c>
      <c r="C15147" s="4" t="s">
        <v>7</v>
      </c>
      <c r="D15147" s="4" t="s">
        <v>11</v>
      </c>
    </row>
    <row r="15148" spans="1:8">
      <c r="A15148" t="n">
        <v>142881</v>
      </c>
      <c r="B15148" s="23" t="n">
        <v>58</v>
      </c>
      <c r="C15148" s="7" t="n">
        <v>254</v>
      </c>
      <c r="D15148" s="7" t="n">
        <v>0</v>
      </c>
    </row>
    <row r="15149" spans="1:8">
      <c r="A15149" t="s">
        <v>4</v>
      </c>
      <c r="B15149" s="4" t="s">
        <v>5</v>
      </c>
      <c r="C15149" s="4" t="s">
        <v>7</v>
      </c>
      <c r="D15149" s="4" t="s">
        <v>7</v>
      </c>
      <c r="E15149" s="4" t="s">
        <v>13</v>
      </c>
      <c r="F15149" s="4" t="s">
        <v>13</v>
      </c>
      <c r="G15149" s="4" t="s">
        <v>13</v>
      </c>
      <c r="H15149" s="4" t="s">
        <v>11</v>
      </c>
    </row>
    <row r="15150" spans="1:8">
      <c r="A15150" t="n">
        <v>142885</v>
      </c>
      <c r="B15150" s="51" t="n">
        <v>45</v>
      </c>
      <c r="C15150" s="7" t="n">
        <v>2</v>
      </c>
      <c r="D15150" s="7" t="n">
        <v>3</v>
      </c>
      <c r="E15150" s="7" t="n">
        <v>-12.7700004577637</v>
      </c>
      <c r="F15150" s="7" t="n">
        <v>6.42999982833862</v>
      </c>
      <c r="G15150" s="7" t="n">
        <v>31.9599990844727</v>
      </c>
      <c r="H15150" s="7" t="n">
        <v>0</v>
      </c>
    </row>
    <row r="15151" spans="1:8">
      <c r="A15151" t="s">
        <v>4</v>
      </c>
      <c r="B15151" s="4" t="s">
        <v>5</v>
      </c>
      <c r="C15151" s="4" t="s">
        <v>7</v>
      </c>
      <c r="D15151" s="4" t="s">
        <v>7</v>
      </c>
      <c r="E15151" s="4" t="s">
        <v>13</v>
      </c>
      <c r="F15151" s="4" t="s">
        <v>13</v>
      </c>
      <c r="G15151" s="4" t="s">
        <v>13</v>
      </c>
      <c r="H15151" s="4" t="s">
        <v>11</v>
      </c>
      <c r="I15151" s="4" t="s">
        <v>7</v>
      </c>
    </row>
    <row r="15152" spans="1:8">
      <c r="A15152" t="n">
        <v>142902</v>
      </c>
      <c r="B15152" s="51" t="n">
        <v>45</v>
      </c>
      <c r="C15152" s="7" t="n">
        <v>4</v>
      </c>
      <c r="D15152" s="7" t="n">
        <v>3</v>
      </c>
      <c r="E15152" s="7" t="n">
        <v>6.73999977111816</v>
      </c>
      <c r="F15152" s="7" t="n">
        <v>26.1399993896484</v>
      </c>
      <c r="G15152" s="7" t="n">
        <v>356</v>
      </c>
      <c r="H15152" s="7" t="n">
        <v>0</v>
      </c>
      <c r="I15152" s="7" t="n">
        <v>0</v>
      </c>
    </row>
    <row r="15153" spans="1:9">
      <c r="A15153" t="s">
        <v>4</v>
      </c>
      <c r="B15153" s="4" t="s">
        <v>5</v>
      </c>
      <c r="C15153" s="4" t="s">
        <v>7</v>
      </c>
      <c r="D15153" s="4" t="s">
        <v>7</v>
      </c>
      <c r="E15153" s="4" t="s">
        <v>13</v>
      </c>
      <c r="F15153" s="4" t="s">
        <v>11</v>
      </c>
    </row>
    <row r="15154" spans="1:9">
      <c r="A15154" t="n">
        <v>142920</v>
      </c>
      <c r="B15154" s="51" t="n">
        <v>45</v>
      </c>
      <c r="C15154" s="7" t="n">
        <v>5</v>
      </c>
      <c r="D15154" s="7" t="n">
        <v>3</v>
      </c>
      <c r="E15154" s="7" t="n">
        <v>2.20000004768372</v>
      </c>
      <c r="F15154" s="7" t="n">
        <v>0</v>
      </c>
    </row>
    <row r="15155" spans="1:9">
      <c r="A15155" t="s">
        <v>4</v>
      </c>
      <c r="B15155" s="4" t="s">
        <v>5</v>
      </c>
      <c r="C15155" s="4" t="s">
        <v>7</v>
      </c>
      <c r="D15155" s="4" t="s">
        <v>7</v>
      </c>
      <c r="E15155" s="4" t="s">
        <v>13</v>
      </c>
      <c r="F15155" s="4" t="s">
        <v>11</v>
      </c>
    </row>
    <row r="15156" spans="1:9">
      <c r="A15156" t="n">
        <v>142929</v>
      </c>
      <c r="B15156" s="51" t="n">
        <v>45</v>
      </c>
      <c r="C15156" s="7" t="n">
        <v>11</v>
      </c>
      <c r="D15156" s="7" t="n">
        <v>3</v>
      </c>
      <c r="E15156" s="7" t="n">
        <v>37.4000015258789</v>
      </c>
      <c r="F15156" s="7" t="n">
        <v>0</v>
      </c>
    </row>
    <row r="15157" spans="1:9">
      <c r="A15157" t="s">
        <v>4</v>
      </c>
      <c r="B15157" s="4" t="s">
        <v>5</v>
      </c>
      <c r="C15157" s="4" t="s">
        <v>7</v>
      </c>
      <c r="D15157" s="4" t="s">
        <v>7</v>
      </c>
      <c r="E15157" s="4" t="s">
        <v>13</v>
      </c>
      <c r="F15157" s="4" t="s">
        <v>13</v>
      </c>
      <c r="G15157" s="4" t="s">
        <v>13</v>
      </c>
      <c r="H15157" s="4" t="s">
        <v>11</v>
      </c>
    </row>
    <row r="15158" spans="1:9">
      <c r="A15158" t="n">
        <v>142938</v>
      </c>
      <c r="B15158" s="51" t="n">
        <v>45</v>
      </c>
      <c r="C15158" s="7" t="n">
        <v>2</v>
      </c>
      <c r="D15158" s="7" t="n">
        <v>3</v>
      </c>
      <c r="E15158" s="7" t="n">
        <v>-16.9799995422363</v>
      </c>
      <c r="F15158" s="7" t="n">
        <v>6.30000019073486</v>
      </c>
      <c r="G15158" s="7" t="n">
        <v>33.9199981689453</v>
      </c>
      <c r="H15158" s="7" t="n">
        <v>9000</v>
      </c>
    </row>
    <row r="15159" spans="1:9">
      <c r="A15159" t="s">
        <v>4</v>
      </c>
      <c r="B15159" s="4" t="s">
        <v>5</v>
      </c>
      <c r="C15159" s="4" t="s">
        <v>7</v>
      </c>
      <c r="D15159" s="4" t="s">
        <v>7</v>
      </c>
      <c r="E15159" s="4" t="s">
        <v>13</v>
      </c>
      <c r="F15159" s="4" t="s">
        <v>13</v>
      </c>
      <c r="G15159" s="4" t="s">
        <v>13</v>
      </c>
      <c r="H15159" s="4" t="s">
        <v>11</v>
      </c>
      <c r="I15159" s="4" t="s">
        <v>7</v>
      </c>
    </row>
    <row r="15160" spans="1:9">
      <c r="A15160" t="n">
        <v>142955</v>
      </c>
      <c r="B15160" s="51" t="n">
        <v>45</v>
      </c>
      <c r="C15160" s="7" t="n">
        <v>4</v>
      </c>
      <c r="D15160" s="7" t="n">
        <v>3</v>
      </c>
      <c r="E15160" s="7" t="n">
        <v>6.73999977111816</v>
      </c>
      <c r="F15160" s="7" t="n">
        <v>117.120002746582</v>
      </c>
      <c r="G15160" s="7" t="n">
        <v>356</v>
      </c>
      <c r="H15160" s="7" t="n">
        <v>9000</v>
      </c>
      <c r="I15160" s="7" t="n">
        <v>0</v>
      </c>
    </row>
    <row r="15161" spans="1:9">
      <c r="A15161" t="s">
        <v>4</v>
      </c>
      <c r="B15161" s="4" t="s">
        <v>5</v>
      </c>
      <c r="C15161" s="4" t="s">
        <v>7</v>
      </c>
      <c r="D15161" s="4" t="s">
        <v>11</v>
      </c>
    </row>
    <row r="15162" spans="1:9">
      <c r="A15162" t="n">
        <v>142973</v>
      </c>
      <c r="B15162" s="51" t="n">
        <v>45</v>
      </c>
      <c r="C15162" s="7" t="n">
        <v>7</v>
      </c>
      <c r="D15162" s="7" t="n">
        <v>255</v>
      </c>
    </row>
    <row r="15163" spans="1:9">
      <c r="A15163" t="s">
        <v>4</v>
      </c>
      <c r="B15163" s="4" t="s">
        <v>5</v>
      </c>
      <c r="C15163" s="4" t="s">
        <v>7</v>
      </c>
      <c r="D15163" s="4" t="s">
        <v>11</v>
      </c>
      <c r="E15163" s="4" t="s">
        <v>13</v>
      </c>
    </row>
    <row r="15164" spans="1:9">
      <c r="A15164" t="n">
        <v>142977</v>
      </c>
      <c r="B15164" s="23" t="n">
        <v>58</v>
      </c>
      <c r="C15164" s="7" t="n">
        <v>101</v>
      </c>
      <c r="D15164" s="7" t="n">
        <v>800</v>
      </c>
      <c r="E15164" s="7" t="n">
        <v>1</v>
      </c>
    </row>
    <row r="15165" spans="1:9">
      <c r="A15165" t="s">
        <v>4</v>
      </c>
      <c r="B15165" s="4" t="s">
        <v>5</v>
      </c>
      <c r="C15165" s="4" t="s">
        <v>7</v>
      </c>
      <c r="D15165" s="4" t="s">
        <v>11</v>
      </c>
    </row>
    <row r="15166" spans="1:9">
      <c r="A15166" t="n">
        <v>142985</v>
      </c>
      <c r="B15166" s="23" t="n">
        <v>58</v>
      </c>
      <c r="C15166" s="7" t="n">
        <v>254</v>
      </c>
      <c r="D15166" s="7" t="n">
        <v>0</v>
      </c>
    </row>
    <row r="15167" spans="1:9">
      <c r="A15167" t="s">
        <v>4</v>
      </c>
      <c r="B15167" s="4" t="s">
        <v>5</v>
      </c>
      <c r="C15167" s="4" t="s">
        <v>7</v>
      </c>
      <c r="D15167" s="4" t="s">
        <v>7</v>
      </c>
      <c r="E15167" s="4" t="s">
        <v>13</v>
      </c>
      <c r="F15167" s="4" t="s">
        <v>13</v>
      </c>
      <c r="G15167" s="4" t="s">
        <v>13</v>
      </c>
      <c r="H15167" s="4" t="s">
        <v>11</v>
      </c>
    </row>
    <row r="15168" spans="1:9">
      <c r="A15168" t="n">
        <v>142989</v>
      </c>
      <c r="B15168" s="51" t="n">
        <v>45</v>
      </c>
      <c r="C15168" s="7" t="n">
        <v>2</v>
      </c>
      <c r="D15168" s="7" t="n">
        <v>3</v>
      </c>
      <c r="E15168" s="7" t="n">
        <v>-12.4499998092651</v>
      </c>
      <c r="F15168" s="7" t="n">
        <v>6.48000001907349</v>
      </c>
      <c r="G15168" s="7" t="n">
        <v>32.0900001525879</v>
      </c>
      <c r="H15168" s="7" t="n">
        <v>0</v>
      </c>
    </row>
    <row r="15169" spans="1:9">
      <c r="A15169" t="s">
        <v>4</v>
      </c>
      <c r="B15169" s="4" t="s">
        <v>5</v>
      </c>
      <c r="C15169" s="4" t="s">
        <v>7</v>
      </c>
      <c r="D15169" s="4" t="s">
        <v>7</v>
      </c>
      <c r="E15169" s="4" t="s">
        <v>13</v>
      </c>
      <c r="F15169" s="4" t="s">
        <v>13</v>
      </c>
      <c r="G15169" s="4" t="s">
        <v>13</v>
      </c>
      <c r="H15169" s="4" t="s">
        <v>11</v>
      </c>
      <c r="I15169" s="4" t="s">
        <v>7</v>
      </c>
    </row>
    <row r="15170" spans="1:9">
      <c r="A15170" t="n">
        <v>143006</v>
      </c>
      <c r="B15170" s="51" t="n">
        <v>45</v>
      </c>
      <c r="C15170" s="7" t="n">
        <v>4</v>
      </c>
      <c r="D15170" s="7" t="n">
        <v>3</v>
      </c>
      <c r="E15170" s="7" t="n">
        <v>348.529998779297</v>
      </c>
      <c r="F15170" s="7" t="n">
        <v>301.519989013672</v>
      </c>
      <c r="G15170" s="7" t="n">
        <v>354</v>
      </c>
      <c r="H15170" s="7" t="n">
        <v>0</v>
      </c>
      <c r="I15170" s="7" t="n">
        <v>0</v>
      </c>
    </row>
    <row r="15171" spans="1:9">
      <c r="A15171" t="s">
        <v>4</v>
      </c>
      <c r="B15171" s="4" t="s">
        <v>5</v>
      </c>
      <c r="C15171" s="4" t="s">
        <v>7</v>
      </c>
      <c r="D15171" s="4" t="s">
        <v>7</v>
      </c>
      <c r="E15171" s="4" t="s">
        <v>13</v>
      </c>
      <c r="F15171" s="4" t="s">
        <v>11</v>
      </c>
    </row>
    <row r="15172" spans="1:9">
      <c r="A15172" t="n">
        <v>143024</v>
      </c>
      <c r="B15172" s="51" t="n">
        <v>45</v>
      </c>
      <c r="C15172" s="7" t="n">
        <v>11</v>
      </c>
      <c r="D15172" s="7" t="n">
        <v>3</v>
      </c>
      <c r="E15172" s="7" t="n">
        <v>37.4000015258789</v>
      </c>
      <c r="F15172" s="7" t="n">
        <v>0</v>
      </c>
    </row>
    <row r="15173" spans="1:9">
      <c r="A15173" t="s">
        <v>4</v>
      </c>
      <c r="B15173" s="4" t="s">
        <v>5</v>
      </c>
      <c r="C15173" s="4" t="s">
        <v>7</v>
      </c>
      <c r="D15173" s="4" t="s">
        <v>7</v>
      </c>
      <c r="E15173" s="4" t="s">
        <v>13</v>
      </c>
      <c r="F15173" s="4" t="s">
        <v>11</v>
      </c>
    </row>
    <row r="15174" spans="1:9">
      <c r="A15174" t="n">
        <v>143033</v>
      </c>
      <c r="B15174" s="51" t="n">
        <v>45</v>
      </c>
      <c r="C15174" s="7" t="n">
        <v>5</v>
      </c>
      <c r="D15174" s="7" t="n">
        <v>3</v>
      </c>
      <c r="E15174" s="7" t="n">
        <v>1.29999995231628</v>
      </c>
      <c r="F15174" s="7" t="n">
        <v>0</v>
      </c>
    </row>
    <row r="15175" spans="1:9">
      <c r="A15175" t="s">
        <v>4</v>
      </c>
      <c r="B15175" s="4" t="s">
        <v>5</v>
      </c>
      <c r="C15175" s="4" t="s">
        <v>7</v>
      </c>
      <c r="D15175" s="4" t="s">
        <v>7</v>
      </c>
      <c r="E15175" s="4" t="s">
        <v>13</v>
      </c>
      <c r="F15175" s="4" t="s">
        <v>11</v>
      </c>
    </row>
    <row r="15176" spans="1:9">
      <c r="A15176" t="n">
        <v>143042</v>
      </c>
      <c r="B15176" s="51" t="n">
        <v>45</v>
      </c>
      <c r="C15176" s="7" t="n">
        <v>5</v>
      </c>
      <c r="D15176" s="7" t="n">
        <v>3</v>
      </c>
      <c r="E15176" s="7" t="n">
        <v>1.20000004768372</v>
      </c>
      <c r="F15176" s="7" t="n">
        <v>3000</v>
      </c>
    </row>
    <row r="15177" spans="1:9">
      <c r="A15177" t="s">
        <v>4</v>
      </c>
      <c r="B15177" s="4" t="s">
        <v>5</v>
      </c>
      <c r="C15177" s="4" t="s">
        <v>7</v>
      </c>
      <c r="D15177" s="4" t="s">
        <v>11</v>
      </c>
      <c r="E15177" s="4" t="s">
        <v>8</v>
      </c>
      <c r="F15177" s="4" t="s">
        <v>8</v>
      </c>
      <c r="G15177" s="4" t="s">
        <v>8</v>
      </c>
      <c r="H15177" s="4" t="s">
        <v>8</v>
      </c>
    </row>
    <row r="15178" spans="1:9">
      <c r="A15178" t="n">
        <v>143051</v>
      </c>
      <c r="B15178" s="38" t="n">
        <v>51</v>
      </c>
      <c r="C15178" s="7" t="n">
        <v>3</v>
      </c>
      <c r="D15178" s="7" t="n">
        <v>0</v>
      </c>
      <c r="E15178" s="7" t="s">
        <v>155</v>
      </c>
      <c r="F15178" s="7" t="s">
        <v>218</v>
      </c>
      <c r="G15178" s="7" t="s">
        <v>78</v>
      </c>
      <c r="H15178" s="7" t="s">
        <v>79</v>
      </c>
    </row>
    <row r="15179" spans="1:9">
      <c r="A15179" t="s">
        <v>4</v>
      </c>
      <c r="B15179" s="4" t="s">
        <v>5</v>
      </c>
      <c r="C15179" s="4" t="s">
        <v>11</v>
      </c>
      <c r="D15179" s="4" t="s">
        <v>13</v>
      </c>
      <c r="E15179" s="4" t="s">
        <v>13</v>
      </c>
      <c r="F15179" s="4" t="s">
        <v>13</v>
      </c>
      <c r="G15179" s="4" t="s">
        <v>11</v>
      </c>
      <c r="H15179" s="4" t="s">
        <v>11</v>
      </c>
    </row>
    <row r="15180" spans="1:9">
      <c r="A15180" t="n">
        <v>143064</v>
      </c>
      <c r="B15180" s="37" t="n">
        <v>60</v>
      </c>
      <c r="C15180" s="7" t="n">
        <v>0</v>
      </c>
      <c r="D15180" s="7" t="n">
        <v>0</v>
      </c>
      <c r="E15180" s="7" t="n">
        <v>0</v>
      </c>
      <c r="F15180" s="7" t="n">
        <v>0</v>
      </c>
      <c r="G15180" s="7" t="n">
        <v>0</v>
      </c>
      <c r="H15180" s="7" t="n">
        <v>0</v>
      </c>
    </row>
    <row r="15181" spans="1:9">
      <c r="A15181" t="s">
        <v>4</v>
      </c>
      <c r="B15181" s="4" t="s">
        <v>5</v>
      </c>
      <c r="C15181" s="4" t="s">
        <v>7</v>
      </c>
      <c r="D15181" s="4" t="s">
        <v>11</v>
      </c>
    </row>
    <row r="15182" spans="1:9">
      <c r="A15182" t="n">
        <v>143083</v>
      </c>
      <c r="B15182" s="23" t="n">
        <v>58</v>
      </c>
      <c r="C15182" s="7" t="n">
        <v>255</v>
      </c>
      <c r="D15182" s="7" t="n">
        <v>0</v>
      </c>
    </row>
    <row r="15183" spans="1:9">
      <c r="A15183" t="s">
        <v>4</v>
      </c>
      <c r="B15183" s="4" t="s">
        <v>5</v>
      </c>
      <c r="C15183" s="4" t="s">
        <v>7</v>
      </c>
      <c r="D15183" s="4" t="s">
        <v>11</v>
      </c>
    </row>
    <row r="15184" spans="1:9">
      <c r="A15184" t="n">
        <v>143087</v>
      </c>
      <c r="B15184" s="51" t="n">
        <v>45</v>
      </c>
      <c r="C15184" s="7" t="n">
        <v>7</v>
      </c>
      <c r="D15184" s="7" t="n">
        <v>255</v>
      </c>
    </row>
    <row r="15185" spans="1:9">
      <c r="A15185" t="s">
        <v>4</v>
      </c>
      <c r="B15185" s="4" t="s">
        <v>5</v>
      </c>
      <c r="C15185" s="4" t="s">
        <v>11</v>
      </c>
    </row>
    <row r="15186" spans="1:9">
      <c r="A15186" t="n">
        <v>143091</v>
      </c>
      <c r="B15186" s="29" t="n">
        <v>16</v>
      </c>
      <c r="C15186" s="7" t="n">
        <v>300</v>
      </c>
    </row>
    <row r="15187" spans="1:9">
      <c r="A15187" t="s">
        <v>4</v>
      </c>
      <c r="B15187" s="4" t="s">
        <v>5</v>
      </c>
      <c r="C15187" s="4" t="s">
        <v>7</v>
      </c>
      <c r="D15187" s="4" t="s">
        <v>11</v>
      </c>
      <c r="E15187" s="4" t="s">
        <v>8</v>
      </c>
    </row>
    <row r="15188" spans="1:9">
      <c r="A15188" t="n">
        <v>143094</v>
      </c>
      <c r="B15188" s="38" t="n">
        <v>51</v>
      </c>
      <c r="C15188" s="7" t="n">
        <v>4</v>
      </c>
      <c r="D15188" s="7" t="n">
        <v>0</v>
      </c>
      <c r="E15188" s="7" t="s">
        <v>1183</v>
      </c>
    </row>
    <row r="15189" spans="1:9">
      <c r="A15189" t="s">
        <v>4</v>
      </c>
      <c r="B15189" s="4" t="s">
        <v>5</v>
      </c>
      <c r="C15189" s="4" t="s">
        <v>11</v>
      </c>
    </row>
    <row r="15190" spans="1:9">
      <c r="A15190" t="n">
        <v>143108</v>
      </c>
      <c r="B15190" s="29" t="n">
        <v>16</v>
      </c>
      <c r="C15190" s="7" t="n">
        <v>0</v>
      </c>
    </row>
    <row r="15191" spans="1:9">
      <c r="A15191" t="s">
        <v>4</v>
      </c>
      <c r="B15191" s="4" t="s">
        <v>5</v>
      </c>
      <c r="C15191" s="4" t="s">
        <v>11</v>
      </c>
      <c r="D15191" s="4" t="s">
        <v>7</v>
      </c>
      <c r="E15191" s="4" t="s">
        <v>15</v>
      </c>
      <c r="F15191" s="4" t="s">
        <v>55</v>
      </c>
      <c r="G15191" s="4" t="s">
        <v>7</v>
      </c>
      <c r="H15191" s="4" t="s">
        <v>7</v>
      </c>
      <c r="I15191" s="4" t="s">
        <v>7</v>
      </c>
      <c r="J15191" s="4" t="s">
        <v>15</v>
      </c>
      <c r="K15191" s="4" t="s">
        <v>55</v>
      </c>
      <c r="L15191" s="4" t="s">
        <v>7</v>
      </c>
      <c r="M15191" s="4" t="s">
        <v>7</v>
      </c>
      <c r="N15191" s="4" t="s">
        <v>7</v>
      </c>
      <c r="O15191" s="4" t="s">
        <v>15</v>
      </c>
      <c r="P15191" s="4" t="s">
        <v>55</v>
      </c>
      <c r="Q15191" s="4" t="s">
        <v>7</v>
      </c>
      <c r="R15191" s="4" t="s">
        <v>7</v>
      </c>
      <c r="S15191" s="4" t="s">
        <v>7</v>
      </c>
      <c r="T15191" s="4" t="s">
        <v>15</v>
      </c>
      <c r="U15191" s="4" t="s">
        <v>55</v>
      </c>
      <c r="V15191" s="4" t="s">
        <v>7</v>
      </c>
      <c r="W15191" s="4" t="s">
        <v>7</v>
      </c>
    </row>
    <row r="15192" spans="1:9">
      <c r="A15192" t="n">
        <v>143111</v>
      </c>
      <c r="B15192" s="55" t="n">
        <v>26</v>
      </c>
      <c r="C15192" s="7" t="n">
        <v>0</v>
      </c>
      <c r="D15192" s="7" t="n">
        <v>17</v>
      </c>
      <c r="E15192" s="7" t="n">
        <v>64242</v>
      </c>
      <c r="F15192" s="7" t="s">
        <v>1184</v>
      </c>
      <c r="G15192" s="7" t="n">
        <v>2</v>
      </c>
      <c r="H15192" s="7" t="n">
        <v>3</v>
      </c>
      <c r="I15192" s="7" t="n">
        <v>17</v>
      </c>
      <c r="J15192" s="7" t="n">
        <v>64243</v>
      </c>
      <c r="K15192" s="7" t="s">
        <v>1185</v>
      </c>
      <c r="L15192" s="7" t="n">
        <v>2</v>
      </c>
      <c r="M15192" s="7" t="n">
        <v>3</v>
      </c>
      <c r="N15192" s="7" t="n">
        <v>17</v>
      </c>
      <c r="O15192" s="7" t="n">
        <v>64244</v>
      </c>
      <c r="P15192" s="7" t="s">
        <v>1186</v>
      </c>
      <c r="Q15192" s="7" t="n">
        <v>2</v>
      </c>
      <c r="R15192" s="7" t="n">
        <v>3</v>
      </c>
      <c r="S15192" s="7" t="n">
        <v>17</v>
      </c>
      <c r="T15192" s="7" t="n">
        <v>64245</v>
      </c>
      <c r="U15192" s="7" t="s">
        <v>1187</v>
      </c>
      <c r="V15192" s="7" t="n">
        <v>2</v>
      </c>
      <c r="W15192" s="7" t="n">
        <v>0</v>
      </c>
    </row>
    <row r="15193" spans="1:9">
      <c r="A15193" t="s">
        <v>4</v>
      </c>
      <c r="B15193" s="4" t="s">
        <v>5</v>
      </c>
    </row>
    <row r="15194" spans="1:9">
      <c r="A15194" t="n">
        <v>143430</v>
      </c>
      <c r="B15194" s="27" t="n">
        <v>28</v>
      </c>
    </row>
    <row r="15195" spans="1:9">
      <c r="A15195" t="s">
        <v>4</v>
      </c>
      <c r="B15195" s="4" t="s">
        <v>5</v>
      </c>
      <c r="C15195" s="4" t="s">
        <v>11</v>
      </c>
      <c r="D15195" s="4" t="s">
        <v>7</v>
      </c>
    </row>
    <row r="15196" spans="1:9">
      <c r="A15196" t="n">
        <v>143431</v>
      </c>
      <c r="B15196" s="68" t="n">
        <v>89</v>
      </c>
      <c r="C15196" s="7" t="n">
        <v>65533</v>
      </c>
      <c r="D15196" s="7" t="n">
        <v>1</v>
      </c>
    </row>
    <row r="15197" spans="1:9">
      <c r="A15197" t="s">
        <v>4</v>
      </c>
      <c r="B15197" s="4" t="s">
        <v>5</v>
      </c>
      <c r="C15197" s="4" t="s">
        <v>7</v>
      </c>
      <c r="D15197" s="4" t="s">
        <v>11</v>
      </c>
      <c r="E15197" s="4" t="s">
        <v>8</v>
      </c>
      <c r="F15197" s="4" t="s">
        <v>8</v>
      </c>
      <c r="G15197" s="4" t="s">
        <v>8</v>
      </c>
      <c r="H15197" s="4" t="s">
        <v>8</v>
      </c>
    </row>
    <row r="15198" spans="1:9">
      <c r="A15198" t="n">
        <v>143435</v>
      </c>
      <c r="B15198" s="38" t="n">
        <v>51</v>
      </c>
      <c r="C15198" s="7" t="n">
        <v>3</v>
      </c>
      <c r="D15198" s="7" t="n">
        <v>0</v>
      </c>
      <c r="E15198" s="7" t="s">
        <v>99</v>
      </c>
      <c r="F15198" s="7" t="s">
        <v>99</v>
      </c>
      <c r="G15198" s="7" t="s">
        <v>78</v>
      </c>
      <c r="H15198" s="7" t="s">
        <v>79</v>
      </c>
    </row>
    <row r="15199" spans="1:9">
      <c r="A15199" t="s">
        <v>4</v>
      </c>
      <c r="B15199" s="4" t="s">
        <v>5</v>
      </c>
      <c r="C15199" s="4" t="s">
        <v>11</v>
      </c>
      <c r="D15199" s="4" t="s">
        <v>7</v>
      </c>
      <c r="E15199" s="4" t="s">
        <v>13</v>
      </c>
      <c r="F15199" s="4" t="s">
        <v>11</v>
      </c>
    </row>
    <row r="15200" spans="1:9">
      <c r="A15200" t="n">
        <v>143448</v>
      </c>
      <c r="B15200" s="56" t="n">
        <v>59</v>
      </c>
      <c r="C15200" s="7" t="n">
        <v>0</v>
      </c>
      <c r="D15200" s="7" t="n">
        <v>9</v>
      </c>
      <c r="E15200" s="7" t="n">
        <v>0.150000005960464</v>
      </c>
      <c r="F15200" s="7" t="n">
        <v>0</v>
      </c>
    </row>
    <row r="15201" spans="1:23">
      <c r="A15201" t="s">
        <v>4</v>
      </c>
      <c r="B15201" s="4" t="s">
        <v>5</v>
      </c>
      <c r="C15201" s="4" t="s">
        <v>11</v>
      </c>
    </row>
    <row r="15202" spans="1:23">
      <c r="A15202" t="n">
        <v>143458</v>
      </c>
      <c r="B15202" s="29" t="n">
        <v>16</v>
      </c>
      <c r="C15202" s="7" t="n">
        <v>2000</v>
      </c>
    </row>
    <row r="15203" spans="1:23">
      <c r="A15203" t="s">
        <v>4</v>
      </c>
      <c r="B15203" s="4" t="s">
        <v>5</v>
      </c>
      <c r="C15203" s="4" t="s">
        <v>7</v>
      </c>
      <c r="D15203" s="4" t="s">
        <v>11</v>
      </c>
      <c r="E15203" s="4" t="s">
        <v>13</v>
      </c>
    </row>
    <row r="15204" spans="1:23">
      <c r="A15204" t="n">
        <v>143461</v>
      </c>
      <c r="B15204" s="23" t="n">
        <v>58</v>
      </c>
      <c r="C15204" s="7" t="n">
        <v>101</v>
      </c>
      <c r="D15204" s="7" t="n">
        <v>600</v>
      </c>
      <c r="E15204" s="7" t="n">
        <v>1</v>
      </c>
    </row>
    <row r="15205" spans="1:23">
      <c r="A15205" t="s">
        <v>4</v>
      </c>
      <c r="B15205" s="4" t="s">
        <v>5</v>
      </c>
      <c r="C15205" s="4" t="s">
        <v>7</v>
      </c>
      <c r="D15205" s="4" t="s">
        <v>11</v>
      </c>
    </row>
    <row r="15206" spans="1:23">
      <c r="A15206" t="n">
        <v>143469</v>
      </c>
      <c r="B15206" s="23" t="n">
        <v>58</v>
      </c>
      <c r="C15206" s="7" t="n">
        <v>254</v>
      </c>
      <c r="D15206" s="7" t="n">
        <v>0</v>
      </c>
    </row>
    <row r="15207" spans="1:23">
      <c r="A15207" t="s">
        <v>4</v>
      </c>
      <c r="B15207" s="4" t="s">
        <v>5</v>
      </c>
      <c r="C15207" s="4" t="s">
        <v>7</v>
      </c>
      <c r="D15207" s="4" t="s">
        <v>7</v>
      </c>
      <c r="E15207" s="4" t="s">
        <v>13</v>
      </c>
      <c r="F15207" s="4" t="s">
        <v>13</v>
      </c>
      <c r="G15207" s="4" t="s">
        <v>13</v>
      </c>
      <c r="H15207" s="4" t="s">
        <v>11</v>
      </c>
    </row>
    <row r="15208" spans="1:23">
      <c r="A15208" t="n">
        <v>143473</v>
      </c>
      <c r="B15208" s="51" t="n">
        <v>45</v>
      </c>
      <c r="C15208" s="7" t="n">
        <v>2</v>
      </c>
      <c r="D15208" s="7" t="n">
        <v>3</v>
      </c>
      <c r="E15208" s="7" t="n">
        <v>-12.4099998474121</v>
      </c>
      <c r="F15208" s="7" t="n">
        <v>6.48000001907349</v>
      </c>
      <c r="G15208" s="7" t="n">
        <v>32.0800018310547</v>
      </c>
      <c r="H15208" s="7" t="n">
        <v>0</v>
      </c>
    </row>
    <row r="15209" spans="1:23">
      <c r="A15209" t="s">
        <v>4</v>
      </c>
      <c r="B15209" s="4" t="s">
        <v>5</v>
      </c>
      <c r="C15209" s="4" t="s">
        <v>7</v>
      </c>
      <c r="D15209" s="4" t="s">
        <v>7</v>
      </c>
      <c r="E15209" s="4" t="s">
        <v>13</v>
      </c>
      <c r="F15209" s="4" t="s">
        <v>13</v>
      </c>
      <c r="G15209" s="4" t="s">
        <v>13</v>
      </c>
      <c r="H15209" s="4" t="s">
        <v>11</v>
      </c>
      <c r="I15209" s="4" t="s">
        <v>7</v>
      </c>
    </row>
    <row r="15210" spans="1:23">
      <c r="A15210" t="n">
        <v>143490</v>
      </c>
      <c r="B15210" s="51" t="n">
        <v>45</v>
      </c>
      <c r="C15210" s="7" t="n">
        <v>4</v>
      </c>
      <c r="D15210" s="7" t="n">
        <v>3</v>
      </c>
      <c r="E15210" s="7" t="n">
        <v>348.529998779297</v>
      </c>
      <c r="F15210" s="7" t="n">
        <v>282.480010986328</v>
      </c>
      <c r="G15210" s="7" t="n">
        <v>356</v>
      </c>
      <c r="H15210" s="7" t="n">
        <v>0</v>
      </c>
      <c r="I15210" s="7" t="n">
        <v>0</v>
      </c>
    </row>
    <row r="15211" spans="1:23">
      <c r="A15211" t="s">
        <v>4</v>
      </c>
      <c r="B15211" s="4" t="s">
        <v>5</v>
      </c>
      <c r="C15211" s="4" t="s">
        <v>7</v>
      </c>
      <c r="D15211" s="4" t="s">
        <v>7</v>
      </c>
      <c r="E15211" s="4" t="s">
        <v>13</v>
      </c>
      <c r="F15211" s="4" t="s">
        <v>11</v>
      </c>
    </row>
    <row r="15212" spans="1:23">
      <c r="A15212" t="n">
        <v>143508</v>
      </c>
      <c r="B15212" s="51" t="n">
        <v>45</v>
      </c>
      <c r="C15212" s="7" t="n">
        <v>11</v>
      </c>
      <c r="D15212" s="7" t="n">
        <v>3</v>
      </c>
      <c r="E15212" s="7" t="n">
        <v>34</v>
      </c>
      <c r="F15212" s="7" t="n">
        <v>0</v>
      </c>
    </row>
    <row r="15213" spans="1:23">
      <c r="A15213" t="s">
        <v>4</v>
      </c>
      <c r="B15213" s="4" t="s">
        <v>5</v>
      </c>
      <c r="C15213" s="4" t="s">
        <v>7</v>
      </c>
      <c r="D15213" s="4" t="s">
        <v>7</v>
      </c>
      <c r="E15213" s="4" t="s">
        <v>13</v>
      </c>
      <c r="F15213" s="4" t="s">
        <v>11</v>
      </c>
    </row>
    <row r="15214" spans="1:23">
      <c r="A15214" t="n">
        <v>143517</v>
      </c>
      <c r="B15214" s="51" t="n">
        <v>45</v>
      </c>
      <c r="C15214" s="7" t="n">
        <v>5</v>
      </c>
      <c r="D15214" s="7" t="n">
        <v>3</v>
      </c>
      <c r="E15214" s="7" t="n">
        <v>1.39999997615814</v>
      </c>
      <c r="F15214" s="7" t="n">
        <v>0</v>
      </c>
    </row>
    <row r="15215" spans="1:23">
      <c r="A15215" t="s">
        <v>4</v>
      </c>
      <c r="B15215" s="4" t="s">
        <v>5</v>
      </c>
      <c r="C15215" s="4" t="s">
        <v>7</v>
      </c>
      <c r="D15215" s="4" t="s">
        <v>7</v>
      </c>
      <c r="E15215" s="4" t="s">
        <v>13</v>
      </c>
      <c r="F15215" s="4" t="s">
        <v>11</v>
      </c>
    </row>
    <row r="15216" spans="1:23">
      <c r="A15216" t="n">
        <v>143526</v>
      </c>
      <c r="B15216" s="51" t="n">
        <v>45</v>
      </c>
      <c r="C15216" s="7" t="n">
        <v>5</v>
      </c>
      <c r="D15216" s="7" t="n">
        <v>3</v>
      </c>
      <c r="E15216" s="7" t="n">
        <v>1.29999995231628</v>
      </c>
      <c r="F15216" s="7" t="n">
        <v>2000</v>
      </c>
    </row>
    <row r="15217" spans="1:9">
      <c r="A15217" t="s">
        <v>4</v>
      </c>
      <c r="B15217" s="4" t="s">
        <v>5</v>
      </c>
      <c r="C15217" s="4" t="s">
        <v>11</v>
      </c>
      <c r="D15217" s="4" t="s">
        <v>7</v>
      </c>
      <c r="E15217" s="4" t="s">
        <v>8</v>
      </c>
      <c r="F15217" s="4" t="s">
        <v>13</v>
      </c>
      <c r="G15217" s="4" t="s">
        <v>13</v>
      </c>
      <c r="H15217" s="4" t="s">
        <v>13</v>
      </c>
    </row>
    <row r="15218" spans="1:9">
      <c r="A15218" t="n">
        <v>143535</v>
      </c>
      <c r="B15218" s="42" t="n">
        <v>48</v>
      </c>
      <c r="C15218" s="7" t="n">
        <v>0</v>
      </c>
      <c r="D15218" s="7" t="n">
        <v>0</v>
      </c>
      <c r="E15218" s="7" t="s">
        <v>202</v>
      </c>
      <c r="F15218" s="7" t="n">
        <v>0</v>
      </c>
      <c r="G15218" s="7" t="n">
        <v>1</v>
      </c>
      <c r="H15218" s="7" t="n">
        <v>0</v>
      </c>
    </row>
    <row r="15219" spans="1:9">
      <c r="A15219" t="s">
        <v>4</v>
      </c>
      <c r="B15219" s="4" t="s">
        <v>5</v>
      </c>
      <c r="C15219" s="4" t="s">
        <v>7</v>
      </c>
      <c r="D15219" s="4" t="s">
        <v>11</v>
      </c>
      <c r="E15219" s="4" t="s">
        <v>8</v>
      </c>
      <c r="F15219" s="4" t="s">
        <v>8</v>
      </c>
      <c r="G15219" s="4" t="s">
        <v>8</v>
      </c>
      <c r="H15219" s="4" t="s">
        <v>8</v>
      </c>
    </row>
    <row r="15220" spans="1:9">
      <c r="A15220" t="n">
        <v>143560</v>
      </c>
      <c r="B15220" s="38" t="n">
        <v>51</v>
      </c>
      <c r="C15220" s="7" t="n">
        <v>3</v>
      </c>
      <c r="D15220" s="7" t="n">
        <v>0</v>
      </c>
      <c r="E15220" s="7" t="s">
        <v>68</v>
      </c>
      <c r="F15220" s="7" t="s">
        <v>218</v>
      </c>
      <c r="G15220" s="7" t="s">
        <v>78</v>
      </c>
      <c r="H15220" s="7" t="s">
        <v>79</v>
      </c>
    </row>
    <row r="15221" spans="1:9">
      <c r="A15221" t="s">
        <v>4</v>
      </c>
      <c r="B15221" s="4" t="s">
        <v>5</v>
      </c>
      <c r="C15221" s="4" t="s">
        <v>11</v>
      </c>
    </row>
    <row r="15222" spans="1:9">
      <c r="A15222" t="n">
        <v>143573</v>
      </c>
      <c r="B15222" s="29" t="n">
        <v>16</v>
      </c>
      <c r="C15222" s="7" t="n">
        <v>500</v>
      </c>
    </row>
    <row r="15223" spans="1:9">
      <c r="A15223" t="s">
        <v>4</v>
      </c>
      <c r="B15223" s="4" t="s">
        <v>5</v>
      </c>
      <c r="C15223" s="4" t="s">
        <v>7</v>
      </c>
      <c r="D15223" s="4" t="s">
        <v>11</v>
      </c>
      <c r="E15223" s="4" t="s">
        <v>13</v>
      </c>
      <c r="F15223" s="4" t="s">
        <v>11</v>
      </c>
      <c r="G15223" s="4" t="s">
        <v>15</v>
      </c>
      <c r="H15223" s="4" t="s">
        <v>15</v>
      </c>
      <c r="I15223" s="4" t="s">
        <v>11</v>
      </c>
      <c r="J15223" s="4" t="s">
        <v>11</v>
      </c>
      <c r="K15223" s="4" t="s">
        <v>15</v>
      </c>
      <c r="L15223" s="4" t="s">
        <v>15</v>
      </c>
      <c r="M15223" s="4" t="s">
        <v>15</v>
      </c>
      <c r="N15223" s="4" t="s">
        <v>15</v>
      </c>
      <c r="O15223" s="4" t="s">
        <v>8</v>
      </c>
    </row>
    <row r="15224" spans="1:9">
      <c r="A15224" t="n">
        <v>143576</v>
      </c>
      <c r="B15224" s="57" t="n">
        <v>50</v>
      </c>
      <c r="C15224" s="7" t="n">
        <v>0</v>
      </c>
      <c r="D15224" s="7" t="n">
        <v>2000</v>
      </c>
      <c r="E15224" s="7" t="n">
        <v>0.699999988079071</v>
      </c>
      <c r="F15224" s="7" t="n">
        <v>100</v>
      </c>
      <c r="G15224" s="7" t="n">
        <v>0</v>
      </c>
      <c r="H15224" s="7" t="n">
        <v>1065353216</v>
      </c>
      <c r="I15224" s="7" t="n">
        <v>0</v>
      </c>
      <c r="J15224" s="7" t="n">
        <v>65533</v>
      </c>
      <c r="K15224" s="7" t="n">
        <v>0</v>
      </c>
      <c r="L15224" s="7" t="n">
        <v>0</v>
      </c>
      <c r="M15224" s="7" t="n">
        <v>0</v>
      </c>
      <c r="N15224" s="7" t="n">
        <v>0</v>
      </c>
      <c r="O15224" s="7" t="s">
        <v>16</v>
      </c>
    </row>
    <row r="15225" spans="1:9">
      <c r="A15225" t="s">
        <v>4</v>
      </c>
      <c r="B15225" s="4" t="s">
        <v>5</v>
      </c>
      <c r="C15225" s="4" t="s">
        <v>11</v>
      </c>
    </row>
    <row r="15226" spans="1:9">
      <c r="A15226" t="n">
        <v>143615</v>
      </c>
      <c r="B15226" s="29" t="n">
        <v>16</v>
      </c>
      <c r="C15226" s="7" t="n">
        <v>1500</v>
      </c>
    </row>
    <row r="15227" spans="1:9">
      <c r="A15227" t="s">
        <v>4</v>
      </c>
      <c r="B15227" s="4" t="s">
        <v>5</v>
      </c>
      <c r="C15227" s="4" t="s">
        <v>7</v>
      </c>
      <c r="D15227" s="4" t="s">
        <v>11</v>
      </c>
      <c r="E15227" s="4" t="s">
        <v>8</v>
      </c>
    </row>
    <row r="15228" spans="1:9">
      <c r="A15228" t="n">
        <v>143618</v>
      </c>
      <c r="B15228" s="38" t="n">
        <v>51</v>
      </c>
      <c r="C15228" s="7" t="n">
        <v>4</v>
      </c>
      <c r="D15228" s="7" t="n">
        <v>0</v>
      </c>
      <c r="E15228" s="7" t="s">
        <v>1188</v>
      </c>
    </row>
    <row r="15229" spans="1:9">
      <c r="A15229" t="s">
        <v>4</v>
      </c>
      <c r="B15229" s="4" t="s">
        <v>5</v>
      </c>
      <c r="C15229" s="4" t="s">
        <v>11</v>
      </c>
    </row>
    <row r="15230" spans="1:9">
      <c r="A15230" t="n">
        <v>143633</v>
      </c>
      <c r="B15230" s="29" t="n">
        <v>16</v>
      </c>
      <c r="C15230" s="7" t="n">
        <v>0</v>
      </c>
    </row>
    <row r="15231" spans="1:9">
      <c r="A15231" t="s">
        <v>4</v>
      </c>
      <c r="B15231" s="4" t="s">
        <v>5</v>
      </c>
      <c r="C15231" s="4" t="s">
        <v>11</v>
      </c>
      <c r="D15231" s="4" t="s">
        <v>7</v>
      </c>
      <c r="E15231" s="4" t="s">
        <v>15</v>
      </c>
      <c r="F15231" s="4" t="s">
        <v>55</v>
      </c>
      <c r="G15231" s="4" t="s">
        <v>7</v>
      </c>
      <c r="H15231" s="4" t="s">
        <v>7</v>
      </c>
      <c r="I15231" s="4" t="s">
        <v>7</v>
      </c>
      <c r="J15231" s="4" t="s">
        <v>15</v>
      </c>
      <c r="K15231" s="4" t="s">
        <v>55</v>
      </c>
      <c r="L15231" s="4" t="s">
        <v>7</v>
      </c>
      <c r="M15231" s="4" t="s">
        <v>7</v>
      </c>
      <c r="N15231" s="4" t="s">
        <v>7</v>
      </c>
      <c r="O15231" s="4" t="s">
        <v>15</v>
      </c>
      <c r="P15231" s="4" t="s">
        <v>55</v>
      </c>
      <c r="Q15231" s="4" t="s">
        <v>7</v>
      </c>
      <c r="R15231" s="4" t="s">
        <v>7</v>
      </c>
      <c r="S15231" s="4" t="s">
        <v>7</v>
      </c>
      <c r="T15231" s="4" t="s">
        <v>15</v>
      </c>
      <c r="U15231" s="4" t="s">
        <v>55</v>
      </c>
      <c r="V15231" s="4" t="s">
        <v>7</v>
      </c>
      <c r="W15231" s="4" t="s">
        <v>7</v>
      </c>
    </row>
    <row r="15232" spans="1:9">
      <c r="A15232" t="n">
        <v>143636</v>
      </c>
      <c r="B15232" s="55" t="n">
        <v>26</v>
      </c>
      <c r="C15232" s="7" t="n">
        <v>0</v>
      </c>
      <c r="D15232" s="7" t="n">
        <v>17</v>
      </c>
      <c r="E15232" s="7" t="n">
        <v>64246</v>
      </c>
      <c r="F15232" s="7" t="s">
        <v>1189</v>
      </c>
      <c r="G15232" s="7" t="n">
        <v>2</v>
      </c>
      <c r="H15232" s="7" t="n">
        <v>3</v>
      </c>
      <c r="I15232" s="7" t="n">
        <v>17</v>
      </c>
      <c r="J15232" s="7" t="n">
        <v>64247</v>
      </c>
      <c r="K15232" s="7" t="s">
        <v>1190</v>
      </c>
      <c r="L15232" s="7" t="n">
        <v>2</v>
      </c>
      <c r="M15232" s="7" t="n">
        <v>3</v>
      </c>
      <c r="N15232" s="7" t="n">
        <v>17</v>
      </c>
      <c r="O15232" s="7" t="n">
        <v>64248</v>
      </c>
      <c r="P15232" s="7" t="s">
        <v>1191</v>
      </c>
      <c r="Q15232" s="7" t="n">
        <v>2</v>
      </c>
      <c r="R15232" s="7" t="n">
        <v>3</v>
      </c>
      <c r="S15232" s="7" t="n">
        <v>17</v>
      </c>
      <c r="T15232" s="7" t="n">
        <v>64249</v>
      </c>
      <c r="U15232" s="7" t="s">
        <v>1192</v>
      </c>
      <c r="V15232" s="7" t="n">
        <v>2</v>
      </c>
      <c r="W15232" s="7" t="n">
        <v>0</v>
      </c>
    </row>
    <row r="15233" spans="1:23">
      <c r="A15233" t="s">
        <v>4</v>
      </c>
      <c r="B15233" s="4" t="s">
        <v>5</v>
      </c>
    </row>
    <row r="15234" spans="1:23">
      <c r="A15234" t="n">
        <v>144002</v>
      </c>
      <c r="B15234" s="27" t="n">
        <v>28</v>
      </c>
    </row>
    <row r="15235" spans="1:23">
      <c r="A15235" t="s">
        <v>4</v>
      </c>
      <c r="B15235" s="4" t="s">
        <v>5</v>
      </c>
      <c r="C15235" s="4" t="s">
        <v>11</v>
      </c>
      <c r="D15235" s="4" t="s">
        <v>7</v>
      </c>
    </row>
    <row r="15236" spans="1:23">
      <c r="A15236" t="n">
        <v>144003</v>
      </c>
      <c r="B15236" s="68" t="n">
        <v>89</v>
      </c>
      <c r="C15236" s="7" t="n">
        <v>65533</v>
      </c>
      <c r="D15236" s="7" t="n">
        <v>1</v>
      </c>
    </row>
    <row r="15237" spans="1:23">
      <c r="A15237" t="s">
        <v>4</v>
      </c>
      <c r="B15237" s="4" t="s">
        <v>5</v>
      </c>
      <c r="C15237" s="4" t="s">
        <v>7</v>
      </c>
      <c r="D15237" s="4" t="s">
        <v>7</v>
      </c>
      <c r="E15237" s="4" t="s">
        <v>13</v>
      </c>
      <c r="F15237" s="4" t="s">
        <v>13</v>
      </c>
      <c r="G15237" s="4" t="s">
        <v>13</v>
      </c>
      <c r="H15237" s="4" t="s">
        <v>11</v>
      </c>
    </row>
    <row r="15238" spans="1:23">
      <c r="A15238" t="n">
        <v>144007</v>
      </c>
      <c r="B15238" s="51" t="n">
        <v>45</v>
      </c>
      <c r="C15238" s="7" t="n">
        <v>2</v>
      </c>
      <c r="D15238" s="7" t="n">
        <v>3</v>
      </c>
      <c r="E15238" s="7" t="n">
        <v>-12.4499998092651</v>
      </c>
      <c r="F15238" s="7" t="n">
        <v>6.98000001907349</v>
      </c>
      <c r="G15238" s="7" t="n">
        <v>32.0800018310547</v>
      </c>
      <c r="H15238" s="7" t="n">
        <v>3500</v>
      </c>
    </row>
    <row r="15239" spans="1:23">
      <c r="A15239" t="s">
        <v>4</v>
      </c>
      <c r="B15239" s="4" t="s">
        <v>5</v>
      </c>
      <c r="C15239" s="4" t="s">
        <v>11</v>
      </c>
    </row>
    <row r="15240" spans="1:23">
      <c r="A15240" t="n">
        <v>144024</v>
      </c>
      <c r="B15240" s="29" t="n">
        <v>16</v>
      </c>
      <c r="C15240" s="7" t="n">
        <v>1500</v>
      </c>
    </row>
    <row r="15241" spans="1:23">
      <c r="A15241" t="s">
        <v>4</v>
      </c>
      <c r="B15241" s="4" t="s">
        <v>5</v>
      </c>
      <c r="C15241" s="4" t="s">
        <v>7</v>
      </c>
      <c r="D15241" s="4" t="s">
        <v>11</v>
      </c>
      <c r="E15241" s="4" t="s">
        <v>13</v>
      </c>
    </row>
    <row r="15242" spans="1:23">
      <c r="A15242" t="n">
        <v>144027</v>
      </c>
      <c r="B15242" s="23" t="n">
        <v>58</v>
      </c>
      <c r="C15242" s="7" t="n">
        <v>0</v>
      </c>
      <c r="D15242" s="7" t="n">
        <v>2000</v>
      </c>
      <c r="E15242" s="7" t="n">
        <v>1</v>
      </c>
    </row>
    <row r="15243" spans="1:23">
      <c r="A15243" t="s">
        <v>4</v>
      </c>
      <c r="B15243" s="4" t="s">
        <v>5</v>
      </c>
      <c r="C15243" s="4" t="s">
        <v>7</v>
      </c>
      <c r="D15243" s="4" t="s">
        <v>11</v>
      </c>
    </row>
    <row r="15244" spans="1:23">
      <c r="A15244" t="n">
        <v>144035</v>
      </c>
      <c r="B15244" s="23" t="n">
        <v>58</v>
      </c>
      <c r="C15244" s="7" t="n">
        <v>255</v>
      </c>
      <c r="D15244" s="7" t="n">
        <v>0</v>
      </c>
    </row>
    <row r="15245" spans="1:23">
      <c r="A15245" t="s">
        <v>4</v>
      </c>
      <c r="B15245" s="4" t="s">
        <v>5</v>
      </c>
      <c r="C15245" s="4" t="s">
        <v>7</v>
      </c>
    </row>
    <row r="15246" spans="1:23">
      <c r="A15246" t="n">
        <v>144039</v>
      </c>
      <c r="B15246" s="28" t="n">
        <v>78</v>
      </c>
      <c r="C15246" s="7" t="n">
        <v>255</v>
      </c>
    </row>
    <row r="15247" spans="1:23">
      <c r="A15247" t="s">
        <v>4</v>
      </c>
      <c r="B15247" s="4" t="s">
        <v>5</v>
      </c>
      <c r="C15247" s="4" t="s">
        <v>7</v>
      </c>
      <c r="D15247" s="4" t="s">
        <v>11</v>
      </c>
      <c r="E15247" s="4" t="s">
        <v>7</v>
      </c>
    </row>
    <row r="15248" spans="1:23">
      <c r="A15248" t="n">
        <v>144041</v>
      </c>
      <c r="B15248" s="40" t="n">
        <v>36</v>
      </c>
      <c r="C15248" s="7" t="n">
        <v>9</v>
      </c>
      <c r="D15248" s="7" t="n">
        <v>0</v>
      </c>
      <c r="E15248" s="7" t="n">
        <v>0</v>
      </c>
    </row>
    <row r="15249" spans="1:8">
      <c r="A15249" t="s">
        <v>4</v>
      </c>
      <c r="B15249" s="4" t="s">
        <v>5</v>
      </c>
      <c r="C15249" s="4" t="s">
        <v>11</v>
      </c>
    </row>
    <row r="15250" spans="1:8">
      <c r="A15250" t="n">
        <v>144046</v>
      </c>
      <c r="B15250" s="43" t="n">
        <v>12</v>
      </c>
      <c r="C15250" s="7" t="n">
        <v>10875</v>
      </c>
    </row>
    <row r="15251" spans="1:8">
      <c r="A15251" t="s">
        <v>4</v>
      </c>
      <c r="B15251" s="4" t="s">
        <v>5</v>
      </c>
      <c r="C15251" s="4" t="s">
        <v>11</v>
      </c>
      <c r="D15251" s="4" t="s">
        <v>7</v>
      </c>
      <c r="E15251" s="4" t="s">
        <v>11</v>
      </c>
    </row>
    <row r="15252" spans="1:8">
      <c r="A15252" t="n">
        <v>144049</v>
      </c>
      <c r="B15252" s="58" t="n">
        <v>104</v>
      </c>
      <c r="C15252" s="7" t="n">
        <v>127</v>
      </c>
      <c r="D15252" s="7" t="n">
        <v>1</v>
      </c>
      <c r="E15252" s="7" t="n">
        <v>15</v>
      </c>
    </row>
    <row r="15253" spans="1:8">
      <c r="A15253" t="s">
        <v>4</v>
      </c>
      <c r="B15253" s="4" t="s">
        <v>5</v>
      </c>
    </row>
    <row r="15254" spans="1:8">
      <c r="A15254" t="n">
        <v>144055</v>
      </c>
      <c r="B15254" s="5" t="n">
        <v>1</v>
      </c>
    </row>
    <row r="15255" spans="1:8">
      <c r="A15255" t="s">
        <v>4</v>
      </c>
      <c r="B15255" s="4" t="s">
        <v>5</v>
      </c>
      <c r="C15255" s="4" t="s">
        <v>11</v>
      </c>
      <c r="D15255" s="4" t="s">
        <v>13</v>
      </c>
      <c r="E15255" s="4" t="s">
        <v>13</v>
      </c>
      <c r="F15255" s="4" t="s">
        <v>13</v>
      </c>
      <c r="G15255" s="4" t="s">
        <v>13</v>
      </c>
    </row>
    <row r="15256" spans="1:8">
      <c r="A15256" t="n">
        <v>144056</v>
      </c>
      <c r="B15256" s="36" t="n">
        <v>46</v>
      </c>
      <c r="C15256" s="7" t="n">
        <v>61456</v>
      </c>
      <c r="D15256" s="7" t="n">
        <v>0</v>
      </c>
      <c r="E15256" s="7" t="n">
        <v>0</v>
      </c>
      <c r="F15256" s="7" t="n">
        <v>0</v>
      </c>
      <c r="G15256" s="7" t="n">
        <v>0</v>
      </c>
    </row>
    <row r="15257" spans="1:8">
      <c r="A15257" t="s">
        <v>4</v>
      </c>
      <c r="B15257" s="4" t="s">
        <v>5</v>
      </c>
      <c r="C15257" s="4" t="s">
        <v>7</v>
      </c>
      <c r="D15257" s="4" t="s">
        <v>11</v>
      </c>
    </row>
    <row r="15258" spans="1:8">
      <c r="A15258" t="n">
        <v>144075</v>
      </c>
      <c r="B15258" s="8" t="n">
        <v>162</v>
      </c>
      <c r="C15258" s="7" t="n">
        <v>1</v>
      </c>
      <c r="D15258" s="7" t="n">
        <v>0</v>
      </c>
    </row>
    <row r="15259" spans="1:8">
      <c r="A15259" t="s">
        <v>4</v>
      </c>
      <c r="B15259" s="4" t="s">
        <v>5</v>
      </c>
    </row>
    <row r="15260" spans="1:8">
      <c r="A15260" t="n">
        <v>144079</v>
      </c>
      <c r="B15260" s="5" t="n">
        <v>1</v>
      </c>
    </row>
    <row r="15261" spans="1:8" s="3" customFormat="1" customHeight="0">
      <c r="A15261" s="3" t="s">
        <v>2</v>
      </c>
      <c r="B15261" s="3" t="s">
        <v>1193</v>
      </c>
    </row>
    <row r="15262" spans="1:8">
      <c r="A15262" t="s">
        <v>4</v>
      </c>
      <c r="B15262" s="4" t="s">
        <v>5</v>
      </c>
      <c r="C15262" s="4" t="s">
        <v>7</v>
      </c>
      <c r="D15262" s="4" t="s">
        <v>7</v>
      </c>
      <c r="E15262" s="4" t="s">
        <v>7</v>
      </c>
      <c r="F15262" s="4" t="s">
        <v>7</v>
      </c>
    </row>
    <row r="15263" spans="1:8">
      <c r="A15263" t="n">
        <v>144080</v>
      </c>
      <c r="B15263" s="9" t="n">
        <v>14</v>
      </c>
      <c r="C15263" s="7" t="n">
        <v>2</v>
      </c>
      <c r="D15263" s="7" t="n">
        <v>0</v>
      </c>
      <c r="E15263" s="7" t="n">
        <v>0</v>
      </c>
      <c r="F15263" s="7" t="n">
        <v>0</v>
      </c>
    </row>
    <row r="15264" spans="1:8">
      <c r="A15264" t="s">
        <v>4</v>
      </c>
      <c r="B15264" s="4" t="s">
        <v>5</v>
      </c>
      <c r="C15264" s="4" t="s">
        <v>7</v>
      </c>
      <c r="D15264" s="20" t="s">
        <v>35</v>
      </c>
      <c r="E15264" s="4" t="s">
        <v>5</v>
      </c>
      <c r="F15264" s="4" t="s">
        <v>7</v>
      </c>
      <c r="G15264" s="4" t="s">
        <v>11</v>
      </c>
      <c r="H15264" s="20" t="s">
        <v>36</v>
      </c>
      <c r="I15264" s="4" t="s">
        <v>7</v>
      </c>
      <c r="J15264" s="4" t="s">
        <v>15</v>
      </c>
      <c r="K15264" s="4" t="s">
        <v>7</v>
      </c>
      <c r="L15264" s="4" t="s">
        <v>7</v>
      </c>
      <c r="M15264" s="20" t="s">
        <v>35</v>
      </c>
      <c r="N15264" s="4" t="s">
        <v>5</v>
      </c>
      <c r="O15264" s="4" t="s">
        <v>7</v>
      </c>
      <c r="P15264" s="4" t="s">
        <v>11</v>
      </c>
      <c r="Q15264" s="20" t="s">
        <v>36</v>
      </c>
      <c r="R15264" s="4" t="s">
        <v>7</v>
      </c>
      <c r="S15264" s="4" t="s">
        <v>15</v>
      </c>
      <c r="T15264" s="4" t="s">
        <v>7</v>
      </c>
      <c r="U15264" s="4" t="s">
        <v>7</v>
      </c>
      <c r="V15264" s="4" t="s">
        <v>7</v>
      </c>
      <c r="W15264" s="4" t="s">
        <v>12</v>
      </c>
    </row>
    <row r="15265" spans="1:23">
      <c r="A15265" t="n">
        <v>144085</v>
      </c>
      <c r="B15265" s="10" t="n">
        <v>5</v>
      </c>
      <c r="C15265" s="7" t="n">
        <v>28</v>
      </c>
      <c r="D15265" s="20" t="s">
        <v>3</v>
      </c>
      <c r="E15265" s="8" t="n">
        <v>162</v>
      </c>
      <c r="F15265" s="7" t="n">
        <v>3</v>
      </c>
      <c r="G15265" s="7" t="n">
        <v>33150</v>
      </c>
      <c r="H15265" s="20" t="s">
        <v>3</v>
      </c>
      <c r="I15265" s="7" t="n">
        <v>0</v>
      </c>
      <c r="J15265" s="7" t="n">
        <v>1</v>
      </c>
      <c r="K15265" s="7" t="n">
        <v>2</v>
      </c>
      <c r="L15265" s="7" t="n">
        <v>28</v>
      </c>
      <c r="M15265" s="20" t="s">
        <v>3</v>
      </c>
      <c r="N15265" s="8" t="n">
        <v>162</v>
      </c>
      <c r="O15265" s="7" t="n">
        <v>3</v>
      </c>
      <c r="P15265" s="7" t="n">
        <v>33150</v>
      </c>
      <c r="Q15265" s="20" t="s">
        <v>3</v>
      </c>
      <c r="R15265" s="7" t="n">
        <v>0</v>
      </c>
      <c r="S15265" s="7" t="n">
        <v>2</v>
      </c>
      <c r="T15265" s="7" t="n">
        <v>2</v>
      </c>
      <c r="U15265" s="7" t="n">
        <v>11</v>
      </c>
      <c r="V15265" s="7" t="n">
        <v>1</v>
      </c>
      <c r="W15265" s="11" t="n">
        <f t="normal" ca="1">A15269</f>
        <v>0</v>
      </c>
    </row>
    <row r="15266" spans="1:23">
      <c r="A15266" t="s">
        <v>4</v>
      </c>
      <c r="B15266" s="4" t="s">
        <v>5</v>
      </c>
      <c r="C15266" s="4" t="s">
        <v>7</v>
      </c>
      <c r="D15266" s="4" t="s">
        <v>11</v>
      </c>
      <c r="E15266" s="4" t="s">
        <v>13</v>
      </c>
    </row>
    <row r="15267" spans="1:23">
      <c r="A15267" t="n">
        <v>144114</v>
      </c>
      <c r="B15267" s="23" t="n">
        <v>58</v>
      </c>
      <c r="C15267" s="7" t="n">
        <v>0</v>
      </c>
      <c r="D15267" s="7" t="n">
        <v>0</v>
      </c>
      <c r="E15267" s="7" t="n">
        <v>1</v>
      </c>
    </row>
    <row r="15268" spans="1:23">
      <c r="A15268" t="s">
        <v>4</v>
      </c>
      <c r="B15268" s="4" t="s">
        <v>5</v>
      </c>
      <c r="C15268" s="4" t="s">
        <v>7</v>
      </c>
      <c r="D15268" s="20" t="s">
        <v>35</v>
      </c>
      <c r="E15268" s="4" t="s">
        <v>5</v>
      </c>
      <c r="F15268" s="4" t="s">
        <v>7</v>
      </c>
      <c r="G15268" s="4" t="s">
        <v>11</v>
      </c>
      <c r="H15268" s="20" t="s">
        <v>36</v>
      </c>
      <c r="I15268" s="4" t="s">
        <v>7</v>
      </c>
      <c r="J15268" s="4" t="s">
        <v>15</v>
      </c>
      <c r="K15268" s="4" t="s">
        <v>7</v>
      </c>
      <c r="L15268" s="4" t="s">
        <v>7</v>
      </c>
      <c r="M15268" s="20" t="s">
        <v>35</v>
      </c>
      <c r="N15268" s="4" t="s">
        <v>5</v>
      </c>
      <c r="O15268" s="4" t="s">
        <v>7</v>
      </c>
      <c r="P15268" s="4" t="s">
        <v>11</v>
      </c>
      <c r="Q15268" s="20" t="s">
        <v>36</v>
      </c>
      <c r="R15268" s="4" t="s">
        <v>7</v>
      </c>
      <c r="S15268" s="4" t="s">
        <v>15</v>
      </c>
      <c r="T15268" s="4" t="s">
        <v>7</v>
      </c>
      <c r="U15268" s="4" t="s">
        <v>7</v>
      </c>
      <c r="V15268" s="4" t="s">
        <v>7</v>
      </c>
      <c r="W15268" s="4" t="s">
        <v>12</v>
      </c>
    </row>
    <row r="15269" spans="1:23">
      <c r="A15269" t="n">
        <v>144122</v>
      </c>
      <c r="B15269" s="10" t="n">
        <v>5</v>
      </c>
      <c r="C15269" s="7" t="n">
        <v>28</v>
      </c>
      <c r="D15269" s="20" t="s">
        <v>3</v>
      </c>
      <c r="E15269" s="8" t="n">
        <v>162</v>
      </c>
      <c r="F15269" s="7" t="n">
        <v>3</v>
      </c>
      <c r="G15269" s="7" t="n">
        <v>33150</v>
      </c>
      <c r="H15269" s="20" t="s">
        <v>3</v>
      </c>
      <c r="I15269" s="7" t="n">
        <v>0</v>
      </c>
      <c r="J15269" s="7" t="n">
        <v>1</v>
      </c>
      <c r="K15269" s="7" t="n">
        <v>3</v>
      </c>
      <c r="L15269" s="7" t="n">
        <v>28</v>
      </c>
      <c r="M15269" s="20" t="s">
        <v>3</v>
      </c>
      <c r="N15269" s="8" t="n">
        <v>162</v>
      </c>
      <c r="O15269" s="7" t="n">
        <v>3</v>
      </c>
      <c r="P15269" s="7" t="n">
        <v>33150</v>
      </c>
      <c r="Q15269" s="20" t="s">
        <v>3</v>
      </c>
      <c r="R15269" s="7" t="n">
        <v>0</v>
      </c>
      <c r="S15269" s="7" t="n">
        <v>2</v>
      </c>
      <c r="T15269" s="7" t="n">
        <v>3</v>
      </c>
      <c r="U15269" s="7" t="n">
        <v>9</v>
      </c>
      <c r="V15269" s="7" t="n">
        <v>1</v>
      </c>
      <c r="W15269" s="11" t="n">
        <f t="normal" ca="1">A15279</f>
        <v>0</v>
      </c>
    </row>
    <row r="15270" spans="1:23">
      <c r="A15270" t="s">
        <v>4</v>
      </c>
      <c r="B15270" s="4" t="s">
        <v>5</v>
      </c>
      <c r="C15270" s="4" t="s">
        <v>7</v>
      </c>
      <c r="D15270" s="20" t="s">
        <v>35</v>
      </c>
      <c r="E15270" s="4" t="s">
        <v>5</v>
      </c>
      <c r="F15270" s="4" t="s">
        <v>11</v>
      </c>
      <c r="G15270" s="4" t="s">
        <v>7</v>
      </c>
      <c r="H15270" s="4" t="s">
        <v>7</v>
      </c>
      <c r="I15270" s="4" t="s">
        <v>8</v>
      </c>
      <c r="J15270" s="20" t="s">
        <v>36</v>
      </c>
      <c r="K15270" s="4" t="s">
        <v>7</v>
      </c>
      <c r="L15270" s="4" t="s">
        <v>7</v>
      </c>
      <c r="M15270" s="20" t="s">
        <v>35</v>
      </c>
      <c r="N15270" s="4" t="s">
        <v>5</v>
      </c>
      <c r="O15270" s="4" t="s">
        <v>7</v>
      </c>
      <c r="P15270" s="20" t="s">
        <v>36</v>
      </c>
      <c r="Q15270" s="4" t="s">
        <v>7</v>
      </c>
      <c r="R15270" s="4" t="s">
        <v>15</v>
      </c>
      <c r="S15270" s="4" t="s">
        <v>7</v>
      </c>
      <c r="T15270" s="4" t="s">
        <v>7</v>
      </c>
      <c r="U15270" s="4" t="s">
        <v>7</v>
      </c>
      <c r="V15270" s="20" t="s">
        <v>35</v>
      </c>
      <c r="W15270" s="4" t="s">
        <v>5</v>
      </c>
      <c r="X15270" s="4" t="s">
        <v>7</v>
      </c>
      <c r="Y15270" s="20" t="s">
        <v>36</v>
      </c>
      <c r="Z15270" s="4" t="s">
        <v>7</v>
      </c>
      <c r="AA15270" s="4" t="s">
        <v>15</v>
      </c>
      <c r="AB15270" s="4" t="s">
        <v>7</v>
      </c>
      <c r="AC15270" s="4" t="s">
        <v>7</v>
      </c>
      <c r="AD15270" s="4" t="s">
        <v>7</v>
      </c>
      <c r="AE15270" s="4" t="s">
        <v>12</v>
      </c>
    </row>
    <row r="15271" spans="1:23">
      <c r="A15271" t="n">
        <v>144151</v>
      </c>
      <c r="B15271" s="10" t="n">
        <v>5</v>
      </c>
      <c r="C15271" s="7" t="n">
        <v>28</v>
      </c>
      <c r="D15271" s="20" t="s">
        <v>3</v>
      </c>
      <c r="E15271" s="41" t="n">
        <v>47</v>
      </c>
      <c r="F15271" s="7" t="n">
        <v>61456</v>
      </c>
      <c r="G15271" s="7" t="n">
        <v>2</v>
      </c>
      <c r="H15271" s="7" t="n">
        <v>0</v>
      </c>
      <c r="I15271" s="7" t="s">
        <v>105</v>
      </c>
      <c r="J15271" s="20" t="s">
        <v>3</v>
      </c>
      <c r="K15271" s="7" t="n">
        <v>8</v>
      </c>
      <c r="L15271" s="7" t="n">
        <v>28</v>
      </c>
      <c r="M15271" s="20" t="s">
        <v>3</v>
      </c>
      <c r="N15271" s="45" t="n">
        <v>74</v>
      </c>
      <c r="O15271" s="7" t="n">
        <v>65</v>
      </c>
      <c r="P15271" s="20" t="s">
        <v>3</v>
      </c>
      <c r="Q15271" s="7" t="n">
        <v>0</v>
      </c>
      <c r="R15271" s="7" t="n">
        <v>1</v>
      </c>
      <c r="S15271" s="7" t="n">
        <v>3</v>
      </c>
      <c r="T15271" s="7" t="n">
        <v>9</v>
      </c>
      <c r="U15271" s="7" t="n">
        <v>28</v>
      </c>
      <c r="V15271" s="20" t="s">
        <v>3</v>
      </c>
      <c r="W15271" s="45" t="n">
        <v>74</v>
      </c>
      <c r="X15271" s="7" t="n">
        <v>65</v>
      </c>
      <c r="Y15271" s="20" t="s">
        <v>3</v>
      </c>
      <c r="Z15271" s="7" t="n">
        <v>0</v>
      </c>
      <c r="AA15271" s="7" t="n">
        <v>2</v>
      </c>
      <c r="AB15271" s="7" t="n">
        <v>3</v>
      </c>
      <c r="AC15271" s="7" t="n">
        <v>9</v>
      </c>
      <c r="AD15271" s="7" t="n">
        <v>1</v>
      </c>
      <c r="AE15271" s="11" t="n">
        <f t="normal" ca="1">A15275</f>
        <v>0</v>
      </c>
    </row>
    <row r="15272" spans="1:23">
      <c r="A15272" t="s">
        <v>4</v>
      </c>
      <c r="B15272" s="4" t="s">
        <v>5</v>
      </c>
      <c r="C15272" s="4" t="s">
        <v>11</v>
      </c>
      <c r="D15272" s="4" t="s">
        <v>7</v>
      </c>
      <c r="E15272" s="4" t="s">
        <v>7</v>
      </c>
      <c r="F15272" s="4" t="s">
        <v>8</v>
      </c>
    </row>
    <row r="15273" spans="1:23">
      <c r="A15273" t="n">
        <v>144199</v>
      </c>
      <c r="B15273" s="41" t="n">
        <v>47</v>
      </c>
      <c r="C15273" s="7" t="n">
        <v>61456</v>
      </c>
      <c r="D15273" s="7" t="n">
        <v>0</v>
      </c>
      <c r="E15273" s="7" t="n">
        <v>0</v>
      </c>
      <c r="F15273" s="7" t="s">
        <v>106</v>
      </c>
    </row>
    <row r="15274" spans="1:23">
      <c r="A15274" t="s">
        <v>4</v>
      </c>
      <c r="B15274" s="4" t="s">
        <v>5</v>
      </c>
      <c r="C15274" s="4" t="s">
        <v>7</v>
      </c>
      <c r="D15274" s="4" t="s">
        <v>11</v>
      </c>
      <c r="E15274" s="4" t="s">
        <v>13</v>
      </c>
    </row>
    <row r="15275" spans="1:23">
      <c r="A15275" t="n">
        <v>144212</v>
      </c>
      <c r="B15275" s="23" t="n">
        <v>58</v>
      </c>
      <c r="C15275" s="7" t="n">
        <v>0</v>
      </c>
      <c r="D15275" s="7" t="n">
        <v>300</v>
      </c>
      <c r="E15275" s="7" t="n">
        <v>1</v>
      </c>
    </row>
    <row r="15276" spans="1:23">
      <c r="A15276" t="s">
        <v>4</v>
      </c>
      <c r="B15276" s="4" t="s">
        <v>5</v>
      </c>
      <c r="C15276" s="4" t="s">
        <v>7</v>
      </c>
      <c r="D15276" s="4" t="s">
        <v>11</v>
      </c>
    </row>
    <row r="15277" spans="1:23">
      <c r="A15277" t="n">
        <v>144220</v>
      </c>
      <c r="B15277" s="23" t="n">
        <v>58</v>
      </c>
      <c r="C15277" s="7" t="n">
        <v>255</v>
      </c>
      <c r="D15277" s="7" t="n">
        <v>0</v>
      </c>
    </row>
    <row r="15278" spans="1:23">
      <c r="A15278" t="s">
        <v>4</v>
      </c>
      <c r="B15278" s="4" t="s">
        <v>5</v>
      </c>
      <c r="C15278" s="4" t="s">
        <v>7</v>
      </c>
      <c r="D15278" s="4" t="s">
        <v>7</v>
      </c>
      <c r="E15278" s="4" t="s">
        <v>7</v>
      </c>
      <c r="F15278" s="4" t="s">
        <v>7</v>
      </c>
    </row>
    <row r="15279" spans="1:23">
      <c r="A15279" t="n">
        <v>144224</v>
      </c>
      <c r="B15279" s="9" t="n">
        <v>14</v>
      </c>
      <c r="C15279" s="7" t="n">
        <v>0</v>
      </c>
      <c r="D15279" s="7" t="n">
        <v>0</v>
      </c>
      <c r="E15279" s="7" t="n">
        <v>0</v>
      </c>
      <c r="F15279" s="7" t="n">
        <v>64</v>
      </c>
    </row>
    <row r="15280" spans="1:23">
      <c r="A15280" t="s">
        <v>4</v>
      </c>
      <c r="B15280" s="4" t="s">
        <v>5</v>
      </c>
      <c r="C15280" s="4" t="s">
        <v>7</v>
      </c>
      <c r="D15280" s="4" t="s">
        <v>11</v>
      </c>
    </row>
    <row r="15281" spans="1:31">
      <c r="A15281" t="n">
        <v>144229</v>
      </c>
      <c r="B15281" s="22" t="n">
        <v>22</v>
      </c>
      <c r="C15281" s="7" t="n">
        <v>0</v>
      </c>
      <c r="D15281" s="7" t="n">
        <v>33150</v>
      </c>
    </row>
    <row r="15282" spans="1:31">
      <c r="A15282" t="s">
        <v>4</v>
      </c>
      <c r="B15282" s="4" t="s">
        <v>5</v>
      </c>
      <c r="C15282" s="4" t="s">
        <v>7</v>
      </c>
      <c r="D15282" s="4" t="s">
        <v>11</v>
      </c>
    </row>
    <row r="15283" spans="1:31">
      <c r="A15283" t="n">
        <v>144233</v>
      </c>
      <c r="B15283" s="23" t="n">
        <v>58</v>
      </c>
      <c r="C15283" s="7" t="n">
        <v>5</v>
      </c>
      <c r="D15283" s="7" t="n">
        <v>300</v>
      </c>
    </row>
    <row r="15284" spans="1:31">
      <c r="A15284" t="s">
        <v>4</v>
      </c>
      <c r="B15284" s="4" t="s">
        <v>5</v>
      </c>
      <c r="C15284" s="4" t="s">
        <v>13</v>
      </c>
      <c r="D15284" s="4" t="s">
        <v>11</v>
      </c>
    </row>
    <row r="15285" spans="1:31">
      <c r="A15285" t="n">
        <v>144237</v>
      </c>
      <c r="B15285" s="46" t="n">
        <v>103</v>
      </c>
      <c r="C15285" s="7" t="n">
        <v>0</v>
      </c>
      <c r="D15285" s="7" t="n">
        <v>300</v>
      </c>
    </row>
    <row r="15286" spans="1:31">
      <c r="A15286" t="s">
        <v>4</v>
      </c>
      <c r="B15286" s="4" t="s">
        <v>5</v>
      </c>
      <c r="C15286" s="4" t="s">
        <v>7</v>
      </c>
    </row>
    <row r="15287" spans="1:31">
      <c r="A15287" t="n">
        <v>144244</v>
      </c>
      <c r="B15287" s="47" t="n">
        <v>64</v>
      </c>
      <c r="C15287" s="7" t="n">
        <v>7</v>
      </c>
    </row>
    <row r="15288" spans="1:31">
      <c r="A15288" t="s">
        <v>4</v>
      </c>
      <c r="B15288" s="4" t="s">
        <v>5</v>
      </c>
      <c r="C15288" s="4" t="s">
        <v>7</v>
      </c>
      <c r="D15288" s="4" t="s">
        <v>11</v>
      </c>
    </row>
    <row r="15289" spans="1:31">
      <c r="A15289" t="n">
        <v>144246</v>
      </c>
      <c r="B15289" s="48" t="n">
        <v>72</v>
      </c>
      <c r="C15289" s="7" t="n">
        <v>5</v>
      </c>
      <c r="D15289" s="7" t="n">
        <v>0</v>
      </c>
    </row>
    <row r="15290" spans="1:31">
      <c r="A15290" t="s">
        <v>4</v>
      </c>
      <c r="B15290" s="4" t="s">
        <v>5</v>
      </c>
      <c r="C15290" s="4" t="s">
        <v>7</v>
      </c>
      <c r="D15290" s="20" t="s">
        <v>35</v>
      </c>
      <c r="E15290" s="4" t="s">
        <v>5</v>
      </c>
      <c r="F15290" s="4" t="s">
        <v>7</v>
      </c>
      <c r="G15290" s="4" t="s">
        <v>11</v>
      </c>
      <c r="H15290" s="20" t="s">
        <v>36</v>
      </c>
      <c r="I15290" s="4" t="s">
        <v>7</v>
      </c>
      <c r="J15290" s="4" t="s">
        <v>15</v>
      </c>
      <c r="K15290" s="4" t="s">
        <v>7</v>
      </c>
      <c r="L15290" s="4" t="s">
        <v>7</v>
      </c>
      <c r="M15290" s="4" t="s">
        <v>12</v>
      </c>
    </row>
    <row r="15291" spans="1:31">
      <c r="A15291" t="n">
        <v>144250</v>
      </c>
      <c r="B15291" s="10" t="n">
        <v>5</v>
      </c>
      <c r="C15291" s="7" t="n">
        <v>28</v>
      </c>
      <c r="D15291" s="20" t="s">
        <v>3</v>
      </c>
      <c r="E15291" s="8" t="n">
        <v>162</v>
      </c>
      <c r="F15291" s="7" t="n">
        <v>4</v>
      </c>
      <c r="G15291" s="7" t="n">
        <v>33150</v>
      </c>
      <c r="H15291" s="20" t="s">
        <v>3</v>
      </c>
      <c r="I15291" s="7" t="n">
        <v>0</v>
      </c>
      <c r="J15291" s="7" t="n">
        <v>1</v>
      </c>
      <c r="K15291" s="7" t="n">
        <v>2</v>
      </c>
      <c r="L15291" s="7" t="n">
        <v>1</v>
      </c>
      <c r="M15291" s="11" t="n">
        <f t="normal" ca="1">A15297</f>
        <v>0</v>
      </c>
    </row>
    <row r="15292" spans="1:31">
      <c r="A15292" t="s">
        <v>4</v>
      </c>
      <c r="B15292" s="4" t="s">
        <v>5</v>
      </c>
      <c r="C15292" s="4" t="s">
        <v>7</v>
      </c>
      <c r="D15292" s="4" t="s">
        <v>8</v>
      </c>
    </row>
    <row r="15293" spans="1:31">
      <c r="A15293" t="n">
        <v>144267</v>
      </c>
      <c r="B15293" s="6" t="n">
        <v>2</v>
      </c>
      <c r="C15293" s="7" t="n">
        <v>10</v>
      </c>
      <c r="D15293" s="7" t="s">
        <v>107</v>
      </c>
    </row>
    <row r="15294" spans="1:31">
      <c r="A15294" t="s">
        <v>4</v>
      </c>
      <c r="B15294" s="4" t="s">
        <v>5</v>
      </c>
      <c r="C15294" s="4" t="s">
        <v>11</v>
      </c>
    </row>
    <row r="15295" spans="1:31">
      <c r="A15295" t="n">
        <v>144284</v>
      </c>
      <c r="B15295" s="29" t="n">
        <v>16</v>
      </c>
      <c r="C15295" s="7" t="n">
        <v>0</v>
      </c>
    </row>
    <row r="15296" spans="1:31">
      <c r="A15296" t="s">
        <v>4</v>
      </c>
      <c r="B15296" s="4" t="s">
        <v>5</v>
      </c>
      <c r="C15296" s="4" t="s">
        <v>11</v>
      </c>
      <c r="D15296" s="4" t="s">
        <v>7</v>
      </c>
      <c r="E15296" s="4" t="s">
        <v>7</v>
      </c>
      <c r="F15296" s="4" t="s">
        <v>8</v>
      </c>
    </row>
    <row r="15297" spans="1:13">
      <c r="A15297" t="n">
        <v>144287</v>
      </c>
      <c r="B15297" s="50" t="n">
        <v>20</v>
      </c>
      <c r="C15297" s="7" t="n">
        <v>0</v>
      </c>
      <c r="D15297" s="7" t="n">
        <v>3</v>
      </c>
      <c r="E15297" s="7" t="n">
        <v>10</v>
      </c>
      <c r="F15297" s="7" t="s">
        <v>108</v>
      </c>
    </row>
    <row r="15298" spans="1:13">
      <c r="A15298" t="s">
        <v>4</v>
      </c>
      <c r="B15298" s="4" t="s">
        <v>5</v>
      </c>
      <c r="C15298" s="4" t="s">
        <v>11</v>
      </c>
    </row>
    <row r="15299" spans="1:13">
      <c r="A15299" t="n">
        <v>144305</v>
      </c>
      <c r="B15299" s="29" t="n">
        <v>16</v>
      </c>
      <c r="C15299" s="7" t="n">
        <v>0</v>
      </c>
    </row>
    <row r="15300" spans="1:13">
      <c r="A15300" t="s">
        <v>4</v>
      </c>
      <c r="B15300" s="4" t="s">
        <v>5</v>
      </c>
      <c r="C15300" s="4" t="s">
        <v>11</v>
      </c>
      <c r="D15300" s="4" t="s">
        <v>7</v>
      </c>
      <c r="E15300" s="4" t="s">
        <v>7</v>
      </c>
      <c r="F15300" s="4" t="s">
        <v>8</v>
      </c>
    </row>
    <row r="15301" spans="1:13">
      <c r="A15301" t="n">
        <v>144308</v>
      </c>
      <c r="B15301" s="50" t="n">
        <v>20</v>
      </c>
      <c r="C15301" s="7" t="n">
        <v>14</v>
      </c>
      <c r="D15301" s="7" t="n">
        <v>3</v>
      </c>
      <c r="E15301" s="7" t="n">
        <v>10</v>
      </c>
      <c r="F15301" s="7" t="s">
        <v>108</v>
      </c>
    </row>
    <row r="15302" spans="1:13">
      <c r="A15302" t="s">
        <v>4</v>
      </c>
      <c r="B15302" s="4" t="s">
        <v>5</v>
      </c>
      <c r="C15302" s="4" t="s">
        <v>11</v>
      </c>
    </row>
    <row r="15303" spans="1:13">
      <c r="A15303" t="n">
        <v>144326</v>
      </c>
      <c r="B15303" s="29" t="n">
        <v>16</v>
      </c>
      <c r="C15303" s="7" t="n">
        <v>0</v>
      </c>
    </row>
    <row r="15304" spans="1:13">
      <c r="A15304" t="s">
        <v>4</v>
      </c>
      <c r="B15304" s="4" t="s">
        <v>5</v>
      </c>
      <c r="C15304" s="4" t="s">
        <v>7</v>
      </c>
      <c r="D15304" s="4" t="s">
        <v>11</v>
      </c>
      <c r="E15304" s="4" t="s">
        <v>7</v>
      </c>
      <c r="F15304" s="4" t="s">
        <v>8</v>
      </c>
      <c r="G15304" s="4" t="s">
        <v>8</v>
      </c>
      <c r="H15304" s="4" t="s">
        <v>8</v>
      </c>
      <c r="I15304" s="4" t="s">
        <v>8</v>
      </c>
      <c r="J15304" s="4" t="s">
        <v>8</v>
      </c>
      <c r="K15304" s="4" t="s">
        <v>8</v>
      </c>
      <c r="L15304" s="4" t="s">
        <v>8</v>
      </c>
      <c r="M15304" s="4" t="s">
        <v>8</v>
      </c>
      <c r="N15304" s="4" t="s">
        <v>8</v>
      </c>
      <c r="O15304" s="4" t="s">
        <v>8</v>
      </c>
      <c r="P15304" s="4" t="s">
        <v>8</v>
      </c>
      <c r="Q15304" s="4" t="s">
        <v>8</v>
      </c>
      <c r="R15304" s="4" t="s">
        <v>8</v>
      </c>
      <c r="S15304" s="4" t="s">
        <v>8</v>
      </c>
      <c r="T15304" s="4" t="s">
        <v>8</v>
      </c>
      <c r="U15304" s="4" t="s">
        <v>8</v>
      </c>
    </row>
    <row r="15305" spans="1:13">
      <c r="A15305" t="n">
        <v>144329</v>
      </c>
      <c r="B15305" s="40" t="n">
        <v>36</v>
      </c>
      <c r="C15305" s="7" t="n">
        <v>8</v>
      </c>
      <c r="D15305" s="7" t="n">
        <v>0</v>
      </c>
      <c r="E15305" s="7" t="n">
        <v>0</v>
      </c>
      <c r="F15305" s="7" t="s">
        <v>1194</v>
      </c>
      <c r="G15305" s="7" t="s">
        <v>16</v>
      </c>
      <c r="H15305" s="7" t="s">
        <v>16</v>
      </c>
      <c r="I15305" s="7" t="s">
        <v>16</v>
      </c>
      <c r="J15305" s="7" t="s">
        <v>16</v>
      </c>
      <c r="K15305" s="7" t="s">
        <v>16</v>
      </c>
      <c r="L15305" s="7" t="s">
        <v>16</v>
      </c>
      <c r="M15305" s="7" t="s">
        <v>16</v>
      </c>
      <c r="N15305" s="7" t="s">
        <v>16</v>
      </c>
      <c r="O15305" s="7" t="s">
        <v>16</v>
      </c>
      <c r="P15305" s="7" t="s">
        <v>16</v>
      </c>
      <c r="Q15305" s="7" t="s">
        <v>16</v>
      </c>
      <c r="R15305" s="7" t="s">
        <v>16</v>
      </c>
      <c r="S15305" s="7" t="s">
        <v>16</v>
      </c>
      <c r="T15305" s="7" t="s">
        <v>16</v>
      </c>
      <c r="U15305" s="7" t="s">
        <v>16</v>
      </c>
    </row>
    <row r="15306" spans="1:13">
      <c r="A15306" t="s">
        <v>4</v>
      </c>
      <c r="B15306" s="4" t="s">
        <v>5</v>
      </c>
      <c r="C15306" s="4" t="s">
        <v>7</v>
      </c>
    </row>
    <row r="15307" spans="1:13">
      <c r="A15307" t="n">
        <v>144364</v>
      </c>
      <c r="B15307" s="49" t="n">
        <v>116</v>
      </c>
      <c r="C15307" s="7" t="n">
        <v>0</v>
      </c>
    </row>
    <row r="15308" spans="1:13">
      <c r="A15308" t="s">
        <v>4</v>
      </c>
      <c r="B15308" s="4" t="s">
        <v>5</v>
      </c>
      <c r="C15308" s="4" t="s">
        <v>7</v>
      </c>
      <c r="D15308" s="4" t="s">
        <v>11</v>
      </c>
    </row>
    <row r="15309" spans="1:13">
      <c r="A15309" t="n">
        <v>144366</v>
      </c>
      <c r="B15309" s="49" t="n">
        <v>116</v>
      </c>
      <c r="C15309" s="7" t="n">
        <v>2</v>
      </c>
      <c r="D15309" s="7" t="n">
        <v>1</v>
      </c>
    </row>
    <row r="15310" spans="1:13">
      <c r="A15310" t="s">
        <v>4</v>
      </c>
      <c r="B15310" s="4" t="s">
        <v>5</v>
      </c>
      <c r="C15310" s="4" t="s">
        <v>7</v>
      </c>
      <c r="D15310" s="4" t="s">
        <v>15</v>
      </c>
    </row>
    <row r="15311" spans="1:13">
      <c r="A15311" t="n">
        <v>144370</v>
      </c>
      <c r="B15311" s="49" t="n">
        <v>116</v>
      </c>
      <c r="C15311" s="7" t="n">
        <v>5</v>
      </c>
      <c r="D15311" s="7" t="n">
        <v>1106247680</v>
      </c>
    </row>
    <row r="15312" spans="1:13">
      <c r="A15312" t="s">
        <v>4</v>
      </c>
      <c r="B15312" s="4" t="s">
        <v>5</v>
      </c>
      <c r="C15312" s="4" t="s">
        <v>7</v>
      </c>
      <c r="D15312" s="4" t="s">
        <v>11</v>
      </c>
    </row>
    <row r="15313" spans="1:21">
      <c r="A15313" t="n">
        <v>144376</v>
      </c>
      <c r="B15313" s="49" t="n">
        <v>116</v>
      </c>
      <c r="C15313" s="7" t="n">
        <v>6</v>
      </c>
      <c r="D15313" s="7" t="n">
        <v>1</v>
      </c>
    </row>
    <row r="15314" spans="1:21">
      <c r="A15314" t="s">
        <v>4</v>
      </c>
      <c r="B15314" s="4" t="s">
        <v>5</v>
      </c>
      <c r="C15314" s="4" t="s">
        <v>11</v>
      </c>
      <c r="D15314" s="4" t="s">
        <v>13</v>
      </c>
      <c r="E15314" s="4" t="s">
        <v>13</v>
      </c>
      <c r="F15314" s="4" t="s">
        <v>13</v>
      </c>
      <c r="G15314" s="4" t="s">
        <v>13</v>
      </c>
    </row>
    <row r="15315" spans="1:21">
      <c r="A15315" t="n">
        <v>144380</v>
      </c>
      <c r="B15315" s="36" t="n">
        <v>46</v>
      </c>
      <c r="C15315" s="7" t="n">
        <v>0</v>
      </c>
      <c r="D15315" s="7" t="n">
        <v>-13.0100002288818</v>
      </c>
      <c r="E15315" s="7" t="n">
        <v>0</v>
      </c>
      <c r="F15315" s="7" t="n">
        <v>54.7200012207031</v>
      </c>
      <c r="G15315" s="7" t="n">
        <v>257.600006103516</v>
      </c>
    </row>
    <row r="15316" spans="1:21">
      <c r="A15316" t="s">
        <v>4</v>
      </c>
      <c r="B15316" s="4" t="s">
        <v>5</v>
      </c>
      <c r="C15316" s="4" t="s">
        <v>11</v>
      </c>
      <c r="D15316" s="4" t="s">
        <v>13</v>
      </c>
      <c r="E15316" s="4" t="s">
        <v>13</v>
      </c>
      <c r="F15316" s="4" t="s">
        <v>13</v>
      </c>
      <c r="G15316" s="4" t="s">
        <v>13</v>
      </c>
    </row>
    <row r="15317" spans="1:21">
      <c r="A15317" t="n">
        <v>144399</v>
      </c>
      <c r="B15317" s="36" t="n">
        <v>46</v>
      </c>
      <c r="C15317" s="7" t="n">
        <v>14</v>
      </c>
      <c r="D15317" s="7" t="n">
        <v>-14.039999961853</v>
      </c>
      <c r="E15317" s="7" t="n">
        <v>0</v>
      </c>
      <c r="F15317" s="7" t="n">
        <v>54.75</v>
      </c>
      <c r="G15317" s="7" t="n">
        <v>273.100006103516</v>
      </c>
    </row>
    <row r="15318" spans="1:21">
      <c r="A15318" t="s">
        <v>4</v>
      </c>
      <c r="B15318" s="4" t="s">
        <v>5</v>
      </c>
      <c r="C15318" s="4" t="s">
        <v>7</v>
      </c>
    </row>
    <row r="15319" spans="1:21">
      <c r="A15319" t="n">
        <v>144418</v>
      </c>
      <c r="B15319" s="45" t="n">
        <v>74</v>
      </c>
      <c r="C15319" s="7" t="n">
        <v>18</v>
      </c>
    </row>
    <row r="15320" spans="1:21">
      <c r="A15320" t="s">
        <v>4</v>
      </c>
      <c r="B15320" s="4" t="s">
        <v>5</v>
      </c>
      <c r="C15320" s="4" t="s">
        <v>11</v>
      </c>
    </row>
    <row r="15321" spans="1:21">
      <c r="A15321" t="n">
        <v>144420</v>
      </c>
      <c r="B15321" s="29" t="n">
        <v>16</v>
      </c>
      <c r="C15321" s="7" t="n">
        <v>0</v>
      </c>
    </row>
    <row r="15322" spans="1:21">
      <c r="A15322" t="s">
        <v>4</v>
      </c>
      <c r="B15322" s="4" t="s">
        <v>5</v>
      </c>
      <c r="C15322" s="4" t="s">
        <v>11</v>
      </c>
      <c r="D15322" s="4" t="s">
        <v>11</v>
      </c>
      <c r="E15322" s="4" t="s">
        <v>11</v>
      </c>
    </row>
    <row r="15323" spans="1:21">
      <c r="A15323" t="n">
        <v>144423</v>
      </c>
      <c r="B15323" s="72" t="n">
        <v>61</v>
      </c>
      <c r="C15323" s="7" t="n">
        <v>0</v>
      </c>
      <c r="D15323" s="7" t="n">
        <v>14</v>
      </c>
      <c r="E15323" s="7" t="n">
        <v>0</v>
      </c>
    </row>
    <row r="15324" spans="1:21">
      <c r="A15324" t="s">
        <v>4</v>
      </c>
      <c r="B15324" s="4" t="s">
        <v>5</v>
      </c>
      <c r="C15324" s="4" t="s">
        <v>7</v>
      </c>
      <c r="D15324" s="4" t="s">
        <v>7</v>
      </c>
      <c r="E15324" s="4" t="s">
        <v>13</v>
      </c>
      <c r="F15324" s="4" t="s">
        <v>13</v>
      </c>
      <c r="G15324" s="4" t="s">
        <v>13</v>
      </c>
      <c r="H15324" s="4" t="s">
        <v>11</v>
      </c>
    </row>
    <row r="15325" spans="1:21">
      <c r="A15325" t="n">
        <v>144430</v>
      </c>
      <c r="B15325" s="51" t="n">
        <v>45</v>
      </c>
      <c r="C15325" s="7" t="n">
        <v>2</v>
      </c>
      <c r="D15325" s="7" t="n">
        <v>3</v>
      </c>
      <c r="E15325" s="7" t="n">
        <v>-13.4499998092651</v>
      </c>
      <c r="F15325" s="7" t="n">
        <v>1.36000001430511</v>
      </c>
      <c r="G15325" s="7" t="n">
        <v>54.7000007629395</v>
      </c>
      <c r="H15325" s="7" t="n">
        <v>0</v>
      </c>
    </row>
    <row r="15326" spans="1:21">
      <c r="A15326" t="s">
        <v>4</v>
      </c>
      <c r="B15326" s="4" t="s">
        <v>5</v>
      </c>
      <c r="C15326" s="4" t="s">
        <v>7</v>
      </c>
      <c r="D15326" s="4" t="s">
        <v>7</v>
      </c>
      <c r="E15326" s="4" t="s">
        <v>13</v>
      </c>
      <c r="F15326" s="4" t="s">
        <v>13</v>
      </c>
      <c r="G15326" s="4" t="s">
        <v>13</v>
      </c>
      <c r="H15326" s="4" t="s">
        <v>11</v>
      </c>
      <c r="I15326" s="4" t="s">
        <v>7</v>
      </c>
    </row>
    <row r="15327" spans="1:21">
      <c r="A15327" t="n">
        <v>144447</v>
      </c>
      <c r="B15327" s="51" t="n">
        <v>45</v>
      </c>
      <c r="C15327" s="7" t="n">
        <v>4</v>
      </c>
      <c r="D15327" s="7" t="n">
        <v>3</v>
      </c>
      <c r="E15327" s="7" t="n">
        <v>13.0100002288818</v>
      </c>
      <c r="F15327" s="7" t="n">
        <v>47.1300010681152</v>
      </c>
      <c r="G15327" s="7" t="n">
        <v>360</v>
      </c>
      <c r="H15327" s="7" t="n">
        <v>0</v>
      </c>
      <c r="I15327" s="7" t="n">
        <v>0</v>
      </c>
    </row>
    <row r="15328" spans="1:21">
      <c r="A15328" t="s">
        <v>4</v>
      </c>
      <c r="B15328" s="4" t="s">
        <v>5</v>
      </c>
      <c r="C15328" s="4" t="s">
        <v>7</v>
      </c>
      <c r="D15328" s="4" t="s">
        <v>7</v>
      </c>
      <c r="E15328" s="4" t="s">
        <v>13</v>
      </c>
      <c r="F15328" s="4" t="s">
        <v>11</v>
      </c>
    </row>
    <row r="15329" spans="1:9">
      <c r="A15329" t="n">
        <v>144465</v>
      </c>
      <c r="B15329" s="51" t="n">
        <v>45</v>
      </c>
      <c r="C15329" s="7" t="n">
        <v>5</v>
      </c>
      <c r="D15329" s="7" t="n">
        <v>3</v>
      </c>
      <c r="E15329" s="7" t="n">
        <v>2</v>
      </c>
      <c r="F15329" s="7" t="n">
        <v>0</v>
      </c>
    </row>
    <row r="15330" spans="1:9">
      <c r="A15330" t="s">
        <v>4</v>
      </c>
      <c r="B15330" s="4" t="s">
        <v>5</v>
      </c>
      <c r="C15330" s="4" t="s">
        <v>7</v>
      </c>
      <c r="D15330" s="4" t="s">
        <v>7</v>
      </c>
      <c r="E15330" s="4" t="s">
        <v>13</v>
      </c>
      <c r="F15330" s="4" t="s">
        <v>11</v>
      </c>
    </row>
    <row r="15331" spans="1:9">
      <c r="A15331" t="n">
        <v>144474</v>
      </c>
      <c r="B15331" s="51" t="n">
        <v>45</v>
      </c>
      <c r="C15331" s="7" t="n">
        <v>5</v>
      </c>
      <c r="D15331" s="7" t="n">
        <v>3</v>
      </c>
      <c r="E15331" s="7" t="n">
        <v>1.70000004768372</v>
      </c>
      <c r="F15331" s="7" t="n">
        <v>3000</v>
      </c>
    </row>
    <row r="15332" spans="1:9">
      <c r="A15332" t="s">
        <v>4</v>
      </c>
      <c r="B15332" s="4" t="s">
        <v>5</v>
      </c>
      <c r="C15332" s="4" t="s">
        <v>7</v>
      </c>
      <c r="D15332" s="4" t="s">
        <v>7</v>
      </c>
      <c r="E15332" s="4" t="s">
        <v>13</v>
      </c>
      <c r="F15332" s="4" t="s">
        <v>11</v>
      </c>
    </row>
    <row r="15333" spans="1:9">
      <c r="A15333" t="n">
        <v>144483</v>
      </c>
      <c r="B15333" s="51" t="n">
        <v>45</v>
      </c>
      <c r="C15333" s="7" t="n">
        <v>11</v>
      </c>
      <c r="D15333" s="7" t="n">
        <v>3</v>
      </c>
      <c r="E15333" s="7" t="n">
        <v>34</v>
      </c>
      <c r="F15333" s="7" t="n">
        <v>0</v>
      </c>
    </row>
    <row r="15334" spans="1:9">
      <c r="A15334" t="s">
        <v>4</v>
      </c>
      <c r="B15334" s="4" t="s">
        <v>5</v>
      </c>
      <c r="C15334" s="4" t="s">
        <v>7</v>
      </c>
      <c r="D15334" s="4" t="s">
        <v>11</v>
      </c>
      <c r="E15334" s="4" t="s">
        <v>13</v>
      </c>
    </row>
    <row r="15335" spans="1:9">
      <c r="A15335" t="n">
        <v>144492</v>
      </c>
      <c r="B15335" s="23" t="n">
        <v>58</v>
      </c>
      <c r="C15335" s="7" t="n">
        <v>100</v>
      </c>
      <c r="D15335" s="7" t="n">
        <v>1000</v>
      </c>
      <c r="E15335" s="7" t="n">
        <v>1</v>
      </c>
    </row>
    <row r="15336" spans="1:9">
      <c r="A15336" t="s">
        <v>4</v>
      </c>
      <c r="B15336" s="4" t="s">
        <v>5</v>
      </c>
      <c r="C15336" s="4" t="s">
        <v>11</v>
      </c>
      <c r="D15336" s="4" t="s">
        <v>13</v>
      </c>
      <c r="E15336" s="4" t="s">
        <v>13</v>
      </c>
      <c r="F15336" s="4" t="s">
        <v>7</v>
      </c>
    </row>
    <row r="15337" spans="1:9">
      <c r="A15337" t="n">
        <v>144500</v>
      </c>
      <c r="B15337" s="65" t="n">
        <v>52</v>
      </c>
      <c r="C15337" s="7" t="n">
        <v>14</v>
      </c>
      <c r="D15337" s="7" t="n">
        <v>86.8000030517578</v>
      </c>
      <c r="E15337" s="7" t="n">
        <v>5</v>
      </c>
      <c r="F15337" s="7" t="n">
        <v>0</v>
      </c>
    </row>
    <row r="15338" spans="1:9">
      <c r="A15338" t="s">
        <v>4</v>
      </c>
      <c r="B15338" s="4" t="s">
        <v>5</v>
      </c>
      <c r="C15338" s="4" t="s">
        <v>11</v>
      </c>
      <c r="D15338" s="4" t="s">
        <v>11</v>
      </c>
      <c r="E15338" s="4" t="s">
        <v>11</v>
      </c>
    </row>
    <row r="15339" spans="1:9">
      <c r="A15339" t="n">
        <v>144512</v>
      </c>
      <c r="B15339" s="72" t="n">
        <v>61</v>
      </c>
      <c r="C15339" s="7" t="n">
        <v>14</v>
      </c>
      <c r="D15339" s="7" t="n">
        <v>0</v>
      </c>
      <c r="E15339" s="7" t="n">
        <v>1000</v>
      </c>
    </row>
    <row r="15340" spans="1:9">
      <c r="A15340" t="s">
        <v>4</v>
      </c>
      <c r="B15340" s="4" t="s">
        <v>5</v>
      </c>
      <c r="C15340" s="4" t="s">
        <v>11</v>
      </c>
    </row>
    <row r="15341" spans="1:9">
      <c r="A15341" t="n">
        <v>144519</v>
      </c>
      <c r="B15341" s="66" t="n">
        <v>54</v>
      </c>
      <c r="C15341" s="7" t="n">
        <v>14</v>
      </c>
    </row>
    <row r="15342" spans="1:9">
      <c r="A15342" t="s">
        <v>4</v>
      </c>
      <c r="B15342" s="4" t="s">
        <v>5</v>
      </c>
      <c r="C15342" s="4" t="s">
        <v>7</v>
      </c>
      <c r="D15342" s="4" t="s">
        <v>11</v>
      </c>
      <c r="E15342" s="4" t="s">
        <v>8</v>
      </c>
    </row>
    <row r="15343" spans="1:9">
      <c r="A15343" t="n">
        <v>144522</v>
      </c>
      <c r="B15343" s="38" t="n">
        <v>51</v>
      </c>
      <c r="C15343" s="7" t="n">
        <v>4</v>
      </c>
      <c r="D15343" s="7" t="n">
        <v>14</v>
      </c>
      <c r="E15343" s="7" t="s">
        <v>238</v>
      </c>
    </row>
    <row r="15344" spans="1:9">
      <c r="A15344" t="s">
        <v>4</v>
      </c>
      <c r="B15344" s="4" t="s">
        <v>5</v>
      </c>
      <c r="C15344" s="4" t="s">
        <v>11</v>
      </c>
    </row>
    <row r="15345" spans="1:6">
      <c r="A15345" t="n">
        <v>144536</v>
      </c>
      <c r="B15345" s="29" t="n">
        <v>16</v>
      </c>
      <c r="C15345" s="7" t="n">
        <v>0</v>
      </c>
    </row>
    <row r="15346" spans="1:6">
      <c r="A15346" t="s">
        <v>4</v>
      </c>
      <c r="B15346" s="4" t="s">
        <v>5</v>
      </c>
      <c r="C15346" s="4" t="s">
        <v>11</v>
      </c>
      <c r="D15346" s="4" t="s">
        <v>7</v>
      </c>
      <c r="E15346" s="4" t="s">
        <v>15</v>
      </c>
      <c r="F15346" s="4" t="s">
        <v>55</v>
      </c>
      <c r="G15346" s="4" t="s">
        <v>7</v>
      </c>
      <c r="H15346" s="4" t="s">
        <v>7</v>
      </c>
      <c r="I15346" s="4" t="s">
        <v>7</v>
      </c>
      <c r="J15346" s="4" t="s">
        <v>15</v>
      </c>
      <c r="K15346" s="4" t="s">
        <v>55</v>
      </c>
      <c r="L15346" s="4" t="s">
        <v>7</v>
      </c>
      <c r="M15346" s="4" t="s">
        <v>7</v>
      </c>
    </row>
    <row r="15347" spans="1:6">
      <c r="A15347" t="n">
        <v>144539</v>
      </c>
      <c r="B15347" s="55" t="n">
        <v>26</v>
      </c>
      <c r="C15347" s="7" t="n">
        <v>14</v>
      </c>
      <c r="D15347" s="7" t="n">
        <v>17</v>
      </c>
      <c r="E15347" s="7" t="n">
        <v>64254</v>
      </c>
      <c r="F15347" s="7" t="s">
        <v>1195</v>
      </c>
      <c r="G15347" s="7" t="n">
        <v>2</v>
      </c>
      <c r="H15347" s="7" t="n">
        <v>3</v>
      </c>
      <c r="I15347" s="7" t="n">
        <v>17</v>
      </c>
      <c r="J15347" s="7" t="n">
        <v>64255</v>
      </c>
      <c r="K15347" s="7" t="s">
        <v>1196</v>
      </c>
      <c r="L15347" s="7" t="n">
        <v>2</v>
      </c>
      <c r="M15347" s="7" t="n">
        <v>0</v>
      </c>
    </row>
    <row r="15348" spans="1:6">
      <c r="A15348" t="s">
        <v>4</v>
      </c>
      <c r="B15348" s="4" t="s">
        <v>5</v>
      </c>
    </row>
    <row r="15349" spans="1:6">
      <c r="A15349" t="n">
        <v>144695</v>
      </c>
      <c r="B15349" s="27" t="n">
        <v>28</v>
      </c>
    </row>
    <row r="15350" spans="1:6">
      <c r="A15350" t="s">
        <v>4</v>
      </c>
      <c r="B15350" s="4" t="s">
        <v>5</v>
      </c>
      <c r="C15350" s="4" t="s">
        <v>7</v>
      </c>
      <c r="D15350" s="4" t="s">
        <v>11</v>
      </c>
      <c r="E15350" s="4" t="s">
        <v>8</v>
      </c>
    </row>
    <row r="15351" spans="1:6">
      <c r="A15351" t="n">
        <v>144696</v>
      </c>
      <c r="B15351" s="38" t="n">
        <v>51</v>
      </c>
      <c r="C15351" s="7" t="n">
        <v>4</v>
      </c>
      <c r="D15351" s="7" t="n">
        <v>0</v>
      </c>
      <c r="E15351" s="7" t="s">
        <v>752</v>
      </c>
    </row>
    <row r="15352" spans="1:6">
      <c r="A15352" t="s">
        <v>4</v>
      </c>
      <c r="B15352" s="4" t="s">
        <v>5</v>
      </c>
      <c r="C15352" s="4" t="s">
        <v>11</v>
      </c>
    </row>
    <row r="15353" spans="1:6">
      <c r="A15353" t="n">
        <v>144710</v>
      </c>
      <c r="B15353" s="29" t="n">
        <v>16</v>
      </c>
      <c r="C15353" s="7" t="n">
        <v>0</v>
      </c>
    </row>
    <row r="15354" spans="1:6">
      <c r="A15354" t="s">
        <v>4</v>
      </c>
      <c r="B15354" s="4" t="s">
        <v>5</v>
      </c>
      <c r="C15354" s="4" t="s">
        <v>11</v>
      </c>
      <c r="D15354" s="4" t="s">
        <v>7</v>
      </c>
      <c r="E15354" s="4" t="s">
        <v>15</v>
      </c>
      <c r="F15354" s="4" t="s">
        <v>55</v>
      </c>
      <c r="G15354" s="4" t="s">
        <v>7</v>
      </c>
      <c r="H15354" s="4" t="s">
        <v>7</v>
      </c>
      <c r="I15354" s="4" t="s">
        <v>7</v>
      </c>
      <c r="J15354" s="4" t="s">
        <v>15</v>
      </c>
      <c r="K15354" s="4" t="s">
        <v>55</v>
      </c>
      <c r="L15354" s="4" t="s">
        <v>7</v>
      </c>
      <c r="M15354" s="4" t="s">
        <v>7</v>
      </c>
    </row>
    <row r="15355" spans="1:6">
      <c r="A15355" t="n">
        <v>144713</v>
      </c>
      <c r="B15355" s="55" t="n">
        <v>26</v>
      </c>
      <c r="C15355" s="7" t="n">
        <v>0</v>
      </c>
      <c r="D15355" s="7" t="n">
        <v>17</v>
      </c>
      <c r="E15355" s="7" t="n">
        <v>64256</v>
      </c>
      <c r="F15355" s="7" t="s">
        <v>1197</v>
      </c>
      <c r="G15355" s="7" t="n">
        <v>2</v>
      </c>
      <c r="H15355" s="7" t="n">
        <v>3</v>
      </c>
      <c r="I15355" s="7" t="n">
        <v>17</v>
      </c>
      <c r="J15355" s="7" t="n">
        <v>64257</v>
      </c>
      <c r="K15355" s="7" t="s">
        <v>1198</v>
      </c>
      <c r="L15355" s="7" t="n">
        <v>2</v>
      </c>
      <c r="M15355" s="7" t="n">
        <v>0</v>
      </c>
    </row>
    <row r="15356" spans="1:6">
      <c r="A15356" t="s">
        <v>4</v>
      </c>
      <c r="B15356" s="4" t="s">
        <v>5</v>
      </c>
    </row>
    <row r="15357" spans="1:6">
      <c r="A15357" t="n">
        <v>144919</v>
      </c>
      <c r="B15357" s="27" t="n">
        <v>28</v>
      </c>
    </row>
    <row r="15358" spans="1:6">
      <c r="A15358" t="s">
        <v>4</v>
      </c>
      <c r="B15358" s="4" t="s">
        <v>5</v>
      </c>
      <c r="C15358" s="4" t="s">
        <v>7</v>
      </c>
      <c r="D15358" s="4" t="s">
        <v>11</v>
      </c>
      <c r="E15358" s="4" t="s">
        <v>8</v>
      </c>
    </row>
    <row r="15359" spans="1:6">
      <c r="A15359" t="n">
        <v>144920</v>
      </c>
      <c r="B15359" s="38" t="n">
        <v>51</v>
      </c>
      <c r="C15359" s="7" t="n">
        <v>4</v>
      </c>
      <c r="D15359" s="7" t="n">
        <v>14</v>
      </c>
      <c r="E15359" s="7" t="s">
        <v>192</v>
      </c>
    </row>
    <row r="15360" spans="1:6">
      <c r="A15360" t="s">
        <v>4</v>
      </c>
      <c r="B15360" s="4" t="s">
        <v>5</v>
      </c>
      <c r="C15360" s="4" t="s">
        <v>11</v>
      </c>
    </row>
    <row r="15361" spans="1:13">
      <c r="A15361" t="n">
        <v>144933</v>
      </c>
      <c r="B15361" s="29" t="n">
        <v>16</v>
      </c>
      <c r="C15361" s="7" t="n">
        <v>0</v>
      </c>
    </row>
    <row r="15362" spans="1:13">
      <c r="A15362" t="s">
        <v>4</v>
      </c>
      <c r="B15362" s="4" t="s">
        <v>5</v>
      </c>
      <c r="C15362" s="4" t="s">
        <v>11</v>
      </c>
      <c r="D15362" s="4" t="s">
        <v>7</v>
      </c>
      <c r="E15362" s="4" t="s">
        <v>15</v>
      </c>
      <c r="F15362" s="4" t="s">
        <v>55</v>
      </c>
      <c r="G15362" s="4" t="s">
        <v>7</v>
      </c>
      <c r="H15362" s="4" t="s">
        <v>7</v>
      </c>
      <c r="I15362" s="4" t="s">
        <v>7</v>
      </c>
      <c r="J15362" s="4" t="s">
        <v>15</v>
      </c>
      <c r="K15362" s="4" t="s">
        <v>55</v>
      </c>
      <c r="L15362" s="4" t="s">
        <v>7</v>
      </c>
      <c r="M15362" s="4" t="s">
        <v>7</v>
      </c>
    </row>
    <row r="15363" spans="1:13">
      <c r="A15363" t="n">
        <v>144936</v>
      </c>
      <c r="B15363" s="55" t="n">
        <v>26</v>
      </c>
      <c r="C15363" s="7" t="n">
        <v>14</v>
      </c>
      <c r="D15363" s="7" t="n">
        <v>17</v>
      </c>
      <c r="E15363" s="7" t="n">
        <v>64258</v>
      </c>
      <c r="F15363" s="7" t="s">
        <v>1199</v>
      </c>
      <c r="G15363" s="7" t="n">
        <v>2</v>
      </c>
      <c r="H15363" s="7" t="n">
        <v>3</v>
      </c>
      <c r="I15363" s="7" t="n">
        <v>17</v>
      </c>
      <c r="J15363" s="7" t="n">
        <v>64259</v>
      </c>
      <c r="K15363" s="7" t="s">
        <v>1200</v>
      </c>
      <c r="L15363" s="7" t="n">
        <v>2</v>
      </c>
      <c r="M15363" s="7" t="n">
        <v>0</v>
      </c>
    </row>
    <row r="15364" spans="1:13">
      <c r="A15364" t="s">
        <v>4</v>
      </c>
      <c r="B15364" s="4" t="s">
        <v>5</v>
      </c>
    </row>
    <row r="15365" spans="1:13">
      <c r="A15365" t="n">
        <v>145162</v>
      </c>
      <c r="B15365" s="27" t="n">
        <v>28</v>
      </c>
    </row>
    <row r="15366" spans="1:13">
      <c r="A15366" t="s">
        <v>4</v>
      </c>
      <c r="B15366" s="4" t="s">
        <v>5</v>
      </c>
      <c r="C15366" s="4" t="s">
        <v>7</v>
      </c>
      <c r="D15366" s="4" t="s">
        <v>11</v>
      </c>
      <c r="E15366" s="4" t="s">
        <v>8</v>
      </c>
    </row>
    <row r="15367" spans="1:13">
      <c r="A15367" t="n">
        <v>145163</v>
      </c>
      <c r="B15367" s="38" t="n">
        <v>51</v>
      </c>
      <c r="C15367" s="7" t="n">
        <v>4</v>
      </c>
      <c r="D15367" s="7" t="n">
        <v>0</v>
      </c>
      <c r="E15367" s="7" t="s">
        <v>304</v>
      </c>
    </row>
    <row r="15368" spans="1:13">
      <c r="A15368" t="s">
        <v>4</v>
      </c>
      <c r="B15368" s="4" t="s">
        <v>5</v>
      </c>
      <c r="C15368" s="4" t="s">
        <v>11</v>
      </c>
    </row>
    <row r="15369" spans="1:13">
      <c r="A15369" t="n">
        <v>145176</v>
      </c>
      <c r="B15369" s="29" t="n">
        <v>16</v>
      </c>
      <c r="C15369" s="7" t="n">
        <v>0</v>
      </c>
    </row>
    <row r="15370" spans="1:13">
      <c r="A15370" t="s">
        <v>4</v>
      </c>
      <c r="B15370" s="4" t="s">
        <v>5</v>
      </c>
      <c r="C15370" s="4" t="s">
        <v>11</v>
      </c>
      <c r="D15370" s="4" t="s">
        <v>7</v>
      </c>
      <c r="E15370" s="4" t="s">
        <v>15</v>
      </c>
      <c r="F15370" s="4" t="s">
        <v>55</v>
      </c>
      <c r="G15370" s="4" t="s">
        <v>7</v>
      </c>
      <c r="H15370" s="4" t="s">
        <v>7</v>
      </c>
    </row>
    <row r="15371" spans="1:13">
      <c r="A15371" t="n">
        <v>145179</v>
      </c>
      <c r="B15371" s="55" t="n">
        <v>26</v>
      </c>
      <c r="C15371" s="7" t="n">
        <v>0</v>
      </c>
      <c r="D15371" s="7" t="n">
        <v>17</v>
      </c>
      <c r="E15371" s="7" t="n">
        <v>65282</v>
      </c>
      <c r="F15371" s="7" t="s">
        <v>1201</v>
      </c>
      <c r="G15371" s="7" t="n">
        <v>2</v>
      </c>
      <c r="H15371" s="7" t="n">
        <v>0</v>
      </c>
    </row>
    <row r="15372" spans="1:13">
      <c r="A15372" t="s">
        <v>4</v>
      </c>
      <c r="B15372" s="4" t="s">
        <v>5</v>
      </c>
    </row>
    <row r="15373" spans="1:13">
      <c r="A15373" t="n">
        <v>145199</v>
      </c>
      <c r="B15373" s="27" t="n">
        <v>28</v>
      </c>
    </row>
    <row r="15374" spans="1:13">
      <c r="A15374" t="s">
        <v>4</v>
      </c>
      <c r="B15374" s="4" t="s">
        <v>5</v>
      </c>
      <c r="C15374" s="4" t="s">
        <v>11</v>
      </c>
      <c r="D15374" s="4" t="s">
        <v>7</v>
      </c>
      <c r="E15374" s="4" t="s">
        <v>13</v>
      </c>
      <c r="F15374" s="4" t="s">
        <v>11</v>
      </c>
    </row>
    <row r="15375" spans="1:13">
      <c r="A15375" t="n">
        <v>145200</v>
      </c>
      <c r="B15375" s="56" t="n">
        <v>59</v>
      </c>
      <c r="C15375" s="7" t="n">
        <v>0</v>
      </c>
      <c r="D15375" s="7" t="n">
        <v>9</v>
      </c>
      <c r="E15375" s="7" t="n">
        <v>0.150000005960464</v>
      </c>
      <c r="F15375" s="7" t="n">
        <v>0</v>
      </c>
    </row>
    <row r="15376" spans="1:13">
      <c r="A15376" t="s">
        <v>4</v>
      </c>
      <c r="B15376" s="4" t="s">
        <v>5</v>
      </c>
      <c r="C15376" s="4" t="s">
        <v>11</v>
      </c>
    </row>
    <row r="15377" spans="1:13">
      <c r="A15377" t="n">
        <v>145210</v>
      </c>
      <c r="B15377" s="29" t="n">
        <v>16</v>
      </c>
      <c r="C15377" s="7" t="n">
        <v>1500</v>
      </c>
    </row>
    <row r="15378" spans="1:13">
      <c r="A15378" t="s">
        <v>4</v>
      </c>
      <c r="B15378" s="4" t="s">
        <v>5</v>
      </c>
      <c r="C15378" s="4" t="s">
        <v>7</v>
      </c>
      <c r="D15378" s="4" t="s">
        <v>11</v>
      </c>
      <c r="E15378" s="4" t="s">
        <v>8</v>
      </c>
    </row>
    <row r="15379" spans="1:13">
      <c r="A15379" t="n">
        <v>145213</v>
      </c>
      <c r="B15379" s="38" t="n">
        <v>51</v>
      </c>
      <c r="C15379" s="7" t="n">
        <v>4</v>
      </c>
      <c r="D15379" s="7" t="n">
        <v>14</v>
      </c>
      <c r="E15379" s="7" t="s">
        <v>245</v>
      </c>
    </row>
    <row r="15380" spans="1:13">
      <c r="A15380" t="s">
        <v>4</v>
      </c>
      <c r="B15380" s="4" t="s">
        <v>5</v>
      </c>
      <c r="C15380" s="4" t="s">
        <v>11</v>
      </c>
    </row>
    <row r="15381" spans="1:13">
      <c r="A15381" t="n">
        <v>145227</v>
      </c>
      <c r="B15381" s="29" t="n">
        <v>16</v>
      </c>
      <c r="C15381" s="7" t="n">
        <v>0</v>
      </c>
    </row>
    <row r="15382" spans="1:13">
      <c r="A15382" t="s">
        <v>4</v>
      </c>
      <c r="B15382" s="4" t="s">
        <v>5</v>
      </c>
      <c r="C15382" s="4" t="s">
        <v>11</v>
      </c>
      <c r="D15382" s="4" t="s">
        <v>7</v>
      </c>
      <c r="E15382" s="4" t="s">
        <v>15</v>
      </c>
      <c r="F15382" s="4" t="s">
        <v>55</v>
      </c>
      <c r="G15382" s="4" t="s">
        <v>7</v>
      </c>
      <c r="H15382" s="4" t="s">
        <v>7</v>
      </c>
    </row>
    <row r="15383" spans="1:13">
      <c r="A15383" t="n">
        <v>145230</v>
      </c>
      <c r="B15383" s="55" t="n">
        <v>26</v>
      </c>
      <c r="C15383" s="7" t="n">
        <v>14</v>
      </c>
      <c r="D15383" s="7" t="n">
        <v>17</v>
      </c>
      <c r="E15383" s="7" t="n">
        <v>64260</v>
      </c>
      <c r="F15383" s="7" t="s">
        <v>1202</v>
      </c>
      <c r="G15383" s="7" t="n">
        <v>2</v>
      </c>
      <c r="H15383" s="7" t="n">
        <v>0</v>
      </c>
    </row>
    <row r="15384" spans="1:13">
      <c r="A15384" t="s">
        <v>4</v>
      </c>
      <c r="B15384" s="4" t="s">
        <v>5</v>
      </c>
    </row>
    <row r="15385" spans="1:13">
      <c r="A15385" t="n">
        <v>145277</v>
      </c>
      <c r="B15385" s="27" t="n">
        <v>28</v>
      </c>
    </row>
    <row r="15386" spans="1:13">
      <c r="A15386" t="s">
        <v>4</v>
      </c>
      <c r="B15386" s="4" t="s">
        <v>5</v>
      </c>
      <c r="C15386" s="4" t="s">
        <v>11</v>
      </c>
      <c r="D15386" s="4" t="s">
        <v>7</v>
      </c>
      <c r="E15386" s="4" t="s">
        <v>7</v>
      </c>
      <c r="F15386" s="4" t="s">
        <v>8</v>
      </c>
    </row>
    <row r="15387" spans="1:13">
      <c r="A15387" t="n">
        <v>145278</v>
      </c>
      <c r="B15387" s="50" t="n">
        <v>20</v>
      </c>
      <c r="C15387" s="7" t="n">
        <v>0</v>
      </c>
      <c r="D15387" s="7" t="n">
        <v>2</v>
      </c>
      <c r="E15387" s="7" t="n">
        <v>10</v>
      </c>
      <c r="F15387" s="7" t="s">
        <v>260</v>
      </c>
    </row>
    <row r="15388" spans="1:13">
      <c r="A15388" t="s">
        <v>4</v>
      </c>
      <c r="B15388" s="4" t="s">
        <v>5</v>
      </c>
      <c r="C15388" s="4" t="s">
        <v>7</v>
      </c>
      <c r="D15388" s="4" t="s">
        <v>11</v>
      </c>
      <c r="E15388" s="4" t="s">
        <v>8</v>
      </c>
    </row>
    <row r="15389" spans="1:13">
      <c r="A15389" t="n">
        <v>145298</v>
      </c>
      <c r="B15389" s="38" t="n">
        <v>51</v>
      </c>
      <c r="C15389" s="7" t="n">
        <v>4</v>
      </c>
      <c r="D15389" s="7" t="n">
        <v>0</v>
      </c>
      <c r="E15389" s="7" t="s">
        <v>167</v>
      </c>
    </row>
    <row r="15390" spans="1:13">
      <c r="A15390" t="s">
        <v>4</v>
      </c>
      <c r="B15390" s="4" t="s">
        <v>5</v>
      </c>
      <c r="C15390" s="4" t="s">
        <v>11</v>
      </c>
    </row>
    <row r="15391" spans="1:13">
      <c r="A15391" t="n">
        <v>145312</v>
      </c>
      <c r="B15391" s="29" t="n">
        <v>16</v>
      </c>
      <c r="C15391" s="7" t="n">
        <v>0</v>
      </c>
    </row>
    <row r="15392" spans="1:13">
      <c r="A15392" t="s">
        <v>4</v>
      </c>
      <c r="B15392" s="4" t="s">
        <v>5</v>
      </c>
      <c r="C15392" s="4" t="s">
        <v>11</v>
      </c>
      <c r="D15392" s="4" t="s">
        <v>7</v>
      </c>
      <c r="E15392" s="4" t="s">
        <v>15</v>
      </c>
      <c r="F15392" s="4" t="s">
        <v>55</v>
      </c>
      <c r="G15392" s="4" t="s">
        <v>7</v>
      </c>
      <c r="H15392" s="4" t="s">
        <v>7</v>
      </c>
      <c r="I15392" s="4" t="s">
        <v>7</v>
      </c>
      <c r="J15392" s="4" t="s">
        <v>15</v>
      </c>
      <c r="K15392" s="4" t="s">
        <v>55</v>
      </c>
      <c r="L15392" s="4" t="s">
        <v>7</v>
      </c>
      <c r="M15392" s="4" t="s">
        <v>7</v>
      </c>
      <c r="N15392" s="4" t="s">
        <v>7</v>
      </c>
      <c r="O15392" s="4" t="s">
        <v>15</v>
      </c>
      <c r="P15392" s="4" t="s">
        <v>55</v>
      </c>
      <c r="Q15392" s="4" t="s">
        <v>7</v>
      </c>
      <c r="R15392" s="4" t="s">
        <v>7</v>
      </c>
    </row>
    <row r="15393" spans="1:18">
      <c r="A15393" t="n">
        <v>145315</v>
      </c>
      <c r="B15393" s="55" t="n">
        <v>26</v>
      </c>
      <c r="C15393" s="7" t="n">
        <v>0</v>
      </c>
      <c r="D15393" s="7" t="n">
        <v>17</v>
      </c>
      <c r="E15393" s="7" t="n">
        <v>64261</v>
      </c>
      <c r="F15393" s="7" t="s">
        <v>1203</v>
      </c>
      <c r="G15393" s="7" t="n">
        <v>2</v>
      </c>
      <c r="H15393" s="7" t="n">
        <v>3</v>
      </c>
      <c r="I15393" s="7" t="n">
        <v>17</v>
      </c>
      <c r="J15393" s="7" t="n">
        <v>64262</v>
      </c>
      <c r="K15393" s="7" t="s">
        <v>1204</v>
      </c>
      <c r="L15393" s="7" t="n">
        <v>2</v>
      </c>
      <c r="M15393" s="7" t="n">
        <v>3</v>
      </c>
      <c r="N15393" s="7" t="n">
        <v>17</v>
      </c>
      <c r="O15393" s="7" t="n">
        <v>64263</v>
      </c>
      <c r="P15393" s="7" t="s">
        <v>1205</v>
      </c>
      <c r="Q15393" s="7" t="n">
        <v>2</v>
      </c>
      <c r="R15393" s="7" t="n">
        <v>0</v>
      </c>
    </row>
    <row r="15394" spans="1:18">
      <c r="A15394" t="s">
        <v>4</v>
      </c>
      <c r="B15394" s="4" t="s">
        <v>5</v>
      </c>
    </row>
    <row r="15395" spans="1:18">
      <c r="A15395" t="n">
        <v>145583</v>
      </c>
      <c r="B15395" s="27" t="n">
        <v>28</v>
      </c>
    </row>
    <row r="15396" spans="1:18">
      <c r="A15396" t="s">
        <v>4</v>
      </c>
      <c r="B15396" s="4" t="s">
        <v>5</v>
      </c>
      <c r="C15396" s="4" t="s">
        <v>7</v>
      </c>
      <c r="D15396" s="4" t="s">
        <v>11</v>
      </c>
      <c r="E15396" s="4" t="s">
        <v>8</v>
      </c>
    </row>
    <row r="15397" spans="1:18">
      <c r="A15397" t="n">
        <v>145584</v>
      </c>
      <c r="B15397" s="38" t="n">
        <v>51</v>
      </c>
      <c r="C15397" s="7" t="n">
        <v>4</v>
      </c>
      <c r="D15397" s="7" t="n">
        <v>14</v>
      </c>
      <c r="E15397" s="7" t="s">
        <v>235</v>
      </c>
    </row>
    <row r="15398" spans="1:18">
      <c r="A15398" t="s">
        <v>4</v>
      </c>
      <c r="B15398" s="4" t="s">
        <v>5</v>
      </c>
      <c r="C15398" s="4" t="s">
        <v>11</v>
      </c>
    </row>
    <row r="15399" spans="1:18">
      <c r="A15399" t="n">
        <v>145598</v>
      </c>
      <c r="B15399" s="29" t="n">
        <v>16</v>
      </c>
      <c r="C15399" s="7" t="n">
        <v>0</v>
      </c>
    </row>
    <row r="15400" spans="1:18">
      <c r="A15400" t="s">
        <v>4</v>
      </c>
      <c r="B15400" s="4" t="s">
        <v>5</v>
      </c>
      <c r="C15400" s="4" t="s">
        <v>11</v>
      </c>
      <c r="D15400" s="4" t="s">
        <v>7</v>
      </c>
      <c r="E15400" s="4" t="s">
        <v>15</v>
      </c>
      <c r="F15400" s="4" t="s">
        <v>55</v>
      </c>
      <c r="G15400" s="4" t="s">
        <v>7</v>
      </c>
      <c r="H15400" s="4" t="s">
        <v>7</v>
      </c>
      <c r="I15400" s="4" t="s">
        <v>7</v>
      </c>
      <c r="J15400" s="4" t="s">
        <v>15</v>
      </c>
      <c r="K15400" s="4" t="s">
        <v>55</v>
      </c>
      <c r="L15400" s="4" t="s">
        <v>7</v>
      </c>
      <c r="M15400" s="4" t="s">
        <v>7</v>
      </c>
      <c r="N15400" s="4" t="s">
        <v>7</v>
      </c>
      <c r="O15400" s="4" t="s">
        <v>15</v>
      </c>
      <c r="P15400" s="4" t="s">
        <v>55</v>
      </c>
      <c r="Q15400" s="4" t="s">
        <v>7</v>
      </c>
      <c r="R15400" s="4" t="s">
        <v>7</v>
      </c>
      <c r="S15400" s="4" t="s">
        <v>7</v>
      </c>
      <c r="T15400" s="4" t="s">
        <v>15</v>
      </c>
      <c r="U15400" s="4" t="s">
        <v>55</v>
      </c>
      <c r="V15400" s="4" t="s">
        <v>7</v>
      </c>
      <c r="W15400" s="4" t="s">
        <v>7</v>
      </c>
    </row>
    <row r="15401" spans="1:18">
      <c r="A15401" t="n">
        <v>145601</v>
      </c>
      <c r="B15401" s="55" t="n">
        <v>26</v>
      </c>
      <c r="C15401" s="7" t="n">
        <v>14</v>
      </c>
      <c r="D15401" s="7" t="n">
        <v>17</v>
      </c>
      <c r="E15401" s="7" t="n">
        <v>64264</v>
      </c>
      <c r="F15401" s="7" t="s">
        <v>1206</v>
      </c>
      <c r="G15401" s="7" t="n">
        <v>2</v>
      </c>
      <c r="H15401" s="7" t="n">
        <v>3</v>
      </c>
      <c r="I15401" s="7" t="n">
        <v>17</v>
      </c>
      <c r="J15401" s="7" t="n">
        <v>64265</v>
      </c>
      <c r="K15401" s="7" t="s">
        <v>1207</v>
      </c>
      <c r="L15401" s="7" t="n">
        <v>2</v>
      </c>
      <c r="M15401" s="7" t="n">
        <v>3</v>
      </c>
      <c r="N15401" s="7" t="n">
        <v>17</v>
      </c>
      <c r="O15401" s="7" t="n">
        <v>64266</v>
      </c>
      <c r="P15401" s="7" t="s">
        <v>1208</v>
      </c>
      <c r="Q15401" s="7" t="n">
        <v>2</v>
      </c>
      <c r="R15401" s="7" t="n">
        <v>3</v>
      </c>
      <c r="S15401" s="7" t="n">
        <v>17</v>
      </c>
      <c r="T15401" s="7" t="n">
        <v>64267</v>
      </c>
      <c r="U15401" s="7" t="s">
        <v>1209</v>
      </c>
      <c r="V15401" s="7" t="n">
        <v>2</v>
      </c>
      <c r="W15401" s="7" t="n">
        <v>0</v>
      </c>
    </row>
    <row r="15402" spans="1:18">
      <c r="A15402" t="s">
        <v>4</v>
      </c>
      <c r="B15402" s="4" t="s">
        <v>5</v>
      </c>
    </row>
    <row r="15403" spans="1:18">
      <c r="A15403" t="n">
        <v>145935</v>
      </c>
      <c r="B15403" s="27" t="n">
        <v>28</v>
      </c>
    </row>
    <row r="15404" spans="1:18">
      <c r="A15404" t="s">
        <v>4</v>
      </c>
      <c r="B15404" s="4" t="s">
        <v>5</v>
      </c>
      <c r="C15404" s="4" t="s">
        <v>7</v>
      </c>
      <c r="D15404" s="4" t="s">
        <v>11</v>
      </c>
      <c r="E15404" s="4" t="s">
        <v>8</v>
      </c>
    </row>
    <row r="15405" spans="1:18">
      <c r="A15405" t="n">
        <v>145936</v>
      </c>
      <c r="B15405" s="38" t="n">
        <v>51</v>
      </c>
      <c r="C15405" s="7" t="n">
        <v>4</v>
      </c>
      <c r="D15405" s="7" t="n">
        <v>0</v>
      </c>
      <c r="E15405" s="7" t="s">
        <v>261</v>
      </c>
    </row>
    <row r="15406" spans="1:18">
      <c r="A15406" t="s">
        <v>4</v>
      </c>
      <c r="B15406" s="4" t="s">
        <v>5</v>
      </c>
      <c r="C15406" s="4" t="s">
        <v>11</v>
      </c>
    </row>
    <row r="15407" spans="1:18">
      <c r="A15407" t="n">
        <v>145951</v>
      </c>
      <c r="B15407" s="29" t="n">
        <v>16</v>
      </c>
      <c r="C15407" s="7" t="n">
        <v>0</v>
      </c>
    </row>
    <row r="15408" spans="1:18">
      <c r="A15408" t="s">
        <v>4</v>
      </c>
      <c r="B15408" s="4" t="s">
        <v>5</v>
      </c>
      <c r="C15408" s="4" t="s">
        <v>11</v>
      </c>
      <c r="D15408" s="4" t="s">
        <v>7</v>
      </c>
      <c r="E15408" s="4" t="s">
        <v>15</v>
      </c>
      <c r="F15408" s="4" t="s">
        <v>55</v>
      </c>
      <c r="G15408" s="4" t="s">
        <v>7</v>
      </c>
      <c r="H15408" s="4" t="s">
        <v>7</v>
      </c>
    </row>
    <row r="15409" spans="1:23">
      <c r="A15409" t="n">
        <v>145954</v>
      </c>
      <c r="B15409" s="55" t="n">
        <v>26</v>
      </c>
      <c r="C15409" s="7" t="n">
        <v>0</v>
      </c>
      <c r="D15409" s="7" t="n">
        <v>17</v>
      </c>
      <c r="E15409" s="7" t="n">
        <v>64268</v>
      </c>
      <c r="F15409" s="7" t="s">
        <v>446</v>
      </c>
      <c r="G15409" s="7" t="n">
        <v>2</v>
      </c>
      <c r="H15409" s="7" t="n">
        <v>0</v>
      </c>
    </row>
    <row r="15410" spans="1:23">
      <c r="A15410" t="s">
        <v>4</v>
      </c>
      <c r="B15410" s="4" t="s">
        <v>5</v>
      </c>
    </row>
    <row r="15411" spans="1:23">
      <c r="A15411" t="n">
        <v>145970</v>
      </c>
      <c r="B15411" s="27" t="n">
        <v>28</v>
      </c>
    </row>
    <row r="15412" spans="1:23">
      <c r="A15412" t="s">
        <v>4</v>
      </c>
      <c r="B15412" s="4" t="s">
        <v>5</v>
      </c>
      <c r="C15412" s="4" t="s">
        <v>7</v>
      </c>
      <c r="D15412" s="4" t="s">
        <v>11</v>
      </c>
      <c r="E15412" s="4" t="s">
        <v>8</v>
      </c>
    </row>
    <row r="15413" spans="1:23">
      <c r="A15413" t="n">
        <v>145971</v>
      </c>
      <c r="B15413" s="38" t="n">
        <v>51</v>
      </c>
      <c r="C15413" s="7" t="n">
        <v>4</v>
      </c>
      <c r="D15413" s="7" t="n">
        <v>14</v>
      </c>
      <c r="E15413" s="7" t="s">
        <v>242</v>
      </c>
    </row>
    <row r="15414" spans="1:23">
      <c r="A15414" t="s">
        <v>4</v>
      </c>
      <c r="B15414" s="4" t="s">
        <v>5</v>
      </c>
      <c r="C15414" s="4" t="s">
        <v>11</v>
      </c>
    </row>
    <row r="15415" spans="1:23">
      <c r="A15415" t="n">
        <v>145985</v>
      </c>
      <c r="B15415" s="29" t="n">
        <v>16</v>
      </c>
      <c r="C15415" s="7" t="n">
        <v>0</v>
      </c>
    </row>
    <row r="15416" spans="1:23">
      <c r="A15416" t="s">
        <v>4</v>
      </c>
      <c r="B15416" s="4" t="s">
        <v>5</v>
      </c>
      <c r="C15416" s="4" t="s">
        <v>11</v>
      </c>
      <c r="D15416" s="4" t="s">
        <v>7</v>
      </c>
      <c r="E15416" s="4" t="s">
        <v>15</v>
      </c>
      <c r="F15416" s="4" t="s">
        <v>55</v>
      </c>
      <c r="G15416" s="4" t="s">
        <v>7</v>
      </c>
      <c r="H15416" s="4" t="s">
        <v>7</v>
      </c>
      <c r="I15416" s="4" t="s">
        <v>7</v>
      </c>
      <c r="J15416" s="4" t="s">
        <v>15</v>
      </c>
      <c r="K15416" s="4" t="s">
        <v>55</v>
      </c>
      <c r="L15416" s="4" t="s">
        <v>7</v>
      </c>
      <c r="M15416" s="4" t="s">
        <v>7</v>
      </c>
      <c r="N15416" s="4" t="s">
        <v>7</v>
      </c>
      <c r="O15416" s="4" t="s">
        <v>15</v>
      </c>
      <c r="P15416" s="4" t="s">
        <v>55</v>
      </c>
      <c r="Q15416" s="4" t="s">
        <v>7</v>
      </c>
      <c r="R15416" s="4" t="s">
        <v>7</v>
      </c>
      <c r="S15416" s="4" t="s">
        <v>7</v>
      </c>
      <c r="T15416" s="4" t="s">
        <v>15</v>
      </c>
      <c r="U15416" s="4" t="s">
        <v>55</v>
      </c>
      <c r="V15416" s="4" t="s">
        <v>7</v>
      </c>
      <c r="W15416" s="4" t="s">
        <v>7</v>
      </c>
    </row>
    <row r="15417" spans="1:23">
      <c r="A15417" t="n">
        <v>145988</v>
      </c>
      <c r="B15417" s="55" t="n">
        <v>26</v>
      </c>
      <c r="C15417" s="7" t="n">
        <v>14</v>
      </c>
      <c r="D15417" s="7" t="n">
        <v>17</v>
      </c>
      <c r="E15417" s="7" t="n">
        <v>64269</v>
      </c>
      <c r="F15417" s="7" t="s">
        <v>1210</v>
      </c>
      <c r="G15417" s="7" t="n">
        <v>2</v>
      </c>
      <c r="H15417" s="7" t="n">
        <v>3</v>
      </c>
      <c r="I15417" s="7" t="n">
        <v>17</v>
      </c>
      <c r="J15417" s="7" t="n">
        <v>64270</v>
      </c>
      <c r="K15417" s="7" t="s">
        <v>1211</v>
      </c>
      <c r="L15417" s="7" t="n">
        <v>2</v>
      </c>
      <c r="M15417" s="7" t="n">
        <v>3</v>
      </c>
      <c r="N15417" s="7" t="n">
        <v>17</v>
      </c>
      <c r="O15417" s="7" t="n">
        <v>64271</v>
      </c>
      <c r="P15417" s="7" t="s">
        <v>1212</v>
      </c>
      <c r="Q15417" s="7" t="n">
        <v>2</v>
      </c>
      <c r="R15417" s="7" t="n">
        <v>3</v>
      </c>
      <c r="S15417" s="7" t="n">
        <v>17</v>
      </c>
      <c r="T15417" s="7" t="n">
        <v>64272</v>
      </c>
      <c r="U15417" s="7" t="s">
        <v>1213</v>
      </c>
      <c r="V15417" s="7" t="n">
        <v>2</v>
      </c>
      <c r="W15417" s="7" t="n">
        <v>0</v>
      </c>
    </row>
    <row r="15418" spans="1:23">
      <c r="A15418" t="s">
        <v>4</v>
      </c>
      <c r="B15418" s="4" t="s">
        <v>5</v>
      </c>
    </row>
    <row r="15419" spans="1:23">
      <c r="A15419" t="n">
        <v>146423</v>
      </c>
      <c r="B15419" s="27" t="n">
        <v>28</v>
      </c>
    </row>
    <row r="15420" spans="1:23">
      <c r="A15420" t="s">
        <v>4</v>
      </c>
      <c r="B15420" s="4" t="s">
        <v>5</v>
      </c>
      <c r="C15420" s="4" t="s">
        <v>7</v>
      </c>
      <c r="D15420" s="4" t="s">
        <v>11</v>
      </c>
      <c r="E15420" s="4" t="s">
        <v>8</v>
      </c>
    </row>
    <row r="15421" spans="1:23">
      <c r="A15421" t="n">
        <v>146424</v>
      </c>
      <c r="B15421" s="38" t="n">
        <v>51</v>
      </c>
      <c r="C15421" s="7" t="n">
        <v>4</v>
      </c>
      <c r="D15421" s="7" t="n">
        <v>0</v>
      </c>
      <c r="E15421" s="7" t="s">
        <v>206</v>
      </c>
    </row>
    <row r="15422" spans="1:23">
      <c r="A15422" t="s">
        <v>4</v>
      </c>
      <c r="B15422" s="4" t="s">
        <v>5</v>
      </c>
      <c r="C15422" s="4" t="s">
        <v>11</v>
      </c>
    </row>
    <row r="15423" spans="1:23">
      <c r="A15423" t="n">
        <v>146439</v>
      </c>
      <c r="B15423" s="29" t="n">
        <v>16</v>
      </c>
      <c r="C15423" s="7" t="n">
        <v>0</v>
      </c>
    </row>
    <row r="15424" spans="1:23">
      <c r="A15424" t="s">
        <v>4</v>
      </c>
      <c r="B15424" s="4" t="s">
        <v>5</v>
      </c>
      <c r="C15424" s="4" t="s">
        <v>11</v>
      </c>
      <c r="D15424" s="4" t="s">
        <v>55</v>
      </c>
      <c r="E15424" s="4" t="s">
        <v>7</v>
      </c>
      <c r="F15424" s="4" t="s">
        <v>15</v>
      </c>
      <c r="G15424" s="4" t="s">
        <v>55</v>
      </c>
      <c r="H15424" s="4" t="s">
        <v>7</v>
      </c>
      <c r="I15424" s="4" t="s">
        <v>7</v>
      </c>
      <c r="J15424" s="4" t="s">
        <v>7</v>
      </c>
      <c r="K15424" s="4" t="s">
        <v>15</v>
      </c>
      <c r="L15424" s="4" t="s">
        <v>55</v>
      </c>
      <c r="M15424" s="4" t="s">
        <v>7</v>
      </c>
      <c r="N15424" s="4" t="s">
        <v>7</v>
      </c>
    </row>
    <row r="15425" spans="1:23">
      <c r="A15425" t="n">
        <v>146442</v>
      </c>
      <c r="B15425" s="55" t="n">
        <v>26</v>
      </c>
      <c r="C15425" s="7" t="n">
        <v>0</v>
      </c>
      <c r="D15425" s="7" t="s">
        <v>1214</v>
      </c>
      <c r="E15425" s="7" t="n">
        <v>17</v>
      </c>
      <c r="F15425" s="7" t="n">
        <v>65311</v>
      </c>
      <c r="G15425" s="7" t="s">
        <v>464</v>
      </c>
      <c r="H15425" s="7" t="n">
        <v>2</v>
      </c>
      <c r="I15425" s="7" t="n">
        <v>3</v>
      </c>
      <c r="J15425" s="7" t="n">
        <v>17</v>
      </c>
      <c r="K15425" s="7" t="n">
        <v>64273</v>
      </c>
      <c r="L15425" s="7" t="s">
        <v>1215</v>
      </c>
      <c r="M15425" s="7" t="n">
        <v>2</v>
      </c>
      <c r="N15425" s="7" t="n">
        <v>0</v>
      </c>
    </row>
    <row r="15426" spans="1:23">
      <c r="A15426" t="s">
        <v>4</v>
      </c>
      <c r="B15426" s="4" t="s">
        <v>5</v>
      </c>
    </row>
    <row r="15427" spans="1:23">
      <c r="A15427" t="n">
        <v>146502</v>
      </c>
      <c r="B15427" s="27" t="n">
        <v>28</v>
      </c>
    </row>
    <row r="15428" spans="1:23">
      <c r="A15428" t="s">
        <v>4</v>
      </c>
      <c r="B15428" s="4" t="s">
        <v>5</v>
      </c>
      <c r="C15428" s="4" t="s">
        <v>11</v>
      </c>
      <c r="D15428" s="4" t="s">
        <v>7</v>
      </c>
    </row>
    <row r="15429" spans="1:23">
      <c r="A15429" t="n">
        <v>146503</v>
      </c>
      <c r="B15429" s="68" t="n">
        <v>89</v>
      </c>
      <c r="C15429" s="7" t="n">
        <v>65533</v>
      </c>
      <c r="D15429" s="7" t="n">
        <v>1</v>
      </c>
    </row>
    <row r="15430" spans="1:23">
      <c r="A15430" t="s">
        <v>4</v>
      </c>
      <c r="B15430" s="4" t="s">
        <v>5</v>
      </c>
      <c r="C15430" s="4" t="s">
        <v>7</v>
      </c>
      <c r="D15430" s="4" t="s">
        <v>11</v>
      </c>
      <c r="E15430" s="4" t="s">
        <v>13</v>
      </c>
    </row>
    <row r="15431" spans="1:23">
      <c r="A15431" t="n">
        <v>146507</v>
      </c>
      <c r="B15431" s="23" t="n">
        <v>58</v>
      </c>
      <c r="C15431" s="7" t="n">
        <v>101</v>
      </c>
      <c r="D15431" s="7" t="n">
        <v>500</v>
      </c>
      <c r="E15431" s="7" t="n">
        <v>1</v>
      </c>
    </row>
    <row r="15432" spans="1:23">
      <c r="A15432" t="s">
        <v>4</v>
      </c>
      <c r="B15432" s="4" t="s">
        <v>5</v>
      </c>
      <c r="C15432" s="4" t="s">
        <v>7</v>
      </c>
      <c r="D15432" s="4" t="s">
        <v>11</v>
      </c>
    </row>
    <row r="15433" spans="1:23">
      <c r="A15433" t="n">
        <v>146515</v>
      </c>
      <c r="B15433" s="23" t="n">
        <v>58</v>
      </c>
      <c r="C15433" s="7" t="n">
        <v>254</v>
      </c>
      <c r="D15433" s="7" t="n">
        <v>0</v>
      </c>
    </row>
    <row r="15434" spans="1:23">
      <c r="A15434" t="s">
        <v>4</v>
      </c>
      <c r="B15434" s="4" t="s">
        <v>5</v>
      </c>
      <c r="C15434" s="4" t="s">
        <v>7</v>
      </c>
      <c r="D15434" s="4" t="s">
        <v>7</v>
      </c>
      <c r="E15434" s="4" t="s">
        <v>13</v>
      </c>
      <c r="F15434" s="4" t="s">
        <v>13</v>
      </c>
      <c r="G15434" s="4" t="s">
        <v>13</v>
      </c>
      <c r="H15434" s="4" t="s">
        <v>11</v>
      </c>
    </row>
    <row r="15435" spans="1:23">
      <c r="A15435" t="n">
        <v>146519</v>
      </c>
      <c r="B15435" s="51" t="n">
        <v>45</v>
      </c>
      <c r="C15435" s="7" t="n">
        <v>2</v>
      </c>
      <c r="D15435" s="7" t="n">
        <v>3</v>
      </c>
      <c r="E15435" s="7" t="n">
        <v>-13.3100004196167</v>
      </c>
      <c r="F15435" s="7" t="n">
        <v>1.46000003814697</v>
      </c>
      <c r="G15435" s="7" t="n">
        <v>54.7299995422363</v>
      </c>
      <c r="H15435" s="7" t="n">
        <v>0</v>
      </c>
    </row>
    <row r="15436" spans="1:23">
      <c r="A15436" t="s">
        <v>4</v>
      </c>
      <c r="B15436" s="4" t="s">
        <v>5</v>
      </c>
      <c r="C15436" s="4" t="s">
        <v>7</v>
      </c>
      <c r="D15436" s="4" t="s">
        <v>7</v>
      </c>
      <c r="E15436" s="4" t="s">
        <v>13</v>
      </c>
      <c r="F15436" s="4" t="s">
        <v>13</v>
      </c>
      <c r="G15436" s="4" t="s">
        <v>13</v>
      </c>
      <c r="H15436" s="4" t="s">
        <v>11</v>
      </c>
      <c r="I15436" s="4" t="s">
        <v>7</v>
      </c>
    </row>
    <row r="15437" spans="1:23">
      <c r="A15437" t="n">
        <v>146536</v>
      </c>
      <c r="B15437" s="51" t="n">
        <v>45</v>
      </c>
      <c r="C15437" s="7" t="n">
        <v>4</v>
      </c>
      <c r="D15437" s="7" t="n">
        <v>3</v>
      </c>
      <c r="E15437" s="7" t="n">
        <v>10.1199998855591</v>
      </c>
      <c r="F15437" s="7" t="n">
        <v>67.75</v>
      </c>
      <c r="G15437" s="7" t="n">
        <v>360</v>
      </c>
      <c r="H15437" s="7" t="n">
        <v>0</v>
      </c>
      <c r="I15437" s="7" t="n">
        <v>0</v>
      </c>
    </row>
    <row r="15438" spans="1:23">
      <c r="A15438" t="s">
        <v>4</v>
      </c>
      <c r="B15438" s="4" t="s">
        <v>5</v>
      </c>
      <c r="C15438" s="4" t="s">
        <v>7</v>
      </c>
      <c r="D15438" s="4" t="s">
        <v>7</v>
      </c>
      <c r="E15438" s="4" t="s">
        <v>13</v>
      </c>
      <c r="F15438" s="4" t="s">
        <v>11</v>
      </c>
    </row>
    <row r="15439" spans="1:23">
      <c r="A15439" t="n">
        <v>146554</v>
      </c>
      <c r="B15439" s="51" t="n">
        <v>45</v>
      </c>
      <c r="C15439" s="7" t="n">
        <v>5</v>
      </c>
      <c r="D15439" s="7" t="n">
        <v>3</v>
      </c>
      <c r="E15439" s="7" t="n">
        <v>1.10000002384186</v>
      </c>
      <c r="F15439" s="7" t="n">
        <v>0</v>
      </c>
    </row>
    <row r="15440" spans="1:23">
      <c r="A15440" t="s">
        <v>4</v>
      </c>
      <c r="B15440" s="4" t="s">
        <v>5</v>
      </c>
      <c r="C15440" s="4" t="s">
        <v>7</v>
      </c>
      <c r="D15440" s="4" t="s">
        <v>7</v>
      </c>
      <c r="E15440" s="4" t="s">
        <v>13</v>
      </c>
      <c r="F15440" s="4" t="s">
        <v>11</v>
      </c>
    </row>
    <row r="15441" spans="1:14">
      <c r="A15441" t="n">
        <v>146563</v>
      </c>
      <c r="B15441" s="51" t="n">
        <v>45</v>
      </c>
      <c r="C15441" s="7" t="n">
        <v>11</v>
      </c>
      <c r="D15441" s="7" t="n">
        <v>3</v>
      </c>
      <c r="E15441" s="7" t="n">
        <v>34</v>
      </c>
      <c r="F15441" s="7" t="n">
        <v>0</v>
      </c>
    </row>
    <row r="15442" spans="1:14">
      <c r="A15442" t="s">
        <v>4</v>
      </c>
      <c r="B15442" s="4" t="s">
        <v>5</v>
      </c>
      <c r="C15442" s="4" t="s">
        <v>7</v>
      </c>
      <c r="D15442" s="4" t="s">
        <v>11</v>
      </c>
    </row>
    <row r="15443" spans="1:14">
      <c r="A15443" t="n">
        <v>146572</v>
      </c>
      <c r="B15443" s="23" t="n">
        <v>58</v>
      </c>
      <c r="C15443" s="7" t="n">
        <v>255</v>
      </c>
      <c r="D15443" s="7" t="n">
        <v>0</v>
      </c>
    </row>
    <row r="15444" spans="1:14">
      <c r="A15444" t="s">
        <v>4</v>
      </c>
      <c r="B15444" s="4" t="s">
        <v>5</v>
      </c>
      <c r="C15444" s="4" t="s">
        <v>7</v>
      </c>
      <c r="D15444" s="4" t="s">
        <v>11</v>
      </c>
      <c r="E15444" s="4" t="s">
        <v>7</v>
      </c>
      <c r="F15444" s="4" t="s">
        <v>12</v>
      </c>
    </row>
    <row r="15445" spans="1:14">
      <c r="A15445" t="n">
        <v>146576</v>
      </c>
      <c r="B15445" s="10" t="n">
        <v>5</v>
      </c>
      <c r="C15445" s="7" t="n">
        <v>30</v>
      </c>
      <c r="D15445" s="7" t="n">
        <v>8531</v>
      </c>
      <c r="E15445" s="7" t="n">
        <v>1</v>
      </c>
      <c r="F15445" s="11" t="n">
        <f t="normal" ca="1">A15457</f>
        <v>0</v>
      </c>
    </row>
    <row r="15446" spans="1:14">
      <c r="A15446" t="s">
        <v>4</v>
      </c>
      <c r="B15446" s="4" t="s">
        <v>5</v>
      </c>
      <c r="C15446" s="4" t="s">
        <v>7</v>
      </c>
      <c r="D15446" s="4" t="s">
        <v>11</v>
      </c>
      <c r="E15446" s="4" t="s">
        <v>8</v>
      </c>
    </row>
    <row r="15447" spans="1:14">
      <c r="A15447" t="n">
        <v>146585</v>
      </c>
      <c r="B15447" s="38" t="n">
        <v>51</v>
      </c>
      <c r="C15447" s="7" t="n">
        <v>4</v>
      </c>
      <c r="D15447" s="7" t="n">
        <v>14</v>
      </c>
      <c r="E15447" s="7" t="s">
        <v>233</v>
      </c>
    </row>
    <row r="15448" spans="1:14">
      <c r="A15448" t="s">
        <v>4</v>
      </c>
      <c r="B15448" s="4" t="s">
        <v>5</v>
      </c>
      <c r="C15448" s="4" t="s">
        <v>11</v>
      </c>
    </row>
    <row r="15449" spans="1:14">
      <c r="A15449" t="n">
        <v>146598</v>
      </c>
      <c r="B15449" s="29" t="n">
        <v>16</v>
      </c>
      <c r="C15449" s="7" t="n">
        <v>0</v>
      </c>
    </row>
    <row r="15450" spans="1:14">
      <c r="A15450" t="s">
        <v>4</v>
      </c>
      <c r="B15450" s="4" t="s">
        <v>5</v>
      </c>
      <c r="C15450" s="4" t="s">
        <v>11</v>
      </c>
      <c r="D15450" s="4" t="s">
        <v>7</v>
      </c>
      <c r="E15450" s="4" t="s">
        <v>15</v>
      </c>
      <c r="F15450" s="4" t="s">
        <v>55</v>
      </c>
      <c r="G15450" s="4" t="s">
        <v>7</v>
      </c>
      <c r="H15450" s="4" t="s">
        <v>7</v>
      </c>
      <c r="I15450" s="4" t="s">
        <v>7</v>
      </c>
      <c r="J15450" s="4" t="s">
        <v>15</v>
      </c>
      <c r="K15450" s="4" t="s">
        <v>55</v>
      </c>
      <c r="L15450" s="4" t="s">
        <v>7</v>
      </c>
      <c r="M15450" s="4" t="s">
        <v>7</v>
      </c>
      <c r="N15450" s="4" t="s">
        <v>7</v>
      </c>
      <c r="O15450" s="4" t="s">
        <v>15</v>
      </c>
      <c r="P15450" s="4" t="s">
        <v>55</v>
      </c>
      <c r="Q15450" s="4" t="s">
        <v>7</v>
      </c>
      <c r="R15450" s="4" t="s">
        <v>7</v>
      </c>
    </row>
    <row r="15451" spans="1:14">
      <c r="A15451" t="n">
        <v>146601</v>
      </c>
      <c r="B15451" s="55" t="n">
        <v>26</v>
      </c>
      <c r="C15451" s="7" t="n">
        <v>14</v>
      </c>
      <c r="D15451" s="7" t="n">
        <v>17</v>
      </c>
      <c r="E15451" s="7" t="n">
        <v>64274</v>
      </c>
      <c r="F15451" s="7" t="s">
        <v>1216</v>
      </c>
      <c r="G15451" s="7" t="n">
        <v>2</v>
      </c>
      <c r="H15451" s="7" t="n">
        <v>3</v>
      </c>
      <c r="I15451" s="7" t="n">
        <v>17</v>
      </c>
      <c r="J15451" s="7" t="n">
        <v>64275</v>
      </c>
      <c r="K15451" s="7" t="s">
        <v>1217</v>
      </c>
      <c r="L15451" s="7" t="n">
        <v>2</v>
      </c>
      <c r="M15451" s="7" t="n">
        <v>3</v>
      </c>
      <c r="N15451" s="7" t="n">
        <v>17</v>
      </c>
      <c r="O15451" s="7" t="n">
        <v>64276</v>
      </c>
      <c r="P15451" s="7" t="s">
        <v>1218</v>
      </c>
      <c r="Q15451" s="7" t="n">
        <v>2</v>
      </c>
      <c r="R15451" s="7" t="n">
        <v>0</v>
      </c>
    </row>
    <row r="15452" spans="1:14">
      <c r="A15452" t="s">
        <v>4</v>
      </c>
      <c r="B15452" s="4" t="s">
        <v>5</v>
      </c>
    </row>
    <row r="15453" spans="1:14">
      <c r="A15453" t="n">
        <v>146818</v>
      </c>
      <c r="B15453" s="27" t="n">
        <v>28</v>
      </c>
    </row>
    <row r="15454" spans="1:14">
      <c r="A15454" t="s">
        <v>4</v>
      </c>
      <c r="B15454" s="4" t="s">
        <v>5</v>
      </c>
      <c r="C15454" s="4" t="s">
        <v>12</v>
      </c>
    </row>
    <row r="15455" spans="1:14">
      <c r="A15455" t="n">
        <v>146819</v>
      </c>
      <c r="B15455" s="19" t="n">
        <v>3</v>
      </c>
      <c r="C15455" s="11" t="n">
        <f t="normal" ca="1">A15465</f>
        <v>0</v>
      </c>
    </row>
    <row r="15456" spans="1:14">
      <c r="A15456" t="s">
        <v>4</v>
      </c>
      <c r="B15456" s="4" t="s">
        <v>5</v>
      </c>
      <c r="C15456" s="4" t="s">
        <v>7</v>
      </c>
      <c r="D15456" s="4" t="s">
        <v>11</v>
      </c>
      <c r="E15456" s="4" t="s">
        <v>8</v>
      </c>
    </row>
    <row r="15457" spans="1:18">
      <c r="A15457" t="n">
        <v>146824</v>
      </c>
      <c r="B15457" s="38" t="n">
        <v>51</v>
      </c>
      <c r="C15457" s="7" t="n">
        <v>4</v>
      </c>
      <c r="D15457" s="7" t="n">
        <v>14</v>
      </c>
      <c r="E15457" s="7" t="s">
        <v>192</v>
      </c>
    </row>
    <row r="15458" spans="1:18">
      <c r="A15458" t="s">
        <v>4</v>
      </c>
      <c r="B15458" s="4" t="s">
        <v>5</v>
      </c>
      <c r="C15458" s="4" t="s">
        <v>11</v>
      </c>
    </row>
    <row r="15459" spans="1:18">
      <c r="A15459" t="n">
        <v>146837</v>
      </c>
      <c r="B15459" s="29" t="n">
        <v>16</v>
      </c>
      <c r="C15459" s="7" t="n">
        <v>0</v>
      </c>
    </row>
    <row r="15460" spans="1:18">
      <c r="A15460" t="s">
        <v>4</v>
      </c>
      <c r="B15460" s="4" t="s">
        <v>5</v>
      </c>
      <c r="C15460" s="4" t="s">
        <v>11</v>
      </c>
      <c r="D15460" s="4" t="s">
        <v>7</v>
      </c>
      <c r="E15460" s="4" t="s">
        <v>15</v>
      </c>
      <c r="F15460" s="4" t="s">
        <v>55</v>
      </c>
      <c r="G15460" s="4" t="s">
        <v>7</v>
      </c>
      <c r="H15460" s="4" t="s">
        <v>7</v>
      </c>
      <c r="I15460" s="4" t="s">
        <v>7</v>
      </c>
      <c r="J15460" s="4" t="s">
        <v>15</v>
      </c>
      <c r="K15460" s="4" t="s">
        <v>55</v>
      </c>
      <c r="L15460" s="4" t="s">
        <v>7</v>
      </c>
      <c r="M15460" s="4" t="s">
        <v>7</v>
      </c>
      <c r="N15460" s="4" t="s">
        <v>7</v>
      </c>
      <c r="O15460" s="4" t="s">
        <v>15</v>
      </c>
      <c r="P15460" s="4" t="s">
        <v>55</v>
      </c>
      <c r="Q15460" s="4" t="s">
        <v>7</v>
      </c>
      <c r="R15460" s="4" t="s">
        <v>7</v>
      </c>
    </row>
    <row r="15461" spans="1:18">
      <c r="A15461" t="n">
        <v>146840</v>
      </c>
      <c r="B15461" s="55" t="n">
        <v>26</v>
      </c>
      <c r="C15461" s="7" t="n">
        <v>14</v>
      </c>
      <c r="D15461" s="7" t="n">
        <v>17</v>
      </c>
      <c r="E15461" s="7" t="n">
        <v>64277</v>
      </c>
      <c r="F15461" s="7" t="s">
        <v>1219</v>
      </c>
      <c r="G15461" s="7" t="n">
        <v>2</v>
      </c>
      <c r="H15461" s="7" t="n">
        <v>3</v>
      </c>
      <c r="I15461" s="7" t="n">
        <v>17</v>
      </c>
      <c r="J15461" s="7" t="n">
        <v>64275</v>
      </c>
      <c r="K15461" s="7" t="s">
        <v>1217</v>
      </c>
      <c r="L15461" s="7" t="n">
        <v>2</v>
      </c>
      <c r="M15461" s="7" t="n">
        <v>3</v>
      </c>
      <c r="N15461" s="7" t="n">
        <v>17</v>
      </c>
      <c r="O15461" s="7" t="n">
        <v>64276</v>
      </c>
      <c r="P15461" s="7" t="s">
        <v>1220</v>
      </c>
      <c r="Q15461" s="7" t="n">
        <v>2</v>
      </c>
      <c r="R15461" s="7" t="n">
        <v>0</v>
      </c>
    </row>
    <row r="15462" spans="1:18">
      <c r="A15462" t="s">
        <v>4</v>
      </c>
      <c r="B15462" s="4" t="s">
        <v>5</v>
      </c>
    </row>
    <row r="15463" spans="1:18">
      <c r="A15463" t="n">
        <v>147079</v>
      </c>
      <c r="B15463" s="27" t="n">
        <v>28</v>
      </c>
    </row>
    <row r="15464" spans="1:18">
      <c r="A15464" t="s">
        <v>4</v>
      </c>
      <c r="B15464" s="4" t="s">
        <v>5</v>
      </c>
      <c r="C15464" s="4" t="s">
        <v>7</v>
      </c>
      <c r="D15464" s="4" t="s">
        <v>11</v>
      </c>
      <c r="E15464" s="4" t="s">
        <v>7</v>
      </c>
      <c r="F15464" s="4" t="s">
        <v>12</v>
      </c>
    </row>
    <row r="15465" spans="1:18">
      <c r="A15465" t="n">
        <v>147080</v>
      </c>
      <c r="B15465" s="10" t="n">
        <v>5</v>
      </c>
      <c r="C15465" s="7" t="n">
        <v>30</v>
      </c>
      <c r="D15465" s="7" t="n">
        <v>10805</v>
      </c>
      <c r="E15465" s="7" t="n">
        <v>1</v>
      </c>
      <c r="F15465" s="11" t="n">
        <f t="normal" ca="1">A15493</f>
        <v>0</v>
      </c>
    </row>
    <row r="15466" spans="1:18">
      <c r="A15466" t="s">
        <v>4</v>
      </c>
      <c r="B15466" s="4" t="s">
        <v>5</v>
      </c>
      <c r="C15466" s="4" t="s">
        <v>7</v>
      </c>
      <c r="D15466" s="4" t="s">
        <v>11</v>
      </c>
      <c r="E15466" s="4" t="s">
        <v>8</v>
      </c>
      <c r="F15466" s="4" t="s">
        <v>8</v>
      </c>
      <c r="G15466" s="4" t="s">
        <v>8</v>
      </c>
      <c r="H15466" s="4" t="s">
        <v>8</v>
      </c>
    </row>
    <row r="15467" spans="1:18">
      <c r="A15467" t="n">
        <v>147089</v>
      </c>
      <c r="B15467" s="38" t="n">
        <v>51</v>
      </c>
      <c r="C15467" s="7" t="n">
        <v>3</v>
      </c>
      <c r="D15467" s="7" t="n">
        <v>14</v>
      </c>
      <c r="E15467" s="7" t="s">
        <v>98</v>
      </c>
      <c r="F15467" s="7" t="s">
        <v>232</v>
      </c>
      <c r="G15467" s="7" t="s">
        <v>78</v>
      </c>
      <c r="H15467" s="7" t="s">
        <v>79</v>
      </c>
    </row>
    <row r="15468" spans="1:18">
      <c r="A15468" t="s">
        <v>4</v>
      </c>
      <c r="B15468" s="4" t="s">
        <v>5</v>
      </c>
      <c r="C15468" s="4" t="s">
        <v>7</v>
      </c>
      <c r="D15468" s="4" t="s">
        <v>11</v>
      </c>
      <c r="E15468" s="4" t="s">
        <v>8</v>
      </c>
    </row>
    <row r="15469" spans="1:18">
      <c r="A15469" t="n">
        <v>147102</v>
      </c>
      <c r="B15469" s="38" t="n">
        <v>51</v>
      </c>
      <c r="C15469" s="7" t="n">
        <v>4</v>
      </c>
      <c r="D15469" s="7" t="n">
        <v>14</v>
      </c>
      <c r="E15469" s="7" t="s">
        <v>238</v>
      </c>
    </row>
    <row r="15470" spans="1:18">
      <c r="A15470" t="s">
        <v>4</v>
      </c>
      <c r="B15470" s="4" t="s">
        <v>5</v>
      </c>
      <c r="C15470" s="4" t="s">
        <v>11</v>
      </c>
    </row>
    <row r="15471" spans="1:18">
      <c r="A15471" t="n">
        <v>147116</v>
      </c>
      <c r="B15471" s="29" t="n">
        <v>16</v>
      </c>
      <c r="C15471" s="7" t="n">
        <v>0</v>
      </c>
    </row>
    <row r="15472" spans="1:18">
      <c r="A15472" t="s">
        <v>4</v>
      </c>
      <c r="B15472" s="4" t="s">
        <v>5</v>
      </c>
      <c r="C15472" s="4" t="s">
        <v>11</v>
      </c>
      <c r="D15472" s="4" t="s">
        <v>7</v>
      </c>
      <c r="E15472" s="4" t="s">
        <v>15</v>
      </c>
      <c r="F15472" s="4" t="s">
        <v>55</v>
      </c>
      <c r="G15472" s="4" t="s">
        <v>7</v>
      </c>
      <c r="H15472" s="4" t="s">
        <v>7</v>
      </c>
    </row>
    <row r="15473" spans="1:18">
      <c r="A15473" t="n">
        <v>147119</v>
      </c>
      <c r="B15473" s="55" t="n">
        <v>26</v>
      </c>
      <c r="C15473" s="7" t="n">
        <v>14</v>
      </c>
      <c r="D15473" s="7" t="n">
        <v>17</v>
      </c>
      <c r="E15473" s="7" t="n">
        <v>64278</v>
      </c>
      <c r="F15473" s="7" t="s">
        <v>1221</v>
      </c>
      <c r="G15473" s="7" t="n">
        <v>2</v>
      </c>
      <c r="H15473" s="7" t="n">
        <v>0</v>
      </c>
    </row>
    <row r="15474" spans="1:18">
      <c r="A15474" t="s">
        <v>4</v>
      </c>
      <c r="B15474" s="4" t="s">
        <v>5</v>
      </c>
    </row>
    <row r="15475" spans="1:18">
      <c r="A15475" t="n">
        <v>147228</v>
      </c>
      <c r="B15475" s="27" t="n">
        <v>28</v>
      </c>
    </row>
    <row r="15476" spans="1:18">
      <c r="A15476" t="s">
        <v>4</v>
      </c>
      <c r="B15476" s="4" t="s">
        <v>5</v>
      </c>
      <c r="C15476" s="4" t="s">
        <v>11</v>
      </c>
      <c r="D15476" s="4" t="s">
        <v>7</v>
      </c>
      <c r="E15476" s="4" t="s">
        <v>13</v>
      </c>
      <c r="F15476" s="4" t="s">
        <v>11</v>
      </c>
    </row>
    <row r="15477" spans="1:18">
      <c r="A15477" t="n">
        <v>147229</v>
      </c>
      <c r="B15477" s="56" t="n">
        <v>59</v>
      </c>
      <c r="C15477" s="7" t="n">
        <v>0</v>
      </c>
      <c r="D15477" s="7" t="n">
        <v>6</v>
      </c>
      <c r="E15477" s="7" t="n">
        <v>0</v>
      </c>
      <c r="F15477" s="7" t="n">
        <v>0</v>
      </c>
    </row>
    <row r="15478" spans="1:18">
      <c r="A15478" t="s">
        <v>4</v>
      </c>
      <c r="B15478" s="4" t="s">
        <v>5</v>
      </c>
      <c r="C15478" s="4" t="s">
        <v>11</v>
      </c>
    </row>
    <row r="15479" spans="1:18">
      <c r="A15479" t="n">
        <v>147239</v>
      </c>
      <c r="B15479" s="29" t="n">
        <v>16</v>
      </c>
      <c r="C15479" s="7" t="n">
        <v>1000</v>
      </c>
    </row>
    <row r="15480" spans="1:18">
      <c r="A15480" t="s">
        <v>4</v>
      </c>
      <c r="B15480" s="4" t="s">
        <v>5</v>
      </c>
      <c r="C15480" s="4" t="s">
        <v>11</v>
      </c>
      <c r="D15480" s="4" t="s">
        <v>7</v>
      </c>
      <c r="E15480" s="4" t="s">
        <v>7</v>
      </c>
      <c r="F15480" s="4" t="s">
        <v>8</v>
      </c>
    </row>
    <row r="15481" spans="1:18">
      <c r="A15481" t="n">
        <v>147242</v>
      </c>
      <c r="B15481" s="41" t="n">
        <v>47</v>
      </c>
      <c r="C15481" s="7" t="n">
        <v>0</v>
      </c>
      <c r="D15481" s="7" t="n">
        <v>0</v>
      </c>
      <c r="E15481" s="7" t="n">
        <v>0</v>
      </c>
      <c r="F15481" s="7" t="s">
        <v>1194</v>
      </c>
    </row>
    <row r="15482" spans="1:18">
      <c r="A15482" t="s">
        <v>4</v>
      </c>
      <c r="B15482" s="4" t="s">
        <v>5</v>
      </c>
      <c r="C15482" s="4" t="s">
        <v>7</v>
      </c>
      <c r="D15482" s="4" t="s">
        <v>11</v>
      </c>
      <c r="E15482" s="4" t="s">
        <v>8</v>
      </c>
    </row>
    <row r="15483" spans="1:18">
      <c r="A15483" t="n">
        <v>147262</v>
      </c>
      <c r="B15483" s="38" t="n">
        <v>51</v>
      </c>
      <c r="C15483" s="7" t="n">
        <v>4</v>
      </c>
      <c r="D15483" s="7" t="n">
        <v>0</v>
      </c>
      <c r="E15483" s="7" t="s">
        <v>240</v>
      </c>
    </row>
    <row r="15484" spans="1:18">
      <c r="A15484" t="s">
        <v>4</v>
      </c>
      <c r="B15484" s="4" t="s">
        <v>5</v>
      </c>
      <c r="C15484" s="4" t="s">
        <v>11</v>
      </c>
    </row>
    <row r="15485" spans="1:18">
      <c r="A15485" t="n">
        <v>147276</v>
      </c>
      <c r="B15485" s="29" t="n">
        <v>16</v>
      </c>
      <c r="C15485" s="7" t="n">
        <v>0</v>
      </c>
    </row>
    <row r="15486" spans="1:18">
      <c r="A15486" t="s">
        <v>4</v>
      </c>
      <c r="B15486" s="4" t="s">
        <v>5</v>
      </c>
      <c r="C15486" s="4" t="s">
        <v>11</v>
      </c>
      <c r="D15486" s="4" t="s">
        <v>7</v>
      </c>
      <c r="E15486" s="4" t="s">
        <v>15</v>
      </c>
      <c r="F15486" s="4" t="s">
        <v>55</v>
      </c>
      <c r="G15486" s="4" t="s">
        <v>7</v>
      </c>
      <c r="H15486" s="4" t="s">
        <v>7</v>
      </c>
      <c r="I15486" s="4" t="s">
        <v>7</v>
      </c>
      <c r="J15486" s="4" t="s">
        <v>15</v>
      </c>
      <c r="K15486" s="4" t="s">
        <v>55</v>
      </c>
      <c r="L15486" s="4" t="s">
        <v>7</v>
      </c>
      <c r="M15486" s="4" t="s">
        <v>7</v>
      </c>
    </row>
    <row r="15487" spans="1:18">
      <c r="A15487" t="n">
        <v>147279</v>
      </c>
      <c r="B15487" s="55" t="n">
        <v>26</v>
      </c>
      <c r="C15487" s="7" t="n">
        <v>0</v>
      </c>
      <c r="D15487" s="7" t="n">
        <v>17</v>
      </c>
      <c r="E15487" s="7" t="n">
        <v>64279</v>
      </c>
      <c r="F15487" s="7" t="s">
        <v>1222</v>
      </c>
      <c r="G15487" s="7" t="n">
        <v>2</v>
      </c>
      <c r="H15487" s="7" t="n">
        <v>3</v>
      </c>
      <c r="I15487" s="7" t="n">
        <v>17</v>
      </c>
      <c r="J15487" s="7" t="n">
        <v>64280</v>
      </c>
      <c r="K15487" s="7" t="s">
        <v>1223</v>
      </c>
      <c r="L15487" s="7" t="n">
        <v>2</v>
      </c>
      <c r="M15487" s="7" t="n">
        <v>0</v>
      </c>
    </row>
    <row r="15488" spans="1:18">
      <c r="A15488" t="s">
        <v>4</v>
      </c>
      <c r="B15488" s="4" t="s">
        <v>5</v>
      </c>
    </row>
    <row r="15489" spans="1:13">
      <c r="A15489" t="n">
        <v>147410</v>
      </c>
      <c r="B15489" s="27" t="n">
        <v>28</v>
      </c>
    </row>
    <row r="15490" spans="1:13">
      <c r="A15490" t="s">
        <v>4</v>
      </c>
      <c r="B15490" s="4" t="s">
        <v>5</v>
      </c>
      <c r="C15490" s="4" t="s">
        <v>12</v>
      </c>
    </row>
    <row r="15491" spans="1:13">
      <c r="A15491" t="n">
        <v>147411</v>
      </c>
      <c r="B15491" s="19" t="n">
        <v>3</v>
      </c>
      <c r="C15491" s="11" t="n">
        <f t="normal" ca="1">A15503</f>
        <v>0</v>
      </c>
    </row>
    <row r="15492" spans="1:13">
      <c r="A15492" t="s">
        <v>4</v>
      </c>
      <c r="B15492" s="4" t="s">
        <v>5</v>
      </c>
      <c r="C15492" s="4" t="s">
        <v>11</v>
      </c>
      <c r="D15492" s="4" t="s">
        <v>7</v>
      </c>
      <c r="E15492" s="4" t="s">
        <v>7</v>
      </c>
      <c r="F15492" s="4" t="s">
        <v>8</v>
      </c>
    </row>
    <row r="15493" spans="1:13">
      <c r="A15493" t="n">
        <v>147416</v>
      </c>
      <c r="B15493" s="50" t="n">
        <v>20</v>
      </c>
      <c r="C15493" s="7" t="n">
        <v>0</v>
      </c>
      <c r="D15493" s="7" t="n">
        <v>2</v>
      </c>
      <c r="E15493" s="7" t="n">
        <v>10</v>
      </c>
      <c r="F15493" s="7" t="s">
        <v>223</v>
      </c>
    </row>
    <row r="15494" spans="1:13">
      <c r="A15494" t="s">
        <v>4</v>
      </c>
      <c r="B15494" s="4" t="s">
        <v>5</v>
      </c>
      <c r="C15494" s="4" t="s">
        <v>7</v>
      </c>
      <c r="D15494" s="4" t="s">
        <v>11</v>
      </c>
      <c r="E15494" s="4" t="s">
        <v>8</v>
      </c>
    </row>
    <row r="15495" spans="1:13">
      <c r="A15495" t="n">
        <v>147437</v>
      </c>
      <c r="B15495" s="38" t="n">
        <v>51</v>
      </c>
      <c r="C15495" s="7" t="n">
        <v>4</v>
      </c>
      <c r="D15495" s="7" t="n">
        <v>0</v>
      </c>
      <c r="E15495" s="7" t="s">
        <v>450</v>
      </c>
    </row>
    <row r="15496" spans="1:13">
      <c r="A15496" t="s">
        <v>4</v>
      </c>
      <c r="B15496" s="4" t="s">
        <v>5</v>
      </c>
      <c r="C15496" s="4" t="s">
        <v>11</v>
      </c>
    </row>
    <row r="15497" spans="1:13">
      <c r="A15497" t="n">
        <v>147451</v>
      </c>
      <c r="B15497" s="29" t="n">
        <v>16</v>
      </c>
      <c r="C15497" s="7" t="n">
        <v>0</v>
      </c>
    </row>
    <row r="15498" spans="1:13">
      <c r="A15498" t="s">
        <v>4</v>
      </c>
      <c r="B15498" s="4" t="s">
        <v>5</v>
      </c>
      <c r="C15498" s="4" t="s">
        <v>11</v>
      </c>
      <c r="D15498" s="4" t="s">
        <v>7</v>
      </c>
      <c r="E15498" s="4" t="s">
        <v>15</v>
      </c>
      <c r="F15498" s="4" t="s">
        <v>55</v>
      </c>
      <c r="G15498" s="4" t="s">
        <v>7</v>
      </c>
      <c r="H15498" s="4" t="s">
        <v>7</v>
      </c>
    </row>
    <row r="15499" spans="1:13">
      <c r="A15499" t="n">
        <v>147454</v>
      </c>
      <c r="B15499" s="55" t="n">
        <v>26</v>
      </c>
      <c r="C15499" s="7" t="n">
        <v>0</v>
      </c>
      <c r="D15499" s="7" t="n">
        <v>17</v>
      </c>
      <c r="E15499" s="7" t="n">
        <v>64281</v>
      </c>
      <c r="F15499" s="7" t="s">
        <v>1224</v>
      </c>
      <c r="G15499" s="7" t="n">
        <v>2</v>
      </c>
      <c r="H15499" s="7" t="n">
        <v>0</v>
      </c>
    </row>
    <row r="15500" spans="1:13">
      <c r="A15500" t="s">
        <v>4</v>
      </c>
      <c r="B15500" s="4" t="s">
        <v>5</v>
      </c>
    </row>
    <row r="15501" spans="1:13">
      <c r="A15501" t="n">
        <v>147540</v>
      </c>
      <c r="B15501" s="27" t="n">
        <v>28</v>
      </c>
    </row>
    <row r="15502" spans="1:13">
      <c r="A15502" t="s">
        <v>4</v>
      </c>
      <c r="B15502" s="4" t="s">
        <v>5</v>
      </c>
      <c r="C15502" s="4" t="s">
        <v>7</v>
      </c>
      <c r="D15502" s="4" t="s">
        <v>11</v>
      </c>
      <c r="E15502" s="4" t="s">
        <v>13</v>
      </c>
    </row>
    <row r="15503" spans="1:13">
      <c r="A15503" t="n">
        <v>147541</v>
      </c>
      <c r="B15503" s="23" t="n">
        <v>58</v>
      </c>
      <c r="C15503" s="7" t="n">
        <v>0</v>
      </c>
      <c r="D15503" s="7" t="n">
        <v>2000</v>
      </c>
      <c r="E15503" s="7" t="n">
        <v>1</v>
      </c>
    </row>
    <row r="15504" spans="1:13">
      <c r="A15504" t="s">
        <v>4</v>
      </c>
      <c r="B15504" s="4" t="s">
        <v>5</v>
      </c>
      <c r="C15504" s="4" t="s">
        <v>7</v>
      </c>
      <c r="D15504" s="4" t="s">
        <v>11</v>
      </c>
    </row>
    <row r="15505" spans="1:8">
      <c r="A15505" t="n">
        <v>147549</v>
      </c>
      <c r="B15505" s="23" t="n">
        <v>58</v>
      </c>
      <c r="C15505" s="7" t="n">
        <v>255</v>
      </c>
      <c r="D15505" s="7" t="n">
        <v>0</v>
      </c>
    </row>
    <row r="15506" spans="1:8">
      <c r="A15506" t="s">
        <v>4</v>
      </c>
      <c r="B15506" s="4" t="s">
        <v>5</v>
      </c>
      <c r="C15506" s="4" t="s">
        <v>11</v>
      </c>
    </row>
    <row r="15507" spans="1:8">
      <c r="A15507" t="n">
        <v>147553</v>
      </c>
      <c r="B15507" s="29" t="n">
        <v>16</v>
      </c>
      <c r="C15507" s="7" t="n">
        <v>1000</v>
      </c>
    </row>
    <row r="15508" spans="1:8">
      <c r="A15508" t="s">
        <v>4</v>
      </c>
      <c r="B15508" s="4" t="s">
        <v>5</v>
      </c>
      <c r="C15508" s="4" t="s">
        <v>7</v>
      </c>
      <c r="D15508" s="4" t="s">
        <v>11</v>
      </c>
      <c r="E15508" s="4" t="s">
        <v>7</v>
      </c>
    </row>
    <row r="15509" spans="1:8">
      <c r="A15509" t="n">
        <v>147556</v>
      </c>
      <c r="B15509" s="40" t="n">
        <v>36</v>
      </c>
      <c r="C15509" s="7" t="n">
        <v>9</v>
      </c>
      <c r="D15509" s="7" t="n">
        <v>0</v>
      </c>
      <c r="E15509" s="7" t="n">
        <v>0</v>
      </c>
    </row>
    <row r="15510" spans="1:8">
      <c r="A15510" t="s">
        <v>4</v>
      </c>
      <c r="B15510" s="4" t="s">
        <v>5</v>
      </c>
      <c r="C15510" s="4" t="s">
        <v>11</v>
      </c>
    </row>
    <row r="15511" spans="1:8">
      <c r="A15511" t="n">
        <v>147561</v>
      </c>
      <c r="B15511" s="43" t="n">
        <v>12</v>
      </c>
      <c r="C15511" s="7" t="n">
        <v>10304</v>
      </c>
    </row>
    <row r="15512" spans="1:8">
      <c r="A15512" t="s">
        <v>4</v>
      </c>
      <c r="B15512" s="4" t="s">
        <v>5</v>
      </c>
      <c r="C15512" s="4" t="s">
        <v>7</v>
      </c>
      <c r="D15512" s="4" t="s">
        <v>8</v>
      </c>
    </row>
    <row r="15513" spans="1:8">
      <c r="A15513" t="n">
        <v>147564</v>
      </c>
      <c r="B15513" s="6" t="n">
        <v>2</v>
      </c>
      <c r="C15513" s="7" t="n">
        <v>11</v>
      </c>
      <c r="D15513" s="7" t="s">
        <v>37</v>
      </c>
    </row>
    <row r="15514" spans="1:8">
      <c r="A15514" t="s">
        <v>4</v>
      </c>
      <c r="B15514" s="4" t="s">
        <v>5</v>
      </c>
      <c r="C15514" s="4" t="s">
        <v>11</v>
      </c>
      <c r="D15514" s="4" t="s">
        <v>13</v>
      </c>
      <c r="E15514" s="4" t="s">
        <v>13</v>
      </c>
      <c r="F15514" s="4" t="s">
        <v>13</v>
      </c>
      <c r="G15514" s="4" t="s">
        <v>13</v>
      </c>
    </row>
    <row r="15515" spans="1:8">
      <c r="A15515" t="n">
        <v>147588</v>
      </c>
      <c r="B15515" s="36" t="n">
        <v>46</v>
      </c>
      <c r="C15515" s="7" t="n">
        <v>61456</v>
      </c>
      <c r="D15515" s="7" t="n">
        <v>-13.0900001525879</v>
      </c>
      <c r="E15515" s="7" t="n">
        <v>0</v>
      </c>
      <c r="F15515" s="7" t="n">
        <v>54.9500007629395</v>
      </c>
      <c r="G15515" s="7" t="n">
        <v>52.2999992370605</v>
      </c>
    </row>
    <row r="15516" spans="1:8">
      <c r="A15516" t="s">
        <v>4</v>
      </c>
      <c r="B15516" s="4" t="s">
        <v>5</v>
      </c>
      <c r="C15516" s="4" t="s">
        <v>7</v>
      </c>
      <c r="D15516" s="4" t="s">
        <v>7</v>
      </c>
      <c r="E15516" s="4" t="s">
        <v>13</v>
      </c>
      <c r="F15516" s="4" t="s">
        <v>13</v>
      </c>
      <c r="G15516" s="4" t="s">
        <v>13</v>
      </c>
      <c r="H15516" s="4" t="s">
        <v>11</v>
      </c>
      <c r="I15516" s="4" t="s">
        <v>7</v>
      </c>
    </row>
    <row r="15517" spans="1:8">
      <c r="A15517" t="n">
        <v>147607</v>
      </c>
      <c r="B15517" s="51" t="n">
        <v>45</v>
      </c>
      <c r="C15517" s="7" t="n">
        <v>4</v>
      </c>
      <c r="D15517" s="7" t="n">
        <v>3</v>
      </c>
      <c r="E15517" s="7" t="n">
        <v>7</v>
      </c>
      <c r="F15517" s="7" t="n">
        <v>66.5699996948242</v>
      </c>
      <c r="G15517" s="7" t="n">
        <v>0</v>
      </c>
      <c r="H15517" s="7" t="n">
        <v>0</v>
      </c>
      <c r="I15517" s="7" t="n">
        <v>0</v>
      </c>
    </row>
    <row r="15518" spans="1:8">
      <c r="A15518" t="s">
        <v>4</v>
      </c>
      <c r="B15518" s="4" t="s">
        <v>5</v>
      </c>
      <c r="C15518" s="4" t="s">
        <v>7</v>
      </c>
      <c r="D15518" s="4" t="s">
        <v>8</v>
      </c>
    </row>
    <row r="15519" spans="1:8">
      <c r="A15519" t="n">
        <v>147625</v>
      </c>
      <c r="B15519" s="6" t="n">
        <v>2</v>
      </c>
      <c r="C15519" s="7" t="n">
        <v>10</v>
      </c>
      <c r="D15519" s="7" t="s">
        <v>119</v>
      </c>
    </row>
    <row r="15520" spans="1:8">
      <c r="A15520" t="s">
        <v>4</v>
      </c>
      <c r="B15520" s="4" t="s">
        <v>5</v>
      </c>
      <c r="C15520" s="4" t="s">
        <v>11</v>
      </c>
    </row>
    <row r="15521" spans="1:9">
      <c r="A15521" t="n">
        <v>147640</v>
      </c>
      <c r="B15521" s="29" t="n">
        <v>16</v>
      </c>
      <c r="C15521" s="7" t="n">
        <v>0</v>
      </c>
    </row>
    <row r="15522" spans="1:9">
      <c r="A15522" t="s">
        <v>4</v>
      </c>
      <c r="B15522" s="4" t="s">
        <v>5</v>
      </c>
      <c r="C15522" s="4" t="s">
        <v>7</v>
      </c>
      <c r="D15522" s="4" t="s">
        <v>11</v>
      </c>
    </row>
    <row r="15523" spans="1:9">
      <c r="A15523" t="n">
        <v>147643</v>
      </c>
      <c r="B15523" s="23" t="n">
        <v>58</v>
      </c>
      <c r="C15523" s="7" t="n">
        <v>105</v>
      </c>
      <c r="D15523" s="7" t="n">
        <v>300</v>
      </c>
    </row>
    <row r="15524" spans="1:9">
      <c r="A15524" t="s">
        <v>4</v>
      </c>
      <c r="B15524" s="4" t="s">
        <v>5</v>
      </c>
      <c r="C15524" s="4" t="s">
        <v>13</v>
      </c>
      <c r="D15524" s="4" t="s">
        <v>11</v>
      </c>
    </row>
    <row r="15525" spans="1:9">
      <c r="A15525" t="n">
        <v>147647</v>
      </c>
      <c r="B15525" s="46" t="n">
        <v>103</v>
      </c>
      <c r="C15525" s="7" t="n">
        <v>1</v>
      </c>
      <c r="D15525" s="7" t="n">
        <v>300</v>
      </c>
    </row>
    <row r="15526" spans="1:9">
      <c r="A15526" t="s">
        <v>4</v>
      </c>
      <c r="B15526" s="4" t="s">
        <v>5</v>
      </c>
      <c r="C15526" s="4" t="s">
        <v>7</v>
      </c>
      <c r="D15526" s="4" t="s">
        <v>11</v>
      </c>
    </row>
    <row r="15527" spans="1:9">
      <c r="A15527" t="n">
        <v>147654</v>
      </c>
      <c r="B15527" s="48" t="n">
        <v>72</v>
      </c>
      <c r="C15527" s="7" t="n">
        <v>4</v>
      </c>
      <c r="D15527" s="7" t="n">
        <v>0</v>
      </c>
    </row>
    <row r="15528" spans="1:9">
      <c r="A15528" t="s">
        <v>4</v>
      </c>
      <c r="B15528" s="4" t="s">
        <v>5</v>
      </c>
      <c r="C15528" s="4" t="s">
        <v>15</v>
      </c>
    </row>
    <row r="15529" spans="1:9">
      <c r="A15529" t="n">
        <v>147658</v>
      </c>
      <c r="B15529" s="61" t="n">
        <v>15</v>
      </c>
      <c r="C15529" s="7" t="n">
        <v>1073741824</v>
      </c>
    </row>
    <row r="15530" spans="1:9">
      <c r="A15530" t="s">
        <v>4</v>
      </c>
      <c r="B15530" s="4" t="s">
        <v>5</v>
      </c>
      <c r="C15530" s="4" t="s">
        <v>7</v>
      </c>
    </row>
    <row r="15531" spans="1:9">
      <c r="A15531" t="n">
        <v>147663</v>
      </c>
      <c r="B15531" s="47" t="n">
        <v>64</v>
      </c>
      <c r="C15531" s="7" t="n">
        <v>3</v>
      </c>
    </row>
    <row r="15532" spans="1:9">
      <c r="A15532" t="s">
        <v>4</v>
      </c>
      <c r="B15532" s="4" t="s">
        <v>5</v>
      </c>
      <c r="C15532" s="4" t="s">
        <v>7</v>
      </c>
    </row>
    <row r="15533" spans="1:9">
      <c r="A15533" t="n">
        <v>147665</v>
      </c>
      <c r="B15533" s="45" t="n">
        <v>74</v>
      </c>
      <c r="C15533" s="7" t="n">
        <v>67</v>
      </c>
    </row>
    <row r="15534" spans="1:9">
      <c r="A15534" t="s">
        <v>4</v>
      </c>
      <c r="B15534" s="4" t="s">
        <v>5</v>
      </c>
      <c r="C15534" s="4" t="s">
        <v>7</v>
      </c>
      <c r="D15534" s="4" t="s">
        <v>7</v>
      </c>
      <c r="E15534" s="4" t="s">
        <v>11</v>
      </c>
    </row>
    <row r="15535" spans="1:9">
      <c r="A15535" t="n">
        <v>147667</v>
      </c>
      <c r="B15535" s="51" t="n">
        <v>45</v>
      </c>
      <c r="C15535" s="7" t="n">
        <v>8</v>
      </c>
      <c r="D15535" s="7" t="n">
        <v>1</v>
      </c>
      <c r="E15535" s="7" t="n">
        <v>0</v>
      </c>
    </row>
    <row r="15536" spans="1:9">
      <c r="A15536" t="s">
        <v>4</v>
      </c>
      <c r="B15536" s="4" t="s">
        <v>5</v>
      </c>
      <c r="C15536" s="4" t="s">
        <v>11</v>
      </c>
    </row>
    <row r="15537" spans="1:5">
      <c r="A15537" t="n">
        <v>147672</v>
      </c>
      <c r="B15537" s="12" t="n">
        <v>13</v>
      </c>
      <c r="C15537" s="7" t="n">
        <v>6409</v>
      </c>
    </row>
    <row r="15538" spans="1:5">
      <c r="A15538" t="s">
        <v>4</v>
      </c>
      <c r="B15538" s="4" t="s">
        <v>5</v>
      </c>
      <c r="C15538" s="4" t="s">
        <v>11</v>
      </c>
    </row>
    <row r="15539" spans="1:5">
      <c r="A15539" t="n">
        <v>147675</v>
      </c>
      <c r="B15539" s="12" t="n">
        <v>13</v>
      </c>
      <c r="C15539" s="7" t="n">
        <v>6408</v>
      </c>
    </row>
    <row r="15540" spans="1:5">
      <c r="A15540" t="s">
        <v>4</v>
      </c>
      <c r="B15540" s="4" t="s">
        <v>5</v>
      </c>
      <c r="C15540" s="4" t="s">
        <v>11</v>
      </c>
    </row>
    <row r="15541" spans="1:5">
      <c r="A15541" t="n">
        <v>147678</v>
      </c>
      <c r="B15541" s="43" t="n">
        <v>12</v>
      </c>
      <c r="C15541" s="7" t="n">
        <v>6464</v>
      </c>
    </row>
    <row r="15542" spans="1:5">
      <c r="A15542" t="s">
        <v>4</v>
      </c>
      <c r="B15542" s="4" t="s">
        <v>5</v>
      </c>
      <c r="C15542" s="4" t="s">
        <v>11</v>
      </c>
    </row>
    <row r="15543" spans="1:5">
      <c r="A15543" t="n">
        <v>147681</v>
      </c>
      <c r="B15543" s="12" t="n">
        <v>13</v>
      </c>
      <c r="C15543" s="7" t="n">
        <v>6465</v>
      </c>
    </row>
    <row r="15544" spans="1:5">
      <c r="A15544" t="s">
        <v>4</v>
      </c>
      <c r="B15544" s="4" t="s">
        <v>5</v>
      </c>
      <c r="C15544" s="4" t="s">
        <v>11</v>
      </c>
    </row>
    <row r="15545" spans="1:5">
      <c r="A15545" t="n">
        <v>147684</v>
      </c>
      <c r="B15545" s="12" t="n">
        <v>13</v>
      </c>
      <c r="C15545" s="7" t="n">
        <v>6466</v>
      </c>
    </row>
    <row r="15546" spans="1:5">
      <c r="A15546" t="s">
        <v>4</v>
      </c>
      <c r="B15546" s="4" t="s">
        <v>5</v>
      </c>
      <c r="C15546" s="4" t="s">
        <v>11</v>
      </c>
    </row>
    <row r="15547" spans="1:5">
      <c r="A15547" t="n">
        <v>147687</v>
      </c>
      <c r="B15547" s="12" t="n">
        <v>13</v>
      </c>
      <c r="C15547" s="7" t="n">
        <v>6467</v>
      </c>
    </row>
    <row r="15548" spans="1:5">
      <c r="A15548" t="s">
        <v>4</v>
      </c>
      <c r="B15548" s="4" t="s">
        <v>5</v>
      </c>
      <c r="C15548" s="4" t="s">
        <v>11</v>
      </c>
    </row>
    <row r="15549" spans="1:5">
      <c r="A15549" t="n">
        <v>147690</v>
      </c>
      <c r="B15549" s="12" t="n">
        <v>13</v>
      </c>
      <c r="C15549" s="7" t="n">
        <v>6468</v>
      </c>
    </row>
    <row r="15550" spans="1:5">
      <c r="A15550" t="s">
        <v>4</v>
      </c>
      <c r="B15550" s="4" t="s">
        <v>5</v>
      </c>
      <c r="C15550" s="4" t="s">
        <v>11</v>
      </c>
    </row>
    <row r="15551" spans="1:5">
      <c r="A15551" t="n">
        <v>147693</v>
      </c>
      <c r="B15551" s="12" t="n">
        <v>13</v>
      </c>
      <c r="C15551" s="7" t="n">
        <v>6469</v>
      </c>
    </row>
    <row r="15552" spans="1:5">
      <c r="A15552" t="s">
        <v>4</v>
      </c>
      <c r="B15552" s="4" t="s">
        <v>5</v>
      </c>
      <c r="C15552" s="4" t="s">
        <v>11</v>
      </c>
    </row>
    <row r="15553" spans="1:3">
      <c r="A15553" t="n">
        <v>147696</v>
      </c>
      <c r="B15553" s="12" t="n">
        <v>13</v>
      </c>
      <c r="C15553" s="7" t="n">
        <v>6470</v>
      </c>
    </row>
    <row r="15554" spans="1:3">
      <c r="A15554" t="s">
        <v>4</v>
      </c>
      <c r="B15554" s="4" t="s">
        <v>5</v>
      </c>
      <c r="C15554" s="4" t="s">
        <v>11</v>
      </c>
    </row>
    <row r="15555" spans="1:3">
      <c r="A15555" t="n">
        <v>147699</v>
      </c>
      <c r="B15555" s="12" t="n">
        <v>13</v>
      </c>
      <c r="C15555" s="7" t="n">
        <v>6471</v>
      </c>
    </row>
    <row r="15556" spans="1:3">
      <c r="A15556" t="s">
        <v>4</v>
      </c>
      <c r="B15556" s="4" t="s">
        <v>5</v>
      </c>
      <c r="C15556" s="4" t="s">
        <v>7</v>
      </c>
    </row>
    <row r="15557" spans="1:3">
      <c r="A15557" t="n">
        <v>147702</v>
      </c>
      <c r="B15557" s="45" t="n">
        <v>74</v>
      </c>
      <c r="C15557" s="7" t="n">
        <v>18</v>
      </c>
    </row>
    <row r="15558" spans="1:3">
      <c r="A15558" t="s">
        <v>4</v>
      </c>
      <c r="B15558" s="4" t="s">
        <v>5</v>
      </c>
      <c r="C15558" s="4" t="s">
        <v>7</v>
      </c>
    </row>
    <row r="15559" spans="1:3">
      <c r="A15559" t="n">
        <v>147704</v>
      </c>
      <c r="B15559" s="45" t="n">
        <v>74</v>
      </c>
      <c r="C15559" s="7" t="n">
        <v>45</v>
      </c>
    </row>
    <row r="15560" spans="1:3">
      <c r="A15560" t="s">
        <v>4</v>
      </c>
      <c r="B15560" s="4" t="s">
        <v>5</v>
      </c>
      <c r="C15560" s="4" t="s">
        <v>11</v>
      </c>
    </row>
    <row r="15561" spans="1:3">
      <c r="A15561" t="n">
        <v>147706</v>
      </c>
      <c r="B15561" s="29" t="n">
        <v>16</v>
      </c>
      <c r="C15561" s="7" t="n">
        <v>0</v>
      </c>
    </row>
    <row r="15562" spans="1:3">
      <c r="A15562" t="s">
        <v>4</v>
      </c>
      <c r="B15562" s="4" t="s">
        <v>5</v>
      </c>
      <c r="C15562" s="4" t="s">
        <v>7</v>
      </c>
      <c r="D15562" s="4" t="s">
        <v>7</v>
      </c>
      <c r="E15562" s="4" t="s">
        <v>7</v>
      </c>
      <c r="F15562" s="4" t="s">
        <v>7</v>
      </c>
    </row>
    <row r="15563" spans="1:3">
      <c r="A15563" t="n">
        <v>147709</v>
      </c>
      <c r="B15563" s="9" t="n">
        <v>14</v>
      </c>
      <c r="C15563" s="7" t="n">
        <v>0</v>
      </c>
      <c r="D15563" s="7" t="n">
        <v>8</v>
      </c>
      <c r="E15563" s="7" t="n">
        <v>0</v>
      </c>
      <c r="F15563" s="7" t="n">
        <v>0</v>
      </c>
    </row>
    <row r="15564" spans="1:3">
      <c r="A15564" t="s">
        <v>4</v>
      </c>
      <c r="B15564" s="4" t="s">
        <v>5</v>
      </c>
      <c r="C15564" s="4" t="s">
        <v>7</v>
      </c>
      <c r="D15564" s="4" t="s">
        <v>8</v>
      </c>
    </row>
    <row r="15565" spans="1:3">
      <c r="A15565" t="n">
        <v>147714</v>
      </c>
      <c r="B15565" s="6" t="n">
        <v>2</v>
      </c>
      <c r="C15565" s="7" t="n">
        <v>11</v>
      </c>
      <c r="D15565" s="7" t="s">
        <v>14</v>
      </c>
    </row>
    <row r="15566" spans="1:3">
      <c r="A15566" t="s">
        <v>4</v>
      </c>
      <c r="B15566" s="4" t="s">
        <v>5</v>
      </c>
      <c r="C15566" s="4" t="s">
        <v>11</v>
      </c>
    </row>
    <row r="15567" spans="1:3">
      <c r="A15567" t="n">
        <v>147728</v>
      </c>
      <c r="B15567" s="29" t="n">
        <v>16</v>
      </c>
      <c r="C15567" s="7" t="n">
        <v>0</v>
      </c>
    </row>
    <row r="15568" spans="1:3">
      <c r="A15568" t="s">
        <v>4</v>
      </c>
      <c r="B15568" s="4" t="s">
        <v>5</v>
      </c>
      <c r="C15568" s="4" t="s">
        <v>7</v>
      </c>
      <c r="D15568" s="4" t="s">
        <v>8</v>
      </c>
    </row>
    <row r="15569" spans="1:6">
      <c r="A15569" t="n">
        <v>147731</v>
      </c>
      <c r="B15569" s="6" t="n">
        <v>2</v>
      </c>
      <c r="C15569" s="7" t="n">
        <v>11</v>
      </c>
      <c r="D15569" s="7" t="s">
        <v>120</v>
      </c>
    </row>
    <row r="15570" spans="1:6">
      <c r="A15570" t="s">
        <v>4</v>
      </c>
      <c r="B15570" s="4" t="s">
        <v>5</v>
      </c>
      <c r="C15570" s="4" t="s">
        <v>11</v>
      </c>
    </row>
    <row r="15571" spans="1:6">
      <c r="A15571" t="n">
        <v>147740</v>
      </c>
      <c r="B15571" s="29" t="n">
        <v>16</v>
      </c>
      <c r="C15571" s="7" t="n">
        <v>0</v>
      </c>
    </row>
    <row r="15572" spans="1:6">
      <c r="A15572" t="s">
        <v>4</v>
      </c>
      <c r="B15572" s="4" t="s">
        <v>5</v>
      </c>
      <c r="C15572" s="4" t="s">
        <v>15</v>
      </c>
    </row>
    <row r="15573" spans="1:6">
      <c r="A15573" t="n">
        <v>147743</v>
      </c>
      <c r="B15573" s="61" t="n">
        <v>15</v>
      </c>
      <c r="C15573" s="7" t="n">
        <v>2048</v>
      </c>
    </row>
    <row r="15574" spans="1:6">
      <c r="A15574" t="s">
        <v>4</v>
      </c>
      <c r="B15574" s="4" t="s">
        <v>5</v>
      </c>
      <c r="C15574" s="4" t="s">
        <v>7</v>
      </c>
      <c r="D15574" s="4" t="s">
        <v>8</v>
      </c>
    </row>
    <row r="15575" spans="1:6">
      <c r="A15575" t="n">
        <v>147748</v>
      </c>
      <c r="B15575" s="6" t="n">
        <v>2</v>
      </c>
      <c r="C15575" s="7" t="n">
        <v>10</v>
      </c>
      <c r="D15575" s="7" t="s">
        <v>52</v>
      </c>
    </row>
    <row r="15576" spans="1:6">
      <c r="A15576" t="s">
        <v>4</v>
      </c>
      <c r="B15576" s="4" t="s">
        <v>5</v>
      </c>
      <c r="C15576" s="4" t="s">
        <v>11</v>
      </c>
    </row>
    <row r="15577" spans="1:6">
      <c r="A15577" t="n">
        <v>147766</v>
      </c>
      <c r="B15577" s="29" t="n">
        <v>16</v>
      </c>
      <c r="C15577" s="7" t="n">
        <v>0</v>
      </c>
    </row>
    <row r="15578" spans="1:6">
      <c r="A15578" t="s">
        <v>4</v>
      </c>
      <c r="B15578" s="4" t="s">
        <v>5</v>
      </c>
      <c r="C15578" s="4" t="s">
        <v>7</v>
      </c>
      <c r="D15578" s="4" t="s">
        <v>8</v>
      </c>
    </row>
    <row r="15579" spans="1:6">
      <c r="A15579" t="n">
        <v>147769</v>
      </c>
      <c r="B15579" s="6" t="n">
        <v>2</v>
      </c>
      <c r="C15579" s="7" t="n">
        <v>10</v>
      </c>
      <c r="D15579" s="7" t="s">
        <v>53</v>
      </c>
    </row>
    <row r="15580" spans="1:6">
      <c r="A15580" t="s">
        <v>4</v>
      </c>
      <c r="B15580" s="4" t="s">
        <v>5</v>
      </c>
      <c r="C15580" s="4" t="s">
        <v>11</v>
      </c>
    </row>
    <row r="15581" spans="1:6">
      <c r="A15581" t="n">
        <v>147788</v>
      </c>
      <c r="B15581" s="29" t="n">
        <v>16</v>
      </c>
      <c r="C15581" s="7" t="n">
        <v>0</v>
      </c>
    </row>
    <row r="15582" spans="1:6">
      <c r="A15582" t="s">
        <v>4</v>
      </c>
      <c r="B15582" s="4" t="s">
        <v>5</v>
      </c>
      <c r="C15582" s="4" t="s">
        <v>7</v>
      </c>
      <c r="D15582" s="4" t="s">
        <v>11</v>
      </c>
      <c r="E15582" s="4" t="s">
        <v>13</v>
      </c>
    </row>
    <row r="15583" spans="1:6">
      <c r="A15583" t="n">
        <v>147791</v>
      </c>
      <c r="B15583" s="23" t="n">
        <v>58</v>
      </c>
      <c r="C15583" s="7" t="n">
        <v>100</v>
      </c>
      <c r="D15583" s="7" t="n">
        <v>300</v>
      </c>
      <c r="E15583" s="7" t="n">
        <v>1</v>
      </c>
    </row>
    <row r="15584" spans="1:6">
      <c r="A15584" t="s">
        <v>4</v>
      </c>
      <c r="B15584" s="4" t="s">
        <v>5</v>
      </c>
      <c r="C15584" s="4" t="s">
        <v>7</v>
      </c>
      <c r="D15584" s="4" t="s">
        <v>11</v>
      </c>
    </row>
    <row r="15585" spans="1:5">
      <c r="A15585" t="n">
        <v>147799</v>
      </c>
      <c r="B15585" s="23" t="n">
        <v>58</v>
      </c>
      <c r="C15585" s="7" t="n">
        <v>255</v>
      </c>
      <c r="D15585" s="7" t="n">
        <v>0</v>
      </c>
    </row>
    <row r="15586" spans="1:5">
      <c r="A15586" t="s">
        <v>4</v>
      </c>
      <c r="B15586" s="4" t="s">
        <v>5</v>
      </c>
      <c r="C15586" s="4" t="s">
        <v>7</v>
      </c>
    </row>
    <row r="15587" spans="1:5">
      <c r="A15587" t="n">
        <v>147803</v>
      </c>
      <c r="B15587" s="30" t="n">
        <v>23</v>
      </c>
      <c r="C15587" s="7" t="n">
        <v>0</v>
      </c>
    </row>
    <row r="15588" spans="1:5">
      <c r="A15588" t="s">
        <v>4</v>
      </c>
      <c r="B15588" s="4" t="s">
        <v>5</v>
      </c>
    </row>
    <row r="15589" spans="1:5">
      <c r="A15589" t="n">
        <v>147805</v>
      </c>
      <c r="B15589" s="5" t="n">
        <v>1</v>
      </c>
    </row>
    <row r="15590" spans="1:5" s="3" customFormat="1" customHeight="0">
      <c r="A15590" s="3" t="s">
        <v>2</v>
      </c>
      <c r="B15590" s="3" t="s">
        <v>1225</v>
      </c>
    </row>
    <row r="15591" spans="1:5">
      <c r="A15591" t="s">
        <v>4</v>
      </c>
      <c r="B15591" s="4" t="s">
        <v>5</v>
      </c>
      <c r="C15591" s="4" t="s">
        <v>7</v>
      </c>
      <c r="D15591" s="4" t="s">
        <v>7</v>
      </c>
      <c r="E15591" s="4" t="s">
        <v>7</v>
      </c>
      <c r="F15591" s="4" t="s">
        <v>7</v>
      </c>
    </row>
    <row r="15592" spans="1:5">
      <c r="A15592" t="n">
        <v>147808</v>
      </c>
      <c r="B15592" s="9" t="n">
        <v>14</v>
      </c>
      <c r="C15592" s="7" t="n">
        <v>2</v>
      </c>
      <c r="D15592" s="7" t="n">
        <v>0</v>
      </c>
      <c r="E15592" s="7" t="n">
        <v>0</v>
      </c>
      <c r="F15592" s="7" t="n">
        <v>0</v>
      </c>
    </row>
    <row r="15593" spans="1:5">
      <c r="A15593" t="s">
        <v>4</v>
      </c>
      <c r="B15593" s="4" t="s">
        <v>5</v>
      </c>
      <c r="C15593" s="4" t="s">
        <v>7</v>
      </c>
      <c r="D15593" s="20" t="s">
        <v>35</v>
      </c>
      <c r="E15593" s="4" t="s">
        <v>5</v>
      </c>
      <c r="F15593" s="4" t="s">
        <v>7</v>
      </c>
      <c r="G15593" s="4" t="s">
        <v>11</v>
      </c>
      <c r="H15593" s="20" t="s">
        <v>36</v>
      </c>
      <c r="I15593" s="4" t="s">
        <v>7</v>
      </c>
      <c r="J15593" s="4" t="s">
        <v>15</v>
      </c>
      <c r="K15593" s="4" t="s">
        <v>7</v>
      </c>
      <c r="L15593" s="4" t="s">
        <v>7</v>
      </c>
      <c r="M15593" s="20" t="s">
        <v>35</v>
      </c>
      <c r="N15593" s="4" t="s">
        <v>5</v>
      </c>
      <c r="O15593" s="4" t="s">
        <v>7</v>
      </c>
      <c r="P15593" s="4" t="s">
        <v>11</v>
      </c>
      <c r="Q15593" s="20" t="s">
        <v>36</v>
      </c>
      <c r="R15593" s="4" t="s">
        <v>7</v>
      </c>
      <c r="S15593" s="4" t="s">
        <v>15</v>
      </c>
      <c r="T15593" s="4" t="s">
        <v>7</v>
      </c>
      <c r="U15593" s="4" t="s">
        <v>7</v>
      </c>
      <c r="V15593" s="4" t="s">
        <v>7</v>
      </c>
      <c r="W15593" s="4" t="s">
        <v>12</v>
      </c>
    </row>
    <row r="15594" spans="1:5">
      <c r="A15594" t="n">
        <v>147813</v>
      </c>
      <c r="B15594" s="10" t="n">
        <v>5</v>
      </c>
      <c r="C15594" s="7" t="n">
        <v>28</v>
      </c>
      <c r="D15594" s="20" t="s">
        <v>3</v>
      </c>
      <c r="E15594" s="8" t="n">
        <v>162</v>
      </c>
      <c r="F15594" s="7" t="n">
        <v>3</v>
      </c>
      <c r="G15594" s="7" t="n">
        <v>33151</v>
      </c>
      <c r="H15594" s="20" t="s">
        <v>3</v>
      </c>
      <c r="I15594" s="7" t="n">
        <v>0</v>
      </c>
      <c r="J15594" s="7" t="n">
        <v>1</v>
      </c>
      <c r="K15594" s="7" t="n">
        <v>2</v>
      </c>
      <c r="L15594" s="7" t="n">
        <v>28</v>
      </c>
      <c r="M15594" s="20" t="s">
        <v>3</v>
      </c>
      <c r="N15594" s="8" t="n">
        <v>162</v>
      </c>
      <c r="O15594" s="7" t="n">
        <v>3</v>
      </c>
      <c r="P15594" s="7" t="n">
        <v>33151</v>
      </c>
      <c r="Q15594" s="20" t="s">
        <v>3</v>
      </c>
      <c r="R15594" s="7" t="n">
        <v>0</v>
      </c>
      <c r="S15594" s="7" t="n">
        <v>2</v>
      </c>
      <c r="T15594" s="7" t="n">
        <v>2</v>
      </c>
      <c r="U15594" s="7" t="n">
        <v>11</v>
      </c>
      <c r="V15594" s="7" t="n">
        <v>1</v>
      </c>
      <c r="W15594" s="11" t="n">
        <f t="normal" ca="1">A15598</f>
        <v>0</v>
      </c>
    </row>
    <row r="15595" spans="1:5">
      <c r="A15595" t="s">
        <v>4</v>
      </c>
      <c r="B15595" s="4" t="s">
        <v>5</v>
      </c>
      <c r="C15595" s="4" t="s">
        <v>7</v>
      </c>
      <c r="D15595" s="4" t="s">
        <v>11</v>
      </c>
      <c r="E15595" s="4" t="s">
        <v>13</v>
      </c>
    </row>
    <row r="15596" spans="1:5">
      <c r="A15596" t="n">
        <v>147842</v>
      </c>
      <c r="B15596" s="23" t="n">
        <v>58</v>
      </c>
      <c r="C15596" s="7" t="n">
        <v>0</v>
      </c>
      <c r="D15596" s="7" t="n">
        <v>0</v>
      </c>
      <c r="E15596" s="7" t="n">
        <v>1</v>
      </c>
    </row>
    <row r="15597" spans="1:5">
      <c r="A15597" t="s">
        <v>4</v>
      </c>
      <c r="B15597" s="4" t="s">
        <v>5</v>
      </c>
      <c r="C15597" s="4" t="s">
        <v>7</v>
      </c>
      <c r="D15597" s="20" t="s">
        <v>35</v>
      </c>
      <c r="E15597" s="4" t="s">
        <v>5</v>
      </c>
      <c r="F15597" s="4" t="s">
        <v>7</v>
      </c>
      <c r="G15597" s="4" t="s">
        <v>11</v>
      </c>
      <c r="H15597" s="20" t="s">
        <v>36</v>
      </c>
      <c r="I15597" s="4" t="s">
        <v>7</v>
      </c>
      <c r="J15597" s="4" t="s">
        <v>15</v>
      </c>
      <c r="K15597" s="4" t="s">
        <v>7</v>
      </c>
      <c r="L15597" s="4" t="s">
        <v>7</v>
      </c>
      <c r="M15597" s="20" t="s">
        <v>35</v>
      </c>
      <c r="N15597" s="4" t="s">
        <v>5</v>
      </c>
      <c r="O15597" s="4" t="s">
        <v>7</v>
      </c>
      <c r="P15597" s="4" t="s">
        <v>11</v>
      </c>
      <c r="Q15597" s="20" t="s">
        <v>36</v>
      </c>
      <c r="R15597" s="4" t="s">
        <v>7</v>
      </c>
      <c r="S15597" s="4" t="s">
        <v>15</v>
      </c>
      <c r="T15597" s="4" t="s">
        <v>7</v>
      </c>
      <c r="U15597" s="4" t="s">
        <v>7</v>
      </c>
      <c r="V15597" s="4" t="s">
        <v>7</v>
      </c>
      <c r="W15597" s="4" t="s">
        <v>12</v>
      </c>
    </row>
    <row r="15598" spans="1:5">
      <c r="A15598" t="n">
        <v>147850</v>
      </c>
      <c r="B15598" s="10" t="n">
        <v>5</v>
      </c>
      <c r="C15598" s="7" t="n">
        <v>28</v>
      </c>
      <c r="D15598" s="20" t="s">
        <v>3</v>
      </c>
      <c r="E15598" s="8" t="n">
        <v>162</v>
      </c>
      <c r="F15598" s="7" t="n">
        <v>3</v>
      </c>
      <c r="G15598" s="7" t="n">
        <v>33151</v>
      </c>
      <c r="H15598" s="20" t="s">
        <v>3</v>
      </c>
      <c r="I15598" s="7" t="n">
        <v>0</v>
      </c>
      <c r="J15598" s="7" t="n">
        <v>1</v>
      </c>
      <c r="K15598" s="7" t="n">
        <v>3</v>
      </c>
      <c r="L15598" s="7" t="n">
        <v>28</v>
      </c>
      <c r="M15598" s="20" t="s">
        <v>3</v>
      </c>
      <c r="N15598" s="8" t="n">
        <v>162</v>
      </c>
      <c r="O15598" s="7" t="n">
        <v>3</v>
      </c>
      <c r="P15598" s="7" t="n">
        <v>33151</v>
      </c>
      <c r="Q15598" s="20" t="s">
        <v>3</v>
      </c>
      <c r="R15598" s="7" t="n">
        <v>0</v>
      </c>
      <c r="S15598" s="7" t="n">
        <v>2</v>
      </c>
      <c r="T15598" s="7" t="n">
        <v>3</v>
      </c>
      <c r="U15598" s="7" t="n">
        <v>9</v>
      </c>
      <c r="V15598" s="7" t="n">
        <v>1</v>
      </c>
      <c r="W15598" s="11" t="n">
        <f t="normal" ca="1">A15608</f>
        <v>0</v>
      </c>
    </row>
    <row r="15599" spans="1:5">
      <c r="A15599" t="s">
        <v>4</v>
      </c>
      <c r="B15599" s="4" t="s">
        <v>5</v>
      </c>
      <c r="C15599" s="4" t="s">
        <v>7</v>
      </c>
      <c r="D15599" s="20" t="s">
        <v>35</v>
      </c>
      <c r="E15599" s="4" t="s">
        <v>5</v>
      </c>
      <c r="F15599" s="4" t="s">
        <v>11</v>
      </c>
      <c r="G15599" s="4" t="s">
        <v>7</v>
      </c>
      <c r="H15599" s="4" t="s">
        <v>7</v>
      </c>
      <c r="I15599" s="4" t="s">
        <v>8</v>
      </c>
      <c r="J15599" s="20" t="s">
        <v>36</v>
      </c>
      <c r="K15599" s="4" t="s">
        <v>7</v>
      </c>
      <c r="L15599" s="4" t="s">
        <v>7</v>
      </c>
      <c r="M15599" s="20" t="s">
        <v>35</v>
      </c>
      <c r="N15599" s="4" t="s">
        <v>5</v>
      </c>
      <c r="O15599" s="4" t="s">
        <v>7</v>
      </c>
      <c r="P15599" s="20" t="s">
        <v>36</v>
      </c>
      <c r="Q15599" s="4" t="s">
        <v>7</v>
      </c>
      <c r="R15599" s="4" t="s">
        <v>15</v>
      </c>
      <c r="S15599" s="4" t="s">
        <v>7</v>
      </c>
      <c r="T15599" s="4" t="s">
        <v>7</v>
      </c>
      <c r="U15599" s="4" t="s">
        <v>7</v>
      </c>
      <c r="V15599" s="20" t="s">
        <v>35</v>
      </c>
      <c r="W15599" s="4" t="s">
        <v>5</v>
      </c>
      <c r="X15599" s="4" t="s">
        <v>7</v>
      </c>
      <c r="Y15599" s="20" t="s">
        <v>36</v>
      </c>
      <c r="Z15599" s="4" t="s">
        <v>7</v>
      </c>
      <c r="AA15599" s="4" t="s">
        <v>15</v>
      </c>
      <c r="AB15599" s="4" t="s">
        <v>7</v>
      </c>
      <c r="AC15599" s="4" t="s">
        <v>7</v>
      </c>
      <c r="AD15599" s="4" t="s">
        <v>7</v>
      </c>
      <c r="AE15599" s="4" t="s">
        <v>12</v>
      </c>
    </row>
    <row r="15600" spans="1:5">
      <c r="A15600" t="n">
        <v>147879</v>
      </c>
      <c r="B15600" s="10" t="n">
        <v>5</v>
      </c>
      <c r="C15600" s="7" t="n">
        <v>28</v>
      </c>
      <c r="D15600" s="20" t="s">
        <v>3</v>
      </c>
      <c r="E15600" s="41" t="n">
        <v>47</v>
      </c>
      <c r="F15600" s="7" t="n">
        <v>61456</v>
      </c>
      <c r="G15600" s="7" t="n">
        <v>2</v>
      </c>
      <c r="H15600" s="7" t="n">
        <v>0</v>
      </c>
      <c r="I15600" s="7" t="s">
        <v>105</v>
      </c>
      <c r="J15600" s="20" t="s">
        <v>3</v>
      </c>
      <c r="K15600" s="7" t="n">
        <v>8</v>
      </c>
      <c r="L15600" s="7" t="n">
        <v>28</v>
      </c>
      <c r="M15600" s="20" t="s">
        <v>3</v>
      </c>
      <c r="N15600" s="45" t="n">
        <v>74</v>
      </c>
      <c r="O15600" s="7" t="n">
        <v>65</v>
      </c>
      <c r="P15600" s="20" t="s">
        <v>3</v>
      </c>
      <c r="Q15600" s="7" t="n">
        <v>0</v>
      </c>
      <c r="R15600" s="7" t="n">
        <v>1</v>
      </c>
      <c r="S15600" s="7" t="n">
        <v>3</v>
      </c>
      <c r="T15600" s="7" t="n">
        <v>9</v>
      </c>
      <c r="U15600" s="7" t="n">
        <v>28</v>
      </c>
      <c r="V15600" s="20" t="s">
        <v>3</v>
      </c>
      <c r="W15600" s="45" t="n">
        <v>74</v>
      </c>
      <c r="X15600" s="7" t="n">
        <v>65</v>
      </c>
      <c r="Y15600" s="20" t="s">
        <v>3</v>
      </c>
      <c r="Z15600" s="7" t="n">
        <v>0</v>
      </c>
      <c r="AA15600" s="7" t="n">
        <v>2</v>
      </c>
      <c r="AB15600" s="7" t="n">
        <v>3</v>
      </c>
      <c r="AC15600" s="7" t="n">
        <v>9</v>
      </c>
      <c r="AD15600" s="7" t="n">
        <v>1</v>
      </c>
      <c r="AE15600" s="11" t="n">
        <f t="normal" ca="1">A15604</f>
        <v>0</v>
      </c>
    </row>
    <row r="15601" spans="1:31">
      <c r="A15601" t="s">
        <v>4</v>
      </c>
      <c r="B15601" s="4" t="s">
        <v>5</v>
      </c>
      <c r="C15601" s="4" t="s">
        <v>11</v>
      </c>
      <c r="D15601" s="4" t="s">
        <v>7</v>
      </c>
      <c r="E15601" s="4" t="s">
        <v>7</v>
      </c>
      <c r="F15601" s="4" t="s">
        <v>8</v>
      </c>
    </row>
    <row r="15602" spans="1:31">
      <c r="A15602" t="n">
        <v>147927</v>
      </c>
      <c r="B15602" s="41" t="n">
        <v>47</v>
      </c>
      <c r="C15602" s="7" t="n">
        <v>61456</v>
      </c>
      <c r="D15602" s="7" t="n">
        <v>0</v>
      </c>
      <c r="E15602" s="7" t="n">
        <v>0</v>
      </c>
      <c r="F15602" s="7" t="s">
        <v>106</v>
      </c>
    </row>
    <row r="15603" spans="1:31">
      <c r="A15603" t="s">
        <v>4</v>
      </c>
      <c r="B15603" s="4" t="s">
        <v>5</v>
      </c>
      <c r="C15603" s="4" t="s">
        <v>7</v>
      </c>
      <c r="D15603" s="4" t="s">
        <v>11</v>
      </c>
      <c r="E15603" s="4" t="s">
        <v>13</v>
      </c>
    </row>
    <row r="15604" spans="1:31">
      <c r="A15604" t="n">
        <v>147940</v>
      </c>
      <c r="B15604" s="23" t="n">
        <v>58</v>
      </c>
      <c r="C15604" s="7" t="n">
        <v>0</v>
      </c>
      <c r="D15604" s="7" t="n">
        <v>300</v>
      </c>
      <c r="E15604" s="7" t="n">
        <v>1</v>
      </c>
    </row>
    <row r="15605" spans="1:31">
      <c r="A15605" t="s">
        <v>4</v>
      </c>
      <c r="B15605" s="4" t="s">
        <v>5</v>
      </c>
      <c r="C15605" s="4" t="s">
        <v>7</v>
      </c>
      <c r="D15605" s="4" t="s">
        <v>11</v>
      </c>
    </row>
    <row r="15606" spans="1:31">
      <c r="A15606" t="n">
        <v>147948</v>
      </c>
      <c r="B15606" s="23" t="n">
        <v>58</v>
      </c>
      <c r="C15606" s="7" t="n">
        <v>255</v>
      </c>
      <c r="D15606" s="7" t="n">
        <v>0</v>
      </c>
    </row>
    <row r="15607" spans="1:31">
      <c r="A15607" t="s">
        <v>4</v>
      </c>
      <c r="B15607" s="4" t="s">
        <v>5</v>
      </c>
      <c r="C15607" s="4" t="s">
        <v>7</v>
      </c>
      <c r="D15607" s="4" t="s">
        <v>7</v>
      </c>
      <c r="E15607" s="4" t="s">
        <v>7</v>
      </c>
      <c r="F15607" s="4" t="s">
        <v>7</v>
      </c>
    </row>
    <row r="15608" spans="1:31">
      <c r="A15608" t="n">
        <v>147952</v>
      </c>
      <c r="B15608" s="9" t="n">
        <v>14</v>
      </c>
      <c r="C15608" s="7" t="n">
        <v>0</v>
      </c>
      <c r="D15608" s="7" t="n">
        <v>0</v>
      </c>
      <c r="E15608" s="7" t="n">
        <v>0</v>
      </c>
      <c r="F15608" s="7" t="n">
        <v>64</v>
      </c>
    </row>
    <row r="15609" spans="1:31">
      <c r="A15609" t="s">
        <v>4</v>
      </c>
      <c r="B15609" s="4" t="s">
        <v>5</v>
      </c>
      <c r="C15609" s="4" t="s">
        <v>7</v>
      </c>
      <c r="D15609" s="4" t="s">
        <v>11</v>
      </c>
    </row>
    <row r="15610" spans="1:31">
      <c r="A15610" t="n">
        <v>147957</v>
      </c>
      <c r="B15610" s="22" t="n">
        <v>22</v>
      </c>
      <c r="C15610" s="7" t="n">
        <v>0</v>
      </c>
      <c r="D15610" s="7" t="n">
        <v>33151</v>
      </c>
    </row>
    <row r="15611" spans="1:31">
      <c r="A15611" t="s">
        <v>4</v>
      </c>
      <c r="B15611" s="4" t="s">
        <v>5</v>
      </c>
      <c r="C15611" s="4" t="s">
        <v>7</v>
      </c>
      <c r="D15611" s="4" t="s">
        <v>11</v>
      </c>
    </row>
    <row r="15612" spans="1:31">
      <c r="A15612" t="n">
        <v>147961</v>
      </c>
      <c r="B15612" s="23" t="n">
        <v>58</v>
      </c>
      <c r="C15612" s="7" t="n">
        <v>5</v>
      </c>
      <c r="D15612" s="7" t="n">
        <v>300</v>
      </c>
    </row>
    <row r="15613" spans="1:31">
      <c r="A15613" t="s">
        <v>4</v>
      </c>
      <c r="B15613" s="4" t="s">
        <v>5</v>
      </c>
      <c r="C15613" s="4" t="s">
        <v>13</v>
      </c>
      <c r="D15613" s="4" t="s">
        <v>11</v>
      </c>
    </row>
    <row r="15614" spans="1:31">
      <c r="A15614" t="n">
        <v>147965</v>
      </c>
      <c r="B15614" s="46" t="n">
        <v>103</v>
      </c>
      <c r="C15614" s="7" t="n">
        <v>0</v>
      </c>
      <c r="D15614" s="7" t="n">
        <v>300</v>
      </c>
    </row>
    <row r="15615" spans="1:31">
      <c r="A15615" t="s">
        <v>4</v>
      </c>
      <c r="B15615" s="4" t="s">
        <v>5</v>
      </c>
      <c r="C15615" s="4" t="s">
        <v>7</v>
      </c>
    </row>
    <row r="15616" spans="1:31">
      <c r="A15616" t="n">
        <v>147972</v>
      </c>
      <c r="B15616" s="47" t="n">
        <v>64</v>
      </c>
      <c r="C15616" s="7" t="n">
        <v>7</v>
      </c>
    </row>
    <row r="15617" spans="1:6">
      <c r="A15617" t="s">
        <v>4</v>
      </c>
      <c r="B15617" s="4" t="s">
        <v>5</v>
      </c>
      <c r="C15617" s="4" t="s">
        <v>7</v>
      </c>
      <c r="D15617" s="4" t="s">
        <v>11</v>
      </c>
    </row>
    <row r="15618" spans="1:6">
      <c r="A15618" t="n">
        <v>147974</v>
      </c>
      <c r="B15618" s="48" t="n">
        <v>72</v>
      </c>
      <c r="C15618" s="7" t="n">
        <v>5</v>
      </c>
      <c r="D15618" s="7" t="n">
        <v>0</v>
      </c>
    </row>
    <row r="15619" spans="1:6">
      <c r="A15619" t="s">
        <v>4</v>
      </c>
      <c r="B15619" s="4" t="s">
        <v>5</v>
      </c>
      <c r="C15619" s="4" t="s">
        <v>7</v>
      </c>
      <c r="D15619" s="20" t="s">
        <v>35</v>
      </c>
      <c r="E15619" s="4" t="s">
        <v>5</v>
      </c>
      <c r="F15619" s="4" t="s">
        <v>7</v>
      </c>
      <c r="G15619" s="4" t="s">
        <v>11</v>
      </c>
      <c r="H15619" s="20" t="s">
        <v>36</v>
      </c>
      <c r="I15619" s="4" t="s">
        <v>7</v>
      </c>
      <c r="J15619" s="4" t="s">
        <v>15</v>
      </c>
      <c r="K15619" s="4" t="s">
        <v>7</v>
      </c>
      <c r="L15619" s="4" t="s">
        <v>7</v>
      </c>
      <c r="M15619" s="4" t="s">
        <v>12</v>
      </c>
    </row>
    <row r="15620" spans="1:6">
      <c r="A15620" t="n">
        <v>147978</v>
      </c>
      <c r="B15620" s="10" t="n">
        <v>5</v>
      </c>
      <c r="C15620" s="7" t="n">
        <v>28</v>
      </c>
      <c r="D15620" s="20" t="s">
        <v>3</v>
      </c>
      <c r="E15620" s="8" t="n">
        <v>162</v>
      </c>
      <c r="F15620" s="7" t="n">
        <v>4</v>
      </c>
      <c r="G15620" s="7" t="n">
        <v>33151</v>
      </c>
      <c r="H15620" s="20" t="s">
        <v>3</v>
      </c>
      <c r="I15620" s="7" t="n">
        <v>0</v>
      </c>
      <c r="J15620" s="7" t="n">
        <v>1</v>
      </c>
      <c r="K15620" s="7" t="n">
        <v>2</v>
      </c>
      <c r="L15620" s="7" t="n">
        <v>1</v>
      </c>
      <c r="M15620" s="11" t="n">
        <f t="normal" ca="1">A15626</f>
        <v>0</v>
      </c>
    </row>
    <row r="15621" spans="1:6">
      <c r="A15621" t="s">
        <v>4</v>
      </c>
      <c r="B15621" s="4" t="s">
        <v>5</v>
      </c>
      <c r="C15621" s="4" t="s">
        <v>7</v>
      </c>
      <c r="D15621" s="4" t="s">
        <v>8</v>
      </c>
    </row>
    <row r="15622" spans="1:6">
      <c r="A15622" t="n">
        <v>147995</v>
      </c>
      <c r="B15622" s="6" t="n">
        <v>2</v>
      </c>
      <c r="C15622" s="7" t="n">
        <v>10</v>
      </c>
      <c r="D15622" s="7" t="s">
        <v>107</v>
      </c>
    </row>
    <row r="15623" spans="1:6">
      <c r="A15623" t="s">
        <v>4</v>
      </c>
      <c r="B15623" s="4" t="s">
        <v>5</v>
      </c>
      <c r="C15623" s="4" t="s">
        <v>11</v>
      </c>
    </row>
    <row r="15624" spans="1:6">
      <c r="A15624" t="n">
        <v>148012</v>
      </c>
      <c r="B15624" s="29" t="n">
        <v>16</v>
      </c>
      <c r="C15624" s="7" t="n">
        <v>0</v>
      </c>
    </row>
    <row r="15625" spans="1:6">
      <c r="A15625" t="s">
        <v>4</v>
      </c>
      <c r="B15625" s="4" t="s">
        <v>5</v>
      </c>
      <c r="C15625" s="4" t="s">
        <v>11</v>
      </c>
      <c r="D15625" s="4" t="s">
        <v>7</v>
      </c>
      <c r="E15625" s="4" t="s">
        <v>7</v>
      </c>
      <c r="F15625" s="4" t="s">
        <v>8</v>
      </c>
    </row>
    <row r="15626" spans="1:6">
      <c r="A15626" t="n">
        <v>148015</v>
      </c>
      <c r="B15626" s="50" t="n">
        <v>20</v>
      </c>
      <c r="C15626" s="7" t="n">
        <v>0</v>
      </c>
      <c r="D15626" s="7" t="n">
        <v>3</v>
      </c>
      <c r="E15626" s="7" t="n">
        <v>10</v>
      </c>
      <c r="F15626" s="7" t="s">
        <v>108</v>
      </c>
    </row>
    <row r="15627" spans="1:6">
      <c r="A15627" t="s">
        <v>4</v>
      </c>
      <c r="B15627" s="4" t="s">
        <v>5</v>
      </c>
      <c r="C15627" s="4" t="s">
        <v>11</v>
      </c>
    </row>
    <row r="15628" spans="1:6">
      <c r="A15628" t="n">
        <v>148033</v>
      </c>
      <c r="B15628" s="29" t="n">
        <v>16</v>
      </c>
      <c r="C15628" s="7" t="n">
        <v>0</v>
      </c>
    </row>
    <row r="15629" spans="1:6">
      <c r="A15629" t="s">
        <v>4</v>
      </c>
      <c r="B15629" s="4" t="s">
        <v>5</v>
      </c>
      <c r="C15629" s="4" t="s">
        <v>11</v>
      </c>
      <c r="D15629" s="4" t="s">
        <v>7</v>
      </c>
      <c r="E15629" s="4" t="s">
        <v>7</v>
      </c>
      <c r="F15629" s="4" t="s">
        <v>8</v>
      </c>
    </row>
    <row r="15630" spans="1:6">
      <c r="A15630" t="n">
        <v>148036</v>
      </c>
      <c r="B15630" s="50" t="n">
        <v>20</v>
      </c>
      <c r="C15630" s="7" t="n">
        <v>7032</v>
      </c>
      <c r="D15630" s="7" t="n">
        <v>3</v>
      </c>
      <c r="E15630" s="7" t="n">
        <v>10</v>
      </c>
      <c r="F15630" s="7" t="s">
        <v>108</v>
      </c>
    </row>
    <row r="15631" spans="1:6">
      <c r="A15631" t="s">
        <v>4</v>
      </c>
      <c r="B15631" s="4" t="s">
        <v>5</v>
      </c>
      <c r="C15631" s="4" t="s">
        <v>11</v>
      </c>
    </row>
    <row r="15632" spans="1:6">
      <c r="A15632" t="n">
        <v>148054</v>
      </c>
      <c r="B15632" s="29" t="n">
        <v>16</v>
      </c>
      <c r="C15632" s="7" t="n">
        <v>0</v>
      </c>
    </row>
    <row r="15633" spans="1:13">
      <c r="A15633" t="s">
        <v>4</v>
      </c>
      <c r="B15633" s="4" t="s">
        <v>5</v>
      </c>
      <c r="C15633" s="4" t="s">
        <v>7</v>
      </c>
      <c r="D15633" s="4" t="s">
        <v>11</v>
      </c>
      <c r="E15633" s="4" t="s">
        <v>7</v>
      </c>
      <c r="F15633" s="4" t="s">
        <v>8</v>
      </c>
      <c r="G15633" s="4" t="s">
        <v>8</v>
      </c>
      <c r="H15633" s="4" t="s">
        <v>8</v>
      </c>
      <c r="I15633" s="4" t="s">
        <v>8</v>
      </c>
      <c r="J15633" s="4" t="s">
        <v>8</v>
      </c>
      <c r="K15633" s="4" t="s">
        <v>8</v>
      </c>
      <c r="L15633" s="4" t="s">
        <v>8</v>
      </c>
      <c r="M15633" s="4" t="s">
        <v>8</v>
      </c>
      <c r="N15633" s="4" t="s">
        <v>8</v>
      </c>
      <c r="O15633" s="4" t="s">
        <v>8</v>
      </c>
      <c r="P15633" s="4" t="s">
        <v>8</v>
      </c>
      <c r="Q15633" s="4" t="s">
        <v>8</v>
      </c>
      <c r="R15633" s="4" t="s">
        <v>8</v>
      </c>
      <c r="S15633" s="4" t="s">
        <v>8</v>
      </c>
      <c r="T15633" s="4" t="s">
        <v>8</v>
      </c>
      <c r="U15633" s="4" t="s">
        <v>8</v>
      </c>
    </row>
    <row r="15634" spans="1:13">
      <c r="A15634" t="n">
        <v>148057</v>
      </c>
      <c r="B15634" s="40" t="n">
        <v>36</v>
      </c>
      <c r="C15634" s="7" t="n">
        <v>8</v>
      </c>
      <c r="D15634" s="7" t="n">
        <v>0</v>
      </c>
      <c r="E15634" s="7" t="n">
        <v>0</v>
      </c>
      <c r="F15634" s="7" t="s">
        <v>1226</v>
      </c>
      <c r="G15634" s="7" t="s">
        <v>16</v>
      </c>
      <c r="H15634" s="7" t="s">
        <v>16</v>
      </c>
      <c r="I15634" s="7" t="s">
        <v>16</v>
      </c>
      <c r="J15634" s="7" t="s">
        <v>16</v>
      </c>
      <c r="K15634" s="7" t="s">
        <v>16</v>
      </c>
      <c r="L15634" s="7" t="s">
        <v>16</v>
      </c>
      <c r="M15634" s="7" t="s">
        <v>16</v>
      </c>
      <c r="N15634" s="7" t="s">
        <v>16</v>
      </c>
      <c r="O15634" s="7" t="s">
        <v>16</v>
      </c>
      <c r="P15634" s="7" t="s">
        <v>16</v>
      </c>
      <c r="Q15634" s="7" t="s">
        <v>16</v>
      </c>
      <c r="R15634" s="7" t="s">
        <v>16</v>
      </c>
      <c r="S15634" s="7" t="s">
        <v>16</v>
      </c>
      <c r="T15634" s="7" t="s">
        <v>16</v>
      </c>
      <c r="U15634" s="7" t="s">
        <v>16</v>
      </c>
    </row>
    <row r="15635" spans="1:13">
      <c r="A15635" t="s">
        <v>4</v>
      </c>
      <c r="B15635" s="4" t="s">
        <v>5</v>
      </c>
      <c r="C15635" s="4" t="s">
        <v>7</v>
      </c>
    </row>
    <row r="15636" spans="1:13">
      <c r="A15636" t="n">
        <v>148090</v>
      </c>
      <c r="B15636" s="49" t="n">
        <v>116</v>
      </c>
      <c r="C15636" s="7" t="n">
        <v>0</v>
      </c>
    </row>
    <row r="15637" spans="1:13">
      <c r="A15637" t="s">
        <v>4</v>
      </c>
      <c r="B15637" s="4" t="s">
        <v>5</v>
      </c>
      <c r="C15637" s="4" t="s">
        <v>7</v>
      </c>
      <c r="D15637" s="4" t="s">
        <v>11</v>
      </c>
    </row>
    <row r="15638" spans="1:13">
      <c r="A15638" t="n">
        <v>148092</v>
      </c>
      <c r="B15638" s="49" t="n">
        <v>116</v>
      </c>
      <c r="C15638" s="7" t="n">
        <v>2</v>
      </c>
      <c r="D15638" s="7" t="n">
        <v>1</v>
      </c>
    </row>
    <row r="15639" spans="1:13">
      <c r="A15639" t="s">
        <v>4</v>
      </c>
      <c r="B15639" s="4" t="s">
        <v>5</v>
      </c>
      <c r="C15639" s="4" t="s">
        <v>7</v>
      </c>
      <c r="D15639" s="4" t="s">
        <v>15</v>
      </c>
    </row>
    <row r="15640" spans="1:13">
      <c r="A15640" t="n">
        <v>148096</v>
      </c>
      <c r="B15640" s="49" t="n">
        <v>116</v>
      </c>
      <c r="C15640" s="7" t="n">
        <v>5</v>
      </c>
      <c r="D15640" s="7" t="n">
        <v>1106247680</v>
      </c>
    </row>
    <row r="15641" spans="1:13">
      <c r="A15641" t="s">
        <v>4</v>
      </c>
      <c r="B15641" s="4" t="s">
        <v>5</v>
      </c>
      <c r="C15641" s="4" t="s">
        <v>7</v>
      </c>
      <c r="D15641" s="4" t="s">
        <v>11</v>
      </c>
    </row>
    <row r="15642" spans="1:13">
      <c r="A15642" t="n">
        <v>148102</v>
      </c>
      <c r="B15642" s="49" t="n">
        <v>116</v>
      </c>
      <c r="C15642" s="7" t="n">
        <v>6</v>
      </c>
      <c r="D15642" s="7" t="n">
        <v>1</v>
      </c>
    </row>
    <row r="15643" spans="1:13">
      <c r="A15643" t="s">
        <v>4</v>
      </c>
      <c r="B15643" s="4" t="s">
        <v>5</v>
      </c>
      <c r="C15643" s="4" t="s">
        <v>11</v>
      </c>
      <c r="D15643" s="4" t="s">
        <v>13</v>
      </c>
      <c r="E15643" s="4" t="s">
        <v>13</v>
      </c>
      <c r="F15643" s="4" t="s">
        <v>13</v>
      </c>
      <c r="G15643" s="4" t="s">
        <v>13</v>
      </c>
    </row>
    <row r="15644" spans="1:13">
      <c r="A15644" t="n">
        <v>148106</v>
      </c>
      <c r="B15644" s="36" t="n">
        <v>46</v>
      </c>
      <c r="C15644" s="7" t="n">
        <v>0</v>
      </c>
      <c r="D15644" s="7" t="n">
        <v>3.66000008583069</v>
      </c>
      <c r="E15644" s="7" t="n">
        <v>0</v>
      </c>
      <c r="F15644" s="7" t="n">
        <v>48.7700004577637</v>
      </c>
      <c r="G15644" s="7" t="n">
        <v>40</v>
      </c>
    </row>
    <row r="15645" spans="1:13">
      <c r="A15645" t="s">
        <v>4</v>
      </c>
      <c r="B15645" s="4" t="s">
        <v>5</v>
      </c>
      <c r="C15645" s="4" t="s">
        <v>11</v>
      </c>
      <c r="D15645" s="4" t="s">
        <v>13</v>
      </c>
      <c r="E15645" s="4" t="s">
        <v>13</v>
      </c>
      <c r="F15645" s="4" t="s">
        <v>13</v>
      </c>
      <c r="G15645" s="4" t="s">
        <v>13</v>
      </c>
    </row>
    <row r="15646" spans="1:13">
      <c r="A15646" t="n">
        <v>148125</v>
      </c>
      <c r="B15646" s="36" t="n">
        <v>46</v>
      </c>
      <c r="C15646" s="7" t="n">
        <v>7032</v>
      </c>
      <c r="D15646" s="7" t="n">
        <v>4.26999998092651</v>
      </c>
      <c r="E15646" s="7" t="n">
        <v>0</v>
      </c>
      <c r="F15646" s="7" t="n">
        <v>49.689998626709</v>
      </c>
      <c r="G15646" s="7" t="n">
        <v>70.3000030517578</v>
      </c>
    </row>
    <row r="15647" spans="1:13">
      <c r="A15647" t="s">
        <v>4</v>
      </c>
      <c r="B15647" s="4" t="s">
        <v>5</v>
      </c>
      <c r="C15647" s="4" t="s">
        <v>7</v>
      </c>
    </row>
    <row r="15648" spans="1:13">
      <c r="A15648" t="n">
        <v>148144</v>
      </c>
      <c r="B15648" s="45" t="n">
        <v>74</v>
      </c>
      <c r="C15648" s="7" t="n">
        <v>18</v>
      </c>
    </row>
    <row r="15649" spans="1:21">
      <c r="A15649" t="s">
        <v>4</v>
      </c>
      <c r="B15649" s="4" t="s">
        <v>5</v>
      </c>
      <c r="C15649" s="4" t="s">
        <v>7</v>
      </c>
      <c r="D15649" s="4" t="s">
        <v>7</v>
      </c>
      <c r="E15649" s="4" t="s">
        <v>13</v>
      </c>
      <c r="F15649" s="4" t="s">
        <v>13</v>
      </c>
      <c r="G15649" s="4" t="s">
        <v>13</v>
      </c>
      <c r="H15649" s="4" t="s">
        <v>11</v>
      </c>
    </row>
    <row r="15650" spans="1:21">
      <c r="A15650" t="n">
        <v>148146</v>
      </c>
      <c r="B15650" s="51" t="n">
        <v>45</v>
      </c>
      <c r="C15650" s="7" t="n">
        <v>2</v>
      </c>
      <c r="D15650" s="7" t="n">
        <v>3</v>
      </c>
      <c r="E15650" s="7" t="n">
        <v>4.17999982833862</v>
      </c>
      <c r="F15650" s="7" t="n">
        <v>0.860000014305115</v>
      </c>
      <c r="G15650" s="7" t="n">
        <v>49.5099983215332</v>
      </c>
      <c r="H15650" s="7" t="n">
        <v>0</v>
      </c>
    </row>
    <row r="15651" spans="1:21">
      <c r="A15651" t="s">
        <v>4</v>
      </c>
      <c r="B15651" s="4" t="s">
        <v>5</v>
      </c>
      <c r="C15651" s="4" t="s">
        <v>7</v>
      </c>
      <c r="D15651" s="4" t="s">
        <v>7</v>
      </c>
      <c r="E15651" s="4" t="s">
        <v>13</v>
      </c>
      <c r="F15651" s="4" t="s">
        <v>13</v>
      </c>
      <c r="G15651" s="4" t="s">
        <v>13</v>
      </c>
      <c r="H15651" s="4" t="s">
        <v>11</v>
      </c>
      <c r="I15651" s="4" t="s">
        <v>7</v>
      </c>
    </row>
    <row r="15652" spans="1:21">
      <c r="A15652" t="n">
        <v>148163</v>
      </c>
      <c r="B15652" s="51" t="n">
        <v>45</v>
      </c>
      <c r="C15652" s="7" t="n">
        <v>4</v>
      </c>
      <c r="D15652" s="7" t="n">
        <v>3</v>
      </c>
      <c r="E15652" s="7" t="n">
        <v>28.0599994659424</v>
      </c>
      <c r="F15652" s="7" t="n">
        <v>187.119995117188</v>
      </c>
      <c r="G15652" s="7" t="n">
        <v>2</v>
      </c>
      <c r="H15652" s="7" t="n">
        <v>0</v>
      </c>
      <c r="I15652" s="7" t="n">
        <v>0</v>
      </c>
    </row>
    <row r="15653" spans="1:21">
      <c r="A15653" t="s">
        <v>4</v>
      </c>
      <c r="B15653" s="4" t="s">
        <v>5</v>
      </c>
      <c r="C15653" s="4" t="s">
        <v>7</v>
      </c>
      <c r="D15653" s="4" t="s">
        <v>7</v>
      </c>
      <c r="E15653" s="4" t="s">
        <v>13</v>
      </c>
      <c r="F15653" s="4" t="s">
        <v>11</v>
      </c>
    </row>
    <row r="15654" spans="1:21">
      <c r="A15654" t="n">
        <v>148181</v>
      </c>
      <c r="B15654" s="51" t="n">
        <v>45</v>
      </c>
      <c r="C15654" s="7" t="n">
        <v>5</v>
      </c>
      <c r="D15654" s="7" t="n">
        <v>3</v>
      </c>
      <c r="E15654" s="7" t="n">
        <v>2.40000009536743</v>
      </c>
      <c r="F15654" s="7" t="n">
        <v>0</v>
      </c>
    </row>
    <row r="15655" spans="1:21">
      <c r="A15655" t="s">
        <v>4</v>
      </c>
      <c r="B15655" s="4" t="s">
        <v>5</v>
      </c>
      <c r="C15655" s="4" t="s">
        <v>7</v>
      </c>
      <c r="D15655" s="4" t="s">
        <v>7</v>
      </c>
      <c r="E15655" s="4" t="s">
        <v>13</v>
      </c>
      <c r="F15655" s="4" t="s">
        <v>11</v>
      </c>
    </row>
    <row r="15656" spans="1:21">
      <c r="A15656" t="n">
        <v>148190</v>
      </c>
      <c r="B15656" s="51" t="n">
        <v>45</v>
      </c>
      <c r="C15656" s="7" t="n">
        <v>11</v>
      </c>
      <c r="D15656" s="7" t="n">
        <v>3</v>
      </c>
      <c r="E15656" s="7" t="n">
        <v>35.7000007629395</v>
      </c>
      <c r="F15656" s="7" t="n">
        <v>0</v>
      </c>
    </row>
    <row r="15657" spans="1:21">
      <c r="A15657" t="s">
        <v>4</v>
      </c>
      <c r="B15657" s="4" t="s">
        <v>5</v>
      </c>
      <c r="C15657" s="4" t="s">
        <v>7</v>
      </c>
      <c r="D15657" s="4" t="s">
        <v>7</v>
      </c>
      <c r="E15657" s="4" t="s">
        <v>13</v>
      </c>
      <c r="F15657" s="4" t="s">
        <v>13</v>
      </c>
      <c r="G15657" s="4" t="s">
        <v>13</v>
      </c>
      <c r="H15657" s="4" t="s">
        <v>11</v>
      </c>
    </row>
    <row r="15658" spans="1:21">
      <c r="A15658" t="n">
        <v>148199</v>
      </c>
      <c r="B15658" s="51" t="n">
        <v>45</v>
      </c>
      <c r="C15658" s="7" t="n">
        <v>2</v>
      </c>
      <c r="D15658" s="7" t="n">
        <v>3</v>
      </c>
      <c r="E15658" s="7" t="n">
        <v>4.07999992370605</v>
      </c>
      <c r="F15658" s="7" t="n">
        <v>0.25</v>
      </c>
      <c r="G15658" s="7" t="n">
        <v>49.4900016784668</v>
      </c>
      <c r="H15658" s="7" t="n">
        <v>3500</v>
      </c>
    </row>
    <row r="15659" spans="1:21">
      <c r="A15659" t="s">
        <v>4</v>
      </c>
      <c r="B15659" s="4" t="s">
        <v>5</v>
      </c>
      <c r="C15659" s="4" t="s">
        <v>7</v>
      </c>
      <c r="D15659" s="4" t="s">
        <v>7</v>
      </c>
      <c r="E15659" s="4" t="s">
        <v>13</v>
      </c>
      <c r="F15659" s="4" t="s">
        <v>13</v>
      </c>
      <c r="G15659" s="4" t="s">
        <v>13</v>
      </c>
      <c r="H15659" s="4" t="s">
        <v>11</v>
      </c>
      <c r="I15659" s="4" t="s">
        <v>7</v>
      </c>
    </row>
    <row r="15660" spans="1:21">
      <c r="A15660" t="n">
        <v>148216</v>
      </c>
      <c r="B15660" s="51" t="n">
        <v>45</v>
      </c>
      <c r="C15660" s="7" t="n">
        <v>4</v>
      </c>
      <c r="D15660" s="7" t="n">
        <v>3</v>
      </c>
      <c r="E15660" s="7" t="n">
        <v>31.8999996185303</v>
      </c>
      <c r="F15660" s="7" t="n">
        <v>186.839996337891</v>
      </c>
      <c r="G15660" s="7" t="n">
        <v>0</v>
      </c>
      <c r="H15660" s="7" t="n">
        <v>3500</v>
      </c>
      <c r="I15660" s="7" t="n">
        <v>1</v>
      </c>
    </row>
    <row r="15661" spans="1:21">
      <c r="A15661" t="s">
        <v>4</v>
      </c>
      <c r="B15661" s="4" t="s">
        <v>5</v>
      </c>
      <c r="C15661" s="4" t="s">
        <v>7</v>
      </c>
      <c r="D15661" s="4" t="s">
        <v>7</v>
      </c>
      <c r="E15661" s="4" t="s">
        <v>13</v>
      </c>
      <c r="F15661" s="4" t="s">
        <v>11</v>
      </c>
    </row>
    <row r="15662" spans="1:21">
      <c r="A15662" t="n">
        <v>148234</v>
      </c>
      <c r="B15662" s="51" t="n">
        <v>45</v>
      </c>
      <c r="C15662" s="7" t="n">
        <v>5</v>
      </c>
      <c r="D15662" s="7" t="n">
        <v>3</v>
      </c>
      <c r="E15662" s="7" t="n">
        <v>1.79999995231628</v>
      </c>
      <c r="F15662" s="7" t="n">
        <v>3500</v>
      </c>
    </row>
    <row r="15663" spans="1:21">
      <c r="A15663" t="s">
        <v>4</v>
      </c>
      <c r="B15663" s="4" t="s">
        <v>5</v>
      </c>
      <c r="C15663" s="4" t="s">
        <v>7</v>
      </c>
      <c r="D15663" s="4" t="s">
        <v>7</v>
      </c>
      <c r="E15663" s="4" t="s">
        <v>13</v>
      </c>
      <c r="F15663" s="4" t="s">
        <v>11</v>
      </c>
    </row>
    <row r="15664" spans="1:21">
      <c r="A15664" t="n">
        <v>148243</v>
      </c>
      <c r="B15664" s="51" t="n">
        <v>45</v>
      </c>
      <c r="C15664" s="7" t="n">
        <v>11</v>
      </c>
      <c r="D15664" s="7" t="n">
        <v>3</v>
      </c>
      <c r="E15664" s="7" t="n">
        <v>35.7000007629395</v>
      </c>
      <c r="F15664" s="7" t="n">
        <v>3500</v>
      </c>
    </row>
    <row r="15665" spans="1:9">
      <c r="A15665" t="s">
        <v>4</v>
      </c>
      <c r="B15665" s="4" t="s">
        <v>5</v>
      </c>
      <c r="C15665" s="4" t="s">
        <v>7</v>
      </c>
      <c r="D15665" s="4" t="s">
        <v>11</v>
      </c>
      <c r="E15665" s="4" t="s">
        <v>8</v>
      </c>
      <c r="F15665" s="4" t="s">
        <v>8</v>
      </c>
      <c r="G15665" s="4" t="s">
        <v>8</v>
      </c>
      <c r="H15665" s="4" t="s">
        <v>8</v>
      </c>
    </row>
    <row r="15666" spans="1:9">
      <c r="A15666" t="n">
        <v>148252</v>
      </c>
      <c r="B15666" s="38" t="n">
        <v>51</v>
      </c>
      <c r="C15666" s="7" t="n">
        <v>3</v>
      </c>
      <c r="D15666" s="7" t="n">
        <v>7032</v>
      </c>
      <c r="E15666" s="7" t="s">
        <v>86</v>
      </c>
      <c r="F15666" s="7" t="s">
        <v>218</v>
      </c>
      <c r="G15666" s="7" t="s">
        <v>78</v>
      </c>
      <c r="H15666" s="7" t="s">
        <v>79</v>
      </c>
    </row>
    <row r="15667" spans="1:9">
      <c r="A15667" t="s">
        <v>4</v>
      </c>
      <c r="B15667" s="4" t="s">
        <v>5</v>
      </c>
      <c r="C15667" s="4" t="s">
        <v>11</v>
      </c>
      <c r="D15667" s="4" t="s">
        <v>11</v>
      </c>
      <c r="E15667" s="4" t="s">
        <v>11</v>
      </c>
    </row>
    <row r="15668" spans="1:9">
      <c r="A15668" t="n">
        <v>148265</v>
      </c>
      <c r="B15668" s="72" t="n">
        <v>61</v>
      </c>
      <c r="C15668" s="7" t="n">
        <v>0</v>
      </c>
      <c r="D15668" s="7" t="n">
        <v>7032</v>
      </c>
      <c r="E15668" s="7" t="n">
        <v>1000</v>
      </c>
    </row>
    <row r="15669" spans="1:9">
      <c r="A15669" t="s">
        <v>4</v>
      </c>
      <c r="B15669" s="4" t="s">
        <v>5</v>
      </c>
      <c r="C15669" s="4" t="s">
        <v>11</v>
      </c>
      <c r="D15669" s="4" t="s">
        <v>7</v>
      </c>
      <c r="E15669" s="4" t="s">
        <v>8</v>
      </c>
      <c r="F15669" s="4" t="s">
        <v>13</v>
      </c>
      <c r="G15669" s="4" t="s">
        <v>13</v>
      </c>
      <c r="H15669" s="4" t="s">
        <v>13</v>
      </c>
    </row>
    <row r="15670" spans="1:9">
      <c r="A15670" t="n">
        <v>148272</v>
      </c>
      <c r="B15670" s="42" t="n">
        <v>48</v>
      </c>
      <c r="C15670" s="7" t="n">
        <v>0</v>
      </c>
      <c r="D15670" s="7" t="n">
        <v>0</v>
      </c>
      <c r="E15670" s="7" t="s">
        <v>1226</v>
      </c>
      <c r="F15670" s="7" t="n">
        <v>0.200000002980232</v>
      </c>
      <c r="G15670" s="7" t="n">
        <v>1</v>
      </c>
      <c r="H15670" s="7" t="n">
        <v>0</v>
      </c>
    </row>
    <row r="15671" spans="1:9">
      <c r="A15671" t="s">
        <v>4</v>
      </c>
      <c r="B15671" s="4" t="s">
        <v>5</v>
      </c>
      <c r="C15671" s="4" t="s">
        <v>7</v>
      </c>
      <c r="D15671" s="4" t="s">
        <v>11</v>
      </c>
      <c r="E15671" s="4" t="s">
        <v>13</v>
      </c>
    </row>
    <row r="15672" spans="1:9">
      <c r="A15672" t="n">
        <v>148301</v>
      </c>
      <c r="B15672" s="23" t="n">
        <v>58</v>
      </c>
      <c r="C15672" s="7" t="n">
        <v>100</v>
      </c>
      <c r="D15672" s="7" t="n">
        <v>1000</v>
      </c>
      <c r="E15672" s="7" t="n">
        <v>1</v>
      </c>
    </row>
    <row r="15673" spans="1:9">
      <c r="A15673" t="s">
        <v>4</v>
      </c>
      <c r="B15673" s="4" t="s">
        <v>5</v>
      </c>
      <c r="C15673" s="4" t="s">
        <v>7</v>
      </c>
      <c r="D15673" s="4" t="s">
        <v>11</v>
      </c>
    </row>
    <row r="15674" spans="1:9">
      <c r="A15674" t="n">
        <v>148309</v>
      </c>
      <c r="B15674" s="23" t="n">
        <v>58</v>
      </c>
      <c r="C15674" s="7" t="n">
        <v>255</v>
      </c>
      <c r="D15674" s="7" t="n">
        <v>0</v>
      </c>
    </row>
    <row r="15675" spans="1:9">
      <c r="A15675" t="s">
        <v>4</v>
      </c>
      <c r="B15675" s="4" t="s">
        <v>5</v>
      </c>
      <c r="C15675" s="4" t="s">
        <v>7</v>
      </c>
      <c r="D15675" s="4" t="s">
        <v>11</v>
      </c>
    </row>
    <row r="15676" spans="1:9">
      <c r="A15676" t="n">
        <v>148313</v>
      </c>
      <c r="B15676" s="51" t="n">
        <v>45</v>
      </c>
      <c r="C15676" s="7" t="n">
        <v>7</v>
      </c>
      <c r="D15676" s="7" t="n">
        <v>255</v>
      </c>
    </row>
    <row r="15677" spans="1:9">
      <c r="A15677" t="s">
        <v>4</v>
      </c>
      <c r="B15677" s="4" t="s">
        <v>5</v>
      </c>
      <c r="C15677" s="4" t="s">
        <v>7</v>
      </c>
      <c r="D15677" s="4" t="s">
        <v>11</v>
      </c>
      <c r="E15677" s="4" t="s">
        <v>8</v>
      </c>
    </row>
    <row r="15678" spans="1:9">
      <c r="A15678" t="n">
        <v>148317</v>
      </c>
      <c r="B15678" s="38" t="n">
        <v>51</v>
      </c>
      <c r="C15678" s="7" t="n">
        <v>4</v>
      </c>
      <c r="D15678" s="7" t="n">
        <v>7032</v>
      </c>
      <c r="E15678" s="7" t="s">
        <v>242</v>
      </c>
    </row>
    <row r="15679" spans="1:9">
      <c r="A15679" t="s">
        <v>4</v>
      </c>
      <c r="B15679" s="4" t="s">
        <v>5</v>
      </c>
      <c r="C15679" s="4" t="s">
        <v>11</v>
      </c>
    </row>
    <row r="15680" spans="1:9">
      <c r="A15680" t="n">
        <v>148331</v>
      </c>
      <c r="B15680" s="29" t="n">
        <v>16</v>
      </c>
      <c r="C15680" s="7" t="n">
        <v>0</v>
      </c>
    </row>
    <row r="15681" spans="1:8">
      <c r="A15681" t="s">
        <v>4</v>
      </c>
      <c r="B15681" s="4" t="s">
        <v>5</v>
      </c>
      <c r="C15681" s="4" t="s">
        <v>11</v>
      </c>
      <c r="D15681" s="4" t="s">
        <v>7</v>
      </c>
      <c r="E15681" s="4" t="s">
        <v>15</v>
      </c>
      <c r="F15681" s="4" t="s">
        <v>55</v>
      </c>
      <c r="G15681" s="4" t="s">
        <v>7</v>
      </c>
      <c r="H15681" s="4" t="s">
        <v>7</v>
      </c>
    </row>
    <row r="15682" spans="1:8">
      <c r="A15682" t="n">
        <v>148334</v>
      </c>
      <c r="B15682" s="55" t="n">
        <v>26</v>
      </c>
      <c r="C15682" s="7" t="n">
        <v>7032</v>
      </c>
      <c r="D15682" s="7" t="n">
        <v>17</v>
      </c>
      <c r="E15682" s="7" t="n">
        <v>64282</v>
      </c>
      <c r="F15682" s="7" t="s">
        <v>1227</v>
      </c>
      <c r="G15682" s="7" t="n">
        <v>2</v>
      </c>
      <c r="H15682" s="7" t="n">
        <v>0</v>
      </c>
    </row>
    <row r="15683" spans="1:8">
      <c r="A15683" t="s">
        <v>4</v>
      </c>
      <c r="B15683" s="4" t="s">
        <v>5</v>
      </c>
    </row>
    <row r="15684" spans="1:8">
      <c r="A15684" t="n">
        <v>148352</v>
      </c>
      <c r="B15684" s="27" t="n">
        <v>28</v>
      </c>
    </row>
    <row r="15685" spans="1:8">
      <c r="A15685" t="s">
        <v>4</v>
      </c>
      <c r="B15685" s="4" t="s">
        <v>5</v>
      </c>
      <c r="C15685" s="4" t="s">
        <v>7</v>
      </c>
      <c r="D15685" s="4" t="s">
        <v>11</v>
      </c>
      <c r="E15685" s="4" t="s">
        <v>8</v>
      </c>
    </row>
    <row r="15686" spans="1:8">
      <c r="A15686" t="n">
        <v>148353</v>
      </c>
      <c r="B15686" s="38" t="n">
        <v>51</v>
      </c>
      <c r="C15686" s="7" t="n">
        <v>4</v>
      </c>
      <c r="D15686" s="7" t="n">
        <v>0</v>
      </c>
      <c r="E15686" s="7" t="s">
        <v>173</v>
      </c>
    </row>
    <row r="15687" spans="1:8">
      <c r="A15687" t="s">
        <v>4</v>
      </c>
      <c r="B15687" s="4" t="s">
        <v>5</v>
      </c>
      <c r="C15687" s="4" t="s">
        <v>11</v>
      </c>
    </row>
    <row r="15688" spans="1:8">
      <c r="A15688" t="n">
        <v>148366</v>
      </c>
      <c r="B15688" s="29" t="n">
        <v>16</v>
      </c>
      <c r="C15688" s="7" t="n">
        <v>0</v>
      </c>
    </row>
    <row r="15689" spans="1:8">
      <c r="A15689" t="s">
        <v>4</v>
      </c>
      <c r="B15689" s="4" t="s">
        <v>5</v>
      </c>
      <c r="C15689" s="4" t="s">
        <v>11</v>
      </c>
      <c r="D15689" s="4" t="s">
        <v>7</v>
      </c>
      <c r="E15689" s="4" t="s">
        <v>15</v>
      </c>
      <c r="F15689" s="4" t="s">
        <v>55</v>
      </c>
      <c r="G15689" s="4" t="s">
        <v>7</v>
      </c>
      <c r="H15689" s="4" t="s">
        <v>7</v>
      </c>
    </row>
    <row r="15690" spans="1:8">
      <c r="A15690" t="n">
        <v>148369</v>
      </c>
      <c r="B15690" s="55" t="n">
        <v>26</v>
      </c>
      <c r="C15690" s="7" t="n">
        <v>0</v>
      </c>
      <c r="D15690" s="7" t="n">
        <v>17</v>
      </c>
      <c r="E15690" s="7" t="n">
        <v>64283</v>
      </c>
      <c r="F15690" s="7" t="s">
        <v>1228</v>
      </c>
      <c r="G15690" s="7" t="n">
        <v>2</v>
      </c>
      <c r="H15690" s="7" t="n">
        <v>0</v>
      </c>
    </row>
    <row r="15691" spans="1:8">
      <c r="A15691" t="s">
        <v>4</v>
      </c>
      <c r="B15691" s="4" t="s">
        <v>5</v>
      </c>
    </row>
    <row r="15692" spans="1:8">
      <c r="A15692" t="n">
        <v>148424</v>
      </c>
      <c r="B15692" s="27" t="n">
        <v>28</v>
      </c>
    </row>
    <row r="15693" spans="1:8">
      <c r="A15693" t="s">
        <v>4</v>
      </c>
      <c r="B15693" s="4" t="s">
        <v>5</v>
      </c>
      <c r="C15693" s="4" t="s">
        <v>7</v>
      </c>
      <c r="D15693" s="4" t="s">
        <v>11</v>
      </c>
      <c r="E15693" s="4" t="s">
        <v>11</v>
      </c>
      <c r="F15693" s="4" t="s">
        <v>7</v>
      </c>
    </row>
    <row r="15694" spans="1:8">
      <c r="A15694" t="n">
        <v>148425</v>
      </c>
      <c r="B15694" s="31" t="n">
        <v>25</v>
      </c>
      <c r="C15694" s="7" t="n">
        <v>1</v>
      </c>
      <c r="D15694" s="7" t="n">
        <v>65535</v>
      </c>
      <c r="E15694" s="7" t="n">
        <v>65535</v>
      </c>
      <c r="F15694" s="7" t="n">
        <v>0</v>
      </c>
    </row>
    <row r="15695" spans="1:8">
      <c r="A15695" t="s">
        <v>4</v>
      </c>
      <c r="B15695" s="4" t="s">
        <v>5</v>
      </c>
      <c r="C15695" s="4" t="s">
        <v>11</v>
      </c>
      <c r="D15695" s="4" t="s">
        <v>11</v>
      </c>
      <c r="E15695" s="4" t="s">
        <v>11</v>
      </c>
    </row>
    <row r="15696" spans="1:8">
      <c r="A15696" t="n">
        <v>148432</v>
      </c>
      <c r="B15696" s="72" t="n">
        <v>61</v>
      </c>
      <c r="C15696" s="7" t="n">
        <v>7032</v>
      </c>
      <c r="D15696" s="7" t="n">
        <v>0</v>
      </c>
      <c r="E15696" s="7" t="n">
        <v>1600</v>
      </c>
    </row>
    <row r="15697" spans="1:8">
      <c r="A15697" t="s">
        <v>4</v>
      </c>
      <c r="B15697" s="4" t="s">
        <v>5</v>
      </c>
      <c r="C15697" s="4" t="s">
        <v>11</v>
      </c>
    </row>
    <row r="15698" spans="1:8">
      <c r="A15698" t="n">
        <v>148439</v>
      </c>
      <c r="B15698" s="29" t="n">
        <v>16</v>
      </c>
      <c r="C15698" s="7" t="n">
        <v>600</v>
      </c>
    </row>
    <row r="15699" spans="1:8">
      <c r="A15699" t="s">
        <v>4</v>
      </c>
      <c r="B15699" s="4" t="s">
        <v>5</v>
      </c>
      <c r="C15699" s="4" t="s">
        <v>7</v>
      </c>
      <c r="D15699" s="4" t="s">
        <v>11</v>
      </c>
      <c r="E15699" s="4" t="s">
        <v>8</v>
      </c>
      <c r="F15699" s="4" t="s">
        <v>8</v>
      </c>
      <c r="G15699" s="4" t="s">
        <v>8</v>
      </c>
      <c r="H15699" s="4" t="s">
        <v>8</v>
      </c>
    </row>
    <row r="15700" spans="1:8">
      <c r="A15700" t="n">
        <v>148442</v>
      </c>
      <c r="B15700" s="38" t="n">
        <v>51</v>
      </c>
      <c r="C15700" s="7" t="n">
        <v>3</v>
      </c>
      <c r="D15700" s="7" t="n">
        <v>7032</v>
      </c>
      <c r="E15700" s="7" t="s">
        <v>155</v>
      </c>
      <c r="F15700" s="7" t="s">
        <v>218</v>
      </c>
      <c r="G15700" s="7" t="s">
        <v>78</v>
      </c>
      <c r="H15700" s="7" t="s">
        <v>79</v>
      </c>
    </row>
    <row r="15701" spans="1:8">
      <c r="A15701" t="s">
        <v>4</v>
      </c>
      <c r="B15701" s="4" t="s">
        <v>5</v>
      </c>
      <c r="C15701" s="4" t="s">
        <v>7</v>
      </c>
      <c r="D15701" s="4" t="s">
        <v>11</v>
      </c>
      <c r="E15701" s="4" t="s">
        <v>8</v>
      </c>
    </row>
    <row r="15702" spans="1:8">
      <c r="A15702" t="n">
        <v>148455</v>
      </c>
      <c r="B15702" s="38" t="n">
        <v>51</v>
      </c>
      <c r="C15702" s="7" t="n">
        <v>4</v>
      </c>
      <c r="D15702" s="7" t="n">
        <v>7032</v>
      </c>
      <c r="E15702" s="7" t="s">
        <v>219</v>
      </c>
    </row>
    <row r="15703" spans="1:8">
      <c r="A15703" t="s">
        <v>4</v>
      </c>
      <c r="B15703" s="4" t="s">
        <v>5</v>
      </c>
      <c r="C15703" s="4" t="s">
        <v>11</v>
      </c>
    </row>
    <row r="15704" spans="1:8">
      <c r="A15704" t="n">
        <v>148468</v>
      </c>
      <c r="B15704" s="29" t="n">
        <v>16</v>
      </c>
      <c r="C15704" s="7" t="n">
        <v>0</v>
      </c>
    </row>
    <row r="15705" spans="1:8">
      <c r="A15705" t="s">
        <v>4</v>
      </c>
      <c r="B15705" s="4" t="s">
        <v>5</v>
      </c>
      <c r="C15705" s="4" t="s">
        <v>11</v>
      </c>
      <c r="D15705" s="4" t="s">
        <v>7</v>
      </c>
      <c r="E15705" s="4" t="s">
        <v>15</v>
      </c>
      <c r="F15705" s="4" t="s">
        <v>55</v>
      </c>
      <c r="G15705" s="4" t="s">
        <v>7</v>
      </c>
      <c r="H15705" s="4" t="s">
        <v>7</v>
      </c>
      <c r="I15705" s="4" t="s">
        <v>7</v>
      </c>
      <c r="J15705" s="4" t="s">
        <v>15</v>
      </c>
      <c r="K15705" s="4" t="s">
        <v>55</v>
      </c>
      <c r="L15705" s="4" t="s">
        <v>7</v>
      </c>
      <c r="M15705" s="4" t="s">
        <v>7</v>
      </c>
    </row>
    <row r="15706" spans="1:8">
      <c r="A15706" t="n">
        <v>148471</v>
      </c>
      <c r="B15706" s="55" t="n">
        <v>26</v>
      </c>
      <c r="C15706" s="7" t="n">
        <v>7032</v>
      </c>
      <c r="D15706" s="7" t="n">
        <v>17</v>
      </c>
      <c r="E15706" s="7" t="n">
        <v>64284</v>
      </c>
      <c r="F15706" s="7" t="s">
        <v>1229</v>
      </c>
      <c r="G15706" s="7" t="n">
        <v>2</v>
      </c>
      <c r="H15706" s="7" t="n">
        <v>3</v>
      </c>
      <c r="I15706" s="7" t="n">
        <v>17</v>
      </c>
      <c r="J15706" s="7" t="n">
        <v>64285</v>
      </c>
      <c r="K15706" s="7" t="s">
        <v>1230</v>
      </c>
      <c r="L15706" s="7" t="n">
        <v>2</v>
      </c>
      <c r="M15706" s="7" t="n">
        <v>0</v>
      </c>
    </row>
    <row r="15707" spans="1:8">
      <c r="A15707" t="s">
        <v>4</v>
      </c>
      <c r="B15707" s="4" t="s">
        <v>5</v>
      </c>
    </row>
    <row r="15708" spans="1:8">
      <c r="A15708" t="n">
        <v>148606</v>
      </c>
      <c r="B15708" s="27" t="n">
        <v>28</v>
      </c>
    </row>
    <row r="15709" spans="1:8">
      <c r="A15709" t="s">
        <v>4</v>
      </c>
      <c r="B15709" s="4" t="s">
        <v>5</v>
      </c>
      <c r="C15709" s="4" t="s">
        <v>7</v>
      </c>
      <c r="D15709" s="4" t="s">
        <v>11</v>
      </c>
      <c r="E15709" s="4" t="s">
        <v>8</v>
      </c>
    </row>
    <row r="15710" spans="1:8">
      <c r="A15710" t="n">
        <v>148607</v>
      </c>
      <c r="B15710" s="38" t="n">
        <v>51</v>
      </c>
      <c r="C15710" s="7" t="n">
        <v>4</v>
      </c>
      <c r="D15710" s="7" t="n">
        <v>0</v>
      </c>
      <c r="E15710" s="7" t="s">
        <v>240</v>
      </c>
    </row>
    <row r="15711" spans="1:8">
      <c r="A15711" t="s">
        <v>4</v>
      </c>
      <c r="B15711" s="4" t="s">
        <v>5</v>
      </c>
      <c r="C15711" s="4" t="s">
        <v>11</v>
      </c>
    </row>
    <row r="15712" spans="1:8">
      <c r="A15712" t="n">
        <v>148621</v>
      </c>
      <c r="B15712" s="29" t="n">
        <v>16</v>
      </c>
      <c r="C15712" s="7" t="n">
        <v>0</v>
      </c>
    </row>
    <row r="15713" spans="1:13">
      <c r="A15713" t="s">
        <v>4</v>
      </c>
      <c r="B15713" s="4" t="s">
        <v>5</v>
      </c>
      <c r="C15713" s="4" t="s">
        <v>11</v>
      </c>
      <c r="D15713" s="4" t="s">
        <v>7</v>
      </c>
      <c r="E15713" s="4" t="s">
        <v>15</v>
      </c>
      <c r="F15713" s="4" t="s">
        <v>55</v>
      </c>
      <c r="G15713" s="4" t="s">
        <v>7</v>
      </c>
      <c r="H15713" s="4" t="s">
        <v>7</v>
      </c>
    </row>
    <row r="15714" spans="1:13">
      <c r="A15714" t="n">
        <v>148624</v>
      </c>
      <c r="B15714" s="55" t="n">
        <v>26</v>
      </c>
      <c r="C15714" s="7" t="n">
        <v>0</v>
      </c>
      <c r="D15714" s="7" t="n">
        <v>17</v>
      </c>
      <c r="E15714" s="7" t="n">
        <v>64286</v>
      </c>
      <c r="F15714" s="7" t="s">
        <v>1231</v>
      </c>
      <c r="G15714" s="7" t="n">
        <v>2</v>
      </c>
      <c r="H15714" s="7" t="n">
        <v>0</v>
      </c>
    </row>
    <row r="15715" spans="1:13">
      <c r="A15715" t="s">
        <v>4</v>
      </c>
      <c r="B15715" s="4" t="s">
        <v>5</v>
      </c>
    </row>
    <row r="15716" spans="1:13">
      <c r="A15716" t="n">
        <v>148658</v>
      </c>
      <c r="B15716" s="27" t="n">
        <v>28</v>
      </c>
    </row>
    <row r="15717" spans="1:13">
      <c r="A15717" t="s">
        <v>4</v>
      </c>
      <c r="B15717" s="4" t="s">
        <v>5</v>
      </c>
      <c r="C15717" s="4" t="s">
        <v>7</v>
      </c>
      <c r="D15717" s="4" t="s">
        <v>11</v>
      </c>
      <c r="E15717" s="4" t="s">
        <v>11</v>
      </c>
      <c r="F15717" s="4" t="s">
        <v>7</v>
      </c>
    </row>
    <row r="15718" spans="1:13">
      <c r="A15718" t="n">
        <v>148659</v>
      </c>
      <c r="B15718" s="31" t="n">
        <v>25</v>
      </c>
      <c r="C15718" s="7" t="n">
        <v>1</v>
      </c>
      <c r="D15718" s="7" t="n">
        <v>65535</v>
      </c>
      <c r="E15718" s="7" t="n">
        <v>65535</v>
      </c>
      <c r="F15718" s="7" t="n">
        <v>0</v>
      </c>
    </row>
    <row r="15719" spans="1:13">
      <c r="A15719" t="s">
        <v>4</v>
      </c>
      <c r="B15719" s="4" t="s">
        <v>5</v>
      </c>
      <c r="C15719" s="4" t="s">
        <v>7</v>
      </c>
      <c r="D15719" s="4" t="s">
        <v>11</v>
      </c>
      <c r="E15719" s="4" t="s">
        <v>8</v>
      </c>
      <c r="F15719" s="4" t="s">
        <v>8</v>
      </c>
      <c r="G15719" s="4" t="s">
        <v>8</v>
      </c>
      <c r="H15719" s="4" t="s">
        <v>8</v>
      </c>
    </row>
    <row r="15720" spans="1:13">
      <c r="A15720" t="n">
        <v>148666</v>
      </c>
      <c r="B15720" s="38" t="n">
        <v>51</v>
      </c>
      <c r="C15720" s="7" t="n">
        <v>3</v>
      </c>
      <c r="D15720" s="7" t="n">
        <v>7032</v>
      </c>
      <c r="E15720" s="7" t="s">
        <v>86</v>
      </c>
      <c r="F15720" s="7" t="s">
        <v>218</v>
      </c>
      <c r="G15720" s="7" t="s">
        <v>78</v>
      </c>
      <c r="H15720" s="7" t="s">
        <v>79</v>
      </c>
    </row>
    <row r="15721" spans="1:13">
      <c r="A15721" t="s">
        <v>4</v>
      </c>
      <c r="B15721" s="4" t="s">
        <v>5</v>
      </c>
      <c r="C15721" s="4" t="s">
        <v>11</v>
      </c>
      <c r="D15721" s="4" t="s">
        <v>7</v>
      </c>
      <c r="E15721" s="4" t="s">
        <v>13</v>
      </c>
      <c r="F15721" s="4" t="s">
        <v>11</v>
      </c>
    </row>
    <row r="15722" spans="1:13">
      <c r="A15722" t="n">
        <v>148679</v>
      </c>
      <c r="B15722" s="56" t="n">
        <v>59</v>
      </c>
      <c r="C15722" s="7" t="n">
        <v>7032</v>
      </c>
      <c r="D15722" s="7" t="n">
        <v>9</v>
      </c>
      <c r="E15722" s="7" t="n">
        <v>0.150000005960464</v>
      </c>
      <c r="F15722" s="7" t="n">
        <v>0</v>
      </c>
    </row>
    <row r="15723" spans="1:13">
      <c r="A15723" t="s">
        <v>4</v>
      </c>
      <c r="B15723" s="4" t="s">
        <v>5</v>
      </c>
      <c r="C15723" s="4" t="s">
        <v>11</v>
      </c>
    </row>
    <row r="15724" spans="1:13">
      <c r="A15724" t="n">
        <v>148689</v>
      </c>
      <c r="B15724" s="29" t="n">
        <v>16</v>
      </c>
      <c r="C15724" s="7" t="n">
        <v>2000</v>
      </c>
    </row>
    <row r="15725" spans="1:13">
      <c r="A15725" t="s">
        <v>4</v>
      </c>
      <c r="B15725" s="4" t="s">
        <v>5</v>
      </c>
      <c r="C15725" s="4" t="s">
        <v>7</v>
      </c>
      <c r="D15725" s="4" t="s">
        <v>11</v>
      </c>
      <c r="E15725" s="4" t="s">
        <v>8</v>
      </c>
    </row>
    <row r="15726" spans="1:13">
      <c r="A15726" t="n">
        <v>148692</v>
      </c>
      <c r="B15726" s="38" t="n">
        <v>51</v>
      </c>
      <c r="C15726" s="7" t="n">
        <v>4</v>
      </c>
      <c r="D15726" s="7" t="n">
        <v>7032</v>
      </c>
      <c r="E15726" s="7" t="s">
        <v>137</v>
      </c>
    </row>
    <row r="15727" spans="1:13">
      <c r="A15727" t="s">
        <v>4</v>
      </c>
      <c r="B15727" s="4" t="s">
        <v>5</v>
      </c>
      <c r="C15727" s="4" t="s">
        <v>11</v>
      </c>
    </row>
    <row r="15728" spans="1:13">
      <c r="A15728" t="n">
        <v>148705</v>
      </c>
      <c r="B15728" s="29" t="n">
        <v>16</v>
      </c>
      <c r="C15728" s="7" t="n">
        <v>0</v>
      </c>
    </row>
    <row r="15729" spans="1:8">
      <c r="A15729" t="s">
        <v>4</v>
      </c>
      <c r="B15729" s="4" t="s">
        <v>5</v>
      </c>
      <c r="C15729" s="4" t="s">
        <v>11</v>
      </c>
      <c r="D15729" s="4" t="s">
        <v>7</v>
      </c>
      <c r="E15729" s="4" t="s">
        <v>15</v>
      </c>
      <c r="F15729" s="4" t="s">
        <v>55</v>
      </c>
      <c r="G15729" s="4" t="s">
        <v>7</v>
      </c>
      <c r="H15729" s="4" t="s">
        <v>7</v>
      </c>
      <c r="I15729" s="4" t="s">
        <v>7</v>
      </c>
      <c r="J15729" s="4" t="s">
        <v>15</v>
      </c>
      <c r="K15729" s="4" t="s">
        <v>55</v>
      </c>
      <c r="L15729" s="4" t="s">
        <v>7</v>
      </c>
      <c r="M15729" s="4" t="s">
        <v>7</v>
      </c>
    </row>
    <row r="15730" spans="1:8">
      <c r="A15730" t="n">
        <v>148708</v>
      </c>
      <c r="B15730" s="55" t="n">
        <v>26</v>
      </c>
      <c r="C15730" s="7" t="n">
        <v>7032</v>
      </c>
      <c r="D15730" s="7" t="n">
        <v>17</v>
      </c>
      <c r="E15730" s="7" t="n">
        <v>64287</v>
      </c>
      <c r="F15730" s="7" t="s">
        <v>1232</v>
      </c>
      <c r="G15730" s="7" t="n">
        <v>2</v>
      </c>
      <c r="H15730" s="7" t="n">
        <v>3</v>
      </c>
      <c r="I15730" s="7" t="n">
        <v>17</v>
      </c>
      <c r="J15730" s="7" t="n">
        <v>64288</v>
      </c>
      <c r="K15730" s="7" t="s">
        <v>1233</v>
      </c>
      <c r="L15730" s="7" t="n">
        <v>2</v>
      </c>
      <c r="M15730" s="7" t="n">
        <v>0</v>
      </c>
    </row>
    <row r="15731" spans="1:8">
      <c r="A15731" t="s">
        <v>4</v>
      </c>
      <c r="B15731" s="4" t="s">
        <v>5</v>
      </c>
    </row>
    <row r="15732" spans="1:8">
      <c r="A15732" t="n">
        <v>148877</v>
      </c>
      <c r="B15732" s="27" t="n">
        <v>28</v>
      </c>
    </row>
    <row r="15733" spans="1:8">
      <c r="A15733" t="s">
        <v>4</v>
      </c>
      <c r="B15733" s="4" t="s">
        <v>5</v>
      </c>
      <c r="C15733" s="4" t="s">
        <v>7</v>
      </c>
      <c r="D15733" s="4" t="s">
        <v>11</v>
      </c>
      <c r="E15733" s="4" t="s">
        <v>8</v>
      </c>
    </row>
    <row r="15734" spans="1:8">
      <c r="A15734" t="n">
        <v>148878</v>
      </c>
      <c r="B15734" s="38" t="n">
        <v>51</v>
      </c>
      <c r="C15734" s="7" t="n">
        <v>4</v>
      </c>
      <c r="D15734" s="7" t="n">
        <v>0</v>
      </c>
      <c r="E15734" s="7" t="s">
        <v>179</v>
      </c>
    </row>
    <row r="15735" spans="1:8">
      <c r="A15735" t="s">
        <v>4</v>
      </c>
      <c r="B15735" s="4" t="s">
        <v>5</v>
      </c>
      <c r="C15735" s="4" t="s">
        <v>11</v>
      </c>
    </row>
    <row r="15736" spans="1:8">
      <c r="A15736" t="n">
        <v>148892</v>
      </c>
      <c r="B15736" s="29" t="n">
        <v>16</v>
      </c>
      <c r="C15736" s="7" t="n">
        <v>0</v>
      </c>
    </row>
    <row r="15737" spans="1:8">
      <c r="A15737" t="s">
        <v>4</v>
      </c>
      <c r="B15737" s="4" t="s">
        <v>5</v>
      </c>
      <c r="C15737" s="4" t="s">
        <v>11</v>
      </c>
      <c r="D15737" s="4" t="s">
        <v>7</v>
      </c>
      <c r="E15737" s="4" t="s">
        <v>15</v>
      </c>
      <c r="F15737" s="4" t="s">
        <v>55</v>
      </c>
      <c r="G15737" s="4" t="s">
        <v>7</v>
      </c>
      <c r="H15737" s="4" t="s">
        <v>7</v>
      </c>
      <c r="I15737" s="4" t="s">
        <v>7</v>
      </c>
      <c r="J15737" s="4" t="s">
        <v>15</v>
      </c>
      <c r="K15737" s="4" t="s">
        <v>55</v>
      </c>
      <c r="L15737" s="4" t="s">
        <v>7</v>
      </c>
      <c r="M15737" s="4" t="s">
        <v>7</v>
      </c>
    </row>
    <row r="15738" spans="1:8">
      <c r="A15738" t="n">
        <v>148895</v>
      </c>
      <c r="B15738" s="55" t="n">
        <v>26</v>
      </c>
      <c r="C15738" s="7" t="n">
        <v>0</v>
      </c>
      <c r="D15738" s="7" t="n">
        <v>17</v>
      </c>
      <c r="E15738" s="7" t="n">
        <v>64289</v>
      </c>
      <c r="F15738" s="7" t="s">
        <v>1234</v>
      </c>
      <c r="G15738" s="7" t="n">
        <v>2</v>
      </c>
      <c r="H15738" s="7" t="n">
        <v>3</v>
      </c>
      <c r="I15738" s="7" t="n">
        <v>17</v>
      </c>
      <c r="J15738" s="7" t="n">
        <v>64290</v>
      </c>
      <c r="K15738" s="7" t="s">
        <v>1235</v>
      </c>
      <c r="L15738" s="7" t="n">
        <v>2</v>
      </c>
      <c r="M15738" s="7" t="n">
        <v>0</v>
      </c>
    </row>
    <row r="15739" spans="1:8">
      <c r="A15739" t="s">
        <v>4</v>
      </c>
      <c r="B15739" s="4" t="s">
        <v>5</v>
      </c>
    </row>
    <row r="15740" spans="1:8">
      <c r="A15740" t="n">
        <v>149091</v>
      </c>
      <c r="B15740" s="27" t="n">
        <v>28</v>
      </c>
    </row>
    <row r="15741" spans="1:8">
      <c r="A15741" t="s">
        <v>4</v>
      </c>
      <c r="B15741" s="4" t="s">
        <v>5</v>
      </c>
      <c r="C15741" s="4" t="s">
        <v>7</v>
      </c>
      <c r="D15741" s="4" t="s">
        <v>11</v>
      </c>
      <c r="E15741" s="4" t="s">
        <v>11</v>
      </c>
      <c r="F15741" s="4" t="s">
        <v>7</v>
      </c>
    </row>
    <row r="15742" spans="1:8">
      <c r="A15742" t="n">
        <v>149092</v>
      </c>
      <c r="B15742" s="31" t="n">
        <v>25</v>
      </c>
      <c r="C15742" s="7" t="n">
        <v>1</v>
      </c>
      <c r="D15742" s="7" t="n">
        <v>65535</v>
      </c>
      <c r="E15742" s="7" t="n">
        <v>65535</v>
      </c>
      <c r="F15742" s="7" t="n">
        <v>0</v>
      </c>
    </row>
    <row r="15743" spans="1:8">
      <c r="A15743" t="s">
        <v>4</v>
      </c>
      <c r="B15743" s="4" t="s">
        <v>5</v>
      </c>
      <c r="C15743" s="4" t="s">
        <v>7</v>
      </c>
      <c r="D15743" s="4" t="s">
        <v>11</v>
      </c>
      <c r="E15743" s="4" t="s">
        <v>8</v>
      </c>
    </row>
    <row r="15744" spans="1:8">
      <c r="A15744" t="n">
        <v>149099</v>
      </c>
      <c r="B15744" s="38" t="n">
        <v>51</v>
      </c>
      <c r="C15744" s="7" t="n">
        <v>4</v>
      </c>
      <c r="D15744" s="7" t="n">
        <v>7032</v>
      </c>
      <c r="E15744" s="7" t="s">
        <v>775</v>
      </c>
    </row>
    <row r="15745" spans="1:13">
      <c r="A15745" t="s">
        <v>4</v>
      </c>
      <c r="B15745" s="4" t="s">
        <v>5</v>
      </c>
      <c r="C15745" s="4" t="s">
        <v>11</v>
      </c>
    </row>
    <row r="15746" spans="1:13">
      <c r="A15746" t="n">
        <v>149113</v>
      </c>
      <c r="B15746" s="29" t="n">
        <v>16</v>
      </c>
      <c r="C15746" s="7" t="n">
        <v>0</v>
      </c>
    </row>
    <row r="15747" spans="1:13">
      <c r="A15747" t="s">
        <v>4</v>
      </c>
      <c r="B15747" s="4" t="s">
        <v>5</v>
      </c>
      <c r="C15747" s="4" t="s">
        <v>11</v>
      </c>
      <c r="D15747" s="4" t="s">
        <v>7</v>
      </c>
      <c r="E15747" s="4" t="s">
        <v>15</v>
      </c>
      <c r="F15747" s="4" t="s">
        <v>55</v>
      </c>
      <c r="G15747" s="4" t="s">
        <v>7</v>
      </c>
      <c r="H15747" s="4" t="s">
        <v>7</v>
      </c>
      <c r="I15747" s="4" t="s">
        <v>7</v>
      </c>
      <c r="J15747" s="4" t="s">
        <v>15</v>
      </c>
      <c r="K15747" s="4" t="s">
        <v>55</v>
      </c>
      <c r="L15747" s="4" t="s">
        <v>7</v>
      </c>
      <c r="M15747" s="4" t="s">
        <v>7</v>
      </c>
      <c r="N15747" s="4" t="s">
        <v>7</v>
      </c>
      <c r="O15747" s="4" t="s">
        <v>15</v>
      </c>
      <c r="P15747" s="4" t="s">
        <v>55</v>
      </c>
      <c r="Q15747" s="4" t="s">
        <v>7</v>
      </c>
      <c r="R15747" s="4" t="s">
        <v>7</v>
      </c>
    </row>
    <row r="15748" spans="1:13">
      <c r="A15748" t="n">
        <v>149116</v>
      </c>
      <c r="B15748" s="55" t="n">
        <v>26</v>
      </c>
      <c r="C15748" s="7" t="n">
        <v>7032</v>
      </c>
      <c r="D15748" s="7" t="n">
        <v>17</v>
      </c>
      <c r="E15748" s="7" t="n">
        <v>64291</v>
      </c>
      <c r="F15748" s="7" t="s">
        <v>1236</v>
      </c>
      <c r="G15748" s="7" t="n">
        <v>2</v>
      </c>
      <c r="H15748" s="7" t="n">
        <v>3</v>
      </c>
      <c r="I15748" s="7" t="n">
        <v>17</v>
      </c>
      <c r="J15748" s="7" t="n">
        <v>64292</v>
      </c>
      <c r="K15748" s="7" t="s">
        <v>1237</v>
      </c>
      <c r="L15748" s="7" t="n">
        <v>2</v>
      </c>
      <c r="M15748" s="7" t="n">
        <v>3</v>
      </c>
      <c r="N15748" s="7" t="n">
        <v>17</v>
      </c>
      <c r="O15748" s="7" t="n">
        <v>64293</v>
      </c>
      <c r="P15748" s="7" t="s">
        <v>1238</v>
      </c>
      <c r="Q15748" s="7" t="n">
        <v>2</v>
      </c>
      <c r="R15748" s="7" t="n">
        <v>0</v>
      </c>
    </row>
    <row r="15749" spans="1:13">
      <c r="A15749" t="s">
        <v>4</v>
      </c>
      <c r="B15749" s="4" t="s">
        <v>5</v>
      </c>
    </row>
    <row r="15750" spans="1:13">
      <c r="A15750" t="n">
        <v>149363</v>
      </c>
      <c r="B15750" s="27" t="n">
        <v>28</v>
      </c>
    </row>
    <row r="15751" spans="1:13">
      <c r="A15751" t="s">
        <v>4</v>
      </c>
      <c r="B15751" s="4" t="s">
        <v>5</v>
      </c>
      <c r="C15751" s="4" t="s">
        <v>11</v>
      </c>
      <c r="D15751" s="4" t="s">
        <v>7</v>
      </c>
    </row>
    <row r="15752" spans="1:13">
      <c r="A15752" t="n">
        <v>149364</v>
      </c>
      <c r="B15752" s="68" t="n">
        <v>89</v>
      </c>
      <c r="C15752" s="7" t="n">
        <v>65533</v>
      </c>
      <c r="D15752" s="7" t="n">
        <v>1</v>
      </c>
    </row>
    <row r="15753" spans="1:13">
      <c r="A15753" t="s">
        <v>4</v>
      </c>
      <c r="B15753" s="4" t="s">
        <v>5</v>
      </c>
      <c r="C15753" s="4" t="s">
        <v>7</v>
      </c>
      <c r="D15753" s="4" t="s">
        <v>11</v>
      </c>
      <c r="E15753" s="4" t="s">
        <v>8</v>
      </c>
    </row>
    <row r="15754" spans="1:13">
      <c r="A15754" t="n">
        <v>149368</v>
      </c>
      <c r="B15754" s="38" t="n">
        <v>51</v>
      </c>
      <c r="C15754" s="7" t="n">
        <v>4</v>
      </c>
      <c r="D15754" s="7" t="n">
        <v>0</v>
      </c>
      <c r="E15754" s="7" t="s">
        <v>179</v>
      </c>
    </row>
    <row r="15755" spans="1:13">
      <c r="A15755" t="s">
        <v>4</v>
      </c>
      <c r="B15755" s="4" t="s">
        <v>5</v>
      </c>
      <c r="C15755" s="4" t="s">
        <v>11</v>
      </c>
    </row>
    <row r="15756" spans="1:13">
      <c r="A15756" t="n">
        <v>149382</v>
      </c>
      <c r="B15756" s="29" t="n">
        <v>16</v>
      </c>
      <c r="C15756" s="7" t="n">
        <v>0</v>
      </c>
    </row>
    <row r="15757" spans="1:13">
      <c r="A15757" t="s">
        <v>4</v>
      </c>
      <c r="B15757" s="4" t="s">
        <v>5</v>
      </c>
      <c r="C15757" s="4" t="s">
        <v>11</v>
      </c>
      <c r="D15757" s="4" t="s">
        <v>7</v>
      </c>
      <c r="E15757" s="4" t="s">
        <v>15</v>
      </c>
      <c r="F15757" s="4" t="s">
        <v>55</v>
      </c>
      <c r="G15757" s="4" t="s">
        <v>7</v>
      </c>
      <c r="H15757" s="4" t="s">
        <v>7</v>
      </c>
    </row>
    <row r="15758" spans="1:13">
      <c r="A15758" t="n">
        <v>149385</v>
      </c>
      <c r="B15758" s="55" t="n">
        <v>26</v>
      </c>
      <c r="C15758" s="7" t="n">
        <v>0</v>
      </c>
      <c r="D15758" s="7" t="n">
        <v>17</v>
      </c>
      <c r="E15758" s="7" t="n">
        <v>64294</v>
      </c>
      <c r="F15758" s="7" t="s">
        <v>1239</v>
      </c>
      <c r="G15758" s="7" t="n">
        <v>2</v>
      </c>
      <c r="H15758" s="7" t="n">
        <v>0</v>
      </c>
    </row>
    <row r="15759" spans="1:13">
      <c r="A15759" t="s">
        <v>4</v>
      </c>
      <c r="B15759" s="4" t="s">
        <v>5</v>
      </c>
    </row>
    <row r="15760" spans="1:13">
      <c r="A15760" t="n">
        <v>149448</v>
      </c>
      <c r="B15760" s="27" t="n">
        <v>28</v>
      </c>
    </row>
    <row r="15761" spans="1:18">
      <c r="A15761" t="s">
        <v>4</v>
      </c>
      <c r="B15761" s="4" t="s">
        <v>5</v>
      </c>
      <c r="C15761" s="4" t="s">
        <v>7</v>
      </c>
      <c r="D15761" s="4" t="s">
        <v>11</v>
      </c>
      <c r="E15761" s="4" t="s">
        <v>11</v>
      </c>
      <c r="F15761" s="4" t="s">
        <v>7</v>
      </c>
    </row>
    <row r="15762" spans="1:18">
      <c r="A15762" t="n">
        <v>149449</v>
      </c>
      <c r="B15762" s="31" t="n">
        <v>25</v>
      </c>
      <c r="C15762" s="7" t="n">
        <v>1</v>
      </c>
      <c r="D15762" s="7" t="n">
        <v>65535</v>
      </c>
      <c r="E15762" s="7" t="n">
        <v>65535</v>
      </c>
      <c r="F15762" s="7" t="n">
        <v>0</v>
      </c>
    </row>
    <row r="15763" spans="1:18">
      <c r="A15763" t="s">
        <v>4</v>
      </c>
      <c r="B15763" s="4" t="s">
        <v>5</v>
      </c>
      <c r="C15763" s="4" t="s">
        <v>7</v>
      </c>
      <c r="D15763" s="4" t="s">
        <v>11</v>
      </c>
      <c r="E15763" s="4" t="s">
        <v>8</v>
      </c>
      <c r="F15763" s="4" t="s">
        <v>8</v>
      </c>
      <c r="G15763" s="4" t="s">
        <v>8</v>
      </c>
      <c r="H15763" s="4" t="s">
        <v>8</v>
      </c>
    </row>
    <row r="15764" spans="1:18">
      <c r="A15764" t="n">
        <v>149456</v>
      </c>
      <c r="B15764" s="38" t="n">
        <v>51</v>
      </c>
      <c r="C15764" s="7" t="n">
        <v>3</v>
      </c>
      <c r="D15764" s="7" t="n">
        <v>7032</v>
      </c>
      <c r="E15764" s="7" t="s">
        <v>155</v>
      </c>
      <c r="F15764" s="7" t="s">
        <v>218</v>
      </c>
      <c r="G15764" s="7" t="s">
        <v>78</v>
      </c>
      <c r="H15764" s="7" t="s">
        <v>79</v>
      </c>
    </row>
    <row r="15765" spans="1:18">
      <c r="A15765" t="s">
        <v>4</v>
      </c>
      <c r="B15765" s="4" t="s">
        <v>5</v>
      </c>
      <c r="C15765" s="4" t="s">
        <v>11</v>
      </c>
      <c r="D15765" s="4" t="s">
        <v>7</v>
      </c>
      <c r="E15765" s="4" t="s">
        <v>13</v>
      </c>
      <c r="F15765" s="4" t="s">
        <v>11</v>
      </c>
    </row>
    <row r="15766" spans="1:18">
      <c r="A15766" t="n">
        <v>149469</v>
      </c>
      <c r="B15766" s="56" t="n">
        <v>59</v>
      </c>
      <c r="C15766" s="7" t="n">
        <v>7032</v>
      </c>
      <c r="D15766" s="7" t="n">
        <v>14</v>
      </c>
      <c r="E15766" s="7" t="n">
        <v>0.150000005960464</v>
      </c>
      <c r="F15766" s="7" t="n">
        <v>0</v>
      </c>
    </row>
    <row r="15767" spans="1:18">
      <c r="A15767" t="s">
        <v>4</v>
      </c>
      <c r="B15767" s="4" t="s">
        <v>5</v>
      </c>
      <c r="C15767" s="4" t="s">
        <v>11</v>
      </c>
    </row>
    <row r="15768" spans="1:18">
      <c r="A15768" t="n">
        <v>149479</v>
      </c>
      <c r="B15768" s="29" t="n">
        <v>16</v>
      </c>
      <c r="C15768" s="7" t="n">
        <v>1000</v>
      </c>
    </row>
    <row r="15769" spans="1:18">
      <c r="A15769" t="s">
        <v>4</v>
      </c>
      <c r="B15769" s="4" t="s">
        <v>5</v>
      </c>
      <c r="C15769" s="4" t="s">
        <v>7</v>
      </c>
      <c r="D15769" s="4" t="s">
        <v>13</v>
      </c>
      <c r="E15769" s="4" t="s">
        <v>13</v>
      </c>
      <c r="F15769" s="4" t="s">
        <v>13</v>
      </c>
    </row>
    <row r="15770" spans="1:18">
      <c r="A15770" t="n">
        <v>149482</v>
      </c>
      <c r="B15770" s="51" t="n">
        <v>45</v>
      </c>
      <c r="C15770" s="7" t="n">
        <v>9</v>
      </c>
      <c r="D15770" s="7" t="n">
        <v>0.00999999977648258</v>
      </c>
      <c r="E15770" s="7" t="n">
        <v>0.00999999977648258</v>
      </c>
      <c r="F15770" s="7" t="n">
        <v>0.25</v>
      </c>
    </row>
    <row r="15771" spans="1:18">
      <c r="A15771" t="s">
        <v>4</v>
      </c>
      <c r="B15771" s="4" t="s">
        <v>5</v>
      </c>
      <c r="C15771" s="4" t="s">
        <v>7</v>
      </c>
      <c r="D15771" s="4" t="s">
        <v>11</v>
      </c>
      <c r="E15771" s="4" t="s">
        <v>8</v>
      </c>
    </row>
    <row r="15772" spans="1:18">
      <c r="A15772" t="n">
        <v>149496</v>
      </c>
      <c r="B15772" s="38" t="n">
        <v>51</v>
      </c>
      <c r="C15772" s="7" t="n">
        <v>4</v>
      </c>
      <c r="D15772" s="7" t="n">
        <v>7032</v>
      </c>
      <c r="E15772" s="7" t="s">
        <v>219</v>
      </c>
    </row>
    <row r="15773" spans="1:18">
      <c r="A15773" t="s">
        <v>4</v>
      </c>
      <c r="B15773" s="4" t="s">
        <v>5</v>
      </c>
      <c r="C15773" s="4" t="s">
        <v>11</v>
      </c>
    </row>
    <row r="15774" spans="1:18">
      <c r="A15774" t="n">
        <v>149509</v>
      </c>
      <c r="B15774" s="29" t="n">
        <v>16</v>
      </c>
      <c r="C15774" s="7" t="n">
        <v>0</v>
      </c>
    </row>
    <row r="15775" spans="1:18">
      <c r="A15775" t="s">
        <v>4</v>
      </c>
      <c r="B15775" s="4" t="s">
        <v>5</v>
      </c>
      <c r="C15775" s="4" t="s">
        <v>11</v>
      </c>
      <c r="D15775" s="4" t="s">
        <v>7</v>
      </c>
      <c r="E15775" s="4" t="s">
        <v>15</v>
      </c>
      <c r="F15775" s="4" t="s">
        <v>55</v>
      </c>
      <c r="G15775" s="4" t="s">
        <v>7</v>
      </c>
      <c r="H15775" s="4" t="s">
        <v>7</v>
      </c>
    </row>
    <row r="15776" spans="1:18">
      <c r="A15776" t="n">
        <v>149512</v>
      </c>
      <c r="B15776" s="55" t="n">
        <v>26</v>
      </c>
      <c r="C15776" s="7" t="n">
        <v>7032</v>
      </c>
      <c r="D15776" s="7" t="n">
        <v>17</v>
      </c>
      <c r="E15776" s="7" t="n">
        <v>64295</v>
      </c>
      <c r="F15776" s="7" t="s">
        <v>1240</v>
      </c>
      <c r="G15776" s="7" t="n">
        <v>2</v>
      </c>
      <c r="H15776" s="7" t="n">
        <v>0</v>
      </c>
    </row>
    <row r="15777" spans="1:8">
      <c r="A15777" t="s">
        <v>4</v>
      </c>
      <c r="B15777" s="4" t="s">
        <v>5</v>
      </c>
    </row>
    <row r="15778" spans="1:8">
      <c r="A15778" t="n">
        <v>149583</v>
      </c>
      <c r="B15778" s="27" t="n">
        <v>28</v>
      </c>
    </row>
    <row r="15779" spans="1:8">
      <c r="A15779" t="s">
        <v>4</v>
      </c>
      <c r="B15779" s="4" t="s">
        <v>5</v>
      </c>
      <c r="C15779" s="4" t="s">
        <v>7</v>
      </c>
      <c r="D15779" s="4" t="s">
        <v>11</v>
      </c>
      <c r="E15779" s="4" t="s">
        <v>8</v>
      </c>
    </row>
    <row r="15780" spans="1:8">
      <c r="A15780" t="n">
        <v>149584</v>
      </c>
      <c r="B15780" s="38" t="n">
        <v>51</v>
      </c>
      <c r="C15780" s="7" t="n">
        <v>4</v>
      </c>
      <c r="D15780" s="7" t="n">
        <v>0</v>
      </c>
      <c r="E15780" s="7" t="s">
        <v>162</v>
      </c>
    </row>
    <row r="15781" spans="1:8">
      <c r="A15781" t="s">
        <v>4</v>
      </c>
      <c r="B15781" s="4" t="s">
        <v>5</v>
      </c>
      <c r="C15781" s="4" t="s">
        <v>11</v>
      </c>
    </row>
    <row r="15782" spans="1:8">
      <c r="A15782" t="n">
        <v>149597</v>
      </c>
      <c r="B15782" s="29" t="n">
        <v>16</v>
      </c>
      <c r="C15782" s="7" t="n">
        <v>0</v>
      </c>
    </row>
    <row r="15783" spans="1:8">
      <c r="A15783" t="s">
        <v>4</v>
      </c>
      <c r="B15783" s="4" t="s">
        <v>5</v>
      </c>
      <c r="C15783" s="4" t="s">
        <v>11</v>
      </c>
      <c r="D15783" s="4" t="s">
        <v>7</v>
      </c>
      <c r="E15783" s="4" t="s">
        <v>15</v>
      </c>
      <c r="F15783" s="4" t="s">
        <v>55</v>
      </c>
      <c r="G15783" s="4" t="s">
        <v>7</v>
      </c>
      <c r="H15783" s="4" t="s">
        <v>7</v>
      </c>
      <c r="I15783" s="4" t="s">
        <v>7</v>
      </c>
      <c r="J15783" s="4" t="s">
        <v>15</v>
      </c>
      <c r="K15783" s="4" t="s">
        <v>55</v>
      </c>
      <c r="L15783" s="4" t="s">
        <v>7</v>
      </c>
      <c r="M15783" s="4" t="s">
        <v>7</v>
      </c>
      <c r="N15783" s="4" t="s">
        <v>7</v>
      </c>
      <c r="O15783" s="4" t="s">
        <v>15</v>
      </c>
      <c r="P15783" s="4" t="s">
        <v>55</v>
      </c>
      <c r="Q15783" s="4" t="s">
        <v>7</v>
      </c>
      <c r="R15783" s="4" t="s">
        <v>7</v>
      </c>
      <c r="S15783" s="4" t="s">
        <v>55</v>
      </c>
      <c r="T15783" s="4" t="s">
        <v>7</v>
      </c>
      <c r="U15783" s="4" t="s">
        <v>15</v>
      </c>
      <c r="V15783" s="4" t="s">
        <v>55</v>
      </c>
      <c r="W15783" s="4" t="s">
        <v>7</v>
      </c>
      <c r="X15783" s="4" t="s">
        <v>7</v>
      </c>
    </row>
    <row r="15784" spans="1:8">
      <c r="A15784" t="n">
        <v>149600</v>
      </c>
      <c r="B15784" s="55" t="n">
        <v>26</v>
      </c>
      <c r="C15784" s="7" t="n">
        <v>0</v>
      </c>
      <c r="D15784" s="7" t="n">
        <v>17</v>
      </c>
      <c r="E15784" s="7" t="n">
        <v>64296</v>
      </c>
      <c r="F15784" s="7" t="s">
        <v>1241</v>
      </c>
      <c r="G15784" s="7" t="n">
        <v>2</v>
      </c>
      <c r="H15784" s="7" t="n">
        <v>3</v>
      </c>
      <c r="I15784" s="7" t="n">
        <v>17</v>
      </c>
      <c r="J15784" s="7" t="n">
        <v>64297</v>
      </c>
      <c r="K15784" s="7" t="s">
        <v>1242</v>
      </c>
      <c r="L15784" s="7" t="n">
        <v>2</v>
      </c>
      <c r="M15784" s="7" t="n">
        <v>3</v>
      </c>
      <c r="N15784" s="7" t="n">
        <v>17</v>
      </c>
      <c r="O15784" s="7" t="n">
        <v>64298</v>
      </c>
      <c r="P15784" s="7" t="s">
        <v>1243</v>
      </c>
      <c r="Q15784" s="7" t="n">
        <v>2</v>
      </c>
      <c r="R15784" s="7" t="n">
        <v>3</v>
      </c>
      <c r="S15784" s="7" t="s">
        <v>1244</v>
      </c>
      <c r="T15784" s="7" t="n">
        <v>17</v>
      </c>
      <c r="U15784" s="7" t="n">
        <v>65312</v>
      </c>
      <c r="V15784" s="7" t="s">
        <v>1245</v>
      </c>
      <c r="W15784" s="7" t="n">
        <v>2</v>
      </c>
      <c r="X15784" s="7" t="n">
        <v>0</v>
      </c>
    </row>
    <row r="15785" spans="1:8">
      <c r="A15785" t="s">
        <v>4</v>
      </c>
      <c r="B15785" s="4" t="s">
        <v>5</v>
      </c>
    </row>
    <row r="15786" spans="1:8">
      <c r="A15786" t="n">
        <v>149939</v>
      </c>
      <c r="B15786" s="27" t="n">
        <v>28</v>
      </c>
    </row>
    <row r="15787" spans="1:8">
      <c r="A15787" t="s">
        <v>4</v>
      </c>
      <c r="B15787" s="4" t="s">
        <v>5</v>
      </c>
      <c r="C15787" s="4" t="s">
        <v>7</v>
      </c>
      <c r="D15787" s="4" t="s">
        <v>11</v>
      </c>
      <c r="E15787" s="4" t="s">
        <v>11</v>
      </c>
      <c r="F15787" s="4" t="s">
        <v>7</v>
      </c>
    </row>
    <row r="15788" spans="1:8">
      <c r="A15788" t="n">
        <v>149940</v>
      </c>
      <c r="B15788" s="31" t="n">
        <v>25</v>
      </c>
      <c r="C15788" s="7" t="n">
        <v>1</v>
      </c>
      <c r="D15788" s="7" t="n">
        <v>65535</v>
      </c>
      <c r="E15788" s="7" t="n">
        <v>65535</v>
      </c>
      <c r="F15788" s="7" t="n">
        <v>0</v>
      </c>
    </row>
    <row r="15789" spans="1:8">
      <c r="A15789" t="s">
        <v>4</v>
      </c>
      <c r="B15789" s="4" t="s">
        <v>5</v>
      </c>
      <c r="C15789" s="4" t="s">
        <v>7</v>
      </c>
      <c r="D15789" s="4" t="s">
        <v>13</v>
      </c>
      <c r="E15789" s="4" t="s">
        <v>13</v>
      </c>
      <c r="F15789" s="4" t="s">
        <v>13</v>
      </c>
    </row>
    <row r="15790" spans="1:8">
      <c r="A15790" t="n">
        <v>149947</v>
      </c>
      <c r="B15790" s="51" t="n">
        <v>45</v>
      </c>
      <c r="C15790" s="7" t="n">
        <v>9</v>
      </c>
      <c r="D15790" s="7" t="n">
        <v>0.00499999988824129</v>
      </c>
      <c r="E15790" s="7" t="n">
        <v>0.00499999988824129</v>
      </c>
      <c r="F15790" s="7" t="n">
        <v>0.5</v>
      </c>
    </row>
    <row r="15791" spans="1:8">
      <c r="A15791" t="s">
        <v>4</v>
      </c>
      <c r="B15791" s="4" t="s">
        <v>5</v>
      </c>
      <c r="C15791" s="4" t="s">
        <v>7</v>
      </c>
      <c r="D15791" s="4" t="s">
        <v>11</v>
      </c>
      <c r="E15791" s="4" t="s">
        <v>8</v>
      </c>
    </row>
    <row r="15792" spans="1:8">
      <c r="A15792" t="n">
        <v>149961</v>
      </c>
      <c r="B15792" s="38" t="n">
        <v>51</v>
      </c>
      <c r="C15792" s="7" t="n">
        <v>4</v>
      </c>
      <c r="D15792" s="7" t="n">
        <v>7032</v>
      </c>
      <c r="E15792" s="7" t="s">
        <v>1188</v>
      </c>
    </row>
    <row r="15793" spans="1:24">
      <c r="A15793" t="s">
        <v>4</v>
      </c>
      <c r="B15793" s="4" t="s">
        <v>5</v>
      </c>
      <c r="C15793" s="4" t="s">
        <v>11</v>
      </c>
    </row>
    <row r="15794" spans="1:24">
      <c r="A15794" t="n">
        <v>149976</v>
      </c>
      <c r="B15794" s="29" t="n">
        <v>16</v>
      </c>
      <c r="C15794" s="7" t="n">
        <v>0</v>
      </c>
    </row>
    <row r="15795" spans="1:24">
      <c r="A15795" t="s">
        <v>4</v>
      </c>
      <c r="B15795" s="4" t="s">
        <v>5</v>
      </c>
      <c r="C15795" s="4" t="s">
        <v>11</v>
      </c>
      <c r="D15795" s="4" t="s">
        <v>7</v>
      </c>
      <c r="E15795" s="4" t="s">
        <v>15</v>
      </c>
      <c r="F15795" s="4" t="s">
        <v>55</v>
      </c>
      <c r="G15795" s="4" t="s">
        <v>7</v>
      </c>
      <c r="H15795" s="4" t="s">
        <v>7</v>
      </c>
    </row>
    <row r="15796" spans="1:24">
      <c r="A15796" t="n">
        <v>149979</v>
      </c>
      <c r="B15796" s="55" t="n">
        <v>26</v>
      </c>
      <c r="C15796" s="7" t="n">
        <v>7032</v>
      </c>
      <c r="D15796" s="7" t="n">
        <v>17</v>
      </c>
      <c r="E15796" s="7" t="n">
        <v>64299</v>
      </c>
      <c r="F15796" s="7" t="s">
        <v>1246</v>
      </c>
      <c r="G15796" s="7" t="n">
        <v>2</v>
      </c>
      <c r="H15796" s="7" t="n">
        <v>0</v>
      </c>
    </row>
    <row r="15797" spans="1:24">
      <c r="A15797" t="s">
        <v>4</v>
      </c>
      <c r="B15797" s="4" t="s">
        <v>5</v>
      </c>
    </row>
    <row r="15798" spans="1:24">
      <c r="A15798" t="n">
        <v>150002</v>
      </c>
      <c r="B15798" s="27" t="n">
        <v>28</v>
      </c>
    </row>
    <row r="15799" spans="1:24">
      <c r="A15799" t="s">
        <v>4</v>
      </c>
      <c r="B15799" s="4" t="s">
        <v>5</v>
      </c>
      <c r="C15799" s="4" t="s">
        <v>11</v>
      </c>
    </row>
    <row r="15800" spans="1:24">
      <c r="A15800" t="n">
        <v>150003</v>
      </c>
      <c r="B15800" s="29" t="n">
        <v>16</v>
      </c>
      <c r="C15800" s="7" t="n">
        <v>300</v>
      </c>
    </row>
    <row r="15801" spans="1:24">
      <c r="A15801" t="s">
        <v>4</v>
      </c>
      <c r="B15801" s="4" t="s">
        <v>5</v>
      </c>
      <c r="C15801" s="4" t="s">
        <v>7</v>
      </c>
      <c r="D15801" s="4" t="s">
        <v>11</v>
      </c>
      <c r="E15801" s="4" t="s">
        <v>8</v>
      </c>
    </row>
    <row r="15802" spans="1:24">
      <c r="A15802" t="n">
        <v>150006</v>
      </c>
      <c r="B15802" s="38" t="n">
        <v>51</v>
      </c>
      <c r="C15802" s="7" t="n">
        <v>4</v>
      </c>
      <c r="D15802" s="7" t="n">
        <v>7032</v>
      </c>
      <c r="E15802" s="7" t="s">
        <v>1183</v>
      </c>
    </row>
    <row r="15803" spans="1:24">
      <c r="A15803" t="s">
        <v>4</v>
      </c>
      <c r="B15803" s="4" t="s">
        <v>5</v>
      </c>
      <c r="C15803" s="4" t="s">
        <v>11</v>
      </c>
    </row>
    <row r="15804" spans="1:24">
      <c r="A15804" t="n">
        <v>150020</v>
      </c>
      <c r="B15804" s="29" t="n">
        <v>16</v>
      </c>
      <c r="C15804" s="7" t="n">
        <v>0</v>
      </c>
    </row>
    <row r="15805" spans="1:24">
      <c r="A15805" t="s">
        <v>4</v>
      </c>
      <c r="B15805" s="4" t="s">
        <v>5</v>
      </c>
      <c r="C15805" s="4" t="s">
        <v>11</v>
      </c>
      <c r="D15805" s="4" t="s">
        <v>7</v>
      </c>
      <c r="E15805" s="4" t="s">
        <v>15</v>
      </c>
      <c r="F15805" s="4" t="s">
        <v>55</v>
      </c>
      <c r="G15805" s="4" t="s">
        <v>7</v>
      </c>
      <c r="H15805" s="4" t="s">
        <v>7</v>
      </c>
    </row>
    <row r="15806" spans="1:24">
      <c r="A15806" t="n">
        <v>150023</v>
      </c>
      <c r="B15806" s="55" t="n">
        <v>26</v>
      </c>
      <c r="C15806" s="7" t="n">
        <v>7032</v>
      </c>
      <c r="D15806" s="7" t="n">
        <v>17</v>
      </c>
      <c r="E15806" s="7" t="n">
        <v>64300</v>
      </c>
      <c r="F15806" s="7" t="s">
        <v>1247</v>
      </c>
      <c r="G15806" s="7" t="n">
        <v>2</v>
      </c>
      <c r="H15806" s="7" t="n">
        <v>0</v>
      </c>
    </row>
    <row r="15807" spans="1:24">
      <c r="A15807" t="s">
        <v>4</v>
      </c>
      <c r="B15807" s="4" t="s">
        <v>5</v>
      </c>
    </row>
    <row r="15808" spans="1:24">
      <c r="A15808" t="n">
        <v>150083</v>
      </c>
      <c r="B15808" s="27" t="n">
        <v>28</v>
      </c>
    </row>
    <row r="15809" spans="1:8">
      <c r="A15809" t="s">
        <v>4</v>
      </c>
      <c r="B15809" s="4" t="s">
        <v>5</v>
      </c>
      <c r="C15809" s="4" t="s">
        <v>7</v>
      </c>
      <c r="D15809" s="4" t="s">
        <v>11</v>
      </c>
      <c r="E15809" s="4" t="s">
        <v>7</v>
      </c>
      <c r="F15809" s="4" t="s">
        <v>12</v>
      </c>
    </row>
    <row r="15810" spans="1:8">
      <c r="A15810" t="n">
        <v>150084</v>
      </c>
      <c r="B15810" s="10" t="n">
        <v>5</v>
      </c>
      <c r="C15810" s="7" t="n">
        <v>30</v>
      </c>
      <c r="D15810" s="7" t="n">
        <v>10829</v>
      </c>
      <c r="E15810" s="7" t="n">
        <v>1</v>
      </c>
      <c r="F15810" s="11" t="n">
        <f t="normal" ca="1">A15844</f>
        <v>0</v>
      </c>
    </row>
    <row r="15811" spans="1:8">
      <c r="A15811" t="s">
        <v>4</v>
      </c>
      <c r="B15811" s="4" t="s">
        <v>5</v>
      </c>
      <c r="C15811" s="4" t="s">
        <v>11</v>
      </c>
      <c r="D15811" s="4" t="s">
        <v>13</v>
      </c>
      <c r="E15811" s="4" t="s">
        <v>13</v>
      </c>
      <c r="F15811" s="4" t="s">
        <v>13</v>
      </c>
      <c r="G15811" s="4" t="s">
        <v>11</v>
      </c>
      <c r="H15811" s="4" t="s">
        <v>11</v>
      </c>
    </row>
    <row r="15812" spans="1:8">
      <c r="A15812" t="n">
        <v>150093</v>
      </c>
      <c r="B15812" s="37" t="n">
        <v>60</v>
      </c>
      <c r="C15812" s="7" t="n">
        <v>7032</v>
      </c>
      <c r="D15812" s="7" t="n">
        <v>-15</v>
      </c>
      <c r="E15812" s="7" t="n">
        <v>0</v>
      </c>
      <c r="F15812" s="7" t="n">
        <v>0</v>
      </c>
      <c r="G15812" s="7" t="n">
        <v>800</v>
      </c>
      <c r="H15812" s="7" t="n">
        <v>0</v>
      </c>
    </row>
    <row r="15813" spans="1:8">
      <c r="A15813" t="s">
        <v>4</v>
      </c>
      <c r="B15813" s="4" t="s">
        <v>5</v>
      </c>
      <c r="C15813" s="4" t="s">
        <v>11</v>
      </c>
    </row>
    <row r="15814" spans="1:8">
      <c r="A15814" t="n">
        <v>150112</v>
      </c>
      <c r="B15814" s="29" t="n">
        <v>16</v>
      </c>
      <c r="C15814" s="7" t="n">
        <v>500</v>
      </c>
    </row>
    <row r="15815" spans="1:8">
      <c r="A15815" t="s">
        <v>4</v>
      </c>
      <c r="B15815" s="4" t="s">
        <v>5</v>
      </c>
      <c r="C15815" s="4" t="s">
        <v>7</v>
      </c>
      <c r="D15815" s="4" t="s">
        <v>11</v>
      </c>
      <c r="E15815" s="4" t="s">
        <v>8</v>
      </c>
    </row>
    <row r="15816" spans="1:8">
      <c r="A15816" t="n">
        <v>150115</v>
      </c>
      <c r="B15816" s="38" t="n">
        <v>51</v>
      </c>
      <c r="C15816" s="7" t="n">
        <v>4</v>
      </c>
      <c r="D15816" s="7" t="n">
        <v>7032</v>
      </c>
      <c r="E15816" s="7" t="s">
        <v>1248</v>
      </c>
    </row>
    <row r="15817" spans="1:8">
      <c r="A15817" t="s">
        <v>4</v>
      </c>
      <c r="B15817" s="4" t="s">
        <v>5</v>
      </c>
      <c r="C15817" s="4" t="s">
        <v>11</v>
      </c>
    </row>
    <row r="15818" spans="1:8">
      <c r="A15818" t="n">
        <v>150129</v>
      </c>
      <c r="B15818" s="29" t="n">
        <v>16</v>
      </c>
      <c r="C15818" s="7" t="n">
        <v>0</v>
      </c>
    </row>
    <row r="15819" spans="1:8">
      <c r="A15819" t="s">
        <v>4</v>
      </c>
      <c r="B15819" s="4" t="s">
        <v>5</v>
      </c>
      <c r="C15819" s="4" t="s">
        <v>11</v>
      </c>
      <c r="D15819" s="4" t="s">
        <v>7</v>
      </c>
      <c r="E15819" s="4" t="s">
        <v>15</v>
      </c>
      <c r="F15819" s="4" t="s">
        <v>55</v>
      </c>
      <c r="G15819" s="4" t="s">
        <v>7</v>
      </c>
      <c r="H15819" s="4" t="s">
        <v>7</v>
      </c>
    </row>
    <row r="15820" spans="1:8">
      <c r="A15820" t="n">
        <v>150132</v>
      </c>
      <c r="B15820" s="55" t="n">
        <v>26</v>
      </c>
      <c r="C15820" s="7" t="n">
        <v>7032</v>
      </c>
      <c r="D15820" s="7" t="n">
        <v>17</v>
      </c>
      <c r="E15820" s="7" t="n">
        <v>64301</v>
      </c>
      <c r="F15820" s="7" t="s">
        <v>1249</v>
      </c>
      <c r="G15820" s="7" t="n">
        <v>2</v>
      </c>
      <c r="H15820" s="7" t="n">
        <v>0</v>
      </c>
    </row>
    <row r="15821" spans="1:8">
      <c r="A15821" t="s">
        <v>4</v>
      </c>
      <c r="B15821" s="4" t="s">
        <v>5</v>
      </c>
    </row>
    <row r="15822" spans="1:8">
      <c r="A15822" t="n">
        <v>150176</v>
      </c>
      <c r="B15822" s="27" t="n">
        <v>28</v>
      </c>
    </row>
    <row r="15823" spans="1:8">
      <c r="A15823" t="s">
        <v>4</v>
      </c>
      <c r="B15823" s="4" t="s">
        <v>5</v>
      </c>
      <c r="C15823" s="4" t="s">
        <v>7</v>
      </c>
      <c r="D15823" s="4" t="s">
        <v>11</v>
      </c>
      <c r="E15823" s="4" t="s">
        <v>8</v>
      </c>
    </row>
    <row r="15824" spans="1:8">
      <c r="A15824" t="n">
        <v>150177</v>
      </c>
      <c r="B15824" s="38" t="n">
        <v>51</v>
      </c>
      <c r="C15824" s="7" t="n">
        <v>4</v>
      </c>
      <c r="D15824" s="7" t="n">
        <v>0</v>
      </c>
      <c r="E15824" s="7" t="s">
        <v>235</v>
      </c>
    </row>
    <row r="15825" spans="1:8">
      <c r="A15825" t="s">
        <v>4</v>
      </c>
      <c r="B15825" s="4" t="s">
        <v>5</v>
      </c>
      <c r="C15825" s="4" t="s">
        <v>11</v>
      </c>
    </row>
    <row r="15826" spans="1:8">
      <c r="A15826" t="n">
        <v>150191</v>
      </c>
      <c r="B15826" s="29" t="n">
        <v>16</v>
      </c>
      <c r="C15826" s="7" t="n">
        <v>0</v>
      </c>
    </row>
    <row r="15827" spans="1:8">
      <c r="A15827" t="s">
        <v>4</v>
      </c>
      <c r="B15827" s="4" t="s">
        <v>5</v>
      </c>
      <c r="C15827" s="4" t="s">
        <v>11</v>
      </c>
      <c r="D15827" s="4" t="s">
        <v>7</v>
      </c>
      <c r="E15827" s="4" t="s">
        <v>15</v>
      </c>
      <c r="F15827" s="4" t="s">
        <v>55</v>
      </c>
      <c r="G15827" s="4" t="s">
        <v>7</v>
      </c>
      <c r="H15827" s="4" t="s">
        <v>7</v>
      </c>
    </row>
    <row r="15828" spans="1:8">
      <c r="A15828" t="n">
        <v>150194</v>
      </c>
      <c r="B15828" s="55" t="n">
        <v>26</v>
      </c>
      <c r="C15828" s="7" t="n">
        <v>0</v>
      </c>
      <c r="D15828" s="7" t="n">
        <v>17</v>
      </c>
      <c r="E15828" s="7" t="n">
        <v>64302</v>
      </c>
      <c r="F15828" s="7" t="s">
        <v>1250</v>
      </c>
      <c r="G15828" s="7" t="n">
        <v>2</v>
      </c>
      <c r="H15828" s="7" t="n">
        <v>0</v>
      </c>
    </row>
    <row r="15829" spans="1:8">
      <c r="A15829" t="s">
        <v>4</v>
      </c>
      <c r="B15829" s="4" t="s">
        <v>5</v>
      </c>
    </row>
    <row r="15830" spans="1:8">
      <c r="A15830" t="n">
        <v>150301</v>
      </c>
      <c r="B15830" s="27" t="n">
        <v>28</v>
      </c>
    </row>
    <row r="15831" spans="1:8">
      <c r="A15831" t="s">
        <v>4</v>
      </c>
      <c r="B15831" s="4" t="s">
        <v>5</v>
      </c>
      <c r="C15831" s="4" t="s">
        <v>7</v>
      </c>
      <c r="D15831" s="4" t="s">
        <v>11</v>
      </c>
      <c r="E15831" s="4" t="s">
        <v>11</v>
      </c>
      <c r="F15831" s="4" t="s">
        <v>7</v>
      </c>
    </row>
    <row r="15832" spans="1:8">
      <c r="A15832" t="n">
        <v>150302</v>
      </c>
      <c r="B15832" s="31" t="n">
        <v>25</v>
      </c>
      <c r="C15832" s="7" t="n">
        <v>1</v>
      </c>
      <c r="D15832" s="7" t="n">
        <v>65535</v>
      </c>
      <c r="E15832" s="7" t="n">
        <v>65535</v>
      </c>
      <c r="F15832" s="7" t="n">
        <v>0</v>
      </c>
    </row>
    <row r="15833" spans="1:8">
      <c r="A15833" t="s">
        <v>4</v>
      </c>
      <c r="B15833" s="4" t="s">
        <v>5</v>
      </c>
      <c r="C15833" s="4" t="s">
        <v>11</v>
      </c>
      <c r="D15833" s="4" t="s">
        <v>13</v>
      </c>
      <c r="E15833" s="4" t="s">
        <v>13</v>
      </c>
      <c r="F15833" s="4" t="s">
        <v>13</v>
      </c>
      <c r="G15833" s="4" t="s">
        <v>11</v>
      </c>
      <c r="H15833" s="4" t="s">
        <v>11</v>
      </c>
    </row>
    <row r="15834" spans="1:8">
      <c r="A15834" t="n">
        <v>150309</v>
      </c>
      <c r="B15834" s="37" t="n">
        <v>60</v>
      </c>
      <c r="C15834" s="7" t="n">
        <v>7032</v>
      </c>
      <c r="D15834" s="7" t="n">
        <v>0</v>
      </c>
      <c r="E15834" s="7" t="n">
        <v>0</v>
      </c>
      <c r="F15834" s="7" t="n">
        <v>0</v>
      </c>
      <c r="G15834" s="7" t="n">
        <v>600</v>
      </c>
      <c r="H15834" s="7" t="n">
        <v>0</v>
      </c>
    </row>
    <row r="15835" spans="1:8">
      <c r="A15835" t="s">
        <v>4</v>
      </c>
      <c r="B15835" s="4" t="s">
        <v>5</v>
      </c>
      <c r="C15835" s="4" t="s">
        <v>7</v>
      </c>
      <c r="D15835" s="4" t="s">
        <v>11</v>
      </c>
      <c r="E15835" s="4" t="s">
        <v>8</v>
      </c>
    </row>
    <row r="15836" spans="1:8">
      <c r="A15836" t="n">
        <v>150328</v>
      </c>
      <c r="B15836" s="38" t="n">
        <v>51</v>
      </c>
      <c r="C15836" s="7" t="n">
        <v>4</v>
      </c>
      <c r="D15836" s="7" t="n">
        <v>7032</v>
      </c>
      <c r="E15836" s="7" t="s">
        <v>658</v>
      </c>
    </row>
    <row r="15837" spans="1:8">
      <c r="A15837" t="s">
        <v>4</v>
      </c>
      <c r="B15837" s="4" t="s">
        <v>5</v>
      </c>
      <c r="C15837" s="4" t="s">
        <v>11</v>
      </c>
    </row>
    <row r="15838" spans="1:8">
      <c r="A15838" t="n">
        <v>150342</v>
      </c>
      <c r="B15838" s="29" t="n">
        <v>16</v>
      </c>
      <c r="C15838" s="7" t="n">
        <v>0</v>
      </c>
    </row>
    <row r="15839" spans="1:8">
      <c r="A15839" t="s">
        <v>4</v>
      </c>
      <c r="B15839" s="4" t="s">
        <v>5</v>
      </c>
      <c r="C15839" s="4" t="s">
        <v>11</v>
      </c>
      <c r="D15839" s="4" t="s">
        <v>7</v>
      </c>
      <c r="E15839" s="4" t="s">
        <v>15</v>
      </c>
      <c r="F15839" s="4" t="s">
        <v>55</v>
      </c>
      <c r="G15839" s="4" t="s">
        <v>7</v>
      </c>
      <c r="H15839" s="4" t="s">
        <v>7</v>
      </c>
      <c r="I15839" s="4" t="s">
        <v>7</v>
      </c>
      <c r="J15839" s="4" t="s">
        <v>15</v>
      </c>
      <c r="K15839" s="4" t="s">
        <v>55</v>
      </c>
      <c r="L15839" s="4" t="s">
        <v>7</v>
      </c>
      <c r="M15839" s="4" t="s">
        <v>7</v>
      </c>
    </row>
    <row r="15840" spans="1:8">
      <c r="A15840" t="n">
        <v>150345</v>
      </c>
      <c r="B15840" s="55" t="n">
        <v>26</v>
      </c>
      <c r="C15840" s="7" t="n">
        <v>7032</v>
      </c>
      <c r="D15840" s="7" t="n">
        <v>17</v>
      </c>
      <c r="E15840" s="7" t="n">
        <v>64303</v>
      </c>
      <c r="F15840" s="7" t="s">
        <v>1251</v>
      </c>
      <c r="G15840" s="7" t="n">
        <v>2</v>
      </c>
      <c r="H15840" s="7" t="n">
        <v>3</v>
      </c>
      <c r="I15840" s="7" t="n">
        <v>17</v>
      </c>
      <c r="J15840" s="7" t="n">
        <v>64304</v>
      </c>
      <c r="K15840" s="7" t="s">
        <v>1252</v>
      </c>
      <c r="L15840" s="7" t="n">
        <v>2</v>
      </c>
      <c r="M15840" s="7" t="n">
        <v>0</v>
      </c>
    </row>
    <row r="15841" spans="1:13">
      <c r="A15841" t="s">
        <v>4</v>
      </c>
      <c r="B15841" s="4" t="s">
        <v>5</v>
      </c>
    </row>
    <row r="15842" spans="1:13">
      <c r="A15842" t="n">
        <v>150467</v>
      </c>
      <c r="B15842" s="27" t="n">
        <v>28</v>
      </c>
    </row>
    <row r="15843" spans="1:13">
      <c r="A15843" t="s">
        <v>4</v>
      </c>
      <c r="B15843" s="4" t="s">
        <v>5</v>
      </c>
      <c r="C15843" s="4" t="s">
        <v>7</v>
      </c>
      <c r="D15843" s="4" t="s">
        <v>11</v>
      </c>
      <c r="E15843" s="4" t="s">
        <v>8</v>
      </c>
      <c r="F15843" s="4" t="s">
        <v>8</v>
      </c>
      <c r="G15843" s="4" t="s">
        <v>8</v>
      </c>
      <c r="H15843" s="4" t="s">
        <v>8</v>
      </c>
    </row>
    <row r="15844" spans="1:13">
      <c r="A15844" t="n">
        <v>150468</v>
      </c>
      <c r="B15844" s="38" t="n">
        <v>51</v>
      </c>
      <c r="C15844" s="7" t="n">
        <v>3</v>
      </c>
      <c r="D15844" s="7" t="n">
        <v>7032</v>
      </c>
      <c r="E15844" s="7" t="s">
        <v>86</v>
      </c>
      <c r="F15844" s="7" t="s">
        <v>218</v>
      </c>
      <c r="G15844" s="7" t="s">
        <v>78</v>
      </c>
      <c r="H15844" s="7" t="s">
        <v>79</v>
      </c>
    </row>
    <row r="15845" spans="1:13">
      <c r="A15845" t="s">
        <v>4</v>
      </c>
      <c r="B15845" s="4" t="s">
        <v>5</v>
      </c>
      <c r="C15845" s="4" t="s">
        <v>11</v>
      </c>
      <c r="D15845" s="4" t="s">
        <v>7</v>
      </c>
      <c r="E15845" s="4" t="s">
        <v>13</v>
      </c>
      <c r="F15845" s="4" t="s">
        <v>11</v>
      </c>
    </row>
    <row r="15846" spans="1:13">
      <c r="A15846" t="n">
        <v>150481</v>
      </c>
      <c r="B15846" s="56" t="n">
        <v>59</v>
      </c>
      <c r="C15846" s="7" t="n">
        <v>7032</v>
      </c>
      <c r="D15846" s="7" t="n">
        <v>9</v>
      </c>
      <c r="E15846" s="7" t="n">
        <v>0.150000005960464</v>
      </c>
      <c r="F15846" s="7" t="n">
        <v>0</v>
      </c>
    </row>
    <row r="15847" spans="1:13">
      <c r="A15847" t="s">
        <v>4</v>
      </c>
      <c r="B15847" s="4" t="s">
        <v>5</v>
      </c>
      <c r="C15847" s="4" t="s">
        <v>11</v>
      </c>
    </row>
    <row r="15848" spans="1:13">
      <c r="A15848" t="n">
        <v>150491</v>
      </c>
      <c r="B15848" s="29" t="n">
        <v>16</v>
      </c>
      <c r="C15848" s="7" t="n">
        <v>2300</v>
      </c>
    </row>
    <row r="15849" spans="1:13">
      <c r="A15849" t="s">
        <v>4</v>
      </c>
      <c r="B15849" s="4" t="s">
        <v>5</v>
      </c>
      <c r="C15849" s="4" t="s">
        <v>7</v>
      </c>
      <c r="D15849" s="4" t="s">
        <v>11</v>
      </c>
      <c r="E15849" s="4" t="s">
        <v>8</v>
      </c>
    </row>
    <row r="15850" spans="1:13">
      <c r="A15850" t="n">
        <v>150494</v>
      </c>
      <c r="B15850" s="38" t="n">
        <v>51</v>
      </c>
      <c r="C15850" s="7" t="n">
        <v>4</v>
      </c>
      <c r="D15850" s="7" t="n">
        <v>7032</v>
      </c>
      <c r="E15850" s="7" t="s">
        <v>137</v>
      </c>
    </row>
    <row r="15851" spans="1:13">
      <c r="A15851" t="s">
        <v>4</v>
      </c>
      <c r="B15851" s="4" t="s">
        <v>5</v>
      </c>
      <c r="C15851" s="4" t="s">
        <v>11</v>
      </c>
    </row>
    <row r="15852" spans="1:13">
      <c r="A15852" t="n">
        <v>150507</v>
      </c>
      <c r="B15852" s="29" t="n">
        <v>16</v>
      </c>
      <c r="C15852" s="7" t="n">
        <v>0</v>
      </c>
    </row>
    <row r="15853" spans="1:13">
      <c r="A15853" t="s">
        <v>4</v>
      </c>
      <c r="B15853" s="4" t="s">
        <v>5</v>
      </c>
      <c r="C15853" s="4" t="s">
        <v>11</v>
      </c>
      <c r="D15853" s="4" t="s">
        <v>7</v>
      </c>
      <c r="E15853" s="4" t="s">
        <v>15</v>
      </c>
      <c r="F15853" s="4" t="s">
        <v>55</v>
      </c>
      <c r="G15853" s="4" t="s">
        <v>7</v>
      </c>
      <c r="H15853" s="4" t="s">
        <v>7</v>
      </c>
      <c r="I15853" s="4" t="s">
        <v>7</v>
      </c>
      <c r="J15853" s="4" t="s">
        <v>15</v>
      </c>
      <c r="K15853" s="4" t="s">
        <v>55</v>
      </c>
      <c r="L15853" s="4" t="s">
        <v>7</v>
      </c>
      <c r="M15853" s="4" t="s">
        <v>7</v>
      </c>
      <c r="N15853" s="4" t="s">
        <v>7</v>
      </c>
      <c r="O15853" s="4" t="s">
        <v>15</v>
      </c>
      <c r="P15853" s="4" t="s">
        <v>55</v>
      </c>
      <c r="Q15853" s="4" t="s">
        <v>7</v>
      </c>
      <c r="R15853" s="4" t="s">
        <v>7</v>
      </c>
    </row>
    <row r="15854" spans="1:13">
      <c r="A15854" t="n">
        <v>150510</v>
      </c>
      <c r="B15854" s="55" t="n">
        <v>26</v>
      </c>
      <c r="C15854" s="7" t="n">
        <v>7032</v>
      </c>
      <c r="D15854" s="7" t="n">
        <v>17</v>
      </c>
      <c r="E15854" s="7" t="n">
        <v>64305</v>
      </c>
      <c r="F15854" s="7" t="s">
        <v>1253</v>
      </c>
      <c r="G15854" s="7" t="n">
        <v>2</v>
      </c>
      <c r="H15854" s="7" t="n">
        <v>3</v>
      </c>
      <c r="I15854" s="7" t="n">
        <v>17</v>
      </c>
      <c r="J15854" s="7" t="n">
        <v>64306</v>
      </c>
      <c r="K15854" s="7" t="s">
        <v>1254</v>
      </c>
      <c r="L15854" s="7" t="n">
        <v>2</v>
      </c>
      <c r="M15854" s="7" t="n">
        <v>3</v>
      </c>
      <c r="N15854" s="7" t="n">
        <v>17</v>
      </c>
      <c r="O15854" s="7" t="n">
        <v>64307</v>
      </c>
      <c r="P15854" s="7" t="s">
        <v>1255</v>
      </c>
      <c r="Q15854" s="7" t="n">
        <v>2</v>
      </c>
      <c r="R15854" s="7" t="n">
        <v>0</v>
      </c>
    </row>
    <row r="15855" spans="1:13">
      <c r="A15855" t="s">
        <v>4</v>
      </c>
      <c r="B15855" s="4" t="s">
        <v>5</v>
      </c>
    </row>
    <row r="15856" spans="1:13">
      <c r="A15856" t="n">
        <v>150786</v>
      </c>
      <c r="B15856" s="27" t="n">
        <v>28</v>
      </c>
    </row>
    <row r="15857" spans="1:18">
      <c r="A15857" t="s">
        <v>4</v>
      </c>
      <c r="B15857" s="4" t="s">
        <v>5</v>
      </c>
      <c r="C15857" s="4" t="s">
        <v>11</v>
      </c>
      <c r="D15857" s="4" t="s">
        <v>7</v>
      </c>
      <c r="E15857" s="4" t="s">
        <v>7</v>
      </c>
      <c r="F15857" s="4" t="s">
        <v>8</v>
      </c>
    </row>
    <row r="15858" spans="1:18">
      <c r="A15858" t="n">
        <v>150787</v>
      </c>
      <c r="B15858" s="50" t="n">
        <v>20</v>
      </c>
      <c r="C15858" s="7" t="n">
        <v>0</v>
      </c>
      <c r="D15858" s="7" t="n">
        <v>2</v>
      </c>
      <c r="E15858" s="7" t="n">
        <v>10</v>
      </c>
      <c r="F15858" s="7" t="s">
        <v>223</v>
      </c>
    </row>
    <row r="15859" spans="1:18">
      <c r="A15859" t="s">
        <v>4</v>
      </c>
      <c r="B15859" s="4" t="s">
        <v>5</v>
      </c>
      <c r="C15859" s="4" t="s">
        <v>7</v>
      </c>
      <c r="D15859" s="4" t="s">
        <v>11</v>
      </c>
      <c r="E15859" s="4" t="s">
        <v>8</v>
      </c>
    </row>
    <row r="15860" spans="1:18">
      <c r="A15860" t="n">
        <v>150808</v>
      </c>
      <c r="B15860" s="38" t="n">
        <v>51</v>
      </c>
      <c r="C15860" s="7" t="n">
        <v>4</v>
      </c>
      <c r="D15860" s="7" t="n">
        <v>0</v>
      </c>
      <c r="E15860" s="7" t="s">
        <v>1256</v>
      </c>
    </row>
    <row r="15861" spans="1:18">
      <c r="A15861" t="s">
        <v>4</v>
      </c>
      <c r="B15861" s="4" t="s">
        <v>5</v>
      </c>
      <c r="C15861" s="4" t="s">
        <v>11</v>
      </c>
    </row>
    <row r="15862" spans="1:18">
      <c r="A15862" t="n">
        <v>150822</v>
      </c>
      <c r="B15862" s="29" t="n">
        <v>16</v>
      </c>
      <c r="C15862" s="7" t="n">
        <v>0</v>
      </c>
    </row>
    <row r="15863" spans="1:18">
      <c r="A15863" t="s">
        <v>4</v>
      </c>
      <c r="B15863" s="4" t="s">
        <v>5</v>
      </c>
      <c r="C15863" s="4" t="s">
        <v>11</v>
      </c>
      <c r="D15863" s="4" t="s">
        <v>7</v>
      </c>
      <c r="E15863" s="4" t="s">
        <v>15</v>
      </c>
      <c r="F15863" s="4" t="s">
        <v>55</v>
      </c>
      <c r="G15863" s="4" t="s">
        <v>7</v>
      </c>
      <c r="H15863" s="4" t="s">
        <v>7</v>
      </c>
      <c r="I15863" s="4" t="s">
        <v>7</v>
      </c>
      <c r="J15863" s="4" t="s">
        <v>15</v>
      </c>
      <c r="K15863" s="4" t="s">
        <v>55</v>
      </c>
      <c r="L15863" s="4" t="s">
        <v>7</v>
      </c>
      <c r="M15863" s="4" t="s">
        <v>7</v>
      </c>
    </row>
    <row r="15864" spans="1:18">
      <c r="A15864" t="n">
        <v>150825</v>
      </c>
      <c r="B15864" s="55" t="n">
        <v>26</v>
      </c>
      <c r="C15864" s="7" t="n">
        <v>0</v>
      </c>
      <c r="D15864" s="7" t="n">
        <v>17</v>
      </c>
      <c r="E15864" s="7" t="n">
        <v>64308</v>
      </c>
      <c r="F15864" s="7" t="s">
        <v>1257</v>
      </c>
      <c r="G15864" s="7" t="n">
        <v>2</v>
      </c>
      <c r="H15864" s="7" t="n">
        <v>3</v>
      </c>
      <c r="I15864" s="7" t="n">
        <v>17</v>
      </c>
      <c r="J15864" s="7" t="n">
        <v>64309</v>
      </c>
      <c r="K15864" s="7" t="s">
        <v>1258</v>
      </c>
      <c r="L15864" s="7" t="n">
        <v>2</v>
      </c>
      <c r="M15864" s="7" t="n">
        <v>0</v>
      </c>
    </row>
    <row r="15865" spans="1:18">
      <c r="A15865" t="s">
        <v>4</v>
      </c>
      <c r="B15865" s="4" t="s">
        <v>5</v>
      </c>
    </row>
    <row r="15866" spans="1:18">
      <c r="A15866" t="n">
        <v>150992</v>
      </c>
      <c r="B15866" s="27" t="n">
        <v>28</v>
      </c>
    </row>
    <row r="15867" spans="1:18">
      <c r="A15867" t="s">
        <v>4</v>
      </c>
      <c r="B15867" s="4" t="s">
        <v>5</v>
      </c>
      <c r="C15867" s="4" t="s">
        <v>7</v>
      </c>
      <c r="D15867" s="4" t="s">
        <v>11</v>
      </c>
      <c r="E15867" s="4" t="s">
        <v>11</v>
      </c>
      <c r="F15867" s="4" t="s">
        <v>7</v>
      </c>
    </row>
    <row r="15868" spans="1:18">
      <c r="A15868" t="n">
        <v>150993</v>
      </c>
      <c r="B15868" s="31" t="n">
        <v>25</v>
      </c>
      <c r="C15868" s="7" t="n">
        <v>1</v>
      </c>
      <c r="D15868" s="7" t="n">
        <v>65535</v>
      </c>
      <c r="E15868" s="7" t="n">
        <v>65535</v>
      </c>
      <c r="F15868" s="7" t="n">
        <v>0</v>
      </c>
    </row>
    <row r="15869" spans="1:18">
      <c r="A15869" t="s">
        <v>4</v>
      </c>
      <c r="B15869" s="4" t="s">
        <v>5</v>
      </c>
      <c r="C15869" s="4" t="s">
        <v>7</v>
      </c>
      <c r="D15869" s="4" t="s">
        <v>11</v>
      </c>
      <c r="E15869" s="4" t="s">
        <v>8</v>
      </c>
    </row>
    <row r="15870" spans="1:18">
      <c r="A15870" t="n">
        <v>151000</v>
      </c>
      <c r="B15870" s="38" t="n">
        <v>51</v>
      </c>
      <c r="C15870" s="7" t="n">
        <v>4</v>
      </c>
      <c r="D15870" s="7" t="n">
        <v>7032</v>
      </c>
      <c r="E15870" s="7" t="s">
        <v>658</v>
      </c>
    </row>
    <row r="15871" spans="1:18">
      <c r="A15871" t="s">
        <v>4</v>
      </c>
      <c r="B15871" s="4" t="s">
        <v>5</v>
      </c>
      <c r="C15871" s="4" t="s">
        <v>11</v>
      </c>
    </row>
    <row r="15872" spans="1:18">
      <c r="A15872" t="n">
        <v>151014</v>
      </c>
      <c r="B15872" s="29" t="n">
        <v>16</v>
      </c>
      <c r="C15872" s="7" t="n">
        <v>0</v>
      </c>
    </row>
    <row r="15873" spans="1:13">
      <c r="A15873" t="s">
        <v>4</v>
      </c>
      <c r="B15873" s="4" t="s">
        <v>5</v>
      </c>
      <c r="C15873" s="4" t="s">
        <v>11</v>
      </c>
      <c r="D15873" s="4" t="s">
        <v>7</v>
      </c>
      <c r="E15873" s="4" t="s">
        <v>15</v>
      </c>
      <c r="F15873" s="4" t="s">
        <v>55</v>
      </c>
      <c r="G15873" s="4" t="s">
        <v>7</v>
      </c>
      <c r="H15873" s="4" t="s">
        <v>7</v>
      </c>
      <c r="I15873" s="4" t="s">
        <v>7</v>
      </c>
      <c r="J15873" s="4" t="s">
        <v>15</v>
      </c>
      <c r="K15873" s="4" t="s">
        <v>55</v>
      </c>
      <c r="L15873" s="4" t="s">
        <v>7</v>
      </c>
      <c r="M15873" s="4" t="s">
        <v>7</v>
      </c>
      <c r="N15873" s="4" t="s">
        <v>7</v>
      </c>
      <c r="O15873" s="4" t="s">
        <v>15</v>
      </c>
      <c r="P15873" s="4" t="s">
        <v>55</v>
      </c>
      <c r="Q15873" s="4" t="s">
        <v>7</v>
      </c>
      <c r="R15873" s="4" t="s">
        <v>7</v>
      </c>
    </row>
    <row r="15874" spans="1:13">
      <c r="A15874" t="n">
        <v>151017</v>
      </c>
      <c r="B15874" s="55" t="n">
        <v>26</v>
      </c>
      <c r="C15874" s="7" t="n">
        <v>7032</v>
      </c>
      <c r="D15874" s="7" t="n">
        <v>17</v>
      </c>
      <c r="E15874" s="7" t="n">
        <v>64310</v>
      </c>
      <c r="F15874" s="7" t="s">
        <v>1259</v>
      </c>
      <c r="G15874" s="7" t="n">
        <v>2</v>
      </c>
      <c r="H15874" s="7" t="n">
        <v>3</v>
      </c>
      <c r="I15874" s="7" t="n">
        <v>17</v>
      </c>
      <c r="J15874" s="7" t="n">
        <v>64311</v>
      </c>
      <c r="K15874" s="7" t="s">
        <v>1260</v>
      </c>
      <c r="L15874" s="7" t="n">
        <v>2</v>
      </c>
      <c r="M15874" s="7" t="n">
        <v>3</v>
      </c>
      <c r="N15874" s="7" t="n">
        <v>17</v>
      </c>
      <c r="O15874" s="7" t="n">
        <v>64312</v>
      </c>
      <c r="P15874" s="7" t="s">
        <v>1261</v>
      </c>
      <c r="Q15874" s="7" t="n">
        <v>2</v>
      </c>
      <c r="R15874" s="7" t="n">
        <v>0</v>
      </c>
    </row>
    <row r="15875" spans="1:13">
      <c r="A15875" t="s">
        <v>4</v>
      </c>
      <c r="B15875" s="4" t="s">
        <v>5</v>
      </c>
    </row>
    <row r="15876" spans="1:13">
      <c r="A15876" t="n">
        <v>151163</v>
      </c>
      <c r="B15876" s="27" t="n">
        <v>28</v>
      </c>
    </row>
    <row r="15877" spans="1:13">
      <c r="A15877" t="s">
        <v>4</v>
      </c>
      <c r="B15877" s="4" t="s">
        <v>5</v>
      </c>
      <c r="C15877" s="4" t="s">
        <v>7</v>
      </c>
      <c r="D15877" s="4" t="s">
        <v>11</v>
      </c>
      <c r="E15877" s="4" t="s">
        <v>13</v>
      </c>
    </row>
    <row r="15878" spans="1:13">
      <c r="A15878" t="n">
        <v>151164</v>
      </c>
      <c r="B15878" s="23" t="n">
        <v>58</v>
      </c>
      <c r="C15878" s="7" t="n">
        <v>0</v>
      </c>
      <c r="D15878" s="7" t="n">
        <v>2000</v>
      </c>
      <c r="E15878" s="7" t="n">
        <v>1</v>
      </c>
    </row>
    <row r="15879" spans="1:13">
      <c r="A15879" t="s">
        <v>4</v>
      </c>
      <c r="B15879" s="4" t="s">
        <v>5</v>
      </c>
      <c r="C15879" s="4" t="s">
        <v>7</v>
      </c>
      <c r="D15879" s="4" t="s">
        <v>11</v>
      </c>
    </row>
    <row r="15880" spans="1:13">
      <c r="A15880" t="n">
        <v>151172</v>
      </c>
      <c r="B15880" s="23" t="n">
        <v>58</v>
      </c>
      <c r="C15880" s="7" t="n">
        <v>255</v>
      </c>
      <c r="D15880" s="7" t="n">
        <v>0</v>
      </c>
    </row>
    <row r="15881" spans="1:13">
      <c r="A15881" t="s">
        <v>4</v>
      </c>
      <c r="B15881" s="4" t="s">
        <v>5</v>
      </c>
      <c r="C15881" s="4" t="s">
        <v>11</v>
      </c>
    </row>
    <row r="15882" spans="1:13">
      <c r="A15882" t="n">
        <v>151176</v>
      </c>
      <c r="B15882" s="29" t="n">
        <v>16</v>
      </c>
      <c r="C15882" s="7" t="n">
        <v>1000</v>
      </c>
    </row>
    <row r="15883" spans="1:13">
      <c r="A15883" t="s">
        <v>4</v>
      </c>
      <c r="B15883" s="4" t="s">
        <v>5</v>
      </c>
      <c r="C15883" s="4" t="s">
        <v>7</v>
      </c>
      <c r="D15883" s="4" t="s">
        <v>11</v>
      </c>
      <c r="E15883" s="4" t="s">
        <v>7</v>
      </c>
    </row>
    <row r="15884" spans="1:13">
      <c r="A15884" t="n">
        <v>151179</v>
      </c>
      <c r="B15884" s="40" t="n">
        <v>36</v>
      </c>
      <c r="C15884" s="7" t="n">
        <v>9</v>
      </c>
      <c r="D15884" s="7" t="n">
        <v>0</v>
      </c>
      <c r="E15884" s="7" t="n">
        <v>0</v>
      </c>
    </row>
    <row r="15885" spans="1:13">
      <c r="A15885" t="s">
        <v>4</v>
      </c>
      <c r="B15885" s="4" t="s">
        <v>5</v>
      </c>
      <c r="C15885" s="4" t="s">
        <v>11</v>
      </c>
    </row>
    <row r="15886" spans="1:13">
      <c r="A15886" t="n">
        <v>151184</v>
      </c>
      <c r="B15886" s="43" t="n">
        <v>12</v>
      </c>
      <c r="C15886" s="7" t="n">
        <v>10305</v>
      </c>
    </row>
    <row r="15887" spans="1:13">
      <c r="A15887" t="s">
        <v>4</v>
      </c>
      <c r="B15887" s="4" t="s">
        <v>5</v>
      </c>
      <c r="C15887" s="4" t="s">
        <v>7</v>
      </c>
      <c r="D15887" s="4" t="s">
        <v>11</v>
      </c>
      <c r="E15887" s="4" t="s">
        <v>11</v>
      </c>
    </row>
    <row r="15888" spans="1:13">
      <c r="A15888" t="n">
        <v>151187</v>
      </c>
      <c r="B15888" s="59" t="n">
        <v>135</v>
      </c>
      <c r="C15888" s="7" t="n">
        <v>0</v>
      </c>
      <c r="D15888" s="7" t="n">
        <v>122</v>
      </c>
      <c r="E15888" s="7" t="n">
        <v>64</v>
      </c>
    </row>
    <row r="15889" spans="1:18">
      <c r="A15889" t="s">
        <v>4</v>
      </c>
      <c r="B15889" s="4" t="s">
        <v>5</v>
      </c>
      <c r="C15889" s="4" t="s">
        <v>7</v>
      </c>
      <c r="D15889" s="4" t="s">
        <v>8</v>
      </c>
    </row>
    <row r="15890" spans="1:18">
      <c r="A15890" t="n">
        <v>151193</v>
      </c>
      <c r="B15890" s="6" t="n">
        <v>2</v>
      </c>
      <c r="C15890" s="7" t="n">
        <v>11</v>
      </c>
      <c r="D15890" s="7" t="s">
        <v>37</v>
      </c>
    </row>
    <row r="15891" spans="1:18">
      <c r="A15891" t="s">
        <v>4</v>
      </c>
      <c r="B15891" s="4" t="s">
        <v>5</v>
      </c>
      <c r="C15891" s="4" t="s">
        <v>11</v>
      </c>
      <c r="D15891" s="4" t="s">
        <v>13</v>
      </c>
      <c r="E15891" s="4" t="s">
        <v>13</v>
      </c>
      <c r="F15891" s="4" t="s">
        <v>13</v>
      </c>
      <c r="G15891" s="4" t="s">
        <v>13</v>
      </c>
    </row>
    <row r="15892" spans="1:18">
      <c r="A15892" t="n">
        <v>151217</v>
      </c>
      <c r="B15892" s="36" t="n">
        <v>46</v>
      </c>
      <c r="C15892" s="7" t="n">
        <v>61456</v>
      </c>
      <c r="D15892" s="7" t="n">
        <v>3.65000009536743</v>
      </c>
      <c r="E15892" s="7" t="n">
        <v>0</v>
      </c>
      <c r="F15892" s="7" t="n">
        <v>48.4000015258789</v>
      </c>
      <c r="G15892" s="7" t="n">
        <v>195.699996948242</v>
      </c>
    </row>
    <row r="15893" spans="1:18">
      <c r="A15893" t="s">
        <v>4</v>
      </c>
      <c r="B15893" s="4" t="s">
        <v>5</v>
      </c>
      <c r="C15893" s="4" t="s">
        <v>7</v>
      </c>
      <c r="D15893" s="4" t="s">
        <v>7</v>
      </c>
      <c r="E15893" s="4" t="s">
        <v>13</v>
      </c>
      <c r="F15893" s="4" t="s">
        <v>13</v>
      </c>
      <c r="G15893" s="4" t="s">
        <v>13</v>
      </c>
      <c r="H15893" s="4" t="s">
        <v>11</v>
      </c>
      <c r="I15893" s="4" t="s">
        <v>7</v>
      </c>
    </row>
    <row r="15894" spans="1:18">
      <c r="A15894" t="n">
        <v>151236</v>
      </c>
      <c r="B15894" s="51" t="n">
        <v>45</v>
      </c>
      <c r="C15894" s="7" t="n">
        <v>4</v>
      </c>
      <c r="D15894" s="7" t="n">
        <v>3</v>
      </c>
      <c r="E15894" s="7" t="n">
        <v>7.30000019073486</v>
      </c>
      <c r="F15894" s="7" t="n">
        <v>157.399993896484</v>
      </c>
      <c r="G15894" s="7" t="n">
        <v>0</v>
      </c>
      <c r="H15894" s="7" t="n">
        <v>0</v>
      </c>
      <c r="I15894" s="7" t="n">
        <v>0</v>
      </c>
    </row>
    <row r="15895" spans="1:18">
      <c r="A15895" t="s">
        <v>4</v>
      </c>
      <c r="B15895" s="4" t="s">
        <v>5</v>
      </c>
      <c r="C15895" s="4" t="s">
        <v>7</v>
      </c>
      <c r="D15895" s="4" t="s">
        <v>8</v>
      </c>
    </row>
    <row r="15896" spans="1:18">
      <c r="A15896" t="n">
        <v>151254</v>
      </c>
      <c r="B15896" s="6" t="n">
        <v>2</v>
      </c>
      <c r="C15896" s="7" t="n">
        <v>10</v>
      </c>
      <c r="D15896" s="7" t="s">
        <v>119</v>
      </c>
    </row>
    <row r="15897" spans="1:18">
      <c r="A15897" t="s">
        <v>4</v>
      </c>
      <c r="B15897" s="4" t="s">
        <v>5</v>
      </c>
      <c r="C15897" s="4" t="s">
        <v>11</v>
      </c>
    </row>
    <row r="15898" spans="1:18">
      <c r="A15898" t="n">
        <v>151269</v>
      </c>
      <c r="B15898" s="29" t="n">
        <v>16</v>
      </c>
      <c r="C15898" s="7" t="n">
        <v>0</v>
      </c>
    </row>
    <row r="15899" spans="1:18">
      <c r="A15899" t="s">
        <v>4</v>
      </c>
      <c r="B15899" s="4" t="s">
        <v>5</v>
      </c>
      <c r="C15899" s="4" t="s">
        <v>7</v>
      </c>
      <c r="D15899" s="4" t="s">
        <v>11</v>
      </c>
    </row>
    <row r="15900" spans="1:18">
      <c r="A15900" t="n">
        <v>151272</v>
      </c>
      <c r="B15900" s="23" t="n">
        <v>58</v>
      </c>
      <c r="C15900" s="7" t="n">
        <v>105</v>
      </c>
      <c r="D15900" s="7" t="n">
        <v>300</v>
      </c>
    </row>
    <row r="15901" spans="1:18">
      <c r="A15901" t="s">
        <v>4</v>
      </c>
      <c r="B15901" s="4" t="s">
        <v>5</v>
      </c>
      <c r="C15901" s="4" t="s">
        <v>13</v>
      </c>
      <c r="D15901" s="4" t="s">
        <v>11</v>
      </c>
    </row>
    <row r="15902" spans="1:18">
      <c r="A15902" t="n">
        <v>151276</v>
      </c>
      <c r="B15902" s="46" t="n">
        <v>103</v>
      </c>
      <c r="C15902" s="7" t="n">
        <v>1</v>
      </c>
      <c r="D15902" s="7" t="n">
        <v>300</v>
      </c>
    </row>
    <row r="15903" spans="1:18">
      <c r="A15903" t="s">
        <v>4</v>
      </c>
      <c r="B15903" s="4" t="s">
        <v>5</v>
      </c>
      <c r="C15903" s="4" t="s">
        <v>7</v>
      </c>
      <c r="D15903" s="4" t="s">
        <v>11</v>
      </c>
    </row>
    <row r="15904" spans="1:18">
      <c r="A15904" t="n">
        <v>151283</v>
      </c>
      <c r="B15904" s="48" t="n">
        <v>72</v>
      </c>
      <c r="C15904" s="7" t="n">
        <v>4</v>
      </c>
      <c r="D15904" s="7" t="n">
        <v>0</v>
      </c>
    </row>
    <row r="15905" spans="1:9">
      <c r="A15905" t="s">
        <v>4</v>
      </c>
      <c r="B15905" s="4" t="s">
        <v>5</v>
      </c>
      <c r="C15905" s="4" t="s">
        <v>15</v>
      </c>
    </row>
    <row r="15906" spans="1:9">
      <c r="A15906" t="n">
        <v>151287</v>
      </c>
      <c r="B15906" s="61" t="n">
        <v>15</v>
      </c>
      <c r="C15906" s="7" t="n">
        <v>1073741824</v>
      </c>
    </row>
    <row r="15907" spans="1:9">
      <c r="A15907" t="s">
        <v>4</v>
      </c>
      <c r="B15907" s="4" t="s">
        <v>5</v>
      </c>
      <c r="C15907" s="4" t="s">
        <v>7</v>
      </c>
    </row>
    <row r="15908" spans="1:9">
      <c r="A15908" t="n">
        <v>151292</v>
      </c>
      <c r="B15908" s="47" t="n">
        <v>64</v>
      </c>
      <c r="C15908" s="7" t="n">
        <v>3</v>
      </c>
    </row>
    <row r="15909" spans="1:9">
      <c r="A15909" t="s">
        <v>4</v>
      </c>
      <c r="B15909" s="4" t="s">
        <v>5</v>
      </c>
      <c r="C15909" s="4" t="s">
        <v>7</v>
      </c>
    </row>
    <row r="15910" spans="1:9">
      <c r="A15910" t="n">
        <v>151294</v>
      </c>
      <c r="B15910" s="45" t="n">
        <v>74</v>
      </c>
      <c r="C15910" s="7" t="n">
        <v>67</v>
      </c>
    </row>
    <row r="15911" spans="1:9">
      <c r="A15911" t="s">
        <v>4</v>
      </c>
      <c r="B15911" s="4" t="s">
        <v>5</v>
      </c>
      <c r="C15911" s="4" t="s">
        <v>7</v>
      </c>
      <c r="D15911" s="4" t="s">
        <v>7</v>
      </c>
      <c r="E15911" s="4" t="s">
        <v>11</v>
      </c>
    </row>
    <row r="15912" spans="1:9">
      <c r="A15912" t="n">
        <v>151296</v>
      </c>
      <c r="B15912" s="51" t="n">
        <v>45</v>
      </c>
      <c r="C15912" s="7" t="n">
        <v>8</v>
      </c>
      <c r="D15912" s="7" t="n">
        <v>1</v>
      </c>
      <c r="E15912" s="7" t="n">
        <v>0</v>
      </c>
    </row>
    <row r="15913" spans="1:9">
      <c r="A15913" t="s">
        <v>4</v>
      </c>
      <c r="B15913" s="4" t="s">
        <v>5</v>
      </c>
      <c r="C15913" s="4" t="s">
        <v>11</v>
      </c>
    </row>
    <row r="15914" spans="1:9">
      <c r="A15914" t="n">
        <v>151301</v>
      </c>
      <c r="B15914" s="12" t="n">
        <v>13</v>
      </c>
      <c r="C15914" s="7" t="n">
        <v>6409</v>
      </c>
    </row>
    <row r="15915" spans="1:9">
      <c r="A15915" t="s">
        <v>4</v>
      </c>
      <c r="B15915" s="4" t="s">
        <v>5</v>
      </c>
      <c r="C15915" s="4" t="s">
        <v>11</v>
      </c>
    </row>
    <row r="15916" spans="1:9">
      <c r="A15916" t="n">
        <v>151304</v>
      </c>
      <c r="B15916" s="12" t="n">
        <v>13</v>
      </c>
      <c r="C15916" s="7" t="n">
        <v>6408</v>
      </c>
    </row>
    <row r="15917" spans="1:9">
      <c r="A15917" t="s">
        <v>4</v>
      </c>
      <c r="B15917" s="4" t="s">
        <v>5</v>
      </c>
      <c r="C15917" s="4" t="s">
        <v>11</v>
      </c>
    </row>
    <row r="15918" spans="1:9">
      <c r="A15918" t="n">
        <v>151307</v>
      </c>
      <c r="B15918" s="43" t="n">
        <v>12</v>
      </c>
      <c r="C15918" s="7" t="n">
        <v>6464</v>
      </c>
    </row>
    <row r="15919" spans="1:9">
      <c r="A15919" t="s">
        <v>4</v>
      </c>
      <c r="B15919" s="4" t="s">
        <v>5</v>
      </c>
      <c r="C15919" s="4" t="s">
        <v>11</v>
      </c>
    </row>
    <row r="15920" spans="1:9">
      <c r="A15920" t="n">
        <v>151310</v>
      </c>
      <c r="B15920" s="12" t="n">
        <v>13</v>
      </c>
      <c r="C15920" s="7" t="n">
        <v>6465</v>
      </c>
    </row>
    <row r="15921" spans="1:5">
      <c r="A15921" t="s">
        <v>4</v>
      </c>
      <c r="B15921" s="4" t="s">
        <v>5</v>
      </c>
      <c r="C15921" s="4" t="s">
        <v>11</v>
      </c>
    </row>
    <row r="15922" spans="1:5">
      <c r="A15922" t="n">
        <v>151313</v>
      </c>
      <c r="B15922" s="12" t="n">
        <v>13</v>
      </c>
      <c r="C15922" s="7" t="n">
        <v>6466</v>
      </c>
    </row>
    <row r="15923" spans="1:5">
      <c r="A15923" t="s">
        <v>4</v>
      </c>
      <c r="B15923" s="4" t="s">
        <v>5</v>
      </c>
      <c r="C15923" s="4" t="s">
        <v>11</v>
      </c>
    </row>
    <row r="15924" spans="1:5">
      <c r="A15924" t="n">
        <v>151316</v>
      </c>
      <c r="B15924" s="12" t="n">
        <v>13</v>
      </c>
      <c r="C15924" s="7" t="n">
        <v>6467</v>
      </c>
    </row>
    <row r="15925" spans="1:5">
      <c r="A15925" t="s">
        <v>4</v>
      </c>
      <c r="B15925" s="4" t="s">
        <v>5</v>
      </c>
      <c r="C15925" s="4" t="s">
        <v>11</v>
      </c>
    </row>
    <row r="15926" spans="1:5">
      <c r="A15926" t="n">
        <v>151319</v>
      </c>
      <c r="B15926" s="12" t="n">
        <v>13</v>
      </c>
      <c r="C15926" s="7" t="n">
        <v>6468</v>
      </c>
    </row>
    <row r="15927" spans="1:5">
      <c r="A15927" t="s">
        <v>4</v>
      </c>
      <c r="B15927" s="4" t="s">
        <v>5</v>
      </c>
      <c r="C15927" s="4" t="s">
        <v>11</v>
      </c>
    </row>
    <row r="15928" spans="1:5">
      <c r="A15928" t="n">
        <v>151322</v>
      </c>
      <c r="B15928" s="12" t="n">
        <v>13</v>
      </c>
      <c r="C15928" s="7" t="n">
        <v>6469</v>
      </c>
    </row>
    <row r="15929" spans="1:5">
      <c r="A15929" t="s">
        <v>4</v>
      </c>
      <c r="B15929" s="4" t="s">
        <v>5</v>
      </c>
      <c r="C15929" s="4" t="s">
        <v>11</v>
      </c>
    </row>
    <row r="15930" spans="1:5">
      <c r="A15930" t="n">
        <v>151325</v>
      </c>
      <c r="B15930" s="12" t="n">
        <v>13</v>
      </c>
      <c r="C15930" s="7" t="n">
        <v>6470</v>
      </c>
    </row>
    <row r="15931" spans="1:5">
      <c r="A15931" t="s">
        <v>4</v>
      </c>
      <c r="B15931" s="4" t="s">
        <v>5</v>
      </c>
      <c r="C15931" s="4" t="s">
        <v>11</v>
      </c>
    </row>
    <row r="15932" spans="1:5">
      <c r="A15932" t="n">
        <v>151328</v>
      </c>
      <c r="B15932" s="12" t="n">
        <v>13</v>
      </c>
      <c r="C15932" s="7" t="n">
        <v>6471</v>
      </c>
    </row>
    <row r="15933" spans="1:5">
      <c r="A15933" t="s">
        <v>4</v>
      </c>
      <c r="B15933" s="4" t="s">
        <v>5</v>
      </c>
      <c r="C15933" s="4" t="s">
        <v>7</v>
      </c>
    </row>
    <row r="15934" spans="1:5">
      <c r="A15934" t="n">
        <v>151331</v>
      </c>
      <c r="B15934" s="45" t="n">
        <v>74</v>
      </c>
      <c r="C15934" s="7" t="n">
        <v>18</v>
      </c>
    </row>
    <row r="15935" spans="1:5">
      <c r="A15935" t="s">
        <v>4</v>
      </c>
      <c r="B15935" s="4" t="s">
        <v>5</v>
      </c>
      <c r="C15935" s="4" t="s">
        <v>7</v>
      </c>
    </row>
    <row r="15936" spans="1:5">
      <c r="A15936" t="n">
        <v>151333</v>
      </c>
      <c r="B15936" s="45" t="n">
        <v>74</v>
      </c>
      <c r="C15936" s="7" t="n">
        <v>45</v>
      </c>
    </row>
    <row r="15937" spans="1:3">
      <c r="A15937" t="s">
        <v>4</v>
      </c>
      <c r="B15937" s="4" t="s">
        <v>5</v>
      </c>
      <c r="C15937" s="4" t="s">
        <v>11</v>
      </c>
    </row>
    <row r="15938" spans="1:3">
      <c r="A15938" t="n">
        <v>151335</v>
      </c>
      <c r="B15938" s="29" t="n">
        <v>16</v>
      </c>
      <c r="C15938" s="7" t="n">
        <v>0</v>
      </c>
    </row>
    <row r="15939" spans="1:3">
      <c r="A15939" t="s">
        <v>4</v>
      </c>
      <c r="B15939" s="4" t="s">
        <v>5</v>
      </c>
      <c r="C15939" s="4" t="s">
        <v>7</v>
      </c>
      <c r="D15939" s="4" t="s">
        <v>7</v>
      </c>
      <c r="E15939" s="4" t="s">
        <v>7</v>
      </c>
      <c r="F15939" s="4" t="s">
        <v>7</v>
      </c>
    </row>
    <row r="15940" spans="1:3">
      <c r="A15940" t="n">
        <v>151338</v>
      </c>
      <c r="B15940" s="9" t="n">
        <v>14</v>
      </c>
      <c r="C15940" s="7" t="n">
        <v>0</v>
      </c>
      <c r="D15940" s="7" t="n">
        <v>8</v>
      </c>
      <c r="E15940" s="7" t="n">
        <v>0</v>
      </c>
      <c r="F15940" s="7" t="n">
        <v>0</v>
      </c>
    </row>
    <row r="15941" spans="1:3">
      <c r="A15941" t="s">
        <v>4</v>
      </c>
      <c r="B15941" s="4" t="s">
        <v>5</v>
      </c>
      <c r="C15941" s="4" t="s">
        <v>7</v>
      </c>
      <c r="D15941" s="4" t="s">
        <v>8</v>
      </c>
    </row>
    <row r="15942" spans="1:3">
      <c r="A15942" t="n">
        <v>151343</v>
      </c>
      <c r="B15942" s="6" t="n">
        <v>2</v>
      </c>
      <c r="C15942" s="7" t="n">
        <v>11</v>
      </c>
      <c r="D15942" s="7" t="s">
        <v>14</v>
      </c>
    </row>
    <row r="15943" spans="1:3">
      <c r="A15943" t="s">
        <v>4</v>
      </c>
      <c r="B15943" s="4" t="s">
        <v>5</v>
      </c>
      <c r="C15943" s="4" t="s">
        <v>11</v>
      </c>
    </row>
    <row r="15944" spans="1:3">
      <c r="A15944" t="n">
        <v>151357</v>
      </c>
      <c r="B15944" s="29" t="n">
        <v>16</v>
      </c>
      <c r="C15944" s="7" t="n">
        <v>0</v>
      </c>
    </row>
    <row r="15945" spans="1:3">
      <c r="A15945" t="s">
        <v>4</v>
      </c>
      <c r="B15945" s="4" t="s">
        <v>5</v>
      </c>
      <c r="C15945" s="4" t="s">
        <v>7</v>
      </c>
      <c r="D15945" s="4" t="s">
        <v>8</v>
      </c>
    </row>
    <row r="15946" spans="1:3">
      <c r="A15946" t="n">
        <v>151360</v>
      </c>
      <c r="B15946" s="6" t="n">
        <v>2</v>
      </c>
      <c r="C15946" s="7" t="n">
        <v>11</v>
      </c>
      <c r="D15946" s="7" t="s">
        <v>120</v>
      </c>
    </row>
    <row r="15947" spans="1:3">
      <c r="A15947" t="s">
        <v>4</v>
      </c>
      <c r="B15947" s="4" t="s">
        <v>5</v>
      </c>
      <c r="C15947" s="4" t="s">
        <v>11</v>
      </c>
    </row>
    <row r="15948" spans="1:3">
      <c r="A15948" t="n">
        <v>151369</v>
      </c>
      <c r="B15948" s="29" t="n">
        <v>16</v>
      </c>
      <c r="C15948" s="7" t="n">
        <v>0</v>
      </c>
    </row>
    <row r="15949" spans="1:3">
      <c r="A15949" t="s">
        <v>4</v>
      </c>
      <c r="B15949" s="4" t="s">
        <v>5</v>
      </c>
      <c r="C15949" s="4" t="s">
        <v>15</v>
      </c>
    </row>
    <row r="15950" spans="1:3">
      <c r="A15950" t="n">
        <v>151372</v>
      </c>
      <c r="B15950" s="61" t="n">
        <v>15</v>
      </c>
      <c r="C15950" s="7" t="n">
        <v>2048</v>
      </c>
    </row>
    <row r="15951" spans="1:3">
      <c r="A15951" t="s">
        <v>4</v>
      </c>
      <c r="B15951" s="4" t="s">
        <v>5</v>
      </c>
      <c r="C15951" s="4" t="s">
        <v>7</v>
      </c>
      <c r="D15951" s="4" t="s">
        <v>8</v>
      </c>
    </row>
    <row r="15952" spans="1:3">
      <c r="A15952" t="n">
        <v>151377</v>
      </c>
      <c r="B15952" s="6" t="n">
        <v>2</v>
      </c>
      <c r="C15952" s="7" t="n">
        <v>10</v>
      </c>
      <c r="D15952" s="7" t="s">
        <v>52</v>
      </c>
    </row>
    <row r="15953" spans="1:6">
      <c r="A15953" t="s">
        <v>4</v>
      </c>
      <c r="B15953" s="4" t="s">
        <v>5</v>
      </c>
      <c r="C15953" s="4" t="s">
        <v>11</v>
      </c>
    </row>
    <row r="15954" spans="1:6">
      <c r="A15954" t="n">
        <v>151395</v>
      </c>
      <c r="B15954" s="29" t="n">
        <v>16</v>
      </c>
      <c r="C15954" s="7" t="n">
        <v>0</v>
      </c>
    </row>
    <row r="15955" spans="1:6">
      <c r="A15955" t="s">
        <v>4</v>
      </c>
      <c r="B15955" s="4" t="s">
        <v>5</v>
      </c>
      <c r="C15955" s="4" t="s">
        <v>7</v>
      </c>
      <c r="D15955" s="4" t="s">
        <v>8</v>
      </c>
    </row>
    <row r="15956" spans="1:6">
      <c r="A15956" t="n">
        <v>151398</v>
      </c>
      <c r="B15956" s="6" t="n">
        <v>2</v>
      </c>
      <c r="C15956" s="7" t="n">
        <v>10</v>
      </c>
      <c r="D15956" s="7" t="s">
        <v>53</v>
      </c>
    </row>
    <row r="15957" spans="1:6">
      <c r="A15957" t="s">
        <v>4</v>
      </c>
      <c r="B15957" s="4" t="s">
        <v>5</v>
      </c>
      <c r="C15957" s="4" t="s">
        <v>11</v>
      </c>
    </row>
    <row r="15958" spans="1:6">
      <c r="A15958" t="n">
        <v>151417</v>
      </c>
      <c r="B15958" s="29" t="n">
        <v>16</v>
      </c>
      <c r="C15958" s="7" t="n">
        <v>0</v>
      </c>
    </row>
    <row r="15959" spans="1:6">
      <c r="A15959" t="s">
        <v>4</v>
      </c>
      <c r="B15959" s="4" t="s">
        <v>5</v>
      </c>
      <c r="C15959" s="4" t="s">
        <v>7</v>
      </c>
      <c r="D15959" s="4" t="s">
        <v>11</v>
      </c>
      <c r="E15959" s="4" t="s">
        <v>13</v>
      </c>
    </row>
    <row r="15960" spans="1:6">
      <c r="A15960" t="n">
        <v>151420</v>
      </c>
      <c r="B15960" s="23" t="n">
        <v>58</v>
      </c>
      <c r="C15960" s="7" t="n">
        <v>100</v>
      </c>
      <c r="D15960" s="7" t="n">
        <v>300</v>
      </c>
      <c r="E15960" s="7" t="n">
        <v>1</v>
      </c>
    </row>
    <row r="15961" spans="1:6">
      <c r="A15961" t="s">
        <v>4</v>
      </c>
      <c r="B15961" s="4" t="s">
        <v>5</v>
      </c>
      <c r="C15961" s="4" t="s">
        <v>7</v>
      </c>
      <c r="D15961" s="4" t="s">
        <v>11</v>
      </c>
    </row>
    <row r="15962" spans="1:6">
      <c r="A15962" t="n">
        <v>151428</v>
      </c>
      <c r="B15962" s="23" t="n">
        <v>58</v>
      </c>
      <c r="C15962" s="7" t="n">
        <v>255</v>
      </c>
      <c r="D15962" s="7" t="n">
        <v>0</v>
      </c>
    </row>
    <row r="15963" spans="1:6">
      <c r="A15963" t="s">
        <v>4</v>
      </c>
      <c r="B15963" s="4" t="s">
        <v>5</v>
      </c>
      <c r="C15963" s="4" t="s">
        <v>7</v>
      </c>
    </row>
    <row r="15964" spans="1:6">
      <c r="A15964" t="n">
        <v>151432</v>
      </c>
      <c r="B15964" s="30" t="n">
        <v>23</v>
      </c>
      <c r="C15964" s="7" t="n">
        <v>0</v>
      </c>
    </row>
    <row r="15965" spans="1:6">
      <c r="A15965" t="s">
        <v>4</v>
      </c>
      <c r="B15965" s="4" t="s">
        <v>5</v>
      </c>
    </row>
    <row r="15966" spans="1:6">
      <c r="A15966" t="n">
        <v>151434</v>
      </c>
      <c r="B15966" s="5" t="n">
        <v>1</v>
      </c>
    </row>
    <row r="15967" spans="1:6" s="3" customFormat="1" customHeight="0">
      <c r="A15967" s="3" t="s">
        <v>2</v>
      </c>
      <c r="B15967" s="3" t="s">
        <v>1262</v>
      </c>
    </row>
    <row r="15968" spans="1:6">
      <c r="A15968" t="s">
        <v>4</v>
      </c>
      <c r="B15968" s="4" t="s">
        <v>5</v>
      </c>
      <c r="C15968" s="4" t="s">
        <v>7</v>
      </c>
      <c r="D15968" s="4" t="s">
        <v>7</v>
      </c>
      <c r="E15968" s="4" t="s">
        <v>7</v>
      </c>
      <c r="F15968" s="4" t="s">
        <v>7</v>
      </c>
    </row>
    <row r="15969" spans="1:6">
      <c r="A15969" t="n">
        <v>151436</v>
      </c>
      <c r="B15969" s="9" t="n">
        <v>14</v>
      </c>
      <c r="C15969" s="7" t="n">
        <v>2</v>
      </c>
      <c r="D15969" s="7" t="n">
        <v>0</v>
      </c>
      <c r="E15969" s="7" t="n">
        <v>0</v>
      </c>
      <c r="F15969" s="7" t="n">
        <v>0</v>
      </c>
    </row>
    <row r="15970" spans="1:6">
      <c r="A15970" t="s">
        <v>4</v>
      </c>
      <c r="B15970" s="4" t="s">
        <v>5</v>
      </c>
      <c r="C15970" s="4" t="s">
        <v>7</v>
      </c>
      <c r="D15970" s="20" t="s">
        <v>35</v>
      </c>
      <c r="E15970" s="4" t="s">
        <v>5</v>
      </c>
      <c r="F15970" s="4" t="s">
        <v>7</v>
      </c>
      <c r="G15970" s="4" t="s">
        <v>11</v>
      </c>
      <c r="H15970" s="20" t="s">
        <v>36</v>
      </c>
      <c r="I15970" s="4" t="s">
        <v>7</v>
      </c>
      <c r="J15970" s="4" t="s">
        <v>15</v>
      </c>
      <c r="K15970" s="4" t="s">
        <v>7</v>
      </c>
      <c r="L15970" s="4" t="s">
        <v>7</v>
      </c>
      <c r="M15970" s="20" t="s">
        <v>35</v>
      </c>
      <c r="N15970" s="4" t="s">
        <v>5</v>
      </c>
      <c r="O15970" s="4" t="s">
        <v>7</v>
      </c>
      <c r="P15970" s="4" t="s">
        <v>11</v>
      </c>
      <c r="Q15970" s="20" t="s">
        <v>36</v>
      </c>
      <c r="R15970" s="4" t="s">
        <v>7</v>
      </c>
      <c r="S15970" s="4" t="s">
        <v>15</v>
      </c>
      <c r="T15970" s="4" t="s">
        <v>7</v>
      </c>
      <c r="U15970" s="4" t="s">
        <v>7</v>
      </c>
      <c r="V15970" s="4" t="s">
        <v>7</v>
      </c>
      <c r="W15970" s="4" t="s">
        <v>12</v>
      </c>
    </row>
    <row r="15971" spans="1:6">
      <c r="A15971" t="n">
        <v>151441</v>
      </c>
      <c r="B15971" s="10" t="n">
        <v>5</v>
      </c>
      <c r="C15971" s="7" t="n">
        <v>28</v>
      </c>
      <c r="D15971" s="20" t="s">
        <v>3</v>
      </c>
      <c r="E15971" s="8" t="n">
        <v>162</v>
      </c>
      <c r="F15971" s="7" t="n">
        <v>3</v>
      </c>
      <c r="G15971" s="7" t="n">
        <v>33152</v>
      </c>
      <c r="H15971" s="20" t="s">
        <v>3</v>
      </c>
      <c r="I15971" s="7" t="n">
        <v>0</v>
      </c>
      <c r="J15971" s="7" t="n">
        <v>1</v>
      </c>
      <c r="K15971" s="7" t="n">
        <v>2</v>
      </c>
      <c r="L15971" s="7" t="n">
        <v>28</v>
      </c>
      <c r="M15971" s="20" t="s">
        <v>3</v>
      </c>
      <c r="N15971" s="8" t="n">
        <v>162</v>
      </c>
      <c r="O15971" s="7" t="n">
        <v>3</v>
      </c>
      <c r="P15971" s="7" t="n">
        <v>33152</v>
      </c>
      <c r="Q15971" s="20" t="s">
        <v>3</v>
      </c>
      <c r="R15971" s="7" t="n">
        <v>0</v>
      </c>
      <c r="S15971" s="7" t="n">
        <v>2</v>
      </c>
      <c r="T15971" s="7" t="n">
        <v>2</v>
      </c>
      <c r="U15971" s="7" t="n">
        <v>11</v>
      </c>
      <c r="V15971" s="7" t="n">
        <v>1</v>
      </c>
      <c r="W15971" s="11" t="n">
        <f t="normal" ca="1">A15975</f>
        <v>0</v>
      </c>
    </row>
    <row r="15972" spans="1:6">
      <c r="A15972" t="s">
        <v>4</v>
      </c>
      <c r="B15972" s="4" t="s">
        <v>5</v>
      </c>
      <c r="C15972" s="4" t="s">
        <v>7</v>
      </c>
      <c r="D15972" s="4" t="s">
        <v>11</v>
      </c>
      <c r="E15972" s="4" t="s">
        <v>13</v>
      </c>
    </row>
    <row r="15973" spans="1:6">
      <c r="A15973" t="n">
        <v>151470</v>
      </c>
      <c r="B15973" s="23" t="n">
        <v>58</v>
      </c>
      <c r="C15973" s="7" t="n">
        <v>0</v>
      </c>
      <c r="D15973" s="7" t="n">
        <v>0</v>
      </c>
      <c r="E15973" s="7" t="n">
        <v>1</v>
      </c>
    </row>
    <row r="15974" spans="1:6">
      <c r="A15974" t="s">
        <v>4</v>
      </c>
      <c r="B15974" s="4" t="s">
        <v>5</v>
      </c>
      <c r="C15974" s="4" t="s">
        <v>7</v>
      </c>
      <c r="D15974" s="20" t="s">
        <v>35</v>
      </c>
      <c r="E15974" s="4" t="s">
        <v>5</v>
      </c>
      <c r="F15974" s="4" t="s">
        <v>7</v>
      </c>
      <c r="G15974" s="4" t="s">
        <v>11</v>
      </c>
      <c r="H15974" s="20" t="s">
        <v>36</v>
      </c>
      <c r="I15974" s="4" t="s">
        <v>7</v>
      </c>
      <c r="J15974" s="4" t="s">
        <v>15</v>
      </c>
      <c r="K15974" s="4" t="s">
        <v>7</v>
      </c>
      <c r="L15974" s="4" t="s">
        <v>7</v>
      </c>
      <c r="M15974" s="20" t="s">
        <v>35</v>
      </c>
      <c r="N15974" s="4" t="s">
        <v>5</v>
      </c>
      <c r="O15974" s="4" t="s">
        <v>7</v>
      </c>
      <c r="P15974" s="4" t="s">
        <v>11</v>
      </c>
      <c r="Q15974" s="20" t="s">
        <v>36</v>
      </c>
      <c r="R15974" s="4" t="s">
        <v>7</v>
      </c>
      <c r="S15974" s="4" t="s">
        <v>15</v>
      </c>
      <c r="T15974" s="4" t="s">
        <v>7</v>
      </c>
      <c r="U15974" s="4" t="s">
        <v>7</v>
      </c>
      <c r="V15974" s="4" t="s">
        <v>7</v>
      </c>
      <c r="W15974" s="4" t="s">
        <v>12</v>
      </c>
    </row>
    <row r="15975" spans="1:6">
      <c r="A15975" t="n">
        <v>151478</v>
      </c>
      <c r="B15975" s="10" t="n">
        <v>5</v>
      </c>
      <c r="C15975" s="7" t="n">
        <v>28</v>
      </c>
      <c r="D15975" s="20" t="s">
        <v>3</v>
      </c>
      <c r="E15975" s="8" t="n">
        <v>162</v>
      </c>
      <c r="F15975" s="7" t="n">
        <v>3</v>
      </c>
      <c r="G15975" s="7" t="n">
        <v>33152</v>
      </c>
      <c r="H15975" s="20" t="s">
        <v>3</v>
      </c>
      <c r="I15975" s="7" t="n">
        <v>0</v>
      </c>
      <c r="J15975" s="7" t="n">
        <v>1</v>
      </c>
      <c r="K15975" s="7" t="n">
        <v>3</v>
      </c>
      <c r="L15975" s="7" t="n">
        <v>28</v>
      </c>
      <c r="M15975" s="20" t="s">
        <v>3</v>
      </c>
      <c r="N15975" s="8" t="n">
        <v>162</v>
      </c>
      <c r="O15975" s="7" t="n">
        <v>3</v>
      </c>
      <c r="P15975" s="7" t="n">
        <v>33152</v>
      </c>
      <c r="Q15975" s="20" t="s">
        <v>3</v>
      </c>
      <c r="R15975" s="7" t="n">
        <v>0</v>
      </c>
      <c r="S15975" s="7" t="n">
        <v>2</v>
      </c>
      <c r="T15975" s="7" t="n">
        <v>3</v>
      </c>
      <c r="U15975" s="7" t="n">
        <v>9</v>
      </c>
      <c r="V15975" s="7" t="n">
        <v>1</v>
      </c>
      <c r="W15975" s="11" t="n">
        <f t="normal" ca="1">A15985</f>
        <v>0</v>
      </c>
    </row>
    <row r="15976" spans="1:6">
      <c r="A15976" t="s">
        <v>4</v>
      </c>
      <c r="B15976" s="4" t="s">
        <v>5</v>
      </c>
      <c r="C15976" s="4" t="s">
        <v>7</v>
      </c>
      <c r="D15976" s="20" t="s">
        <v>35</v>
      </c>
      <c r="E15976" s="4" t="s">
        <v>5</v>
      </c>
      <c r="F15976" s="4" t="s">
        <v>11</v>
      </c>
      <c r="G15976" s="4" t="s">
        <v>7</v>
      </c>
      <c r="H15976" s="4" t="s">
        <v>7</v>
      </c>
      <c r="I15976" s="4" t="s">
        <v>8</v>
      </c>
      <c r="J15976" s="20" t="s">
        <v>36</v>
      </c>
      <c r="K15976" s="4" t="s">
        <v>7</v>
      </c>
      <c r="L15976" s="4" t="s">
        <v>7</v>
      </c>
      <c r="M15976" s="20" t="s">
        <v>35</v>
      </c>
      <c r="N15976" s="4" t="s">
        <v>5</v>
      </c>
      <c r="O15976" s="4" t="s">
        <v>7</v>
      </c>
      <c r="P15976" s="20" t="s">
        <v>36</v>
      </c>
      <c r="Q15976" s="4" t="s">
        <v>7</v>
      </c>
      <c r="R15976" s="4" t="s">
        <v>15</v>
      </c>
      <c r="S15976" s="4" t="s">
        <v>7</v>
      </c>
      <c r="T15976" s="4" t="s">
        <v>7</v>
      </c>
      <c r="U15976" s="4" t="s">
        <v>7</v>
      </c>
      <c r="V15976" s="20" t="s">
        <v>35</v>
      </c>
      <c r="W15976" s="4" t="s">
        <v>5</v>
      </c>
      <c r="X15976" s="4" t="s">
        <v>7</v>
      </c>
      <c r="Y15976" s="20" t="s">
        <v>36</v>
      </c>
      <c r="Z15976" s="4" t="s">
        <v>7</v>
      </c>
      <c r="AA15976" s="4" t="s">
        <v>15</v>
      </c>
      <c r="AB15976" s="4" t="s">
        <v>7</v>
      </c>
      <c r="AC15976" s="4" t="s">
        <v>7</v>
      </c>
      <c r="AD15976" s="4" t="s">
        <v>7</v>
      </c>
      <c r="AE15976" s="4" t="s">
        <v>12</v>
      </c>
    </row>
    <row r="15977" spans="1:6">
      <c r="A15977" t="n">
        <v>151507</v>
      </c>
      <c r="B15977" s="10" t="n">
        <v>5</v>
      </c>
      <c r="C15977" s="7" t="n">
        <v>28</v>
      </c>
      <c r="D15977" s="20" t="s">
        <v>3</v>
      </c>
      <c r="E15977" s="41" t="n">
        <v>47</v>
      </c>
      <c r="F15977" s="7" t="n">
        <v>61456</v>
      </c>
      <c r="G15977" s="7" t="n">
        <v>2</v>
      </c>
      <c r="H15977" s="7" t="n">
        <v>0</v>
      </c>
      <c r="I15977" s="7" t="s">
        <v>105</v>
      </c>
      <c r="J15977" s="20" t="s">
        <v>3</v>
      </c>
      <c r="K15977" s="7" t="n">
        <v>8</v>
      </c>
      <c r="L15977" s="7" t="n">
        <v>28</v>
      </c>
      <c r="M15977" s="20" t="s">
        <v>3</v>
      </c>
      <c r="N15977" s="45" t="n">
        <v>74</v>
      </c>
      <c r="O15977" s="7" t="n">
        <v>65</v>
      </c>
      <c r="P15977" s="20" t="s">
        <v>3</v>
      </c>
      <c r="Q15977" s="7" t="n">
        <v>0</v>
      </c>
      <c r="R15977" s="7" t="n">
        <v>1</v>
      </c>
      <c r="S15977" s="7" t="n">
        <v>3</v>
      </c>
      <c r="T15977" s="7" t="n">
        <v>9</v>
      </c>
      <c r="U15977" s="7" t="n">
        <v>28</v>
      </c>
      <c r="V15977" s="20" t="s">
        <v>3</v>
      </c>
      <c r="W15977" s="45" t="n">
        <v>74</v>
      </c>
      <c r="X15977" s="7" t="n">
        <v>65</v>
      </c>
      <c r="Y15977" s="20" t="s">
        <v>3</v>
      </c>
      <c r="Z15977" s="7" t="n">
        <v>0</v>
      </c>
      <c r="AA15977" s="7" t="n">
        <v>2</v>
      </c>
      <c r="AB15977" s="7" t="n">
        <v>3</v>
      </c>
      <c r="AC15977" s="7" t="n">
        <v>9</v>
      </c>
      <c r="AD15977" s="7" t="n">
        <v>1</v>
      </c>
      <c r="AE15977" s="11" t="n">
        <f t="normal" ca="1">A15981</f>
        <v>0</v>
      </c>
    </row>
    <row r="15978" spans="1:6">
      <c r="A15978" t="s">
        <v>4</v>
      </c>
      <c r="B15978" s="4" t="s">
        <v>5</v>
      </c>
      <c r="C15978" s="4" t="s">
        <v>11</v>
      </c>
      <c r="D15978" s="4" t="s">
        <v>7</v>
      </c>
      <c r="E15978" s="4" t="s">
        <v>7</v>
      </c>
      <c r="F15978" s="4" t="s">
        <v>8</v>
      </c>
    </row>
    <row r="15979" spans="1:6">
      <c r="A15979" t="n">
        <v>151555</v>
      </c>
      <c r="B15979" s="41" t="n">
        <v>47</v>
      </c>
      <c r="C15979" s="7" t="n">
        <v>61456</v>
      </c>
      <c r="D15979" s="7" t="n">
        <v>0</v>
      </c>
      <c r="E15979" s="7" t="n">
        <v>0</v>
      </c>
      <c r="F15979" s="7" t="s">
        <v>106</v>
      </c>
    </row>
    <row r="15980" spans="1:6">
      <c r="A15980" t="s">
        <v>4</v>
      </c>
      <c r="B15980" s="4" t="s">
        <v>5</v>
      </c>
      <c r="C15980" s="4" t="s">
        <v>7</v>
      </c>
      <c r="D15980" s="4" t="s">
        <v>11</v>
      </c>
      <c r="E15980" s="4" t="s">
        <v>13</v>
      </c>
    </row>
    <row r="15981" spans="1:6">
      <c r="A15981" t="n">
        <v>151568</v>
      </c>
      <c r="B15981" s="23" t="n">
        <v>58</v>
      </c>
      <c r="C15981" s="7" t="n">
        <v>0</v>
      </c>
      <c r="D15981" s="7" t="n">
        <v>300</v>
      </c>
      <c r="E15981" s="7" t="n">
        <v>1</v>
      </c>
    </row>
    <row r="15982" spans="1:6">
      <c r="A15982" t="s">
        <v>4</v>
      </c>
      <c r="B15982" s="4" t="s">
        <v>5</v>
      </c>
      <c r="C15982" s="4" t="s">
        <v>7</v>
      </c>
      <c r="D15982" s="4" t="s">
        <v>11</v>
      </c>
    </row>
    <row r="15983" spans="1:6">
      <c r="A15983" t="n">
        <v>151576</v>
      </c>
      <c r="B15983" s="23" t="n">
        <v>58</v>
      </c>
      <c r="C15983" s="7" t="n">
        <v>255</v>
      </c>
      <c r="D15983" s="7" t="n">
        <v>0</v>
      </c>
    </row>
    <row r="15984" spans="1:6">
      <c r="A15984" t="s">
        <v>4</v>
      </c>
      <c r="B15984" s="4" t="s">
        <v>5</v>
      </c>
      <c r="C15984" s="4" t="s">
        <v>7</v>
      </c>
      <c r="D15984" s="4" t="s">
        <v>7</v>
      </c>
      <c r="E15984" s="4" t="s">
        <v>7</v>
      </c>
      <c r="F15984" s="4" t="s">
        <v>7</v>
      </c>
    </row>
    <row r="15985" spans="1:31">
      <c r="A15985" t="n">
        <v>151580</v>
      </c>
      <c r="B15985" s="9" t="n">
        <v>14</v>
      </c>
      <c r="C15985" s="7" t="n">
        <v>0</v>
      </c>
      <c r="D15985" s="7" t="n">
        <v>0</v>
      </c>
      <c r="E15985" s="7" t="n">
        <v>0</v>
      </c>
      <c r="F15985" s="7" t="n">
        <v>64</v>
      </c>
    </row>
    <row r="15986" spans="1:31">
      <c r="A15986" t="s">
        <v>4</v>
      </c>
      <c r="B15986" s="4" t="s">
        <v>5</v>
      </c>
      <c r="C15986" s="4" t="s">
        <v>7</v>
      </c>
      <c r="D15986" s="4" t="s">
        <v>11</v>
      </c>
    </row>
    <row r="15987" spans="1:31">
      <c r="A15987" t="n">
        <v>151585</v>
      </c>
      <c r="B15987" s="22" t="n">
        <v>22</v>
      </c>
      <c r="C15987" s="7" t="n">
        <v>0</v>
      </c>
      <c r="D15987" s="7" t="n">
        <v>33152</v>
      </c>
    </row>
    <row r="15988" spans="1:31">
      <c r="A15988" t="s">
        <v>4</v>
      </c>
      <c r="B15988" s="4" t="s">
        <v>5</v>
      </c>
      <c r="C15988" s="4" t="s">
        <v>7</v>
      </c>
      <c r="D15988" s="4" t="s">
        <v>11</v>
      </c>
    </row>
    <row r="15989" spans="1:31">
      <c r="A15989" t="n">
        <v>151589</v>
      </c>
      <c r="B15989" s="23" t="n">
        <v>58</v>
      </c>
      <c r="C15989" s="7" t="n">
        <v>5</v>
      </c>
      <c r="D15989" s="7" t="n">
        <v>300</v>
      </c>
    </row>
    <row r="15990" spans="1:31">
      <c r="A15990" t="s">
        <v>4</v>
      </c>
      <c r="B15990" s="4" t="s">
        <v>5</v>
      </c>
      <c r="C15990" s="4" t="s">
        <v>13</v>
      </c>
      <c r="D15990" s="4" t="s">
        <v>11</v>
      </c>
    </row>
    <row r="15991" spans="1:31">
      <c r="A15991" t="n">
        <v>151593</v>
      </c>
      <c r="B15991" s="46" t="n">
        <v>103</v>
      </c>
      <c r="C15991" s="7" t="n">
        <v>0</v>
      </c>
      <c r="D15991" s="7" t="n">
        <v>300</v>
      </c>
    </row>
    <row r="15992" spans="1:31">
      <c r="A15992" t="s">
        <v>4</v>
      </c>
      <c r="B15992" s="4" t="s">
        <v>5</v>
      </c>
      <c r="C15992" s="4" t="s">
        <v>7</v>
      </c>
    </row>
    <row r="15993" spans="1:31">
      <c r="A15993" t="n">
        <v>151600</v>
      </c>
      <c r="B15993" s="47" t="n">
        <v>64</v>
      </c>
      <c r="C15993" s="7" t="n">
        <v>7</v>
      </c>
    </row>
    <row r="15994" spans="1:31">
      <c r="A15994" t="s">
        <v>4</v>
      </c>
      <c r="B15994" s="4" t="s">
        <v>5</v>
      </c>
      <c r="C15994" s="4" t="s">
        <v>7</v>
      </c>
      <c r="D15994" s="4" t="s">
        <v>11</v>
      </c>
    </row>
    <row r="15995" spans="1:31">
      <c r="A15995" t="n">
        <v>151602</v>
      </c>
      <c r="B15995" s="48" t="n">
        <v>72</v>
      </c>
      <c r="C15995" s="7" t="n">
        <v>5</v>
      </c>
      <c r="D15995" s="7" t="n">
        <v>0</v>
      </c>
    </row>
    <row r="15996" spans="1:31">
      <c r="A15996" t="s">
        <v>4</v>
      </c>
      <c r="B15996" s="4" t="s">
        <v>5</v>
      </c>
      <c r="C15996" s="4" t="s">
        <v>7</v>
      </c>
      <c r="D15996" s="20" t="s">
        <v>35</v>
      </c>
      <c r="E15996" s="4" t="s">
        <v>5</v>
      </c>
      <c r="F15996" s="4" t="s">
        <v>7</v>
      </c>
      <c r="G15996" s="4" t="s">
        <v>11</v>
      </c>
      <c r="H15996" s="20" t="s">
        <v>36</v>
      </c>
      <c r="I15996" s="4" t="s">
        <v>7</v>
      </c>
      <c r="J15996" s="4" t="s">
        <v>15</v>
      </c>
      <c r="K15996" s="4" t="s">
        <v>7</v>
      </c>
      <c r="L15996" s="4" t="s">
        <v>7</v>
      </c>
      <c r="M15996" s="4" t="s">
        <v>12</v>
      </c>
    </row>
    <row r="15997" spans="1:31">
      <c r="A15997" t="n">
        <v>151606</v>
      </c>
      <c r="B15997" s="10" t="n">
        <v>5</v>
      </c>
      <c r="C15997" s="7" t="n">
        <v>28</v>
      </c>
      <c r="D15997" s="20" t="s">
        <v>3</v>
      </c>
      <c r="E15997" s="8" t="n">
        <v>162</v>
      </c>
      <c r="F15997" s="7" t="n">
        <v>4</v>
      </c>
      <c r="G15997" s="7" t="n">
        <v>33152</v>
      </c>
      <c r="H15997" s="20" t="s">
        <v>3</v>
      </c>
      <c r="I15997" s="7" t="n">
        <v>0</v>
      </c>
      <c r="J15997" s="7" t="n">
        <v>1</v>
      </c>
      <c r="K15997" s="7" t="n">
        <v>2</v>
      </c>
      <c r="L15997" s="7" t="n">
        <v>1</v>
      </c>
      <c r="M15997" s="11" t="n">
        <f t="normal" ca="1">A16003</f>
        <v>0</v>
      </c>
    </row>
    <row r="15998" spans="1:31">
      <c r="A15998" t="s">
        <v>4</v>
      </c>
      <c r="B15998" s="4" t="s">
        <v>5</v>
      </c>
      <c r="C15998" s="4" t="s">
        <v>7</v>
      </c>
      <c r="D15998" s="4" t="s">
        <v>8</v>
      </c>
    </row>
    <row r="15999" spans="1:31">
      <c r="A15999" t="n">
        <v>151623</v>
      </c>
      <c r="B15999" s="6" t="n">
        <v>2</v>
      </c>
      <c r="C15999" s="7" t="n">
        <v>10</v>
      </c>
      <c r="D15999" s="7" t="s">
        <v>107</v>
      </c>
    </row>
    <row r="16000" spans="1:31">
      <c r="A16000" t="s">
        <v>4</v>
      </c>
      <c r="B16000" s="4" t="s">
        <v>5</v>
      </c>
      <c r="C16000" s="4" t="s">
        <v>11</v>
      </c>
    </row>
    <row r="16001" spans="1:13">
      <c r="A16001" t="n">
        <v>151640</v>
      </c>
      <c r="B16001" s="29" t="n">
        <v>16</v>
      </c>
      <c r="C16001" s="7" t="n">
        <v>0</v>
      </c>
    </row>
    <row r="16002" spans="1:13">
      <c r="A16002" t="s">
        <v>4</v>
      </c>
      <c r="B16002" s="4" t="s">
        <v>5</v>
      </c>
      <c r="C16002" s="4" t="s">
        <v>11</v>
      </c>
      <c r="D16002" s="4" t="s">
        <v>7</v>
      </c>
      <c r="E16002" s="4" t="s">
        <v>7</v>
      </c>
      <c r="F16002" s="4" t="s">
        <v>8</v>
      </c>
    </row>
    <row r="16003" spans="1:13">
      <c r="A16003" t="n">
        <v>151643</v>
      </c>
      <c r="B16003" s="50" t="n">
        <v>20</v>
      </c>
      <c r="C16003" s="7" t="n">
        <v>0</v>
      </c>
      <c r="D16003" s="7" t="n">
        <v>3</v>
      </c>
      <c r="E16003" s="7" t="n">
        <v>10</v>
      </c>
      <c r="F16003" s="7" t="s">
        <v>108</v>
      </c>
    </row>
    <row r="16004" spans="1:13">
      <c r="A16004" t="s">
        <v>4</v>
      </c>
      <c r="B16004" s="4" t="s">
        <v>5</v>
      </c>
      <c r="C16004" s="4" t="s">
        <v>11</v>
      </c>
    </row>
    <row r="16005" spans="1:13">
      <c r="A16005" t="n">
        <v>151661</v>
      </c>
      <c r="B16005" s="29" t="n">
        <v>16</v>
      </c>
      <c r="C16005" s="7" t="n">
        <v>0</v>
      </c>
    </row>
    <row r="16006" spans="1:13">
      <c r="A16006" t="s">
        <v>4</v>
      </c>
      <c r="B16006" s="4" t="s">
        <v>5</v>
      </c>
      <c r="C16006" s="4" t="s">
        <v>11</v>
      </c>
      <c r="D16006" s="4" t="s">
        <v>7</v>
      </c>
      <c r="E16006" s="4" t="s">
        <v>7</v>
      </c>
      <c r="F16006" s="4" t="s">
        <v>8</v>
      </c>
    </row>
    <row r="16007" spans="1:13">
      <c r="A16007" t="n">
        <v>151664</v>
      </c>
      <c r="B16007" s="50" t="n">
        <v>20</v>
      </c>
      <c r="C16007" s="7" t="n">
        <v>2</v>
      </c>
      <c r="D16007" s="7" t="n">
        <v>3</v>
      </c>
      <c r="E16007" s="7" t="n">
        <v>10</v>
      </c>
      <c r="F16007" s="7" t="s">
        <v>108</v>
      </c>
    </row>
    <row r="16008" spans="1:13">
      <c r="A16008" t="s">
        <v>4</v>
      </c>
      <c r="B16008" s="4" t="s">
        <v>5</v>
      </c>
      <c r="C16008" s="4" t="s">
        <v>11</v>
      </c>
    </row>
    <row r="16009" spans="1:13">
      <c r="A16009" t="n">
        <v>151682</v>
      </c>
      <c r="B16009" s="29" t="n">
        <v>16</v>
      </c>
      <c r="C16009" s="7" t="n">
        <v>0</v>
      </c>
    </row>
    <row r="16010" spans="1:13">
      <c r="A16010" t="s">
        <v>4</v>
      </c>
      <c r="B16010" s="4" t="s">
        <v>5</v>
      </c>
      <c r="C16010" s="4" t="s">
        <v>7</v>
      </c>
    </row>
    <row r="16011" spans="1:13">
      <c r="A16011" t="n">
        <v>151685</v>
      </c>
      <c r="B16011" s="49" t="n">
        <v>116</v>
      </c>
      <c r="C16011" s="7" t="n">
        <v>0</v>
      </c>
    </row>
    <row r="16012" spans="1:13">
      <c r="A16012" t="s">
        <v>4</v>
      </c>
      <c r="B16012" s="4" t="s">
        <v>5</v>
      </c>
      <c r="C16012" s="4" t="s">
        <v>7</v>
      </c>
      <c r="D16012" s="4" t="s">
        <v>11</v>
      </c>
    </row>
    <row r="16013" spans="1:13">
      <c r="A16013" t="n">
        <v>151687</v>
      </c>
      <c r="B16013" s="49" t="n">
        <v>116</v>
      </c>
      <c r="C16013" s="7" t="n">
        <v>2</v>
      </c>
      <c r="D16013" s="7" t="n">
        <v>1</v>
      </c>
    </row>
    <row r="16014" spans="1:13">
      <c r="A16014" t="s">
        <v>4</v>
      </c>
      <c r="B16014" s="4" t="s">
        <v>5</v>
      </c>
      <c r="C16014" s="4" t="s">
        <v>7</v>
      </c>
      <c r="D16014" s="4" t="s">
        <v>15</v>
      </c>
    </row>
    <row r="16015" spans="1:13">
      <c r="A16015" t="n">
        <v>151691</v>
      </c>
      <c r="B16015" s="49" t="n">
        <v>116</v>
      </c>
      <c r="C16015" s="7" t="n">
        <v>5</v>
      </c>
      <c r="D16015" s="7" t="n">
        <v>1090519040</v>
      </c>
    </row>
    <row r="16016" spans="1:13">
      <c r="A16016" t="s">
        <v>4</v>
      </c>
      <c r="B16016" s="4" t="s">
        <v>5</v>
      </c>
      <c r="C16016" s="4" t="s">
        <v>7</v>
      </c>
      <c r="D16016" s="4" t="s">
        <v>11</v>
      </c>
    </row>
    <row r="16017" spans="1:6">
      <c r="A16017" t="n">
        <v>151697</v>
      </c>
      <c r="B16017" s="49" t="n">
        <v>116</v>
      </c>
      <c r="C16017" s="7" t="n">
        <v>6</v>
      </c>
      <c r="D16017" s="7" t="n">
        <v>1</v>
      </c>
    </row>
    <row r="16018" spans="1:6">
      <c r="A16018" t="s">
        <v>4</v>
      </c>
      <c r="B16018" s="4" t="s">
        <v>5</v>
      </c>
      <c r="C16018" s="4" t="s">
        <v>11</v>
      </c>
      <c r="D16018" s="4" t="s">
        <v>13</v>
      </c>
      <c r="E16018" s="4" t="s">
        <v>13</v>
      </c>
      <c r="F16018" s="4" t="s">
        <v>13</v>
      </c>
      <c r="G16018" s="4" t="s">
        <v>13</v>
      </c>
    </row>
    <row r="16019" spans="1:6">
      <c r="A16019" t="n">
        <v>151701</v>
      </c>
      <c r="B16019" s="36" t="n">
        <v>46</v>
      </c>
      <c r="C16019" s="7" t="n">
        <v>0</v>
      </c>
      <c r="D16019" s="7" t="n">
        <v>1.72000002861023</v>
      </c>
      <c r="E16019" s="7" t="n">
        <v>5.01000022888184</v>
      </c>
      <c r="F16019" s="7" t="n">
        <v>47.4500007629395</v>
      </c>
      <c r="G16019" s="7" t="n">
        <v>16.6000003814697</v>
      </c>
    </row>
    <row r="16020" spans="1:6">
      <c r="A16020" t="s">
        <v>4</v>
      </c>
      <c r="B16020" s="4" t="s">
        <v>5</v>
      </c>
      <c r="C16020" s="4" t="s">
        <v>7</v>
      </c>
      <c r="D16020" s="4" t="s">
        <v>7</v>
      </c>
      <c r="E16020" s="4" t="s">
        <v>13</v>
      </c>
      <c r="F16020" s="4" t="s">
        <v>13</v>
      </c>
      <c r="G16020" s="4" t="s">
        <v>13</v>
      </c>
      <c r="H16020" s="4" t="s">
        <v>11</v>
      </c>
    </row>
    <row r="16021" spans="1:6">
      <c r="A16021" t="n">
        <v>151720</v>
      </c>
      <c r="B16021" s="51" t="n">
        <v>45</v>
      </c>
      <c r="C16021" s="7" t="n">
        <v>2</v>
      </c>
      <c r="D16021" s="7" t="n">
        <v>3</v>
      </c>
      <c r="E16021" s="7" t="n">
        <v>1.72000002861023</v>
      </c>
      <c r="F16021" s="7" t="n">
        <v>6.42000007629395</v>
      </c>
      <c r="G16021" s="7" t="n">
        <v>47.7000007629395</v>
      </c>
      <c r="H16021" s="7" t="n">
        <v>0</v>
      </c>
    </row>
    <row r="16022" spans="1:6">
      <c r="A16022" t="s">
        <v>4</v>
      </c>
      <c r="B16022" s="4" t="s">
        <v>5</v>
      </c>
      <c r="C16022" s="4" t="s">
        <v>7</v>
      </c>
      <c r="D16022" s="4" t="s">
        <v>7</v>
      </c>
      <c r="E16022" s="4" t="s">
        <v>13</v>
      </c>
      <c r="F16022" s="4" t="s">
        <v>13</v>
      </c>
      <c r="G16022" s="4" t="s">
        <v>13</v>
      </c>
      <c r="H16022" s="4" t="s">
        <v>11</v>
      </c>
      <c r="I16022" s="4" t="s">
        <v>7</v>
      </c>
    </row>
    <row r="16023" spans="1:6">
      <c r="A16023" t="n">
        <v>151737</v>
      </c>
      <c r="B16023" s="51" t="n">
        <v>45</v>
      </c>
      <c r="C16023" s="7" t="n">
        <v>4</v>
      </c>
      <c r="D16023" s="7" t="n">
        <v>3</v>
      </c>
      <c r="E16023" s="7" t="n">
        <v>9</v>
      </c>
      <c r="F16023" s="7" t="n">
        <v>229.490005493164</v>
      </c>
      <c r="G16023" s="7" t="n">
        <v>0</v>
      </c>
      <c r="H16023" s="7" t="n">
        <v>0</v>
      </c>
      <c r="I16023" s="7" t="n">
        <v>0</v>
      </c>
    </row>
    <row r="16024" spans="1:6">
      <c r="A16024" t="s">
        <v>4</v>
      </c>
      <c r="B16024" s="4" t="s">
        <v>5</v>
      </c>
      <c r="C16024" s="4" t="s">
        <v>7</v>
      </c>
      <c r="D16024" s="4" t="s">
        <v>7</v>
      </c>
      <c r="E16024" s="4" t="s">
        <v>13</v>
      </c>
      <c r="F16024" s="4" t="s">
        <v>11</v>
      </c>
    </row>
    <row r="16025" spans="1:6">
      <c r="A16025" t="n">
        <v>151755</v>
      </c>
      <c r="B16025" s="51" t="n">
        <v>45</v>
      </c>
      <c r="C16025" s="7" t="n">
        <v>5</v>
      </c>
      <c r="D16025" s="7" t="n">
        <v>3</v>
      </c>
      <c r="E16025" s="7" t="n">
        <v>1.89999997615814</v>
      </c>
      <c r="F16025" s="7" t="n">
        <v>0</v>
      </c>
    </row>
    <row r="16026" spans="1:6">
      <c r="A16026" t="s">
        <v>4</v>
      </c>
      <c r="B16026" s="4" t="s">
        <v>5</v>
      </c>
      <c r="C16026" s="4" t="s">
        <v>7</v>
      </c>
      <c r="D16026" s="4" t="s">
        <v>7</v>
      </c>
      <c r="E16026" s="4" t="s">
        <v>13</v>
      </c>
      <c r="F16026" s="4" t="s">
        <v>11</v>
      </c>
    </row>
    <row r="16027" spans="1:6">
      <c r="A16027" t="n">
        <v>151764</v>
      </c>
      <c r="B16027" s="51" t="n">
        <v>45</v>
      </c>
      <c r="C16027" s="7" t="n">
        <v>11</v>
      </c>
      <c r="D16027" s="7" t="n">
        <v>3</v>
      </c>
      <c r="E16027" s="7" t="n">
        <v>34</v>
      </c>
      <c r="F16027" s="7" t="n">
        <v>0</v>
      </c>
    </row>
    <row r="16028" spans="1:6">
      <c r="A16028" t="s">
        <v>4</v>
      </c>
      <c r="B16028" s="4" t="s">
        <v>5</v>
      </c>
      <c r="C16028" s="4" t="s">
        <v>7</v>
      </c>
      <c r="D16028" s="4" t="s">
        <v>7</v>
      </c>
      <c r="E16028" s="4" t="s">
        <v>13</v>
      </c>
      <c r="F16028" s="4" t="s">
        <v>11</v>
      </c>
    </row>
    <row r="16029" spans="1:6">
      <c r="A16029" t="n">
        <v>151773</v>
      </c>
      <c r="B16029" s="51" t="n">
        <v>45</v>
      </c>
      <c r="C16029" s="7" t="n">
        <v>5</v>
      </c>
      <c r="D16029" s="7" t="n">
        <v>3</v>
      </c>
      <c r="E16029" s="7" t="n">
        <v>1.60000002384186</v>
      </c>
      <c r="F16029" s="7" t="n">
        <v>3000</v>
      </c>
    </row>
    <row r="16030" spans="1:6">
      <c r="A16030" t="s">
        <v>4</v>
      </c>
      <c r="B16030" s="4" t="s">
        <v>5</v>
      </c>
      <c r="C16030" s="4" t="s">
        <v>11</v>
      </c>
      <c r="D16030" s="4" t="s">
        <v>7</v>
      </c>
      <c r="E16030" s="4" t="s">
        <v>8</v>
      </c>
      <c r="F16030" s="4" t="s">
        <v>13</v>
      </c>
      <c r="G16030" s="4" t="s">
        <v>13</v>
      </c>
      <c r="H16030" s="4" t="s">
        <v>13</v>
      </c>
    </row>
    <row r="16031" spans="1:6">
      <c r="A16031" t="n">
        <v>151782</v>
      </c>
      <c r="B16031" s="42" t="n">
        <v>48</v>
      </c>
      <c r="C16031" s="7" t="n">
        <v>0</v>
      </c>
      <c r="D16031" s="7" t="n">
        <v>0</v>
      </c>
      <c r="E16031" s="7" t="s">
        <v>275</v>
      </c>
      <c r="F16031" s="7" t="n">
        <v>0</v>
      </c>
      <c r="G16031" s="7" t="n">
        <v>1</v>
      </c>
      <c r="H16031" s="7" t="n">
        <v>0</v>
      </c>
    </row>
    <row r="16032" spans="1:6">
      <c r="A16032" t="s">
        <v>4</v>
      </c>
      <c r="B16032" s="4" t="s">
        <v>5</v>
      </c>
      <c r="C16032" s="4" t="s">
        <v>7</v>
      </c>
      <c r="D16032" s="4" t="s">
        <v>11</v>
      </c>
      <c r="E16032" s="4" t="s">
        <v>8</v>
      </c>
      <c r="F16032" s="4" t="s">
        <v>8</v>
      </c>
      <c r="G16032" s="4" t="s">
        <v>8</v>
      </c>
      <c r="H16032" s="4" t="s">
        <v>8</v>
      </c>
    </row>
    <row r="16033" spans="1:9">
      <c r="A16033" t="n">
        <v>151807</v>
      </c>
      <c r="B16033" s="38" t="n">
        <v>51</v>
      </c>
      <c r="C16033" s="7" t="n">
        <v>3</v>
      </c>
      <c r="D16033" s="7" t="n">
        <v>2</v>
      </c>
      <c r="E16033" s="7" t="s">
        <v>232</v>
      </c>
      <c r="F16033" s="7" t="s">
        <v>79</v>
      </c>
      <c r="G16033" s="7" t="s">
        <v>78</v>
      </c>
      <c r="H16033" s="7" t="s">
        <v>79</v>
      </c>
    </row>
    <row r="16034" spans="1:9">
      <c r="A16034" t="s">
        <v>4</v>
      </c>
      <c r="B16034" s="4" t="s">
        <v>5</v>
      </c>
      <c r="C16034" s="4" t="s">
        <v>11</v>
      </c>
    </row>
    <row r="16035" spans="1:9">
      <c r="A16035" t="n">
        <v>151820</v>
      </c>
      <c r="B16035" s="29" t="n">
        <v>16</v>
      </c>
      <c r="C16035" s="7" t="n">
        <v>0</v>
      </c>
    </row>
    <row r="16036" spans="1:9">
      <c r="A16036" t="s">
        <v>4</v>
      </c>
      <c r="B16036" s="4" t="s">
        <v>5</v>
      </c>
      <c r="C16036" s="4" t="s">
        <v>11</v>
      </c>
      <c r="D16036" s="4" t="s">
        <v>11</v>
      </c>
      <c r="E16036" s="4" t="s">
        <v>11</v>
      </c>
    </row>
    <row r="16037" spans="1:9">
      <c r="A16037" t="n">
        <v>151823</v>
      </c>
      <c r="B16037" s="72" t="n">
        <v>61</v>
      </c>
      <c r="C16037" s="7" t="n">
        <v>0</v>
      </c>
      <c r="D16037" s="7" t="n">
        <v>2</v>
      </c>
      <c r="E16037" s="7" t="n">
        <v>0</v>
      </c>
    </row>
    <row r="16038" spans="1:9">
      <c r="A16038" t="s">
        <v>4</v>
      </c>
      <c r="B16038" s="4" t="s">
        <v>5</v>
      </c>
      <c r="C16038" s="4" t="s">
        <v>11</v>
      </c>
      <c r="D16038" s="4" t="s">
        <v>11</v>
      </c>
      <c r="E16038" s="4" t="s">
        <v>11</v>
      </c>
    </row>
    <row r="16039" spans="1:9">
      <c r="A16039" t="n">
        <v>151830</v>
      </c>
      <c r="B16039" s="72" t="n">
        <v>61</v>
      </c>
      <c r="C16039" s="7" t="n">
        <v>2</v>
      </c>
      <c r="D16039" s="7" t="n">
        <v>0</v>
      </c>
      <c r="E16039" s="7" t="n">
        <v>0</v>
      </c>
    </row>
    <row r="16040" spans="1:9">
      <c r="A16040" t="s">
        <v>4</v>
      </c>
      <c r="B16040" s="4" t="s">
        <v>5</v>
      </c>
      <c r="C16040" s="4" t="s">
        <v>7</v>
      </c>
      <c r="D16040" s="4" t="s">
        <v>11</v>
      </c>
      <c r="E16040" s="4" t="s">
        <v>13</v>
      </c>
    </row>
    <row r="16041" spans="1:9">
      <c r="A16041" t="n">
        <v>151837</v>
      </c>
      <c r="B16041" s="23" t="n">
        <v>58</v>
      </c>
      <c r="C16041" s="7" t="n">
        <v>100</v>
      </c>
      <c r="D16041" s="7" t="n">
        <v>1000</v>
      </c>
      <c r="E16041" s="7" t="n">
        <v>1</v>
      </c>
    </row>
    <row r="16042" spans="1:9">
      <c r="A16042" t="s">
        <v>4</v>
      </c>
      <c r="B16042" s="4" t="s">
        <v>5</v>
      </c>
      <c r="C16042" s="4" t="s">
        <v>7</v>
      </c>
      <c r="D16042" s="4" t="s">
        <v>11</v>
      </c>
    </row>
    <row r="16043" spans="1:9">
      <c r="A16043" t="n">
        <v>151845</v>
      </c>
      <c r="B16043" s="23" t="n">
        <v>58</v>
      </c>
      <c r="C16043" s="7" t="n">
        <v>255</v>
      </c>
      <c r="D16043" s="7" t="n">
        <v>0</v>
      </c>
    </row>
    <row r="16044" spans="1:9">
      <c r="A16044" t="s">
        <v>4</v>
      </c>
      <c r="B16044" s="4" t="s">
        <v>5</v>
      </c>
      <c r="C16044" s="4" t="s">
        <v>7</v>
      </c>
      <c r="D16044" s="4" t="s">
        <v>11</v>
      </c>
      <c r="E16044" s="4" t="s">
        <v>8</v>
      </c>
    </row>
    <row r="16045" spans="1:9">
      <c r="A16045" t="n">
        <v>151849</v>
      </c>
      <c r="B16045" s="38" t="n">
        <v>51</v>
      </c>
      <c r="C16045" s="7" t="n">
        <v>4</v>
      </c>
      <c r="D16045" s="7" t="n">
        <v>0</v>
      </c>
      <c r="E16045" s="7" t="s">
        <v>304</v>
      </c>
    </row>
    <row r="16046" spans="1:9">
      <c r="A16046" t="s">
        <v>4</v>
      </c>
      <c r="B16046" s="4" t="s">
        <v>5</v>
      </c>
      <c r="C16046" s="4" t="s">
        <v>11</v>
      </c>
    </row>
    <row r="16047" spans="1:9">
      <c r="A16047" t="n">
        <v>151862</v>
      </c>
      <c r="B16047" s="29" t="n">
        <v>16</v>
      </c>
      <c r="C16047" s="7" t="n">
        <v>0</v>
      </c>
    </row>
    <row r="16048" spans="1:9">
      <c r="A16048" t="s">
        <v>4</v>
      </c>
      <c r="B16048" s="4" t="s">
        <v>5</v>
      </c>
      <c r="C16048" s="4" t="s">
        <v>11</v>
      </c>
      <c r="D16048" s="4" t="s">
        <v>7</v>
      </c>
      <c r="E16048" s="4" t="s">
        <v>15</v>
      </c>
      <c r="F16048" s="4" t="s">
        <v>55</v>
      </c>
      <c r="G16048" s="4" t="s">
        <v>7</v>
      </c>
      <c r="H16048" s="4" t="s">
        <v>7</v>
      </c>
    </row>
    <row r="16049" spans="1:8">
      <c r="A16049" t="n">
        <v>151865</v>
      </c>
      <c r="B16049" s="55" t="n">
        <v>26</v>
      </c>
      <c r="C16049" s="7" t="n">
        <v>0</v>
      </c>
      <c r="D16049" s="7" t="n">
        <v>17</v>
      </c>
      <c r="E16049" s="7" t="n">
        <v>64313</v>
      </c>
      <c r="F16049" s="7" t="s">
        <v>1263</v>
      </c>
      <c r="G16049" s="7" t="n">
        <v>2</v>
      </c>
      <c r="H16049" s="7" t="n">
        <v>0</v>
      </c>
    </row>
    <row r="16050" spans="1:8">
      <c r="A16050" t="s">
        <v>4</v>
      </c>
      <c r="B16050" s="4" t="s">
        <v>5</v>
      </c>
    </row>
    <row r="16051" spans="1:8">
      <c r="A16051" t="n">
        <v>151921</v>
      </c>
      <c r="B16051" s="27" t="n">
        <v>28</v>
      </c>
    </row>
    <row r="16052" spans="1:8">
      <c r="A16052" t="s">
        <v>4</v>
      </c>
      <c r="B16052" s="4" t="s">
        <v>5</v>
      </c>
      <c r="C16052" s="4" t="s">
        <v>7</v>
      </c>
      <c r="D16052" s="4" t="s">
        <v>11</v>
      </c>
      <c r="E16052" s="4" t="s">
        <v>11</v>
      </c>
      <c r="F16052" s="4" t="s">
        <v>7</v>
      </c>
    </row>
    <row r="16053" spans="1:8">
      <c r="A16053" t="n">
        <v>151922</v>
      </c>
      <c r="B16053" s="31" t="n">
        <v>25</v>
      </c>
      <c r="C16053" s="7" t="n">
        <v>1</v>
      </c>
      <c r="D16053" s="7" t="n">
        <v>65535</v>
      </c>
      <c r="E16053" s="7" t="n">
        <v>65535</v>
      </c>
      <c r="F16053" s="7" t="n">
        <v>0</v>
      </c>
    </row>
    <row r="16054" spans="1:8">
      <c r="A16054" t="s">
        <v>4</v>
      </c>
      <c r="B16054" s="4" t="s">
        <v>5</v>
      </c>
      <c r="C16054" s="4" t="s">
        <v>11</v>
      </c>
      <c r="D16054" s="4" t="s">
        <v>7</v>
      </c>
      <c r="E16054" s="4" t="s">
        <v>7</v>
      </c>
      <c r="F16054" s="4" t="s">
        <v>8</v>
      </c>
    </row>
    <row r="16055" spans="1:8">
      <c r="A16055" t="n">
        <v>151929</v>
      </c>
      <c r="B16055" s="50" t="n">
        <v>20</v>
      </c>
      <c r="C16055" s="7" t="n">
        <v>2</v>
      </c>
      <c r="D16055" s="7" t="n">
        <v>2</v>
      </c>
      <c r="E16055" s="7" t="n">
        <v>10</v>
      </c>
      <c r="F16055" s="7" t="s">
        <v>223</v>
      </c>
    </row>
    <row r="16056" spans="1:8">
      <c r="A16056" t="s">
        <v>4</v>
      </c>
      <c r="B16056" s="4" t="s">
        <v>5</v>
      </c>
      <c r="C16056" s="4" t="s">
        <v>7</v>
      </c>
      <c r="D16056" s="4" t="s">
        <v>11</v>
      </c>
      <c r="E16056" s="4" t="s">
        <v>8</v>
      </c>
    </row>
    <row r="16057" spans="1:8">
      <c r="A16057" t="n">
        <v>151950</v>
      </c>
      <c r="B16057" s="38" t="n">
        <v>51</v>
      </c>
      <c r="C16057" s="7" t="n">
        <v>4</v>
      </c>
      <c r="D16057" s="7" t="n">
        <v>2</v>
      </c>
      <c r="E16057" s="7" t="s">
        <v>491</v>
      </c>
    </row>
    <row r="16058" spans="1:8">
      <c r="A16058" t="s">
        <v>4</v>
      </c>
      <c r="B16058" s="4" t="s">
        <v>5</v>
      </c>
      <c r="C16058" s="4" t="s">
        <v>11</v>
      </c>
    </row>
    <row r="16059" spans="1:8">
      <c r="A16059" t="n">
        <v>151964</v>
      </c>
      <c r="B16059" s="29" t="n">
        <v>16</v>
      </c>
      <c r="C16059" s="7" t="n">
        <v>0</v>
      </c>
    </row>
    <row r="16060" spans="1:8">
      <c r="A16060" t="s">
        <v>4</v>
      </c>
      <c r="B16060" s="4" t="s">
        <v>5</v>
      </c>
      <c r="C16060" s="4" t="s">
        <v>11</v>
      </c>
      <c r="D16060" s="4" t="s">
        <v>7</v>
      </c>
      <c r="E16060" s="4" t="s">
        <v>15</v>
      </c>
      <c r="F16060" s="4" t="s">
        <v>55</v>
      </c>
      <c r="G16060" s="4" t="s">
        <v>7</v>
      </c>
      <c r="H16060" s="4" t="s">
        <v>7</v>
      </c>
      <c r="I16060" s="4" t="s">
        <v>7</v>
      </c>
      <c r="J16060" s="4" t="s">
        <v>15</v>
      </c>
      <c r="K16060" s="4" t="s">
        <v>55</v>
      </c>
      <c r="L16060" s="4" t="s">
        <v>7</v>
      </c>
      <c r="M16060" s="4" t="s">
        <v>7</v>
      </c>
      <c r="N16060" s="4" t="s">
        <v>7</v>
      </c>
      <c r="O16060" s="4" t="s">
        <v>15</v>
      </c>
      <c r="P16060" s="4" t="s">
        <v>55</v>
      </c>
      <c r="Q16060" s="4" t="s">
        <v>7</v>
      </c>
      <c r="R16060" s="4" t="s">
        <v>7</v>
      </c>
    </row>
    <row r="16061" spans="1:8">
      <c r="A16061" t="n">
        <v>151967</v>
      </c>
      <c r="B16061" s="55" t="n">
        <v>26</v>
      </c>
      <c r="C16061" s="7" t="n">
        <v>2</v>
      </c>
      <c r="D16061" s="7" t="n">
        <v>17</v>
      </c>
      <c r="E16061" s="7" t="n">
        <v>64314</v>
      </c>
      <c r="F16061" s="7" t="s">
        <v>1264</v>
      </c>
      <c r="G16061" s="7" t="n">
        <v>2</v>
      </c>
      <c r="H16061" s="7" t="n">
        <v>3</v>
      </c>
      <c r="I16061" s="7" t="n">
        <v>17</v>
      </c>
      <c r="J16061" s="7" t="n">
        <v>64315</v>
      </c>
      <c r="K16061" s="7" t="s">
        <v>1265</v>
      </c>
      <c r="L16061" s="7" t="n">
        <v>2</v>
      </c>
      <c r="M16061" s="7" t="n">
        <v>3</v>
      </c>
      <c r="N16061" s="7" t="n">
        <v>17</v>
      </c>
      <c r="O16061" s="7" t="n">
        <v>64316</v>
      </c>
      <c r="P16061" s="7" t="s">
        <v>1266</v>
      </c>
      <c r="Q16061" s="7" t="n">
        <v>2</v>
      </c>
      <c r="R16061" s="7" t="n">
        <v>0</v>
      </c>
    </row>
    <row r="16062" spans="1:8">
      <c r="A16062" t="s">
        <v>4</v>
      </c>
      <c r="B16062" s="4" t="s">
        <v>5</v>
      </c>
    </row>
    <row r="16063" spans="1:8">
      <c r="A16063" t="n">
        <v>152223</v>
      </c>
      <c r="B16063" s="27" t="n">
        <v>28</v>
      </c>
    </row>
    <row r="16064" spans="1:8">
      <c r="A16064" t="s">
        <v>4</v>
      </c>
      <c r="B16064" s="4" t="s">
        <v>5</v>
      </c>
      <c r="C16064" s="4" t="s">
        <v>7</v>
      </c>
      <c r="D16064" s="4" t="s">
        <v>11</v>
      </c>
      <c r="E16064" s="4" t="s">
        <v>8</v>
      </c>
    </row>
    <row r="16065" spans="1:18">
      <c r="A16065" t="n">
        <v>152224</v>
      </c>
      <c r="B16065" s="38" t="n">
        <v>51</v>
      </c>
      <c r="C16065" s="7" t="n">
        <v>4</v>
      </c>
      <c r="D16065" s="7" t="n">
        <v>0</v>
      </c>
      <c r="E16065" s="7" t="s">
        <v>167</v>
      </c>
    </row>
    <row r="16066" spans="1:18">
      <c r="A16066" t="s">
        <v>4</v>
      </c>
      <c r="B16066" s="4" t="s">
        <v>5</v>
      </c>
      <c r="C16066" s="4" t="s">
        <v>11</v>
      </c>
    </row>
    <row r="16067" spans="1:18">
      <c r="A16067" t="n">
        <v>152238</v>
      </c>
      <c r="B16067" s="29" t="n">
        <v>16</v>
      </c>
      <c r="C16067" s="7" t="n">
        <v>0</v>
      </c>
    </row>
    <row r="16068" spans="1:18">
      <c r="A16068" t="s">
        <v>4</v>
      </c>
      <c r="B16068" s="4" t="s">
        <v>5</v>
      </c>
      <c r="C16068" s="4" t="s">
        <v>11</v>
      </c>
      <c r="D16068" s="4" t="s">
        <v>7</v>
      </c>
      <c r="E16068" s="4" t="s">
        <v>15</v>
      </c>
      <c r="F16068" s="4" t="s">
        <v>55</v>
      </c>
      <c r="G16068" s="4" t="s">
        <v>7</v>
      </c>
      <c r="H16068" s="4" t="s">
        <v>7</v>
      </c>
    </row>
    <row r="16069" spans="1:18">
      <c r="A16069" t="n">
        <v>152241</v>
      </c>
      <c r="B16069" s="55" t="n">
        <v>26</v>
      </c>
      <c r="C16069" s="7" t="n">
        <v>0</v>
      </c>
      <c r="D16069" s="7" t="n">
        <v>17</v>
      </c>
      <c r="E16069" s="7" t="n">
        <v>64317</v>
      </c>
      <c r="F16069" s="7" t="s">
        <v>1267</v>
      </c>
      <c r="G16069" s="7" t="n">
        <v>2</v>
      </c>
      <c r="H16069" s="7" t="n">
        <v>0</v>
      </c>
    </row>
    <row r="16070" spans="1:18">
      <c r="A16070" t="s">
        <v>4</v>
      </c>
      <c r="B16070" s="4" t="s">
        <v>5</v>
      </c>
    </row>
    <row r="16071" spans="1:18">
      <c r="A16071" t="n">
        <v>152321</v>
      </c>
      <c r="B16071" s="27" t="n">
        <v>28</v>
      </c>
    </row>
    <row r="16072" spans="1:18">
      <c r="A16072" t="s">
        <v>4</v>
      </c>
      <c r="B16072" s="4" t="s">
        <v>5</v>
      </c>
      <c r="C16072" s="4" t="s">
        <v>7</v>
      </c>
      <c r="D16072" s="4" t="s">
        <v>11</v>
      </c>
      <c r="E16072" s="4" t="s">
        <v>11</v>
      </c>
      <c r="F16072" s="4" t="s">
        <v>7</v>
      </c>
    </row>
    <row r="16073" spans="1:18">
      <c r="A16073" t="n">
        <v>152322</v>
      </c>
      <c r="B16073" s="31" t="n">
        <v>25</v>
      </c>
      <c r="C16073" s="7" t="n">
        <v>1</v>
      </c>
      <c r="D16073" s="7" t="n">
        <v>65535</v>
      </c>
      <c r="E16073" s="7" t="n">
        <v>65535</v>
      </c>
      <c r="F16073" s="7" t="n">
        <v>0</v>
      </c>
    </row>
    <row r="16074" spans="1:18">
      <c r="A16074" t="s">
        <v>4</v>
      </c>
      <c r="B16074" s="4" t="s">
        <v>5</v>
      </c>
      <c r="C16074" s="4" t="s">
        <v>11</v>
      </c>
      <c r="D16074" s="4" t="s">
        <v>7</v>
      </c>
      <c r="E16074" s="4" t="s">
        <v>13</v>
      </c>
      <c r="F16074" s="4" t="s">
        <v>11</v>
      </c>
    </row>
    <row r="16075" spans="1:18">
      <c r="A16075" t="n">
        <v>152329</v>
      </c>
      <c r="B16075" s="56" t="n">
        <v>59</v>
      </c>
      <c r="C16075" s="7" t="n">
        <v>0</v>
      </c>
      <c r="D16075" s="7" t="n">
        <v>9</v>
      </c>
      <c r="E16075" s="7" t="n">
        <v>0.150000005960464</v>
      </c>
      <c r="F16075" s="7" t="n">
        <v>0</v>
      </c>
    </row>
    <row r="16076" spans="1:18">
      <c r="A16076" t="s">
        <v>4</v>
      </c>
      <c r="B16076" s="4" t="s">
        <v>5</v>
      </c>
      <c r="C16076" s="4" t="s">
        <v>11</v>
      </c>
    </row>
    <row r="16077" spans="1:18">
      <c r="A16077" t="n">
        <v>152339</v>
      </c>
      <c r="B16077" s="29" t="n">
        <v>16</v>
      </c>
      <c r="C16077" s="7" t="n">
        <v>1600</v>
      </c>
    </row>
    <row r="16078" spans="1:18">
      <c r="A16078" t="s">
        <v>4</v>
      </c>
      <c r="B16078" s="4" t="s">
        <v>5</v>
      </c>
      <c r="C16078" s="4" t="s">
        <v>7</v>
      </c>
      <c r="D16078" s="4" t="s">
        <v>11</v>
      </c>
      <c r="E16078" s="4" t="s">
        <v>8</v>
      </c>
    </row>
    <row r="16079" spans="1:18">
      <c r="A16079" t="n">
        <v>152342</v>
      </c>
      <c r="B16079" s="38" t="n">
        <v>51</v>
      </c>
      <c r="C16079" s="7" t="n">
        <v>4</v>
      </c>
      <c r="D16079" s="7" t="n">
        <v>0</v>
      </c>
      <c r="E16079" s="7" t="s">
        <v>607</v>
      </c>
    </row>
    <row r="16080" spans="1:18">
      <c r="A16080" t="s">
        <v>4</v>
      </c>
      <c r="B16080" s="4" t="s">
        <v>5</v>
      </c>
      <c r="C16080" s="4" t="s">
        <v>11</v>
      </c>
    </row>
    <row r="16081" spans="1:8">
      <c r="A16081" t="n">
        <v>152355</v>
      </c>
      <c r="B16081" s="29" t="n">
        <v>16</v>
      </c>
      <c r="C16081" s="7" t="n">
        <v>0</v>
      </c>
    </row>
    <row r="16082" spans="1:8">
      <c r="A16082" t="s">
        <v>4</v>
      </c>
      <c r="B16082" s="4" t="s">
        <v>5</v>
      </c>
      <c r="C16082" s="4" t="s">
        <v>11</v>
      </c>
      <c r="D16082" s="4" t="s">
        <v>7</v>
      </c>
      <c r="E16082" s="4" t="s">
        <v>15</v>
      </c>
      <c r="F16082" s="4" t="s">
        <v>55</v>
      </c>
      <c r="G16082" s="4" t="s">
        <v>7</v>
      </c>
      <c r="H16082" s="4" t="s">
        <v>7</v>
      </c>
      <c r="I16082" s="4" t="s">
        <v>7</v>
      </c>
      <c r="J16082" s="4" t="s">
        <v>15</v>
      </c>
      <c r="K16082" s="4" t="s">
        <v>55</v>
      </c>
      <c r="L16082" s="4" t="s">
        <v>7</v>
      </c>
      <c r="M16082" s="4" t="s">
        <v>7</v>
      </c>
    </row>
    <row r="16083" spans="1:8">
      <c r="A16083" t="n">
        <v>152358</v>
      </c>
      <c r="B16083" s="55" t="n">
        <v>26</v>
      </c>
      <c r="C16083" s="7" t="n">
        <v>0</v>
      </c>
      <c r="D16083" s="7" t="n">
        <v>17</v>
      </c>
      <c r="E16083" s="7" t="n">
        <v>64318</v>
      </c>
      <c r="F16083" s="7" t="s">
        <v>1268</v>
      </c>
      <c r="G16083" s="7" t="n">
        <v>2</v>
      </c>
      <c r="H16083" s="7" t="n">
        <v>3</v>
      </c>
      <c r="I16083" s="7" t="n">
        <v>17</v>
      </c>
      <c r="J16083" s="7" t="n">
        <v>64319</v>
      </c>
      <c r="K16083" s="7" t="s">
        <v>1269</v>
      </c>
      <c r="L16083" s="7" t="n">
        <v>2</v>
      </c>
      <c r="M16083" s="7" t="n">
        <v>0</v>
      </c>
    </row>
    <row r="16084" spans="1:8">
      <c r="A16084" t="s">
        <v>4</v>
      </c>
      <c r="B16084" s="4" t="s">
        <v>5</v>
      </c>
    </row>
    <row r="16085" spans="1:8">
      <c r="A16085" t="n">
        <v>152525</v>
      </c>
      <c r="B16085" s="27" t="n">
        <v>28</v>
      </c>
    </row>
    <row r="16086" spans="1:8">
      <c r="A16086" t="s">
        <v>4</v>
      </c>
      <c r="B16086" s="4" t="s">
        <v>5</v>
      </c>
      <c r="C16086" s="4" t="s">
        <v>7</v>
      </c>
      <c r="D16086" s="4" t="s">
        <v>11</v>
      </c>
      <c r="E16086" s="4" t="s">
        <v>11</v>
      </c>
      <c r="F16086" s="4" t="s">
        <v>7</v>
      </c>
    </row>
    <row r="16087" spans="1:8">
      <c r="A16087" t="n">
        <v>152526</v>
      </c>
      <c r="B16087" s="31" t="n">
        <v>25</v>
      </c>
      <c r="C16087" s="7" t="n">
        <v>1</v>
      </c>
      <c r="D16087" s="7" t="n">
        <v>65535</v>
      </c>
      <c r="E16087" s="7" t="n">
        <v>65535</v>
      </c>
      <c r="F16087" s="7" t="n">
        <v>0</v>
      </c>
    </row>
    <row r="16088" spans="1:8">
      <c r="A16088" t="s">
        <v>4</v>
      </c>
      <c r="B16088" s="4" t="s">
        <v>5</v>
      </c>
      <c r="C16088" s="4" t="s">
        <v>7</v>
      </c>
      <c r="D16088" s="4" t="s">
        <v>11</v>
      </c>
      <c r="E16088" s="4" t="s">
        <v>8</v>
      </c>
    </row>
    <row r="16089" spans="1:8">
      <c r="A16089" t="n">
        <v>152533</v>
      </c>
      <c r="B16089" s="38" t="n">
        <v>51</v>
      </c>
      <c r="C16089" s="7" t="n">
        <v>4</v>
      </c>
      <c r="D16089" s="7" t="n">
        <v>2</v>
      </c>
      <c r="E16089" s="7" t="s">
        <v>1270</v>
      </c>
    </row>
    <row r="16090" spans="1:8">
      <c r="A16090" t="s">
        <v>4</v>
      </c>
      <c r="B16090" s="4" t="s">
        <v>5</v>
      </c>
      <c r="C16090" s="4" t="s">
        <v>11</v>
      </c>
    </row>
    <row r="16091" spans="1:8">
      <c r="A16091" t="n">
        <v>152546</v>
      </c>
      <c r="B16091" s="29" t="n">
        <v>16</v>
      </c>
      <c r="C16091" s="7" t="n">
        <v>0</v>
      </c>
    </row>
    <row r="16092" spans="1:8">
      <c r="A16092" t="s">
        <v>4</v>
      </c>
      <c r="B16092" s="4" t="s">
        <v>5</v>
      </c>
      <c r="C16092" s="4" t="s">
        <v>11</v>
      </c>
      <c r="D16092" s="4" t="s">
        <v>7</v>
      </c>
      <c r="E16092" s="4" t="s">
        <v>15</v>
      </c>
      <c r="F16092" s="4" t="s">
        <v>55</v>
      </c>
      <c r="G16092" s="4" t="s">
        <v>7</v>
      </c>
      <c r="H16092" s="4" t="s">
        <v>7</v>
      </c>
      <c r="I16092" s="4" t="s">
        <v>7</v>
      </c>
      <c r="J16092" s="4" t="s">
        <v>15</v>
      </c>
      <c r="K16092" s="4" t="s">
        <v>55</v>
      </c>
      <c r="L16092" s="4" t="s">
        <v>7</v>
      </c>
      <c r="M16092" s="4" t="s">
        <v>7</v>
      </c>
      <c r="N16092" s="4" t="s">
        <v>7</v>
      </c>
      <c r="O16092" s="4" t="s">
        <v>15</v>
      </c>
      <c r="P16092" s="4" t="s">
        <v>55</v>
      </c>
      <c r="Q16092" s="4" t="s">
        <v>7</v>
      </c>
      <c r="R16092" s="4" t="s">
        <v>7</v>
      </c>
      <c r="S16092" s="4" t="s">
        <v>7</v>
      </c>
      <c r="T16092" s="4" t="s">
        <v>15</v>
      </c>
      <c r="U16092" s="4" t="s">
        <v>55</v>
      </c>
      <c r="V16092" s="4" t="s">
        <v>7</v>
      </c>
      <c r="W16092" s="4" t="s">
        <v>7</v>
      </c>
    </row>
    <row r="16093" spans="1:8">
      <c r="A16093" t="n">
        <v>152549</v>
      </c>
      <c r="B16093" s="55" t="n">
        <v>26</v>
      </c>
      <c r="C16093" s="7" t="n">
        <v>2</v>
      </c>
      <c r="D16093" s="7" t="n">
        <v>17</v>
      </c>
      <c r="E16093" s="7" t="n">
        <v>64320</v>
      </c>
      <c r="F16093" s="7" t="s">
        <v>1271</v>
      </c>
      <c r="G16093" s="7" t="n">
        <v>2</v>
      </c>
      <c r="H16093" s="7" t="n">
        <v>3</v>
      </c>
      <c r="I16093" s="7" t="n">
        <v>17</v>
      </c>
      <c r="J16093" s="7" t="n">
        <v>64321</v>
      </c>
      <c r="K16093" s="7" t="s">
        <v>1272</v>
      </c>
      <c r="L16093" s="7" t="n">
        <v>2</v>
      </c>
      <c r="M16093" s="7" t="n">
        <v>3</v>
      </c>
      <c r="N16093" s="7" t="n">
        <v>17</v>
      </c>
      <c r="O16093" s="7" t="n">
        <v>64322</v>
      </c>
      <c r="P16093" s="7" t="s">
        <v>1273</v>
      </c>
      <c r="Q16093" s="7" t="n">
        <v>2</v>
      </c>
      <c r="R16093" s="7" t="n">
        <v>3</v>
      </c>
      <c r="S16093" s="7" t="n">
        <v>17</v>
      </c>
      <c r="T16093" s="7" t="n">
        <v>64323</v>
      </c>
      <c r="U16093" s="7" t="s">
        <v>1274</v>
      </c>
      <c r="V16093" s="7" t="n">
        <v>2</v>
      </c>
      <c r="W16093" s="7" t="n">
        <v>0</v>
      </c>
    </row>
    <row r="16094" spans="1:8">
      <c r="A16094" t="s">
        <v>4</v>
      </c>
      <c r="B16094" s="4" t="s">
        <v>5</v>
      </c>
    </row>
    <row r="16095" spans="1:8">
      <c r="A16095" t="n">
        <v>153012</v>
      </c>
      <c r="B16095" s="27" t="n">
        <v>28</v>
      </c>
    </row>
    <row r="16096" spans="1:8">
      <c r="A16096" t="s">
        <v>4</v>
      </c>
      <c r="B16096" s="4" t="s">
        <v>5</v>
      </c>
      <c r="C16096" s="4" t="s">
        <v>7</v>
      </c>
      <c r="D16096" s="4" t="s">
        <v>11</v>
      </c>
      <c r="E16096" s="4" t="s">
        <v>8</v>
      </c>
    </row>
    <row r="16097" spans="1:23">
      <c r="A16097" t="n">
        <v>153013</v>
      </c>
      <c r="B16097" s="38" t="n">
        <v>51</v>
      </c>
      <c r="C16097" s="7" t="n">
        <v>4</v>
      </c>
      <c r="D16097" s="7" t="n">
        <v>0</v>
      </c>
      <c r="E16097" s="7" t="s">
        <v>179</v>
      </c>
    </row>
    <row r="16098" spans="1:23">
      <c r="A16098" t="s">
        <v>4</v>
      </c>
      <c r="B16098" s="4" t="s">
        <v>5</v>
      </c>
      <c r="C16098" s="4" t="s">
        <v>11</v>
      </c>
    </row>
    <row r="16099" spans="1:23">
      <c r="A16099" t="n">
        <v>153027</v>
      </c>
      <c r="B16099" s="29" t="n">
        <v>16</v>
      </c>
      <c r="C16099" s="7" t="n">
        <v>0</v>
      </c>
    </row>
    <row r="16100" spans="1:23">
      <c r="A16100" t="s">
        <v>4</v>
      </c>
      <c r="B16100" s="4" t="s">
        <v>5</v>
      </c>
      <c r="C16100" s="4" t="s">
        <v>11</v>
      </c>
      <c r="D16100" s="4" t="s">
        <v>7</v>
      </c>
      <c r="E16100" s="4" t="s">
        <v>15</v>
      </c>
      <c r="F16100" s="4" t="s">
        <v>55</v>
      </c>
      <c r="G16100" s="4" t="s">
        <v>7</v>
      </c>
      <c r="H16100" s="4" t="s">
        <v>7</v>
      </c>
      <c r="I16100" s="4" t="s">
        <v>7</v>
      </c>
      <c r="J16100" s="4" t="s">
        <v>15</v>
      </c>
      <c r="K16100" s="4" t="s">
        <v>55</v>
      </c>
      <c r="L16100" s="4" t="s">
        <v>7</v>
      </c>
      <c r="M16100" s="4" t="s">
        <v>7</v>
      </c>
    </row>
    <row r="16101" spans="1:23">
      <c r="A16101" t="n">
        <v>153030</v>
      </c>
      <c r="B16101" s="55" t="n">
        <v>26</v>
      </c>
      <c r="C16101" s="7" t="n">
        <v>0</v>
      </c>
      <c r="D16101" s="7" t="n">
        <v>17</v>
      </c>
      <c r="E16101" s="7" t="n">
        <v>64324</v>
      </c>
      <c r="F16101" s="7" t="s">
        <v>1275</v>
      </c>
      <c r="G16101" s="7" t="n">
        <v>2</v>
      </c>
      <c r="H16101" s="7" t="n">
        <v>3</v>
      </c>
      <c r="I16101" s="7" t="n">
        <v>17</v>
      </c>
      <c r="J16101" s="7" t="n">
        <v>64325</v>
      </c>
      <c r="K16101" s="7" t="s">
        <v>1276</v>
      </c>
      <c r="L16101" s="7" t="n">
        <v>2</v>
      </c>
      <c r="M16101" s="7" t="n">
        <v>0</v>
      </c>
    </row>
    <row r="16102" spans="1:23">
      <c r="A16102" t="s">
        <v>4</v>
      </c>
      <c r="B16102" s="4" t="s">
        <v>5</v>
      </c>
    </row>
    <row r="16103" spans="1:23">
      <c r="A16103" t="n">
        <v>153106</v>
      </c>
      <c r="B16103" s="27" t="n">
        <v>28</v>
      </c>
    </row>
    <row r="16104" spans="1:23">
      <c r="A16104" t="s">
        <v>4</v>
      </c>
      <c r="B16104" s="4" t="s">
        <v>5</v>
      </c>
      <c r="C16104" s="4" t="s">
        <v>7</v>
      </c>
      <c r="D16104" s="4" t="s">
        <v>11</v>
      </c>
      <c r="E16104" s="4" t="s">
        <v>11</v>
      </c>
      <c r="F16104" s="4" t="s">
        <v>7</v>
      </c>
    </row>
    <row r="16105" spans="1:23">
      <c r="A16105" t="n">
        <v>153107</v>
      </c>
      <c r="B16105" s="31" t="n">
        <v>25</v>
      </c>
      <c r="C16105" s="7" t="n">
        <v>1</v>
      </c>
      <c r="D16105" s="7" t="n">
        <v>65535</v>
      </c>
      <c r="E16105" s="7" t="n">
        <v>65535</v>
      </c>
      <c r="F16105" s="7" t="n">
        <v>0</v>
      </c>
    </row>
    <row r="16106" spans="1:23">
      <c r="A16106" t="s">
        <v>4</v>
      </c>
      <c r="B16106" s="4" t="s">
        <v>5</v>
      </c>
      <c r="C16106" s="4" t="s">
        <v>7</v>
      </c>
      <c r="D16106" s="4" t="s">
        <v>11</v>
      </c>
      <c r="E16106" s="4" t="s">
        <v>8</v>
      </c>
    </row>
    <row r="16107" spans="1:23">
      <c r="A16107" t="n">
        <v>153114</v>
      </c>
      <c r="B16107" s="38" t="n">
        <v>51</v>
      </c>
      <c r="C16107" s="7" t="n">
        <v>4</v>
      </c>
      <c r="D16107" s="7" t="n">
        <v>2</v>
      </c>
      <c r="E16107" s="7" t="s">
        <v>430</v>
      </c>
    </row>
    <row r="16108" spans="1:23">
      <c r="A16108" t="s">
        <v>4</v>
      </c>
      <c r="B16108" s="4" t="s">
        <v>5</v>
      </c>
      <c r="C16108" s="4" t="s">
        <v>11</v>
      </c>
    </row>
    <row r="16109" spans="1:23">
      <c r="A16109" t="n">
        <v>153127</v>
      </c>
      <c r="B16109" s="29" t="n">
        <v>16</v>
      </c>
      <c r="C16109" s="7" t="n">
        <v>0</v>
      </c>
    </row>
    <row r="16110" spans="1:23">
      <c r="A16110" t="s">
        <v>4</v>
      </c>
      <c r="B16110" s="4" t="s">
        <v>5</v>
      </c>
      <c r="C16110" s="4" t="s">
        <v>11</v>
      </c>
      <c r="D16110" s="4" t="s">
        <v>7</v>
      </c>
      <c r="E16110" s="4" t="s">
        <v>15</v>
      </c>
      <c r="F16110" s="4" t="s">
        <v>55</v>
      </c>
      <c r="G16110" s="4" t="s">
        <v>7</v>
      </c>
      <c r="H16110" s="4" t="s">
        <v>7</v>
      </c>
      <c r="I16110" s="4" t="s">
        <v>7</v>
      </c>
      <c r="J16110" s="4" t="s">
        <v>15</v>
      </c>
      <c r="K16110" s="4" t="s">
        <v>55</v>
      </c>
      <c r="L16110" s="4" t="s">
        <v>7</v>
      </c>
      <c r="M16110" s="4" t="s">
        <v>7</v>
      </c>
    </row>
    <row r="16111" spans="1:23">
      <c r="A16111" t="n">
        <v>153130</v>
      </c>
      <c r="B16111" s="55" t="n">
        <v>26</v>
      </c>
      <c r="C16111" s="7" t="n">
        <v>2</v>
      </c>
      <c r="D16111" s="7" t="n">
        <v>17</v>
      </c>
      <c r="E16111" s="7" t="n">
        <v>64326</v>
      </c>
      <c r="F16111" s="7" t="s">
        <v>1277</v>
      </c>
      <c r="G16111" s="7" t="n">
        <v>2</v>
      </c>
      <c r="H16111" s="7" t="n">
        <v>3</v>
      </c>
      <c r="I16111" s="7" t="n">
        <v>17</v>
      </c>
      <c r="J16111" s="7" t="n">
        <v>64327</v>
      </c>
      <c r="K16111" s="7" t="s">
        <v>1278</v>
      </c>
      <c r="L16111" s="7" t="n">
        <v>2</v>
      </c>
      <c r="M16111" s="7" t="n">
        <v>0</v>
      </c>
    </row>
    <row r="16112" spans="1:23">
      <c r="A16112" t="s">
        <v>4</v>
      </c>
      <c r="B16112" s="4" t="s">
        <v>5</v>
      </c>
    </row>
    <row r="16113" spans="1:13">
      <c r="A16113" t="n">
        <v>153179</v>
      </c>
      <c r="B16113" s="27" t="n">
        <v>28</v>
      </c>
    </row>
    <row r="16114" spans="1:13">
      <c r="A16114" t="s">
        <v>4</v>
      </c>
      <c r="B16114" s="4" t="s">
        <v>5</v>
      </c>
      <c r="C16114" s="4" t="s">
        <v>7</v>
      </c>
      <c r="D16114" s="4" t="s">
        <v>11</v>
      </c>
      <c r="E16114" s="4" t="s">
        <v>8</v>
      </c>
      <c r="F16114" s="4" t="s">
        <v>8</v>
      </c>
      <c r="G16114" s="4" t="s">
        <v>8</v>
      </c>
      <c r="H16114" s="4" t="s">
        <v>8</v>
      </c>
    </row>
    <row r="16115" spans="1:13">
      <c r="A16115" t="n">
        <v>153180</v>
      </c>
      <c r="B16115" s="38" t="n">
        <v>51</v>
      </c>
      <c r="C16115" s="7" t="n">
        <v>3</v>
      </c>
      <c r="D16115" s="7" t="n">
        <v>2</v>
      </c>
      <c r="E16115" s="7" t="s">
        <v>99</v>
      </c>
      <c r="F16115" s="7" t="s">
        <v>218</v>
      </c>
      <c r="G16115" s="7" t="s">
        <v>78</v>
      </c>
      <c r="H16115" s="7" t="s">
        <v>79</v>
      </c>
    </row>
    <row r="16116" spans="1:13">
      <c r="A16116" t="s">
        <v>4</v>
      </c>
      <c r="B16116" s="4" t="s">
        <v>5</v>
      </c>
      <c r="C16116" s="4" t="s">
        <v>11</v>
      </c>
      <c r="D16116" s="4" t="s">
        <v>13</v>
      </c>
      <c r="E16116" s="4" t="s">
        <v>13</v>
      </c>
      <c r="F16116" s="4" t="s">
        <v>13</v>
      </c>
      <c r="G16116" s="4" t="s">
        <v>11</v>
      </c>
      <c r="H16116" s="4" t="s">
        <v>11</v>
      </c>
    </row>
    <row r="16117" spans="1:13">
      <c r="A16117" t="n">
        <v>153193</v>
      </c>
      <c r="B16117" s="37" t="n">
        <v>60</v>
      </c>
      <c r="C16117" s="7" t="n">
        <v>2</v>
      </c>
      <c r="D16117" s="7" t="n">
        <v>0</v>
      </c>
      <c r="E16117" s="7" t="n">
        <v>-15</v>
      </c>
      <c r="F16117" s="7" t="n">
        <v>0</v>
      </c>
      <c r="G16117" s="7" t="n">
        <v>1000</v>
      </c>
      <c r="H16117" s="7" t="n">
        <v>0</v>
      </c>
    </row>
    <row r="16118" spans="1:13">
      <c r="A16118" t="s">
        <v>4</v>
      </c>
      <c r="B16118" s="4" t="s">
        <v>5</v>
      </c>
      <c r="C16118" s="4" t="s">
        <v>11</v>
      </c>
    </row>
    <row r="16119" spans="1:13">
      <c r="A16119" t="n">
        <v>153212</v>
      </c>
      <c r="B16119" s="29" t="n">
        <v>16</v>
      </c>
      <c r="C16119" s="7" t="n">
        <v>800</v>
      </c>
    </row>
    <row r="16120" spans="1:13">
      <c r="A16120" t="s">
        <v>4</v>
      </c>
      <c r="B16120" s="4" t="s">
        <v>5</v>
      </c>
      <c r="C16120" s="4" t="s">
        <v>7</v>
      </c>
      <c r="D16120" s="4" t="s">
        <v>11</v>
      </c>
      <c r="E16120" s="4" t="s">
        <v>7</v>
      </c>
      <c r="F16120" s="4" t="s">
        <v>12</v>
      </c>
    </row>
    <row r="16121" spans="1:13">
      <c r="A16121" t="n">
        <v>153215</v>
      </c>
      <c r="B16121" s="10" t="n">
        <v>5</v>
      </c>
      <c r="C16121" s="7" t="n">
        <v>30</v>
      </c>
      <c r="D16121" s="7" t="n">
        <v>10811</v>
      </c>
      <c r="E16121" s="7" t="n">
        <v>1</v>
      </c>
      <c r="F16121" s="11" t="n">
        <f t="normal" ca="1">A16249</f>
        <v>0</v>
      </c>
    </row>
    <row r="16122" spans="1:13">
      <c r="A16122" t="s">
        <v>4</v>
      </c>
      <c r="B16122" s="4" t="s">
        <v>5</v>
      </c>
      <c r="C16122" s="4" t="s">
        <v>7</v>
      </c>
      <c r="D16122" s="4" t="s">
        <v>11</v>
      </c>
      <c r="E16122" s="4" t="s">
        <v>13</v>
      </c>
    </row>
    <row r="16123" spans="1:13">
      <c r="A16123" t="n">
        <v>153224</v>
      </c>
      <c r="B16123" s="23" t="n">
        <v>58</v>
      </c>
      <c r="C16123" s="7" t="n">
        <v>101</v>
      </c>
      <c r="D16123" s="7" t="n">
        <v>800</v>
      </c>
      <c r="E16123" s="7" t="n">
        <v>1</v>
      </c>
    </row>
    <row r="16124" spans="1:13">
      <c r="A16124" t="s">
        <v>4</v>
      </c>
      <c r="B16124" s="4" t="s">
        <v>5</v>
      </c>
      <c r="C16124" s="4" t="s">
        <v>7</v>
      </c>
      <c r="D16124" s="4" t="s">
        <v>11</v>
      </c>
    </row>
    <row r="16125" spans="1:13">
      <c r="A16125" t="n">
        <v>153232</v>
      </c>
      <c r="B16125" s="23" t="n">
        <v>58</v>
      </c>
      <c r="C16125" s="7" t="n">
        <v>254</v>
      </c>
      <c r="D16125" s="7" t="n">
        <v>0</v>
      </c>
    </row>
    <row r="16126" spans="1:13">
      <c r="A16126" t="s">
        <v>4</v>
      </c>
      <c r="B16126" s="4" t="s">
        <v>5</v>
      </c>
      <c r="C16126" s="4" t="s">
        <v>7</v>
      </c>
      <c r="D16126" s="4" t="s">
        <v>7</v>
      </c>
      <c r="E16126" s="4" t="s">
        <v>13</v>
      </c>
      <c r="F16126" s="4" t="s">
        <v>13</v>
      </c>
      <c r="G16126" s="4" t="s">
        <v>13</v>
      </c>
      <c r="H16126" s="4" t="s">
        <v>11</v>
      </c>
    </row>
    <row r="16127" spans="1:13">
      <c r="A16127" t="n">
        <v>153236</v>
      </c>
      <c r="B16127" s="51" t="n">
        <v>45</v>
      </c>
      <c r="C16127" s="7" t="n">
        <v>2</v>
      </c>
      <c r="D16127" s="7" t="n">
        <v>3</v>
      </c>
      <c r="E16127" s="7" t="n">
        <v>1.55999994277954</v>
      </c>
      <c r="F16127" s="7" t="n">
        <v>6.48999977111816</v>
      </c>
      <c r="G16127" s="7" t="n">
        <v>47.5099983215332</v>
      </c>
      <c r="H16127" s="7" t="n">
        <v>0</v>
      </c>
    </row>
    <row r="16128" spans="1:13">
      <c r="A16128" t="s">
        <v>4</v>
      </c>
      <c r="B16128" s="4" t="s">
        <v>5</v>
      </c>
      <c r="C16128" s="4" t="s">
        <v>7</v>
      </c>
      <c r="D16128" s="4" t="s">
        <v>7</v>
      </c>
      <c r="E16128" s="4" t="s">
        <v>13</v>
      </c>
      <c r="F16128" s="4" t="s">
        <v>13</v>
      </c>
      <c r="G16128" s="4" t="s">
        <v>13</v>
      </c>
      <c r="H16128" s="4" t="s">
        <v>11</v>
      </c>
      <c r="I16128" s="4" t="s">
        <v>7</v>
      </c>
    </row>
    <row r="16129" spans="1:9">
      <c r="A16129" t="n">
        <v>153253</v>
      </c>
      <c r="B16129" s="51" t="n">
        <v>45</v>
      </c>
      <c r="C16129" s="7" t="n">
        <v>4</v>
      </c>
      <c r="D16129" s="7" t="n">
        <v>3</v>
      </c>
      <c r="E16129" s="7" t="n">
        <v>6.40000009536743</v>
      </c>
      <c r="F16129" s="7" t="n">
        <v>219.339996337891</v>
      </c>
      <c r="G16129" s="7" t="n">
        <v>358</v>
      </c>
      <c r="H16129" s="7" t="n">
        <v>0</v>
      </c>
      <c r="I16129" s="7" t="n">
        <v>0</v>
      </c>
    </row>
    <row r="16130" spans="1:9">
      <c r="A16130" t="s">
        <v>4</v>
      </c>
      <c r="B16130" s="4" t="s">
        <v>5</v>
      </c>
      <c r="C16130" s="4" t="s">
        <v>7</v>
      </c>
      <c r="D16130" s="4" t="s">
        <v>7</v>
      </c>
      <c r="E16130" s="4" t="s">
        <v>13</v>
      </c>
      <c r="F16130" s="4" t="s">
        <v>11</v>
      </c>
    </row>
    <row r="16131" spans="1:9">
      <c r="A16131" t="n">
        <v>153271</v>
      </c>
      <c r="B16131" s="51" t="n">
        <v>45</v>
      </c>
      <c r="C16131" s="7" t="n">
        <v>5</v>
      </c>
      <c r="D16131" s="7" t="n">
        <v>3</v>
      </c>
      <c r="E16131" s="7" t="n">
        <v>0.800000011920929</v>
      </c>
      <c r="F16131" s="7" t="n">
        <v>0</v>
      </c>
    </row>
    <row r="16132" spans="1:9">
      <c r="A16132" t="s">
        <v>4</v>
      </c>
      <c r="B16132" s="4" t="s">
        <v>5</v>
      </c>
      <c r="C16132" s="4" t="s">
        <v>7</v>
      </c>
      <c r="D16132" s="4" t="s">
        <v>7</v>
      </c>
      <c r="E16132" s="4" t="s">
        <v>13</v>
      </c>
      <c r="F16132" s="4" t="s">
        <v>11</v>
      </c>
    </row>
    <row r="16133" spans="1:9">
      <c r="A16133" t="n">
        <v>153280</v>
      </c>
      <c r="B16133" s="51" t="n">
        <v>45</v>
      </c>
      <c r="C16133" s="7" t="n">
        <v>5</v>
      </c>
      <c r="D16133" s="7" t="n">
        <v>3</v>
      </c>
      <c r="E16133" s="7" t="n">
        <v>0.899999976158142</v>
      </c>
      <c r="F16133" s="7" t="n">
        <v>3000</v>
      </c>
    </row>
    <row r="16134" spans="1:9">
      <c r="A16134" t="s">
        <v>4</v>
      </c>
      <c r="B16134" s="4" t="s">
        <v>5</v>
      </c>
      <c r="C16134" s="4" t="s">
        <v>7</v>
      </c>
      <c r="D16134" s="4" t="s">
        <v>7</v>
      </c>
      <c r="E16134" s="4" t="s">
        <v>13</v>
      </c>
      <c r="F16134" s="4" t="s">
        <v>11</v>
      </c>
    </row>
    <row r="16135" spans="1:9">
      <c r="A16135" t="n">
        <v>153289</v>
      </c>
      <c r="B16135" s="51" t="n">
        <v>45</v>
      </c>
      <c r="C16135" s="7" t="n">
        <v>11</v>
      </c>
      <c r="D16135" s="7" t="n">
        <v>3</v>
      </c>
      <c r="E16135" s="7" t="n">
        <v>32.2999992370605</v>
      </c>
      <c r="F16135" s="7" t="n">
        <v>0</v>
      </c>
    </row>
    <row r="16136" spans="1:9">
      <c r="A16136" t="s">
        <v>4</v>
      </c>
      <c r="B16136" s="4" t="s">
        <v>5</v>
      </c>
      <c r="C16136" s="4" t="s">
        <v>11</v>
      </c>
    </row>
    <row r="16137" spans="1:9">
      <c r="A16137" t="n">
        <v>153298</v>
      </c>
      <c r="B16137" s="29" t="n">
        <v>16</v>
      </c>
      <c r="C16137" s="7" t="n">
        <v>400</v>
      </c>
    </row>
    <row r="16138" spans="1:9">
      <c r="A16138" t="s">
        <v>4</v>
      </c>
      <c r="B16138" s="4" t="s">
        <v>5</v>
      </c>
      <c r="C16138" s="4" t="s">
        <v>11</v>
      </c>
      <c r="D16138" s="4" t="s">
        <v>7</v>
      </c>
      <c r="E16138" s="4" t="s">
        <v>13</v>
      </c>
      <c r="F16138" s="4" t="s">
        <v>11</v>
      </c>
    </row>
    <row r="16139" spans="1:9">
      <c r="A16139" t="n">
        <v>153301</v>
      </c>
      <c r="B16139" s="56" t="n">
        <v>59</v>
      </c>
      <c r="C16139" s="7" t="n">
        <v>2</v>
      </c>
      <c r="D16139" s="7" t="n">
        <v>9</v>
      </c>
      <c r="E16139" s="7" t="n">
        <v>0.150000005960464</v>
      </c>
      <c r="F16139" s="7" t="n">
        <v>0</v>
      </c>
    </row>
    <row r="16140" spans="1:9">
      <c r="A16140" t="s">
        <v>4</v>
      </c>
      <c r="B16140" s="4" t="s">
        <v>5</v>
      </c>
      <c r="C16140" s="4" t="s">
        <v>11</v>
      </c>
    </row>
    <row r="16141" spans="1:9">
      <c r="A16141" t="n">
        <v>153311</v>
      </c>
      <c r="B16141" s="29" t="n">
        <v>16</v>
      </c>
      <c r="C16141" s="7" t="n">
        <v>1500</v>
      </c>
    </row>
    <row r="16142" spans="1:9">
      <c r="A16142" t="s">
        <v>4</v>
      </c>
      <c r="B16142" s="4" t="s">
        <v>5</v>
      </c>
      <c r="C16142" s="4" t="s">
        <v>11</v>
      </c>
      <c r="D16142" s="4" t="s">
        <v>13</v>
      </c>
      <c r="E16142" s="4" t="s">
        <v>13</v>
      </c>
      <c r="F16142" s="4" t="s">
        <v>13</v>
      </c>
      <c r="G16142" s="4" t="s">
        <v>11</v>
      </c>
      <c r="H16142" s="4" t="s">
        <v>11</v>
      </c>
    </row>
    <row r="16143" spans="1:9">
      <c r="A16143" t="n">
        <v>153314</v>
      </c>
      <c r="B16143" s="37" t="n">
        <v>60</v>
      </c>
      <c r="C16143" s="7" t="n">
        <v>2</v>
      </c>
      <c r="D16143" s="7" t="n">
        <v>0</v>
      </c>
      <c r="E16143" s="7" t="n">
        <v>0</v>
      </c>
      <c r="F16143" s="7" t="n">
        <v>0</v>
      </c>
      <c r="G16143" s="7" t="n">
        <v>800</v>
      </c>
      <c r="H16143" s="7" t="n">
        <v>0</v>
      </c>
    </row>
    <row r="16144" spans="1:9">
      <c r="A16144" t="s">
        <v>4</v>
      </c>
      <c r="B16144" s="4" t="s">
        <v>5</v>
      </c>
      <c r="C16144" s="4" t="s">
        <v>11</v>
      </c>
    </row>
    <row r="16145" spans="1:9">
      <c r="A16145" t="n">
        <v>153333</v>
      </c>
      <c r="B16145" s="29" t="n">
        <v>16</v>
      </c>
      <c r="C16145" s="7" t="n">
        <v>1000</v>
      </c>
    </row>
    <row r="16146" spans="1:9">
      <c r="A16146" t="s">
        <v>4</v>
      </c>
      <c r="B16146" s="4" t="s">
        <v>5</v>
      </c>
      <c r="C16146" s="4" t="s">
        <v>7</v>
      </c>
      <c r="D16146" s="4" t="s">
        <v>11</v>
      </c>
      <c r="E16146" s="4" t="s">
        <v>8</v>
      </c>
    </row>
    <row r="16147" spans="1:9">
      <c r="A16147" t="n">
        <v>153336</v>
      </c>
      <c r="B16147" s="38" t="n">
        <v>51</v>
      </c>
      <c r="C16147" s="7" t="n">
        <v>4</v>
      </c>
      <c r="D16147" s="7" t="n">
        <v>2</v>
      </c>
      <c r="E16147" s="7" t="s">
        <v>1279</v>
      </c>
    </row>
    <row r="16148" spans="1:9">
      <c r="A16148" t="s">
        <v>4</v>
      </c>
      <c r="B16148" s="4" t="s">
        <v>5</v>
      </c>
      <c r="C16148" s="4" t="s">
        <v>11</v>
      </c>
    </row>
    <row r="16149" spans="1:9">
      <c r="A16149" t="n">
        <v>153350</v>
      </c>
      <c r="B16149" s="29" t="n">
        <v>16</v>
      </c>
      <c r="C16149" s="7" t="n">
        <v>0</v>
      </c>
    </row>
    <row r="16150" spans="1:9">
      <c r="A16150" t="s">
        <v>4</v>
      </c>
      <c r="B16150" s="4" t="s">
        <v>5</v>
      </c>
      <c r="C16150" s="4" t="s">
        <v>11</v>
      </c>
      <c r="D16150" s="4" t="s">
        <v>7</v>
      </c>
      <c r="E16150" s="4" t="s">
        <v>15</v>
      </c>
      <c r="F16150" s="4" t="s">
        <v>55</v>
      </c>
      <c r="G16150" s="4" t="s">
        <v>7</v>
      </c>
      <c r="H16150" s="4" t="s">
        <v>7</v>
      </c>
      <c r="I16150" s="4" t="s">
        <v>7</v>
      </c>
      <c r="J16150" s="4" t="s">
        <v>15</v>
      </c>
      <c r="K16150" s="4" t="s">
        <v>55</v>
      </c>
      <c r="L16150" s="4" t="s">
        <v>7</v>
      </c>
      <c r="M16150" s="4" t="s">
        <v>7</v>
      </c>
    </row>
    <row r="16151" spans="1:9">
      <c r="A16151" t="n">
        <v>153353</v>
      </c>
      <c r="B16151" s="55" t="n">
        <v>26</v>
      </c>
      <c r="C16151" s="7" t="n">
        <v>2</v>
      </c>
      <c r="D16151" s="7" t="n">
        <v>17</v>
      </c>
      <c r="E16151" s="7" t="n">
        <v>64328</v>
      </c>
      <c r="F16151" s="7" t="s">
        <v>1280</v>
      </c>
      <c r="G16151" s="7" t="n">
        <v>2</v>
      </c>
      <c r="H16151" s="7" t="n">
        <v>3</v>
      </c>
      <c r="I16151" s="7" t="n">
        <v>17</v>
      </c>
      <c r="J16151" s="7" t="n">
        <v>64329</v>
      </c>
      <c r="K16151" s="7" t="s">
        <v>1281</v>
      </c>
      <c r="L16151" s="7" t="n">
        <v>2</v>
      </c>
      <c r="M16151" s="7" t="n">
        <v>0</v>
      </c>
    </row>
    <row r="16152" spans="1:9">
      <c r="A16152" t="s">
        <v>4</v>
      </c>
      <c r="B16152" s="4" t="s">
        <v>5</v>
      </c>
    </row>
    <row r="16153" spans="1:9">
      <c r="A16153" t="n">
        <v>153421</v>
      </c>
      <c r="B16153" s="27" t="n">
        <v>28</v>
      </c>
    </row>
    <row r="16154" spans="1:9">
      <c r="A16154" t="s">
        <v>4</v>
      </c>
      <c r="B16154" s="4" t="s">
        <v>5</v>
      </c>
      <c r="C16154" s="4" t="s">
        <v>11</v>
      </c>
      <c r="D16154" s="4" t="s">
        <v>7</v>
      </c>
      <c r="E16154" s="4" t="s">
        <v>7</v>
      </c>
      <c r="F16154" s="4" t="s">
        <v>8</v>
      </c>
    </row>
    <row r="16155" spans="1:9">
      <c r="A16155" t="n">
        <v>153422</v>
      </c>
      <c r="B16155" s="50" t="n">
        <v>20</v>
      </c>
      <c r="C16155" s="7" t="n">
        <v>0</v>
      </c>
      <c r="D16155" s="7" t="n">
        <v>2</v>
      </c>
      <c r="E16155" s="7" t="n">
        <v>10</v>
      </c>
      <c r="F16155" s="7" t="s">
        <v>260</v>
      </c>
    </row>
    <row r="16156" spans="1:9">
      <c r="A16156" t="s">
        <v>4</v>
      </c>
      <c r="B16156" s="4" t="s">
        <v>5</v>
      </c>
      <c r="C16156" s="4" t="s">
        <v>7</v>
      </c>
      <c r="D16156" s="4" t="s">
        <v>11</v>
      </c>
      <c r="E16156" s="4" t="s">
        <v>8</v>
      </c>
    </row>
    <row r="16157" spans="1:9">
      <c r="A16157" t="n">
        <v>153442</v>
      </c>
      <c r="B16157" s="38" t="n">
        <v>51</v>
      </c>
      <c r="C16157" s="7" t="n">
        <v>4</v>
      </c>
      <c r="D16157" s="7" t="n">
        <v>0</v>
      </c>
      <c r="E16157" s="7" t="s">
        <v>242</v>
      </c>
    </row>
    <row r="16158" spans="1:9">
      <c r="A16158" t="s">
        <v>4</v>
      </c>
      <c r="B16158" s="4" t="s">
        <v>5</v>
      </c>
      <c r="C16158" s="4" t="s">
        <v>11</v>
      </c>
    </row>
    <row r="16159" spans="1:9">
      <c r="A16159" t="n">
        <v>153456</v>
      </c>
      <c r="B16159" s="29" t="n">
        <v>16</v>
      </c>
      <c r="C16159" s="7" t="n">
        <v>0</v>
      </c>
    </row>
    <row r="16160" spans="1:9">
      <c r="A16160" t="s">
        <v>4</v>
      </c>
      <c r="B16160" s="4" t="s">
        <v>5</v>
      </c>
      <c r="C16160" s="4" t="s">
        <v>11</v>
      </c>
      <c r="D16160" s="4" t="s">
        <v>7</v>
      </c>
      <c r="E16160" s="4" t="s">
        <v>15</v>
      </c>
      <c r="F16160" s="4" t="s">
        <v>55</v>
      </c>
      <c r="G16160" s="4" t="s">
        <v>7</v>
      </c>
      <c r="H16160" s="4" t="s">
        <v>7</v>
      </c>
      <c r="I16160" s="4" t="s">
        <v>7</v>
      </c>
      <c r="J16160" s="4" t="s">
        <v>15</v>
      </c>
      <c r="K16160" s="4" t="s">
        <v>55</v>
      </c>
      <c r="L16160" s="4" t="s">
        <v>7</v>
      </c>
      <c r="M16160" s="4" t="s">
        <v>7</v>
      </c>
    </row>
    <row r="16161" spans="1:13">
      <c r="A16161" t="n">
        <v>153459</v>
      </c>
      <c r="B16161" s="55" t="n">
        <v>26</v>
      </c>
      <c r="C16161" s="7" t="n">
        <v>0</v>
      </c>
      <c r="D16161" s="7" t="n">
        <v>17</v>
      </c>
      <c r="E16161" s="7" t="n">
        <v>64330</v>
      </c>
      <c r="F16161" s="7" t="s">
        <v>1282</v>
      </c>
      <c r="G16161" s="7" t="n">
        <v>2</v>
      </c>
      <c r="H16161" s="7" t="n">
        <v>3</v>
      </c>
      <c r="I16161" s="7" t="n">
        <v>17</v>
      </c>
      <c r="J16161" s="7" t="n">
        <v>64331</v>
      </c>
      <c r="K16161" s="7" t="s">
        <v>1283</v>
      </c>
      <c r="L16161" s="7" t="n">
        <v>2</v>
      </c>
      <c r="M16161" s="7" t="n">
        <v>0</v>
      </c>
    </row>
    <row r="16162" spans="1:13">
      <c r="A16162" t="s">
        <v>4</v>
      </c>
      <c r="B16162" s="4" t="s">
        <v>5</v>
      </c>
    </row>
    <row r="16163" spans="1:13">
      <c r="A16163" t="n">
        <v>153662</v>
      </c>
      <c r="B16163" s="27" t="n">
        <v>28</v>
      </c>
    </row>
    <row r="16164" spans="1:13">
      <c r="A16164" t="s">
        <v>4</v>
      </c>
      <c r="B16164" s="4" t="s">
        <v>5</v>
      </c>
      <c r="C16164" s="4" t="s">
        <v>7</v>
      </c>
      <c r="D16164" s="4" t="s">
        <v>11</v>
      </c>
      <c r="E16164" s="4" t="s">
        <v>11</v>
      </c>
      <c r="F16164" s="4" t="s">
        <v>7</v>
      </c>
    </row>
    <row r="16165" spans="1:13">
      <c r="A16165" t="n">
        <v>153663</v>
      </c>
      <c r="B16165" s="31" t="n">
        <v>25</v>
      </c>
      <c r="C16165" s="7" t="n">
        <v>1</v>
      </c>
      <c r="D16165" s="7" t="n">
        <v>65535</v>
      </c>
      <c r="E16165" s="7" t="n">
        <v>65535</v>
      </c>
      <c r="F16165" s="7" t="n">
        <v>0</v>
      </c>
    </row>
    <row r="16166" spans="1:13">
      <c r="A16166" t="s">
        <v>4</v>
      </c>
      <c r="B16166" s="4" t="s">
        <v>5</v>
      </c>
      <c r="C16166" s="4" t="s">
        <v>7</v>
      </c>
      <c r="D16166" s="4" t="s">
        <v>11</v>
      </c>
      <c r="E16166" s="4" t="s">
        <v>8</v>
      </c>
    </row>
    <row r="16167" spans="1:13">
      <c r="A16167" t="n">
        <v>153670</v>
      </c>
      <c r="B16167" s="38" t="n">
        <v>51</v>
      </c>
      <c r="C16167" s="7" t="n">
        <v>4</v>
      </c>
      <c r="D16167" s="7" t="n">
        <v>2</v>
      </c>
      <c r="E16167" s="7" t="s">
        <v>219</v>
      </c>
    </row>
    <row r="16168" spans="1:13">
      <c r="A16168" t="s">
        <v>4</v>
      </c>
      <c r="B16168" s="4" t="s">
        <v>5</v>
      </c>
      <c r="C16168" s="4" t="s">
        <v>11</v>
      </c>
    </row>
    <row r="16169" spans="1:13">
      <c r="A16169" t="n">
        <v>153683</v>
      </c>
      <c r="B16169" s="29" t="n">
        <v>16</v>
      </c>
      <c r="C16169" s="7" t="n">
        <v>0</v>
      </c>
    </row>
    <row r="16170" spans="1:13">
      <c r="A16170" t="s">
        <v>4</v>
      </c>
      <c r="B16170" s="4" t="s">
        <v>5</v>
      </c>
      <c r="C16170" s="4" t="s">
        <v>11</v>
      </c>
      <c r="D16170" s="4" t="s">
        <v>7</v>
      </c>
      <c r="E16170" s="4" t="s">
        <v>15</v>
      </c>
      <c r="F16170" s="4" t="s">
        <v>55</v>
      </c>
      <c r="G16170" s="4" t="s">
        <v>7</v>
      </c>
      <c r="H16170" s="4" t="s">
        <v>7</v>
      </c>
    </row>
    <row r="16171" spans="1:13">
      <c r="A16171" t="n">
        <v>153686</v>
      </c>
      <c r="B16171" s="55" t="n">
        <v>26</v>
      </c>
      <c r="C16171" s="7" t="n">
        <v>2</v>
      </c>
      <c r="D16171" s="7" t="n">
        <v>17</v>
      </c>
      <c r="E16171" s="7" t="n">
        <v>64332</v>
      </c>
      <c r="F16171" s="7" t="s">
        <v>1284</v>
      </c>
      <c r="G16171" s="7" t="n">
        <v>2</v>
      </c>
      <c r="H16171" s="7" t="n">
        <v>0</v>
      </c>
    </row>
    <row r="16172" spans="1:13">
      <c r="A16172" t="s">
        <v>4</v>
      </c>
      <c r="B16172" s="4" t="s">
        <v>5</v>
      </c>
    </row>
    <row r="16173" spans="1:13">
      <c r="A16173" t="n">
        <v>153702</v>
      </c>
      <c r="B16173" s="27" t="n">
        <v>28</v>
      </c>
    </row>
    <row r="16174" spans="1:13">
      <c r="A16174" t="s">
        <v>4</v>
      </c>
      <c r="B16174" s="4" t="s">
        <v>5</v>
      </c>
      <c r="C16174" s="4" t="s">
        <v>11</v>
      </c>
      <c r="D16174" s="4" t="s">
        <v>13</v>
      </c>
      <c r="E16174" s="4" t="s">
        <v>13</v>
      </c>
      <c r="F16174" s="4" t="s">
        <v>13</v>
      </c>
      <c r="G16174" s="4" t="s">
        <v>11</v>
      </c>
      <c r="H16174" s="4" t="s">
        <v>11</v>
      </c>
    </row>
    <row r="16175" spans="1:13">
      <c r="A16175" t="n">
        <v>153703</v>
      </c>
      <c r="B16175" s="37" t="n">
        <v>60</v>
      </c>
      <c r="C16175" s="7" t="n">
        <v>2</v>
      </c>
      <c r="D16175" s="7" t="n">
        <v>0</v>
      </c>
      <c r="E16175" s="7" t="n">
        <v>-10</v>
      </c>
      <c r="F16175" s="7" t="n">
        <v>0</v>
      </c>
      <c r="G16175" s="7" t="n">
        <v>800</v>
      </c>
      <c r="H16175" s="7" t="n">
        <v>0</v>
      </c>
    </row>
    <row r="16176" spans="1:13">
      <c r="A16176" t="s">
        <v>4</v>
      </c>
      <c r="B16176" s="4" t="s">
        <v>5</v>
      </c>
      <c r="C16176" s="4" t="s">
        <v>11</v>
      </c>
    </row>
    <row r="16177" spans="1:13">
      <c r="A16177" t="n">
        <v>153722</v>
      </c>
      <c r="B16177" s="29" t="n">
        <v>16</v>
      </c>
      <c r="C16177" s="7" t="n">
        <v>300</v>
      </c>
    </row>
    <row r="16178" spans="1:13">
      <c r="A16178" t="s">
        <v>4</v>
      </c>
      <c r="B16178" s="4" t="s">
        <v>5</v>
      </c>
      <c r="C16178" s="4" t="s">
        <v>7</v>
      </c>
      <c r="D16178" s="4" t="s">
        <v>11</v>
      </c>
      <c r="E16178" s="4" t="s">
        <v>8</v>
      </c>
    </row>
    <row r="16179" spans="1:13">
      <c r="A16179" t="n">
        <v>153725</v>
      </c>
      <c r="B16179" s="38" t="n">
        <v>51</v>
      </c>
      <c r="C16179" s="7" t="n">
        <v>4</v>
      </c>
      <c r="D16179" s="7" t="n">
        <v>2</v>
      </c>
      <c r="E16179" s="7" t="s">
        <v>1285</v>
      </c>
    </row>
    <row r="16180" spans="1:13">
      <c r="A16180" t="s">
        <v>4</v>
      </c>
      <c r="B16180" s="4" t="s">
        <v>5</v>
      </c>
      <c r="C16180" s="4" t="s">
        <v>11</v>
      </c>
    </row>
    <row r="16181" spans="1:13">
      <c r="A16181" t="n">
        <v>153740</v>
      </c>
      <c r="B16181" s="29" t="n">
        <v>16</v>
      </c>
      <c r="C16181" s="7" t="n">
        <v>0</v>
      </c>
    </row>
    <row r="16182" spans="1:13">
      <c r="A16182" t="s">
        <v>4</v>
      </c>
      <c r="B16182" s="4" t="s">
        <v>5</v>
      </c>
      <c r="C16182" s="4" t="s">
        <v>11</v>
      </c>
      <c r="D16182" s="4" t="s">
        <v>7</v>
      </c>
      <c r="E16182" s="4" t="s">
        <v>15</v>
      </c>
      <c r="F16182" s="4" t="s">
        <v>55</v>
      </c>
      <c r="G16182" s="4" t="s">
        <v>7</v>
      </c>
      <c r="H16182" s="4" t="s">
        <v>7</v>
      </c>
    </row>
    <row r="16183" spans="1:13">
      <c r="A16183" t="n">
        <v>153743</v>
      </c>
      <c r="B16183" s="55" t="n">
        <v>26</v>
      </c>
      <c r="C16183" s="7" t="n">
        <v>2</v>
      </c>
      <c r="D16183" s="7" t="n">
        <v>17</v>
      </c>
      <c r="E16183" s="7" t="n">
        <v>64333</v>
      </c>
      <c r="F16183" s="7" t="s">
        <v>464</v>
      </c>
      <c r="G16183" s="7" t="n">
        <v>2</v>
      </c>
      <c r="H16183" s="7" t="n">
        <v>0</v>
      </c>
    </row>
    <row r="16184" spans="1:13">
      <c r="A16184" t="s">
        <v>4</v>
      </c>
      <c r="B16184" s="4" t="s">
        <v>5</v>
      </c>
    </row>
    <row r="16185" spans="1:13">
      <c r="A16185" t="n">
        <v>153756</v>
      </c>
      <c r="B16185" s="27" t="n">
        <v>28</v>
      </c>
    </row>
    <row r="16186" spans="1:13">
      <c r="A16186" t="s">
        <v>4</v>
      </c>
      <c r="B16186" s="4" t="s">
        <v>5</v>
      </c>
      <c r="C16186" s="4" t="s">
        <v>7</v>
      </c>
      <c r="D16186" s="4" t="s">
        <v>11</v>
      </c>
      <c r="E16186" s="4" t="s">
        <v>8</v>
      </c>
    </row>
    <row r="16187" spans="1:13">
      <c r="A16187" t="n">
        <v>153757</v>
      </c>
      <c r="B16187" s="38" t="n">
        <v>51</v>
      </c>
      <c r="C16187" s="7" t="n">
        <v>4</v>
      </c>
      <c r="D16187" s="7" t="n">
        <v>0</v>
      </c>
      <c r="E16187" s="7" t="s">
        <v>242</v>
      </c>
    </row>
    <row r="16188" spans="1:13">
      <c r="A16188" t="s">
        <v>4</v>
      </c>
      <c r="B16188" s="4" t="s">
        <v>5</v>
      </c>
      <c r="C16188" s="4" t="s">
        <v>11</v>
      </c>
    </row>
    <row r="16189" spans="1:13">
      <c r="A16189" t="n">
        <v>153771</v>
      </c>
      <c r="B16189" s="29" t="n">
        <v>16</v>
      </c>
      <c r="C16189" s="7" t="n">
        <v>0</v>
      </c>
    </row>
    <row r="16190" spans="1:13">
      <c r="A16190" t="s">
        <v>4</v>
      </c>
      <c r="B16190" s="4" t="s">
        <v>5</v>
      </c>
      <c r="C16190" s="4" t="s">
        <v>11</v>
      </c>
      <c r="D16190" s="4" t="s">
        <v>7</v>
      </c>
      <c r="E16190" s="4" t="s">
        <v>15</v>
      </c>
      <c r="F16190" s="4" t="s">
        <v>55</v>
      </c>
      <c r="G16190" s="4" t="s">
        <v>7</v>
      </c>
      <c r="H16190" s="4" t="s">
        <v>7</v>
      </c>
      <c r="I16190" s="4" t="s">
        <v>7</v>
      </c>
      <c r="J16190" s="4" t="s">
        <v>15</v>
      </c>
      <c r="K16190" s="4" t="s">
        <v>55</v>
      </c>
      <c r="L16190" s="4" t="s">
        <v>7</v>
      </c>
      <c r="M16190" s="4" t="s">
        <v>7</v>
      </c>
      <c r="N16190" s="4" t="s">
        <v>7</v>
      </c>
      <c r="O16190" s="4" t="s">
        <v>15</v>
      </c>
      <c r="P16190" s="4" t="s">
        <v>55</v>
      </c>
      <c r="Q16190" s="4" t="s">
        <v>7</v>
      </c>
      <c r="R16190" s="4" t="s">
        <v>7</v>
      </c>
    </row>
    <row r="16191" spans="1:13">
      <c r="A16191" t="n">
        <v>153774</v>
      </c>
      <c r="B16191" s="55" t="n">
        <v>26</v>
      </c>
      <c r="C16191" s="7" t="n">
        <v>0</v>
      </c>
      <c r="D16191" s="7" t="n">
        <v>17</v>
      </c>
      <c r="E16191" s="7" t="n">
        <v>64334</v>
      </c>
      <c r="F16191" s="7" t="s">
        <v>1286</v>
      </c>
      <c r="G16191" s="7" t="n">
        <v>2</v>
      </c>
      <c r="H16191" s="7" t="n">
        <v>3</v>
      </c>
      <c r="I16191" s="7" t="n">
        <v>17</v>
      </c>
      <c r="J16191" s="7" t="n">
        <v>64335</v>
      </c>
      <c r="K16191" s="7" t="s">
        <v>1287</v>
      </c>
      <c r="L16191" s="7" t="n">
        <v>2</v>
      </c>
      <c r="M16191" s="7" t="n">
        <v>3</v>
      </c>
      <c r="N16191" s="7" t="n">
        <v>17</v>
      </c>
      <c r="O16191" s="7" t="n">
        <v>64336</v>
      </c>
      <c r="P16191" s="7" t="s">
        <v>1288</v>
      </c>
      <c r="Q16191" s="7" t="n">
        <v>2</v>
      </c>
      <c r="R16191" s="7" t="n">
        <v>0</v>
      </c>
    </row>
    <row r="16192" spans="1:13">
      <c r="A16192" t="s">
        <v>4</v>
      </c>
      <c r="B16192" s="4" t="s">
        <v>5</v>
      </c>
    </row>
    <row r="16193" spans="1:18">
      <c r="A16193" t="n">
        <v>154110</v>
      </c>
      <c r="B16193" s="27" t="n">
        <v>28</v>
      </c>
    </row>
    <row r="16194" spans="1:18">
      <c r="A16194" t="s">
        <v>4</v>
      </c>
      <c r="B16194" s="4" t="s">
        <v>5</v>
      </c>
      <c r="C16194" s="4" t="s">
        <v>7</v>
      </c>
      <c r="D16194" s="4" t="s">
        <v>11</v>
      </c>
      <c r="E16194" s="4" t="s">
        <v>11</v>
      </c>
      <c r="F16194" s="4" t="s">
        <v>7</v>
      </c>
    </row>
    <row r="16195" spans="1:18">
      <c r="A16195" t="n">
        <v>154111</v>
      </c>
      <c r="B16195" s="31" t="n">
        <v>25</v>
      </c>
      <c r="C16195" s="7" t="n">
        <v>1</v>
      </c>
      <c r="D16195" s="7" t="n">
        <v>65535</v>
      </c>
      <c r="E16195" s="7" t="n">
        <v>65535</v>
      </c>
      <c r="F16195" s="7" t="n">
        <v>0</v>
      </c>
    </row>
    <row r="16196" spans="1:18">
      <c r="A16196" t="s">
        <v>4</v>
      </c>
      <c r="B16196" s="4" t="s">
        <v>5</v>
      </c>
      <c r="C16196" s="4" t="s">
        <v>7</v>
      </c>
      <c r="D16196" s="4" t="s">
        <v>11</v>
      </c>
      <c r="E16196" s="4" t="s">
        <v>8</v>
      </c>
      <c r="F16196" s="4" t="s">
        <v>8</v>
      </c>
      <c r="G16196" s="4" t="s">
        <v>8</v>
      </c>
      <c r="H16196" s="4" t="s">
        <v>8</v>
      </c>
    </row>
    <row r="16197" spans="1:18">
      <c r="A16197" t="n">
        <v>154118</v>
      </c>
      <c r="B16197" s="38" t="n">
        <v>51</v>
      </c>
      <c r="C16197" s="7" t="n">
        <v>3</v>
      </c>
      <c r="D16197" s="7" t="n">
        <v>2</v>
      </c>
      <c r="E16197" s="7" t="s">
        <v>99</v>
      </c>
      <c r="F16197" s="7" t="s">
        <v>218</v>
      </c>
      <c r="G16197" s="7" t="s">
        <v>78</v>
      </c>
      <c r="H16197" s="7" t="s">
        <v>79</v>
      </c>
    </row>
    <row r="16198" spans="1:18">
      <c r="A16198" t="s">
        <v>4</v>
      </c>
      <c r="B16198" s="4" t="s">
        <v>5</v>
      </c>
      <c r="C16198" s="4" t="s">
        <v>7</v>
      </c>
      <c r="D16198" s="4" t="s">
        <v>11</v>
      </c>
      <c r="E16198" s="4" t="s">
        <v>8</v>
      </c>
    </row>
    <row r="16199" spans="1:18">
      <c r="A16199" t="n">
        <v>154131</v>
      </c>
      <c r="B16199" s="38" t="n">
        <v>51</v>
      </c>
      <c r="C16199" s="7" t="n">
        <v>4</v>
      </c>
      <c r="D16199" s="7" t="n">
        <v>2</v>
      </c>
      <c r="E16199" s="7" t="s">
        <v>658</v>
      </c>
    </row>
    <row r="16200" spans="1:18">
      <c r="A16200" t="s">
        <v>4</v>
      </c>
      <c r="B16200" s="4" t="s">
        <v>5</v>
      </c>
      <c r="C16200" s="4" t="s">
        <v>11</v>
      </c>
    </row>
    <row r="16201" spans="1:18">
      <c r="A16201" t="n">
        <v>154145</v>
      </c>
      <c r="B16201" s="29" t="n">
        <v>16</v>
      </c>
      <c r="C16201" s="7" t="n">
        <v>0</v>
      </c>
    </row>
    <row r="16202" spans="1:18">
      <c r="A16202" t="s">
        <v>4</v>
      </c>
      <c r="B16202" s="4" t="s">
        <v>5</v>
      </c>
      <c r="C16202" s="4" t="s">
        <v>11</v>
      </c>
      <c r="D16202" s="4" t="s">
        <v>7</v>
      </c>
      <c r="E16202" s="4" t="s">
        <v>15</v>
      </c>
      <c r="F16202" s="4" t="s">
        <v>55</v>
      </c>
      <c r="G16202" s="4" t="s">
        <v>7</v>
      </c>
      <c r="H16202" s="4" t="s">
        <v>7</v>
      </c>
      <c r="I16202" s="4" t="s">
        <v>7</v>
      </c>
      <c r="J16202" s="4" t="s">
        <v>15</v>
      </c>
      <c r="K16202" s="4" t="s">
        <v>55</v>
      </c>
      <c r="L16202" s="4" t="s">
        <v>7</v>
      </c>
      <c r="M16202" s="4" t="s">
        <v>7</v>
      </c>
      <c r="N16202" s="4" t="s">
        <v>7</v>
      </c>
      <c r="O16202" s="4" t="s">
        <v>15</v>
      </c>
      <c r="P16202" s="4" t="s">
        <v>55</v>
      </c>
      <c r="Q16202" s="4" t="s">
        <v>7</v>
      </c>
      <c r="R16202" s="4" t="s">
        <v>7</v>
      </c>
    </row>
    <row r="16203" spans="1:18">
      <c r="A16203" t="n">
        <v>154148</v>
      </c>
      <c r="B16203" s="55" t="n">
        <v>26</v>
      </c>
      <c r="C16203" s="7" t="n">
        <v>2</v>
      </c>
      <c r="D16203" s="7" t="n">
        <v>17</v>
      </c>
      <c r="E16203" s="7" t="n">
        <v>64337</v>
      </c>
      <c r="F16203" s="7" t="s">
        <v>1289</v>
      </c>
      <c r="G16203" s="7" t="n">
        <v>2</v>
      </c>
      <c r="H16203" s="7" t="n">
        <v>3</v>
      </c>
      <c r="I16203" s="7" t="n">
        <v>17</v>
      </c>
      <c r="J16203" s="7" t="n">
        <v>64338</v>
      </c>
      <c r="K16203" s="7" t="s">
        <v>1290</v>
      </c>
      <c r="L16203" s="7" t="n">
        <v>2</v>
      </c>
      <c r="M16203" s="7" t="n">
        <v>3</v>
      </c>
      <c r="N16203" s="7" t="n">
        <v>17</v>
      </c>
      <c r="O16203" s="7" t="n">
        <v>64339</v>
      </c>
      <c r="P16203" s="7" t="s">
        <v>1291</v>
      </c>
      <c r="Q16203" s="7" t="n">
        <v>2</v>
      </c>
      <c r="R16203" s="7" t="n">
        <v>0</v>
      </c>
    </row>
    <row r="16204" spans="1:18">
      <c r="A16204" t="s">
        <v>4</v>
      </c>
      <c r="B16204" s="4" t="s">
        <v>5</v>
      </c>
    </row>
    <row r="16205" spans="1:18">
      <c r="A16205" t="n">
        <v>154427</v>
      </c>
      <c r="B16205" s="27" t="n">
        <v>28</v>
      </c>
    </row>
    <row r="16206" spans="1:18">
      <c r="A16206" t="s">
        <v>4</v>
      </c>
      <c r="B16206" s="4" t="s">
        <v>5</v>
      </c>
      <c r="C16206" s="4" t="s">
        <v>11</v>
      </c>
      <c r="D16206" s="4" t="s">
        <v>13</v>
      </c>
      <c r="E16206" s="4" t="s">
        <v>13</v>
      </c>
      <c r="F16206" s="4" t="s">
        <v>13</v>
      </c>
      <c r="G16206" s="4" t="s">
        <v>11</v>
      </c>
      <c r="H16206" s="4" t="s">
        <v>11</v>
      </c>
    </row>
    <row r="16207" spans="1:18">
      <c r="A16207" t="n">
        <v>154428</v>
      </c>
      <c r="B16207" s="37" t="n">
        <v>60</v>
      </c>
      <c r="C16207" s="7" t="n">
        <v>2</v>
      </c>
      <c r="D16207" s="7" t="n">
        <v>0</v>
      </c>
      <c r="E16207" s="7" t="n">
        <v>0</v>
      </c>
      <c r="F16207" s="7" t="n">
        <v>0</v>
      </c>
      <c r="G16207" s="7" t="n">
        <v>800</v>
      </c>
      <c r="H16207" s="7" t="n">
        <v>0</v>
      </c>
    </row>
    <row r="16208" spans="1:18">
      <c r="A16208" t="s">
        <v>4</v>
      </c>
      <c r="B16208" s="4" t="s">
        <v>5</v>
      </c>
      <c r="C16208" s="4" t="s">
        <v>11</v>
      </c>
    </row>
    <row r="16209" spans="1:18">
      <c r="A16209" t="n">
        <v>154447</v>
      </c>
      <c r="B16209" s="29" t="n">
        <v>16</v>
      </c>
      <c r="C16209" s="7" t="n">
        <v>500</v>
      </c>
    </row>
    <row r="16210" spans="1:18">
      <c r="A16210" t="s">
        <v>4</v>
      </c>
      <c r="B16210" s="4" t="s">
        <v>5</v>
      </c>
      <c r="C16210" s="4" t="s">
        <v>7</v>
      </c>
      <c r="D16210" s="4" t="s">
        <v>11</v>
      </c>
      <c r="E16210" s="4" t="s">
        <v>8</v>
      </c>
    </row>
    <row r="16211" spans="1:18">
      <c r="A16211" t="n">
        <v>154450</v>
      </c>
      <c r="B16211" s="38" t="n">
        <v>51</v>
      </c>
      <c r="C16211" s="7" t="n">
        <v>4</v>
      </c>
      <c r="D16211" s="7" t="n">
        <v>2</v>
      </c>
      <c r="E16211" s="7" t="s">
        <v>430</v>
      </c>
    </row>
    <row r="16212" spans="1:18">
      <c r="A16212" t="s">
        <v>4</v>
      </c>
      <c r="B16212" s="4" t="s">
        <v>5</v>
      </c>
      <c r="C16212" s="4" t="s">
        <v>11</v>
      </c>
    </row>
    <row r="16213" spans="1:18">
      <c r="A16213" t="n">
        <v>154463</v>
      </c>
      <c r="B16213" s="29" t="n">
        <v>16</v>
      </c>
      <c r="C16213" s="7" t="n">
        <v>500</v>
      </c>
    </row>
    <row r="16214" spans="1:18">
      <c r="A16214" t="s">
        <v>4</v>
      </c>
      <c r="B16214" s="4" t="s">
        <v>5</v>
      </c>
      <c r="C16214" s="4" t="s">
        <v>11</v>
      </c>
      <c r="D16214" s="4" t="s">
        <v>7</v>
      </c>
      <c r="E16214" s="4" t="s">
        <v>15</v>
      </c>
      <c r="F16214" s="4" t="s">
        <v>55</v>
      </c>
      <c r="G16214" s="4" t="s">
        <v>7</v>
      </c>
      <c r="H16214" s="4" t="s">
        <v>7</v>
      </c>
      <c r="I16214" s="4" t="s">
        <v>7</v>
      </c>
      <c r="J16214" s="4" t="s">
        <v>15</v>
      </c>
      <c r="K16214" s="4" t="s">
        <v>55</v>
      </c>
      <c r="L16214" s="4" t="s">
        <v>7</v>
      </c>
      <c r="M16214" s="4" t="s">
        <v>7</v>
      </c>
      <c r="N16214" s="4" t="s">
        <v>7</v>
      </c>
      <c r="O16214" s="4" t="s">
        <v>15</v>
      </c>
      <c r="P16214" s="4" t="s">
        <v>55</v>
      </c>
      <c r="Q16214" s="4" t="s">
        <v>7</v>
      </c>
      <c r="R16214" s="4" t="s">
        <v>7</v>
      </c>
      <c r="S16214" s="4" t="s">
        <v>7</v>
      </c>
      <c r="T16214" s="4" t="s">
        <v>15</v>
      </c>
      <c r="U16214" s="4" t="s">
        <v>55</v>
      </c>
      <c r="V16214" s="4" t="s">
        <v>7</v>
      </c>
      <c r="W16214" s="4" t="s">
        <v>7</v>
      </c>
    </row>
    <row r="16215" spans="1:18">
      <c r="A16215" t="n">
        <v>154466</v>
      </c>
      <c r="B16215" s="55" t="n">
        <v>26</v>
      </c>
      <c r="C16215" s="7" t="n">
        <v>2</v>
      </c>
      <c r="D16215" s="7" t="n">
        <v>17</v>
      </c>
      <c r="E16215" s="7" t="n">
        <v>64340</v>
      </c>
      <c r="F16215" s="7" t="s">
        <v>1292</v>
      </c>
      <c r="G16215" s="7" t="n">
        <v>2</v>
      </c>
      <c r="H16215" s="7" t="n">
        <v>3</v>
      </c>
      <c r="I16215" s="7" t="n">
        <v>17</v>
      </c>
      <c r="J16215" s="7" t="n">
        <v>64341</v>
      </c>
      <c r="K16215" s="7" t="s">
        <v>1293</v>
      </c>
      <c r="L16215" s="7" t="n">
        <v>2</v>
      </c>
      <c r="M16215" s="7" t="n">
        <v>3</v>
      </c>
      <c r="N16215" s="7" t="n">
        <v>17</v>
      </c>
      <c r="O16215" s="7" t="n">
        <v>64342</v>
      </c>
      <c r="P16215" s="7" t="s">
        <v>1294</v>
      </c>
      <c r="Q16215" s="7" t="n">
        <v>2</v>
      </c>
      <c r="R16215" s="7" t="n">
        <v>3</v>
      </c>
      <c r="S16215" s="7" t="n">
        <v>17</v>
      </c>
      <c r="T16215" s="7" t="n">
        <v>64343</v>
      </c>
      <c r="U16215" s="7" t="s">
        <v>1295</v>
      </c>
      <c r="V16215" s="7" t="n">
        <v>2</v>
      </c>
      <c r="W16215" s="7" t="n">
        <v>0</v>
      </c>
    </row>
    <row r="16216" spans="1:18">
      <c r="A16216" t="s">
        <v>4</v>
      </c>
      <c r="B16216" s="4" t="s">
        <v>5</v>
      </c>
    </row>
    <row r="16217" spans="1:18">
      <c r="A16217" t="n">
        <v>154815</v>
      </c>
      <c r="B16217" s="27" t="n">
        <v>28</v>
      </c>
    </row>
    <row r="16218" spans="1:18">
      <c r="A16218" t="s">
        <v>4</v>
      </c>
      <c r="B16218" s="4" t="s">
        <v>5</v>
      </c>
      <c r="C16218" s="4" t="s">
        <v>11</v>
      </c>
      <c r="D16218" s="4" t="s">
        <v>7</v>
      </c>
      <c r="E16218" s="4" t="s">
        <v>13</v>
      </c>
      <c r="F16218" s="4" t="s">
        <v>11</v>
      </c>
    </row>
    <row r="16219" spans="1:18">
      <c r="A16219" t="n">
        <v>154816</v>
      </c>
      <c r="B16219" s="56" t="n">
        <v>59</v>
      </c>
      <c r="C16219" s="7" t="n">
        <v>0</v>
      </c>
      <c r="D16219" s="7" t="n">
        <v>6</v>
      </c>
      <c r="E16219" s="7" t="n">
        <v>0</v>
      </c>
      <c r="F16219" s="7" t="n">
        <v>0</v>
      </c>
    </row>
    <row r="16220" spans="1:18">
      <c r="A16220" t="s">
        <v>4</v>
      </c>
      <c r="B16220" s="4" t="s">
        <v>5</v>
      </c>
      <c r="C16220" s="4" t="s">
        <v>11</v>
      </c>
    </row>
    <row r="16221" spans="1:18">
      <c r="A16221" t="n">
        <v>154826</v>
      </c>
      <c r="B16221" s="29" t="n">
        <v>16</v>
      </c>
      <c r="C16221" s="7" t="n">
        <v>1600</v>
      </c>
    </row>
    <row r="16222" spans="1:18">
      <c r="A16222" t="s">
        <v>4</v>
      </c>
      <c r="B16222" s="4" t="s">
        <v>5</v>
      </c>
      <c r="C16222" s="4" t="s">
        <v>7</v>
      </c>
      <c r="D16222" s="4" t="s">
        <v>11</v>
      </c>
      <c r="E16222" s="4" t="s">
        <v>8</v>
      </c>
    </row>
    <row r="16223" spans="1:18">
      <c r="A16223" t="n">
        <v>154829</v>
      </c>
      <c r="B16223" s="38" t="n">
        <v>51</v>
      </c>
      <c r="C16223" s="7" t="n">
        <v>4</v>
      </c>
      <c r="D16223" s="7" t="n">
        <v>0</v>
      </c>
      <c r="E16223" s="7" t="s">
        <v>240</v>
      </c>
    </row>
    <row r="16224" spans="1:18">
      <c r="A16224" t="s">
        <v>4</v>
      </c>
      <c r="B16224" s="4" t="s">
        <v>5</v>
      </c>
      <c r="C16224" s="4" t="s">
        <v>11</v>
      </c>
    </row>
    <row r="16225" spans="1:23">
      <c r="A16225" t="n">
        <v>154843</v>
      </c>
      <c r="B16225" s="29" t="n">
        <v>16</v>
      </c>
      <c r="C16225" s="7" t="n">
        <v>0</v>
      </c>
    </row>
    <row r="16226" spans="1:23">
      <c r="A16226" t="s">
        <v>4</v>
      </c>
      <c r="B16226" s="4" t="s">
        <v>5</v>
      </c>
      <c r="C16226" s="4" t="s">
        <v>11</v>
      </c>
      <c r="D16226" s="4" t="s">
        <v>7</v>
      </c>
      <c r="E16226" s="4" t="s">
        <v>15</v>
      </c>
      <c r="F16226" s="4" t="s">
        <v>55</v>
      </c>
      <c r="G16226" s="4" t="s">
        <v>7</v>
      </c>
      <c r="H16226" s="4" t="s">
        <v>7</v>
      </c>
      <c r="I16226" s="4" t="s">
        <v>7</v>
      </c>
      <c r="J16226" s="4" t="s">
        <v>15</v>
      </c>
      <c r="K16226" s="4" t="s">
        <v>55</v>
      </c>
      <c r="L16226" s="4" t="s">
        <v>7</v>
      </c>
      <c r="M16226" s="4" t="s">
        <v>7</v>
      </c>
    </row>
    <row r="16227" spans="1:23">
      <c r="A16227" t="n">
        <v>154846</v>
      </c>
      <c r="B16227" s="55" t="n">
        <v>26</v>
      </c>
      <c r="C16227" s="7" t="n">
        <v>0</v>
      </c>
      <c r="D16227" s="7" t="n">
        <v>17</v>
      </c>
      <c r="E16227" s="7" t="n">
        <v>64344</v>
      </c>
      <c r="F16227" s="7" t="s">
        <v>1296</v>
      </c>
      <c r="G16227" s="7" t="n">
        <v>2</v>
      </c>
      <c r="H16227" s="7" t="n">
        <v>3</v>
      </c>
      <c r="I16227" s="7" t="n">
        <v>17</v>
      </c>
      <c r="J16227" s="7" t="n">
        <v>64345</v>
      </c>
      <c r="K16227" s="7" t="s">
        <v>1297</v>
      </c>
      <c r="L16227" s="7" t="n">
        <v>2</v>
      </c>
      <c r="M16227" s="7" t="n">
        <v>0</v>
      </c>
    </row>
    <row r="16228" spans="1:23">
      <c r="A16228" t="s">
        <v>4</v>
      </c>
      <c r="B16228" s="4" t="s">
        <v>5</v>
      </c>
    </row>
    <row r="16229" spans="1:23">
      <c r="A16229" t="n">
        <v>155071</v>
      </c>
      <c r="B16229" s="27" t="n">
        <v>28</v>
      </c>
    </row>
    <row r="16230" spans="1:23">
      <c r="A16230" t="s">
        <v>4</v>
      </c>
      <c r="B16230" s="4" t="s">
        <v>5</v>
      </c>
      <c r="C16230" s="4" t="s">
        <v>7</v>
      </c>
      <c r="D16230" s="4" t="s">
        <v>11</v>
      </c>
      <c r="E16230" s="4" t="s">
        <v>11</v>
      </c>
      <c r="F16230" s="4" t="s">
        <v>7</v>
      </c>
    </row>
    <row r="16231" spans="1:23">
      <c r="A16231" t="n">
        <v>155072</v>
      </c>
      <c r="B16231" s="31" t="n">
        <v>25</v>
      </c>
      <c r="C16231" s="7" t="n">
        <v>1</v>
      </c>
      <c r="D16231" s="7" t="n">
        <v>65535</v>
      </c>
      <c r="E16231" s="7" t="n">
        <v>65535</v>
      </c>
      <c r="F16231" s="7" t="n">
        <v>0</v>
      </c>
    </row>
    <row r="16232" spans="1:23">
      <c r="A16232" t="s">
        <v>4</v>
      </c>
      <c r="B16232" s="4" t="s">
        <v>5</v>
      </c>
      <c r="C16232" s="4" t="s">
        <v>7</v>
      </c>
      <c r="D16232" s="4" t="s">
        <v>11</v>
      </c>
      <c r="E16232" s="4" t="s">
        <v>8</v>
      </c>
      <c r="F16232" s="4" t="s">
        <v>8</v>
      </c>
      <c r="G16232" s="4" t="s">
        <v>8</v>
      </c>
      <c r="H16232" s="4" t="s">
        <v>8</v>
      </c>
    </row>
    <row r="16233" spans="1:23">
      <c r="A16233" t="n">
        <v>155079</v>
      </c>
      <c r="B16233" s="38" t="n">
        <v>51</v>
      </c>
      <c r="C16233" s="7" t="n">
        <v>3</v>
      </c>
      <c r="D16233" s="7" t="n">
        <v>2</v>
      </c>
      <c r="E16233" s="7" t="s">
        <v>86</v>
      </c>
      <c r="F16233" s="7" t="s">
        <v>79</v>
      </c>
      <c r="G16233" s="7" t="s">
        <v>78</v>
      </c>
      <c r="H16233" s="7" t="s">
        <v>79</v>
      </c>
    </row>
    <row r="16234" spans="1:23">
      <c r="A16234" t="s">
        <v>4</v>
      </c>
      <c r="B16234" s="4" t="s">
        <v>5</v>
      </c>
      <c r="C16234" s="4" t="s">
        <v>11</v>
      </c>
      <c r="D16234" s="4" t="s">
        <v>7</v>
      </c>
      <c r="E16234" s="4" t="s">
        <v>7</v>
      </c>
      <c r="F16234" s="4" t="s">
        <v>8</v>
      </c>
    </row>
    <row r="16235" spans="1:23">
      <c r="A16235" t="n">
        <v>155092</v>
      </c>
      <c r="B16235" s="50" t="n">
        <v>20</v>
      </c>
      <c r="C16235" s="7" t="n">
        <v>2</v>
      </c>
      <c r="D16235" s="7" t="n">
        <v>2</v>
      </c>
      <c r="E16235" s="7" t="n">
        <v>10</v>
      </c>
      <c r="F16235" s="7" t="s">
        <v>223</v>
      </c>
    </row>
    <row r="16236" spans="1:23">
      <c r="A16236" t="s">
        <v>4</v>
      </c>
      <c r="B16236" s="4" t="s">
        <v>5</v>
      </c>
      <c r="C16236" s="4" t="s">
        <v>11</v>
      </c>
    </row>
    <row r="16237" spans="1:23">
      <c r="A16237" t="n">
        <v>155113</v>
      </c>
      <c r="B16237" s="29" t="n">
        <v>16</v>
      </c>
      <c r="C16237" s="7" t="n">
        <v>500</v>
      </c>
    </row>
    <row r="16238" spans="1:23">
      <c r="A16238" t="s">
        <v>4</v>
      </c>
      <c r="B16238" s="4" t="s">
        <v>5</v>
      </c>
      <c r="C16238" s="4" t="s">
        <v>7</v>
      </c>
      <c r="D16238" s="4" t="s">
        <v>11</v>
      </c>
      <c r="E16238" s="4" t="s">
        <v>8</v>
      </c>
    </row>
    <row r="16239" spans="1:23">
      <c r="A16239" t="n">
        <v>155116</v>
      </c>
      <c r="B16239" s="38" t="n">
        <v>51</v>
      </c>
      <c r="C16239" s="7" t="n">
        <v>4</v>
      </c>
      <c r="D16239" s="7" t="n">
        <v>2</v>
      </c>
      <c r="E16239" s="7" t="s">
        <v>430</v>
      </c>
    </row>
    <row r="16240" spans="1:23">
      <c r="A16240" t="s">
        <v>4</v>
      </c>
      <c r="B16240" s="4" t="s">
        <v>5</v>
      </c>
      <c r="C16240" s="4" t="s">
        <v>11</v>
      </c>
    </row>
    <row r="16241" spans="1:13">
      <c r="A16241" t="n">
        <v>155129</v>
      </c>
      <c r="B16241" s="29" t="n">
        <v>16</v>
      </c>
      <c r="C16241" s="7" t="n">
        <v>0</v>
      </c>
    </row>
    <row r="16242" spans="1:13">
      <c r="A16242" t="s">
        <v>4</v>
      </c>
      <c r="B16242" s="4" t="s">
        <v>5</v>
      </c>
      <c r="C16242" s="4" t="s">
        <v>11</v>
      </c>
      <c r="D16242" s="4" t="s">
        <v>7</v>
      </c>
      <c r="E16242" s="4" t="s">
        <v>15</v>
      </c>
      <c r="F16242" s="4" t="s">
        <v>55</v>
      </c>
      <c r="G16242" s="4" t="s">
        <v>7</v>
      </c>
      <c r="H16242" s="4" t="s">
        <v>7</v>
      </c>
    </row>
    <row r="16243" spans="1:13">
      <c r="A16243" t="n">
        <v>155132</v>
      </c>
      <c r="B16243" s="55" t="n">
        <v>26</v>
      </c>
      <c r="C16243" s="7" t="n">
        <v>2</v>
      </c>
      <c r="D16243" s="7" t="n">
        <v>17</v>
      </c>
      <c r="E16243" s="7" t="n">
        <v>64346</v>
      </c>
      <c r="F16243" s="7" t="s">
        <v>1298</v>
      </c>
      <c r="G16243" s="7" t="n">
        <v>2</v>
      </c>
      <c r="H16243" s="7" t="n">
        <v>0</v>
      </c>
    </row>
    <row r="16244" spans="1:13">
      <c r="A16244" t="s">
        <v>4</v>
      </c>
      <c r="B16244" s="4" t="s">
        <v>5</v>
      </c>
    </row>
    <row r="16245" spans="1:13">
      <c r="A16245" t="n">
        <v>155160</v>
      </c>
      <c r="B16245" s="27" t="n">
        <v>28</v>
      </c>
    </row>
    <row r="16246" spans="1:13">
      <c r="A16246" t="s">
        <v>4</v>
      </c>
      <c r="B16246" s="4" t="s">
        <v>5</v>
      </c>
      <c r="C16246" s="4" t="s">
        <v>12</v>
      </c>
    </row>
    <row r="16247" spans="1:13">
      <c r="A16247" t="n">
        <v>155161</v>
      </c>
      <c r="B16247" s="19" t="n">
        <v>3</v>
      </c>
      <c r="C16247" s="11" t="n">
        <f t="normal" ca="1">A16295</f>
        <v>0</v>
      </c>
    </row>
    <row r="16248" spans="1:13">
      <c r="A16248" t="s">
        <v>4</v>
      </c>
      <c r="B16248" s="4" t="s">
        <v>5</v>
      </c>
      <c r="C16248" s="4" t="s">
        <v>11</v>
      </c>
    </row>
    <row r="16249" spans="1:13">
      <c r="A16249" t="n">
        <v>155166</v>
      </c>
      <c r="B16249" s="29" t="n">
        <v>16</v>
      </c>
      <c r="C16249" s="7" t="n">
        <v>1000</v>
      </c>
    </row>
    <row r="16250" spans="1:13">
      <c r="A16250" t="s">
        <v>4</v>
      </c>
      <c r="B16250" s="4" t="s">
        <v>5</v>
      </c>
      <c r="C16250" s="4" t="s">
        <v>7</v>
      </c>
      <c r="D16250" s="4" t="s">
        <v>11</v>
      </c>
      <c r="E16250" s="4" t="s">
        <v>8</v>
      </c>
    </row>
    <row r="16251" spans="1:13">
      <c r="A16251" t="n">
        <v>155169</v>
      </c>
      <c r="B16251" s="38" t="n">
        <v>51</v>
      </c>
      <c r="C16251" s="7" t="n">
        <v>4</v>
      </c>
      <c r="D16251" s="7" t="n">
        <v>0</v>
      </c>
      <c r="E16251" s="7" t="s">
        <v>1299</v>
      </c>
    </row>
    <row r="16252" spans="1:13">
      <c r="A16252" t="s">
        <v>4</v>
      </c>
      <c r="B16252" s="4" t="s">
        <v>5</v>
      </c>
      <c r="C16252" s="4" t="s">
        <v>11</v>
      </c>
    </row>
    <row r="16253" spans="1:13">
      <c r="A16253" t="n">
        <v>155184</v>
      </c>
      <c r="B16253" s="29" t="n">
        <v>16</v>
      </c>
      <c r="C16253" s="7" t="n">
        <v>0</v>
      </c>
    </row>
    <row r="16254" spans="1:13">
      <c r="A16254" t="s">
        <v>4</v>
      </c>
      <c r="B16254" s="4" t="s">
        <v>5</v>
      </c>
      <c r="C16254" s="4" t="s">
        <v>11</v>
      </c>
      <c r="D16254" s="4" t="s">
        <v>7</v>
      </c>
      <c r="E16254" s="4" t="s">
        <v>15</v>
      </c>
      <c r="F16254" s="4" t="s">
        <v>55</v>
      </c>
      <c r="G16254" s="4" t="s">
        <v>7</v>
      </c>
      <c r="H16254" s="4" t="s">
        <v>7</v>
      </c>
    </row>
    <row r="16255" spans="1:13">
      <c r="A16255" t="n">
        <v>155187</v>
      </c>
      <c r="B16255" s="55" t="n">
        <v>26</v>
      </c>
      <c r="C16255" s="7" t="n">
        <v>0</v>
      </c>
      <c r="D16255" s="7" t="n">
        <v>17</v>
      </c>
      <c r="E16255" s="7" t="n">
        <v>64347</v>
      </c>
      <c r="F16255" s="7" t="s">
        <v>1300</v>
      </c>
      <c r="G16255" s="7" t="n">
        <v>2</v>
      </c>
      <c r="H16255" s="7" t="n">
        <v>0</v>
      </c>
    </row>
    <row r="16256" spans="1:13">
      <c r="A16256" t="s">
        <v>4</v>
      </c>
      <c r="B16256" s="4" t="s">
        <v>5</v>
      </c>
    </row>
    <row r="16257" spans="1:8">
      <c r="A16257" t="n">
        <v>155207</v>
      </c>
      <c r="B16257" s="27" t="n">
        <v>28</v>
      </c>
    </row>
    <row r="16258" spans="1:8">
      <c r="A16258" t="s">
        <v>4</v>
      </c>
      <c r="B16258" s="4" t="s">
        <v>5</v>
      </c>
      <c r="C16258" s="4" t="s">
        <v>7</v>
      </c>
      <c r="D16258" s="4" t="s">
        <v>11</v>
      </c>
      <c r="E16258" s="4" t="s">
        <v>11</v>
      </c>
      <c r="F16258" s="4" t="s">
        <v>7</v>
      </c>
    </row>
    <row r="16259" spans="1:8">
      <c r="A16259" t="n">
        <v>155208</v>
      </c>
      <c r="B16259" s="31" t="n">
        <v>25</v>
      </c>
      <c r="C16259" s="7" t="n">
        <v>1</v>
      </c>
      <c r="D16259" s="7" t="n">
        <v>65535</v>
      </c>
      <c r="E16259" s="7" t="n">
        <v>65535</v>
      </c>
      <c r="F16259" s="7" t="n">
        <v>0</v>
      </c>
    </row>
    <row r="16260" spans="1:8">
      <c r="A16260" t="s">
        <v>4</v>
      </c>
      <c r="B16260" s="4" t="s">
        <v>5</v>
      </c>
      <c r="C16260" s="4" t="s">
        <v>11</v>
      </c>
      <c r="D16260" s="4" t="s">
        <v>7</v>
      </c>
      <c r="E16260" s="4" t="s">
        <v>7</v>
      </c>
      <c r="F16260" s="4" t="s">
        <v>8</v>
      </c>
    </row>
    <row r="16261" spans="1:8">
      <c r="A16261" t="n">
        <v>155215</v>
      </c>
      <c r="B16261" s="50" t="n">
        <v>20</v>
      </c>
      <c r="C16261" s="7" t="n">
        <v>2</v>
      </c>
      <c r="D16261" s="7" t="n">
        <v>2</v>
      </c>
      <c r="E16261" s="7" t="n">
        <v>10</v>
      </c>
      <c r="F16261" s="7" t="s">
        <v>260</v>
      </c>
    </row>
    <row r="16262" spans="1:8">
      <c r="A16262" t="s">
        <v>4</v>
      </c>
      <c r="B16262" s="4" t="s">
        <v>5</v>
      </c>
      <c r="C16262" s="4" t="s">
        <v>7</v>
      </c>
      <c r="D16262" s="4" t="s">
        <v>11</v>
      </c>
      <c r="E16262" s="4" t="s">
        <v>8</v>
      </c>
    </row>
    <row r="16263" spans="1:8">
      <c r="A16263" t="n">
        <v>155235</v>
      </c>
      <c r="B16263" s="38" t="n">
        <v>51</v>
      </c>
      <c r="C16263" s="7" t="n">
        <v>4</v>
      </c>
      <c r="D16263" s="7" t="n">
        <v>2</v>
      </c>
      <c r="E16263" s="7" t="s">
        <v>235</v>
      </c>
    </row>
    <row r="16264" spans="1:8">
      <c r="A16264" t="s">
        <v>4</v>
      </c>
      <c r="B16264" s="4" t="s">
        <v>5</v>
      </c>
      <c r="C16264" s="4" t="s">
        <v>11</v>
      </c>
    </row>
    <row r="16265" spans="1:8">
      <c r="A16265" t="n">
        <v>155249</v>
      </c>
      <c r="B16265" s="29" t="n">
        <v>16</v>
      </c>
      <c r="C16265" s="7" t="n">
        <v>0</v>
      </c>
    </row>
    <row r="16266" spans="1:8">
      <c r="A16266" t="s">
        <v>4</v>
      </c>
      <c r="B16266" s="4" t="s">
        <v>5</v>
      </c>
      <c r="C16266" s="4" t="s">
        <v>11</v>
      </c>
      <c r="D16266" s="4" t="s">
        <v>7</v>
      </c>
      <c r="E16266" s="4" t="s">
        <v>15</v>
      </c>
      <c r="F16266" s="4" t="s">
        <v>55</v>
      </c>
      <c r="G16266" s="4" t="s">
        <v>7</v>
      </c>
      <c r="H16266" s="4" t="s">
        <v>7</v>
      </c>
      <c r="I16266" s="4" t="s">
        <v>7</v>
      </c>
      <c r="J16266" s="4" t="s">
        <v>15</v>
      </c>
      <c r="K16266" s="4" t="s">
        <v>55</v>
      </c>
      <c r="L16266" s="4" t="s">
        <v>7</v>
      </c>
      <c r="M16266" s="4" t="s">
        <v>7</v>
      </c>
      <c r="N16266" s="4" t="s">
        <v>7</v>
      </c>
      <c r="O16266" s="4" t="s">
        <v>15</v>
      </c>
      <c r="P16266" s="4" t="s">
        <v>55</v>
      </c>
      <c r="Q16266" s="4" t="s">
        <v>7</v>
      </c>
      <c r="R16266" s="4" t="s">
        <v>7</v>
      </c>
    </row>
    <row r="16267" spans="1:8">
      <c r="A16267" t="n">
        <v>155252</v>
      </c>
      <c r="B16267" s="55" t="n">
        <v>26</v>
      </c>
      <c r="C16267" s="7" t="n">
        <v>2</v>
      </c>
      <c r="D16267" s="7" t="n">
        <v>17</v>
      </c>
      <c r="E16267" s="7" t="n">
        <v>64348</v>
      </c>
      <c r="F16267" s="7" t="s">
        <v>1301</v>
      </c>
      <c r="G16267" s="7" t="n">
        <v>2</v>
      </c>
      <c r="H16267" s="7" t="n">
        <v>3</v>
      </c>
      <c r="I16267" s="7" t="n">
        <v>17</v>
      </c>
      <c r="J16267" s="7" t="n">
        <v>64349</v>
      </c>
      <c r="K16267" s="7" t="s">
        <v>1302</v>
      </c>
      <c r="L16267" s="7" t="n">
        <v>2</v>
      </c>
      <c r="M16267" s="7" t="n">
        <v>3</v>
      </c>
      <c r="N16267" s="7" t="n">
        <v>17</v>
      </c>
      <c r="O16267" s="7" t="n">
        <v>64350</v>
      </c>
      <c r="P16267" s="7" t="s">
        <v>1303</v>
      </c>
      <c r="Q16267" s="7" t="n">
        <v>2</v>
      </c>
      <c r="R16267" s="7" t="n">
        <v>0</v>
      </c>
    </row>
    <row r="16268" spans="1:8">
      <c r="A16268" t="s">
        <v>4</v>
      </c>
      <c r="B16268" s="4" t="s">
        <v>5</v>
      </c>
    </row>
    <row r="16269" spans="1:8">
      <c r="A16269" t="n">
        <v>155491</v>
      </c>
      <c r="B16269" s="27" t="n">
        <v>28</v>
      </c>
    </row>
    <row r="16270" spans="1:8">
      <c r="A16270" t="s">
        <v>4</v>
      </c>
      <c r="B16270" s="4" t="s">
        <v>5</v>
      </c>
      <c r="C16270" s="4" t="s">
        <v>7</v>
      </c>
      <c r="D16270" s="4" t="s">
        <v>11</v>
      </c>
      <c r="E16270" s="4" t="s">
        <v>8</v>
      </c>
    </row>
    <row r="16271" spans="1:8">
      <c r="A16271" t="n">
        <v>155492</v>
      </c>
      <c r="B16271" s="38" t="n">
        <v>51</v>
      </c>
      <c r="C16271" s="7" t="n">
        <v>4</v>
      </c>
      <c r="D16271" s="7" t="n">
        <v>0</v>
      </c>
      <c r="E16271" s="7" t="s">
        <v>173</v>
      </c>
    </row>
    <row r="16272" spans="1:8">
      <c r="A16272" t="s">
        <v>4</v>
      </c>
      <c r="B16272" s="4" t="s">
        <v>5</v>
      </c>
      <c r="C16272" s="4" t="s">
        <v>11</v>
      </c>
    </row>
    <row r="16273" spans="1:18">
      <c r="A16273" t="n">
        <v>155505</v>
      </c>
      <c r="B16273" s="29" t="n">
        <v>16</v>
      </c>
      <c r="C16273" s="7" t="n">
        <v>0</v>
      </c>
    </row>
    <row r="16274" spans="1:18">
      <c r="A16274" t="s">
        <v>4</v>
      </c>
      <c r="B16274" s="4" t="s">
        <v>5</v>
      </c>
      <c r="C16274" s="4" t="s">
        <v>11</v>
      </c>
      <c r="D16274" s="4" t="s">
        <v>7</v>
      </c>
      <c r="E16274" s="4" t="s">
        <v>15</v>
      </c>
      <c r="F16274" s="4" t="s">
        <v>55</v>
      </c>
      <c r="G16274" s="4" t="s">
        <v>7</v>
      </c>
      <c r="H16274" s="4" t="s">
        <v>7</v>
      </c>
      <c r="I16274" s="4" t="s">
        <v>7</v>
      </c>
      <c r="J16274" s="4" t="s">
        <v>15</v>
      </c>
      <c r="K16274" s="4" t="s">
        <v>55</v>
      </c>
      <c r="L16274" s="4" t="s">
        <v>7</v>
      </c>
      <c r="M16274" s="4" t="s">
        <v>7</v>
      </c>
    </row>
    <row r="16275" spans="1:18">
      <c r="A16275" t="n">
        <v>155508</v>
      </c>
      <c r="B16275" s="55" t="n">
        <v>26</v>
      </c>
      <c r="C16275" s="7" t="n">
        <v>0</v>
      </c>
      <c r="D16275" s="7" t="n">
        <v>17</v>
      </c>
      <c r="E16275" s="7" t="n">
        <v>64351</v>
      </c>
      <c r="F16275" s="7" t="s">
        <v>1304</v>
      </c>
      <c r="G16275" s="7" t="n">
        <v>2</v>
      </c>
      <c r="H16275" s="7" t="n">
        <v>3</v>
      </c>
      <c r="I16275" s="7" t="n">
        <v>17</v>
      </c>
      <c r="J16275" s="7" t="n">
        <v>64352</v>
      </c>
      <c r="K16275" s="7" t="s">
        <v>1305</v>
      </c>
      <c r="L16275" s="7" t="n">
        <v>2</v>
      </c>
      <c r="M16275" s="7" t="n">
        <v>0</v>
      </c>
    </row>
    <row r="16276" spans="1:18">
      <c r="A16276" t="s">
        <v>4</v>
      </c>
      <c r="B16276" s="4" t="s">
        <v>5</v>
      </c>
    </row>
    <row r="16277" spans="1:18">
      <c r="A16277" t="n">
        <v>155736</v>
      </c>
      <c r="B16277" s="27" t="n">
        <v>28</v>
      </c>
    </row>
    <row r="16278" spans="1:18">
      <c r="A16278" t="s">
        <v>4</v>
      </c>
      <c r="B16278" s="4" t="s">
        <v>5</v>
      </c>
      <c r="C16278" s="4" t="s">
        <v>7</v>
      </c>
      <c r="D16278" s="4" t="s">
        <v>11</v>
      </c>
      <c r="E16278" s="4" t="s">
        <v>11</v>
      </c>
      <c r="F16278" s="4" t="s">
        <v>7</v>
      </c>
    </row>
    <row r="16279" spans="1:18">
      <c r="A16279" t="n">
        <v>155737</v>
      </c>
      <c r="B16279" s="31" t="n">
        <v>25</v>
      </c>
      <c r="C16279" s="7" t="n">
        <v>1</v>
      </c>
      <c r="D16279" s="7" t="n">
        <v>65535</v>
      </c>
      <c r="E16279" s="7" t="n">
        <v>65535</v>
      </c>
      <c r="F16279" s="7" t="n">
        <v>0</v>
      </c>
    </row>
    <row r="16280" spans="1:18">
      <c r="A16280" t="s">
        <v>4</v>
      </c>
      <c r="B16280" s="4" t="s">
        <v>5</v>
      </c>
      <c r="C16280" s="4" t="s">
        <v>7</v>
      </c>
      <c r="D16280" s="4" t="s">
        <v>11</v>
      </c>
      <c r="E16280" s="4" t="s">
        <v>8</v>
      </c>
      <c r="F16280" s="4" t="s">
        <v>8</v>
      </c>
      <c r="G16280" s="4" t="s">
        <v>8</v>
      </c>
      <c r="H16280" s="4" t="s">
        <v>8</v>
      </c>
    </row>
    <row r="16281" spans="1:18">
      <c r="A16281" t="n">
        <v>155744</v>
      </c>
      <c r="B16281" s="38" t="n">
        <v>51</v>
      </c>
      <c r="C16281" s="7" t="n">
        <v>3</v>
      </c>
      <c r="D16281" s="7" t="n">
        <v>2</v>
      </c>
      <c r="E16281" s="7" t="s">
        <v>86</v>
      </c>
      <c r="F16281" s="7" t="s">
        <v>79</v>
      </c>
      <c r="G16281" s="7" t="s">
        <v>78</v>
      </c>
      <c r="H16281" s="7" t="s">
        <v>79</v>
      </c>
    </row>
    <row r="16282" spans="1:18">
      <c r="A16282" t="s">
        <v>4</v>
      </c>
      <c r="B16282" s="4" t="s">
        <v>5</v>
      </c>
      <c r="C16282" s="4" t="s">
        <v>11</v>
      </c>
      <c r="D16282" s="4" t="s">
        <v>7</v>
      </c>
      <c r="E16282" s="4" t="s">
        <v>7</v>
      </c>
      <c r="F16282" s="4" t="s">
        <v>8</v>
      </c>
    </row>
    <row r="16283" spans="1:18">
      <c r="A16283" t="n">
        <v>155757</v>
      </c>
      <c r="B16283" s="50" t="n">
        <v>20</v>
      </c>
      <c r="C16283" s="7" t="n">
        <v>2</v>
      </c>
      <c r="D16283" s="7" t="n">
        <v>2</v>
      </c>
      <c r="E16283" s="7" t="n">
        <v>10</v>
      </c>
      <c r="F16283" s="7" t="s">
        <v>223</v>
      </c>
    </row>
    <row r="16284" spans="1:18">
      <c r="A16284" t="s">
        <v>4</v>
      </c>
      <c r="B16284" s="4" t="s">
        <v>5</v>
      </c>
      <c r="C16284" s="4" t="s">
        <v>11</v>
      </c>
    </row>
    <row r="16285" spans="1:18">
      <c r="A16285" t="n">
        <v>155778</v>
      </c>
      <c r="B16285" s="29" t="n">
        <v>16</v>
      </c>
      <c r="C16285" s="7" t="n">
        <v>500</v>
      </c>
    </row>
    <row r="16286" spans="1:18">
      <c r="A16286" t="s">
        <v>4</v>
      </c>
      <c r="B16286" s="4" t="s">
        <v>5</v>
      </c>
      <c r="C16286" s="4" t="s">
        <v>7</v>
      </c>
      <c r="D16286" s="4" t="s">
        <v>11</v>
      </c>
      <c r="E16286" s="4" t="s">
        <v>8</v>
      </c>
    </row>
    <row r="16287" spans="1:18">
      <c r="A16287" t="n">
        <v>155781</v>
      </c>
      <c r="B16287" s="38" t="n">
        <v>51</v>
      </c>
      <c r="C16287" s="7" t="n">
        <v>4</v>
      </c>
      <c r="D16287" s="7" t="n">
        <v>2</v>
      </c>
      <c r="E16287" s="7" t="s">
        <v>233</v>
      </c>
    </row>
    <row r="16288" spans="1:18">
      <c r="A16288" t="s">
        <v>4</v>
      </c>
      <c r="B16288" s="4" t="s">
        <v>5</v>
      </c>
      <c r="C16288" s="4" t="s">
        <v>11</v>
      </c>
    </row>
    <row r="16289" spans="1:13">
      <c r="A16289" t="n">
        <v>155794</v>
      </c>
      <c r="B16289" s="29" t="n">
        <v>16</v>
      </c>
      <c r="C16289" s="7" t="n">
        <v>0</v>
      </c>
    </row>
    <row r="16290" spans="1:13">
      <c r="A16290" t="s">
        <v>4</v>
      </c>
      <c r="B16290" s="4" t="s">
        <v>5</v>
      </c>
      <c r="C16290" s="4" t="s">
        <v>11</v>
      </c>
      <c r="D16290" s="4" t="s">
        <v>7</v>
      </c>
      <c r="E16290" s="4" t="s">
        <v>15</v>
      </c>
      <c r="F16290" s="4" t="s">
        <v>55</v>
      </c>
      <c r="G16290" s="4" t="s">
        <v>7</v>
      </c>
      <c r="H16290" s="4" t="s">
        <v>7</v>
      </c>
    </row>
    <row r="16291" spans="1:13">
      <c r="A16291" t="n">
        <v>155797</v>
      </c>
      <c r="B16291" s="55" t="n">
        <v>26</v>
      </c>
      <c r="C16291" s="7" t="n">
        <v>2</v>
      </c>
      <c r="D16291" s="7" t="n">
        <v>17</v>
      </c>
      <c r="E16291" s="7" t="n">
        <v>64353</v>
      </c>
      <c r="F16291" s="7" t="s">
        <v>1306</v>
      </c>
      <c r="G16291" s="7" t="n">
        <v>2</v>
      </c>
      <c r="H16291" s="7" t="n">
        <v>0</v>
      </c>
    </row>
    <row r="16292" spans="1:13">
      <c r="A16292" t="s">
        <v>4</v>
      </c>
      <c r="B16292" s="4" t="s">
        <v>5</v>
      </c>
    </row>
    <row r="16293" spans="1:13">
      <c r="A16293" t="n">
        <v>155815</v>
      </c>
      <c r="B16293" s="27" t="n">
        <v>28</v>
      </c>
    </row>
    <row r="16294" spans="1:13">
      <c r="A16294" t="s">
        <v>4</v>
      </c>
      <c r="B16294" s="4" t="s">
        <v>5</v>
      </c>
      <c r="C16294" s="4" t="s">
        <v>7</v>
      </c>
      <c r="D16294" s="4" t="s">
        <v>11</v>
      </c>
      <c r="E16294" s="4" t="s">
        <v>13</v>
      </c>
    </row>
    <row r="16295" spans="1:13">
      <c r="A16295" t="n">
        <v>155816</v>
      </c>
      <c r="B16295" s="23" t="n">
        <v>58</v>
      </c>
      <c r="C16295" s="7" t="n">
        <v>0</v>
      </c>
      <c r="D16295" s="7" t="n">
        <v>2000</v>
      </c>
      <c r="E16295" s="7" t="n">
        <v>1</v>
      </c>
    </row>
    <row r="16296" spans="1:13">
      <c r="A16296" t="s">
        <v>4</v>
      </c>
      <c r="B16296" s="4" t="s">
        <v>5</v>
      </c>
      <c r="C16296" s="4" t="s">
        <v>7</v>
      </c>
      <c r="D16296" s="4" t="s">
        <v>11</v>
      </c>
    </row>
    <row r="16297" spans="1:13">
      <c r="A16297" t="n">
        <v>155824</v>
      </c>
      <c r="B16297" s="23" t="n">
        <v>58</v>
      </c>
      <c r="C16297" s="7" t="n">
        <v>255</v>
      </c>
      <c r="D16297" s="7" t="n">
        <v>0</v>
      </c>
    </row>
    <row r="16298" spans="1:13">
      <c r="A16298" t="s">
        <v>4</v>
      </c>
      <c r="B16298" s="4" t="s">
        <v>5</v>
      </c>
      <c r="C16298" s="4" t="s">
        <v>11</v>
      </c>
    </row>
    <row r="16299" spans="1:13">
      <c r="A16299" t="n">
        <v>155828</v>
      </c>
      <c r="B16299" s="29" t="n">
        <v>16</v>
      </c>
      <c r="C16299" s="7" t="n">
        <v>1000</v>
      </c>
    </row>
    <row r="16300" spans="1:13">
      <c r="A16300" t="s">
        <v>4</v>
      </c>
      <c r="B16300" s="4" t="s">
        <v>5</v>
      </c>
      <c r="C16300" s="4" t="s">
        <v>11</v>
      </c>
    </row>
    <row r="16301" spans="1:13">
      <c r="A16301" t="n">
        <v>155831</v>
      </c>
      <c r="B16301" s="43" t="n">
        <v>12</v>
      </c>
      <c r="C16301" s="7" t="n">
        <v>10306</v>
      </c>
    </row>
    <row r="16302" spans="1:13">
      <c r="A16302" t="s">
        <v>4</v>
      </c>
      <c r="B16302" s="4" t="s">
        <v>5</v>
      </c>
      <c r="C16302" s="4" t="s">
        <v>7</v>
      </c>
      <c r="D16302" s="4" t="s">
        <v>11</v>
      </c>
      <c r="E16302" s="4" t="s">
        <v>11</v>
      </c>
    </row>
    <row r="16303" spans="1:13">
      <c r="A16303" t="n">
        <v>155834</v>
      </c>
      <c r="B16303" s="59" t="n">
        <v>135</v>
      </c>
      <c r="C16303" s="7" t="n">
        <v>0</v>
      </c>
      <c r="D16303" s="7" t="n">
        <v>2</v>
      </c>
      <c r="E16303" s="7" t="n">
        <v>64</v>
      </c>
    </row>
    <row r="16304" spans="1:13">
      <c r="A16304" t="s">
        <v>4</v>
      </c>
      <c r="B16304" s="4" t="s">
        <v>5</v>
      </c>
      <c r="C16304" s="4" t="s">
        <v>7</v>
      </c>
      <c r="D16304" s="4" t="s">
        <v>8</v>
      </c>
    </row>
    <row r="16305" spans="1:8">
      <c r="A16305" t="n">
        <v>155840</v>
      </c>
      <c r="B16305" s="6" t="n">
        <v>2</v>
      </c>
      <c r="C16305" s="7" t="n">
        <v>11</v>
      </c>
      <c r="D16305" s="7" t="s">
        <v>37</v>
      </c>
    </row>
    <row r="16306" spans="1:8">
      <c r="A16306" t="s">
        <v>4</v>
      </c>
      <c r="B16306" s="4" t="s">
        <v>5</v>
      </c>
      <c r="C16306" s="4" t="s">
        <v>11</v>
      </c>
      <c r="D16306" s="4" t="s">
        <v>13</v>
      </c>
      <c r="E16306" s="4" t="s">
        <v>13</v>
      </c>
      <c r="F16306" s="4" t="s">
        <v>13</v>
      </c>
      <c r="G16306" s="4" t="s">
        <v>13</v>
      </c>
    </row>
    <row r="16307" spans="1:8">
      <c r="A16307" t="n">
        <v>155864</v>
      </c>
      <c r="B16307" s="36" t="n">
        <v>46</v>
      </c>
      <c r="C16307" s="7" t="n">
        <v>61456</v>
      </c>
      <c r="D16307" s="7" t="n">
        <v>1.20000004768372</v>
      </c>
      <c r="E16307" s="7" t="n">
        <v>5.01000022888184</v>
      </c>
      <c r="F16307" s="7" t="n">
        <v>47.439998626709</v>
      </c>
      <c r="G16307" s="7" t="n">
        <v>268.5</v>
      </c>
    </row>
    <row r="16308" spans="1:8">
      <c r="A16308" t="s">
        <v>4</v>
      </c>
      <c r="B16308" s="4" t="s">
        <v>5</v>
      </c>
      <c r="C16308" s="4" t="s">
        <v>7</v>
      </c>
      <c r="D16308" s="4" t="s">
        <v>7</v>
      </c>
      <c r="E16308" s="4" t="s">
        <v>13</v>
      </c>
      <c r="F16308" s="4" t="s">
        <v>13</v>
      </c>
      <c r="G16308" s="4" t="s">
        <v>13</v>
      </c>
      <c r="H16308" s="4" t="s">
        <v>11</v>
      </c>
      <c r="I16308" s="4" t="s">
        <v>7</v>
      </c>
    </row>
    <row r="16309" spans="1:8">
      <c r="A16309" t="n">
        <v>155883</v>
      </c>
      <c r="B16309" s="51" t="n">
        <v>45</v>
      </c>
      <c r="C16309" s="7" t="n">
        <v>4</v>
      </c>
      <c r="D16309" s="7" t="n">
        <v>3</v>
      </c>
      <c r="E16309" s="7" t="n">
        <v>7.01999998092651</v>
      </c>
      <c r="F16309" s="7" t="n">
        <v>246.660003662109</v>
      </c>
      <c r="G16309" s="7" t="n">
        <v>0</v>
      </c>
      <c r="H16309" s="7" t="n">
        <v>0</v>
      </c>
      <c r="I16309" s="7" t="n">
        <v>0</v>
      </c>
    </row>
    <row r="16310" spans="1:8">
      <c r="A16310" t="s">
        <v>4</v>
      </c>
      <c r="B16310" s="4" t="s">
        <v>5</v>
      </c>
      <c r="C16310" s="4" t="s">
        <v>7</v>
      </c>
      <c r="D16310" s="4" t="s">
        <v>8</v>
      </c>
    </row>
    <row r="16311" spans="1:8">
      <c r="A16311" t="n">
        <v>155901</v>
      </c>
      <c r="B16311" s="6" t="n">
        <v>2</v>
      </c>
      <c r="C16311" s="7" t="n">
        <v>10</v>
      </c>
      <c r="D16311" s="7" t="s">
        <v>119</v>
      </c>
    </row>
    <row r="16312" spans="1:8">
      <c r="A16312" t="s">
        <v>4</v>
      </c>
      <c r="B16312" s="4" t="s">
        <v>5</v>
      </c>
      <c r="C16312" s="4" t="s">
        <v>11</v>
      </c>
    </row>
    <row r="16313" spans="1:8">
      <c r="A16313" t="n">
        <v>155916</v>
      </c>
      <c r="B16313" s="29" t="n">
        <v>16</v>
      </c>
      <c r="C16313" s="7" t="n">
        <v>0</v>
      </c>
    </row>
    <row r="16314" spans="1:8">
      <c r="A16314" t="s">
        <v>4</v>
      </c>
      <c r="B16314" s="4" t="s">
        <v>5</v>
      </c>
      <c r="C16314" s="4" t="s">
        <v>7</v>
      </c>
      <c r="D16314" s="4" t="s">
        <v>11</v>
      </c>
    </row>
    <row r="16315" spans="1:8">
      <c r="A16315" t="n">
        <v>155919</v>
      </c>
      <c r="B16315" s="23" t="n">
        <v>58</v>
      </c>
      <c r="C16315" s="7" t="n">
        <v>105</v>
      </c>
      <c r="D16315" s="7" t="n">
        <v>300</v>
      </c>
    </row>
    <row r="16316" spans="1:8">
      <c r="A16316" t="s">
        <v>4</v>
      </c>
      <c r="B16316" s="4" t="s">
        <v>5</v>
      </c>
      <c r="C16316" s="4" t="s">
        <v>13</v>
      </c>
      <c r="D16316" s="4" t="s">
        <v>11</v>
      </c>
    </row>
    <row r="16317" spans="1:8">
      <c r="A16317" t="n">
        <v>155923</v>
      </c>
      <c r="B16317" s="46" t="n">
        <v>103</v>
      </c>
      <c r="C16317" s="7" t="n">
        <v>1</v>
      </c>
      <c r="D16317" s="7" t="n">
        <v>300</v>
      </c>
    </row>
    <row r="16318" spans="1:8">
      <c r="A16318" t="s">
        <v>4</v>
      </c>
      <c r="B16318" s="4" t="s">
        <v>5</v>
      </c>
      <c r="C16318" s="4" t="s">
        <v>7</v>
      </c>
      <c r="D16318" s="4" t="s">
        <v>11</v>
      </c>
    </row>
    <row r="16319" spans="1:8">
      <c r="A16319" t="n">
        <v>155930</v>
      </c>
      <c r="B16319" s="48" t="n">
        <v>72</v>
      </c>
      <c r="C16319" s="7" t="n">
        <v>4</v>
      </c>
      <c r="D16319" s="7" t="n">
        <v>0</v>
      </c>
    </row>
    <row r="16320" spans="1:8">
      <c r="A16320" t="s">
        <v>4</v>
      </c>
      <c r="B16320" s="4" t="s">
        <v>5</v>
      </c>
      <c r="C16320" s="4" t="s">
        <v>15</v>
      </c>
    </row>
    <row r="16321" spans="1:9">
      <c r="A16321" t="n">
        <v>155934</v>
      </c>
      <c r="B16321" s="61" t="n">
        <v>15</v>
      </c>
      <c r="C16321" s="7" t="n">
        <v>1073741824</v>
      </c>
    </row>
    <row r="16322" spans="1:9">
      <c r="A16322" t="s">
        <v>4</v>
      </c>
      <c r="B16322" s="4" t="s">
        <v>5</v>
      </c>
      <c r="C16322" s="4" t="s">
        <v>7</v>
      </c>
    </row>
    <row r="16323" spans="1:9">
      <c r="A16323" t="n">
        <v>155939</v>
      </c>
      <c r="B16323" s="47" t="n">
        <v>64</v>
      </c>
      <c r="C16323" s="7" t="n">
        <v>3</v>
      </c>
    </row>
    <row r="16324" spans="1:9">
      <c r="A16324" t="s">
        <v>4</v>
      </c>
      <c r="B16324" s="4" t="s">
        <v>5</v>
      </c>
      <c r="C16324" s="4" t="s">
        <v>7</v>
      </c>
    </row>
    <row r="16325" spans="1:9">
      <c r="A16325" t="n">
        <v>155941</v>
      </c>
      <c r="B16325" s="45" t="n">
        <v>74</v>
      </c>
      <c r="C16325" s="7" t="n">
        <v>67</v>
      </c>
    </row>
    <row r="16326" spans="1:9">
      <c r="A16326" t="s">
        <v>4</v>
      </c>
      <c r="B16326" s="4" t="s">
        <v>5</v>
      </c>
      <c r="C16326" s="4" t="s">
        <v>7</v>
      </c>
      <c r="D16326" s="4" t="s">
        <v>7</v>
      </c>
      <c r="E16326" s="4" t="s">
        <v>11</v>
      </c>
    </row>
    <row r="16327" spans="1:9">
      <c r="A16327" t="n">
        <v>155943</v>
      </c>
      <c r="B16327" s="51" t="n">
        <v>45</v>
      </c>
      <c r="C16327" s="7" t="n">
        <v>8</v>
      </c>
      <c r="D16327" s="7" t="n">
        <v>1</v>
      </c>
      <c r="E16327" s="7" t="n">
        <v>0</v>
      </c>
    </row>
    <row r="16328" spans="1:9">
      <c r="A16328" t="s">
        <v>4</v>
      </c>
      <c r="B16328" s="4" t="s">
        <v>5</v>
      </c>
      <c r="C16328" s="4" t="s">
        <v>11</v>
      </c>
    </row>
    <row r="16329" spans="1:9">
      <c r="A16329" t="n">
        <v>155948</v>
      </c>
      <c r="B16329" s="12" t="n">
        <v>13</v>
      </c>
      <c r="C16329" s="7" t="n">
        <v>6409</v>
      </c>
    </row>
    <row r="16330" spans="1:9">
      <c r="A16330" t="s">
        <v>4</v>
      </c>
      <c r="B16330" s="4" t="s">
        <v>5</v>
      </c>
      <c r="C16330" s="4" t="s">
        <v>11</v>
      </c>
    </row>
    <row r="16331" spans="1:9">
      <c r="A16331" t="n">
        <v>155951</v>
      </c>
      <c r="B16331" s="12" t="n">
        <v>13</v>
      </c>
      <c r="C16331" s="7" t="n">
        <v>6408</v>
      </c>
    </row>
    <row r="16332" spans="1:9">
      <c r="A16332" t="s">
        <v>4</v>
      </c>
      <c r="B16332" s="4" t="s">
        <v>5</v>
      </c>
      <c r="C16332" s="4" t="s">
        <v>11</v>
      </c>
    </row>
    <row r="16333" spans="1:9">
      <c r="A16333" t="n">
        <v>155954</v>
      </c>
      <c r="B16333" s="43" t="n">
        <v>12</v>
      </c>
      <c r="C16333" s="7" t="n">
        <v>6464</v>
      </c>
    </row>
    <row r="16334" spans="1:9">
      <c r="A16334" t="s">
        <v>4</v>
      </c>
      <c r="B16334" s="4" t="s">
        <v>5</v>
      </c>
      <c r="C16334" s="4" t="s">
        <v>11</v>
      </c>
    </row>
    <row r="16335" spans="1:9">
      <c r="A16335" t="n">
        <v>155957</v>
      </c>
      <c r="B16335" s="12" t="n">
        <v>13</v>
      </c>
      <c r="C16335" s="7" t="n">
        <v>6465</v>
      </c>
    </row>
    <row r="16336" spans="1:9">
      <c r="A16336" t="s">
        <v>4</v>
      </c>
      <c r="B16336" s="4" t="s">
        <v>5</v>
      </c>
      <c r="C16336" s="4" t="s">
        <v>11</v>
      </c>
    </row>
    <row r="16337" spans="1:5">
      <c r="A16337" t="n">
        <v>155960</v>
      </c>
      <c r="B16337" s="12" t="n">
        <v>13</v>
      </c>
      <c r="C16337" s="7" t="n">
        <v>6466</v>
      </c>
    </row>
    <row r="16338" spans="1:5">
      <c r="A16338" t="s">
        <v>4</v>
      </c>
      <c r="B16338" s="4" t="s">
        <v>5</v>
      </c>
      <c r="C16338" s="4" t="s">
        <v>11</v>
      </c>
    </row>
    <row r="16339" spans="1:5">
      <c r="A16339" t="n">
        <v>155963</v>
      </c>
      <c r="B16339" s="12" t="n">
        <v>13</v>
      </c>
      <c r="C16339" s="7" t="n">
        <v>6467</v>
      </c>
    </row>
    <row r="16340" spans="1:5">
      <c r="A16340" t="s">
        <v>4</v>
      </c>
      <c r="B16340" s="4" t="s">
        <v>5</v>
      </c>
      <c r="C16340" s="4" t="s">
        <v>11</v>
      </c>
    </row>
    <row r="16341" spans="1:5">
      <c r="A16341" t="n">
        <v>155966</v>
      </c>
      <c r="B16341" s="12" t="n">
        <v>13</v>
      </c>
      <c r="C16341" s="7" t="n">
        <v>6468</v>
      </c>
    </row>
    <row r="16342" spans="1:5">
      <c r="A16342" t="s">
        <v>4</v>
      </c>
      <c r="B16342" s="4" t="s">
        <v>5</v>
      </c>
      <c r="C16342" s="4" t="s">
        <v>11</v>
      </c>
    </row>
    <row r="16343" spans="1:5">
      <c r="A16343" t="n">
        <v>155969</v>
      </c>
      <c r="B16343" s="12" t="n">
        <v>13</v>
      </c>
      <c r="C16343" s="7" t="n">
        <v>6469</v>
      </c>
    </row>
    <row r="16344" spans="1:5">
      <c r="A16344" t="s">
        <v>4</v>
      </c>
      <c r="B16344" s="4" t="s">
        <v>5</v>
      </c>
      <c r="C16344" s="4" t="s">
        <v>11</v>
      </c>
    </row>
    <row r="16345" spans="1:5">
      <c r="A16345" t="n">
        <v>155972</v>
      </c>
      <c r="B16345" s="12" t="n">
        <v>13</v>
      </c>
      <c r="C16345" s="7" t="n">
        <v>6470</v>
      </c>
    </row>
    <row r="16346" spans="1:5">
      <c r="A16346" t="s">
        <v>4</v>
      </c>
      <c r="B16346" s="4" t="s">
        <v>5</v>
      </c>
      <c r="C16346" s="4" t="s">
        <v>11</v>
      </c>
    </row>
    <row r="16347" spans="1:5">
      <c r="A16347" t="n">
        <v>155975</v>
      </c>
      <c r="B16347" s="12" t="n">
        <v>13</v>
      </c>
      <c r="C16347" s="7" t="n">
        <v>6471</v>
      </c>
    </row>
    <row r="16348" spans="1:5">
      <c r="A16348" t="s">
        <v>4</v>
      </c>
      <c r="B16348" s="4" t="s">
        <v>5</v>
      </c>
      <c r="C16348" s="4" t="s">
        <v>7</v>
      </c>
    </row>
    <row r="16349" spans="1:5">
      <c r="A16349" t="n">
        <v>155978</v>
      </c>
      <c r="B16349" s="45" t="n">
        <v>74</v>
      </c>
      <c r="C16349" s="7" t="n">
        <v>18</v>
      </c>
    </row>
    <row r="16350" spans="1:5">
      <c r="A16350" t="s">
        <v>4</v>
      </c>
      <c r="B16350" s="4" t="s">
        <v>5</v>
      </c>
      <c r="C16350" s="4" t="s">
        <v>7</v>
      </c>
    </row>
    <row r="16351" spans="1:5">
      <c r="A16351" t="n">
        <v>155980</v>
      </c>
      <c r="B16351" s="45" t="n">
        <v>74</v>
      </c>
      <c r="C16351" s="7" t="n">
        <v>45</v>
      </c>
    </row>
    <row r="16352" spans="1:5">
      <c r="A16352" t="s">
        <v>4</v>
      </c>
      <c r="B16352" s="4" t="s">
        <v>5</v>
      </c>
      <c r="C16352" s="4" t="s">
        <v>11</v>
      </c>
    </row>
    <row r="16353" spans="1:3">
      <c r="A16353" t="n">
        <v>155982</v>
      </c>
      <c r="B16353" s="29" t="n">
        <v>16</v>
      </c>
      <c r="C16353" s="7" t="n">
        <v>0</v>
      </c>
    </row>
    <row r="16354" spans="1:3">
      <c r="A16354" t="s">
        <v>4</v>
      </c>
      <c r="B16354" s="4" t="s">
        <v>5</v>
      </c>
      <c r="C16354" s="4" t="s">
        <v>7</v>
      </c>
      <c r="D16354" s="4" t="s">
        <v>7</v>
      </c>
      <c r="E16354" s="4" t="s">
        <v>7</v>
      </c>
      <c r="F16354" s="4" t="s">
        <v>7</v>
      </c>
    </row>
    <row r="16355" spans="1:3">
      <c r="A16355" t="n">
        <v>155985</v>
      </c>
      <c r="B16355" s="9" t="n">
        <v>14</v>
      </c>
      <c r="C16355" s="7" t="n">
        <v>0</v>
      </c>
      <c r="D16355" s="7" t="n">
        <v>8</v>
      </c>
      <c r="E16355" s="7" t="n">
        <v>0</v>
      </c>
      <c r="F16355" s="7" t="n">
        <v>0</v>
      </c>
    </row>
    <row r="16356" spans="1:3">
      <c r="A16356" t="s">
        <v>4</v>
      </c>
      <c r="B16356" s="4" t="s">
        <v>5</v>
      </c>
      <c r="C16356" s="4" t="s">
        <v>7</v>
      </c>
      <c r="D16356" s="4" t="s">
        <v>8</v>
      </c>
    </row>
    <row r="16357" spans="1:3">
      <c r="A16357" t="n">
        <v>155990</v>
      </c>
      <c r="B16357" s="6" t="n">
        <v>2</v>
      </c>
      <c r="C16357" s="7" t="n">
        <v>11</v>
      </c>
      <c r="D16357" s="7" t="s">
        <v>14</v>
      </c>
    </row>
    <row r="16358" spans="1:3">
      <c r="A16358" t="s">
        <v>4</v>
      </c>
      <c r="B16358" s="4" t="s">
        <v>5</v>
      </c>
      <c r="C16358" s="4" t="s">
        <v>11</v>
      </c>
    </row>
    <row r="16359" spans="1:3">
      <c r="A16359" t="n">
        <v>156004</v>
      </c>
      <c r="B16359" s="29" t="n">
        <v>16</v>
      </c>
      <c r="C16359" s="7" t="n">
        <v>0</v>
      </c>
    </row>
    <row r="16360" spans="1:3">
      <c r="A16360" t="s">
        <v>4</v>
      </c>
      <c r="B16360" s="4" t="s">
        <v>5</v>
      </c>
      <c r="C16360" s="4" t="s">
        <v>7</v>
      </c>
      <c r="D16360" s="4" t="s">
        <v>8</v>
      </c>
    </row>
    <row r="16361" spans="1:3">
      <c r="A16361" t="n">
        <v>156007</v>
      </c>
      <c r="B16361" s="6" t="n">
        <v>2</v>
      </c>
      <c r="C16361" s="7" t="n">
        <v>11</v>
      </c>
      <c r="D16361" s="7" t="s">
        <v>120</v>
      </c>
    </row>
    <row r="16362" spans="1:3">
      <c r="A16362" t="s">
        <v>4</v>
      </c>
      <c r="B16362" s="4" t="s">
        <v>5</v>
      </c>
      <c r="C16362" s="4" t="s">
        <v>11</v>
      </c>
    </row>
    <row r="16363" spans="1:3">
      <c r="A16363" t="n">
        <v>156016</v>
      </c>
      <c r="B16363" s="29" t="n">
        <v>16</v>
      </c>
      <c r="C16363" s="7" t="n">
        <v>0</v>
      </c>
    </row>
    <row r="16364" spans="1:3">
      <c r="A16364" t="s">
        <v>4</v>
      </c>
      <c r="B16364" s="4" t="s">
        <v>5</v>
      </c>
      <c r="C16364" s="4" t="s">
        <v>15</v>
      </c>
    </row>
    <row r="16365" spans="1:3">
      <c r="A16365" t="n">
        <v>156019</v>
      </c>
      <c r="B16365" s="61" t="n">
        <v>15</v>
      </c>
      <c r="C16365" s="7" t="n">
        <v>2048</v>
      </c>
    </row>
    <row r="16366" spans="1:3">
      <c r="A16366" t="s">
        <v>4</v>
      </c>
      <c r="B16366" s="4" t="s">
        <v>5</v>
      </c>
      <c r="C16366" s="4" t="s">
        <v>7</v>
      </c>
      <c r="D16366" s="4" t="s">
        <v>8</v>
      </c>
    </row>
    <row r="16367" spans="1:3">
      <c r="A16367" t="n">
        <v>156024</v>
      </c>
      <c r="B16367" s="6" t="n">
        <v>2</v>
      </c>
      <c r="C16367" s="7" t="n">
        <v>10</v>
      </c>
      <c r="D16367" s="7" t="s">
        <v>52</v>
      </c>
    </row>
    <row r="16368" spans="1:3">
      <c r="A16368" t="s">
        <v>4</v>
      </c>
      <c r="B16368" s="4" t="s">
        <v>5</v>
      </c>
      <c r="C16368" s="4" t="s">
        <v>11</v>
      </c>
    </row>
    <row r="16369" spans="1:6">
      <c r="A16369" t="n">
        <v>156042</v>
      </c>
      <c r="B16369" s="29" t="n">
        <v>16</v>
      </c>
      <c r="C16369" s="7" t="n">
        <v>0</v>
      </c>
    </row>
    <row r="16370" spans="1:6">
      <c r="A16370" t="s">
        <v>4</v>
      </c>
      <c r="B16370" s="4" t="s">
        <v>5</v>
      </c>
      <c r="C16370" s="4" t="s">
        <v>7</v>
      </c>
      <c r="D16370" s="4" t="s">
        <v>8</v>
      </c>
    </row>
    <row r="16371" spans="1:6">
      <c r="A16371" t="n">
        <v>156045</v>
      </c>
      <c r="B16371" s="6" t="n">
        <v>2</v>
      </c>
      <c r="C16371" s="7" t="n">
        <v>10</v>
      </c>
      <c r="D16371" s="7" t="s">
        <v>53</v>
      </c>
    </row>
    <row r="16372" spans="1:6">
      <c r="A16372" t="s">
        <v>4</v>
      </c>
      <c r="B16372" s="4" t="s">
        <v>5</v>
      </c>
      <c r="C16372" s="4" t="s">
        <v>11</v>
      </c>
    </row>
    <row r="16373" spans="1:6">
      <c r="A16373" t="n">
        <v>156064</v>
      </c>
      <c r="B16373" s="29" t="n">
        <v>16</v>
      </c>
      <c r="C16373" s="7" t="n">
        <v>0</v>
      </c>
    </row>
    <row r="16374" spans="1:6">
      <c r="A16374" t="s">
        <v>4</v>
      </c>
      <c r="B16374" s="4" t="s">
        <v>5</v>
      </c>
      <c r="C16374" s="4" t="s">
        <v>7</v>
      </c>
      <c r="D16374" s="4" t="s">
        <v>11</v>
      </c>
      <c r="E16374" s="4" t="s">
        <v>13</v>
      </c>
    </row>
    <row r="16375" spans="1:6">
      <c r="A16375" t="n">
        <v>156067</v>
      </c>
      <c r="B16375" s="23" t="n">
        <v>58</v>
      </c>
      <c r="C16375" s="7" t="n">
        <v>100</v>
      </c>
      <c r="D16375" s="7" t="n">
        <v>300</v>
      </c>
      <c r="E16375" s="7" t="n">
        <v>1</v>
      </c>
    </row>
    <row r="16376" spans="1:6">
      <c r="A16376" t="s">
        <v>4</v>
      </c>
      <c r="B16376" s="4" t="s">
        <v>5</v>
      </c>
      <c r="C16376" s="4" t="s">
        <v>7</v>
      </c>
      <c r="D16376" s="4" t="s">
        <v>11</v>
      </c>
    </row>
    <row r="16377" spans="1:6">
      <c r="A16377" t="n">
        <v>156075</v>
      </c>
      <c r="B16377" s="23" t="n">
        <v>58</v>
      </c>
      <c r="C16377" s="7" t="n">
        <v>255</v>
      </c>
      <c r="D16377" s="7" t="n">
        <v>0</v>
      </c>
    </row>
    <row r="16378" spans="1:6">
      <c r="A16378" t="s">
        <v>4</v>
      </c>
      <c r="B16378" s="4" t="s">
        <v>5</v>
      </c>
      <c r="C16378" s="4" t="s">
        <v>7</v>
      </c>
    </row>
    <row r="16379" spans="1:6">
      <c r="A16379" t="n">
        <v>156079</v>
      </c>
      <c r="B16379" s="30" t="n">
        <v>23</v>
      </c>
      <c r="C16379" s="7" t="n">
        <v>0</v>
      </c>
    </row>
    <row r="16380" spans="1:6">
      <c r="A16380" t="s">
        <v>4</v>
      </c>
      <c r="B16380" s="4" t="s">
        <v>5</v>
      </c>
    </row>
    <row r="16381" spans="1:6">
      <c r="A16381" t="n">
        <v>156081</v>
      </c>
      <c r="B16381" s="5" t="n">
        <v>1</v>
      </c>
    </row>
    <row r="16382" spans="1:6" s="3" customFormat="1" customHeight="0">
      <c r="A16382" s="3" t="s">
        <v>2</v>
      </c>
      <c r="B16382" s="3" t="s">
        <v>1307</v>
      </c>
    </row>
    <row r="16383" spans="1:6">
      <c r="A16383" t="s">
        <v>4</v>
      </c>
      <c r="B16383" s="4" t="s">
        <v>5</v>
      </c>
      <c r="C16383" s="4" t="s">
        <v>7</v>
      </c>
      <c r="D16383" s="4" t="s">
        <v>7</v>
      </c>
      <c r="E16383" s="4" t="s">
        <v>7</v>
      </c>
      <c r="F16383" s="4" t="s">
        <v>7</v>
      </c>
    </row>
    <row r="16384" spans="1:6">
      <c r="A16384" t="n">
        <v>156084</v>
      </c>
      <c r="B16384" s="9" t="n">
        <v>14</v>
      </c>
      <c r="C16384" s="7" t="n">
        <v>2</v>
      </c>
      <c r="D16384" s="7" t="n">
        <v>0</v>
      </c>
      <c r="E16384" s="7" t="n">
        <v>0</v>
      </c>
      <c r="F16384" s="7" t="n">
        <v>0</v>
      </c>
    </row>
    <row r="16385" spans="1:6">
      <c r="A16385" t="s">
        <v>4</v>
      </c>
      <c r="B16385" s="4" t="s">
        <v>5</v>
      </c>
      <c r="C16385" s="4" t="s">
        <v>7</v>
      </c>
      <c r="D16385" s="20" t="s">
        <v>35</v>
      </c>
      <c r="E16385" s="4" t="s">
        <v>5</v>
      </c>
      <c r="F16385" s="4" t="s">
        <v>7</v>
      </c>
      <c r="G16385" s="4" t="s">
        <v>11</v>
      </c>
      <c r="H16385" s="20" t="s">
        <v>36</v>
      </c>
      <c r="I16385" s="4" t="s">
        <v>7</v>
      </c>
      <c r="J16385" s="4" t="s">
        <v>15</v>
      </c>
      <c r="K16385" s="4" t="s">
        <v>7</v>
      </c>
      <c r="L16385" s="4" t="s">
        <v>7</v>
      </c>
      <c r="M16385" s="20" t="s">
        <v>35</v>
      </c>
      <c r="N16385" s="4" t="s">
        <v>5</v>
      </c>
      <c r="O16385" s="4" t="s">
        <v>7</v>
      </c>
      <c r="P16385" s="4" t="s">
        <v>11</v>
      </c>
      <c r="Q16385" s="20" t="s">
        <v>36</v>
      </c>
      <c r="R16385" s="4" t="s">
        <v>7</v>
      </c>
      <c r="S16385" s="4" t="s">
        <v>15</v>
      </c>
      <c r="T16385" s="4" t="s">
        <v>7</v>
      </c>
      <c r="U16385" s="4" t="s">
        <v>7</v>
      </c>
      <c r="V16385" s="4" t="s">
        <v>7</v>
      </c>
      <c r="W16385" s="4" t="s">
        <v>12</v>
      </c>
    </row>
    <row r="16386" spans="1:6">
      <c r="A16386" t="n">
        <v>156089</v>
      </c>
      <c r="B16386" s="10" t="n">
        <v>5</v>
      </c>
      <c r="C16386" s="7" t="n">
        <v>28</v>
      </c>
      <c r="D16386" s="20" t="s">
        <v>3</v>
      </c>
      <c r="E16386" s="8" t="n">
        <v>162</v>
      </c>
      <c r="F16386" s="7" t="n">
        <v>3</v>
      </c>
      <c r="G16386" s="7" t="n">
        <v>33154</v>
      </c>
      <c r="H16386" s="20" t="s">
        <v>3</v>
      </c>
      <c r="I16386" s="7" t="n">
        <v>0</v>
      </c>
      <c r="J16386" s="7" t="n">
        <v>1</v>
      </c>
      <c r="K16386" s="7" t="n">
        <v>2</v>
      </c>
      <c r="L16386" s="7" t="n">
        <v>28</v>
      </c>
      <c r="M16386" s="20" t="s">
        <v>3</v>
      </c>
      <c r="N16386" s="8" t="n">
        <v>162</v>
      </c>
      <c r="O16386" s="7" t="n">
        <v>3</v>
      </c>
      <c r="P16386" s="7" t="n">
        <v>33154</v>
      </c>
      <c r="Q16386" s="20" t="s">
        <v>3</v>
      </c>
      <c r="R16386" s="7" t="n">
        <v>0</v>
      </c>
      <c r="S16386" s="7" t="n">
        <v>2</v>
      </c>
      <c r="T16386" s="7" t="n">
        <v>2</v>
      </c>
      <c r="U16386" s="7" t="n">
        <v>11</v>
      </c>
      <c r="V16386" s="7" t="n">
        <v>1</v>
      </c>
      <c r="W16386" s="11" t="n">
        <f t="normal" ca="1">A16390</f>
        <v>0</v>
      </c>
    </row>
    <row r="16387" spans="1:6">
      <c r="A16387" t="s">
        <v>4</v>
      </c>
      <c r="B16387" s="4" t="s">
        <v>5</v>
      </c>
      <c r="C16387" s="4" t="s">
        <v>7</v>
      </c>
      <c r="D16387" s="4" t="s">
        <v>11</v>
      </c>
      <c r="E16387" s="4" t="s">
        <v>13</v>
      </c>
    </row>
    <row r="16388" spans="1:6">
      <c r="A16388" t="n">
        <v>156118</v>
      </c>
      <c r="B16388" s="23" t="n">
        <v>58</v>
      </c>
      <c r="C16388" s="7" t="n">
        <v>0</v>
      </c>
      <c r="D16388" s="7" t="n">
        <v>0</v>
      </c>
      <c r="E16388" s="7" t="n">
        <v>1</v>
      </c>
    </row>
    <row r="16389" spans="1:6">
      <c r="A16389" t="s">
        <v>4</v>
      </c>
      <c r="B16389" s="4" t="s">
        <v>5</v>
      </c>
      <c r="C16389" s="4" t="s">
        <v>7</v>
      </c>
      <c r="D16389" s="20" t="s">
        <v>35</v>
      </c>
      <c r="E16389" s="4" t="s">
        <v>5</v>
      </c>
      <c r="F16389" s="4" t="s">
        <v>7</v>
      </c>
      <c r="G16389" s="4" t="s">
        <v>11</v>
      </c>
      <c r="H16389" s="20" t="s">
        <v>36</v>
      </c>
      <c r="I16389" s="4" t="s">
        <v>7</v>
      </c>
      <c r="J16389" s="4" t="s">
        <v>15</v>
      </c>
      <c r="K16389" s="4" t="s">
        <v>7</v>
      </c>
      <c r="L16389" s="4" t="s">
        <v>7</v>
      </c>
      <c r="M16389" s="20" t="s">
        <v>35</v>
      </c>
      <c r="N16389" s="4" t="s">
        <v>5</v>
      </c>
      <c r="O16389" s="4" t="s">
        <v>7</v>
      </c>
      <c r="P16389" s="4" t="s">
        <v>11</v>
      </c>
      <c r="Q16389" s="20" t="s">
        <v>36</v>
      </c>
      <c r="R16389" s="4" t="s">
        <v>7</v>
      </c>
      <c r="S16389" s="4" t="s">
        <v>15</v>
      </c>
      <c r="T16389" s="4" t="s">
        <v>7</v>
      </c>
      <c r="U16389" s="4" t="s">
        <v>7</v>
      </c>
      <c r="V16389" s="4" t="s">
        <v>7</v>
      </c>
      <c r="W16389" s="4" t="s">
        <v>12</v>
      </c>
    </row>
    <row r="16390" spans="1:6">
      <c r="A16390" t="n">
        <v>156126</v>
      </c>
      <c r="B16390" s="10" t="n">
        <v>5</v>
      </c>
      <c r="C16390" s="7" t="n">
        <v>28</v>
      </c>
      <c r="D16390" s="20" t="s">
        <v>3</v>
      </c>
      <c r="E16390" s="8" t="n">
        <v>162</v>
      </c>
      <c r="F16390" s="7" t="n">
        <v>3</v>
      </c>
      <c r="G16390" s="7" t="n">
        <v>33154</v>
      </c>
      <c r="H16390" s="20" t="s">
        <v>3</v>
      </c>
      <c r="I16390" s="7" t="n">
        <v>0</v>
      </c>
      <c r="J16390" s="7" t="n">
        <v>1</v>
      </c>
      <c r="K16390" s="7" t="n">
        <v>3</v>
      </c>
      <c r="L16390" s="7" t="n">
        <v>28</v>
      </c>
      <c r="M16390" s="20" t="s">
        <v>3</v>
      </c>
      <c r="N16390" s="8" t="n">
        <v>162</v>
      </c>
      <c r="O16390" s="7" t="n">
        <v>3</v>
      </c>
      <c r="P16390" s="7" t="n">
        <v>33154</v>
      </c>
      <c r="Q16390" s="20" t="s">
        <v>3</v>
      </c>
      <c r="R16390" s="7" t="n">
        <v>0</v>
      </c>
      <c r="S16390" s="7" t="n">
        <v>2</v>
      </c>
      <c r="T16390" s="7" t="n">
        <v>3</v>
      </c>
      <c r="U16390" s="7" t="n">
        <v>9</v>
      </c>
      <c r="V16390" s="7" t="n">
        <v>1</v>
      </c>
      <c r="W16390" s="11" t="n">
        <f t="normal" ca="1">A16400</f>
        <v>0</v>
      </c>
    </row>
    <row r="16391" spans="1:6">
      <c r="A16391" t="s">
        <v>4</v>
      </c>
      <c r="B16391" s="4" t="s">
        <v>5</v>
      </c>
      <c r="C16391" s="4" t="s">
        <v>7</v>
      </c>
      <c r="D16391" s="20" t="s">
        <v>35</v>
      </c>
      <c r="E16391" s="4" t="s">
        <v>5</v>
      </c>
      <c r="F16391" s="4" t="s">
        <v>11</v>
      </c>
      <c r="G16391" s="4" t="s">
        <v>7</v>
      </c>
      <c r="H16391" s="4" t="s">
        <v>7</v>
      </c>
      <c r="I16391" s="4" t="s">
        <v>8</v>
      </c>
      <c r="J16391" s="20" t="s">
        <v>36</v>
      </c>
      <c r="K16391" s="4" t="s">
        <v>7</v>
      </c>
      <c r="L16391" s="4" t="s">
        <v>7</v>
      </c>
      <c r="M16391" s="20" t="s">
        <v>35</v>
      </c>
      <c r="N16391" s="4" t="s">
        <v>5</v>
      </c>
      <c r="O16391" s="4" t="s">
        <v>7</v>
      </c>
      <c r="P16391" s="20" t="s">
        <v>36</v>
      </c>
      <c r="Q16391" s="4" t="s">
        <v>7</v>
      </c>
      <c r="R16391" s="4" t="s">
        <v>15</v>
      </c>
      <c r="S16391" s="4" t="s">
        <v>7</v>
      </c>
      <c r="T16391" s="4" t="s">
        <v>7</v>
      </c>
      <c r="U16391" s="4" t="s">
        <v>7</v>
      </c>
      <c r="V16391" s="20" t="s">
        <v>35</v>
      </c>
      <c r="W16391" s="4" t="s">
        <v>5</v>
      </c>
      <c r="X16391" s="4" t="s">
        <v>7</v>
      </c>
      <c r="Y16391" s="20" t="s">
        <v>36</v>
      </c>
      <c r="Z16391" s="4" t="s">
        <v>7</v>
      </c>
      <c r="AA16391" s="4" t="s">
        <v>15</v>
      </c>
      <c r="AB16391" s="4" t="s">
        <v>7</v>
      </c>
      <c r="AC16391" s="4" t="s">
        <v>7</v>
      </c>
      <c r="AD16391" s="4" t="s">
        <v>7</v>
      </c>
      <c r="AE16391" s="4" t="s">
        <v>12</v>
      </c>
    </row>
    <row r="16392" spans="1:6">
      <c r="A16392" t="n">
        <v>156155</v>
      </c>
      <c r="B16392" s="10" t="n">
        <v>5</v>
      </c>
      <c r="C16392" s="7" t="n">
        <v>28</v>
      </c>
      <c r="D16392" s="20" t="s">
        <v>3</v>
      </c>
      <c r="E16392" s="41" t="n">
        <v>47</v>
      </c>
      <c r="F16392" s="7" t="n">
        <v>61456</v>
      </c>
      <c r="G16392" s="7" t="n">
        <v>2</v>
      </c>
      <c r="H16392" s="7" t="n">
        <v>0</v>
      </c>
      <c r="I16392" s="7" t="s">
        <v>105</v>
      </c>
      <c r="J16392" s="20" t="s">
        <v>3</v>
      </c>
      <c r="K16392" s="7" t="n">
        <v>8</v>
      </c>
      <c r="L16392" s="7" t="n">
        <v>28</v>
      </c>
      <c r="M16392" s="20" t="s">
        <v>3</v>
      </c>
      <c r="N16392" s="45" t="n">
        <v>74</v>
      </c>
      <c r="O16392" s="7" t="n">
        <v>65</v>
      </c>
      <c r="P16392" s="20" t="s">
        <v>3</v>
      </c>
      <c r="Q16392" s="7" t="n">
        <v>0</v>
      </c>
      <c r="R16392" s="7" t="n">
        <v>1</v>
      </c>
      <c r="S16392" s="7" t="n">
        <v>3</v>
      </c>
      <c r="T16392" s="7" t="n">
        <v>9</v>
      </c>
      <c r="U16392" s="7" t="n">
        <v>28</v>
      </c>
      <c r="V16392" s="20" t="s">
        <v>3</v>
      </c>
      <c r="W16392" s="45" t="n">
        <v>74</v>
      </c>
      <c r="X16392" s="7" t="n">
        <v>65</v>
      </c>
      <c r="Y16392" s="20" t="s">
        <v>3</v>
      </c>
      <c r="Z16392" s="7" t="n">
        <v>0</v>
      </c>
      <c r="AA16392" s="7" t="n">
        <v>2</v>
      </c>
      <c r="AB16392" s="7" t="n">
        <v>3</v>
      </c>
      <c r="AC16392" s="7" t="n">
        <v>9</v>
      </c>
      <c r="AD16392" s="7" t="n">
        <v>1</v>
      </c>
      <c r="AE16392" s="11" t="n">
        <f t="normal" ca="1">A16396</f>
        <v>0</v>
      </c>
    </row>
    <row r="16393" spans="1:6">
      <c r="A16393" t="s">
        <v>4</v>
      </c>
      <c r="B16393" s="4" t="s">
        <v>5</v>
      </c>
      <c r="C16393" s="4" t="s">
        <v>11</v>
      </c>
      <c r="D16393" s="4" t="s">
        <v>7</v>
      </c>
      <c r="E16393" s="4" t="s">
        <v>7</v>
      </c>
      <c r="F16393" s="4" t="s">
        <v>8</v>
      </c>
    </row>
    <row r="16394" spans="1:6">
      <c r="A16394" t="n">
        <v>156203</v>
      </c>
      <c r="B16394" s="41" t="n">
        <v>47</v>
      </c>
      <c r="C16394" s="7" t="n">
        <v>61456</v>
      </c>
      <c r="D16394" s="7" t="n">
        <v>0</v>
      </c>
      <c r="E16394" s="7" t="n">
        <v>0</v>
      </c>
      <c r="F16394" s="7" t="s">
        <v>106</v>
      </c>
    </row>
    <row r="16395" spans="1:6">
      <c r="A16395" t="s">
        <v>4</v>
      </c>
      <c r="B16395" s="4" t="s">
        <v>5</v>
      </c>
      <c r="C16395" s="4" t="s">
        <v>7</v>
      </c>
      <c r="D16395" s="4" t="s">
        <v>11</v>
      </c>
      <c r="E16395" s="4" t="s">
        <v>13</v>
      </c>
    </row>
    <row r="16396" spans="1:6">
      <c r="A16396" t="n">
        <v>156216</v>
      </c>
      <c r="B16396" s="23" t="n">
        <v>58</v>
      </c>
      <c r="C16396" s="7" t="n">
        <v>0</v>
      </c>
      <c r="D16396" s="7" t="n">
        <v>300</v>
      </c>
      <c r="E16396" s="7" t="n">
        <v>1</v>
      </c>
    </row>
    <row r="16397" spans="1:6">
      <c r="A16397" t="s">
        <v>4</v>
      </c>
      <c r="B16397" s="4" t="s">
        <v>5</v>
      </c>
      <c r="C16397" s="4" t="s">
        <v>7</v>
      </c>
      <c r="D16397" s="4" t="s">
        <v>11</v>
      </c>
    </row>
    <row r="16398" spans="1:6">
      <c r="A16398" t="n">
        <v>156224</v>
      </c>
      <c r="B16398" s="23" t="n">
        <v>58</v>
      </c>
      <c r="C16398" s="7" t="n">
        <v>255</v>
      </c>
      <c r="D16398" s="7" t="n">
        <v>0</v>
      </c>
    </row>
    <row r="16399" spans="1:6">
      <c r="A16399" t="s">
        <v>4</v>
      </c>
      <c r="B16399" s="4" t="s">
        <v>5</v>
      </c>
      <c r="C16399" s="4" t="s">
        <v>7</v>
      </c>
      <c r="D16399" s="4" t="s">
        <v>7</v>
      </c>
      <c r="E16399" s="4" t="s">
        <v>7</v>
      </c>
      <c r="F16399" s="4" t="s">
        <v>7</v>
      </c>
    </row>
    <row r="16400" spans="1:6">
      <c r="A16400" t="n">
        <v>156228</v>
      </c>
      <c r="B16400" s="9" t="n">
        <v>14</v>
      </c>
      <c r="C16400" s="7" t="n">
        <v>0</v>
      </c>
      <c r="D16400" s="7" t="n">
        <v>0</v>
      </c>
      <c r="E16400" s="7" t="n">
        <v>0</v>
      </c>
      <c r="F16400" s="7" t="n">
        <v>64</v>
      </c>
    </row>
    <row r="16401" spans="1:31">
      <c r="A16401" t="s">
        <v>4</v>
      </c>
      <c r="B16401" s="4" t="s">
        <v>5</v>
      </c>
      <c r="C16401" s="4" t="s">
        <v>7</v>
      </c>
      <c r="D16401" s="4" t="s">
        <v>11</v>
      </c>
    </row>
    <row r="16402" spans="1:31">
      <c r="A16402" t="n">
        <v>156233</v>
      </c>
      <c r="B16402" s="22" t="n">
        <v>22</v>
      </c>
      <c r="C16402" s="7" t="n">
        <v>0</v>
      </c>
      <c r="D16402" s="7" t="n">
        <v>33154</v>
      </c>
    </row>
    <row r="16403" spans="1:31">
      <c r="A16403" t="s">
        <v>4</v>
      </c>
      <c r="B16403" s="4" t="s">
        <v>5</v>
      </c>
      <c r="C16403" s="4" t="s">
        <v>7</v>
      </c>
      <c r="D16403" s="4" t="s">
        <v>11</v>
      </c>
    </row>
    <row r="16404" spans="1:31">
      <c r="A16404" t="n">
        <v>156237</v>
      </c>
      <c r="B16404" s="23" t="n">
        <v>58</v>
      </c>
      <c r="C16404" s="7" t="n">
        <v>5</v>
      </c>
      <c r="D16404" s="7" t="n">
        <v>300</v>
      </c>
    </row>
    <row r="16405" spans="1:31">
      <c r="A16405" t="s">
        <v>4</v>
      </c>
      <c r="B16405" s="4" t="s">
        <v>5</v>
      </c>
      <c r="C16405" s="4" t="s">
        <v>13</v>
      </c>
      <c r="D16405" s="4" t="s">
        <v>11</v>
      </c>
    </row>
    <row r="16406" spans="1:31">
      <c r="A16406" t="n">
        <v>156241</v>
      </c>
      <c r="B16406" s="46" t="n">
        <v>103</v>
      </c>
      <c r="C16406" s="7" t="n">
        <v>0</v>
      </c>
      <c r="D16406" s="7" t="n">
        <v>300</v>
      </c>
    </row>
    <row r="16407" spans="1:31">
      <c r="A16407" t="s">
        <v>4</v>
      </c>
      <c r="B16407" s="4" t="s">
        <v>5</v>
      </c>
      <c r="C16407" s="4" t="s">
        <v>7</v>
      </c>
    </row>
    <row r="16408" spans="1:31">
      <c r="A16408" t="n">
        <v>156248</v>
      </c>
      <c r="B16408" s="47" t="n">
        <v>64</v>
      </c>
      <c r="C16408" s="7" t="n">
        <v>7</v>
      </c>
    </row>
    <row r="16409" spans="1:31">
      <c r="A16409" t="s">
        <v>4</v>
      </c>
      <c r="B16409" s="4" t="s">
        <v>5</v>
      </c>
      <c r="C16409" s="4" t="s">
        <v>7</v>
      </c>
      <c r="D16409" s="4" t="s">
        <v>11</v>
      </c>
    </row>
    <row r="16410" spans="1:31">
      <c r="A16410" t="n">
        <v>156250</v>
      </c>
      <c r="B16410" s="48" t="n">
        <v>72</v>
      </c>
      <c r="C16410" s="7" t="n">
        <v>5</v>
      </c>
      <c r="D16410" s="7" t="n">
        <v>0</v>
      </c>
    </row>
    <row r="16411" spans="1:31">
      <c r="A16411" t="s">
        <v>4</v>
      </c>
      <c r="B16411" s="4" t="s">
        <v>5</v>
      </c>
      <c r="C16411" s="4" t="s">
        <v>7</v>
      </c>
      <c r="D16411" s="20" t="s">
        <v>35</v>
      </c>
      <c r="E16411" s="4" t="s">
        <v>5</v>
      </c>
      <c r="F16411" s="4" t="s">
        <v>7</v>
      </c>
      <c r="G16411" s="4" t="s">
        <v>11</v>
      </c>
      <c r="H16411" s="20" t="s">
        <v>36</v>
      </c>
      <c r="I16411" s="4" t="s">
        <v>7</v>
      </c>
      <c r="J16411" s="4" t="s">
        <v>15</v>
      </c>
      <c r="K16411" s="4" t="s">
        <v>7</v>
      </c>
      <c r="L16411" s="4" t="s">
        <v>7</v>
      </c>
      <c r="M16411" s="4" t="s">
        <v>12</v>
      </c>
    </row>
    <row r="16412" spans="1:31">
      <c r="A16412" t="n">
        <v>156254</v>
      </c>
      <c r="B16412" s="10" t="n">
        <v>5</v>
      </c>
      <c r="C16412" s="7" t="n">
        <v>28</v>
      </c>
      <c r="D16412" s="20" t="s">
        <v>3</v>
      </c>
      <c r="E16412" s="8" t="n">
        <v>162</v>
      </c>
      <c r="F16412" s="7" t="n">
        <v>4</v>
      </c>
      <c r="G16412" s="7" t="n">
        <v>33154</v>
      </c>
      <c r="H16412" s="20" t="s">
        <v>3</v>
      </c>
      <c r="I16412" s="7" t="n">
        <v>0</v>
      </c>
      <c r="J16412" s="7" t="n">
        <v>1</v>
      </c>
      <c r="K16412" s="7" t="n">
        <v>2</v>
      </c>
      <c r="L16412" s="7" t="n">
        <v>1</v>
      </c>
      <c r="M16412" s="11" t="n">
        <f t="normal" ca="1">A16418</f>
        <v>0</v>
      </c>
    </row>
    <row r="16413" spans="1:31">
      <c r="A16413" t="s">
        <v>4</v>
      </c>
      <c r="B16413" s="4" t="s">
        <v>5</v>
      </c>
      <c r="C16413" s="4" t="s">
        <v>7</v>
      </c>
      <c r="D16413" s="4" t="s">
        <v>8</v>
      </c>
    </row>
    <row r="16414" spans="1:31">
      <c r="A16414" t="n">
        <v>156271</v>
      </c>
      <c r="B16414" s="6" t="n">
        <v>2</v>
      </c>
      <c r="C16414" s="7" t="n">
        <v>10</v>
      </c>
      <c r="D16414" s="7" t="s">
        <v>107</v>
      </c>
    </row>
    <row r="16415" spans="1:31">
      <c r="A16415" t="s">
        <v>4</v>
      </c>
      <c r="B16415" s="4" t="s">
        <v>5</v>
      </c>
      <c r="C16415" s="4" t="s">
        <v>11</v>
      </c>
    </row>
    <row r="16416" spans="1:31">
      <c r="A16416" t="n">
        <v>156288</v>
      </c>
      <c r="B16416" s="29" t="n">
        <v>16</v>
      </c>
      <c r="C16416" s="7" t="n">
        <v>0</v>
      </c>
    </row>
    <row r="16417" spans="1:13">
      <c r="A16417" t="s">
        <v>4</v>
      </c>
      <c r="B16417" s="4" t="s">
        <v>5</v>
      </c>
      <c r="C16417" s="4" t="s">
        <v>11</v>
      </c>
      <c r="D16417" s="4" t="s">
        <v>7</v>
      </c>
      <c r="E16417" s="4" t="s">
        <v>7</v>
      </c>
      <c r="F16417" s="4" t="s">
        <v>8</v>
      </c>
    </row>
    <row r="16418" spans="1:13">
      <c r="A16418" t="n">
        <v>156291</v>
      </c>
      <c r="B16418" s="50" t="n">
        <v>20</v>
      </c>
      <c r="C16418" s="7" t="n">
        <v>0</v>
      </c>
      <c r="D16418" s="7" t="n">
        <v>3</v>
      </c>
      <c r="E16418" s="7" t="n">
        <v>10</v>
      </c>
      <c r="F16418" s="7" t="s">
        <v>108</v>
      </c>
    </row>
    <row r="16419" spans="1:13">
      <c r="A16419" t="s">
        <v>4</v>
      </c>
      <c r="B16419" s="4" t="s">
        <v>5</v>
      </c>
      <c r="C16419" s="4" t="s">
        <v>11</v>
      </c>
    </row>
    <row r="16420" spans="1:13">
      <c r="A16420" t="n">
        <v>156309</v>
      </c>
      <c r="B16420" s="29" t="n">
        <v>16</v>
      </c>
      <c r="C16420" s="7" t="n">
        <v>0</v>
      </c>
    </row>
    <row r="16421" spans="1:13">
      <c r="A16421" t="s">
        <v>4</v>
      </c>
      <c r="B16421" s="4" t="s">
        <v>5</v>
      </c>
      <c r="C16421" s="4" t="s">
        <v>11</v>
      </c>
      <c r="D16421" s="4" t="s">
        <v>7</v>
      </c>
      <c r="E16421" s="4" t="s">
        <v>7</v>
      </c>
      <c r="F16421" s="4" t="s">
        <v>8</v>
      </c>
    </row>
    <row r="16422" spans="1:13">
      <c r="A16422" t="n">
        <v>156312</v>
      </c>
      <c r="B16422" s="50" t="n">
        <v>20</v>
      </c>
      <c r="C16422" s="7" t="n">
        <v>6</v>
      </c>
      <c r="D16422" s="7" t="n">
        <v>3</v>
      </c>
      <c r="E16422" s="7" t="n">
        <v>10</v>
      </c>
      <c r="F16422" s="7" t="s">
        <v>108</v>
      </c>
    </row>
    <row r="16423" spans="1:13">
      <c r="A16423" t="s">
        <v>4</v>
      </c>
      <c r="B16423" s="4" t="s">
        <v>5</v>
      </c>
      <c r="C16423" s="4" t="s">
        <v>11</v>
      </c>
    </row>
    <row r="16424" spans="1:13">
      <c r="A16424" t="n">
        <v>156330</v>
      </c>
      <c r="B16424" s="29" t="n">
        <v>16</v>
      </c>
      <c r="C16424" s="7" t="n">
        <v>0</v>
      </c>
    </row>
    <row r="16425" spans="1:13">
      <c r="A16425" t="s">
        <v>4</v>
      </c>
      <c r="B16425" s="4" t="s">
        <v>5</v>
      </c>
      <c r="C16425" s="4" t="s">
        <v>7</v>
      </c>
      <c r="D16425" s="4" t="s">
        <v>11</v>
      </c>
      <c r="E16425" s="4" t="s">
        <v>7</v>
      </c>
      <c r="F16425" s="4" t="s">
        <v>8</v>
      </c>
      <c r="G16425" s="4" t="s">
        <v>8</v>
      </c>
      <c r="H16425" s="4" t="s">
        <v>8</v>
      </c>
      <c r="I16425" s="4" t="s">
        <v>8</v>
      </c>
      <c r="J16425" s="4" t="s">
        <v>8</v>
      </c>
      <c r="K16425" s="4" t="s">
        <v>8</v>
      </c>
      <c r="L16425" s="4" t="s">
        <v>8</v>
      </c>
      <c r="M16425" s="4" t="s">
        <v>8</v>
      </c>
      <c r="N16425" s="4" t="s">
        <v>8</v>
      </c>
      <c r="O16425" s="4" t="s">
        <v>8</v>
      </c>
      <c r="P16425" s="4" t="s">
        <v>8</v>
      </c>
      <c r="Q16425" s="4" t="s">
        <v>8</v>
      </c>
      <c r="R16425" s="4" t="s">
        <v>8</v>
      </c>
      <c r="S16425" s="4" t="s">
        <v>8</v>
      </c>
      <c r="T16425" s="4" t="s">
        <v>8</v>
      </c>
      <c r="U16425" s="4" t="s">
        <v>8</v>
      </c>
    </row>
    <row r="16426" spans="1:13">
      <c r="A16426" t="n">
        <v>156333</v>
      </c>
      <c r="B16426" s="40" t="n">
        <v>36</v>
      </c>
      <c r="C16426" s="7" t="n">
        <v>8</v>
      </c>
      <c r="D16426" s="7" t="n">
        <v>6</v>
      </c>
      <c r="E16426" s="7" t="n">
        <v>0</v>
      </c>
      <c r="F16426" s="7" t="s">
        <v>230</v>
      </c>
      <c r="G16426" s="7" t="s">
        <v>89</v>
      </c>
      <c r="H16426" s="7" t="s">
        <v>16</v>
      </c>
      <c r="I16426" s="7" t="s">
        <v>16</v>
      </c>
      <c r="J16426" s="7" t="s">
        <v>16</v>
      </c>
      <c r="K16426" s="7" t="s">
        <v>16</v>
      </c>
      <c r="L16426" s="7" t="s">
        <v>16</v>
      </c>
      <c r="M16426" s="7" t="s">
        <v>16</v>
      </c>
      <c r="N16426" s="7" t="s">
        <v>16</v>
      </c>
      <c r="O16426" s="7" t="s">
        <v>16</v>
      </c>
      <c r="P16426" s="7" t="s">
        <v>16</v>
      </c>
      <c r="Q16426" s="7" t="s">
        <v>16</v>
      </c>
      <c r="R16426" s="7" t="s">
        <v>16</v>
      </c>
      <c r="S16426" s="7" t="s">
        <v>16</v>
      </c>
      <c r="T16426" s="7" t="s">
        <v>16</v>
      </c>
      <c r="U16426" s="7" t="s">
        <v>16</v>
      </c>
    </row>
    <row r="16427" spans="1:13">
      <c r="A16427" t="s">
        <v>4</v>
      </c>
      <c r="B16427" s="4" t="s">
        <v>5</v>
      </c>
      <c r="C16427" s="4" t="s">
        <v>7</v>
      </c>
    </row>
    <row r="16428" spans="1:13">
      <c r="A16428" t="n">
        <v>156379</v>
      </c>
      <c r="B16428" s="49" t="n">
        <v>116</v>
      </c>
      <c r="C16428" s="7" t="n">
        <v>0</v>
      </c>
    </row>
    <row r="16429" spans="1:13">
      <c r="A16429" t="s">
        <v>4</v>
      </c>
      <c r="B16429" s="4" t="s">
        <v>5</v>
      </c>
      <c r="C16429" s="4" t="s">
        <v>7</v>
      </c>
      <c r="D16429" s="4" t="s">
        <v>11</v>
      </c>
    </row>
    <row r="16430" spans="1:13">
      <c r="A16430" t="n">
        <v>156381</v>
      </c>
      <c r="B16430" s="49" t="n">
        <v>116</v>
      </c>
      <c r="C16430" s="7" t="n">
        <v>2</v>
      </c>
      <c r="D16430" s="7" t="n">
        <v>1</v>
      </c>
    </row>
    <row r="16431" spans="1:13">
      <c r="A16431" t="s">
        <v>4</v>
      </c>
      <c r="B16431" s="4" t="s">
        <v>5</v>
      </c>
      <c r="C16431" s="4" t="s">
        <v>7</v>
      </c>
      <c r="D16431" s="4" t="s">
        <v>15</v>
      </c>
    </row>
    <row r="16432" spans="1:13">
      <c r="A16432" t="n">
        <v>156385</v>
      </c>
      <c r="B16432" s="49" t="n">
        <v>116</v>
      </c>
      <c r="C16432" s="7" t="n">
        <v>5</v>
      </c>
      <c r="D16432" s="7" t="n">
        <v>1088421888</v>
      </c>
    </row>
    <row r="16433" spans="1:21">
      <c r="A16433" t="s">
        <v>4</v>
      </c>
      <c r="B16433" s="4" t="s">
        <v>5</v>
      </c>
      <c r="C16433" s="4" t="s">
        <v>7</v>
      </c>
      <c r="D16433" s="4" t="s">
        <v>11</v>
      </c>
    </row>
    <row r="16434" spans="1:21">
      <c r="A16434" t="n">
        <v>156391</v>
      </c>
      <c r="B16434" s="49" t="n">
        <v>116</v>
      </c>
      <c r="C16434" s="7" t="n">
        <v>6</v>
      </c>
      <c r="D16434" s="7" t="n">
        <v>1</v>
      </c>
    </row>
    <row r="16435" spans="1:21">
      <c r="A16435" t="s">
        <v>4</v>
      </c>
      <c r="B16435" s="4" t="s">
        <v>5</v>
      </c>
      <c r="C16435" s="4" t="s">
        <v>11</v>
      </c>
      <c r="D16435" s="4" t="s">
        <v>13</v>
      </c>
      <c r="E16435" s="4" t="s">
        <v>13</v>
      </c>
      <c r="F16435" s="4" t="s">
        <v>13</v>
      </c>
      <c r="G16435" s="4" t="s">
        <v>13</v>
      </c>
    </row>
    <row r="16436" spans="1:21">
      <c r="A16436" t="n">
        <v>156395</v>
      </c>
      <c r="B16436" s="36" t="n">
        <v>46</v>
      </c>
      <c r="C16436" s="7" t="n">
        <v>0</v>
      </c>
      <c r="D16436" s="7" t="n">
        <v>6.28999996185303</v>
      </c>
      <c r="E16436" s="7" t="n">
        <v>5.01000022888184</v>
      </c>
      <c r="F16436" s="7" t="n">
        <v>54.5200004577637</v>
      </c>
      <c r="G16436" s="7" t="n">
        <v>126.5</v>
      </c>
    </row>
    <row r="16437" spans="1:21">
      <c r="A16437" t="s">
        <v>4</v>
      </c>
      <c r="B16437" s="4" t="s">
        <v>5</v>
      </c>
      <c r="C16437" s="4" t="s">
        <v>11</v>
      </c>
    </row>
    <row r="16438" spans="1:21">
      <c r="A16438" t="n">
        <v>156414</v>
      </c>
      <c r="B16438" s="29" t="n">
        <v>16</v>
      </c>
      <c r="C16438" s="7" t="n">
        <v>0</v>
      </c>
    </row>
    <row r="16439" spans="1:21">
      <c r="A16439" t="s">
        <v>4</v>
      </c>
      <c r="B16439" s="4" t="s">
        <v>5</v>
      </c>
      <c r="C16439" s="4" t="s">
        <v>11</v>
      </c>
      <c r="D16439" s="4" t="s">
        <v>11</v>
      </c>
      <c r="E16439" s="4" t="s">
        <v>11</v>
      </c>
    </row>
    <row r="16440" spans="1:21">
      <c r="A16440" t="n">
        <v>156417</v>
      </c>
      <c r="B16440" s="72" t="n">
        <v>61</v>
      </c>
      <c r="C16440" s="7" t="n">
        <v>0</v>
      </c>
      <c r="D16440" s="7" t="n">
        <v>6</v>
      </c>
      <c r="E16440" s="7" t="n">
        <v>0</v>
      </c>
    </row>
    <row r="16441" spans="1:21">
      <c r="A16441" t="s">
        <v>4</v>
      </c>
      <c r="B16441" s="4" t="s">
        <v>5</v>
      </c>
      <c r="C16441" s="4" t="s">
        <v>11</v>
      </c>
      <c r="D16441" s="4" t="s">
        <v>7</v>
      </c>
      <c r="E16441" s="4" t="s">
        <v>8</v>
      </c>
      <c r="F16441" s="4" t="s">
        <v>13</v>
      </c>
      <c r="G16441" s="4" t="s">
        <v>13</v>
      </c>
      <c r="H16441" s="4" t="s">
        <v>13</v>
      </c>
    </row>
    <row r="16442" spans="1:21">
      <c r="A16442" t="n">
        <v>156424</v>
      </c>
      <c r="B16442" s="42" t="n">
        <v>48</v>
      </c>
      <c r="C16442" s="7" t="n">
        <v>0</v>
      </c>
      <c r="D16442" s="7" t="n">
        <v>0</v>
      </c>
      <c r="E16442" s="7" t="s">
        <v>275</v>
      </c>
      <c r="F16442" s="7" t="n">
        <v>0</v>
      </c>
      <c r="G16442" s="7" t="n">
        <v>1</v>
      </c>
      <c r="H16442" s="7" t="n">
        <v>0</v>
      </c>
    </row>
    <row r="16443" spans="1:21">
      <c r="A16443" t="s">
        <v>4</v>
      </c>
      <c r="B16443" s="4" t="s">
        <v>5</v>
      </c>
      <c r="C16443" s="4" t="s">
        <v>11</v>
      </c>
      <c r="D16443" s="4" t="s">
        <v>7</v>
      </c>
      <c r="E16443" s="4" t="s">
        <v>8</v>
      </c>
      <c r="F16443" s="4" t="s">
        <v>13</v>
      </c>
      <c r="G16443" s="4" t="s">
        <v>13</v>
      </c>
      <c r="H16443" s="4" t="s">
        <v>13</v>
      </c>
    </row>
    <row r="16444" spans="1:21">
      <c r="A16444" t="n">
        <v>156449</v>
      </c>
      <c r="B16444" s="42" t="n">
        <v>48</v>
      </c>
      <c r="C16444" s="7" t="n">
        <v>6</v>
      </c>
      <c r="D16444" s="7" t="n">
        <v>0</v>
      </c>
      <c r="E16444" s="7" t="s">
        <v>89</v>
      </c>
      <c r="F16444" s="7" t="n">
        <v>0</v>
      </c>
      <c r="G16444" s="7" t="n">
        <v>1</v>
      </c>
      <c r="H16444" s="7" t="n">
        <v>1.40129846432482e-45</v>
      </c>
    </row>
    <row r="16445" spans="1:21">
      <c r="A16445" t="s">
        <v>4</v>
      </c>
      <c r="B16445" s="4" t="s">
        <v>5</v>
      </c>
      <c r="C16445" s="4" t="s">
        <v>7</v>
      </c>
      <c r="D16445" s="4" t="s">
        <v>7</v>
      </c>
      <c r="E16445" s="4" t="s">
        <v>13</v>
      </c>
      <c r="F16445" s="4" t="s">
        <v>13</v>
      </c>
      <c r="G16445" s="4" t="s">
        <v>13</v>
      </c>
      <c r="H16445" s="4" t="s">
        <v>11</v>
      </c>
    </row>
    <row r="16446" spans="1:21">
      <c r="A16446" t="n">
        <v>156477</v>
      </c>
      <c r="B16446" s="51" t="n">
        <v>45</v>
      </c>
      <c r="C16446" s="7" t="n">
        <v>2</v>
      </c>
      <c r="D16446" s="7" t="n">
        <v>3</v>
      </c>
      <c r="E16446" s="7" t="n">
        <v>6.48000001907349</v>
      </c>
      <c r="F16446" s="7" t="n">
        <v>6.44000005722046</v>
      </c>
      <c r="G16446" s="7" t="n">
        <v>54.1800003051758</v>
      </c>
      <c r="H16446" s="7" t="n">
        <v>0</v>
      </c>
    </row>
    <row r="16447" spans="1:21">
      <c r="A16447" t="s">
        <v>4</v>
      </c>
      <c r="B16447" s="4" t="s">
        <v>5</v>
      </c>
      <c r="C16447" s="4" t="s">
        <v>7</v>
      </c>
      <c r="D16447" s="4" t="s">
        <v>7</v>
      </c>
      <c r="E16447" s="4" t="s">
        <v>13</v>
      </c>
      <c r="F16447" s="4" t="s">
        <v>13</v>
      </c>
      <c r="G16447" s="4" t="s">
        <v>13</v>
      </c>
      <c r="H16447" s="4" t="s">
        <v>11</v>
      </c>
      <c r="I16447" s="4" t="s">
        <v>7</v>
      </c>
    </row>
    <row r="16448" spans="1:21">
      <c r="A16448" t="n">
        <v>156494</v>
      </c>
      <c r="B16448" s="51" t="n">
        <v>45</v>
      </c>
      <c r="C16448" s="7" t="n">
        <v>4</v>
      </c>
      <c r="D16448" s="7" t="n">
        <v>3</v>
      </c>
      <c r="E16448" s="7" t="n">
        <v>8.52000045776367</v>
      </c>
      <c r="F16448" s="7" t="n">
        <v>260.510009765625</v>
      </c>
      <c r="G16448" s="7" t="n">
        <v>0</v>
      </c>
      <c r="H16448" s="7" t="n">
        <v>0</v>
      </c>
      <c r="I16448" s="7" t="n">
        <v>0</v>
      </c>
    </row>
    <row r="16449" spans="1:9">
      <c r="A16449" t="s">
        <v>4</v>
      </c>
      <c r="B16449" s="4" t="s">
        <v>5</v>
      </c>
      <c r="C16449" s="4" t="s">
        <v>7</v>
      </c>
      <c r="D16449" s="4" t="s">
        <v>7</v>
      </c>
      <c r="E16449" s="4" t="s">
        <v>13</v>
      </c>
      <c r="F16449" s="4" t="s">
        <v>11</v>
      </c>
    </row>
    <row r="16450" spans="1:9">
      <c r="A16450" t="n">
        <v>156512</v>
      </c>
      <c r="B16450" s="51" t="n">
        <v>45</v>
      </c>
      <c r="C16450" s="7" t="n">
        <v>5</v>
      </c>
      <c r="D16450" s="7" t="n">
        <v>3</v>
      </c>
      <c r="E16450" s="7" t="n">
        <v>1.89999997615814</v>
      </c>
      <c r="F16450" s="7" t="n">
        <v>0</v>
      </c>
    </row>
    <row r="16451" spans="1:9">
      <c r="A16451" t="s">
        <v>4</v>
      </c>
      <c r="B16451" s="4" t="s">
        <v>5</v>
      </c>
      <c r="C16451" s="4" t="s">
        <v>7</v>
      </c>
      <c r="D16451" s="4" t="s">
        <v>7</v>
      </c>
      <c r="E16451" s="4" t="s">
        <v>13</v>
      </c>
      <c r="F16451" s="4" t="s">
        <v>11</v>
      </c>
    </row>
    <row r="16452" spans="1:9">
      <c r="A16452" t="n">
        <v>156521</v>
      </c>
      <c r="B16452" s="51" t="n">
        <v>45</v>
      </c>
      <c r="C16452" s="7" t="n">
        <v>11</v>
      </c>
      <c r="D16452" s="7" t="n">
        <v>3</v>
      </c>
      <c r="E16452" s="7" t="n">
        <v>33.5</v>
      </c>
      <c r="F16452" s="7" t="n">
        <v>0</v>
      </c>
    </row>
    <row r="16453" spans="1:9">
      <c r="A16453" t="s">
        <v>4</v>
      </c>
      <c r="B16453" s="4" t="s">
        <v>5</v>
      </c>
      <c r="C16453" s="4" t="s">
        <v>7</v>
      </c>
      <c r="D16453" s="4" t="s">
        <v>7</v>
      </c>
      <c r="E16453" s="4" t="s">
        <v>13</v>
      </c>
      <c r="F16453" s="4" t="s">
        <v>11</v>
      </c>
    </row>
    <row r="16454" spans="1:9">
      <c r="A16454" t="n">
        <v>156530</v>
      </c>
      <c r="B16454" s="51" t="n">
        <v>45</v>
      </c>
      <c r="C16454" s="7" t="n">
        <v>5</v>
      </c>
      <c r="D16454" s="7" t="n">
        <v>3</v>
      </c>
      <c r="E16454" s="7" t="n">
        <v>1.60000002384186</v>
      </c>
      <c r="F16454" s="7" t="n">
        <v>3000</v>
      </c>
    </row>
    <row r="16455" spans="1:9">
      <c r="A16455" t="s">
        <v>4</v>
      </c>
      <c r="B16455" s="4" t="s">
        <v>5</v>
      </c>
      <c r="C16455" s="4" t="s">
        <v>7</v>
      </c>
      <c r="D16455" s="4" t="s">
        <v>11</v>
      </c>
      <c r="E16455" s="4" t="s">
        <v>13</v>
      </c>
    </row>
    <row r="16456" spans="1:9">
      <c r="A16456" t="n">
        <v>156539</v>
      </c>
      <c r="B16456" s="23" t="n">
        <v>58</v>
      </c>
      <c r="C16456" s="7" t="n">
        <v>100</v>
      </c>
      <c r="D16456" s="7" t="n">
        <v>1000</v>
      </c>
      <c r="E16456" s="7" t="n">
        <v>1</v>
      </c>
    </row>
    <row r="16457" spans="1:9">
      <c r="A16457" t="s">
        <v>4</v>
      </c>
      <c r="B16457" s="4" t="s">
        <v>5</v>
      </c>
      <c r="C16457" s="4" t="s">
        <v>7</v>
      </c>
      <c r="D16457" s="4" t="s">
        <v>11</v>
      </c>
    </row>
    <row r="16458" spans="1:9">
      <c r="A16458" t="n">
        <v>156547</v>
      </c>
      <c r="B16458" s="23" t="n">
        <v>58</v>
      </c>
      <c r="C16458" s="7" t="n">
        <v>255</v>
      </c>
      <c r="D16458" s="7" t="n">
        <v>0</v>
      </c>
    </row>
    <row r="16459" spans="1:9">
      <c r="A16459" t="s">
        <v>4</v>
      </c>
      <c r="B16459" s="4" t="s">
        <v>5</v>
      </c>
      <c r="C16459" s="4" t="s">
        <v>7</v>
      </c>
      <c r="D16459" s="4" t="s">
        <v>11</v>
      </c>
      <c r="E16459" s="4" t="s">
        <v>8</v>
      </c>
    </row>
    <row r="16460" spans="1:9">
      <c r="A16460" t="n">
        <v>156551</v>
      </c>
      <c r="B16460" s="38" t="n">
        <v>51</v>
      </c>
      <c r="C16460" s="7" t="n">
        <v>4</v>
      </c>
      <c r="D16460" s="7" t="n">
        <v>0</v>
      </c>
      <c r="E16460" s="7" t="s">
        <v>430</v>
      </c>
    </row>
    <row r="16461" spans="1:9">
      <c r="A16461" t="s">
        <v>4</v>
      </c>
      <c r="B16461" s="4" t="s">
        <v>5</v>
      </c>
      <c r="C16461" s="4" t="s">
        <v>11</v>
      </c>
    </row>
    <row r="16462" spans="1:9">
      <c r="A16462" t="n">
        <v>156564</v>
      </c>
      <c r="B16462" s="29" t="n">
        <v>16</v>
      </c>
      <c r="C16462" s="7" t="n">
        <v>0</v>
      </c>
    </row>
    <row r="16463" spans="1:9">
      <c r="A16463" t="s">
        <v>4</v>
      </c>
      <c r="B16463" s="4" t="s">
        <v>5</v>
      </c>
      <c r="C16463" s="4" t="s">
        <v>11</v>
      </c>
      <c r="D16463" s="4" t="s">
        <v>7</v>
      </c>
      <c r="E16463" s="4" t="s">
        <v>15</v>
      </c>
      <c r="F16463" s="4" t="s">
        <v>55</v>
      </c>
      <c r="G16463" s="4" t="s">
        <v>7</v>
      </c>
      <c r="H16463" s="4" t="s">
        <v>7</v>
      </c>
    </row>
    <row r="16464" spans="1:9">
      <c r="A16464" t="n">
        <v>156567</v>
      </c>
      <c r="B16464" s="55" t="n">
        <v>26</v>
      </c>
      <c r="C16464" s="7" t="n">
        <v>0</v>
      </c>
      <c r="D16464" s="7" t="n">
        <v>17</v>
      </c>
      <c r="E16464" s="7" t="n">
        <v>64354</v>
      </c>
      <c r="F16464" s="7" t="s">
        <v>1308</v>
      </c>
      <c r="G16464" s="7" t="n">
        <v>2</v>
      </c>
      <c r="H16464" s="7" t="n">
        <v>0</v>
      </c>
    </row>
    <row r="16465" spans="1:8">
      <c r="A16465" t="s">
        <v>4</v>
      </c>
      <c r="B16465" s="4" t="s">
        <v>5</v>
      </c>
    </row>
    <row r="16466" spans="1:8">
      <c r="A16466" t="n">
        <v>156613</v>
      </c>
      <c r="B16466" s="27" t="n">
        <v>28</v>
      </c>
    </row>
    <row r="16467" spans="1:8">
      <c r="A16467" t="s">
        <v>4</v>
      </c>
      <c r="B16467" s="4" t="s">
        <v>5</v>
      </c>
      <c r="C16467" s="4" t="s">
        <v>7</v>
      </c>
      <c r="D16467" s="4" t="s">
        <v>11</v>
      </c>
      <c r="E16467" s="4" t="s">
        <v>11</v>
      </c>
      <c r="F16467" s="4" t="s">
        <v>7</v>
      </c>
    </row>
    <row r="16468" spans="1:8">
      <c r="A16468" t="n">
        <v>156614</v>
      </c>
      <c r="B16468" s="31" t="n">
        <v>25</v>
      </c>
      <c r="C16468" s="7" t="n">
        <v>1</v>
      </c>
      <c r="D16468" s="7" t="n">
        <v>65535</v>
      </c>
      <c r="E16468" s="7" t="n">
        <v>65535</v>
      </c>
      <c r="F16468" s="7" t="n">
        <v>0</v>
      </c>
    </row>
    <row r="16469" spans="1:8">
      <c r="A16469" t="s">
        <v>4</v>
      </c>
      <c r="B16469" s="4" t="s">
        <v>5</v>
      </c>
      <c r="C16469" s="4" t="s">
        <v>11</v>
      </c>
      <c r="D16469" s="4" t="s">
        <v>7</v>
      </c>
      <c r="E16469" s="4" t="s">
        <v>13</v>
      </c>
      <c r="F16469" s="4" t="s">
        <v>11</v>
      </c>
    </row>
    <row r="16470" spans="1:8">
      <c r="A16470" t="n">
        <v>156621</v>
      </c>
      <c r="B16470" s="56" t="n">
        <v>59</v>
      </c>
      <c r="C16470" s="7" t="n">
        <v>6</v>
      </c>
      <c r="D16470" s="7" t="n">
        <v>13</v>
      </c>
      <c r="E16470" s="7" t="n">
        <v>0.150000005960464</v>
      </c>
      <c r="F16470" s="7" t="n">
        <v>0</v>
      </c>
    </row>
    <row r="16471" spans="1:8">
      <c r="A16471" t="s">
        <v>4</v>
      </c>
      <c r="B16471" s="4" t="s">
        <v>5</v>
      </c>
      <c r="C16471" s="4" t="s">
        <v>11</v>
      </c>
    </row>
    <row r="16472" spans="1:8">
      <c r="A16472" t="n">
        <v>156631</v>
      </c>
      <c r="B16472" s="29" t="n">
        <v>16</v>
      </c>
      <c r="C16472" s="7" t="n">
        <v>1000</v>
      </c>
    </row>
    <row r="16473" spans="1:8">
      <c r="A16473" t="s">
        <v>4</v>
      </c>
      <c r="B16473" s="4" t="s">
        <v>5</v>
      </c>
      <c r="C16473" s="4" t="s">
        <v>11</v>
      </c>
      <c r="D16473" s="4" t="s">
        <v>13</v>
      </c>
      <c r="E16473" s="4" t="s">
        <v>13</v>
      </c>
      <c r="F16473" s="4" t="s">
        <v>7</v>
      </c>
    </row>
    <row r="16474" spans="1:8">
      <c r="A16474" t="n">
        <v>156634</v>
      </c>
      <c r="B16474" s="65" t="n">
        <v>52</v>
      </c>
      <c r="C16474" s="7" t="n">
        <v>6</v>
      </c>
      <c r="D16474" s="7" t="n">
        <v>306.799987792969</v>
      </c>
      <c r="E16474" s="7" t="n">
        <v>5</v>
      </c>
      <c r="F16474" s="7" t="n">
        <v>0</v>
      </c>
    </row>
    <row r="16475" spans="1:8">
      <c r="A16475" t="s">
        <v>4</v>
      </c>
      <c r="B16475" s="4" t="s">
        <v>5</v>
      </c>
      <c r="C16475" s="4" t="s">
        <v>11</v>
      </c>
    </row>
    <row r="16476" spans="1:8">
      <c r="A16476" t="n">
        <v>156646</v>
      </c>
      <c r="B16476" s="66" t="n">
        <v>54</v>
      </c>
      <c r="C16476" s="7" t="n">
        <v>6</v>
      </c>
    </row>
    <row r="16477" spans="1:8">
      <c r="A16477" t="s">
        <v>4</v>
      </c>
      <c r="B16477" s="4" t="s">
        <v>5</v>
      </c>
      <c r="C16477" s="4" t="s">
        <v>11</v>
      </c>
      <c r="D16477" s="4" t="s">
        <v>11</v>
      </c>
      <c r="E16477" s="4" t="s">
        <v>11</v>
      </c>
    </row>
    <row r="16478" spans="1:8">
      <c r="A16478" t="n">
        <v>156649</v>
      </c>
      <c r="B16478" s="72" t="n">
        <v>61</v>
      </c>
      <c r="C16478" s="7" t="n">
        <v>6</v>
      </c>
      <c r="D16478" s="7" t="n">
        <v>0</v>
      </c>
      <c r="E16478" s="7" t="n">
        <v>1000</v>
      </c>
    </row>
    <row r="16479" spans="1:8">
      <c r="A16479" t="s">
        <v>4</v>
      </c>
      <c r="B16479" s="4" t="s">
        <v>5</v>
      </c>
      <c r="C16479" s="4" t="s">
        <v>7</v>
      </c>
      <c r="D16479" s="4" t="s">
        <v>11</v>
      </c>
      <c r="E16479" s="4" t="s">
        <v>8</v>
      </c>
    </row>
    <row r="16480" spans="1:8">
      <c r="A16480" t="n">
        <v>156656</v>
      </c>
      <c r="B16480" s="38" t="n">
        <v>51</v>
      </c>
      <c r="C16480" s="7" t="n">
        <v>4</v>
      </c>
      <c r="D16480" s="7" t="n">
        <v>6</v>
      </c>
      <c r="E16480" s="7" t="s">
        <v>679</v>
      </c>
    </row>
    <row r="16481" spans="1:6">
      <c r="A16481" t="s">
        <v>4</v>
      </c>
      <c r="B16481" s="4" t="s">
        <v>5</v>
      </c>
      <c r="C16481" s="4" t="s">
        <v>11</v>
      </c>
    </row>
    <row r="16482" spans="1:6">
      <c r="A16482" t="n">
        <v>156669</v>
      </c>
      <c r="B16482" s="29" t="n">
        <v>16</v>
      </c>
      <c r="C16482" s="7" t="n">
        <v>0</v>
      </c>
    </row>
    <row r="16483" spans="1:6">
      <c r="A16483" t="s">
        <v>4</v>
      </c>
      <c r="B16483" s="4" t="s">
        <v>5</v>
      </c>
      <c r="C16483" s="4" t="s">
        <v>11</v>
      </c>
      <c r="D16483" s="4" t="s">
        <v>7</v>
      </c>
      <c r="E16483" s="4" t="s">
        <v>15</v>
      </c>
      <c r="F16483" s="4" t="s">
        <v>55</v>
      </c>
      <c r="G16483" s="4" t="s">
        <v>7</v>
      </c>
      <c r="H16483" s="4" t="s">
        <v>7</v>
      </c>
      <c r="I16483" s="4" t="s">
        <v>7</v>
      </c>
      <c r="J16483" s="4" t="s">
        <v>15</v>
      </c>
      <c r="K16483" s="4" t="s">
        <v>55</v>
      </c>
      <c r="L16483" s="4" t="s">
        <v>7</v>
      </c>
      <c r="M16483" s="4" t="s">
        <v>7</v>
      </c>
    </row>
    <row r="16484" spans="1:6">
      <c r="A16484" t="n">
        <v>156672</v>
      </c>
      <c r="B16484" s="55" t="n">
        <v>26</v>
      </c>
      <c r="C16484" s="7" t="n">
        <v>6</v>
      </c>
      <c r="D16484" s="7" t="n">
        <v>17</v>
      </c>
      <c r="E16484" s="7" t="n">
        <v>64355</v>
      </c>
      <c r="F16484" s="7" t="s">
        <v>1309</v>
      </c>
      <c r="G16484" s="7" t="n">
        <v>2</v>
      </c>
      <c r="H16484" s="7" t="n">
        <v>3</v>
      </c>
      <c r="I16484" s="7" t="n">
        <v>17</v>
      </c>
      <c r="J16484" s="7" t="n">
        <v>64356</v>
      </c>
      <c r="K16484" s="7" t="s">
        <v>1310</v>
      </c>
      <c r="L16484" s="7" t="n">
        <v>2</v>
      </c>
      <c r="M16484" s="7" t="n">
        <v>0</v>
      </c>
    </row>
    <row r="16485" spans="1:6">
      <c r="A16485" t="s">
        <v>4</v>
      </c>
      <c r="B16485" s="4" t="s">
        <v>5</v>
      </c>
    </row>
    <row r="16486" spans="1:6">
      <c r="A16486" t="n">
        <v>156837</v>
      </c>
      <c r="B16486" s="27" t="n">
        <v>28</v>
      </c>
    </row>
    <row r="16487" spans="1:6">
      <c r="A16487" t="s">
        <v>4</v>
      </c>
      <c r="B16487" s="4" t="s">
        <v>5</v>
      </c>
      <c r="C16487" s="4" t="s">
        <v>11</v>
      </c>
    </row>
    <row r="16488" spans="1:6">
      <c r="A16488" t="n">
        <v>156838</v>
      </c>
      <c r="B16488" s="29" t="n">
        <v>16</v>
      </c>
      <c r="C16488" s="7" t="n">
        <v>200</v>
      </c>
    </row>
    <row r="16489" spans="1:6">
      <c r="A16489" t="s">
        <v>4</v>
      </c>
      <c r="B16489" s="4" t="s">
        <v>5</v>
      </c>
      <c r="C16489" s="4" t="s">
        <v>11</v>
      </c>
      <c r="D16489" s="4" t="s">
        <v>7</v>
      </c>
      <c r="E16489" s="4" t="s">
        <v>13</v>
      </c>
      <c r="F16489" s="4" t="s">
        <v>11</v>
      </c>
    </row>
    <row r="16490" spans="1:6">
      <c r="A16490" t="n">
        <v>156841</v>
      </c>
      <c r="B16490" s="56" t="n">
        <v>59</v>
      </c>
      <c r="C16490" s="7" t="n">
        <v>0</v>
      </c>
      <c r="D16490" s="7" t="n">
        <v>13</v>
      </c>
      <c r="E16490" s="7" t="n">
        <v>0.150000005960464</v>
      </c>
      <c r="F16490" s="7" t="n">
        <v>0</v>
      </c>
    </row>
    <row r="16491" spans="1:6">
      <c r="A16491" t="s">
        <v>4</v>
      </c>
      <c r="B16491" s="4" t="s">
        <v>5</v>
      </c>
      <c r="C16491" s="4" t="s">
        <v>11</v>
      </c>
    </row>
    <row r="16492" spans="1:6">
      <c r="A16492" t="n">
        <v>156851</v>
      </c>
      <c r="B16492" s="29" t="n">
        <v>16</v>
      </c>
      <c r="C16492" s="7" t="n">
        <v>1000</v>
      </c>
    </row>
    <row r="16493" spans="1:6">
      <c r="A16493" t="s">
        <v>4</v>
      </c>
      <c r="B16493" s="4" t="s">
        <v>5</v>
      </c>
      <c r="C16493" s="4" t="s">
        <v>11</v>
      </c>
      <c r="D16493" s="4" t="s">
        <v>13</v>
      </c>
      <c r="E16493" s="4" t="s">
        <v>13</v>
      </c>
      <c r="F16493" s="4" t="s">
        <v>13</v>
      </c>
      <c r="G16493" s="4" t="s">
        <v>11</v>
      </c>
      <c r="H16493" s="4" t="s">
        <v>11</v>
      </c>
    </row>
    <row r="16494" spans="1:6">
      <c r="A16494" t="n">
        <v>156854</v>
      </c>
      <c r="B16494" s="37" t="n">
        <v>60</v>
      </c>
      <c r="C16494" s="7" t="n">
        <v>0</v>
      </c>
      <c r="D16494" s="7" t="n">
        <v>20</v>
      </c>
      <c r="E16494" s="7" t="n">
        <v>-3</v>
      </c>
      <c r="F16494" s="7" t="n">
        <v>0</v>
      </c>
      <c r="G16494" s="7" t="n">
        <v>1000</v>
      </c>
      <c r="H16494" s="7" t="n">
        <v>0</v>
      </c>
    </row>
    <row r="16495" spans="1:6">
      <c r="A16495" t="s">
        <v>4</v>
      </c>
      <c r="B16495" s="4" t="s">
        <v>5</v>
      </c>
      <c r="C16495" s="4" t="s">
        <v>7</v>
      </c>
      <c r="D16495" s="4" t="s">
        <v>7</v>
      </c>
      <c r="E16495" s="4" t="s">
        <v>13</v>
      </c>
      <c r="F16495" s="4" t="s">
        <v>13</v>
      </c>
      <c r="G16495" s="4" t="s">
        <v>13</v>
      </c>
      <c r="H16495" s="4" t="s">
        <v>11</v>
      </c>
    </row>
    <row r="16496" spans="1:6">
      <c r="A16496" t="n">
        <v>156873</v>
      </c>
      <c r="B16496" s="51" t="n">
        <v>45</v>
      </c>
      <c r="C16496" s="7" t="n">
        <v>2</v>
      </c>
      <c r="D16496" s="7" t="n">
        <v>3</v>
      </c>
      <c r="E16496" s="7" t="n">
        <v>6.23000001907349</v>
      </c>
      <c r="F16496" s="7" t="n">
        <v>6.44000005722046</v>
      </c>
      <c r="G16496" s="7" t="n">
        <v>53.9199981689453</v>
      </c>
      <c r="H16496" s="7" t="n">
        <v>2500</v>
      </c>
    </row>
    <row r="16497" spans="1:13">
      <c r="A16497" t="s">
        <v>4</v>
      </c>
      <c r="B16497" s="4" t="s">
        <v>5</v>
      </c>
      <c r="C16497" s="4" t="s">
        <v>7</v>
      </c>
      <c r="D16497" s="4" t="s">
        <v>7</v>
      </c>
      <c r="E16497" s="4" t="s">
        <v>13</v>
      </c>
      <c r="F16497" s="4" t="s">
        <v>13</v>
      </c>
      <c r="G16497" s="4" t="s">
        <v>13</v>
      </c>
      <c r="H16497" s="4" t="s">
        <v>11</v>
      </c>
      <c r="I16497" s="4" t="s">
        <v>7</v>
      </c>
    </row>
    <row r="16498" spans="1:13">
      <c r="A16498" t="n">
        <v>156890</v>
      </c>
      <c r="B16498" s="51" t="n">
        <v>45</v>
      </c>
      <c r="C16498" s="7" t="n">
        <v>4</v>
      </c>
      <c r="D16498" s="7" t="n">
        <v>3</v>
      </c>
      <c r="E16498" s="7" t="n">
        <v>9.23999977111816</v>
      </c>
      <c r="F16498" s="7" t="n">
        <v>285.019989013672</v>
      </c>
      <c r="G16498" s="7" t="n">
        <v>0</v>
      </c>
      <c r="H16498" s="7" t="n">
        <v>2500</v>
      </c>
      <c r="I16498" s="7" t="n">
        <v>1</v>
      </c>
    </row>
    <row r="16499" spans="1:13">
      <c r="A16499" t="s">
        <v>4</v>
      </c>
      <c r="B16499" s="4" t="s">
        <v>5</v>
      </c>
      <c r="C16499" s="4" t="s">
        <v>7</v>
      </c>
      <c r="D16499" s="4" t="s">
        <v>7</v>
      </c>
      <c r="E16499" s="4" t="s">
        <v>13</v>
      </c>
      <c r="F16499" s="4" t="s">
        <v>11</v>
      </c>
    </row>
    <row r="16500" spans="1:13">
      <c r="A16500" t="n">
        <v>156908</v>
      </c>
      <c r="B16500" s="51" t="n">
        <v>45</v>
      </c>
      <c r="C16500" s="7" t="n">
        <v>5</v>
      </c>
      <c r="D16500" s="7" t="n">
        <v>3</v>
      </c>
      <c r="E16500" s="7" t="n">
        <v>1.60000002384186</v>
      </c>
      <c r="F16500" s="7" t="n">
        <v>2500</v>
      </c>
    </row>
    <row r="16501" spans="1:13">
      <c r="A16501" t="s">
        <v>4</v>
      </c>
      <c r="B16501" s="4" t="s">
        <v>5</v>
      </c>
      <c r="C16501" s="4" t="s">
        <v>7</v>
      </c>
      <c r="D16501" s="4" t="s">
        <v>7</v>
      </c>
      <c r="E16501" s="4" t="s">
        <v>13</v>
      </c>
      <c r="F16501" s="4" t="s">
        <v>11</v>
      </c>
    </row>
    <row r="16502" spans="1:13">
      <c r="A16502" t="n">
        <v>156917</v>
      </c>
      <c r="B16502" s="51" t="n">
        <v>45</v>
      </c>
      <c r="C16502" s="7" t="n">
        <v>11</v>
      </c>
      <c r="D16502" s="7" t="n">
        <v>3</v>
      </c>
      <c r="E16502" s="7" t="n">
        <v>33.5</v>
      </c>
      <c r="F16502" s="7" t="n">
        <v>2500</v>
      </c>
    </row>
    <row r="16503" spans="1:13">
      <c r="A16503" t="s">
        <v>4</v>
      </c>
      <c r="B16503" s="4" t="s">
        <v>5</v>
      </c>
      <c r="C16503" s="4" t="s">
        <v>11</v>
      </c>
    </row>
    <row r="16504" spans="1:13">
      <c r="A16504" t="n">
        <v>156926</v>
      </c>
      <c r="B16504" s="29" t="n">
        <v>16</v>
      </c>
      <c r="C16504" s="7" t="n">
        <v>2500</v>
      </c>
    </row>
    <row r="16505" spans="1:13">
      <c r="A16505" t="s">
        <v>4</v>
      </c>
      <c r="B16505" s="4" t="s">
        <v>5</v>
      </c>
      <c r="C16505" s="4" t="s">
        <v>7</v>
      </c>
      <c r="D16505" s="4" t="s">
        <v>11</v>
      </c>
      <c r="E16505" s="4" t="s">
        <v>8</v>
      </c>
    </row>
    <row r="16506" spans="1:13">
      <c r="A16506" t="n">
        <v>156929</v>
      </c>
      <c r="B16506" s="38" t="n">
        <v>51</v>
      </c>
      <c r="C16506" s="7" t="n">
        <v>4</v>
      </c>
      <c r="D16506" s="7" t="n">
        <v>0</v>
      </c>
      <c r="E16506" s="7" t="s">
        <v>147</v>
      </c>
    </row>
    <row r="16507" spans="1:13">
      <c r="A16507" t="s">
        <v>4</v>
      </c>
      <c r="B16507" s="4" t="s">
        <v>5</v>
      </c>
      <c r="C16507" s="4" t="s">
        <v>11</v>
      </c>
    </row>
    <row r="16508" spans="1:13">
      <c r="A16508" t="n">
        <v>156943</v>
      </c>
      <c r="B16508" s="29" t="n">
        <v>16</v>
      </c>
      <c r="C16508" s="7" t="n">
        <v>0</v>
      </c>
    </row>
    <row r="16509" spans="1:13">
      <c r="A16509" t="s">
        <v>4</v>
      </c>
      <c r="B16509" s="4" t="s">
        <v>5</v>
      </c>
      <c r="C16509" s="4" t="s">
        <v>11</v>
      </c>
      <c r="D16509" s="4" t="s">
        <v>7</v>
      </c>
      <c r="E16509" s="4" t="s">
        <v>15</v>
      </c>
      <c r="F16509" s="4" t="s">
        <v>55</v>
      </c>
      <c r="G16509" s="4" t="s">
        <v>7</v>
      </c>
      <c r="H16509" s="4" t="s">
        <v>7</v>
      </c>
    </row>
    <row r="16510" spans="1:13">
      <c r="A16510" t="n">
        <v>156946</v>
      </c>
      <c r="B16510" s="55" t="n">
        <v>26</v>
      </c>
      <c r="C16510" s="7" t="n">
        <v>0</v>
      </c>
      <c r="D16510" s="7" t="n">
        <v>17</v>
      </c>
      <c r="E16510" s="7" t="n">
        <v>64357</v>
      </c>
      <c r="F16510" s="7" t="s">
        <v>1311</v>
      </c>
      <c r="G16510" s="7" t="n">
        <v>2</v>
      </c>
      <c r="H16510" s="7" t="n">
        <v>0</v>
      </c>
    </row>
    <row r="16511" spans="1:13">
      <c r="A16511" t="s">
        <v>4</v>
      </c>
      <c r="B16511" s="4" t="s">
        <v>5</v>
      </c>
    </row>
    <row r="16512" spans="1:13">
      <c r="A16512" t="n">
        <v>157006</v>
      </c>
      <c r="B16512" s="27" t="n">
        <v>28</v>
      </c>
    </row>
    <row r="16513" spans="1:9">
      <c r="A16513" t="s">
        <v>4</v>
      </c>
      <c r="B16513" s="4" t="s">
        <v>5</v>
      </c>
      <c r="C16513" s="4" t="s">
        <v>7</v>
      </c>
      <c r="D16513" s="4" t="s">
        <v>11</v>
      </c>
      <c r="E16513" s="4" t="s">
        <v>11</v>
      </c>
      <c r="F16513" s="4" t="s">
        <v>7</v>
      </c>
    </row>
    <row r="16514" spans="1:9">
      <c r="A16514" t="n">
        <v>157007</v>
      </c>
      <c r="B16514" s="31" t="n">
        <v>25</v>
      </c>
      <c r="C16514" s="7" t="n">
        <v>1</v>
      </c>
      <c r="D16514" s="7" t="n">
        <v>65535</v>
      </c>
      <c r="E16514" s="7" t="n">
        <v>65535</v>
      </c>
      <c r="F16514" s="7" t="n">
        <v>0</v>
      </c>
    </row>
    <row r="16515" spans="1:9">
      <c r="A16515" t="s">
        <v>4</v>
      </c>
      <c r="B16515" s="4" t="s">
        <v>5</v>
      </c>
      <c r="C16515" s="4" t="s">
        <v>11</v>
      </c>
      <c r="D16515" s="4" t="s">
        <v>7</v>
      </c>
      <c r="E16515" s="4" t="s">
        <v>8</v>
      </c>
      <c r="F16515" s="4" t="s">
        <v>13</v>
      </c>
      <c r="G16515" s="4" t="s">
        <v>13</v>
      </c>
      <c r="H16515" s="4" t="s">
        <v>13</v>
      </c>
    </row>
    <row r="16516" spans="1:9">
      <c r="A16516" t="n">
        <v>157014</v>
      </c>
      <c r="B16516" s="42" t="n">
        <v>48</v>
      </c>
      <c r="C16516" s="7" t="n">
        <v>6</v>
      </c>
      <c r="D16516" s="7" t="n">
        <v>0</v>
      </c>
      <c r="E16516" s="7" t="s">
        <v>230</v>
      </c>
      <c r="F16516" s="7" t="n">
        <v>0.400000005960464</v>
      </c>
      <c r="G16516" s="7" t="n">
        <v>1</v>
      </c>
      <c r="H16516" s="7" t="n">
        <v>5.60519385729927e-45</v>
      </c>
    </row>
    <row r="16517" spans="1:9">
      <c r="A16517" t="s">
        <v>4</v>
      </c>
      <c r="B16517" s="4" t="s">
        <v>5</v>
      </c>
      <c r="C16517" s="4" t="s">
        <v>7</v>
      </c>
      <c r="D16517" s="4" t="s">
        <v>11</v>
      </c>
      <c r="E16517" s="4" t="s">
        <v>8</v>
      </c>
    </row>
    <row r="16518" spans="1:9">
      <c r="A16518" t="n">
        <v>157045</v>
      </c>
      <c r="B16518" s="38" t="n">
        <v>51</v>
      </c>
      <c r="C16518" s="7" t="n">
        <v>4</v>
      </c>
      <c r="D16518" s="7" t="n">
        <v>6</v>
      </c>
      <c r="E16518" s="7" t="s">
        <v>643</v>
      </c>
    </row>
    <row r="16519" spans="1:9">
      <c r="A16519" t="s">
        <v>4</v>
      </c>
      <c r="B16519" s="4" t="s">
        <v>5</v>
      </c>
      <c r="C16519" s="4" t="s">
        <v>11</v>
      </c>
    </row>
    <row r="16520" spans="1:9">
      <c r="A16520" t="n">
        <v>157058</v>
      </c>
      <c r="B16520" s="29" t="n">
        <v>16</v>
      </c>
      <c r="C16520" s="7" t="n">
        <v>0</v>
      </c>
    </row>
    <row r="16521" spans="1:9">
      <c r="A16521" t="s">
        <v>4</v>
      </c>
      <c r="B16521" s="4" t="s">
        <v>5</v>
      </c>
      <c r="C16521" s="4" t="s">
        <v>11</v>
      </c>
      <c r="D16521" s="4" t="s">
        <v>7</v>
      </c>
      <c r="E16521" s="4" t="s">
        <v>15</v>
      </c>
      <c r="F16521" s="4" t="s">
        <v>55</v>
      </c>
      <c r="G16521" s="4" t="s">
        <v>7</v>
      </c>
      <c r="H16521" s="4" t="s">
        <v>7</v>
      </c>
      <c r="I16521" s="4" t="s">
        <v>7</v>
      </c>
      <c r="J16521" s="4" t="s">
        <v>15</v>
      </c>
      <c r="K16521" s="4" t="s">
        <v>55</v>
      </c>
      <c r="L16521" s="4" t="s">
        <v>7</v>
      </c>
      <c r="M16521" s="4" t="s">
        <v>7</v>
      </c>
      <c r="N16521" s="4" t="s">
        <v>7</v>
      </c>
      <c r="O16521" s="4" t="s">
        <v>15</v>
      </c>
      <c r="P16521" s="4" t="s">
        <v>55</v>
      </c>
      <c r="Q16521" s="4" t="s">
        <v>7</v>
      </c>
      <c r="R16521" s="4" t="s">
        <v>7</v>
      </c>
    </row>
    <row r="16522" spans="1:9">
      <c r="A16522" t="n">
        <v>157061</v>
      </c>
      <c r="B16522" s="55" t="n">
        <v>26</v>
      </c>
      <c r="C16522" s="7" t="n">
        <v>6</v>
      </c>
      <c r="D16522" s="7" t="n">
        <v>17</v>
      </c>
      <c r="E16522" s="7" t="n">
        <v>64358</v>
      </c>
      <c r="F16522" s="7" t="s">
        <v>1312</v>
      </c>
      <c r="G16522" s="7" t="n">
        <v>2</v>
      </c>
      <c r="H16522" s="7" t="n">
        <v>3</v>
      </c>
      <c r="I16522" s="7" t="n">
        <v>17</v>
      </c>
      <c r="J16522" s="7" t="n">
        <v>64359</v>
      </c>
      <c r="K16522" s="7" t="s">
        <v>1313</v>
      </c>
      <c r="L16522" s="7" t="n">
        <v>2</v>
      </c>
      <c r="M16522" s="7" t="n">
        <v>3</v>
      </c>
      <c r="N16522" s="7" t="n">
        <v>17</v>
      </c>
      <c r="O16522" s="7" t="n">
        <v>64360</v>
      </c>
      <c r="P16522" s="7" t="s">
        <v>1314</v>
      </c>
      <c r="Q16522" s="7" t="n">
        <v>2</v>
      </c>
      <c r="R16522" s="7" t="n">
        <v>0</v>
      </c>
    </row>
    <row r="16523" spans="1:9">
      <c r="A16523" t="s">
        <v>4</v>
      </c>
      <c r="B16523" s="4" t="s">
        <v>5</v>
      </c>
    </row>
    <row r="16524" spans="1:9">
      <c r="A16524" t="n">
        <v>157318</v>
      </c>
      <c r="B16524" s="27" t="n">
        <v>28</v>
      </c>
    </row>
    <row r="16525" spans="1:9">
      <c r="A16525" t="s">
        <v>4</v>
      </c>
      <c r="B16525" s="4" t="s">
        <v>5</v>
      </c>
      <c r="C16525" s="4" t="s">
        <v>11</v>
      </c>
      <c r="D16525" s="4" t="s">
        <v>7</v>
      </c>
    </row>
    <row r="16526" spans="1:9">
      <c r="A16526" t="n">
        <v>157319</v>
      </c>
      <c r="B16526" s="68" t="n">
        <v>89</v>
      </c>
      <c r="C16526" s="7" t="n">
        <v>65533</v>
      </c>
      <c r="D16526" s="7" t="n">
        <v>1</v>
      </c>
    </row>
    <row r="16527" spans="1:9">
      <c r="A16527" t="s">
        <v>4</v>
      </c>
      <c r="B16527" s="4" t="s">
        <v>5</v>
      </c>
      <c r="C16527" s="4" t="s">
        <v>7</v>
      </c>
      <c r="D16527" s="4" t="s">
        <v>11</v>
      </c>
      <c r="E16527" s="4" t="s">
        <v>13</v>
      </c>
    </row>
    <row r="16528" spans="1:9">
      <c r="A16528" t="n">
        <v>157323</v>
      </c>
      <c r="B16528" s="23" t="n">
        <v>58</v>
      </c>
      <c r="C16528" s="7" t="n">
        <v>101</v>
      </c>
      <c r="D16528" s="7" t="n">
        <v>500</v>
      </c>
      <c r="E16528" s="7" t="n">
        <v>1</v>
      </c>
    </row>
    <row r="16529" spans="1:18">
      <c r="A16529" t="s">
        <v>4</v>
      </c>
      <c r="B16529" s="4" t="s">
        <v>5</v>
      </c>
      <c r="C16529" s="4" t="s">
        <v>7</v>
      </c>
      <c r="D16529" s="4" t="s">
        <v>11</v>
      </c>
    </row>
    <row r="16530" spans="1:18">
      <c r="A16530" t="n">
        <v>157331</v>
      </c>
      <c r="B16530" s="23" t="n">
        <v>58</v>
      </c>
      <c r="C16530" s="7" t="n">
        <v>254</v>
      </c>
      <c r="D16530" s="7" t="n">
        <v>0</v>
      </c>
    </row>
    <row r="16531" spans="1:18">
      <c r="A16531" t="s">
        <v>4</v>
      </c>
      <c r="B16531" s="4" t="s">
        <v>5</v>
      </c>
      <c r="C16531" s="4" t="s">
        <v>7</v>
      </c>
      <c r="D16531" s="4" t="s">
        <v>7</v>
      </c>
      <c r="E16531" s="4" t="s">
        <v>13</v>
      </c>
      <c r="F16531" s="4" t="s">
        <v>13</v>
      </c>
      <c r="G16531" s="4" t="s">
        <v>13</v>
      </c>
      <c r="H16531" s="4" t="s">
        <v>11</v>
      </c>
    </row>
    <row r="16532" spans="1:18">
      <c r="A16532" t="n">
        <v>157335</v>
      </c>
      <c r="B16532" s="51" t="n">
        <v>45</v>
      </c>
      <c r="C16532" s="7" t="n">
        <v>2</v>
      </c>
      <c r="D16532" s="7" t="n">
        <v>3</v>
      </c>
      <c r="E16532" s="7" t="n">
        <v>6.48000001907349</v>
      </c>
      <c r="F16532" s="7" t="n">
        <v>6.44000005722046</v>
      </c>
      <c r="G16532" s="7" t="n">
        <v>54.1800003051758</v>
      </c>
      <c r="H16532" s="7" t="n">
        <v>0</v>
      </c>
    </row>
    <row r="16533" spans="1:18">
      <c r="A16533" t="s">
        <v>4</v>
      </c>
      <c r="B16533" s="4" t="s">
        <v>5</v>
      </c>
      <c r="C16533" s="4" t="s">
        <v>7</v>
      </c>
      <c r="D16533" s="4" t="s">
        <v>7</v>
      </c>
      <c r="E16533" s="4" t="s">
        <v>13</v>
      </c>
      <c r="F16533" s="4" t="s">
        <v>13</v>
      </c>
      <c r="G16533" s="4" t="s">
        <v>13</v>
      </c>
      <c r="H16533" s="4" t="s">
        <v>11</v>
      </c>
      <c r="I16533" s="4" t="s">
        <v>7</v>
      </c>
    </row>
    <row r="16534" spans="1:18">
      <c r="A16534" t="n">
        <v>157352</v>
      </c>
      <c r="B16534" s="51" t="n">
        <v>45</v>
      </c>
      <c r="C16534" s="7" t="n">
        <v>4</v>
      </c>
      <c r="D16534" s="7" t="n">
        <v>3</v>
      </c>
      <c r="E16534" s="7" t="n">
        <v>8.52000045776367</v>
      </c>
      <c r="F16534" s="7" t="n">
        <v>260.510009765625</v>
      </c>
      <c r="G16534" s="7" t="n">
        <v>0</v>
      </c>
      <c r="H16534" s="7" t="n">
        <v>0</v>
      </c>
      <c r="I16534" s="7" t="n">
        <v>0</v>
      </c>
    </row>
    <row r="16535" spans="1:18">
      <c r="A16535" t="s">
        <v>4</v>
      </c>
      <c r="B16535" s="4" t="s">
        <v>5</v>
      </c>
      <c r="C16535" s="4" t="s">
        <v>7</v>
      </c>
      <c r="D16535" s="4" t="s">
        <v>7</v>
      </c>
      <c r="E16535" s="4" t="s">
        <v>13</v>
      </c>
      <c r="F16535" s="4" t="s">
        <v>11</v>
      </c>
    </row>
    <row r="16536" spans="1:18">
      <c r="A16536" t="n">
        <v>157370</v>
      </c>
      <c r="B16536" s="51" t="n">
        <v>45</v>
      </c>
      <c r="C16536" s="7" t="n">
        <v>5</v>
      </c>
      <c r="D16536" s="7" t="n">
        <v>3</v>
      </c>
      <c r="E16536" s="7" t="n">
        <v>1.60000002384186</v>
      </c>
      <c r="F16536" s="7" t="n">
        <v>0</v>
      </c>
    </row>
    <row r="16537" spans="1:18">
      <c r="A16537" t="s">
        <v>4</v>
      </c>
      <c r="B16537" s="4" t="s">
        <v>5</v>
      </c>
      <c r="C16537" s="4" t="s">
        <v>7</v>
      </c>
      <c r="D16537" s="4" t="s">
        <v>7</v>
      </c>
      <c r="E16537" s="4" t="s">
        <v>13</v>
      </c>
      <c r="F16537" s="4" t="s">
        <v>11</v>
      </c>
    </row>
    <row r="16538" spans="1:18">
      <c r="A16538" t="n">
        <v>157379</v>
      </c>
      <c r="B16538" s="51" t="n">
        <v>45</v>
      </c>
      <c r="C16538" s="7" t="n">
        <v>11</v>
      </c>
      <c r="D16538" s="7" t="n">
        <v>3</v>
      </c>
      <c r="E16538" s="7" t="n">
        <v>33.5</v>
      </c>
      <c r="F16538" s="7" t="n">
        <v>0</v>
      </c>
    </row>
    <row r="16539" spans="1:18">
      <c r="A16539" t="s">
        <v>4</v>
      </c>
      <c r="B16539" s="4" t="s">
        <v>5</v>
      </c>
      <c r="C16539" s="4" t="s">
        <v>11</v>
      </c>
      <c r="D16539" s="4" t="s">
        <v>13</v>
      </c>
      <c r="E16539" s="4" t="s">
        <v>13</v>
      </c>
      <c r="F16539" s="4" t="s">
        <v>13</v>
      </c>
      <c r="G16539" s="4" t="s">
        <v>11</v>
      </c>
      <c r="H16539" s="4" t="s">
        <v>11</v>
      </c>
    </row>
    <row r="16540" spans="1:18">
      <c r="A16540" t="n">
        <v>157388</v>
      </c>
      <c r="B16540" s="37" t="n">
        <v>60</v>
      </c>
      <c r="C16540" s="7" t="n">
        <v>0</v>
      </c>
      <c r="D16540" s="7" t="n">
        <v>0</v>
      </c>
      <c r="E16540" s="7" t="n">
        <v>0</v>
      </c>
      <c r="F16540" s="7" t="n">
        <v>0</v>
      </c>
      <c r="G16540" s="7" t="n">
        <v>0</v>
      </c>
      <c r="H16540" s="7" t="n">
        <v>0</v>
      </c>
    </row>
    <row r="16541" spans="1:18">
      <c r="A16541" t="s">
        <v>4</v>
      </c>
      <c r="B16541" s="4" t="s">
        <v>5</v>
      </c>
      <c r="C16541" s="4" t="s">
        <v>7</v>
      </c>
      <c r="D16541" s="4" t="s">
        <v>11</v>
      </c>
    </row>
    <row r="16542" spans="1:18">
      <c r="A16542" t="n">
        <v>157407</v>
      </c>
      <c r="B16542" s="23" t="n">
        <v>58</v>
      </c>
      <c r="C16542" s="7" t="n">
        <v>255</v>
      </c>
      <c r="D16542" s="7" t="n">
        <v>0</v>
      </c>
    </row>
    <row r="16543" spans="1:18">
      <c r="A16543" t="s">
        <v>4</v>
      </c>
      <c r="B16543" s="4" t="s">
        <v>5</v>
      </c>
      <c r="C16543" s="4" t="s">
        <v>11</v>
      </c>
      <c r="D16543" s="4" t="s">
        <v>7</v>
      </c>
      <c r="E16543" s="4" t="s">
        <v>7</v>
      </c>
      <c r="F16543" s="4" t="s">
        <v>8</v>
      </c>
    </row>
    <row r="16544" spans="1:18">
      <c r="A16544" t="n">
        <v>157411</v>
      </c>
      <c r="B16544" s="50" t="n">
        <v>20</v>
      </c>
      <c r="C16544" s="7" t="n">
        <v>0</v>
      </c>
      <c r="D16544" s="7" t="n">
        <v>2</v>
      </c>
      <c r="E16544" s="7" t="n">
        <v>10</v>
      </c>
      <c r="F16544" s="7" t="s">
        <v>260</v>
      </c>
    </row>
    <row r="16545" spans="1:9">
      <c r="A16545" t="s">
        <v>4</v>
      </c>
      <c r="B16545" s="4" t="s">
        <v>5</v>
      </c>
      <c r="C16545" s="4" t="s">
        <v>7</v>
      </c>
      <c r="D16545" s="4" t="s">
        <v>11</v>
      </c>
      <c r="E16545" s="4" t="s">
        <v>8</v>
      </c>
    </row>
    <row r="16546" spans="1:9">
      <c r="A16546" t="n">
        <v>157431</v>
      </c>
      <c r="B16546" s="38" t="n">
        <v>51</v>
      </c>
      <c r="C16546" s="7" t="n">
        <v>4</v>
      </c>
      <c r="D16546" s="7" t="n">
        <v>0</v>
      </c>
      <c r="E16546" s="7" t="s">
        <v>235</v>
      </c>
    </row>
    <row r="16547" spans="1:9">
      <c r="A16547" t="s">
        <v>4</v>
      </c>
      <c r="B16547" s="4" t="s">
        <v>5</v>
      </c>
      <c r="C16547" s="4" t="s">
        <v>11</v>
      </c>
    </row>
    <row r="16548" spans="1:9">
      <c r="A16548" t="n">
        <v>157445</v>
      </c>
      <c r="B16548" s="29" t="n">
        <v>16</v>
      </c>
      <c r="C16548" s="7" t="n">
        <v>0</v>
      </c>
    </row>
    <row r="16549" spans="1:9">
      <c r="A16549" t="s">
        <v>4</v>
      </c>
      <c r="B16549" s="4" t="s">
        <v>5</v>
      </c>
      <c r="C16549" s="4" t="s">
        <v>11</v>
      </c>
      <c r="D16549" s="4" t="s">
        <v>7</v>
      </c>
      <c r="E16549" s="4" t="s">
        <v>15</v>
      </c>
      <c r="F16549" s="4" t="s">
        <v>55</v>
      </c>
      <c r="G16549" s="4" t="s">
        <v>7</v>
      </c>
      <c r="H16549" s="4" t="s">
        <v>7</v>
      </c>
      <c r="I16549" s="4" t="s">
        <v>7</v>
      </c>
      <c r="J16549" s="4" t="s">
        <v>15</v>
      </c>
      <c r="K16549" s="4" t="s">
        <v>55</v>
      </c>
      <c r="L16549" s="4" t="s">
        <v>7</v>
      </c>
      <c r="M16549" s="4" t="s">
        <v>7</v>
      </c>
    </row>
    <row r="16550" spans="1:9">
      <c r="A16550" t="n">
        <v>157448</v>
      </c>
      <c r="B16550" s="55" t="n">
        <v>26</v>
      </c>
      <c r="C16550" s="7" t="n">
        <v>0</v>
      </c>
      <c r="D16550" s="7" t="n">
        <v>17</v>
      </c>
      <c r="E16550" s="7" t="n">
        <v>64361</v>
      </c>
      <c r="F16550" s="7" t="s">
        <v>1315</v>
      </c>
      <c r="G16550" s="7" t="n">
        <v>2</v>
      </c>
      <c r="H16550" s="7" t="n">
        <v>3</v>
      </c>
      <c r="I16550" s="7" t="n">
        <v>17</v>
      </c>
      <c r="J16550" s="7" t="n">
        <v>64362</v>
      </c>
      <c r="K16550" s="7" t="s">
        <v>1316</v>
      </c>
      <c r="L16550" s="7" t="n">
        <v>2</v>
      </c>
      <c r="M16550" s="7" t="n">
        <v>0</v>
      </c>
    </row>
    <row r="16551" spans="1:9">
      <c r="A16551" t="s">
        <v>4</v>
      </c>
      <c r="B16551" s="4" t="s">
        <v>5</v>
      </c>
    </row>
    <row r="16552" spans="1:9">
      <c r="A16552" t="n">
        <v>157589</v>
      </c>
      <c r="B16552" s="27" t="n">
        <v>28</v>
      </c>
    </row>
    <row r="16553" spans="1:9">
      <c r="A16553" t="s">
        <v>4</v>
      </c>
      <c r="B16553" s="4" t="s">
        <v>5</v>
      </c>
      <c r="C16553" s="4" t="s">
        <v>7</v>
      </c>
      <c r="D16553" s="4" t="s">
        <v>11</v>
      </c>
      <c r="E16553" s="4" t="s">
        <v>11</v>
      </c>
      <c r="F16553" s="4" t="s">
        <v>7</v>
      </c>
    </row>
    <row r="16554" spans="1:9">
      <c r="A16554" t="n">
        <v>157590</v>
      </c>
      <c r="B16554" s="31" t="n">
        <v>25</v>
      </c>
      <c r="C16554" s="7" t="n">
        <v>1</v>
      </c>
      <c r="D16554" s="7" t="n">
        <v>65535</v>
      </c>
      <c r="E16554" s="7" t="n">
        <v>65535</v>
      </c>
      <c r="F16554" s="7" t="n">
        <v>0</v>
      </c>
    </row>
    <row r="16555" spans="1:9">
      <c r="A16555" t="s">
        <v>4</v>
      </c>
      <c r="B16555" s="4" t="s">
        <v>5</v>
      </c>
      <c r="C16555" s="4" t="s">
        <v>7</v>
      </c>
      <c r="D16555" s="4" t="s">
        <v>11</v>
      </c>
      <c r="E16555" s="4" t="s">
        <v>8</v>
      </c>
    </row>
    <row r="16556" spans="1:9">
      <c r="A16556" t="n">
        <v>157597</v>
      </c>
      <c r="B16556" s="38" t="n">
        <v>51</v>
      </c>
      <c r="C16556" s="7" t="n">
        <v>4</v>
      </c>
      <c r="D16556" s="7" t="n">
        <v>6</v>
      </c>
      <c r="E16556" s="7" t="s">
        <v>242</v>
      </c>
    </row>
    <row r="16557" spans="1:9">
      <c r="A16557" t="s">
        <v>4</v>
      </c>
      <c r="B16557" s="4" t="s">
        <v>5</v>
      </c>
      <c r="C16557" s="4" t="s">
        <v>11</v>
      </c>
    </row>
    <row r="16558" spans="1:9">
      <c r="A16558" t="n">
        <v>157611</v>
      </c>
      <c r="B16558" s="29" t="n">
        <v>16</v>
      </c>
      <c r="C16558" s="7" t="n">
        <v>0</v>
      </c>
    </row>
    <row r="16559" spans="1:9">
      <c r="A16559" t="s">
        <v>4</v>
      </c>
      <c r="B16559" s="4" t="s">
        <v>5</v>
      </c>
      <c r="C16559" s="4" t="s">
        <v>11</v>
      </c>
      <c r="D16559" s="4" t="s">
        <v>7</v>
      </c>
      <c r="E16559" s="4" t="s">
        <v>15</v>
      </c>
      <c r="F16559" s="4" t="s">
        <v>55</v>
      </c>
      <c r="G16559" s="4" t="s">
        <v>7</v>
      </c>
      <c r="H16559" s="4" t="s">
        <v>7</v>
      </c>
      <c r="I16559" s="4" t="s">
        <v>7</v>
      </c>
      <c r="J16559" s="4" t="s">
        <v>15</v>
      </c>
      <c r="K16559" s="4" t="s">
        <v>55</v>
      </c>
      <c r="L16559" s="4" t="s">
        <v>7</v>
      </c>
      <c r="M16559" s="4" t="s">
        <v>7</v>
      </c>
      <c r="N16559" s="4" t="s">
        <v>7</v>
      </c>
      <c r="O16559" s="4" t="s">
        <v>15</v>
      </c>
      <c r="P16559" s="4" t="s">
        <v>55</v>
      </c>
      <c r="Q16559" s="4" t="s">
        <v>7</v>
      </c>
      <c r="R16559" s="4" t="s">
        <v>7</v>
      </c>
    </row>
    <row r="16560" spans="1:9">
      <c r="A16560" t="n">
        <v>157614</v>
      </c>
      <c r="B16560" s="55" t="n">
        <v>26</v>
      </c>
      <c r="C16560" s="7" t="n">
        <v>6</v>
      </c>
      <c r="D16560" s="7" t="n">
        <v>17</v>
      </c>
      <c r="E16560" s="7" t="n">
        <v>64363</v>
      </c>
      <c r="F16560" s="7" t="s">
        <v>1317</v>
      </c>
      <c r="G16560" s="7" t="n">
        <v>2</v>
      </c>
      <c r="H16560" s="7" t="n">
        <v>3</v>
      </c>
      <c r="I16560" s="7" t="n">
        <v>17</v>
      </c>
      <c r="J16560" s="7" t="n">
        <v>64364</v>
      </c>
      <c r="K16560" s="7" t="s">
        <v>1318</v>
      </c>
      <c r="L16560" s="7" t="n">
        <v>2</v>
      </c>
      <c r="M16560" s="7" t="n">
        <v>3</v>
      </c>
      <c r="N16560" s="7" t="n">
        <v>17</v>
      </c>
      <c r="O16560" s="7" t="n">
        <v>64365</v>
      </c>
      <c r="P16560" s="7" t="s">
        <v>1319</v>
      </c>
      <c r="Q16560" s="7" t="n">
        <v>2</v>
      </c>
      <c r="R16560" s="7" t="n">
        <v>0</v>
      </c>
    </row>
    <row r="16561" spans="1:18">
      <c r="A16561" t="s">
        <v>4</v>
      </c>
      <c r="B16561" s="4" t="s">
        <v>5</v>
      </c>
    </row>
    <row r="16562" spans="1:18">
      <c r="A16562" t="n">
        <v>157993</v>
      </c>
      <c r="B16562" s="27" t="n">
        <v>28</v>
      </c>
    </row>
    <row r="16563" spans="1:18">
      <c r="A16563" t="s">
        <v>4</v>
      </c>
      <c r="B16563" s="4" t="s">
        <v>5</v>
      </c>
      <c r="C16563" s="4" t="s">
        <v>7</v>
      </c>
      <c r="D16563" s="4" t="s">
        <v>11</v>
      </c>
      <c r="E16563" s="4" t="s">
        <v>8</v>
      </c>
    </row>
    <row r="16564" spans="1:18">
      <c r="A16564" t="n">
        <v>157994</v>
      </c>
      <c r="B16564" s="38" t="n">
        <v>51</v>
      </c>
      <c r="C16564" s="7" t="n">
        <v>4</v>
      </c>
      <c r="D16564" s="7" t="n">
        <v>0</v>
      </c>
      <c r="E16564" s="7" t="s">
        <v>752</v>
      </c>
    </row>
    <row r="16565" spans="1:18">
      <c r="A16565" t="s">
        <v>4</v>
      </c>
      <c r="B16565" s="4" t="s">
        <v>5</v>
      </c>
      <c r="C16565" s="4" t="s">
        <v>11</v>
      </c>
    </row>
    <row r="16566" spans="1:18">
      <c r="A16566" t="n">
        <v>158008</v>
      </c>
      <c r="B16566" s="29" t="n">
        <v>16</v>
      </c>
      <c r="C16566" s="7" t="n">
        <v>0</v>
      </c>
    </row>
    <row r="16567" spans="1:18">
      <c r="A16567" t="s">
        <v>4</v>
      </c>
      <c r="B16567" s="4" t="s">
        <v>5</v>
      </c>
      <c r="C16567" s="4" t="s">
        <v>11</v>
      </c>
      <c r="D16567" s="4" t="s">
        <v>7</v>
      </c>
      <c r="E16567" s="4" t="s">
        <v>15</v>
      </c>
      <c r="F16567" s="4" t="s">
        <v>55</v>
      </c>
      <c r="G16567" s="4" t="s">
        <v>7</v>
      </c>
      <c r="H16567" s="4" t="s">
        <v>7</v>
      </c>
      <c r="I16567" s="4" t="s">
        <v>7</v>
      </c>
      <c r="J16567" s="4" t="s">
        <v>15</v>
      </c>
      <c r="K16567" s="4" t="s">
        <v>55</v>
      </c>
      <c r="L16567" s="4" t="s">
        <v>7</v>
      </c>
      <c r="M16567" s="4" t="s">
        <v>7</v>
      </c>
    </row>
    <row r="16568" spans="1:18">
      <c r="A16568" t="n">
        <v>158011</v>
      </c>
      <c r="B16568" s="55" t="n">
        <v>26</v>
      </c>
      <c r="C16568" s="7" t="n">
        <v>0</v>
      </c>
      <c r="D16568" s="7" t="n">
        <v>17</v>
      </c>
      <c r="E16568" s="7" t="n">
        <v>64366</v>
      </c>
      <c r="F16568" s="7" t="s">
        <v>1320</v>
      </c>
      <c r="G16568" s="7" t="n">
        <v>2</v>
      </c>
      <c r="H16568" s="7" t="n">
        <v>3</v>
      </c>
      <c r="I16568" s="7" t="n">
        <v>17</v>
      </c>
      <c r="J16568" s="7" t="n">
        <v>64367</v>
      </c>
      <c r="K16568" s="7" t="s">
        <v>1321</v>
      </c>
      <c r="L16568" s="7" t="n">
        <v>2</v>
      </c>
      <c r="M16568" s="7" t="n">
        <v>0</v>
      </c>
    </row>
    <row r="16569" spans="1:18">
      <c r="A16569" t="s">
        <v>4</v>
      </c>
      <c r="B16569" s="4" t="s">
        <v>5</v>
      </c>
    </row>
    <row r="16570" spans="1:18">
      <c r="A16570" t="n">
        <v>158231</v>
      </c>
      <c r="B16570" s="27" t="n">
        <v>28</v>
      </c>
    </row>
    <row r="16571" spans="1:18">
      <c r="A16571" t="s">
        <v>4</v>
      </c>
      <c r="B16571" s="4" t="s">
        <v>5</v>
      </c>
      <c r="C16571" s="4" t="s">
        <v>7</v>
      </c>
      <c r="D16571" s="4" t="s">
        <v>11</v>
      </c>
      <c r="E16571" s="4" t="s">
        <v>11</v>
      </c>
      <c r="F16571" s="4" t="s">
        <v>7</v>
      </c>
    </row>
    <row r="16572" spans="1:18">
      <c r="A16572" t="n">
        <v>158232</v>
      </c>
      <c r="B16572" s="31" t="n">
        <v>25</v>
      </c>
      <c r="C16572" s="7" t="n">
        <v>1</v>
      </c>
      <c r="D16572" s="7" t="n">
        <v>65535</v>
      </c>
      <c r="E16572" s="7" t="n">
        <v>65535</v>
      </c>
      <c r="F16572" s="7" t="n">
        <v>0</v>
      </c>
    </row>
    <row r="16573" spans="1:18">
      <c r="A16573" t="s">
        <v>4</v>
      </c>
      <c r="B16573" s="4" t="s">
        <v>5</v>
      </c>
      <c r="C16573" s="4" t="s">
        <v>7</v>
      </c>
      <c r="D16573" s="4" t="s">
        <v>11</v>
      </c>
      <c r="E16573" s="4" t="s">
        <v>8</v>
      </c>
    </row>
    <row r="16574" spans="1:18">
      <c r="A16574" t="n">
        <v>158239</v>
      </c>
      <c r="B16574" s="38" t="n">
        <v>51</v>
      </c>
      <c r="C16574" s="7" t="n">
        <v>4</v>
      </c>
      <c r="D16574" s="7" t="n">
        <v>6</v>
      </c>
      <c r="E16574" s="7" t="s">
        <v>179</v>
      </c>
    </row>
    <row r="16575" spans="1:18">
      <c r="A16575" t="s">
        <v>4</v>
      </c>
      <c r="B16575" s="4" t="s">
        <v>5</v>
      </c>
      <c r="C16575" s="4" t="s">
        <v>11</v>
      </c>
    </row>
    <row r="16576" spans="1:18">
      <c r="A16576" t="n">
        <v>158253</v>
      </c>
      <c r="B16576" s="29" t="n">
        <v>16</v>
      </c>
      <c r="C16576" s="7" t="n">
        <v>0</v>
      </c>
    </row>
    <row r="16577" spans="1:13">
      <c r="A16577" t="s">
        <v>4</v>
      </c>
      <c r="B16577" s="4" t="s">
        <v>5</v>
      </c>
      <c r="C16577" s="4" t="s">
        <v>11</v>
      </c>
      <c r="D16577" s="4" t="s">
        <v>7</v>
      </c>
      <c r="E16577" s="4" t="s">
        <v>15</v>
      </c>
      <c r="F16577" s="4" t="s">
        <v>55</v>
      </c>
      <c r="G16577" s="4" t="s">
        <v>7</v>
      </c>
      <c r="H16577" s="4" t="s">
        <v>7</v>
      </c>
    </row>
    <row r="16578" spans="1:13">
      <c r="A16578" t="n">
        <v>158256</v>
      </c>
      <c r="B16578" s="55" t="n">
        <v>26</v>
      </c>
      <c r="C16578" s="7" t="n">
        <v>6</v>
      </c>
      <c r="D16578" s="7" t="n">
        <v>17</v>
      </c>
      <c r="E16578" s="7" t="n">
        <v>64368</v>
      </c>
      <c r="F16578" s="7" t="s">
        <v>1322</v>
      </c>
      <c r="G16578" s="7" t="n">
        <v>2</v>
      </c>
      <c r="H16578" s="7" t="n">
        <v>0</v>
      </c>
    </row>
    <row r="16579" spans="1:13">
      <c r="A16579" t="s">
        <v>4</v>
      </c>
      <c r="B16579" s="4" t="s">
        <v>5</v>
      </c>
    </row>
    <row r="16580" spans="1:13">
      <c r="A16580" t="n">
        <v>158293</v>
      </c>
      <c r="B16580" s="27" t="n">
        <v>28</v>
      </c>
    </row>
    <row r="16581" spans="1:13">
      <c r="A16581" t="s">
        <v>4</v>
      </c>
      <c r="B16581" s="4" t="s">
        <v>5</v>
      </c>
      <c r="C16581" s="4" t="s">
        <v>11</v>
      </c>
      <c r="D16581" s="4" t="s">
        <v>13</v>
      </c>
      <c r="E16581" s="4" t="s">
        <v>13</v>
      </c>
      <c r="F16581" s="4" t="s">
        <v>13</v>
      </c>
      <c r="G16581" s="4" t="s">
        <v>11</v>
      </c>
      <c r="H16581" s="4" t="s">
        <v>11</v>
      </c>
    </row>
    <row r="16582" spans="1:13">
      <c r="A16582" t="n">
        <v>158294</v>
      </c>
      <c r="B16582" s="37" t="n">
        <v>60</v>
      </c>
      <c r="C16582" s="7" t="n">
        <v>6</v>
      </c>
      <c r="D16582" s="7" t="n">
        <v>0</v>
      </c>
      <c r="E16582" s="7" t="n">
        <v>-10</v>
      </c>
      <c r="F16582" s="7" t="n">
        <v>0</v>
      </c>
      <c r="G16582" s="7" t="n">
        <v>1000</v>
      </c>
      <c r="H16582" s="7" t="n">
        <v>0</v>
      </c>
    </row>
    <row r="16583" spans="1:13">
      <c r="A16583" t="s">
        <v>4</v>
      </c>
      <c r="B16583" s="4" t="s">
        <v>5</v>
      </c>
      <c r="C16583" s="4" t="s">
        <v>11</v>
      </c>
      <c r="D16583" s="4" t="s">
        <v>7</v>
      </c>
      <c r="E16583" s="4" t="s">
        <v>8</v>
      </c>
      <c r="F16583" s="4" t="s">
        <v>13</v>
      </c>
      <c r="G16583" s="4" t="s">
        <v>13</v>
      </c>
      <c r="H16583" s="4" t="s">
        <v>13</v>
      </c>
    </row>
    <row r="16584" spans="1:13">
      <c r="A16584" t="n">
        <v>158313</v>
      </c>
      <c r="B16584" s="42" t="n">
        <v>48</v>
      </c>
      <c r="C16584" s="7" t="n">
        <v>6</v>
      </c>
      <c r="D16584" s="7" t="n">
        <v>0</v>
      </c>
      <c r="E16584" s="7" t="s">
        <v>230</v>
      </c>
      <c r="F16584" s="7" t="n">
        <v>0.400000005960464</v>
      </c>
      <c r="G16584" s="7" t="n">
        <v>1</v>
      </c>
      <c r="H16584" s="7" t="n">
        <v>8.4077907859489e-45</v>
      </c>
    </row>
    <row r="16585" spans="1:13">
      <c r="A16585" t="s">
        <v>4</v>
      </c>
      <c r="B16585" s="4" t="s">
        <v>5</v>
      </c>
      <c r="C16585" s="4" t="s">
        <v>7</v>
      </c>
      <c r="D16585" s="4" t="s">
        <v>11</v>
      </c>
      <c r="E16585" s="4" t="s">
        <v>8</v>
      </c>
    </row>
    <row r="16586" spans="1:13">
      <c r="A16586" t="n">
        <v>158344</v>
      </c>
      <c r="B16586" s="38" t="n">
        <v>51</v>
      </c>
      <c r="C16586" s="7" t="n">
        <v>4</v>
      </c>
      <c r="D16586" s="7" t="n">
        <v>6</v>
      </c>
      <c r="E16586" s="7" t="s">
        <v>261</v>
      </c>
    </row>
    <row r="16587" spans="1:13">
      <c r="A16587" t="s">
        <v>4</v>
      </c>
      <c r="B16587" s="4" t="s">
        <v>5</v>
      </c>
      <c r="C16587" s="4" t="s">
        <v>11</v>
      </c>
    </row>
    <row r="16588" spans="1:13">
      <c r="A16588" t="n">
        <v>158359</v>
      </c>
      <c r="B16588" s="29" t="n">
        <v>16</v>
      </c>
      <c r="C16588" s="7" t="n">
        <v>0</v>
      </c>
    </row>
    <row r="16589" spans="1:13">
      <c r="A16589" t="s">
        <v>4</v>
      </c>
      <c r="B16589" s="4" t="s">
        <v>5</v>
      </c>
      <c r="C16589" s="4" t="s">
        <v>11</v>
      </c>
      <c r="D16589" s="4" t="s">
        <v>7</v>
      </c>
      <c r="E16589" s="4" t="s">
        <v>15</v>
      </c>
      <c r="F16589" s="4" t="s">
        <v>55</v>
      </c>
      <c r="G16589" s="4" t="s">
        <v>7</v>
      </c>
      <c r="H16589" s="4" t="s">
        <v>7</v>
      </c>
    </row>
    <row r="16590" spans="1:13">
      <c r="A16590" t="n">
        <v>158362</v>
      </c>
      <c r="B16590" s="55" t="n">
        <v>26</v>
      </c>
      <c r="C16590" s="7" t="n">
        <v>6</v>
      </c>
      <c r="D16590" s="7" t="n">
        <v>17</v>
      </c>
      <c r="E16590" s="7" t="n">
        <v>64369</v>
      </c>
      <c r="F16590" s="7" t="s">
        <v>464</v>
      </c>
      <c r="G16590" s="7" t="n">
        <v>2</v>
      </c>
      <c r="H16590" s="7" t="n">
        <v>0</v>
      </c>
    </row>
    <row r="16591" spans="1:13">
      <c r="A16591" t="s">
        <v>4</v>
      </c>
      <c r="B16591" s="4" t="s">
        <v>5</v>
      </c>
    </row>
    <row r="16592" spans="1:13">
      <c r="A16592" t="n">
        <v>158375</v>
      </c>
      <c r="B16592" s="27" t="n">
        <v>28</v>
      </c>
    </row>
    <row r="16593" spans="1:8">
      <c r="A16593" t="s">
        <v>4</v>
      </c>
      <c r="B16593" s="4" t="s">
        <v>5</v>
      </c>
      <c r="C16593" s="4" t="s">
        <v>11</v>
      </c>
      <c r="D16593" s="4" t="s">
        <v>7</v>
      </c>
    </row>
    <row r="16594" spans="1:8">
      <c r="A16594" t="n">
        <v>158376</v>
      </c>
      <c r="B16594" s="68" t="n">
        <v>89</v>
      </c>
      <c r="C16594" s="7" t="n">
        <v>65533</v>
      </c>
      <c r="D16594" s="7" t="n">
        <v>1</v>
      </c>
    </row>
    <row r="16595" spans="1:8">
      <c r="A16595" t="s">
        <v>4</v>
      </c>
      <c r="B16595" s="4" t="s">
        <v>5</v>
      </c>
      <c r="C16595" s="4" t="s">
        <v>7</v>
      </c>
      <c r="D16595" s="4" t="s">
        <v>11</v>
      </c>
      <c r="E16595" s="4" t="s">
        <v>7</v>
      </c>
      <c r="F16595" s="4" t="s">
        <v>7</v>
      </c>
      <c r="G16595" s="4" t="s">
        <v>12</v>
      </c>
    </row>
    <row r="16596" spans="1:8">
      <c r="A16596" t="n">
        <v>158380</v>
      </c>
      <c r="B16596" s="10" t="n">
        <v>5</v>
      </c>
      <c r="C16596" s="7" t="n">
        <v>30</v>
      </c>
      <c r="D16596" s="7" t="n">
        <v>10835</v>
      </c>
      <c r="E16596" s="7" t="n">
        <v>8</v>
      </c>
      <c r="F16596" s="7" t="n">
        <v>1</v>
      </c>
      <c r="G16596" s="11" t="n">
        <f t="normal" ca="1">A16644</f>
        <v>0</v>
      </c>
    </row>
    <row r="16597" spans="1:8">
      <c r="A16597" t="s">
        <v>4</v>
      </c>
      <c r="B16597" s="4" t="s">
        <v>5</v>
      </c>
      <c r="C16597" s="4" t="s">
        <v>11</v>
      </c>
    </row>
    <row r="16598" spans="1:8">
      <c r="A16598" t="n">
        <v>158390</v>
      </c>
      <c r="B16598" s="29" t="n">
        <v>16</v>
      </c>
      <c r="C16598" s="7" t="n">
        <v>1300</v>
      </c>
    </row>
    <row r="16599" spans="1:8">
      <c r="A16599" t="s">
        <v>4</v>
      </c>
      <c r="B16599" s="4" t="s">
        <v>5</v>
      </c>
      <c r="C16599" s="4" t="s">
        <v>7</v>
      </c>
      <c r="D16599" s="4" t="s">
        <v>11</v>
      </c>
      <c r="E16599" s="4" t="s">
        <v>8</v>
      </c>
    </row>
    <row r="16600" spans="1:8">
      <c r="A16600" t="n">
        <v>158393</v>
      </c>
      <c r="B16600" s="38" t="n">
        <v>51</v>
      </c>
      <c r="C16600" s="7" t="n">
        <v>4</v>
      </c>
      <c r="D16600" s="7" t="n">
        <v>0</v>
      </c>
      <c r="E16600" s="7" t="s">
        <v>245</v>
      </c>
    </row>
    <row r="16601" spans="1:8">
      <c r="A16601" t="s">
        <v>4</v>
      </c>
      <c r="B16601" s="4" t="s">
        <v>5</v>
      </c>
      <c r="C16601" s="4" t="s">
        <v>11</v>
      </c>
    </row>
    <row r="16602" spans="1:8">
      <c r="A16602" t="n">
        <v>158407</v>
      </c>
      <c r="B16602" s="29" t="n">
        <v>16</v>
      </c>
      <c r="C16602" s="7" t="n">
        <v>0</v>
      </c>
    </row>
    <row r="16603" spans="1:8">
      <c r="A16603" t="s">
        <v>4</v>
      </c>
      <c r="B16603" s="4" t="s">
        <v>5</v>
      </c>
      <c r="C16603" s="4" t="s">
        <v>11</v>
      </c>
      <c r="D16603" s="4" t="s">
        <v>7</v>
      </c>
      <c r="E16603" s="4" t="s">
        <v>15</v>
      </c>
      <c r="F16603" s="4" t="s">
        <v>55</v>
      </c>
      <c r="G16603" s="4" t="s">
        <v>7</v>
      </c>
      <c r="H16603" s="4" t="s">
        <v>7</v>
      </c>
    </row>
    <row r="16604" spans="1:8">
      <c r="A16604" t="n">
        <v>158410</v>
      </c>
      <c r="B16604" s="55" t="n">
        <v>26</v>
      </c>
      <c r="C16604" s="7" t="n">
        <v>0</v>
      </c>
      <c r="D16604" s="7" t="n">
        <v>17</v>
      </c>
      <c r="E16604" s="7" t="n">
        <v>64370</v>
      </c>
      <c r="F16604" s="7" t="s">
        <v>1323</v>
      </c>
      <c r="G16604" s="7" t="n">
        <v>2</v>
      </c>
      <c r="H16604" s="7" t="n">
        <v>0</v>
      </c>
    </row>
    <row r="16605" spans="1:8">
      <c r="A16605" t="s">
        <v>4</v>
      </c>
      <c r="B16605" s="4" t="s">
        <v>5</v>
      </c>
    </row>
    <row r="16606" spans="1:8">
      <c r="A16606" t="n">
        <v>158437</v>
      </c>
      <c r="B16606" s="27" t="n">
        <v>28</v>
      </c>
    </row>
    <row r="16607" spans="1:8">
      <c r="A16607" t="s">
        <v>4</v>
      </c>
      <c r="B16607" s="4" t="s">
        <v>5</v>
      </c>
      <c r="C16607" s="4" t="s">
        <v>7</v>
      </c>
      <c r="D16607" s="4" t="s">
        <v>11</v>
      </c>
      <c r="E16607" s="4" t="s">
        <v>11</v>
      </c>
      <c r="F16607" s="4" t="s">
        <v>7</v>
      </c>
    </row>
    <row r="16608" spans="1:8">
      <c r="A16608" t="n">
        <v>158438</v>
      </c>
      <c r="B16608" s="31" t="n">
        <v>25</v>
      </c>
      <c r="C16608" s="7" t="n">
        <v>1</v>
      </c>
      <c r="D16608" s="7" t="n">
        <v>65535</v>
      </c>
      <c r="E16608" s="7" t="n">
        <v>65535</v>
      </c>
      <c r="F16608" s="7" t="n">
        <v>0</v>
      </c>
    </row>
    <row r="16609" spans="1:8">
      <c r="A16609" t="s">
        <v>4</v>
      </c>
      <c r="B16609" s="4" t="s">
        <v>5</v>
      </c>
      <c r="C16609" s="4" t="s">
        <v>11</v>
      </c>
      <c r="D16609" s="4" t="s">
        <v>7</v>
      </c>
      <c r="E16609" s="4" t="s">
        <v>7</v>
      </c>
      <c r="F16609" s="4" t="s">
        <v>8</v>
      </c>
    </row>
    <row r="16610" spans="1:8">
      <c r="A16610" t="n">
        <v>158445</v>
      </c>
      <c r="B16610" s="50" t="n">
        <v>20</v>
      </c>
      <c r="C16610" s="7" t="n">
        <v>6</v>
      </c>
      <c r="D16610" s="7" t="n">
        <v>2</v>
      </c>
      <c r="E16610" s="7" t="n">
        <v>10</v>
      </c>
      <c r="F16610" s="7" t="s">
        <v>260</v>
      </c>
    </row>
    <row r="16611" spans="1:8">
      <c r="A16611" t="s">
        <v>4</v>
      </c>
      <c r="B16611" s="4" t="s">
        <v>5</v>
      </c>
      <c r="C16611" s="4" t="s">
        <v>7</v>
      </c>
      <c r="D16611" s="4" t="s">
        <v>11</v>
      </c>
      <c r="E16611" s="4" t="s">
        <v>8</v>
      </c>
    </row>
    <row r="16612" spans="1:8">
      <c r="A16612" t="n">
        <v>158465</v>
      </c>
      <c r="B16612" s="38" t="n">
        <v>51</v>
      </c>
      <c r="C16612" s="7" t="n">
        <v>4</v>
      </c>
      <c r="D16612" s="7" t="n">
        <v>6</v>
      </c>
      <c r="E16612" s="7" t="s">
        <v>235</v>
      </c>
    </row>
    <row r="16613" spans="1:8">
      <c r="A16613" t="s">
        <v>4</v>
      </c>
      <c r="B16613" s="4" t="s">
        <v>5</v>
      </c>
      <c r="C16613" s="4" t="s">
        <v>11</v>
      </c>
    </row>
    <row r="16614" spans="1:8">
      <c r="A16614" t="n">
        <v>158479</v>
      </c>
      <c r="B16614" s="29" t="n">
        <v>16</v>
      </c>
      <c r="C16614" s="7" t="n">
        <v>0</v>
      </c>
    </row>
    <row r="16615" spans="1:8">
      <c r="A16615" t="s">
        <v>4</v>
      </c>
      <c r="B16615" s="4" t="s">
        <v>5</v>
      </c>
      <c r="C16615" s="4" t="s">
        <v>11</v>
      </c>
      <c r="D16615" s="4" t="s">
        <v>7</v>
      </c>
      <c r="E16615" s="4" t="s">
        <v>15</v>
      </c>
      <c r="F16615" s="4" t="s">
        <v>55</v>
      </c>
      <c r="G16615" s="4" t="s">
        <v>7</v>
      </c>
      <c r="H16615" s="4" t="s">
        <v>7</v>
      </c>
      <c r="I16615" s="4" t="s">
        <v>7</v>
      </c>
      <c r="J16615" s="4" t="s">
        <v>15</v>
      </c>
      <c r="K16615" s="4" t="s">
        <v>55</v>
      </c>
      <c r="L16615" s="4" t="s">
        <v>7</v>
      </c>
      <c r="M16615" s="4" t="s">
        <v>7</v>
      </c>
      <c r="N16615" s="4" t="s">
        <v>7</v>
      </c>
      <c r="O16615" s="4" t="s">
        <v>15</v>
      </c>
      <c r="P16615" s="4" t="s">
        <v>55</v>
      </c>
      <c r="Q16615" s="4" t="s">
        <v>7</v>
      </c>
      <c r="R16615" s="4" t="s">
        <v>7</v>
      </c>
      <c r="S16615" s="4" t="s">
        <v>7</v>
      </c>
      <c r="T16615" s="4" t="s">
        <v>15</v>
      </c>
      <c r="U16615" s="4" t="s">
        <v>55</v>
      </c>
      <c r="V16615" s="4" t="s">
        <v>7</v>
      </c>
      <c r="W16615" s="4" t="s">
        <v>7</v>
      </c>
    </row>
    <row r="16616" spans="1:8">
      <c r="A16616" t="n">
        <v>158482</v>
      </c>
      <c r="B16616" s="55" t="n">
        <v>26</v>
      </c>
      <c r="C16616" s="7" t="n">
        <v>6</v>
      </c>
      <c r="D16616" s="7" t="n">
        <v>17</v>
      </c>
      <c r="E16616" s="7" t="n">
        <v>64371</v>
      </c>
      <c r="F16616" s="7" t="s">
        <v>1324</v>
      </c>
      <c r="G16616" s="7" t="n">
        <v>2</v>
      </c>
      <c r="H16616" s="7" t="n">
        <v>3</v>
      </c>
      <c r="I16616" s="7" t="n">
        <v>17</v>
      </c>
      <c r="J16616" s="7" t="n">
        <v>64372</v>
      </c>
      <c r="K16616" s="7" t="s">
        <v>1325</v>
      </c>
      <c r="L16616" s="7" t="n">
        <v>2</v>
      </c>
      <c r="M16616" s="7" t="n">
        <v>3</v>
      </c>
      <c r="N16616" s="7" t="n">
        <v>17</v>
      </c>
      <c r="O16616" s="7" t="n">
        <v>64373</v>
      </c>
      <c r="P16616" s="7" t="s">
        <v>1326</v>
      </c>
      <c r="Q16616" s="7" t="n">
        <v>2</v>
      </c>
      <c r="R16616" s="7" t="n">
        <v>3</v>
      </c>
      <c r="S16616" s="7" t="n">
        <v>17</v>
      </c>
      <c r="T16616" s="7" t="n">
        <v>64374</v>
      </c>
      <c r="U16616" s="7" t="s">
        <v>1327</v>
      </c>
      <c r="V16616" s="7" t="n">
        <v>2</v>
      </c>
      <c r="W16616" s="7" t="n">
        <v>0</v>
      </c>
    </row>
    <row r="16617" spans="1:8">
      <c r="A16617" t="s">
        <v>4</v>
      </c>
      <c r="B16617" s="4" t="s">
        <v>5</v>
      </c>
    </row>
    <row r="16618" spans="1:8">
      <c r="A16618" t="n">
        <v>158812</v>
      </c>
      <c r="B16618" s="27" t="n">
        <v>28</v>
      </c>
    </row>
    <row r="16619" spans="1:8">
      <c r="A16619" t="s">
        <v>4</v>
      </c>
      <c r="B16619" s="4" t="s">
        <v>5</v>
      </c>
      <c r="C16619" s="4" t="s">
        <v>11</v>
      </c>
      <c r="D16619" s="4" t="s">
        <v>7</v>
      </c>
      <c r="E16619" s="4" t="s">
        <v>7</v>
      </c>
      <c r="F16619" s="4" t="s">
        <v>8</v>
      </c>
    </row>
    <row r="16620" spans="1:8">
      <c r="A16620" t="n">
        <v>158813</v>
      </c>
      <c r="B16620" s="41" t="n">
        <v>47</v>
      </c>
      <c r="C16620" s="7" t="n">
        <v>0</v>
      </c>
      <c r="D16620" s="7" t="n">
        <v>0</v>
      </c>
      <c r="E16620" s="7" t="n">
        <v>0</v>
      </c>
      <c r="F16620" s="7" t="s">
        <v>231</v>
      </c>
    </row>
    <row r="16621" spans="1:8">
      <c r="A16621" t="s">
        <v>4</v>
      </c>
      <c r="B16621" s="4" t="s">
        <v>5</v>
      </c>
      <c r="C16621" s="4" t="s">
        <v>7</v>
      </c>
      <c r="D16621" s="4" t="s">
        <v>11</v>
      </c>
      <c r="E16621" s="4" t="s">
        <v>8</v>
      </c>
    </row>
    <row r="16622" spans="1:8">
      <c r="A16622" t="n">
        <v>158830</v>
      </c>
      <c r="B16622" s="38" t="n">
        <v>51</v>
      </c>
      <c r="C16622" s="7" t="n">
        <v>4</v>
      </c>
      <c r="D16622" s="7" t="n">
        <v>0</v>
      </c>
      <c r="E16622" s="7" t="s">
        <v>179</v>
      </c>
    </row>
    <row r="16623" spans="1:8">
      <c r="A16623" t="s">
        <v>4</v>
      </c>
      <c r="B16623" s="4" t="s">
        <v>5</v>
      </c>
      <c r="C16623" s="4" t="s">
        <v>11</v>
      </c>
    </row>
    <row r="16624" spans="1:8">
      <c r="A16624" t="n">
        <v>158844</v>
      </c>
      <c r="B16624" s="29" t="n">
        <v>16</v>
      </c>
      <c r="C16624" s="7" t="n">
        <v>0</v>
      </c>
    </row>
    <row r="16625" spans="1:23">
      <c r="A16625" t="s">
        <v>4</v>
      </c>
      <c r="B16625" s="4" t="s">
        <v>5</v>
      </c>
      <c r="C16625" s="4" t="s">
        <v>11</v>
      </c>
      <c r="D16625" s="4" t="s">
        <v>7</v>
      </c>
      <c r="E16625" s="4" t="s">
        <v>15</v>
      </c>
      <c r="F16625" s="4" t="s">
        <v>55</v>
      </c>
      <c r="G16625" s="4" t="s">
        <v>7</v>
      </c>
      <c r="H16625" s="4" t="s">
        <v>7</v>
      </c>
      <c r="I16625" s="4" t="s">
        <v>7</v>
      </c>
      <c r="J16625" s="4" t="s">
        <v>15</v>
      </c>
      <c r="K16625" s="4" t="s">
        <v>55</v>
      </c>
      <c r="L16625" s="4" t="s">
        <v>7</v>
      </c>
      <c r="M16625" s="4" t="s">
        <v>7</v>
      </c>
    </row>
    <row r="16626" spans="1:23">
      <c r="A16626" t="n">
        <v>158847</v>
      </c>
      <c r="B16626" s="55" t="n">
        <v>26</v>
      </c>
      <c r="C16626" s="7" t="n">
        <v>0</v>
      </c>
      <c r="D16626" s="7" t="n">
        <v>17</v>
      </c>
      <c r="E16626" s="7" t="n">
        <v>64375</v>
      </c>
      <c r="F16626" s="7" t="s">
        <v>1328</v>
      </c>
      <c r="G16626" s="7" t="n">
        <v>2</v>
      </c>
      <c r="H16626" s="7" t="n">
        <v>3</v>
      </c>
      <c r="I16626" s="7" t="n">
        <v>17</v>
      </c>
      <c r="J16626" s="7" t="n">
        <v>64376</v>
      </c>
      <c r="K16626" s="7" t="s">
        <v>1329</v>
      </c>
      <c r="L16626" s="7" t="n">
        <v>2</v>
      </c>
      <c r="M16626" s="7" t="n">
        <v>0</v>
      </c>
    </row>
    <row r="16627" spans="1:23">
      <c r="A16627" t="s">
        <v>4</v>
      </c>
      <c r="B16627" s="4" t="s">
        <v>5</v>
      </c>
    </row>
    <row r="16628" spans="1:23">
      <c r="A16628" t="n">
        <v>158907</v>
      </c>
      <c r="B16628" s="27" t="n">
        <v>28</v>
      </c>
    </row>
    <row r="16629" spans="1:23">
      <c r="A16629" t="s">
        <v>4</v>
      </c>
      <c r="B16629" s="4" t="s">
        <v>5</v>
      </c>
      <c r="C16629" s="4" t="s">
        <v>7</v>
      </c>
      <c r="D16629" s="4" t="s">
        <v>11</v>
      </c>
      <c r="E16629" s="4" t="s">
        <v>11</v>
      </c>
      <c r="F16629" s="4" t="s">
        <v>7</v>
      </c>
    </row>
    <row r="16630" spans="1:23">
      <c r="A16630" t="n">
        <v>158908</v>
      </c>
      <c r="B16630" s="31" t="n">
        <v>25</v>
      </c>
      <c r="C16630" s="7" t="n">
        <v>1</v>
      </c>
      <c r="D16630" s="7" t="n">
        <v>65535</v>
      </c>
      <c r="E16630" s="7" t="n">
        <v>65535</v>
      </c>
      <c r="F16630" s="7" t="n">
        <v>0</v>
      </c>
    </row>
    <row r="16631" spans="1:23">
      <c r="A16631" t="s">
        <v>4</v>
      </c>
      <c r="B16631" s="4" t="s">
        <v>5</v>
      </c>
      <c r="C16631" s="4" t="s">
        <v>11</v>
      </c>
      <c r="D16631" s="4" t="s">
        <v>7</v>
      </c>
      <c r="E16631" s="4" t="s">
        <v>7</v>
      </c>
      <c r="F16631" s="4" t="s">
        <v>8</v>
      </c>
    </row>
    <row r="16632" spans="1:23">
      <c r="A16632" t="n">
        <v>158915</v>
      </c>
      <c r="B16632" s="50" t="n">
        <v>20</v>
      </c>
      <c r="C16632" s="7" t="n">
        <v>6</v>
      </c>
      <c r="D16632" s="7" t="n">
        <v>2</v>
      </c>
      <c r="E16632" s="7" t="n">
        <v>10</v>
      </c>
      <c r="F16632" s="7" t="s">
        <v>223</v>
      </c>
    </row>
    <row r="16633" spans="1:23">
      <c r="A16633" t="s">
        <v>4</v>
      </c>
      <c r="B16633" s="4" t="s">
        <v>5</v>
      </c>
      <c r="C16633" s="4" t="s">
        <v>7</v>
      </c>
      <c r="D16633" s="4" t="s">
        <v>11</v>
      </c>
      <c r="E16633" s="4" t="s">
        <v>8</v>
      </c>
    </row>
    <row r="16634" spans="1:23">
      <c r="A16634" t="n">
        <v>158936</v>
      </c>
      <c r="B16634" s="38" t="n">
        <v>51</v>
      </c>
      <c r="C16634" s="7" t="n">
        <v>4</v>
      </c>
      <c r="D16634" s="7" t="n">
        <v>6</v>
      </c>
      <c r="E16634" s="7" t="s">
        <v>179</v>
      </c>
    </row>
    <row r="16635" spans="1:23">
      <c r="A16635" t="s">
        <v>4</v>
      </c>
      <c r="B16635" s="4" t="s">
        <v>5</v>
      </c>
      <c r="C16635" s="4" t="s">
        <v>11</v>
      </c>
    </row>
    <row r="16636" spans="1:23">
      <c r="A16636" t="n">
        <v>158950</v>
      </c>
      <c r="B16636" s="29" t="n">
        <v>16</v>
      </c>
      <c r="C16636" s="7" t="n">
        <v>0</v>
      </c>
    </row>
    <row r="16637" spans="1:23">
      <c r="A16637" t="s">
        <v>4</v>
      </c>
      <c r="B16637" s="4" t="s">
        <v>5</v>
      </c>
      <c r="C16637" s="4" t="s">
        <v>11</v>
      </c>
      <c r="D16637" s="4" t="s">
        <v>7</v>
      </c>
      <c r="E16637" s="4" t="s">
        <v>15</v>
      </c>
      <c r="F16637" s="4" t="s">
        <v>55</v>
      </c>
      <c r="G16637" s="4" t="s">
        <v>7</v>
      </c>
      <c r="H16637" s="4" t="s">
        <v>7</v>
      </c>
    </row>
    <row r="16638" spans="1:23">
      <c r="A16638" t="n">
        <v>158953</v>
      </c>
      <c r="B16638" s="55" t="n">
        <v>26</v>
      </c>
      <c r="C16638" s="7" t="n">
        <v>6</v>
      </c>
      <c r="D16638" s="7" t="n">
        <v>17</v>
      </c>
      <c r="E16638" s="7" t="n">
        <v>64377</v>
      </c>
      <c r="F16638" s="7" t="s">
        <v>1330</v>
      </c>
      <c r="G16638" s="7" t="n">
        <v>2</v>
      </c>
      <c r="H16638" s="7" t="n">
        <v>0</v>
      </c>
    </row>
    <row r="16639" spans="1:23">
      <c r="A16639" t="s">
        <v>4</v>
      </c>
      <c r="B16639" s="4" t="s">
        <v>5</v>
      </c>
    </row>
    <row r="16640" spans="1:23">
      <c r="A16640" t="n">
        <v>158985</v>
      </c>
      <c r="B16640" s="27" t="n">
        <v>28</v>
      </c>
    </row>
    <row r="16641" spans="1:13">
      <c r="A16641" t="s">
        <v>4</v>
      </c>
      <c r="B16641" s="4" t="s">
        <v>5</v>
      </c>
      <c r="C16641" s="4" t="s">
        <v>12</v>
      </c>
    </row>
    <row r="16642" spans="1:13">
      <c r="A16642" t="n">
        <v>158986</v>
      </c>
      <c r="B16642" s="19" t="n">
        <v>3</v>
      </c>
      <c r="C16642" s="11" t="n">
        <f t="normal" ca="1">A16756</f>
        <v>0</v>
      </c>
    </row>
    <row r="16643" spans="1:13">
      <c r="A16643" t="s">
        <v>4</v>
      </c>
      <c r="B16643" s="4" t="s">
        <v>5</v>
      </c>
      <c r="C16643" s="4" t="s">
        <v>7</v>
      </c>
      <c r="D16643" s="4" t="s">
        <v>11</v>
      </c>
      <c r="E16643" s="4" t="s">
        <v>13</v>
      </c>
    </row>
    <row r="16644" spans="1:13">
      <c r="A16644" t="n">
        <v>158991</v>
      </c>
      <c r="B16644" s="23" t="n">
        <v>58</v>
      </c>
      <c r="C16644" s="7" t="n">
        <v>101</v>
      </c>
      <c r="D16644" s="7" t="n">
        <v>800</v>
      </c>
      <c r="E16644" s="7" t="n">
        <v>1</v>
      </c>
    </row>
    <row r="16645" spans="1:13">
      <c r="A16645" t="s">
        <v>4</v>
      </c>
      <c r="B16645" s="4" t="s">
        <v>5</v>
      </c>
      <c r="C16645" s="4" t="s">
        <v>7</v>
      </c>
      <c r="D16645" s="4" t="s">
        <v>11</v>
      </c>
    </row>
    <row r="16646" spans="1:13">
      <c r="A16646" t="n">
        <v>158999</v>
      </c>
      <c r="B16646" s="23" t="n">
        <v>58</v>
      </c>
      <c r="C16646" s="7" t="n">
        <v>254</v>
      </c>
      <c r="D16646" s="7" t="n">
        <v>0</v>
      </c>
    </row>
    <row r="16647" spans="1:13">
      <c r="A16647" t="s">
        <v>4</v>
      </c>
      <c r="B16647" s="4" t="s">
        <v>5</v>
      </c>
      <c r="C16647" s="4" t="s">
        <v>7</v>
      </c>
      <c r="D16647" s="4" t="s">
        <v>7</v>
      </c>
      <c r="E16647" s="4" t="s">
        <v>13</v>
      </c>
      <c r="F16647" s="4" t="s">
        <v>13</v>
      </c>
      <c r="G16647" s="4" t="s">
        <v>13</v>
      </c>
      <c r="H16647" s="4" t="s">
        <v>11</v>
      </c>
    </row>
    <row r="16648" spans="1:13">
      <c r="A16648" t="n">
        <v>159003</v>
      </c>
      <c r="B16648" s="51" t="n">
        <v>45</v>
      </c>
      <c r="C16648" s="7" t="n">
        <v>2</v>
      </c>
      <c r="D16648" s="7" t="n">
        <v>3</v>
      </c>
      <c r="E16648" s="7" t="n">
        <v>6.73999977111816</v>
      </c>
      <c r="F16648" s="7" t="n">
        <v>6.48999977111816</v>
      </c>
      <c r="G16648" s="7" t="n">
        <v>54.25</v>
      </c>
      <c r="H16648" s="7" t="n">
        <v>0</v>
      </c>
    </row>
    <row r="16649" spans="1:13">
      <c r="A16649" t="s">
        <v>4</v>
      </c>
      <c r="B16649" s="4" t="s">
        <v>5</v>
      </c>
      <c r="C16649" s="4" t="s">
        <v>7</v>
      </c>
      <c r="D16649" s="4" t="s">
        <v>7</v>
      </c>
      <c r="E16649" s="4" t="s">
        <v>13</v>
      </c>
      <c r="F16649" s="4" t="s">
        <v>13</v>
      </c>
      <c r="G16649" s="4" t="s">
        <v>13</v>
      </c>
      <c r="H16649" s="4" t="s">
        <v>11</v>
      </c>
      <c r="I16649" s="4" t="s">
        <v>7</v>
      </c>
    </row>
    <row r="16650" spans="1:13">
      <c r="A16650" t="n">
        <v>159020</v>
      </c>
      <c r="B16650" s="51" t="n">
        <v>45</v>
      </c>
      <c r="C16650" s="7" t="n">
        <v>4</v>
      </c>
      <c r="D16650" s="7" t="n">
        <v>3</v>
      </c>
      <c r="E16650" s="7" t="n">
        <v>4.05000019073486</v>
      </c>
      <c r="F16650" s="7" t="n">
        <v>274.170013427734</v>
      </c>
      <c r="G16650" s="7" t="n">
        <v>358</v>
      </c>
      <c r="H16650" s="7" t="n">
        <v>0</v>
      </c>
      <c r="I16650" s="7" t="n">
        <v>0</v>
      </c>
    </row>
    <row r="16651" spans="1:13">
      <c r="A16651" t="s">
        <v>4</v>
      </c>
      <c r="B16651" s="4" t="s">
        <v>5</v>
      </c>
      <c r="C16651" s="4" t="s">
        <v>7</v>
      </c>
      <c r="D16651" s="4" t="s">
        <v>7</v>
      </c>
      <c r="E16651" s="4" t="s">
        <v>13</v>
      </c>
      <c r="F16651" s="4" t="s">
        <v>11</v>
      </c>
    </row>
    <row r="16652" spans="1:13">
      <c r="A16652" t="n">
        <v>159038</v>
      </c>
      <c r="B16652" s="51" t="n">
        <v>45</v>
      </c>
      <c r="C16652" s="7" t="n">
        <v>5</v>
      </c>
      <c r="D16652" s="7" t="n">
        <v>3</v>
      </c>
      <c r="E16652" s="7" t="n">
        <v>1.39999997615814</v>
      </c>
      <c r="F16652" s="7" t="n">
        <v>0</v>
      </c>
    </row>
    <row r="16653" spans="1:13">
      <c r="A16653" t="s">
        <v>4</v>
      </c>
      <c r="B16653" s="4" t="s">
        <v>5</v>
      </c>
      <c r="C16653" s="4" t="s">
        <v>7</v>
      </c>
      <c r="D16653" s="4" t="s">
        <v>7</v>
      </c>
      <c r="E16653" s="4" t="s">
        <v>13</v>
      </c>
      <c r="F16653" s="4" t="s">
        <v>11</v>
      </c>
    </row>
    <row r="16654" spans="1:13">
      <c r="A16654" t="n">
        <v>159047</v>
      </c>
      <c r="B16654" s="51" t="n">
        <v>45</v>
      </c>
      <c r="C16654" s="7" t="n">
        <v>5</v>
      </c>
      <c r="D16654" s="7" t="n">
        <v>3</v>
      </c>
      <c r="E16654" s="7" t="n">
        <v>1.5</v>
      </c>
      <c r="F16654" s="7" t="n">
        <v>3000</v>
      </c>
    </row>
    <row r="16655" spans="1:13">
      <c r="A16655" t="s">
        <v>4</v>
      </c>
      <c r="B16655" s="4" t="s">
        <v>5</v>
      </c>
      <c r="C16655" s="4" t="s">
        <v>7</v>
      </c>
      <c r="D16655" s="4" t="s">
        <v>7</v>
      </c>
      <c r="E16655" s="4" t="s">
        <v>13</v>
      </c>
      <c r="F16655" s="4" t="s">
        <v>11</v>
      </c>
    </row>
    <row r="16656" spans="1:13">
      <c r="A16656" t="n">
        <v>159056</v>
      </c>
      <c r="B16656" s="51" t="n">
        <v>45</v>
      </c>
      <c r="C16656" s="7" t="n">
        <v>11</v>
      </c>
      <c r="D16656" s="7" t="n">
        <v>3</v>
      </c>
      <c r="E16656" s="7" t="n">
        <v>30</v>
      </c>
      <c r="F16656" s="7" t="n">
        <v>0</v>
      </c>
    </row>
    <row r="16657" spans="1:9">
      <c r="A16657" t="s">
        <v>4</v>
      </c>
      <c r="B16657" s="4" t="s">
        <v>5</v>
      </c>
      <c r="C16657" s="4" t="s">
        <v>7</v>
      </c>
      <c r="D16657" s="4" t="s">
        <v>11</v>
      </c>
      <c r="E16657" s="4" t="s">
        <v>8</v>
      </c>
      <c r="F16657" s="4" t="s">
        <v>8</v>
      </c>
      <c r="G16657" s="4" t="s">
        <v>8</v>
      </c>
      <c r="H16657" s="4" t="s">
        <v>8</v>
      </c>
    </row>
    <row r="16658" spans="1:9">
      <c r="A16658" t="n">
        <v>159065</v>
      </c>
      <c r="B16658" s="38" t="n">
        <v>51</v>
      </c>
      <c r="C16658" s="7" t="n">
        <v>3</v>
      </c>
      <c r="D16658" s="7" t="n">
        <v>6</v>
      </c>
      <c r="E16658" s="7" t="s">
        <v>86</v>
      </c>
      <c r="F16658" s="7" t="s">
        <v>218</v>
      </c>
      <c r="G16658" s="7" t="s">
        <v>78</v>
      </c>
      <c r="H16658" s="7" t="s">
        <v>79</v>
      </c>
    </row>
    <row r="16659" spans="1:9">
      <c r="A16659" t="s">
        <v>4</v>
      </c>
      <c r="B16659" s="4" t="s">
        <v>5</v>
      </c>
      <c r="C16659" s="4" t="s">
        <v>7</v>
      </c>
      <c r="D16659" s="4" t="s">
        <v>11</v>
      </c>
    </row>
    <row r="16660" spans="1:9">
      <c r="A16660" t="n">
        <v>159078</v>
      </c>
      <c r="B16660" s="23" t="n">
        <v>58</v>
      </c>
      <c r="C16660" s="7" t="n">
        <v>255</v>
      </c>
      <c r="D16660" s="7" t="n">
        <v>0</v>
      </c>
    </row>
    <row r="16661" spans="1:9">
      <c r="A16661" t="s">
        <v>4</v>
      </c>
      <c r="B16661" s="4" t="s">
        <v>5</v>
      </c>
      <c r="C16661" s="4" t="s">
        <v>11</v>
      </c>
      <c r="D16661" s="4" t="s">
        <v>7</v>
      </c>
      <c r="E16661" s="4" t="s">
        <v>13</v>
      </c>
      <c r="F16661" s="4" t="s">
        <v>11</v>
      </c>
    </row>
    <row r="16662" spans="1:9">
      <c r="A16662" t="n">
        <v>159082</v>
      </c>
      <c r="B16662" s="56" t="n">
        <v>59</v>
      </c>
      <c r="C16662" s="7" t="n">
        <v>6</v>
      </c>
      <c r="D16662" s="7" t="n">
        <v>9</v>
      </c>
      <c r="E16662" s="7" t="n">
        <v>0.150000005960464</v>
      </c>
      <c r="F16662" s="7" t="n">
        <v>0</v>
      </c>
    </row>
    <row r="16663" spans="1:9">
      <c r="A16663" t="s">
        <v>4</v>
      </c>
      <c r="B16663" s="4" t="s">
        <v>5</v>
      </c>
      <c r="C16663" s="4" t="s">
        <v>11</v>
      </c>
    </row>
    <row r="16664" spans="1:9">
      <c r="A16664" t="n">
        <v>159092</v>
      </c>
      <c r="B16664" s="29" t="n">
        <v>16</v>
      </c>
      <c r="C16664" s="7" t="n">
        <v>1500</v>
      </c>
    </row>
    <row r="16665" spans="1:9">
      <c r="A16665" t="s">
        <v>4</v>
      </c>
      <c r="B16665" s="4" t="s">
        <v>5</v>
      </c>
      <c r="C16665" s="4" t="s">
        <v>7</v>
      </c>
      <c r="D16665" s="4" t="s">
        <v>11</v>
      </c>
      <c r="E16665" s="4" t="s">
        <v>8</v>
      </c>
    </row>
    <row r="16666" spans="1:9">
      <c r="A16666" t="n">
        <v>159095</v>
      </c>
      <c r="B16666" s="38" t="n">
        <v>51</v>
      </c>
      <c r="C16666" s="7" t="n">
        <v>4</v>
      </c>
      <c r="D16666" s="7" t="n">
        <v>6</v>
      </c>
      <c r="E16666" s="7" t="s">
        <v>224</v>
      </c>
    </row>
    <row r="16667" spans="1:9">
      <c r="A16667" t="s">
        <v>4</v>
      </c>
      <c r="B16667" s="4" t="s">
        <v>5</v>
      </c>
      <c r="C16667" s="4" t="s">
        <v>11</v>
      </c>
    </row>
    <row r="16668" spans="1:9">
      <c r="A16668" t="n">
        <v>159109</v>
      </c>
      <c r="B16668" s="29" t="n">
        <v>16</v>
      </c>
      <c r="C16668" s="7" t="n">
        <v>0</v>
      </c>
    </row>
    <row r="16669" spans="1:9">
      <c r="A16669" t="s">
        <v>4</v>
      </c>
      <c r="B16669" s="4" t="s">
        <v>5</v>
      </c>
      <c r="C16669" s="4" t="s">
        <v>11</v>
      </c>
      <c r="D16669" s="4" t="s">
        <v>7</v>
      </c>
      <c r="E16669" s="4" t="s">
        <v>15</v>
      </c>
      <c r="F16669" s="4" t="s">
        <v>55</v>
      </c>
      <c r="G16669" s="4" t="s">
        <v>7</v>
      </c>
      <c r="H16669" s="4" t="s">
        <v>7</v>
      </c>
    </row>
    <row r="16670" spans="1:9">
      <c r="A16670" t="n">
        <v>159112</v>
      </c>
      <c r="B16670" s="55" t="n">
        <v>26</v>
      </c>
      <c r="C16670" s="7" t="n">
        <v>6</v>
      </c>
      <c r="D16670" s="7" t="n">
        <v>17</v>
      </c>
      <c r="E16670" s="7" t="n">
        <v>64378</v>
      </c>
      <c r="F16670" s="7" t="s">
        <v>1331</v>
      </c>
      <c r="G16670" s="7" t="n">
        <v>2</v>
      </c>
      <c r="H16670" s="7" t="n">
        <v>0</v>
      </c>
    </row>
    <row r="16671" spans="1:9">
      <c r="A16671" t="s">
        <v>4</v>
      </c>
      <c r="B16671" s="4" t="s">
        <v>5</v>
      </c>
    </row>
    <row r="16672" spans="1:9">
      <c r="A16672" t="n">
        <v>159240</v>
      </c>
      <c r="B16672" s="27" t="n">
        <v>28</v>
      </c>
    </row>
    <row r="16673" spans="1:8">
      <c r="A16673" t="s">
        <v>4</v>
      </c>
      <c r="B16673" s="4" t="s">
        <v>5</v>
      </c>
      <c r="C16673" s="4" t="s">
        <v>11</v>
      </c>
      <c r="D16673" s="4" t="s">
        <v>13</v>
      </c>
      <c r="E16673" s="4" t="s">
        <v>13</v>
      </c>
      <c r="F16673" s="4" t="s">
        <v>13</v>
      </c>
      <c r="G16673" s="4" t="s">
        <v>11</v>
      </c>
      <c r="H16673" s="4" t="s">
        <v>11</v>
      </c>
    </row>
    <row r="16674" spans="1:8">
      <c r="A16674" t="n">
        <v>159241</v>
      </c>
      <c r="B16674" s="37" t="n">
        <v>60</v>
      </c>
      <c r="C16674" s="7" t="n">
        <v>6</v>
      </c>
      <c r="D16674" s="7" t="n">
        <v>0</v>
      </c>
      <c r="E16674" s="7" t="n">
        <v>0</v>
      </c>
      <c r="F16674" s="7" t="n">
        <v>0</v>
      </c>
      <c r="G16674" s="7" t="n">
        <v>800</v>
      </c>
      <c r="H16674" s="7" t="n">
        <v>0</v>
      </c>
    </row>
    <row r="16675" spans="1:8">
      <c r="A16675" t="s">
        <v>4</v>
      </c>
      <c r="B16675" s="4" t="s">
        <v>5</v>
      </c>
      <c r="C16675" s="4" t="s">
        <v>11</v>
      </c>
    </row>
    <row r="16676" spans="1:8">
      <c r="A16676" t="n">
        <v>159260</v>
      </c>
      <c r="B16676" s="29" t="n">
        <v>16</v>
      </c>
      <c r="C16676" s="7" t="n">
        <v>300</v>
      </c>
    </row>
    <row r="16677" spans="1:8">
      <c r="A16677" t="s">
        <v>4</v>
      </c>
      <c r="B16677" s="4" t="s">
        <v>5</v>
      </c>
      <c r="C16677" s="4" t="s">
        <v>7</v>
      </c>
      <c r="D16677" s="4" t="s">
        <v>11</v>
      </c>
      <c r="E16677" s="4" t="s">
        <v>8</v>
      </c>
    </row>
    <row r="16678" spans="1:8">
      <c r="A16678" t="n">
        <v>159263</v>
      </c>
      <c r="B16678" s="38" t="n">
        <v>51</v>
      </c>
      <c r="C16678" s="7" t="n">
        <v>4</v>
      </c>
      <c r="D16678" s="7" t="n">
        <v>6</v>
      </c>
      <c r="E16678" s="7" t="s">
        <v>137</v>
      </c>
    </row>
    <row r="16679" spans="1:8">
      <c r="A16679" t="s">
        <v>4</v>
      </c>
      <c r="B16679" s="4" t="s">
        <v>5</v>
      </c>
      <c r="C16679" s="4" t="s">
        <v>11</v>
      </c>
    </row>
    <row r="16680" spans="1:8">
      <c r="A16680" t="n">
        <v>159276</v>
      </c>
      <c r="B16680" s="29" t="n">
        <v>16</v>
      </c>
      <c r="C16680" s="7" t="n">
        <v>0</v>
      </c>
    </row>
    <row r="16681" spans="1:8">
      <c r="A16681" t="s">
        <v>4</v>
      </c>
      <c r="B16681" s="4" t="s">
        <v>5</v>
      </c>
      <c r="C16681" s="4" t="s">
        <v>11</v>
      </c>
      <c r="D16681" s="4" t="s">
        <v>7</v>
      </c>
      <c r="E16681" s="4" t="s">
        <v>15</v>
      </c>
      <c r="F16681" s="4" t="s">
        <v>55</v>
      </c>
      <c r="G16681" s="4" t="s">
        <v>7</v>
      </c>
      <c r="H16681" s="4" t="s">
        <v>7</v>
      </c>
    </row>
    <row r="16682" spans="1:8">
      <c r="A16682" t="n">
        <v>159279</v>
      </c>
      <c r="B16682" s="55" t="n">
        <v>26</v>
      </c>
      <c r="C16682" s="7" t="n">
        <v>6</v>
      </c>
      <c r="D16682" s="7" t="n">
        <v>17</v>
      </c>
      <c r="E16682" s="7" t="n">
        <v>64379</v>
      </c>
      <c r="F16682" s="7" t="s">
        <v>1332</v>
      </c>
      <c r="G16682" s="7" t="n">
        <v>2</v>
      </c>
      <c r="H16682" s="7" t="n">
        <v>0</v>
      </c>
    </row>
    <row r="16683" spans="1:8">
      <c r="A16683" t="s">
        <v>4</v>
      </c>
      <c r="B16683" s="4" t="s">
        <v>5</v>
      </c>
    </row>
    <row r="16684" spans="1:8">
      <c r="A16684" t="n">
        <v>159379</v>
      </c>
      <c r="B16684" s="27" t="n">
        <v>28</v>
      </c>
    </row>
    <row r="16685" spans="1:8">
      <c r="A16685" t="s">
        <v>4</v>
      </c>
      <c r="B16685" s="4" t="s">
        <v>5</v>
      </c>
      <c r="C16685" s="4" t="s">
        <v>11</v>
      </c>
      <c r="D16685" s="4" t="s">
        <v>7</v>
      </c>
      <c r="E16685" s="4" t="s">
        <v>7</v>
      </c>
      <c r="F16685" s="4" t="s">
        <v>8</v>
      </c>
    </row>
    <row r="16686" spans="1:8">
      <c r="A16686" t="n">
        <v>159380</v>
      </c>
      <c r="B16686" s="50" t="n">
        <v>20</v>
      </c>
      <c r="C16686" s="7" t="n">
        <v>0</v>
      </c>
      <c r="D16686" s="7" t="n">
        <v>2</v>
      </c>
      <c r="E16686" s="7" t="n">
        <v>10</v>
      </c>
      <c r="F16686" s="7" t="s">
        <v>260</v>
      </c>
    </row>
    <row r="16687" spans="1:8">
      <c r="A16687" t="s">
        <v>4</v>
      </c>
      <c r="B16687" s="4" t="s">
        <v>5</v>
      </c>
      <c r="C16687" s="4" t="s">
        <v>7</v>
      </c>
      <c r="D16687" s="4" t="s">
        <v>11</v>
      </c>
      <c r="E16687" s="4" t="s">
        <v>8</v>
      </c>
    </row>
    <row r="16688" spans="1:8">
      <c r="A16688" t="n">
        <v>159400</v>
      </c>
      <c r="B16688" s="38" t="n">
        <v>51</v>
      </c>
      <c r="C16688" s="7" t="n">
        <v>4</v>
      </c>
      <c r="D16688" s="7" t="n">
        <v>0</v>
      </c>
      <c r="E16688" s="7" t="s">
        <v>242</v>
      </c>
    </row>
    <row r="16689" spans="1:8">
      <c r="A16689" t="s">
        <v>4</v>
      </c>
      <c r="B16689" s="4" t="s">
        <v>5</v>
      </c>
      <c r="C16689" s="4" t="s">
        <v>11</v>
      </c>
    </row>
    <row r="16690" spans="1:8">
      <c r="A16690" t="n">
        <v>159414</v>
      </c>
      <c r="B16690" s="29" t="n">
        <v>16</v>
      </c>
      <c r="C16690" s="7" t="n">
        <v>0</v>
      </c>
    </row>
    <row r="16691" spans="1:8">
      <c r="A16691" t="s">
        <v>4</v>
      </c>
      <c r="B16691" s="4" t="s">
        <v>5</v>
      </c>
      <c r="C16691" s="4" t="s">
        <v>11</v>
      </c>
      <c r="D16691" s="4" t="s">
        <v>7</v>
      </c>
      <c r="E16691" s="4" t="s">
        <v>15</v>
      </c>
      <c r="F16691" s="4" t="s">
        <v>55</v>
      </c>
      <c r="G16691" s="4" t="s">
        <v>7</v>
      </c>
      <c r="H16691" s="4" t="s">
        <v>7</v>
      </c>
      <c r="I16691" s="4" t="s">
        <v>7</v>
      </c>
      <c r="J16691" s="4" t="s">
        <v>15</v>
      </c>
      <c r="K16691" s="4" t="s">
        <v>55</v>
      </c>
      <c r="L16691" s="4" t="s">
        <v>7</v>
      </c>
      <c r="M16691" s="4" t="s">
        <v>7</v>
      </c>
    </row>
    <row r="16692" spans="1:8">
      <c r="A16692" t="n">
        <v>159417</v>
      </c>
      <c r="B16692" s="55" t="n">
        <v>26</v>
      </c>
      <c r="C16692" s="7" t="n">
        <v>0</v>
      </c>
      <c r="D16692" s="7" t="n">
        <v>17</v>
      </c>
      <c r="E16692" s="7" t="n">
        <v>64380</v>
      </c>
      <c r="F16692" s="7" t="s">
        <v>1333</v>
      </c>
      <c r="G16692" s="7" t="n">
        <v>2</v>
      </c>
      <c r="H16692" s="7" t="n">
        <v>3</v>
      </c>
      <c r="I16692" s="7" t="n">
        <v>17</v>
      </c>
      <c r="J16692" s="7" t="n">
        <v>64381</v>
      </c>
      <c r="K16692" s="7" t="s">
        <v>1334</v>
      </c>
      <c r="L16692" s="7" t="n">
        <v>2</v>
      </c>
      <c r="M16692" s="7" t="n">
        <v>0</v>
      </c>
    </row>
    <row r="16693" spans="1:8">
      <c r="A16693" t="s">
        <v>4</v>
      </c>
      <c r="B16693" s="4" t="s">
        <v>5</v>
      </c>
    </row>
    <row r="16694" spans="1:8">
      <c r="A16694" t="n">
        <v>159531</v>
      </c>
      <c r="B16694" s="27" t="n">
        <v>28</v>
      </c>
    </row>
    <row r="16695" spans="1:8">
      <c r="A16695" t="s">
        <v>4</v>
      </c>
      <c r="B16695" s="4" t="s">
        <v>5</v>
      </c>
      <c r="C16695" s="4" t="s">
        <v>7</v>
      </c>
      <c r="D16695" s="4" t="s">
        <v>11</v>
      </c>
      <c r="E16695" s="4" t="s">
        <v>11</v>
      </c>
      <c r="F16695" s="4" t="s">
        <v>7</v>
      </c>
    </row>
    <row r="16696" spans="1:8">
      <c r="A16696" t="n">
        <v>159532</v>
      </c>
      <c r="B16696" s="31" t="n">
        <v>25</v>
      </c>
      <c r="C16696" s="7" t="n">
        <v>1</v>
      </c>
      <c r="D16696" s="7" t="n">
        <v>65535</v>
      </c>
      <c r="E16696" s="7" t="n">
        <v>65535</v>
      </c>
      <c r="F16696" s="7" t="n">
        <v>0</v>
      </c>
    </row>
    <row r="16697" spans="1:8">
      <c r="A16697" t="s">
        <v>4</v>
      </c>
      <c r="B16697" s="4" t="s">
        <v>5</v>
      </c>
      <c r="C16697" s="4" t="s">
        <v>7</v>
      </c>
      <c r="D16697" s="4" t="s">
        <v>11</v>
      </c>
      <c r="E16697" s="4" t="s">
        <v>8</v>
      </c>
    </row>
    <row r="16698" spans="1:8">
      <c r="A16698" t="n">
        <v>159539</v>
      </c>
      <c r="B16698" s="38" t="n">
        <v>51</v>
      </c>
      <c r="C16698" s="7" t="n">
        <v>4</v>
      </c>
      <c r="D16698" s="7" t="n">
        <v>6</v>
      </c>
      <c r="E16698" s="7" t="s">
        <v>1335</v>
      </c>
    </row>
    <row r="16699" spans="1:8">
      <c r="A16699" t="s">
        <v>4</v>
      </c>
      <c r="B16699" s="4" t="s">
        <v>5</v>
      </c>
      <c r="C16699" s="4" t="s">
        <v>11</v>
      </c>
    </row>
    <row r="16700" spans="1:8">
      <c r="A16700" t="n">
        <v>159553</v>
      </c>
      <c r="B16700" s="29" t="n">
        <v>16</v>
      </c>
      <c r="C16700" s="7" t="n">
        <v>0</v>
      </c>
    </row>
    <row r="16701" spans="1:8">
      <c r="A16701" t="s">
        <v>4</v>
      </c>
      <c r="B16701" s="4" t="s">
        <v>5</v>
      </c>
      <c r="C16701" s="4" t="s">
        <v>11</v>
      </c>
      <c r="D16701" s="4" t="s">
        <v>7</v>
      </c>
      <c r="E16701" s="4" t="s">
        <v>15</v>
      </c>
      <c r="F16701" s="4" t="s">
        <v>55</v>
      </c>
      <c r="G16701" s="4" t="s">
        <v>7</v>
      </c>
      <c r="H16701" s="4" t="s">
        <v>7</v>
      </c>
    </row>
    <row r="16702" spans="1:8">
      <c r="A16702" t="n">
        <v>159556</v>
      </c>
      <c r="B16702" s="55" t="n">
        <v>26</v>
      </c>
      <c r="C16702" s="7" t="n">
        <v>6</v>
      </c>
      <c r="D16702" s="7" t="n">
        <v>17</v>
      </c>
      <c r="E16702" s="7" t="n">
        <v>65313</v>
      </c>
      <c r="F16702" s="7" t="s">
        <v>464</v>
      </c>
      <c r="G16702" s="7" t="n">
        <v>2</v>
      </c>
      <c r="H16702" s="7" t="n">
        <v>0</v>
      </c>
    </row>
    <row r="16703" spans="1:8">
      <c r="A16703" t="s">
        <v>4</v>
      </c>
      <c r="B16703" s="4" t="s">
        <v>5</v>
      </c>
    </row>
    <row r="16704" spans="1:8">
      <c r="A16704" t="n">
        <v>159569</v>
      </c>
      <c r="B16704" s="27" t="n">
        <v>28</v>
      </c>
    </row>
    <row r="16705" spans="1:13">
      <c r="A16705" t="s">
        <v>4</v>
      </c>
      <c r="B16705" s="4" t="s">
        <v>5</v>
      </c>
      <c r="C16705" s="4" t="s">
        <v>7</v>
      </c>
      <c r="D16705" s="4" t="s">
        <v>11</v>
      </c>
      <c r="E16705" s="4" t="s">
        <v>8</v>
      </c>
    </row>
    <row r="16706" spans="1:13">
      <c r="A16706" t="n">
        <v>159570</v>
      </c>
      <c r="B16706" s="38" t="n">
        <v>51</v>
      </c>
      <c r="C16706" s="7" t="n">
        <v>4</v>
      </c>
      <c r="D16706" s="7" t="n">
        <v>0</v>
      </c>
      <c r="E16706" s="7" t="s">
        <v>242</v>
      </c>
    </row>
    <row r="16707" spans="1:13">
      <c r="A16707" t="s">
        <v>4</v>
      </c>
      <c r="B16707" s="4" t="s">
        <v>5</v>
      </c>
      <c r="C16707" s="4" t="s">
        <v>11</v>
      </c>
    </row>
    <row r="16708" spans="1:13">
      <c r="A16708" t="n">
        <v>159584</v>
      </c>
      <c r="B16708" s="29" t="n">
        <v>16</v>
      </c>
      <c r="C16708" s="7" t="n">
        <v>0</v>
      </c>
    </row>
    <row r="16709" spans="1:13">
      <c r="A16709" t="s">
        <v>4</v>
      </c>
      <c r="B16709" s="4" t="s">
        <v>5</v>
      </c>
      <c r="C16709" s="4" t="s">
        <v>11</v>
      </c>
      <c r="D16709" s="4" t="s">
        <v>7</v>
      </c>
      <c r="E16709" s="4" t="s">
        <v>15</v>
      </c>
      <c r="F16709" s="4" t="s">
        <v>55</v>
      </c>
      <c r="G16709" s="4" t="s">
        <v>7</v>
      </c>
      <c r="H16709" s="4" t="s">
        <v>7</v>
      </c>
      <c r="I16709" s="4" t="s">
        <v>7</v>
      </c>
      <c r="J16709" s="4" t="s">
        <v>15</v>
      </c>
      <c r="K16709" s="4" t="s">
        <v>55</v>
      </c>
      <c r="L16709" s="4" t="s">
        <v>7</v>
      </c>
      <c r="M16709" s="4" t="s">
        <v>7</v>
      </c>
      <c r="N16709" s="4" t="s">
        <v>7</v>
      </c>
      <c r="O16709" s="4" t="s">
        <v>15</v>
      </c>
      <c r="P16709" s="4" t="s">
        <v>55</v>
      </c>
      <c r="Q16709" s="4" t="s">
        <v>7</v>
      </c>
      <c r="R16709" s="4" t="s">
        <v>7</v>
      </c>
    </row>
    <row r="16710" spans="1:13">
      <c r="A16710" t="n">
        <v>159587</v>
      </c>
      <c r="B16710" s="55" t="n">
        <v>26</v>
      </c>
      <c r="C16710" s="7" t="n">
        <v>0</v>
      </c>
      <c r="D16710" s="7" t="n">
        <v>17</v>
      </c>
      <c r="E16710" s="7" t="n">
        <v>64382</v>
      </c>
      <c r="F16710" s="7" t="s">
        <v>1336</v>
      </c>
      <c r="G16710" s="7" t="n">
        <v>2</v>
      </c>
      <c r="H16710" s="7" t="n">
        <v>3</v>
      </c>
      <c r="I16710" s="7" t="n">
        <v>17</v>
      </c>
      <c r="J16710" s="7" t="n">
        <v>64383</v>
      </c>
      <c r="K16710" s="7" t="s">
        <v>1337</v>
      </c>
      <c r="L16710" s="7" t="n">
        <v>2</v>
      </c>
      <c r="M16710" s="7" t="n">
        <v>3</v>
      </c>
      <c r="N16710" s="7" t="n">
        <v>17</v>
      </c>
      <c r="O16710" s="7" t="n">
        <v>64336</v>
      </c>
      <c r="P16710" s="7" t="s">
        <v>1288</v>
      </c>
      <c r="Q16710" s="7" t="n">
        <v>2</v>
      </c>
      <c r="R16710" s="7" t="n">
        <v>0</v>
      </c>
    </row>
    <row r="16711" spans="1:13">
      <c r="A16711" t="s">
        <v>4</v>
      </c>
      <c r="B16711" s="4" t="s">
        <v>5</v>
      </c>
    </row>
    <row r="16712" spans="1:13">
      <c r="A16712" t="n">
        <v>159918</v>
      </c>
      <c r="B16712" s="27" t="n">
        <v>28</v>
      </c>
    </row>
    <row r="16713" spans="1:13">
      <c r="A16713" t="s">
        <v>4</v>
      </c>
      <c r="B16713" s="4" t="s">
        <v>5</v>
      </c>
      <c r="C16713" s="4" t="s">
        <v>7</v>
      </c>
      <c r="D16713" s="4" t="s">
        <v>11</v>
      </c>
      <c r="E16713" s="4" t="s">
        <v>11</v>
      </c>
      <c r="F16713" s="4" t="s">
        <v>7</v>
      </c>
    </row>
    <row r="16714" spans="1:13">
      <c r="A16714" t="n">
        <v>159919</v>
      </c>
      <c r="B16714" s="31" t="n">
        <v>25</v>
      </c>
      <c r="C16714" s="7" t="n">
        <v>1</v>
      </c>
      <c r="D16714" s="7" t="n">
        <v>65535</v>
      </c>
      <c r="E16714" s="7" t="n">
        <v>65535</v>
      </c>
      <c r="F16714" s="7" t="n">
        <v>0</v>
      </c>
    </row>
    <row r="16715" spans="1:13">
      <c r="A16715" t="s">
        <v>4</v>
      </c>
      <c r="B16715" s="4" t="s">
        <v>5</v>
      </c>
      <c r="C16715" s="4" t="s">
        <v>11</v>
      </c>
      <c r="D16715" s="4" t="s">
        <v>13</v>
      </c>
      <c r="E16715" s="4" t="s">
        <v>13</v>
      </c>
      <c r="F16715" s="4" t="s">
        <v>13</v>
      </c>
      <c r="G16715" s="4" t="s">
        <v>11</v>
      </c>
      <c r="H16715" s="4" t="s">
        <v>11</v>
      </c>
    </row>
    <row r="16716" spans="1:13">
      <c r="A16716" t="n">
        <v>159926</v>
      </c>
      <c r="B16716" s="37" t="n">
        <v>60</v>
      </c>
      <c r="C16716" s="7" t="n">
        <v>6</v>
      </c>
      <c r="D16716" s="7" t="n">
        <v>0</v>
      </c>
      <c r="E16716" s="7" t="n">
        <v>-10</v>
      </c>
      <c r="F16716" s="7" t="n">
        <v>0</v>
      </c>
      <c r="G16716" s="7" t="n">
        <v>800</v>
      </c>
      <c r="H16716" s="7" t="n">
        <v>0</v>
      </c>
    </row>
    <row r="16717" spans="1:13">
      <c r="A16717" t="s">
        <v>4</v>
      </c>
      <c r="B16717" s="4" t="s">
        <v>5</v>
      </c>
      <c r="C16717" s="4" t="s">
        <v>7</v>
      </c>
      <c r="D16717" s="4" t="s">
        <v>11</v>
      </c>
      <c r="E16717" s="4" t="s">
        <v>8</v>
      </c>
    </row>
    <row r="16718" spans="1:13">
      <c r="A16718" t="n">
        <v>159945</v>
      </c>
      <c r="B16718" s="38" t="n">
        <v>51</v>
      </c>
      <c r="C16718" s="7" t="n">
        <v>4</v>
      </c>
      <c r="D16718" s="7" t="n">
        <v>6</v>
      </c>
      <c r="E16718" s="7" t="s">
        <v>235</v>
      </c>
    </row>
    <row r="16719" spans="1:13">
      <c r="A16719" t="s">
        <v>4</v>
      </c>
      <c r="B16719" s="4" t="s">
        <v>5</v>
      </c>
      <c r="C16719" s="4" t="s">
        <v>11</v>
      </c>
    </row>
    <row r="16720" spans="1:13">
      <c r="A16720" t="n">
        <v>159959</v>
      </c>
      <c r="B16720" s="29" t="n">
        <v>16</v>
      </c>
      <c r="C16720" s="7" t="n">
        <v>0</v>
      </c>
    </row>
    <row r="16721" spans="1:18">
      <c r="A16721" t="s">
        <v>4</v>
      </c>
      <c r="B16721" s="4" t="s">
        <v>5</v>
      </c>
      <c r="C16721" s="4" t="s">
        <v>11</v>
      </c>
      <c r="D16721" s="4" t="s">
        <v>7</v>
      </c>
      <c r="E16721" s="4" t="s">
        <v>15</v>
      </c>
      <c r="F16721" s="4" t="s">
        <v>55</v>
      </c>
      <c r="G16721" s="4" t="s">
        <v>7</v>
      </c>
      <c r="H16721" s="4" t="s">
        <v>7</v>
      </c>
      <c r="I16721" s="4" t="s">
        <v>7</v>
      </c>
      <c r="J16721" s="4" t="s">
        <v>15</v>
      </c>
      <c r="K16721" s="4" t="s">
        <v>55</v>
      </c>
      <c r="L16721" s="4" t="s">
        <v>7</v>
      </c>
      <c r="M16721" s="4" t="s">
        <v>7</v>
      </c>
      <c r="N16721" s="4" t="s">
        <v>7</v>
      </c>
      <c r="O16721" s="4" t="s">
        <v>15</v>
      </c>
      <c r="P16721" s="4" t="s">
        <v>55</v>
      </c>
      <c r="Q16721" s="4" t="s">
        <v>7</v>
      </c>
      <c r="R16721" s="4" t="s">
        <v>7</v>
      </c>
    </row>
    <row r="16722" spans="1:18">
      <c r="A16722" t="n">
        <v>159962</v>
      </c>
      <c r="B16722" s="55" t="n">
        <v>26</v>
      </c>
      <c r="C16722" s="7" t="n">
        <v>6</v>
      </c>
      <c r="D16722" s="7" t="n">
        <v>17</v>
      </c>
      <c r="E16722" s="7" t="n">
        <v>64384</v>
      </c>
      <c r="F16722" s="7" t="s">
        <v>1338</v>
      </c>
      <c r="G16722" s="7" t="n">
        <v>2</v>
      </c>
      <c r="H16722" s="7" t="n">
        <v>3</v>
      </c>
      <c r="I16722" s="7" t="n">
        <v>17</v>
      </c>
      <c r="J16722" s="7" t="n">
        <v>64385</v>
      </c>
      <c r="K16722" s="7" t="s">
        <v>1339</v>
      </c>
      <c r="L16722" s="7" t="n">
        <v>2</v>
      </c>
      <c r="M16722" s="7" t="n">
        <v>3</v>
      </c>
      <c r="N16722" s="7" t="n">
        <v>17</v>
      </c>
      <c r="O16722" s="7" t="n">
        <v>64386</v>
      </c>
      <c r="P16722" s="7" t="s">
        <v>1340</v>
      </c>
      <c r="Q16722" s="7" t="n">
        <v>2</v>
      </c>
      <c r="R16722" s="7" t="n">
        <v>0</v>
      </c>
    </row>
    <row r="16723" spans="1:18">
      <c r="A16723" t="s">
        <v>4</v>
      </c>
      <c r="B16723" s="4" t="s">
        <v>5</v>
      </c>
    </row>
    <row r="16724" spans="1:18">
      <c r="A16724" t="n">
        <v>160245</v>
      </c>
      <c r="B16724" s="27" t="n">
        <v>28</v>
      </c>
    </row>
    <row r="16725" spans="1:18">
      <c r="A16725" t="s">
        <v>4</v>
      </c>
      <c r="B16725" s="4" t="s">
        <v>5</v>
      </c>
      <c r="C16725" s="4" t="s">
        <v>11</v>
      </c>
      <c r="D16725" s="4" t="s">
        <v>13</v>
      </c>
      <c r="E16725" s="4" t="s">
        <v>13</v>
      </c>
      <c r="F16725" s="4" t="s">
        <v>13</v>
      </c>
      <c r="G16725" s="4" t="s">
        <v>11</v>
      </c>
      <c r="H16725" s="4" t="s">
        <v>11</v>
      </c>
    </row>
    <row r="16726" spans="1:18">
      <c r="A16726" t="n">
        <v>160246</v>
      </c>
      <c r="B16726" s="37" t="n">
        <v>60</v>
      </c>
      <c r="C16726" s="7" t="n">
        <v>6</v>
      </c>
      <c r="D16726" s="7" t="n">
        <v>0</v>
      </c>
      <c r="E16726" s="7" t="n">
        <v>0</v>
      </c>
      <c r="F16726" s="7" t="n">
        <v>0</v>
      </c>
      <c r="G16726" s="7" t="n">
        <v>800</v>
      </c>
      <c r="H16726" s="7" t="n">
        <v>0</v>
      </c>
    </row>
    <row r="16727" spans="1:18">
      <c r="A16727" t="s">
        <v>4</v>
      </c>
      <c r="B16727" s="4" t="s">
        <v>5</v>
      </c>
      <c r="C16727" s="4" t="s">
        <v>11</v>
      </c>
    </row>
    <row r="16728" spans="1:18">
      <c r="A16728" t="n">
        <v>160265</v>
      </c>
      <c r="B16728" s="29" t="n">
        <v>16</v>
      </c>
      <c r="C16728" s="7" t="n">
        <v>500</v>
      </c>
    </row>
    <row r="16729" spans="1:18">
      <c r="A16729" t="s">
        <v>4</v>
      </c>
      <c r="B16729" s="4" t="s">
        <v>5</v>
      </c>
      <c r="C16729" s="4" t="s">
        <v>7</v>
      </c>
      <c r="D16729" s="4" t="s">
        <v>11</v>
      </c>
      <c r="E16729" s="4" t="s">
        <v>8</v>
      </c>
    </row>
    <row r="16730" spans="1:18">
      <c r="A16730" t="n">
        <v>160268</v>
      </c>
      <c r="B16730" s="38" t="n">
        <v>51</v>
      </c>
      <c r="C16730" s="7" t="n">
        <v>4</v>
      </c>
      <c r="D16730" s="7" t="n">
        <v>6</v>
      </c>
      <c r="E16730" s="7" t="s">
        <v>137</v>
      </c>
    </row>
    <row r="16731" spans="1:18">
      <c r="A16731" t="s">
        <v>4</v>
      </c>
      <c r="B16731" s="4" t="s">
        <v>5</v>
      </c>
      <c r="C16731" s="4" t="s">
        <v>11</v>
      </c>
    </row>
    <row r="16732" spans="1:18">
      <c r="A16732" t="n">
        <v>160281</v>
      </c>
      <c r="B16732" s="29" t="n">
        <v>16</v>
      </c>
      <c r="C16732" s="7" t="n">
        <v>0</v>
      </c>
    </row>
    <row r="16733" spans="1:18">
      <c r="A16733" t="s">
        <v>4</v>
      </c>
      <c r="B16733" s="4" t="s">
        <v>5</v>
      </c>
      <c r="C16733" s="4" t="s">
        <v>11</v>
      </c>
      <c r="D16733" s="4" t="s">
        <v>7</v>
      </c>
      <c r="E16733" s="4" t="s">
        <v>15</v>
      </c>
      <c r="F16733" s="4" t="s">
        <v>55</v>
      </c>
      <c r="G16733" s="4" t="s">
        <v>7</v>
      </c>
      <c r="H16733" s="4" t="s">
        <v>7</v>
      </c>
      <c r="I16733" s="4" t="s">
        <v>7</v>
      </c>
      <c r="J16733" s="4" t="s">
        <v>15</v>
      </c>
      <c r="K16733" s="4" t="s">
        <v>55</v>
      </c>
      <c r="L16733" s="4" t="s">
        <v>7</v>
      </c>
      <c r="M16733" s="4" t="s">
        <v>7</v>
      </c>
      <c r="N16733" s="4" t="s">
        <v>7</v>
      </c>
      <c r="O16733" s="4" t="s">
        <v>15</v>
      </c>
      <c r="P16733" s="4" t="s">
        <v>55</v>
      </c>
      <c r="Q16733" s="4" t="s">
        <v>7</v>
      </c>
      <c r="R16733" s="4" t="s">
        <v>7</v>
      </c>
      <c r="S16733" s="4" t="s">
        <v>7</v>
      </c>
      <c r="T16733" s="4" t="s">
        <v>15</v>
      </c>
      <c r="U16733" s="4" t="s">
        <v>55</v>
      </c>
      <c r="V16733" s="4" t="s">
        <v>7</v>
      </c>
      <c r="W16733" s="4" t="s">
        <v>7</v>
      </c>
    </row>
    <row r="16734" spans="1:18">
      <c r="A16734" t="n">
        <v>160284</v>
      </c>
      <c r="B16734" s="55" t="n">
        <v>26</v>
      </c>
      <c r="C16734" s="7" t="n">
        <v>6</v>
      </c>
      <c r="D16734" s="7" t="n">
        <v>17</v>
      </c>
      <c r="E16734" s="7" t="n">
        <v>64387</v>
      </c>
      <c r="F16734" s="7" t="s">
        <v>1341</v>
      </c>
      <c r="G16734" s="7" t="n">
        <v>2</v>
      </c>
      <c r="H16734" s="7" t="n">
        <v>3</v>
      </c>
      <c r="I16734" s="7" t="n">
        <v>17</v>
      </c>
      <c r="J16734" s="7" t="n">
        <v>64388</v>
      </c>
      <c r="K16734" s="7" t="s">
        <v>1342</v>
      </c>
      <c r="L16734" s="7" t="n">
        <v>2</v>
      </c>
      <c r="M16734" s="7" t="n">
        <v>3</v>
      </c>
      <c r="N16734" s="7" t="n">
        <v>17</v>
      </c>
      <c r="O16734" s="7" t="n">
        <v>64389</v>
      </c>
      <c r="P16734" s="7" t="s">
        <v>1343</v>
      </c>
      <c r="Q16734" s="7" t="n">
        <v>2</v>
      </c>
      <c r="R16734" s="7" t="n">
        <v>3</v>
      </c>
      <c r="S16734" s="7" t="n">
        <v>17</v>
      </c>
      <c r="T16734" s="7" t="n">
        <v>64390</v>
      </c>
      <c r="U16734" s="7" t="s">
        <v>1344</v>
      </c>
      <c r="V16734" s="7" t="n">
        <v>2</v>
      </c>
      <c r="W16734" s="7" t="n">
        <v>0</v>
      </c>
    </row>
    <row r="16735" spans="1:18">
      <c r="A16735" t="s">
        <v>4</v>
      </c>
      <c r="B16735" s="4" t="s">
        <v>5</v>
      </c>
    </row>
    <row r="16736" spans="1:18">
      <c r="A16736" t="n">
        <v>160746</v>
      </c>
      <c r="B16736" s="27" t="n">
        <v>28</v>
      </c>
    </row>
    <row r="16737" spans="1:23">
      <c r="A16737" t="s">
        <v>4</v>
      </c>
      <c r="B16737" s="4" t="s">
        <v>5</v>
      </c>
      <c r="C16737" s="4" t="s">
        <v>7</v>
      </c>
      <c r="D16737" s="4" t="s">
        <v>11</v>
      </c>
      <c r="E16737" s="4" t="s">
        <v>8</v>
      </c>
    </row>
    <row r="16738" spans="1:23">
      <c r="A16738" t="n">
        <v>160747</v>
      </c>
      <c r="B16738" s="38" t="n">
        <v>51</v>
      </c>
      <c r="C16738" s="7" t="n">
        <v>4</v>
      </c>
      <c r="D16738" s="7" t="n">
        <v>0</v>
      </c>
      <c r="E16738" s="7" t="s">
        <v>304</v>
      </c>
    </row>
    <row r="16739" spans="1:23">
      <c r="A16739" t="s">
        <v>4</v>
      </c>
      <c r="B16739" s="4" t="s">
        <v>5</v>
      </c>
      <c r="C16739" s="4" t="s">
        <v>11</v>
      </c>
    </row>
    <row r="16740" spans="1:23">
      <c r="A16740" t="n">
        <v>160760</v>
      </c>
      <c r="B16740" s="29" t="n">
        <v>16</v>
      </c>
      <c r="C16740" s="7" t="n">
        <v>0</v>
      </c>
    </row>
    <row r="16741" spans="1:23">
      <c r="A16741" t="s">
        <v>4</v>
      </c>
      <c r="B16741" s="4" t="s">
        <v>5</v>
      </c>
      <c r="C16741" s="4" t="s">
        <v>11</v>
      </c>
      <c r="D16741" s="4" t="s">
        <v>7</v>
      </c>
      <c r="E16741" s="4" t="s">
        <v>15</v>
      </c>
      <c r="F16741" s="4" t="s">
        <v>55</v>
      </c>
      <c r="G16741" s="4" t="s">
        <v>7</v>
      </c>
      <c r="H16741" s="4" t="s">
        <v>7</v>
      </c>
      <c r="I16741" s="4" t="s">
        <v>7</v>
      </c>
      <c r="J16741" s="4" t="s">
        <v>15</v>
      </c>
      <c r="K16741" s="4" t="s">
        <v>55</v>
      </c>
      <c r="L16741" s="4" t="s">
        <v>7</v>
      </c>
      <c r="M16741" s="4" t="s">
        <v>7</v>
      </c>
    </row>
    <row r="16742" spans="1:23">
      <c r="A16742" t="n">
        <v>160763</v>
      </c>
      <c r="B16742" s="55" t="n">
        <v>26</v>
      </c>
      <c r="C16742" s="7" t="n">
        <v>0</v>
      </c>
      <c r="D16742" s="7" t="n">
        <v>17</v>
      </c>
      <c r="E16742" s="7" t="n">
        <v>64391</v>
      </c>
      <c r="F16742" s="7" t="s">
        <v>1345</v>
      </c>
      <c r="G16742" s="7" t="n">
        <v>2</v>
      </c>
      <c r="H16742" s="7" t="n">
        <v>3</v>
      </c>
      <c r="I16742" s="7" t="n">
        <v>17</v>
      </c>
      <c r="J16742" s="7" t="n">
        <v>64392</v>
      </c>
      <c r="K16742" s="7" t="s">
        <v>1346</v>
      </c>
      <c r="L16742" s="7" t="n">
        <v>2</v>
      </c>
      <c r="M16742" s="7" t="n">
        <v>0</v>
      </c>
    </row>
    <row r="16743" spans="1:23">
      <c r="A16743" t="s">
        <v>4</v>
      </c>
      <c r="B16743" s="4" t="s">
        <v>5</v>
      </c>
    </row>
    <row r="16744" spans="1:23">
      <c r="A16744" t="n">
        <v>160825</v>
      </c>
      <c r="B16744" s="27" t="n">
        <v>28</v>
      </c>
    </row>
    <row r="16745" spans="1:23">
      <c r="A16745" t="s">
        <v>4</v>
      </c>
      <c r="B16745" s="4" t="s">
        <v>5</v>
      </c>
      <c r="C16745" s="4" t="s">
        <v>7</v>
      </c>
      <c r="D16745" s="4" t="s">
        <v>11</v>
      </c>
      <c r="E16745" s="4" t="s">
        <v>11</v>
      </c>
      <c r="F16745" s="4" t="s">
        <v>7</v>
      </c>
    </row>
    <row r="16746" spans="1:23">
      <c r="A16746" t="n">
        <v>160826</v>
      </c>
      <c r="B16746" s="31" t="n">
        <v>25</v>
      </c>
      <c r="C16746" s="7" t="n">
        <v>1</v>
      </c>
      <c r="D16746" s="7" t="n">
        <v>65535</v>
      </c>
      <c r="E16746" s="7" t="n">
        <v>65535</v>
      </c>
      <c r="F16746" s="7" t="n">
        <v>0</v>
      </c>
    </row>
    <row r="16747" spans="1:23">
      <c r="A16747" t="s">
        <v>4</v>
      </c>
      <c r="B16747" s="4" t="s">
        <v>5</v>
      </c>
      <c r="C16747" s="4" t="s">
        <v>7</v>
      </c>
      <c r="D16747" s="4" t="s">
        <v>11</v>
      </c>
      <c r="E16747" s="4" t="s">
        <v>8</v>
      </c>
    </row>
    <row r="16748" spans="1:23">
      <c r="A16748" t="n">
        <v>160833</v>
      </c>
      <c r="B16748" s="38" t="n">
        <v>51</v>
      </c>
      <c r="C16748" s="7" t="n">
        <v>4</v>
      </c>
      <c r="D16748" s="7" t="n">
        <v>6</v>
      </c>
      <c r="E16748" s="7" t="s">
        <v>233</v>
      </c>
    </row>
    <row r="16749" spans="1:23">
      <c r="A16749" t="s">
        <v>4</v>
      </c>
      <c r="B16749" s="4" t="s">
        <v>5</v>
      </c>
      <c r="C16749" s="4" t="s">
        <v>11</v>
      </c>
    </row>
    <row r="16750" spans="1:23">
      <c r="A16750" t="n">
        <v>160846</v>
      </c>
      <c r="B16750" s="29" t="n">
        <v>16</v>
      </c>
      <c r="C16750" s="7" t="n">
        <v>0</v>
      </c>
    </row>
    <row r="16751" spans="1:23">
      <c r="A16751" t="s">
        <v>4</v>
      </c>
      <c r="B16751" s="4" t="s">
        <v>5</v>
      </c>
      <c r="C16751" s="4" t="s">
        <v>11</v>
      </c>
      <c r="D16751" s="4" t="s">
        <v>7</v>
      </c>
      <c r="E16751" s="4" t="s">
        <v>15</v>
      </c>
      <c r="F16751" s="4" t="s">
        <v>55</v>
      </c>
      <c r="G16751" s="4" t="s">
        <v>7</v>
      </c>
      <c r="H16751" s="4" t="s">
        <v>7</v>
      </c>
    </row>
    <row r="16752" spans="1:23">
      <c r="A16752" t="n">
        <v>160849</v>
      </c>
      <c r="B16752" s="55" t="n">
        <v>26</v>
      </c>
      <c r="C16752" s="7" t="n">
        <v>6</v>
      </c>
      <c r="D16752" s="7" t="n">
        <v>17</v>
      </c>
      <c r="E16752" s="7" t="n">
        <v>64393</v>
      </c>
      <c r="F16752" s="7" t="s">
        <v>1347</v>
      </c>
      <c r="G16752" s="7" t="n">
        <v>2</v>
      </c>
      <c r="H16752" s="7" t="n">
        <v>0</v>
      </c>
    </row>
    <row r="16753" spans="1:13">
      <c r="A16753" t="s">
        <v>4</v>
      </c>
      <c r="B16753" s="4" t="s">
        <v>5</v>
      </c>
    </row>
    <row r="16754" spans="1:13">
      <c r="A16754" t="n">
        <v>160878</v>
      </c>
      <c r="B16754" s="27" t="n">
        <v>28</v>
      </c>
    </row>
    <row r="16755" spans="1:13">
      <c r="A16755" t="s">
        <v>4</v>
      </c>
      <c r="B16755" s="4" t="s">
        <v>5</v>
      </c>
      <c r="C16755" s="4" t="s">
        <v>7</v>
      </c>
      <c r="D16755" s="4" t="s">
        <v>11</v>
      </c>
      <c r="E16755" s="4" t="s">
        <v>13</v>
      </c>
    </row>
    <row r="16756" spans="1:13">
      <c r="A16756" t="n">
        <v>160879</v>
      </c>
      <c r="B16756" s="23" t="n">
        <v>58</v>
      </c>
      <c r="C16756" s="7" t="n">
        <v>0</v>
      </c>
      <c r="D16756" s="7" t="n">
        <v>2000</v>
      </c>
      <c r="E16756" s="7" t="n">
        <v>1</v>
      </c>
    </row>
    <row r="16757" spans="1:13">
      <c r="A16757" t="s">
        <v>4</v>
      </c>
      <c r="B16757" s="4" t="s">
        <v>5</v>
      </c>
      <c r="C16757" s="4" t="s">
        <v>7</v>
      </c>
      <c r="D16757" s="4" t="s">
        <v>11</v>
      </c>
    </row>
    <row r="16758" spans="1:13">
      <c r="A16758" t="n">
        <v>160887</v>
      </c>
      <c r="B16758" s="23" t="n">
        <v>58</v>
      </c>
      <c r="C16758" s="7" t="n">
        <v>255</v>
      </c>
      <c r="D16758" s="7" t="n">
        <v>0</v>
      </c>
    </row>
    <row r="16759" spans="1:13">
      <c r="A16759" t="s">
        <v>4</v>
      </c>
      <c r="B16759" s="4" t="s">
        <v>5</v>
      </c>
      <c r="C16759" s="4" t="s">
        <v>11</v>
      </c>
    </row>
    <row r="16760" spans="1:13">
      <c r="A16760" t="n">
        <v>160891</v>
      </c>
      <c r="B16760" s="29" t="n">
        <v>16</v>
      </c>
      <c r="C16760" s="7" t="n">
        <v>1000</v>
      </c>
    </row>
    <row r="16761" spans="1:13">
      <c r="A16761" t="s">
        <v>4</v>
      </c>
      <c r="B16761" s="4" t="s">
        <v>5</v>
      </c>
      <c r="C16761" s="4" t="s">
        <v>7</v>
      </c>
      <c r="D16761" s="4" t="s">
        <v>11</v>
      </c>
      <c r="E16761" s="4" t="s">
        <v>7</v>
      </c>
    </row>
    <row r="16762" spans="1:13">
      <c r="A16762" t="n">
        <v>160894</v>
      </c>
      <c r="B16762" s="40" t="n">
        <v>36</v>
      </c>
      <c r="C16762" s="7" t="n">
        <v>9</v>
      </c>
      <c r="D16762" s="7" t="n">
        <v>6</v>
      </c>
      <c r="E16762" s="7" t="n">
        <v>0</v>
      </c>
    </row>
    <row r="16763" spans="1:13">
      <c r="A16763" t="s">
        <v>4</v>
      </c>
      <c r="B16763" s="4" t="s">
        <v>5</v>
      </c>
      <c r="C16763" s="4" t="s">
        <v>11</v>
      </c>
    </row>
    <row r="16764" spans="1:13">
      <c r="A16764" t="n">
        <v>160899</v>
      </c>
      <c r="B16764" s="43" t="n">
        <v>12</v>
      </c>
      <c r="C16764" s="7" t="n">
        <v>10308</v>
      </c>
    </row>
    <row r="16765" spans="1:13">
      <c r="A16765" t="s">
        <v>4</v>
      </c>
      <c r="B16765" s="4" t="s">
        <v>5</v>
      </c>
      <c r="C16765" s="4" t="s">
        <v>7</v>
      </c>
      <c r="D16765" s="4" t="s">
        <v>11</v>
      </c>
      <c r="E16765" s="4" t="s">
        <v>11</v>
      </c>
    </row>
    <row r="16766" spans="1:13">
      <c r="A16766" t="n">
        <v>160902</v>
      </c>
      <c r="B16766" s="59" t="n">
        <v>135</v>
      </c>
      <c r="C16766" s="7" t="n">
        <v>0</v>
      </c>
      <c r="D16766" s="7" t="n">
        <v>6</v>
      </c>
      <c r="E16766" s="7" t="n">
        <v>64</v>
      </c>
    </row>
    <row r="16767" spans="1:13">
      <c r="A16767" t="s">
        <v>4</v>
      </c>
      <c r="B16767" s="4" t="s">
        <v>5</v>
      </c>
      <c r="C16767" s="4" t="s">
        <v>7</v>
      </c>
      <c r="D16767" s="4" t="s">
        <v>8</v>
      </c>
    </row>
    <row r="16768" spans="1:13">
      <c r="A16768" t="n">
        <v>160908</v>
      </c>
      <c r="B16768" s="6" t="n">
        <v>2</v>
      </c>
      <c r="C16768" s="7" t="n">
        <v>11</v>
      </c>
      <c r="D16768" s="7" t="s">
        <v>37</v>
      </c>
    </row>
    <row r="16769" spans="1:5">
      <c r="A16769" t="s">
        <v>4</v>
      </c>
      <c r="B16769" s="4" t="s">
        <v>5</v>
      </c>
      <c r="C16769" s="4" t="s">
        <v>11</v>
      </c>
      <c r="D16769" s="4" t="s">
        <v>13</v>
      </c>
      <c r="E16769" s="4" t="s">
        <v>13</v>
      </c>
      <c r="F16769" s="4" t="s">
        <v>13</v>
      </c>
      <c r="G16769" s="4" t="s">
        <v>13</v>
      </c>
    </row>
    <row r="16770" spans="1:5">
      <c r="A16770" t="n">
        <v>160932</v>
      </c>
      <c r="B16770" s="36" t="n">
        <v>46</v>
      </c>
      <c r="C16770" s="7" t="n">
        <v>61456</v>
      </c>
      <c r="D16770" s="7" t="n">
        <v>5.94000005722046</v>
      </c>
      <c r="E16770" s="7" t="n">
        <v>5.01000022888184</v>
      </c>
      <c r="F16770" s="7" t="n">
        <v>54.9300003051758</v>
      </c>
      <c r="G16770" s="7" t="n">
        <v>287.100006103516</v>
      </c>
    </row>
    <row r="16771" spans="1:5">
      <c r="A16771" t="s">
        <v>4</v>
      </c>
      <c r="B16771" s="4" t="s">
        <v>5</v>
      </c>
      <c r="C16771" s="4" t="s">
        <v>7</v>
      </c>
      <c r="D16771" s="4" t="s">
        <v>7</v>
      </c>
      <c r="E16771" s="4" t="s">
        <v>13</v>
      </c>
      <c r="F16771" s="4" t="s">
        <v>13</v>
      </c>
      <c r="G16771" s="4" t="s">
        <v>13</v>
      </c>
      <c r="H16771" s="4" t="s">
        <v>11</v>
      </c>
      <c r="I16771" s="4" t="s">
        <v>7</v>
      </c>
    </row>
    <row r="16772" spans="1:5">
      <c r="A16772" t="n">
        <v>160951</v>
      </c>
      <c r="B16772" s="51" t="n">
        <v>45</v>
      </c>
      <c r="C16772" s="7" t="n">
        <v>4</v>
      </c>
      <c r="D16772" s="7" t="n">
        <v>3</v>
      </c>
      <c r="E16772" s="7" t="n">
        <v>7.07999992370605</v>
      </c>
      <c r="F16772" s="7" t="n">
        <v>273.489990234375</v>
      </c>
      <c r="G16772" s="7" t="n">
        <v>0</v>
      </c>
      <c r="H16772" s="7" t="n">
        <v>0</v>
      </c>
      <c r="I16772" s="7" t="n">
        <v>0</v>
      </c>
    </row>
    <row r="16773" spans="1:5">
      <c r="A16773" t="s">
        <v>4</v>
      </c>
      <c r="B16773" s="4" t="s">
        <v>5</v>
      </c>
      <c r="C16773" s="4" t="s">
        <v>7</v>
      </c>
      <c r="D16773" s="4" t="s">
        <v>8</v>
      </c>
    </row>
    <row r="16774" spans="1:5">
      <c r="A16774" t="n">
        <v>160969</v>
      </c>
      <c r="B16774" s="6" t="n">
        <v>2</v>
      </c>
      <c r="C16774" s="7" t="n">
        <v>10</v>
      </c>
      <c r="D16774" s="7" t="s">
        <v>119</v>
      </c>
    </row>
    <row r="16775" spans="1:5">
      <c r="A16775" t="s">
        <v>4</v>
      </c>
      <c r="B16775" s="4" t="s">
        <v>5</v>
      </c>
      <c r="C16775" s="4" t="s">
        <v>11</v>
      </c>
    </row>
    <row r="16776" spans="1:5">
      <c r="A16776" t="n">
        <v>160984</v>
      </c>
      <c r="B16776" s="29" t="n">
        <v>16</v>
      </c>
      <c r="C16776" s="7" t="n">
        <v>0</v>
      </c>
    </row>
    <row r="16777" spans="1:5">
      <c r="A16777" t="s">
        <v>4</v>
      </c>
      <c r="B16777" s="4" t="s">
        <v>5</v>
      </c>
      <c r="C16777" s="4" t="s">
        <v>7</v>
      </c>
      <c r="D16777" s="4" t="s">
        <v>11</v>
      </c>
    </row>
    <row r="16778" spans="1:5">
      <c r="A16778" t="n">
        <v>160987</v>
      </c>
      <c r="B16778" s="23" t="n">
        <v>58</v>
      </c>
      <c r="C16778" s="7" t="n">
        <v>105</v>
      </c>
      <c r="D16778" s="7" t="n">
        <v>300</v>
      </c>
    </row>
    <row r="16779" spans="1:5">
      <c r="A16779" t="s">
        <v>4</v>
      </c>
      <c r="B16779" s="4" t="s">
        <v>5</v>
      </c>
      <c r="C16779" s="4" t="s">
        <v>13</v>
      </c>
      <c r="D16779" s="4" t="s">
        <v>11</v>
      </c>
    </row>
    <row r="16780" spans="1:5">
      <c r="A16780" t="n">
        <v>160991</v>
      </c>
      <c r="B16780" s="46" t="n">
        <v>103</v>
      </c>
      <c r="C16780" s="7" t="n">
        <v>1</v>
      </c>
      <c r="D16780" s="7" t="n">
        <v>300</v>
      </c>
    </row>
    <row r="16781" spans="1:5">
      <c r="A16781" t="s">
        <v>4</v>
      </c>
      <c r="B16781" s="4" t="s">
        <v>5</v>
      </c>
      <c r="C16781" s="4" t="s">
        <v>7</v>
      </c>
      <c r="D16781" s="4" t="s">
        <v>11</v>
      </c>
    </row>
    <row r="16782" spans="1:5">
      <c r="A16782" t="n">
        <v>160998</v>
      </c>
      <c r="B16782" s="48" t="n">
        <v>72</v>
      </c>
      <c r="C16782" s="7" t="n">
        <v>4</v>
      </c>
      <c r="D16782" s="7" t="n">
        <v>0</v>
      </c>
    </row>
    <row r="16783" spans="1:5">
      <c r="A16783" t="s">
        <v>4</v>
      </c>
      <c r="B16783" s="4" t="s">
        <v>5</v>
      </c>
      <c r="C16783" s="4" t="s">
        <v>15</v>
      </c>
    </row>
    <row r="16784" spans="1:5">
      <c r="A16784" t="n">
        <v>161002</v>
      </c>
      <c r="B16784" s="61" t="n">
        <v>15</v>
      </c>
      <c r="C16784" s="7" t="n">
        <v>1073741824</v>
      </c>
    </row>
    <row r="16785" spans="1:9">
      <c r="A16785" t="s">
        <v>4</v>
      </c>
      <c r="B16785" s="4" t="s">
        <v>5</v>
      </c>
      <c r="C16785" s="4" t="s">
        <v>7</v>
      </c>
    </row>
    <row r="16786" spans="1:9">
      <c r="A16786" t="n">
        <v>161007</v>
      </c>
      <c r="B16786" s="47" t="n">
        <v>64</v>
      </c>
      <c r="C16786" s="7" t="n">
        <v>3</v>
      </c>
    </row>
    <row r="16787" spans="1:9">
      <c r="A16787" t="s">
        <v>4</v>
      </c>
      <c r="B16787" s="4" t="s">
        <v>5</v>
      </c>
      <c r="C16787" s="4" t="s">
        <v>7</v>
      </c>
    </row>
    <row r="16788" spans="1:9">
      <c r="A16788" t="n">
        <v>161009</v>
      </c>
      <c r="B16788" s="45" t="n">
        <v>74</v>
      </c>
      <c r="C16788" s="7" t="n">
        <v>67</v>
      </c>
    </row>
    <row r="16789" spans="1:9">
      <c r="A16789" t="s">
        <v>4</v>
      </c>
      <c r="B16789" s="4" t="s">
        <v>5</v>
      </c>
      <c r="C16789" s="4" t="s">
        <v>7</v>
      </c>
      <c r="D16789" s="4" t="s">
        <v>7</v>
      </c>
      <c r="E16789" s="4" t="s">
        <v>11</v>
      </c>
    </row>
    <row r="16790" spans="1:9">
      <c r="A16790" t="n">
        <v>161011</v>
      </c>
      <c r="B16790" s="51" t="n">
        <v>45</v>
      </c>
      <c r="C16790" s="7" t="n">
        <v>8</v>
      </c>
      <c r="D16790" s="7" t="n">
        <v>1</v>
      </c>
      <c r="E16790" s="7" t="n">
        <v>0</v>
      </c>
    </row>
    <row r="16791" spans="1:9">
      <c r="A16791" t="s">
        <v>4</v>
      </c>
      <c r="B16791" s="4" t="s">
        <v>5</v>
      </c>
      <c r="C16791" s="4" t="s">
        <v>11</v>
      </c>
    </row>
    <row r="16792" spans="1:9">
      <c r="A16792" t="n">
        <v>161016</v>
      </c>
      <c r="B16792" s="12" t="n">
        <v>13</v>
      </c>
      <c r="C16792" s="7" t="n">
        <v>6409</v>
      </c>
    </row>
    <row r="16793" spans="1:9">
      <c r="A16793" t="s">
        <v>4</v>
      </c>
      <c r="B16793" s="4" t="s">
        <v>5</v>
      </c>
      <c r="C16793" s="4" t="s">
        <v>11</v>
      </c>
    </row>
    <row r="16794" spans="1:9">
      <c r="A16794" t="n">
        <v>161019</v>
      </c>
      <c r="B16794" s="12" t="n">
        <v>13</v>
      </c>
      <c r="C16794" s="7" t="n">
        <v>6408</v>
      </c>
    </row>
    <row r="16795" spans="1:9">
      <c r="A16795" t="s">
        <v>4</v>
      </c>
      <c r="B16795" s="4" t="s">
        <v>5</v>
      </c>
      <c r="C16795" s="4" t="s">
        <v>11</v>
      </c>
    </row>
    <row r="16796" spans="1:9">
      <c r="A16796" t="n">
        <v>161022</v>
      </c>
      <c r="B16796" s="43" t="n">
        <v>12</v>
      </c>
      <c r="C16796" s="7" t="n">
        <v>6464</v>
      </c>
    </row>
    <row r="16797" spans="1:9">
      <c r="A16797" t="s">
        <v>4</v>
      </c>
      <c r="B16797" s="4" t="s">
        <v>5</v>
      </c>
      <c r="C16797" s="4" t="s">
        <v>11</v>
      </c>
    </row>
    <row r="16798" spans="1:9">
      <c r="A16798" t="n">
        <v>161025</v>
      </c>
      <c r="B16798" s="12" t="n">
        <v>13</v>
      </c>
      <c r="C16798" s="7" t="n">
        <v>6465</v>
      </c>
    </row>
    <row r="16799" spans="1:9">
      <c r="A16799" t="s">
        <v>4</v>
      </c>
      <c r="B16799" s="4" t="s">
        <v>5</v>
      </c>
      <c r="C16799" s="4" t="s">
        <v>11</v>
      </c>
    </row>
    <row r="16800" spans="1:9">
      <c r="A16800" t="n">
        <v>161028</v>
      </c>
      <c r="B16800" s="12" t="n">
        <v>13</v>
      </c>
      <c r="C16800" s="7" t="n">
        <v>6466</v>
      </c>
    </row>
    <row r="16801" spans="1:5">
      <c r="A16801" t="s">
        <v>4</v>
      </c>
      <c r="B16801" s="4" t="s">
        <v>5</v>
      </c>
      <c r="C16801" s="4" t="s">
        <v>11</v>
      </c>
    </row>
    <row r="16802" spans="1:5">
      <c r="A16802" t="n">
        <v>161031</v>
      </c>
      <c r="B16802" s="12" t="n">
        <v>13</v>
      </c>
      <c r="C16802" s="7" t="n">
        <v>6467</v>
      </c>
    </row>
    <row r="16803" spans="1:5">
      <c r="A16803" t="s">
        <v>4</v>
      </c>
      <c r="B16803" s="4" t="s">
        <v>5</v>
      </c>
      <c r="C16803" s="4" t="s">
        <v>11</v>
      </c>
    </row>
    <row r="16804" spans="1:5">
      <c r="A16804" t="n">
        <v>161034</v>
      </c>
      <c r="B16804" s="12" t="n">
        <v>13</v>
      </c>
      <c r="C16804" s="7" t="n">
        <v>6468</v>
      </c>
    </row>
    <row r="16805" spans="1:5">
      <c r="A16805" t="s">
        <v>4</v>
      </c>
      <c r="B16805" s="4" t="s">
        <v>5</v>
      </c>
      <c r="C16805" s="4" t="s">
        <v>11</v>
      </c>
    </row>
    <row r="16806" spans="1:5">
      <c r="A16806" t="n">
        <v>161037</v>
      </c>
      <c r="B16806" s="12" t="n">
        <v>13</v>
      </c>
      <c r="C16806" s="7" t="n">
        <v>6469</v>
      </c>
    </row>
    <row r="16807" spans="1:5">
      <c r="A16807" t="s">
        <v>4</v>
      </c>
      <c r="B16807" s="4" t="s">
        <v>5</v>
      </c>
      <c r="C16807" s="4" t="s">
        <v>11</v>
      </c>
    </row>
    <row r="16808" spans="1:5">
      <c r="A16808" t="n">
        <v>161040</v>
      </c>
      <c r="B16808" s="12" t="n">
        <v>13</v>
      </c>
      <c r="C16808" s="7" t="n">
        <v>6470</v>
      </c>
    </row>
    <row r="16809" spans="1:5">
      <c r="A16809" t="s">
        <v>4</v>
      </c>
      <c r="B16809" s="4" t="s">
        <v>5</v>
      </c>
      <c r="C16809" s="4" t="s">
        <v>11</v>
      </c>
    </row>
    <row r="16810" spans="1:5">
      <c r="A16810" t="n">
        <v>161043</v>
      </c>
      <c r="B16810" s="12" t="n">
        <v>13</v>
      </c>
      <c r="C16810" s="7" t="n">
        <v>6471</v>
      </c>
    </row>
    <row r="16811" spans="1:5">
      <c r="A16811" t="s">
        <v>4</v>
      </c>
      <c r="B16811" s="4" t="s">
        <v>5</v>
      </c>
      <c r="C16811" s="4" t="s">
        <v>7</v>
      </c>
    </row>
    <row r="16812" spans="1:5">
      <c r="A16812" t="n">
        <v>161046</v>
      </c>
      <c r="B16812" s="45" t="n">
        <v>74</v>
      </c>
      <c r="C16812" s="7" t="n">
        <v>18</v>
      </c>
    </row>
    <row r="16813" spans="1:5">
      <c r="A16813" t="s">
        <v>4</v>
      </c>
      <c r="B16813" s="4" t="s">
        <v>5</v>
      </c>
      <c r="C16813" s="4" t="s">
        <v>7</v>
      </c>
    </row>
    <row r="16814" spans="1:5">
      <c r="A16814" t="n">
        <v>161048</v>
      </c>
      <c r="B16814" s="45" t="n">
        <v>74</v>
      </c>
      <c r="C16814" s="7" t="n">
        <v>45</v>
      </c>
    </row>
    <row r="16815" spans="1:5">
      <c r="A16815" t="s">
        <v>4</v>
      </c>
      <c r="B16815" s="4" t="s">
        <v>5</v>
      </c>
      <c r="C16815" s="4" t="s">
        <v>11</v>
      </c>
    </row>
    <row r="16816" spans="1:5">
      <c r="A16816" t="n">
        <v>161050</v>
      </c>
      <c r="B16816" s="29" t="n">
        <v>16</v>
      </c>
      <c r="C16816" s="7" t="n">
        <v>0</v>
      </c>
    </row>
    <row r="16817" spans="1:3">
      <c r="A16817" t="s">
        <v>4</v>
      </c>
      <c r="B16817" s="4" t="s">
        <v>5</v>
      </c>
      <c r="C16817" s="4" t="s">
        <v>7</v>
      </c>
      <c r="D16817" s="4" t="s">
        <v>7</v>
      </c>
      <c r="E16817" s="4" t="s">
        <v>7</v>
      </c>
      <c r="F16817" s="4" t="s">
        <v>7</v>
      </c>
    </row>
    <row r="16818" spans="1:3">
      <c r="A16818" t="n">
        <v>161053</v>
      </c>
      <c r="B16818" s="9" t="n">
        <v>14</v>
      </c>
      <c r="C16818" s="7" t="n">
        <v>0</v>
      </c>
      <c r="D16818" s="7" t="n">
        <v>8</v>
      </c>
      <c r="E16818" s="7" t="n">
        <v>0</v>
      </c>
      <c r="F16818" s="7" t="n">
        <v>0</v>
      </c>
    </row>
    <row r="16819" spans="1:3">
      <c r="A16819" t="s">
        <v>4</v>
      </c>
      <c r="B16819" s="4" t="s">
        <v>5</v>
      </c>
      <c r="C16819" s="4" t="s">
        <v>7</v>
      </c>
      <c r="D16819" s="4" t="s">
        <v>8</v>
      </c>
    </row>
    <row r="16820" spans="1:3">
      <c r="A16820" t="n">
        <v>161058</v>
      </c>
      <c r="B16820" s="6" t="n">
        <v>2</v>
      </c>
      <c r="C16820" s="7" t="n">
        <v>11</v>
      </c>
      <c r="D16820" s="7" t="s">
        <v>14</v>
      </c>
    </row>
    <row r="16821" spans="1:3">
      <c r="A16821" t="s">
        <v>4</v>
      </c>
      <c r="B16821" s="4" t="s">
        <v>5</v>
      </c>
      <c r="C16821" s="4" t="s">
        <v>11</v>
      </c>
    </row>
    <row r="16822" spans="1:3">
      <c r="A16822" t="n">
        <v>161072</v>
      </c>
      <c r="B16822" s="29" t="n">
        <v>16</v>
      </c>
      <c r="C16822" s="7" t="n">
        <v>0</v>
      </c>
    </row>
    <row r="16823" spans="1:3">
      <c r="A16823" t="s">
        <v>4</v>
      </c>
      <c r="B16823" s="4" t="s">
        <v>5</v>
      </c>
      <c r="C16823" s="4" t="s">
        <v>7</v>
      </c>
      <c r="D16823" s="4" t="s">
        <v>8</v>
      </c>
    </row>
    <row r="16824" spans="1:3">
      <c r="A16824" t="n">
        <v>161075</v>
      </c>
      <c r="B16824" s="6" t="n">
        <v>2</v>
      </c>
      <c r="C16824" s="7" t="n">
        <v>11</v>
      </c>
      <c r="D16824" s="7" t="s">
        <v>120</v>
      </c>
    </row>
    <row r="16825" spans="1:3">
      <c r="A16825" t="s">
        <v>4</v>
      </c>
      <c r="B16825" s="4" t="s">
        <v>5</v>
      </c>
      <c r="C16825" s="4" t="s">
        <v>11</v>
      </c>
    </row>
    <row r="16826" spans="1:3">
      <c r="A16826" t="n">
        <v>161084</v>
      </c>
      <c r="B16826" s="29" t="n">
        <v>16</v>
      </c>
      <c r="C16826" s="7" t="n">
        <v>0</v>
      </c>
    </row>
    <row r="16827" spans="1:3">
      <c r="A16827" t="s">
        <v>4</v>
      </c>
      <c r="B16827" s="4" t="s">
        <v>5</v>
      </c>
      <c r="C16827" s="4" t="s">
        <v>15</v>
      </c>
    </row>
    <row r="16828" spans="1:3">
      <c r="A16828" t="n">
        <v>161087</v>
      </c>
      <c r="B16828" s="61" t="n">
        <v>15</v>
      </c>
      <c r="C16828" s="7" t="n">
        <v>2048</v>
      </c>
    </row>
    <row r="16829" spans="1:3">
      <c r="A16829" t="s">
        <v>4</v>
      </c>
      <c r="B16829" s="4" t="s">
        <v>5</v>
      </c>
      <c r="C16829" s="4" t="s">
        <v>7</v>
      </c>
      <c r="D16829" s="4" t="s">
        <v>8</v>
      </c>
    </row>
    <row r="16830" spans="1:3">
      <c r="A16830" t="n">
        <v>161092</v>
      </c>
      <c r="B16830" s="6" t="n">
        <v>2</v>
      </c>
      <c r="C16830" s="7" t="n">
        <v>10</v>
      </c>
      <c r="D16830" s="7" t="s">
        <v>52</v>
      </c>
    </row>
    <row r="16831" spans="1:3">
      <c r="A16831" t="s">
        <v>4</v>
      </c>
      <c r="B16831" s="4" t="s">
        <v>5</v>
      </c>
      <c r="C16831" s="4" t="s">
        <v>11</v>
      </c>
    </row>
    <row r="16832" spans="1:3">
      <c r="A16832" t="n">
        <v>161110</v>
      </c>
      <c r="B16832" s="29" t="n">
        <v>16</v>
      </c>
      <c r="C16832" s="7" t="n">
        <v>0</v>
      </c>
    </row>
    <row r="16833" spans="1:6">
      <c r="A16833" t="s">
        <v>4</v>
      </c>
      <c r="B16833" s="4" t="s">
        <v>5</v>
      </c>
      <c r="C16833" s="4" t="s">
        <v>7</v>
      </c>
      <c r="D16833" s="4" t="s">
        <v>8</v>
      </c>
    </row>
    <row r="16834" spans="1:6">
      <c r="A16834" t="n">
        <v>161113</v>
      </c>
      <c r="B16834" s="6" t="n">
        <v>2</v>
      </c>
      <c r="C16834" s="7" t="n">
        <v>10</v>
      </c>
      <c r="D16834" s="7" t="s">
        <v>53</v>
      </c>
    </row>
    <row r="16835" spans="1:6">
      <c r="A16835" t="s">
        <v>4</v>
      </c>
      <c r="B16835" s="4" t="s">
        <v>5</v>
      </c>
      <c r="C16835" s="4" t="s">
        <v>11</v>
      </c>
    </row>
    <row r="16836" spans="1:6">
      <c r="A16836" t="n">
        <v>161132</v>
      </c>
      <c r="B16836" s="29" t="n">
        <v>16</v>
      </c>
      <c r="C16836" s="7" t="n">
        <v>0</v>
      </c>
    </row>
    <row r="16837" spans="1:6">
      <c r="A16837" t="s">
        <v>4</v>
      </c>
      <c r="B16837" s="4" t="s">
        <v>5</v>
      </c>
      <c r="C16837" s="4" t="s">
        <v>7</v>
      </c>
      <c r="D16837" s="4" t="s">
        <v>11</v>
      </c>
      <c r="E16837" s="4" t="s">
        <v>13</v>
      </c>
    </row>
    <row r="16838" spans="1:6">
      <c r="A16838" t="n">
        <v>161135</v>
      </c>
      <c r="B16838" s="23" t="n">
        <v>58</v>
      </c>
      <c r="C16838" s="7" t="n">
        <v>100</v>
      </c>
      <c r="D16838" s="7" t="n">
        <v>300</v>
      </c>
      <c r="E16838" s="7" t="n">
        <v>1</v>
      </c>
    </row>
    <row r="16839" spans="1:6">
      <c r="A16839" t="s">
        <v>4</v>
      </c>
      <c r="B16839" s="4" t="s">
        <v>5</v>
      </c>
      <c r="C16839" s="4" t="s">
        <v>7</v>
      </c>
      <c r="D16839" s="4" t="s">
        <v>11</v>
      </c>
    </row>
    <row r="16840" spans="1:6">
      <c r="A16840" t="n">
        <v>161143</v>
      </c>
      <c r="B16840" s="23" t="n">
        <v>58</v>
      </c>
      <c r="C16840" s="7" t="n">
        <v>255</v>
      </c>
      <c r="D16840" s="7" t="n">
        <v>0</v>
      </c>
    </row>
    <row r="16841" spans="1:6">
      <c r="A16841" t="s">
        <v>4</v>
      </c>
      <c r="B16841" s="4" t="s">
        <v>5</v>
      </c>
      <c r="C16841" s="4" t="s">
        <v>7</v>
      </c>
    </row>
    <row r="16842" spans="1:6">
      <c r="A16842" t="n">
        <v>161147</v>
      </c>
      <c r="B16842" s="30" t="n">
        <v>23</v>
      </c>
      <c r="C16842" s="7" t="n">
        <v>0</v>
      </c>
    </row>
    <row r="16843" spans="1:6">
      <c r="A16843" t="s">
        <v>4</v>
      </c>
      <c r="B16843" s="4" t="s">
        <v>5</v>
      </c>
    </row>
    <row r="16844" spans="1:6">
      <c r="A16844" t="n">
        <v>161149</v>
      </c>
      <c r="B16844" s="5" t="n">
        <v>1</v>
      </c>
    </row>
    <row r="16845" spans="1:6" s="3" customFormat="1" customHeight="0">
      <c r="A16845" s="3" t="s">
        <v>2</v>
      </c>
      <c r="B16845" s="3" t="s">
        <v>1348</v>
      </c>
    </row>
    <row r="16846" spans="1:6">
      <c r="A16846" t="s">
        <v>4</v>
      </c>
      <c r="B16846" s="4" t="s">
        <v>5</v>
      </c>
      <c r="C16846" s="4" t="s">
        <v>7</v>
      </c>
      <c r="D16846" s="4" t="s">
        <v>7</v>
      </c>
      <c r="E16846" s="4" t="s">
        <v>7</v>
      </c>
      <c r="F16846" s="4" t="s">
        <v>7</v>
      </c>
    </row>
    <row r="16847" spans="1:6">
      <c r="A16847" t="n">
        <v>161152</v>
      </c>
      <c r="B16847" s="9" t="n">
        <v>14</v>
      </c>
      <c r="C16847" s="7" t="n">
        <v>2</v>
      </c>
      <c r="D16847" s="7" t="n">
        <v>0</v>
      </c>
      <c r="E16847" s="7" t="n">
        <v>0</v>
      </c>
      <c r="F16847" s="7" t="n">
        <v>0</v>
      </c>
    </row>
    <row r="16848" spans="1:6">
      <c r="A16848" t="s">
        <v>4</v>
      </c>
      <c r="B16848" s="4" t="s">
        <v>5</v>
      </c>
      <c r="C16848" s="4" t="s">
        <v>7</v>
      </c>
      <c r="D16848" s="20" t="s">
        <v>35</v>
      </c>
      <c r="E16848" s="4" t="s">
        <v>5</v>
      </c>
      <c r="F16848" s="4" t="s">
        <v>7</v>
      </c>
      <c r="G16848" s="4" t="s">
        <v>11</v>
      </c>
      <c r="H16848" s="20" t="s">
        <v>36</v>
      </c>
      <c r="I16848" s="4" t="s">
        <v>7</v>
      </c>
      <c r="J16848" s="4" t="s">
        <v>15</v>
      </c>
      <c r="K16848" s="4" t="s">
        <v>7</v>
      </c>
      <c r="L16848" s="4" t="s">
        <v>7</v>
      </c>
      <c r="M16848" s="20" t="s">
        <v>35</v>
      </c>
      <c r="N16848" s="4" t="s">
        <v>5</v>
      </c>
      <c r="O16848" s="4" t="s">
        <v>7</v>
      </c>
      <c r="P16848" s="4" t="s">
        <v>11</v>
      </c>
      <c r="Q16848" s="20" t="s">
        <v>36</v>
      </c>
      <c r="R16848" s="4" t="s">
        <v>7</v>
      </c>
      <c r="S16848" s="4" t="s">
        <v>15</v>
      </c>
      <c r="T16848" s="4" t="s">
        <v>7</v>
      </c>
      <c r="U16848" s="4" t="s">
        <v>7</v>
      </c>
      <c r="V16848" s="4" t="s">
        <v>7</v>
      </c>
      <c r="W16848" s="4" t="s">
        <v>12</v>
      </c>
    </row>
    <row r="16849" spans="1:23">
      <c r="A16849" t="n">
        <v>161157</v>
      </c>
      <c r="B16849" s="10" t="n">
        <v>5</v>
      </c>
      <c r="C16849" s="7" t="n">
        <v>28</v>
      </c>
      <c r="D16849" s="20" t="s">
        <v>3</v>
      </c>
      <c r="E16849" s="8" t="n">
        <v>162</v>
      </c>
      <c r="F16849" s="7" t="n">
        <v>3</v>
      </c>
      <c r="G16849" s="7" t="n">
        <v>33155</v>
      </c>
      <c r="H16849" s="20" t="s">
        <v>3</v>
      </c>
      <c r="I16849" s="7" t="n">
        <v>0</v>
      </c>
      <c r="J16849" s="7" t="n">
        <v>1</v>
      </c>
      <c r="K16849" s="7" t="n">
        <v>2</v>
      </c>
      <c r="L16849" s="7" t="n">
        <v>28</v>
      </c>
      <c r="M16849" s="20" t="s">
        <v>3</v>
      </c>
      <c r="N16849" s="8" t="n">
        <v>162</v>
      </c>
      <c r="O16849" s="7" t="n">
        <v>3</v>
      </c>
      <c r="P16849" s="7" t="n">
        <v>33155</v>
      </c>
      <c r="Q16849" s="20" t="s">
        <v>3</v>
      </c>
      <c r="R16849" s="7" t="n">
        <v>0</v>
      </c>
      <c r="S16849" s="7" t="n">
        <v>2</v>
      </c>
      <c r="T16849" s="7" t="n">
        <v>2</v>
      </c>
      <c r="U16849" s="7" t="n">
        <v>11</v>
      </c>
      <c r="V16849" s="7" t="n">
        <v>1</v>
      </c>
      <c r="W16849" s="11" t="n">
        <f t="normal" ca="1">A16853</f>
        <v>0</v>
      </c>
    </row>
    <row r="16850" spans="1:23">
      <c r="A16850" t="s">
        <v>4</v>
      </c>
      <c r="B16850" s="4" t="s">
        <v>5</v>
      </c>
      <c r="C16850" s="4" t="s">
        <v>7</v>
      </c>
      <c r="D16850" s="4" t="s">
        <v>11</v>
      </c>
      <c r="E16850" s="4" t="s">
        <v>13</v>
      </c>
    </row>
    <row r="16851" spans="1:23">
      <c r="A16851" t="n">
        <v>161186</v>
      </c>
      <c r="B16851" s="23" t="n">
        <v>58</v>
      </c>
      <c r="C16851" s="7" t="n">
        <v>0</v>
      </c>
      <c r="D16851" s="7" t="n">
        <v>0</v>
      </c>
      <c r="E16851" s="7" t="n">
        <v>1</v>
      </c>
    </row>
    <row r="16852" spans="1:23">
      <c r="A16852" t="s">
        <v>4</v>
      </c>
      <c r="B16852" s="4" t="s">
        <v>5</v>
      </c>
      <c r="C16852" s="4" t="s">
        <v>7</v>
      </c>
      <c r="D16852" s="20" t="s">
        <v>35</v>
      </c>
      <c r="E16852" s="4" t="s">
        <v>5</v>
      </c>
      <c r="F16852" s="4" t="s">
        <v>7</v>
      </c>
      <c r="G16852" s="4" t="s">
        <v>11</v>
      </c>
      <c r="H16852" s="20" t="s">
        <v>36</v>
      </c>
      <c r="I16852" s="4" t="s">
        <v>7</v>
      </c>
      <c r="J16852" s="4" t="s">
        <v>15</v>
      </c>
      <c r="K16852" s="4" t="s">
        <v>7</v>
      </c>
      <c r="L16852" s="4" t="s">
        <v>7</v>
      </c>
      <c r="M16852" s="20" t="s">
        <v>35</v>
      </c>
      <c r="N16852" s="4" t="s">
        <v>5</v>
      </c>
      <c r="O16852" s="4" t="s">
        <v>7</v>
      </c>
      <c r="P16852" s="4" t="s">
        <v>11</v>
      </c>
      <c r="Q16852" s="20" t="s">
        <v>36</v>
      </c>
      <c r="R16852" s="4" t="s">
        <v>7</v>
      </c>
      <c r="S16852" s="4" t="s">
        <v>15</v>
      </c>
      <c r="T16852" s="4" t="s">
        <v>7</v>
      </c>
      <c r="U16852" s="4" t="s">
        <v>7</v>
      </c>
      <c r="V16852" s="4" t="s">
        <v>7</v>
      </c>
      <c r="W16852" s="4" t="s">
        <v>12</v>
      </c>
    </row>
    <row r="16853" spans="1:23">
      <c r="A16853" t="n">
        <v>161194</v>
      </c>
      <c r="B16853" s="10" t="n">
        <v>5</v>
      </c>
      <c r="C16853" s="7" t="n">
        <v>28</v>
      </c>
      <c r="D16853" s="20" t="s">
        <v>3</v>
      </c>
      <c r="E16853" s="8" t="n">
        <v>162</v>
      </c>
      <c r="F16853" s="7" t="n">
        <v>3</v>
      </c>
      <c r="G16853" s="7" t="n">
        <v>33155</v>
      </c>
      <c r="H16853" s="20" t="s">
        <v>3</v>
      </c>
      <c r="I16853" s="7" t="n">
        <v>0</v>
      </c>
      <c r="J16853" s="7" t="n">
        <v>1</v>
      </c>
      <c r="K16853" s="7" t="n">
        <v>3</v>
      </c>
      <c r="L16853" s="7" t="n">
        <v>28</v>
      </c>
      <c r="M16853" s="20" t="s">
        <v>3</v>
      </c>
      <c r="N16853" s="8" t="n">
        <v>162</v>
      </c>
      <c r="O16853" s="7" t="n">
        <v>3</v>
      </c>
      <c r="P16853" s="7" t="n">
        <v>33155</v>
      </c>
      <c r="Q16853" s="20" t="s">
        <v>3</v>
      </c>
      <c r="R16853" s="7" t="n">
        <v>0</v>
      </c>
      <c r="S16853" s="7" t="n">
        <v>2</v>
      </c>
      <c r="T16853" s="7" t="n">
        <v>3</v>
      </c>
      <c r="U16853" s="7" t="n">
        <v>9</v>
      </c>
      <c r="V16853" s="7" t="n">
        <v>1</v>
      </c>
      <c r="W16853" s="11" t="n">
        <f t="normal" ca="1">A16863</f>
        <v>0</v>
      </c>
    </row>
    <row r="16854" spans="1:23">
      <c r="A16854" t="s">
        <v>4</v>
      </c>
      <c r="B16854" s="4" t="s">
        <v>5</v>
      </c>
      <c r="C16854" s="4" t="s">
        <v>7</v>
      </c>
      <c r="D16854" s="20" t="s">
        <v>35</v>
      </c>
      <c r="E16854" s="4" t="s">
        <v>5</v>
      </c>
      <c r="F16854" s="4" t="s">
        <v>11</v>
      </c>
      <c r="G16854" s="4" t="s">
        <v>7</v>
      </c>
      <c r="H16854" s="4" t="s">
        <v>7</v>
      </c>
      <c r="I16854" s="4" t="s">
        <v>8</v>
      </c>
      <c r="J16854" s="20" t="s">
        <v>36</v>
      </c>
      <c r="K16854" s="4" t="s">
        <v>7</v>
      </c>
      <c r="L16854" s="4" t="s">
        <v>7</v>
      </c>
      <c r="M16854" s="20" t="s">
        <v>35</v>
      </c>
      <c r="N16854" s="4" t="s">
        <v>5</v>
      </c>
      <c r="O16854" s="4" t="s">
        <v>7</v>
      </c>
      <c r="P16854" s="20" t="s">
        <v>36</v>
      </c>
      <c r="Q16854" s="4" t="s">
        <v>7</v>
      </c>
      <c r="R16854" s="4" t="s">
        <v>15</v>
      </c>
      <c r="S16854" s="4" t="s">
        <v>7</v>
      </c>
      <c r="T16854" s="4" t="s">
        <v>7</v>
      </c>
      <c r="U16854" s="4" t="s">
        <v>7</v>
      </c>
      <c r="V16854" s="20" t="s">
        <v>35</v>
      </c>
      <c r="W16854" s="4" t="s">
        <v>5</v>
      </c>
      <c r="X16854" s="4" t="s">
        <v>7</v>
      </c>
      <c r="Y16854" s="20" t="s">
        <v>36</v>
      </c>
      <c r="Z16854" s="4" t="s">
        <v>7</v>
      </c>
      <c r="AA16854" s="4" t="s">
        <v>15</v>
      </c>
      <c r="AB16854" s="4" t="s">
        <v>7</v>
      </c>
      <c r="AC16854" s="4" t="s">
        <v>7</v>
      </c>
      <c r="AD16854" s="4" t="s">
        <v>7</v>
      </c>
      <c r="AE16854" s="4" t="s">
        <v>12</v>
      </c>
    </row>
    <row r="16855" spans="1:23">
      <c r="A16855" t="n">
        <v>161223</v>
      </c>
      <c r="B16855" s="10" t="n">
        <v>5</v>
      </c>
      <c r="C16855" s="7" t="n">
        <v>28</v>
      </c>
      <c r="D16855" s="20" t="s">
        <v>3</v>
      </c>
      <c r="E16855" s="41" t="n">
        <v>47</v>
      </c>
      <c r="F16855" s="7" t="n">
        <v>61456</v>
      </c>
      <c r="G16855" s="7" t="n">
        <v>2</v>
      </c>
      <c r="H16855" s="7" t="n">
        <v>0</v>
      </c>
      <c r="I16855" s="7" t="s">
        <v>105</v>
      </c>
      <c r="J16855" s="20" t="s">
        <v>3</v>
      </c>
      <c r="K16855" s="7" t="n">
        <v>8</v>
      </c>
      <c r="L16855" s="7" t="n">
        <v>28</v>
      </c>
      <c r="M16855" s="20" t="s">
        <v>3</v>
      </c>
      <c r="N16855" s="45" t="n">
        <v>74</v>
      </c>
      <c r="O16855" s="7" t="n">
        <v>65</v>
      </c>
      <c r="P16855" s="20" t="s">
        <v>3</v>
      </c>
      <c r="Q16855" s="7" t="n">
        <v>0</v>
      </c>
      <c r="R16855" s="7" t="n">
        <v>1</v>
      </c>
      <c r="S16855" s="7" t="n">
        <v>3</v>
      </c>
      <c r="T16855" s="7" t="n">
        <v>9</v>
      </c>
      <c r="U16855" s="7" t="n">
        <v>28</v>
      </c>
      <c r="V16855" s="20" t="s">
        <v>3</v>
      </c>
      <c r="W16855" s="45" t="n">
        <v>74</v>
      </c>
      <c r="X16855" s="7" t="n">
        <v>65</v>
      </c>
      <c r="Y16855" s="20" t="s">
        <v>3</v>
      </c>
      <c r="Z16855" s="7" t="n">
        <v>0</v>
      </c>
      <c r="AA16855" s="7" t="n">
        <v>2</v>
      </c>
      <c r="AB16855" s="7" t="n">
        <v>3</v>
      </c>
      <c r="AC16855" s="7" t="n">
        <v>9</v>
      </c>
      <c r="AD16855" s="7" t="n">
        <v>1</v>
      </c>
      <c r="AE16855" s="11" t="n">
        <f t="normal" ca="1">A16859</f>
        <v>0</v>
      </c>
    </row>
    <row r="16856" spans="1:23">
      <c r="A16856" t="s">
        <v>4</v>
      </c>
      <c r="B16856" s="4" t="s">
        <v>5</v>
      </c>
      <c r="C16856" s="4" t="s">
        <v>11</v>
      </c>
      <c r="D16856" s="4" t="s">
        <v>7</v>
      </c>
      <c r="E16856" s="4" t="s">
        <v>7</v>
      </c>
      <c r="F16856" s="4" t="s">
        <v>8</v>
      </c>
    </row>
    <row r="16857" spans="1:23">
      <c r="A16857" t="n">
        <v>161271</v>
      </c>
      <c r="B16857" s="41" t="n">
        <v>47</v>
      </c>
      <c r="C16857" s="7" t="n">
        <v>61456</v>
      </c>
      <c r="D16857" s="7" t="n">
        <v>0</v>
      </c>
      <c r="E16857" s="7" t="n">
        <v>0</v>
      </c>
      <c r="F16857" s="7" t="s">
        <v>106</v>
      </c>
    </row>
    <row r="16858" spans="1:23">
      <c r="A16858" t="s">
        <v>4</v>
      </c>
      <c r="B16858" s="4" t="s">
        <v>5</v>
      </c>
      <c r="C16858" s="4" t="s">
        <v>7</v>
      </c>
      <c r="D16858" s="4" t="s">
        <v>11</v>
      </c>
      <c r="E16858" s="4" t="s">
        <v>13</v>
      </c>
    </row>
    <row r="16859" spans="1:23">
      <c r="A16859" t="n">
        <v>161284</v>
      </c>
      <c r="B16859" s="23" t="n">
        <v>58</v>
      </c>
      <c r="C16859" s="7" t="n">
        <v>0</v>
      </c>
      <c r="D16859" s="7" t="n">
        <v>300</v>
      </c>
      <c r="E16859" s="7" t="n">
        <v>1</v>
      </c>
    </row>
    <row r="16860" spans="1:23">
      <c r="A16860" t="s">
        <v>4</v>
      </c>
      <c r="B16860" s="4" t="s">
        <v>5</v>
      </c>
      <c r="C16860" s="4" t="s">
        <v>7</v>
      </c>
      <c r="D16860" s="4" t="s">
        <v>11</v>
      </c>
    </row>
    <row r="16861" spans="1:23">
      <c r="A16861" t="n">
        <v>161292</v>
      </c>
      <c r="B16861" s="23" t="n">
        <v>58</v>
      </c>
      <c r="C16861" s="7" t="n">
        <v>255</v>
      </c>
      <c r="D16861" s="7" t="n">
        <v>0</v>
      </c>
    </row>
    <row r="16862" spans="1:23">
      <c r="A16862" t="s">
        <v>4</v>
      </c>
      <c r="B16862" s="4" t="s">
        <v>5</v>
      </c>
      <c r="C16862" s="4" t="s">
        <v>7</v>
      </c>
      <c r="D16862" s="4" t="s">
        <v>7</v>
      </c>
      <c r="E16862" s="4" t="s">
        <v>7</v>
      </c>
      <c r="F16862" s="4" t="s">
        <v>7</v>
      </c>
    </row>
    <row r="16863" spans="1:23">
      <c r="A16863" t="n">
        <v>161296</v>
      </c>
      <c r="B16863" s="9" t="n">
        <v>14</v>
      </c>
      <c r="C16863" s="7" t="n">
        <v>0</v>
      </c>
      <c r="D16863" s="7" t="n">
        <v>0</v>
      </c>
      <c r="E16863" s="7" t="n">
        <v>0</v>
      </c>
      <c r="F16863" s="7" t="n">
        <v>64</v>
      </c>
    </row>
    <row r="16864" spans="1:23">
      <c r="A16864" t="s">
        <v>4</v>
      </c>
      <c r="B16864" s="4" t="s">
        <v>5</v>
      </c>
      <c r="C16864" s="4" t="s">
        <v>7</v>
      </c>
      <c r="D16864" s="4" t="s">
        <v>11</v>
      </c>
    </row>
    <row r="16865" spans="1:31">
      <c r="A16865" t="n">
        <v>161301</v>
      </c>
      <c r="B16865" s="22" t="n">
        <v>22</v>
      </c>
      <c r="C16865" s="7" t="n">
        <v>0</v>
      </c>
      <c r="D16865" s="7" t="n">
        <v>33155</v>
      </c>
    </row>
    <row r="16866" spans="1:31">
      <c r="A16866" t="s">
        <v>4</v>
      </c>
      <c r="B16866" s="4" t="s">
        <v>5</v>
      </c>
      <c r="C16866" s="4" t="s">
        <v>7</v>
      </c>
      <c r="D16866" s="4" t="s">
        <v>11</v>
      </c>
    </row>
    <row r="16867" spans="1:31">
      <c r="A16867" t="n">
        <v>161305</v>
      </c>
      <c r="B16867" s="23" t="n">
        <v>58</v>
      </c>
      <c r="C16867" s="7" t="n">
        <v>5</v>
      </c>
      <c r="D16867" s="7" t="n">
        <v>300</v>
      </c>
    </row>
    <row r="16868" spans="1:31">
      <c r="A16868" t="s">
        <v>4</v>
      </c>
      <c r="B16868" s="4" t="s">
        <v>5</v>
      </c>
      <c r="C16868" s="4" t="s">
        <v>13</v>
      </c>
      <c r="D16868" s="4" t="s">
        <v>11</v>
      </c>
    </row>
    <row r="16869" spans="1:31">
      <c r="A16869" t="n">
        <v>161309</v>
      </c>
      <c r="B16869" s="46" t="n">
        <v>103</v>
      </c>
      <c r="C16869" s="7" t="n">
        <v>0</v>
      </c>
      <c r="D16869" s="7" t="n">
        <v>300</v>
      </c>
    </row>
    <row r="16870" spans="1:31">
      <c r="A16870" t="s">
        <v>4</v>
      </c>
      <c r="B16870" s="4" t="s">
        <v>5</v>
      </c>
      <c r="C16870" s="4" t="s">
        <v>7</v>
      </c>
    </row>
    <row r="16871" spans="1:31">
      <c r="A16871" t="n">
        <v>161316</v>
      </c>
      <c r="B16871" s="47" t="n">
        <v>64</v>
      </c>
      <c r="C16871" s="7" t="n">
        <v>7</v>
      </c>
    </row>
    <row r="16872" spans="1:31">
      <c r="A16872" t="s">
        <v>4</v>
      </c>
      <c r="B16872" s="4" t="s">
        <v>5</v>
      </c>
      <c r="C16872" s="4" t="s">
        <v>7</v>
      </c>
      <c r="D16872" s="4" t="s">
        <v>11</v>
      </c>
    </row>
    <row r="16873" spans="1:31">
      <c r="A16873" t="n">
        <v>161318</v>
      </c>
      <c r="B16873" s="48" t="n">
        <v>72</v>
      </c>
      <c r="C16873" s="7" t="n">
        <v>5</v>
      </c>
      <c r="D16873" s="7" t="n">
        <v>0</v>
      </c>
    </row>
    <row r="16874" spans="1:31">
      <c r="A16874" t="s">
        <v>4</v>
      </c>
      <c r="B16874" s="4" t="s">
        <v>5</v>
      </c>
      <c r="C16874" s="4" t="s">
        <v>7</v>
      </c>
      <c r="D16874" s="20" t="s">
        <v>35</v>
      </c>
      <c r="E16874" s="4" t="s">
        <v>5</v>
      </c>
      <c r="F16874" s="4" t="s">
        <v>7</v>
      </c>
      <c r="G16874" s="4" t="s">
        <v>11</v>
      </c>
      <c r="H16874" s="20" t="s">
        <v>36</v>
      </c>
      <c r="I16874" s="4" t="s">
        <v>7</v>
      </c>
      <c r="J16874" s="4" t="s">
        <v>15</v>
      </c>
      <c r="K16874" s="4" t="s">
        <v>7</v>
      </c>
      <c r="L16874" s="4" t="s">
        <v>7</v>
      </c>
      <c r="M16874" s="4" t="s">
        <v>12</v>
      </c>
    </row>
    <row r="16875" spans="1:31">
      <c r="A16875" t="n">
        <v>161322</v>
      </c>
      <c r="B16875" s="10" t="n">
        <v>5</v>
      </c>
      <c r="C16875" s="7" t="n">
        <v>28</v>
      </c>
      <c r="D16875" s="20" t="s">
        <v>3</v>
      </c>
      <c r="E16875" s="8" t="n">
        <v>162</v>
      </c>
      <c r="F16875" s="7" t="n">
        <v>4</v>
      </c>
      <c r="G16875" s="7" t="n">
        <v>33155</v>
      </c>
      <c r="H16875" s="20" t="s">
        <v>3</v>
      </c>
      <c r="I16875" s="7" t="n">
        <v>0</v>
      </c>
      <c r="J16875" s="7" t="n">
        <v>1</v>
      </c>
      <c r="K16875" s="7" t="n">
        <v>2</v>
      </c>
      <c r="L16875" s="7" t="n">
        <v>1</v>
      </c>
      <c r="M16875" s="11" t="n">
        <f t="normal" ca="1">A16881</f>
        <v>0</v>
      </c>
    </row>
    <row r="16876" spans="1:31">
      <c r="A16876" t="s">
        <v>4</v>
      </c>
      <c r="B16876" s="4" t="s">
        <v>5</v>
      </c>
      <c r="C16876" s="4" t="s">
        <v>7</v>
      </c>
      <c r="D16876" s="4" t="s">
        <v>8</v>
      </c>
    </row>
    <row r="16877" spans="1:31">
      <c r="A16877" t="n">
        <v>161339</v>
      </c>
      <c r="B16877" s="6" t="n">
        <v>2</v>
      </c>
      <c r="C16877" s="7" t="n">
        <v>10</v>
      </c>
      <c r="D16877" s="7" t="s">
        <v>107</v>
      </c>
    </row>
    <row r="16878" spans="1:31">
      <c r="A16878" t="s">
        <v>4</v>
      </c>
      <c r="B16878" s="4" t="s">
        <v>5</v>
      </c>
      <c r="C16878" s="4" t="s">
        <v>11</v>
      </c>
    </row>
    <row r="16879" spans="1:31">
      <c r="A16879" t="n">
        <v>161356</v>
      </c>
      <c r="B16879" s="29" t="n">
        <v>16</v>
      </c>
      <c r="C16879" s="7" t="n">
        <v>0</v>
      </c>
    </row>
    <row r="16880" spans="1:31">
      <c r="A16880" t="s">
        <v>4</v>
      </c>
      <c r="B16880" s="4" t="s">
        <v>5</v>
      </c>
      <c r="C16880" s="4" t="s">
        <v>11</v>
      </c>
      <c r="D16880" s="4" t="s">
        <v>7</v>
      </c>
      <c r="E16880" s="4" t="s">
        <v>7</v>
      </c>
      <c r="F16880" s="4" t="s">
        <v>8</v>
      </c>
    </row>
    <row r="16881" spans="1:13">
      <c r="A16881" t="n">
        <v>161359</v>
      </c>
      <c r="B16881" s="50" t="n">
        <v>20</v>
      </c>
      <c r="C16881" s="7" t="n">
        <v>0</v>
      </c>
      <c r="D16881" s="7" t="n">
        <v>3</v>
      </c>
      <c r="E16881" s="7" t="n">
        <v>10</v>
      </c>
      <c r="F16881" s="7" t="s">
        <v>108</v>
      </c>
    </row>
    <row r="16882" spans="1:13">
      <c r="A16882" t="s">
        <v>4</v>
      </c>
      <c r="B16882" s="4" t="s">
        <v>5</v>
      </c>
      <c r="C16882" s="4" t="s">
        <v>11</v>
      </c>
    </row>
    <row r="16883" spans="1:13">
      <c r="A16883" t="n">
        <v>161377</v>
      </c>
      <c r="B16883" s="29" t="n">
        <v>16</v>
      </c>
      <c r="C16883" s="7" t="n">
        <v>0</v>
      </c>
    </row>
    <row r="16884" spans="1:13">
      <c r="A16884" t="s">
        <v>4</v>
      </c>
      <c r="B16884" s="4" t="s">
        <v>5</v>
      </c>
      <c r="C16884" s="4" t="s">
        <v>11</v>
      </c>
      <c r="D16884" s="4" t="s">
        <v>7</v>
      </c>
      <c r="E16884" s="4" t="s">
        <v>7</v>
      </c>
      <c r="F16884" s="4" t="s">
        <v>8</v>
      </c>
    </row>
    <row r="16885" spans="1:13">
      <c r="A16885" t="n">
        <v>161380</v>
      </c>
      <c r="B16885" s="50" t="n">
        <v>20</v>
      </c>
      <c r="C16885" s="7" t="n">
        <v>8</v>
      </c>
      <c r="D16885" s="7" t="n">
        <v>3</v>
      </c>
      <c r="E16885" s="7" t="n">
        <v>10</v>
      </c>
      <c r="F16885" s="7" t="s">
        <v>108</v>
      </c>
    </row>
    <row r="16886" spans="1:13">
      <c r="A16886" t="s">
        <v>4</v>
      </c>
      <c r="B16886" s="4" t="s">
        <v>5</v>
      </c>
      <c r="C16886" s="4" t="s">
        <v>11</v>
      </c>
    </row>
    <row r="16887" spans="1:13">
      <c r="A16887" t="n">
        <v>161398</v>
      </c>
      <c r="B16887" s="29" t="n">
        <v>16</v>
      </c>
      <c r="C16887" s="7" t="n">
        <v>0</v>
      </c>
    </row>
    <row r="16888" spans="1:13">
      <c r="A16888" t="s">
        <v>4</v>
      </c>
      <c r="B16888" s="4" t="s">
        <v>5</v>
      </c>
      <c r="C16888" s="4" t="s">
        <v>7</v>
      </c>
    </row>
    <row r="16889" spans="1:13">
      <c r="A16889" t="n">
        <v>161401</v>
      </c>
      <c r="B16889" s="49" t="n">
        <v>116</v>
      </c>
      <c r="C16889" s="7" t="n">
        <v>0</v>
      </c>
    </row>
    <row r="16890" spans="1:13">
      <c r="A16890" t="s">
        <v>4</v>
      </c>
      <c r="B16890" s="4" t="s">
        <v>5</v>
      </c>
      <c r="C16890" s="4" t="s">
        <v>7</v>
      </c>
      <c r="D16890" s="4" t="s">
        <v>11</v>
      </c>
    </row>
    <row r="16891" spans="1:13">
      <c r="A16891" t="n">
        <v>161403</v>
      </c>
      <c r="B16891" s="49" t="n">
        <v>116</v>
      </c>
      <c r="C16891" s="7" t="n">
        <v>2</v>
      </c>
      <c r="D16891" s="7" t="n">
        <v>1</v>
      </c>
    </row>
    <row r="16892" spans="1:13">
      <c r="A16892" t="s">
        <v>4</v>
      </c>
      <c r="B16892" s="4" t="s">
        <v>5</v>
      </c>
      <c r="C16892" s="4" t="s">
        <v>7</v>
      </c>
      <c r="D16892" s="4" t="s">
        <v>15</v>
      </c>
    </row>
    <row r="16893" spans="1:13">
      <c r="A16893" t="n">
        <v>161407</v>
      </c>
      <c r="B16893" s="49" t="n">
        <v>116</v>
      </c>
      <c r="C16893" s="7" t="n">
        <v>5</v>
      </c>
      <c r="D16893" s="7" t="n">
        <v>1088421888</v>
      </c>
    </row>
    <row r="16894" spans="1:13">
      <c r="A16894" t="s">
        <v>4</v>
      </c>
      <c r="B16894" s="4" t="s">
        <v>5</v>
      </c>
      <c r="C16894" s="4" t="s">
        <v>7</v>
      </c>
      <c r="D16894" s="4" t="s">
        <v>11</v>
      </c>
    </row>
    <row r="16895" spans="1:13">
      <c r="A16895" t="n">
        <v>161413</v>
      </c>
      <c r="B16895" s="49" t="n">
        <v>116</v>
      </c>
      <c r="C16895" s="7" t="n">
        <v>6</v>
      </c>
      <c r="D16895" s="7" t="n">
        <v>1</v>
      </c>
    </row>
    <row r="16896" spans="1:13">
      <c r="A16896" t="s">
        <v>4</v>
      </c>
      <c r="B16896" s="4" t="s">
        <v>5</v>
      </c>
      <c r="C16896" s="4" t="s">
        <v>11</v>
      </c>
      <c r="D16896" s="4" t="s">
        <v>13</v>
      </c>
      <c r="E16896" s="4" t="s">
        <v>13</v>
      </c>
      <c r="F16896" s="4" t="s">
        <v>13</v>
      </c>
      <c r="G16896" s="4" t="s">
        <v>13</v>
      </c>
    </row>
    <row r="16897" spans="1:7">
      <c r="A16897" t="n">
        <v>161417</v>
      </c>
      <c r="B16897" s="36" t="n">
        <v>46</v>
      </c>
      <c r="C16897" s="7" t="n">
        <v>0</v>
      </c>
      <c r="D16897" s="7" t="n">
        <v>-16.4500007629395</v>
      </c>
      <c r="E16897" s="7" t="n">
        <v>5.01000022888184</v>
      </c>
      <c r="F16897" s="7" t="n">
        <v>54.8699989318848</v>
      </c>
      <c r="G16897" s="7" t="n">
        <v>118</v>
      </c>
    </row>
    <row r="16898" spans="1:7">
      <c r="A16898" t="s">
        <v>4</v>
      </c>
      <c r="B16898" s="4" t="s">
        <v>5</v>
      </c>
      <c r="C16898" s="4" t="s">
        <v>11</v>
      </c>
      <c r="D16898" s="4" t="s">
        <v>7</v>
      </c>
      <c r="E16898" s="4" t="s">
        <v>7</v>
      </c>
      <c r="F16898" s="4" t="s">
        <v>8</v>
      </c>
    </row>
    <row r="16899" spans="1:7">
      <c r="A16899" t="n">
        <v>161436</v>
      </c>
      <c r="B16899" s="41" t="n">
        <v>47</v>
      </c>
      <c r="C16899" s="7" t="n">
        <v>8</v>
      </c>
      <c r="D16899" s="7" t="n">
        <v>1</v>
      </c>
      <c r="E16899" s="7" t="n">
        <v>0</v>
      </c>
      <c r="F16899" s="7" t="s">
        <v>16</v>
      </c>
    </row>
    <row r="16900" spans="1:7">
      <c r="A16900" t="s">
        <v>4</v>
      </c>
      <c r="B16900" s="4" t="s">
        <v>5</v>
      </c>
      <c r="C16900" s="4" t="s">
        <v>11</v>
      </c>
    </row>
    <row r="16901" spans="1:7">
      <c r="A16901" t="n">
        <v>161442</v>
      </c>
      <c r="B16901" s="29" t="n">
        <v>16</v>
      </c>
      <c r="C16901" s="7" t="n">
        <v>0</v>
      </c>
    </row>
    <row r="16902" spans="1:7">
      <c r="A16902" t="s">
        <v>4</v>
      </c>
      <c r="B16902" s="4" t="s">
        <v>5</v>
      </c>
      <c r="C16902" s="4" t="s">
        <v>11</v>
      </c>
      <c r="D16902" s="4" t="s">
        <v>8</v>
      </c>
      <c r="E16902" s="4" t="s">
        <v>7</v>
      </c>
      <c r="F16902" s="4" t="s">
        <v>7</v>
      </c>
      <c r="G16902" s="4" t="s">
        <v>7</v>
      </c>
      <c r="H16902" s="4" t="s">
        <v>7</v>
      </c>
      <c r="I16902" s="4" t="s">
        <v>7</v>
      </c>
      <c r="J16902" s="4" t="s">
        <v>13</v>
      </c>
      <c r="K16902" s="4" t="s">
        <v>13</v>
      </c>
      <c r="L16902" s="4" t="s">
        <v>13</v>
      </c>
      <c r="M16902" s="4" t="s">
        <v>13</v>
      </c>
      <c r="N16902" s="4" t="s">
        <v>7</v>
      </c>
    </row>
    <row r="16903" spans="1:7">
      <c r="A16903" t="n">
        <v>161445</v>
      </c>
      <c r="B16903" s="82" t="n">
        <v>34</v>
      </c>
      <c r="C16903" s="7" t="n">
        <v>8</v>
      </c>
      <c r="D16903" s="7" t="s">
        <v>1349</v>
      </c>
      <c r="E16903" s="7" t="n">
        <v>0</v>
      </c>
      <c r="F16903" s="7" t="n">
        <v>0</v>
      </c>
      <c r="G16903" s="7" t="n">
        <v>0</v>
      </c>
      <c r="H16903" s="7" t="n">
        <v>0</v>
      </c>
      <c r="I16903" s="7" t="n">
        <v>0</v>
      </c>
      <c r="J16903" s="7" t="n">
        <v>0</v>
      </c>
      <c r="K16903" s="7" t="n">
        <v>-1</v>
      </c>
      <c r="L16903" s="7" t="n">
        <v>-1</v>
      </c>
      <c r="M16903" s="7" t="n">
        <v>-1</v>
      </c>
      <c r="N16903" s="7" t="n">
        <v>0</v>
      </c>
    </row>
    <row r="16904" spans="1:7">
      <c r="A16904" t="s">
        <v>4</v>
      </c>
      <c r="B16904" s="4" t="s">
        <v>5</v>
      </c>
      <c r="C16904" s="4" t="s">
        <v>11</v>
      </c>
      <c r="D16904" s="4" t="s">
        <v>15</v>
      </c>
      <c r="E16904" s="4" t="s">
        <v>7</v>
      </c>
    </row>
    <row r="16905" spans="1:7">
      <c r="A16905" t="n">
        <v>161478</v>
      </c>
      <c r="B16905" s="78" t="n">
        <v>35</v>
      </c>
      <c r="C16905" s="7" t="n">
        <v>8</v>
      </c>
      <c r="D16905" s="7" t="n">
        <v>0</v>
      </c>
      <c r="E16905" s="7" t="n">
        <v>0</v>
      </c>
    </row>
    <row r="16906" spans="1:7">
      <c r="A16906" t="s">
        <v>4</v>
      </c>
      <c r="B16906" s="4" t="s">
        <v>5</v>
      </c>
      <c r="C16906" s="4" t="s">
        <v>11</v>
      </c>
      <c r="D16906" s="4" t="s">
        <v>8</v>
      </c>
      <c r="E16906" s="4" t="s">
        <v>7</v>
      </c>
      <c r="F16906" s="4" t="s">
        <v>7</v>
      </c>
      <c r="G16906" s="4" t="s">
        <v>7</v>
      </c>
      <c r="H16906" s="4" t="s">
        <v>7</v>
      </c>
      <c r="I16906" s="4" t="s">
        <v>7</v>
      </c>
      <c r="J16906" s="4" t="s">
        <v>13</v>
      </c>
      <c r="K16906" s="4" t="s">
        <v>13</v>
      </c>
      <c r="L16906" s="4" t="s">
        <v>13</v>
      </c>
      <c r="M16906" s="4" t="s">
        <v>13</v>
      </c>
      <c r="N16906" s="4" t="s">
        <v>7</v>
      </c>
    </row>
    <row r="16907" spans="1:7">
      <c r="A16907" t="n">
        <v>161486</v>
      </c>
      <c r="B16907" s="82" t="n">
        <v>34</v>
      </c>
      <c r="C16907" s="7" t="n">
        <v>8</v>
      </c>
      <c r="D16907" s="7" t="s">
        <v>1350</v>
      </c>
      <c r="E16907" s="7" t="n">
        <v>1</v>
      </c>
      <c r="F16907" s="7" t="n">
        <v>1</v>
      </c>
      <c r="G16907" s="7" t="n">
        <v>0</v>
      </c>
      <c r="H16907" s="7" t="n">
        <v>1</v>
      </c>
      <c r="I16907" s="7" t="n">
        <v>0</v>
      </c>
      <c r="J16907" s="7" t="n">
        <v>0</v>
      </c>
      <c r="K16907" s="7" t="n">
        <v>-0.0333333350718021</v>
      </c>
      <c r="L16907" s="7" t="n">
        <v>-0.0333333350718021</v>
      </c>
      <c r="M16907" s="7" t="n">
        <v>-0.0333333350718021</v>
      </c>
      <c r="N16907" s="7" t="n">
        <v>0</v>
      </c>
    </row>
    <row r="16908" spans="1:7">
      <c r="A16908" t="s">
        <v>4</v>
      </c>
      <c r="B16908" s="4" t="s">
        <v>5</v>
      </c>
      <c r="C16908" s="4" t="s">
        <v>11</v>
      </c>
      <c r="D16908" s="4" t="s">
        <v>15</v>
      </c>
    </row>
    <row r="16909" spans="1:7">
      <c r="A16909" t="n">
        <v>161519</v>
      </c>
      <c r="B16909" s="44" t="n">
        <v>98</v>
      </c>
      <c r="C16909" s="7" t="n">
        <v>8</v>
      </c>
      <c r="D16909" s="7" t="n">
        <v>1048576000</v>
      </c>
    </row>
    <row r="16910" spans="1:7">
      <c r="A16910" t="s">
        <v>4</v>
      </c>
      <c r="B16910" s="4" t="s">
        <v>5</v>
      </c>
      <c r="C16910" s="4" t="s">
        <v>11</v>
      </c>
      <c r="D16910" s="4" t="s">
        <v>7</v>
      </c>
      <c r="E16910" s="4" t="s">
        <v>8</v>
      </c>
      <c r="F16910" s="4" t="s">
        <v>13</v>
      </c>
      <c r="G16910" s="4" t="s">
        <v>13</v>
      </c>
      <c r="H16910" s="4" t="s">
        <v>13</v>
      </c>
    </row>
    <row r="16911" spans="1:7">
      <c r="A16911" t="n">
        <v>161526</v>
      </c>
      <c r="B16911" s="42" t="n">
        <v>48</v>
      </c>
      <c r="C16911" s="7" t="n">
        <v>0</v>
      </c>
      <c r="D16911" s="7" t="n">
        <v>0</v>
      </c>
      <c r="E16911" s="7" t="s">
        <v>275</v>
      </c>
      <c r="F16911" s="7" t="n">
        <v>0</v>
      </c>
      <c r="G16911" s="7" t="n">
        <v>1</v>
      </c>
      <c r="H16911" s="7" t="n">
        <v>0</v>
      </c>
    </row>
    <row r="16912" spans="1:7">
      <c r="A16912" t="s">
        <v>4</v>
      </c>
      <c r="B16912" s="4" t="s">
        <v>5</v>
      </c>
      <c r="C16912" s="4" t="s">
        <v>7</v>
      </c>
      <c r="D16912" s="4" t="s">
        <v>7</v>
      </c>
      <c r="E16912" s="4" t="s">
        <v>13</v>
      </c>
      <c r="F16912" s="4" t="s">
        <v>13</v>
      </c>
      <c r="G16912" s="4" t="s">
        <v>13</v>
      </c>
      <c r="H16912" s="4" t="s">
        <v>11</v>
      </c>
    </row>
    <row r="16913" spans="1:14">
      <c r="A16913" t="n">
        <v>161551</v>
      </c>
      <c r="B16913" s="51" t="n">
        <v>45</v>
      </c>
      <c r="C16913" s="7" t="n">
        <v>2</v>
      </c>
      <c r="D16913" s="7" t="n">
        <v>3</v>
      </c>
      <c r="E16913" s="7" t="n">
        <v>-16.0799999237061</v>
      </c>
      <c r="F16913" s="7" t="n">
        <v>6.3899998664856</v>
      </c>
      <c r="G16913" s="7" t="n">
        <v>54.6199989318848</v>
      </c>
      <c r="H16913" s="7" t="n">
        <v>0</v>
      </c>
    </row>
    <row r="16914" spans="1:14">
      <c r="A16914" t="s">
        <v>4</v>
      </c>
      <c r="B16914" s="4" t="s">
        <v>5</v>
      </c>
      <c r="C16914" s="4" t="s">
        <v>7</v>
      </c>
      <c r="D16914" s="4" t="s">
        <v>7</v>
      </c>
      <c r="E16914" s="4" t="s">
        <v>13</v>
      </c>
      <c r="F16914" s="4" t="s">
        <v>13</v>
      </c>
      <c r="G16914" s="4" t="s">
        <v>13</v>
      </c>
      <c r="H16914" s="4" t="s">
        <v>11</v>
      </c>
      <c r="I16914" s="4" t="s">
        <v>7</v>
      </c>
    </row>
    <row r="16915" spans="1:14">
      <c r="A16915" t="n">
        <v>161568</v>
      </c>
      <c r="B16915" s="51" t="n">
        <v>45</v>
      </c>
      <c r="C16915" s="7" t="n">
        <v>4</v>
      </c>
      <c r="D16915" s="7" t="n">
        <v>3</v>
      </c>
      <c r="E16915" s="7" t="n">
        <v>19.8999996185303</v>
      </c>
      <c r="F16915" s="7" t="n">
        <v>248.270004272461</v>
      </c>
      <c r="G16915" s="7" t="n">
        <v>0</v>
      </c>
      <c r="H16915" s="7" t="n">
        <v>0</v>
      </c>
      <c r="I16915" s="7" t="n">
        <v>0</v>
      </c>
    </row>
    <row r="16916" spans="1:14">
      <c r="A16916" t="s">
        <v>4</v>
      </c>
      <c r="B16916" s="4" t="s">
        <v>5</v>
      </c>
      <c r="C16916" s="4" t="s">
        <v>7</v>
      </c>
      <c r="D16916" s="4" t="s">
        <v>7</v>
      </c>
      <c r="E16916" s="4" t="s">
        <v>13</v>
      </c>
      <c r="F16916" s="4" t="s">
        <v>11</v>
      </c>
    </row>
    <row r="16917" spans="1:14">
      <c r="A16917" t="n">
        <v>161586</v>
      </c>
      <c r="B16917" s="51" t="n">
        <v>45</v>
      </c>
      <c r="C16917" s="7" t="n">
        <v>5</v>
      </c>
      <c r="D16917" s="7" t="n">
        <v>3</v>
      </c>
      <c r="E16917" s="7" t="n">
        <v>1.79999995231628</v>
      </c>
      <c r="F16917" s="7" t="n">
        <v>0</v>
      </c>
    </row>
    <row r="16918" spans="1:14">
      <c r="A16918" t="s">
        <v>4</v>
      </c>
      <c r="B16918" s="4" t="s">
        <v>5</v>
      </c>
      <c r="C16918" s="4" t="s">
        <v>7</v>
      </c>
      <c r="D16918" s="4" t="s">
        <v>7</v>
      </c>
      <c r="E16918" s="4" t="s">
        <v>13</v>
      </c>
      <c r="F16918" s="4" t="s">
        <v>11</v>
      </c>
    </row>
    <row r="16919" spans="1:14">
      <c r="A16919" t="n">
        <v>161595</v>
      </c>
      <c r="B16919" s="51" t="n">
        <v>45</v>
      </c>
      <c r="C16919" s="7" t="n">
        <v>5</v>
      </c>
      <c r="D16919" s="7" t="n">
        <v>3</v>
      </c>
      <c r="E16919" s="7" t="n">
        <v>1.5</v>
      </c>
      <c r="F16919" s="7" t="n">
        <v>3000</v>
      </c>
    </row>
    <row r="16920" spans="1:14">
      <c r="A16920" t="s">
        <v>4</v>
      </c>
      <c r="B16920" s="4" t="s">
        <v>5</v>
      </c>
      <c r="C16920" s="4" t="s">
        <v>11</v>
      </c>
      <c r="D16920" s="4" t="s">
        <v>11</v>
      </c>
      <c r="E16920" s="4" t="s">
        <v>11</v>
      </c>
    </row>
    <row r="16921" spans="1:14">
      <c r="A16921" t="n">
        <v>161604</v>
      </c>
      <c r="B16921" s="72" t="n">
        <v>61</v>
      </c>
      <c r="C16921" s="7" t="n">
        <v>0</v>
      </c>
      <c r="D16921" s="7" t="n">
        <v>8</v>
      </c>
      <c r="E16921" s="7" t="n">
        <v>1000</v>
      </c>
    </row>
    <row r="16922" spans="1:14">
      <c r="A16922" t="s">
        <v>4</v>
      </c>
      <c r="B16922" s="4" t="s">
        <v>5</v>
      </c>
      <c r="C16922" s="4" t="s">
        <v>7</v>
      </c>
      <c r="D16922" s="4" t="s">
        <v>7</v>
      </c>
      <c r="E16922" s="4" t="s">
        <v>13</v>
      </c>
      <c r="F16922" s="4" t="s">
        <v>11</v>
      </c>
    </row>
    <row r="16923" spans="1:14">
      <c r="A16923" t="n">
        <v>161611</v>
      </c>
      <c r="B16923" s="51" t="n">
        <v>45</v>
      </c>
      <c r="C16923" s="7" t="n">
        <v>11</v>
      </c>
      <c r="D16923" s="7" t="n">
        <v>3</v>
      </c>
      <c r="E16923" s="7" t="n">
        <v>34</v>
      </c>
      <c r="F16923" s="7" t="n">
        <v>0</v>
      </c>
    </row>
    <row r="16924" spans="1:14">
      <c r="A16924" t="s">
        <v>4</v>
      </c>
      <c r="B16924" s="4" t="s">
        <v>5</v>
      </c>
      <c r="C16924" s="4" t="s">
        <v>7</v>
      </c>
      <c r="D16924" s="4" t="s">
        <v>11</v>
      </c>
      <c r="E16924" s="4" t="s">
        <v>13</v>
      </c>
    </row>
    <row r="16925" spans="1:14">
      <c r="A16925" t="n">
        <v>161620</v>
      </c>
      <c r="B16925" s="23" t="n">
        <v>58</v>
      </c>
      <c r="C16925" s="7" t="n">
        <v>100</v>
      </c>
      <c r="D16925" s="7" t="n">
        <v>1000</v>
      </c>
      <c r="E16925" s="7" t="n">
        <v>1</v>
      </c>
    </row>
    <row r="16926" spans="1:14">
      <c r="A16926" t="s">
        <v>4</v>
      </c>
      <c r="B16926" s="4" t="s">
        <v>5</v>
      </c>
      <c r="C16926" s="4" t="s">
        <v>7</v>
      </c>
      <c r="D16926" s="4" t="s">
        <v>11</v>
      </c>
    </row>
    <row r="16927" spans="1:14">
      <c r="A16927" t="n">
        <v>161628</v>
      </c>
      <c r="B16927" s="23" t="n">
        <v>58</v>
      </c>
      <c r="C16927" s="7" t="n">
        <v>255</v>
      </c>
      <c r="D16927" s="7" t="n">
        <v>0</v>
      </c>
    </row>
    <row r="16928" spans="1:14">
      <c r="A16928" t="s">
        <v>4</v>
      </c>
      <c r="B16928" s="4" t="s">
        <v>5</v>
      </c>
      <c r="C16928" s="4" t="s">
        <v>7</v>
      </c>
      <c r="D16928" s="4" t="s">
        <v>11</v>
      </c>
      <c r="E16928" s="4" t="s">
        <v>8</v>
      </c>
    </row>
    <row r="16929" spans="1:9">
      <c r="A16929" t="n">
        <v>161632</v>
      </c>
      <c r="B16929" s="38" t="n">
        <v>51</v>
      </c>
      <c r="C16929" s="7" t="n">
        <v>4</v>
      </c>
      <c r="D16929" s="7" t="n">
        <v>0</v>
      </c>
      <c r="E16929" s="7" t="s">
        <v>304</v>
      </c>
    </row>
    <row r="16930" spans="1:9">
      <c r="A16930" t="s">
        <v>4</v>
      </c>
      <c r="B16930" s="4" t="s">
        <v>5</v>
      </c>
      <c r="C16930" s="4" t="s">
        <v>11</v>
      </c>
    </row>
    <row r="16931" spans="1:9">
      <c r="A16931" t="n">
        <v>161645</v>
      </c>
      <c r="B16931" s="29" t="n">
        <v>16</v>
      </c>
      <c r="C16931" s="7" t="n">
        <v>0</v>
      </c>
    </row>
    <row r="16932" spans="1:9">
      <c r="A16932" t="s">
        <v>4</v>
      </c>
      <c r="B16932" s="4" t="s">
        <v>5</v>
      </c>
      <c r="C16932" s="4" t="s">
        <v>11</v>
      </c>
      <c r="D16932" s="4" t="s">
        <v>7</v>
      </c>
      <c r="E16932" s="4" t="s">
        <v>15</v>
      </c>
      <c r="F16932" s="4" t="s">
        <v>55</v>
      </c>
      <c r="G16932" s="4" t="s">
        <v>7</v>
      </c>
      <c r="H16932" s="4" t="s">
        <v>7</v>
      </c>
    </row>
    <row r="16933" spans="1:9">
      <c r="A16933" t="n">
        <v>161648</v>
      </c>
      <c r="B16933" s="55" t="n">
        <v>26</v>
      </c>
      <c r="C16933" s="7" t="n">
        <v>0</v>
      </c>
      <c r="D16933" s="7" t="n">
        <v>17</v>
      </c>
      <c r="E16933" s="7" t="n">
        <v>64394</v>
      </c>
      <c r="F16933" s="7" t="s">
        <v>1351</v>
      </c>
      <c r="G16933" s="7" t="n">
        <v>2</v>
      </c>
      <c r="H16933" s="7" t="n">
        <v>0</v>
      </c>
    </row>
    <row r="16934" spans="1:9">
      <c r="A16934" t="s">
        <v>4</v>
      </c>
      <c r="B16934" s="4" t="s">
        <v>5</v>
      </c>
    </row>
    <row r="16935" spans="1:9">
      <c r="A16935" t="n">
        <v>161706</v>
      </c>
      <c r="B16935" s="27" t="n">
        <v>28</v>
      </c>
    </row>
    <row r="16936" spans="1:9">
      <c r="A16936" t="s">
        <v>4</v>
      </c>
      <c r="B16936" s="4" t="s">
        <v>5</v>
      </c>
      <c r="C16936" s="4" t="s">
        <v>7</v>
      </c>
      <c r="D16936" s="4" t="s">
        <v>11</v>
      </c>
      <c r="E16936" s="4" t="s">
        <v>11</v>
      </c>
      <c r="F16936" s="4" t="s">
        <v>7</v>
      </c>
    </row>
    <row r="16937" spans="1:9">
      <c r="A16937" t="n">
        <v>161707</v>
      </c>
      <c r="B16937" s="31" t="n">
        <v>25</v>
      </c>
      <c r="C16937" s="7" t="n">
        <v>1</v>
      </c>
      <c r="D16937" s="7" t="n">
        <v>65535</v>
      </c>
      <c r="E16937" s="7" t="n">
        <v>65535</v>
      </c>
      <c r="F16937" s="7" t="n">
        <v>0</v>
      </c>
    </row>
    <row r="16938" spans="1:9">
      <c r="A16938" t="s">
        <v>4</v>
      </c>
      <c r="B16938" s="4" t="s">
        <v>5</v>
      </c>
      <c r="C16938" s="4" t="s">
        <v>11</v>
      </c>
      <c r="D16938" s="4" t="s">
        <v>11</v>
      </c>
      <c r="E16938" s="4" t="s">
        <v>11</v>
      </c>
    </row>
    <row r="16939" spans="1:9">
      <c r="A16939" t="n">
        <v>161714</v>
      </c>
      <c r="B16939" s="72" t="n">
        <v>61</v>
      </c>
      <c r="C16939" s="7" t="n">
        <v>8</v>
      </c>
      <c r="D16939" s="7" t="n">
        <v>0</v>
      </c>
      <c r="E16939" s="7" t="n">
        <v>1000</v>
      </c>
    </row>
    <row r="16940" spans="1:9">
      <c r="A16940" t="s">
        <v>4</v>
      </c>
      <c r="B16940" s="4" t="s">
        <v>5</v>
      </c>
      <c r="C16940" s="4" t="s">
        <v>11</v>
      </c>
      <c r="D16940" s="4" t="s">
        <v>13</v>
      </c>
      <c r="E16940" s="4" t="s">
        <v>13</v>
      </c>
      <c r="F16940" s="4" t="s">
        <v>7</v>
      </c>
    </row>
    <row r="16941" spans="1:9">
      <c r="A16941" t="n">
        <v>161721</v>
      </c>
      <c r="B16941" s="65" t="n">
        <v>52</v>
      </c>
      <c r="C16941" s="7" t="n">
        <v>8</v>
      </c>
      <c r="D16941" s="7" t="n">
        <v>254.800003051758</v>
      </c>
      <c r="E16941" s="7" t="n">
        <v>5</v>
      </c>
      <c r="F16941" s="7" t="n">
        <v>1</v>
      </c>
    </row>
    <row r="16942" spans="1:9">
      <c r="A16942" t="s">
        <v>4</v>
      </c>
      <c r="B16942" s="4" t="s">
        <v>5</v>
      </c>
      <c r="C16942" s="4" t="s">
        <v>11</v>
      </c>
    </row>
    <row r="16943" spans="1:9">
      <c r="A16943" t="n">
        <v>161733</v>
      </c>
      <c r="B16943" s="66" t="n">
        <v>54</v>
      </c>
      <c r="C16943" s="7" t="n">
        <v>8</v>
      </c>
    </row>
    <row r="16944" spans="1:9">
      <c r="A16944" t="s">
        <v>4</v>
      </c>
      <c r="B16944" s="4" t="s">
        <v>5</v>
      </c>
      <c r="C16944" s="4" t="s">
        <v>7</v>
      </c>
      <c r="D16944" s="4" t="s">
        <v>11</v>
      </c>
      <c r="E16944" s="4" t="s">
        <v>8</v>
      </c>
    </row>
    <row r="16945" spans="1:8">
      <c r="A16945" t="n">
        <v>161736</v>
      </c>
      <c r="B16945" s="38" t="n">
        <v>51</v>
      </c>
      <c r="C16945" s="7" t="n">
        <v>4</v>
      </c>
      <c r="D16945" s="7" t="n">
        <v>8</v>
      </c>
      <c r="E16945" s="7" t="s">
        <v>288</v>
      </c>
    </row>
    <row r="16946" spans="1:8">
      <c r="A16946" t="s">
        <v>4</v>
      </c>
      <c r="B16946" s="4" t="s">
        <v>5</v>
      </c>
      <c r="C16946" s="4" t="s">
        <v>11</v>
      </c>
    </row>
    <row r="16947" spans="1:8">
      <c r="A16947" t="n">
        <v>161749</v>
      </c>
      <c r="B16947" s="29" t="n">
        <v>16</v>
      </c>
      <c r="C16947" s="7" t="n">
        <v>0</v>
      </c>
    </row>
    <row r="16948" spans="1:8">
      <c r="A16948" t="s">
        <v>4</v>
      </c>
      <c r="B16948" s="4" t="s">
        <v>5</v>
      </c>
      <c r="C16948" s="4" t="s">
        <v>11</v>
      </c>
      <c r="D16948" s="4" t="s">
        <v>7</v>
      </c>
      <c r="E16948" s="4" t="s">
        <v>15</v>
      </c>
      <c r="F16948" s="4" t="s">
        <v>55</v>
      </c>
      <c r="G16948" s="4" t="s">
        <v>7</v>
      </c>
      <c r="H16948" s="4" t="s">
        <v>7</v>
      </c>
      <c r="I16948" s="4" t="s">
        <v>7</v>
      </c>
      <c r="J16948" s="4" t="s">
        <v>15</v>
      </c>
      <c r="K16948" s="4" t="s">
        <v>55</v>
      </c>
      <c r="L16948" s="4" t="s">
        <v>7</v>
      </c>
      <c r="M16948" s="4" t="s">
        <v>7</v>
      </c>
    </row>
    <row r="16949" spans="1:8">
      <c r="A16949" t="n">
        <v>161752</v>
      </c>
      <c r="B16949" s="55" t="n">
        <v>26</v>
      </c>
      <c r="C16949" s="7" t="n">
        <v>8</v>
      </c>
      <c r="D16949" s="7" t="n">
        <v>17</v>
      </c>
      <c r="E16949" s="7" t="n">
        <v>64395</v>
      </c>
      <c r="F16949" s="7" t="s">
        <v>1352</v>
      </c>
      <c r="G16949" s="7" t="n">
        <v>2</v>
      </c>
      <c r="H16949" s="7" t="n">
        <v>3</v>
      </c>
      <c r="I16949" s="7" t="n">
        <v>17</v>
      </c>
      <c r="J16949" s="7" t="n">
        <v>64396</v>
      </c>
      <c r="K16949" s="7" t="s">
        <v>1353</v>
      </c>
      <c r="L16949" s="7" t="n">
        <v>2</v>
      </c>
      <c r="M16949" s="7" t="n">
        <v>0</v>
      </c>
    </row>
    <row r="16950" spans="1:8">
      <c r="A16950" t="s">
        <v>4</v>
      </c>
      <c r="B16950" s="4" t="s">
        <v>5</v>
      </c>
    </row>
    <row r="16951" spans="1:8">
      <c r="A16951" t="n">
        <v>161887</v>
      </c>
      <c r="B16951" s="27" t="n">
        <v>28</v>
      </c>
    </row>
    <row r="16952" spans="1:8">
      <c r="A16952" t="s">
        <v>4</v>
      </c>
      <c r="B16952" s="4" t="s">
        <v>5</v>
      </c>
      <c r="C16952" s="4" t="s">
        <v>7</v>
      </c>
      <c r="D16952" s="4" t="s">
        <v>11</v>
      </c>
      <c r="E16952" s="4" t="s">
        <v>8</v>
      </c>
    </row>
    <row r="16953" spans="1:8">
      <c r="A16953" t="n">
        <v>161888</v>
      </c>
      <c r="B16953" s="38" t="n">
        <v>51</v>
      </c>
      <c r="C16953" s="7" t="n">
        <v>4</v>
      </c>
      <c r="D16953" s="7" t="n">
        <v>0</v>
      </c>
      <c r="E16953" s="7" t="s">
        <v>179</v>
      </c>
    </row>
    <row r="16954" spans="1:8">
      <c r="A16954" t="s">
        <v>4</v>
      </c>
      <c r="B16954" s="4" t="s">
        <v>5</v>
      </c>
      <c r="C16954" s="4" t="s">
        <v>11</v>
      </c>
    </row>
    <row r="16955" spans="1:8">
      <c r="A16955" t="n">
        <v>161902</v>
      </c>
      <c r="B16955" s="29" t="n">
        <v>16</v>
      </c>
      <c r="C16955" s="7" t="n">
        <v>0</v>
      </c>
    </row>
    <row r="16956" spans="1:8">
      <c r="A16956" t="s">
        <v>4</v>
      </c>
      <c r="B16956" s="4" t="s">
        <v>5</v>
      </c>
      <c r="C16956" s="4" t="s">
        <v>11</v>
      </c>
      <c r="D16956" s="4" t="s">
        <v>7</v>
      </c>
      <c r="E16956" s="4" t="s">
        <v>15</v>
      </c>
      <c r="F16956" s="4" t="s">
        <v>55</v>
      </c>
      <c r="G16956" s="4" t="s">
        <v>7</v>
      </c>
      <c r="H16956" s="4" t="s">
        <v>7</v>
      </c>
      <c r="I16956" s="4" t="s">
        <v>7</v>
      </c>
      <c r="J16956" s="4" t="s">
        <v>15</v>
      </c>
      <c r="K16956" s="4" t="s">
        <v>55</v>
      </c>
      <c r="L16956" s="4" t="s">
        <v>7</v>
      </c>
      <c r="M16956" s="4" t="s">
        <v>7</v>
      </c>
    </row>
    <row r="16957" spans="1:8">
      <c r="A16957" t="n">
        <v>161905</v>
      </c>
      <c r="B16957" s="55" t="n">
        <v>26</v>
      </c>
      <c r="C16957" s="7" t="n">
        <v>0</v>
      </c>
      <c r="D16957" s="7" t="n">
        <v>17</v>
      </c>
      <c r="E16957" s="7" t="n">
        <v>64397</v>
      </c>
      <c r="F16957" s="7" t="s">
        <v>1354</v>
      </c>
      <c r="G16957" s="7" t="n">
        <v>2</v>
      </c>
      <c r="H16957" s="7" t="n">
        <v>3</v>
      </c>
      <c r="I16957" s="7" t="n">
        <v>17</v>
      </c>
      <c r="J16957" s="7" t="n">
        <v>64398</v>
      </c>
      <c r="K16957" s="7" t="s">
        <v>1355</v>
      </c>
      <c r="L16957" s="7" t="n">
        <v>2</v>
      </c>
      <c r="M16957" s="7" t="n">
        <v>0</v>
      </c>
    </row>
    <row r="16958" spans="1:8">
      <c r="A16958" t="s">
        <v>4</v>
      </c>
      <c r="B16958" s="4" t="s">
        <v>5</v>
      </c>
    </row>
    <row r="16959" spans="1:8">
      <c r="A16959" t="n">
        <v>162024</v>
      </c>
      <c r="B16959" s="27" t="n">
        <v>28</v>
      </c>
    </row>
    <row r="16960" spans="1:8">
      <c r="A16960" t="s">
        <v>4</v>
      </c>
      <c r="B16960" s="4" t="s">
        <v>5</v>
      </c>
      <c r="C16960" s="4" t="s">
        <v>7</v>
      </c>
      <c r="D16960" s="4" t="s">
        <v>11</v>
      </c>
      <c r="E16960" s="4" t="s">
        <v>11</v>
      </c>
      <c r="F16960" s="4" t="s">
        <v>7</v>
      </c>
    </row>
    <row r="16961" spans="1:13">
      <c r="A16961" t="n">
        <v>162025</v>
      </c>
      <c r="B16961" s="31" t="n">
        <v>25</v>
      </c>
      <c r="C16961" s="7" t="n">
        <v>1</v>
      </c>
      <c r="D16961" s="7" t="n">
        <v>65535</v>
      </c>
      <c r="E16961" s="7" t="n">
        <v>65535</v>
      </c>
      <c r="F16961" s="7" t="n">
        <v>0</v>
      </c>
    </row>
    <row r="16962" spans="1:13">
      <c r="A16962" t="s">
        <v>4</v>
      </c>
      <c r="B16962" s="4" t="s">
        <v>5</v>
      </c>
      <c r="C16962" s="4" t="s">
        <v>7</v>
      </c>
      <c r="D16962" s="4" t="s">
        <v>11</v>
      </c>
      <c r="E16962" s="4" t="s">
        <v>8</v>
      </c>
    </row>
    <row r="16963" spans="1:13">
      <c r="A16963" t="n">
        <v>162032</v>
      </c>
      <c r="B16963" s="38" t="n">
        <v>51</v>
      </c>
      <c r="C16963" s="7" t="n">
        <v>4</v>
      </c>
      <c r="D16963" s="7" t="n">
        <v>8</v>
      </c>
      <c r="E16963" s="7" t="s">
        <v>313</v>
      </c>
    </row>
    <row r="16964" spans="1:13">
      <c r="A16964" t="s">
        <v>4</v>
      </c>
      <c r="B16964" s="4" t="s">
        <v>5</v>
      </c>
      <c r="C16964" s="4" t="s">
        <v>11</v>
      </c>
    </row>
    <row r="16965" spans="1:13">
      <c r="A16965" t="n">
        <v>162045</v>
      </c>
      <c r="B16965" s="29" t="n">
        <v>16</v>
      </c>
      <c r="C16965" s="7" t="n">
        <v>0</v>
      </c>
    </row>
    <row r="16966" spans="1:13">
      <c r="A16966" t="s">
        <v>4</v>
      </c>
      <c r="B16966" s="4" t="s">
        <v>5</v>
      </c>
      <c r="C16966" s="4" t="s">
        <v>11</v>
      </c>
      <c r="D16966" s="4" t="s">
        <v>7</v>
      </c>
      <c r="E16966" s="4" t="s">
        <v>15</v>
      </c>
      <c r="F16966" s="4" t="s">
        <v>55</v>
      </c>
      <c r="G16966" s="4" t="s">
        <v>7</v>
      </c>
      <c r="H16966" s="4" t="s">
        <v>7</v>
      </c>
      <c r="I16966" s="4" t="s">
        <v>7</v>
      </c>
      <c r="J16966" s="4" t="s">
        <v>15</v>
      </c>
      <c r="K16966" s="4" t="s">
        <v>55</v>
      </c>
      <c r="L16966" s="4" t="s">
        <v>7</v>
      </c>
      <c r="M16966" s="4" t="s">
        <v>7</v>
      </c>
      <c r="N16966" s="4" t="s">
        <v>7</v>
      </c>
      <c r="O16966" s="4" t="s">
        <v>15</v>
      </c>
      <c r="P16966" s="4" t="s">
        <v>55</v>
      </c>
      <c r="Q16966" s="4" t="s">
        <v>7</v>
      </c>
      <c r="R16966" s="4" t="s">
        <v>7</v>
      </c>
    </row>
    <row r="16967" spans="1:13">
      <c r="A16967" t="n">
        <v>162048</v>
      </c>
      <c r="B16967" s="55" t="n">
        <v>26</v>
      </c>
      <c r="C16967" s="7" t="n">
        <v>8</v>
      </c>
      <c r="D16967" s="7" t="n">
        <v>17</v>
      </c>
      <c r="E16967" s="7" t="n">
        <v>64399</v>
      </c>
      <c r="F16967" s="7" t="s">
        <v>1356</v>
      </c>
      <c r="G16967" s="7" t="n">
        <v>2</v>
      </c>
      <c r="H16967" s="7" t="n">
        <v>3</v>
      </c>
      <c r="I16967" s="7" t="n">
        <v>17</v>
      </c>
      <c r="J16967" s="7" t="n">
        <v>64400</v>
      </c>
      <c r="K16967" s="7" t="s">
        <v>1357</v>
      </c>
      <c r="L16967" s="7" t="n">
        <v>2</v>
      </c>
      <c r="M16967" s="7" t="n">
        <v>3</v>
      </c>
      <c r="N16967" s="7" t="n">
        <v>17</v>
      </c>
      <c r="O16967" s="7" t="n">
        <v>64401</v>
      </c>
      <c r="P16967" s="7" t="s">
        <v>1358</v>
      </c>
      <c r="Q16967" s="7" t="n">
        <v>2</v>
      </c>
      <c r="R16967" s="7" t="n">
        <v>0</v>
      </c>
    </row>
    <row r="16968" spans="1:13">
      <c r="A16968" t="s">
        <v>4</v>
      </c>
      <c r="B16968" s="4" t="s">
        <v>5</v>
      </c>
    </row>
    <row r="16969" spans="1:13">
      <c r="A16969" t="n">
        <v>162394</v>
      </c>
      <c r="B16969" s="27" t="n">
        <v>28</v>
      </c>
    </row>
    <row r="16970" spans="1:13">
      <c r="A16970" t="s">
        <v>4</v>
      </c>
      <c r="B16970" s="4" t="s">
        <v>5</v>
      </c>
      <c r="C16970" s="4" t="s">
        <v>7</v>
      </c>
      <c r="D16970" s="4" t="s">
        <v>11</v>
      </c>
      <c r="E16970" s="4" t="s">
        <v>8</v>
      </c>
    </row>
    <row r="16971" spans="1:13">
      <c r="A16971" t="n">
        <v>162395</v>
      </c>
      <c r="B16971" s="38" t="n">
        <v>51</v>
      </c>
      <c r="C16971" s="7" t="n">
        <v>4</v>
      </c>
      <c r="D16971" s="7" t="n">
        <v>0</v>
      </c>
      <c r="E16971" s="7" t="s">
        <v>179</v>
      </c>
    </row>
    <row r="16972" spans="1:13">
      <c r="A16972" t="s">
        <v>4</v>
      </c>
      <c r="B16972" s="4" t="s">
        <v>5</v>
      </c>
      <c r="C16972" s="4" t="s">
        <v>11</v>
      </c>
    </row>
    <row r="16973" spans="1:13">
      <c r="A16973" t="n">
        <v>162409</v>
      </c>
      <c r="B16973" s="29" t="n">
        <v>16</v>
      </c>
      <c r="C16973" s="7" t="n">
        <v>0</v>
      </c>
    </row>
    <row r="16974" spans="1:13">
      <c r="A16974" t="s">
        <v>4</v>
      </c>
      <c r="B16974" s="4" t="s">
        <v>5</v>
      </c>
      <c r="C16974" s="4" t="s">
        <v>11</v>
      </c>
      <c r="D16974" s="4" t="s">
        <v>7</v>
      </c>
      <c r="E16974" s="4" t="s">
        <v>15</v>
      </c>
      <c r="F16974" s="4" t="s">
        <v>55</v>
      </c>
      <c r="G16974" s="4" t="s">
        <v>7</v>
      </c>
      <c r="H16974" s="4" t="s">
        <v>7</v>
      </c>
    </row>
    <row r="16975" spans="1:13">
      <c r="A16975" t="n">
        <v>162412</v>
      </c>
      <c r="B16975" s="55" t="n">
        <v>26</v>
      </c>
      <c r="C16975" s="7" t="n">
        <v>0</v>
      </c>
      <c r="D16975" s="7" t="n">
        <v>17</v>
      </c>
      <c r="E16975" s="7" t="n">
        <v>64402</v>
      </c>
      <c r="F16975" s="7" t="s">
        <v>1359</v>
      </c>
      <c r="G16975" s="7" t="n">
        <v>2</v>
      </c>
      <c r="H16975" s="7" t="n">
        <v>0</v>
      </c>
    </row>
    <row r="16976" spans="1:13">
      <c r="A16976" t="s">
        <v>4</v>
      </c>
      <c r="B16976" s="4" t="s">
        <v>5</v>
      </c>
    </row>
    <row r="16977" spans="1:18">
      <c r="A16977" t="n">
        <v>162524</v>
      </c>
      <c r="B16977" s="27" t="n">
        <v>28</v>
      </c>
    </row>
    <row r="16978" spans="1:18">
      <c r="A16978" t="s">
        <v>4</v>
      </c>
      <c r="B16978" s="4" t="s">
        <v>5</v>
      </c>
      <c r="C16978" s="4" t="s">
        <v>7</v>
      </c>
      <c r="D16978" s="4" t="s">
        <v>11</v>
      </c>
      <c r="E16978" s="4" t="s">
        <v>11</v>
      </c>
      <c r="F16978" s="4" t="s">
        <v>7</v>
      </c>
    </row>
    <row r="16979" spans="1:18">
      <c r="A16979" t="n">
        <v>162525</v>
      </c>
      <c r="B16979" s="31" t="n">
        <v>25</v>
      </c>
      <c r="C16979" s="7" t="n">
        <v>1</v>
      </c>
      <c r="D16979" s="7" t="n">
        <v>65535</v>
      </c>
      <c r="E16979" s="7" t="n">
        <v>65535</v>
      </c>
      <c r="F16979" s="7" t="n">
        <v>0</v>
      </c>
    </row>
    <row r="16980" spans="1:18">
      <c r="A16980" t="s">
        <v>4</v>
      </c>
      <c r="B16980" s="4" t="s">
        <v>5</v>
      </c>
      <c r="C16980" s="4" t="s">
        <v>7</v>
      </c>
      <c r="D16980" s="4" t="s">
        <v>11</v>
      </c>
      <c r="E16980" s="4" t="s">
        <v>8</v>
      </c>
    </row>
    <row r="16981" spans="1:18">
      <c r="A16981" t="n">
        <v>162532</v>
      </c>
      <c r="B16981" s="38" t="n">
        <v>51</v>
      </c>
      <c r="C16981" s="7" t="n">
        <v>4</v>
      </c>
      <c r="D16981" s="7" t="n">
        <v>8</v>
      </c>
      <c r="E16981" s="7" t="s">
        <v>247</v>
      </c>
    </row>
    <row r="16982" spans="1:18">
      <c r="A16982" t="s">
        <v>4</v>
      </c>
      <c r="B16982" s="4" t="s">
        <v>5</v>
      </c>
      <c r="C16982" s="4" t="s">
        <v>11</v>
      </c>
    </row>
    <row r="16983" spans="1:18">
      <c r="A16983" t="n">
        <v>162546</v>
      </c>
      <c r="B16983" s="29" t="n">
        <v>16</v>
      </c>
      <c r="C16983" s="7" t="n">
        <v>0</v>
      </c>
    </row>
    <row r="16984" spans="1:18">
      <c r="A16984" t="s">
        <v>4</v>
      </c>
      <c r="B16984" s="4" t="s">
        <v>5</v>
      </c>
      <c r="C16984" s="4" t="s">
        <v>11</v>
      </c>
      <c r="D16984" s="4" t="s">
        <v>7</v>
      </c>
      <c r="E16984" s="4" t="s">
        <v>15</v>
      </c>
      <c r="F16984" s="4" t="s">
        <v>55</v>
      </c>
      <c r="G16984" s="4" t="s">
        <v>7</v>
      </c>
      <c r="H16984" s="4" t="s">
        <v>7</v>
      </c>
      <c r="I16984" s="4" t="s">
        <v>7</v>
      </c>
      <c r="J16984" s="4" t="s">
        <v>15</v>
      </c>
      <c r="K16984" s="4" t="s">
        <v>55</v>
      </c>
      <c r="L16984" s="4" t="s">
        <v>7</v>
      </c>
      <c r="M16984" s="4" t="s">
        <v>7</v>
      </c>
    </row>
    <row r="16985" spans="1:18">
      <c r="A16985" t="n">
        <v>162549</v>
      </c>
      <c r="B16985" s="55" t="n">
        <v>26</v>
      </c>
      <c r="C16985" s="7" t="n">
        <v>8</v>
      </c>
      <c r="D16985" s="7" t="n">
        <v>17</v>
      </c>
      <c r="E16985" s="7" t="n">
        <v>64403</v>
      </c>
      <c r="F16985" s="7" t="s">
        <v>1360</v>
      </c>
      <c r="G16985" s="7" t="n">
        <v>2</v>
      </c>
      <c r="H16985" s="7" t="n">
        <v>3</v>
      </c>
      <c r="I16985" s="7" t="n">
        <v>17</v>
      </c>
      <c r="J16985" s="7" t="n">
        <v>64404</v>
      </c>
      <c r="K16985" s="7" t="s">
        <v>1361</v>
      </c>
      <c r="L16985" s="7" t="n">
        <v>2</v>
      </c>
      <c r="M16985" s="7" t="n">
        <v>0</v>
      </c>
    </row>
    <row r="16986" spans="1:18">
      <c r="A16986" t="s">
        <v>4</v>
      </c>
      <c r="B16986" s="4" t="s">
        <v>5</v>
      </c>
    </row>
    <row r="16987" spans="1:18">
      <c r="A16987" t="n">
        <v>162707</v>
      </c>
      <c r="B16987" s="27" t="n">
        <v>28</v>
      </c>
    </row>
    <row r="16988" spans="1:18">
      <c r="A16988" t="s">
        <v>4</v>
      </c>
      <c r="B16988" s="4" t="s">
        <v>5</v>
      </c>
      <c r="C16988" s="4" t="s">
        <v>11</v>
      </c>
      <c r="D16988" s="4" t="s">
        <v>7</v>
      </c>
      <c r="E16988" s="4" t="s">
        <v>13</v>
      </c>
      <c r="F16988" s="4" t="s">
        <v>11</v>
      </c>
    </row>
    <row r="16989" spans="1:18">
      <c r="A16989" t="n">
        <v>162708</v>
      </c>
      <c r="B16989" s="56" t="n">
        <v>59</v>
      </c>
      <c r="C16989" s="7" t="n">
        <v>0</v>
      </c>
      <c r="D16989" s="7" t="n">
        <v>1</v>
      </c>
      <c r="E16989" s="7" t="n">
        <v>0.150000005960464</v>
      </c>
      <c r="F16989" s="7" t="n">
        <v>0</v>
      </c>
    </row>
    <row r="16990" spans="1:18">
      <c r="A16990" t="s">
        <v>4</v>
      </c>
      <c r="B16990" s="4" t="s">
        <v>5</v>
      </c>
      <c r="C16990" s="4" t="s">
        <v>11</v>
      </c>
    </row>
    <row r="16991" spans="1:18">
      <c r="A16991" t="n">
        <v>162718</v>
      </c>
      <c r="B16991" s="29" t="n">
        <v>16</v>
      </c>
      <c r="C16991" s="7" t="n">
        <v>1000</v>
      </c>
    </row>
    <row r="16992" spans="1:18">
      <c r="A16992" t="s">
        <v>4</v>
      </c>
      <c r="B16992" s="4" t="s">
        <v>5</v>
      </c>
      <c r="C16992" s="4" t="s">
        <v>7</v>
      </c>
      <c r="D16992" s="4" t="s">
        <v>11</v>
      </c>
      <c r="E16992" s="4" t="s">
        <v>8</v>
      </c>
    </row>
    <row r="16993" spans="1:13">
      <c r="A16993" t="n">
        <v>162721</v>
      </c>
      <c r="B16993" s="38" t="n">
        <v>51</v>
      </c>
      <c r="C16993" s="7" t="n">
        <v>4</v>
      </c>
      <c r="D16993" s="7" t="n">
        <v>0</v>
      </c>
      <c r="E16993" s="7" t="s">
        <v>245</v>
      </c>
    </row>
    <row r="16994" spans="1:13">
      <c r="A16994" t="s">
        <v>4</v>
      </c>
      <c r="B16994" s="4" t="s">
        <v>5</v>
      </c>
      <c r="C16994" s="4" t="s">
        <v>11</v>
      </c>
    </row>
    <row r="16995" spans="1:13">
      <c r="A16995" t="n">
        <v>162735</v>
      </c>
      <c r="B16995" s="29" t="n">
        <v>16</v>
      </c>
      <c r="C16995" s="7" t="n">
        <v>0</v>
      </c>
    </row>
    <row r="16996" spans="1:13">
      <c r="A16996" t="s">
        <v>4</v>
      </c>
      <c r="B16996" s="4" t="s">
        <v>5</v>
      </c>
      <c r="C16996" s="4" t="s">
        <v>11</v>
      </c>
      <c r="D16996" s="4" t="s">
        <v>7</v>
      </c>
      <c r="E16996" s="4" t="s">
        <v>15</v>
      </c>
      <c r="F16996" s="4" t="s">
        <v>55</v>
      </c>
      <c r="G16996" s="4" t="s">
        <v>7</v>
      </c>
      <c r="H16996" s="4" t="s">
        <v>7</v>
      </c>
    </row>
    <row r="16997" spans="1:13">
      <c r="A16997" t="n">
        <v>162738</v>
      </c>
      <c r="B16997" s="55" t="n">
        <v>26</v>
      </c>
      <c r="C16997" s="7" t="n">
        <v>0</v>
      </c>
      <c r="D16997" s="7" t="n">
        <v>17</v>
      </c>
      <c r="E16997" s="7" t="n">
        <v>64405</v>
      </c>
      <c r="F16997" s="7" t="s">
        <v>1362</v>
      </c>
      <c r="G16997" s="7" t="n">
        <v>2</v>
      </c>
      <c r="H16997" s="7" t="n">
        <v>0</v>
      </c>
    </row>
    <row r="16998" spans="1:13">
      <c r="A16998" t="s">
        <v>4</v>
      </c>
      <c r="B16998" s="4" t="s">
        <v>5</v>
      </c>
    </row>
    <row r="16999" spans="1:13">
      <c r="A16999" t="n">
        <v>162766</v>
      </c>
      <c r="B16999" s="27" t="n">
        <v>28</v>
      </c>
    </row>
    <row r="17000" spans="1:13">
      <c r="A17000" t="s">
        <v>4</v>
      </c>
      <c r="B17000" s="4" t="s">
        <v>5</v>
      </c>
      <c r="C17000" s="4" t="s">
        <v>7</v>
      </c>
      <c r="D17000" s="4" t="s">
        <v>11</v>
      </c>
      <c r="E17000" s="4" t="s">
        <v>11</v>
      </c>
      <c r="F17000" s="4" t="s">
        <v>7</v>
      </c>
    </row>
    <row r="17001" spans="1:13">
      <c r="A17001" t="n">
        <v>162767</v>
      </c>
      <c r="B17001" s="31" t="n">
        <v>25</v>
      </c>
      <c r="C17001" s="7" t="n">
        <v>1</v>
      </c>
      <c r="D17001" s="7" t="n">
        <v>65535</v>
      </c>
      <c r="E17001" s="7" t="n">
        <v>65535</v>
      </c>
      <c r="F17001" s="7" t="n">
        <v>0</v>
      </c>
    </row>
    <row r="17002" spans="1:13">
      <c r="A17002" t="s">
        <v>4</v>
      </c>
      <c r="B17002" s="4" t="s">
        <v>5</v>
      </c>
      <c r="C17002" s="4" t="s">
        <v>7</v>
      </c>
      <c r="D17002" s="4" t="s">
        <v>11</v>
      </c>
      <c r="E17002" s="4" t="s">
        <v>8</v>
      </c>
    </row>
    <row r="17003" spans="1:13">
      <c r="A17003" t="n">
        <v>162774</v>
      </c>
      <c r="B17003" s="38" t="n">
        <v>51</v>
      </c>
      <c r="C17003" s="7" t="n">
        <v>4</v>
      </c>
      <c r="D17003" s="7" t="n">
        <v>8</v>
      </c>
      <c r="E17003" s="7" t="s">
        <v>247</v>
      </c>
    </row>
    <row r="17004" spans="1:13">
      <c r="A17004" t="s">
        <v>4</v>
      </c>
      <c r="B17004" s="4" t="s">
        <v>5</v>
      </c>
      <c r="C17004" s="4" t="s">
        <v>11</v>
      </c>
    </row>
    <row r="17005" spans="1:13">
      <c r="A17005" t="n">
        <v>162788</v>
      </c>
      <c r="B17005" s="29" t="n">
        <v>16</v>
      </c>
      <c r="C17005" s="7" t="n">
        <v>0</v>
      </c>
    </row>
    <row r="17006" spans="1:13">
      <c r="A17006" t="s">
        <v>4</v>
      </c>
      <c r="B17006" s="4" t="s">
        <v>5</v>
      </c>
      <c r="C17006" s="4" t="s">
        <v>11</v>
      </c>
      <c r="D17006" s="4" t="s">
        <v>7</v>
      </c>
      <c r="E17006" s="4" t="s">
        <v>15</v>
      </c>
      <c r="F17006" s="4" t="s">
        <v>55</v>
      </c>
      <c r="G17006" s="4" t="s">
        <v>7</v>
      </c>
      <c r="H17006" s="4" t="s">
        <v>7</v>
      </c>
      <c r="I17006" s="4" t="s">
        <v>7</v>
      </c>
      <c r="J17006" s="4" t="s">
        <v>15</v>
      </c>
      <c r="K17006" s="4" t="s">
        <v>55</v>
      </c>
      <c r="L17006" s="4" t="s">
        <v>7</v>
      </c>
      <c r="M17006" s="4" t="s">
        <v>7</v>
      </c>
      <c r="N17006" s="4" t="s">
        <v>7</v>
      </c>
      <c r="O17006" s="4" t="s">
        <v>15</v>
      </c>
      <c r="P17006" s="4" t="s">
        <v>55</v>
      </c>
      <c r="Q17006" s="4" t="s">
        <v>7</v>
      </c>
      <c r="R17006" s="4" t="s">
        <v>7</v>
      </c>
    </row>
    <row r="17007" spans="1:13">
      <c r="A17007" t="n">
        <v>162791</v>
      </c>
      <c r="B17007" s="55" t="n">
        <v>26</v>
      </c>
      <c r="C17007" s="7" t="n">
        <v>8</v>
      </c>
      <c r="D17007" s="7" t="n">
        <v>17</v>
      </c>
      <c r="E17007" s="7" t="n">
        <v>64406</v>
      </c>
      <c r="F17007" s="7" t="s">
        <v>1363</v>
      </c>
      <c r="G17007" s="7" t="n">
        <v>2</v>
      </c>
      <c r="H17007" s="7" t="n">
        <v>3</v>
      </c>
      <c r="I17007" s="7" t="n">
        <v>17</v>
      </c>
      <c r="J17007" s="7" t="n">
        <v>64407</v>
      </c>
      <c r="K17007" s="7" t="s">
        <v>1364</v>
      </c>
      <c r="L17007" s="7" t="n">
        <v>2</v>
      </c>
      <c r="M17007" s="7" t="n">
        <v>3</v>
      </c>
      <c r="N17007" s="7" t="n">
        <v>17</v>
      </c>
      <c r="O17007" s="7" t="n">
        <v>64408</v>
      </c>
      <c r="P17007" s="7" t="s">
        <v>1365</v>
      </c>
      <c r="Q17007" s="7" t="n">
        <v>2</v>
      </c>
      <c r="R17007" s="7" t="n">
        <v>0</v>
      </c>
    </row>
    <row r="17008" spans="1:13">
      <c r="A17008" t="s">
        <v>4</v>
      </c>
      <c r="B17008" s="4" t="s">
        <v>5</v>
      </c>
    </row>
    <row r="17009" spans="1:18">
      <c r="A17009" t="n">
        <v>163058</v>
      </c>
      <c r="B17009" s="27" t="n">
        <v>28</v>
      </c>
    </row>
    <row r="17010" spans="1:18">
      <c r="A17010" t="s">
        <v>4</v>
      </c>
      <c r="B17010" s="4" t="s">
        <v>5</v>
      </c>
      <c r="C17010" s="4" t="s">
        <v>7</v>
      </c>
      <c r="D17010" s="4" t="s">
        <v>11</v>
      </c>
      <c r="E17010" s="4" t="s">
        <v>8</v>
      </c>
    </row>
    <row r="17011" spans="1:18">
      <c r="A17011" t="n">
        <v>163059</v>
      </c>
      <c r="B17011" s="38" t="n">
        <v>51</v>
      </c>
      <c r="C17011" s="7" t="n">
        <v>4</v>
      </c>
      <c r="D17011" s="7" t="n">
        <v>0</v>
      </c>
      <c r="E17011" s="7" t="s">
        <v>304</v>
      </c>
    </row>
    <row r="17012" spans="1:18">
      <c r="A17012" t="s">
        <v>4</v>
      </c>
      <c r="B17012" s="4" t="s">
        <v>5</v>
      </c>
      <c r="C17012" s="4" t="s">
        <v>11</v>
      </c>
    </row>
    <row r="17013" spans="1:18">
      <c r="A17013" t="n">
        <v>163072</v>
      </c>
      <c r="B17013" s="29" t="n">
        <v>16</v>
      </c>
      <c r="C17013" s="7" t="n">
        <v>0</v>
      </c>
    </row>
    <row r="17014" spans="1:18">
      <c r="A17014" t="s">
        <v>4</v>
      </c>
      <c r="B17014" s="4" t="s">
        <v>5</v>
      </c>
      <c r="C17014" s="4" t="s">
        <v>11</v>
      </c>
      <c r="D17014" s="4" t="s">
        <v>7</v>
      </c>
      <c r="E17014" s="4" t="s">
        <v>15</v>
      </c>
      <c r="F17014" s="4" t="s">
        <v>55</v>
      </c>
      <c r="G17014" s="4" t="s">
        <v>7</v>
      </c>
      <c r="H17014" s="4" t="s">
        <v>7</v>
      </c>
    </row>
    <row r="17015" spans="1:18">
      <c r="A17015" t="n">
        <v>163075</v>
      </c>
      <c r="B17015" s="55" t="n">
        <v>26</v>
      </c>
      <c r="C17015" s="7" t="n">
        <v>0</v>
      </c>
      <c r="D17015" s="7" t="n">
        <v>17</v>
      </c>
      <c r="E17015" s="7" t="n">
        <v>64409</v>
      </c>
      <c r="F17015" s="7" t="s">
        <v>1366</v>
      </c>
      <c r="G17015" s="7" t="n">
        <v>2</v>
      </c>
      <c r="H17015" s="7" t="n">
        <v>0</v>
      </c>
    </row>
    <row r="17016" spans="1:18">
      <c r="A17016" t="s">
        <v>4</v>
      </c>
      <c r="B17016" s="4" t="s">
        <v>5</v>
      </c>
    </row>
    <row r="17017" spans="1:18">
      <c r="A17017" t="n">
        <v>163119</v>
      </c>
      <c r="B17017" s="27" t="n">
        <v>28</v>
      </c>
    </row>
    <row r="17018" spans="1:18">
      <c r="A17018" t="s">
        <v>4</v>
      </c>
      <c r="B17018" s="4" t="s">
        <v>5</v>
      </c>
      <c r="C17018" s="4" t="s">
        <v>11</v>
      </c>
      <c r="D17018" s="4" t="s">
        <v>7</v>
      </c>
    </row>
    <row r="17019" spans="1:18">
      <c r="A17019" t="n">
        <v>163120</v>
      </c>
      <c r="B17019" s="68" t="n">
        <v>89</v>
      </c>
      <c r="C17019" s="7" t="n">
        <v>65533</v>
      </c>
      <c r="D17019" s="7" t="n">
        <v>1</v>
      </c>
    </row>
    <row r="17020" spans="1:18">
      <c r="A17020" t="s">
        <v>4</v>
      </c>
      <c r="B17020" s="4" t="s">
        <v>5</v>
      </c>
      <c r="C17020" s="4" t="s">
        <v>7</v>
      </c>
      <c r="D17020" s="4" t="s">
        <v>11</v>
      </c>
      <c r="E17020" s="4" t="s">
        <v>11</v>
      </c>
      <c r="F17020" s="4" t="s">
        <v>7</v>
      </c>
    </row>
    <row r="17021" spans="1:18">
      <c r="A17021" t="n">
        <v>163124</v>
      </c>
      <c r="B17021" s="31" t="n">
        <v>25</v>
      </c>
      <c r="C17021" s="7" t="n">
        <v>1</v>
      </c>
      <c r="D17021" s="7" t="n">
        <v>65535</v>
      </c>
      <c r="E17021" s="7" t="n">
        <v>65535</v>
      </c>
      <c r="F17021" s="7" t="n">
        <v>0</v>
      </c>
    </row>
    <row r="17022" spans="1:18">
      <c r="A17022" t="s">
        <v>4</v>
      </c>
      <c r="B17022" s="4" t="s">
        <v>5</v>
      </c>
      <c r="C17022" s="4" t="s">
        <v>7</v>
      </c>
      <c r="D17022" s="4" t="s">
        <v>11</v>
      </c>
      <c r="E17022" s="4" t="s">
        <v>7</v>
      </c>
      <c r="F17022" s="4" t="s">
        <v>7</v>
      </c>
      <c r="G17022" s="4" t="s">
        <v>12</v>
      </c>
    </row>
    <row r="17023" spans="1:18">
      <c r="A17023" t="n">
        <v>163131</v>
      </c>
      <c r="B17023" s="10" t="n">
        <v>5</v>
      </c>
      <c r="C17023" s="7" t="n">
        <v>30</v>
      </c>
      <c r="D17023" s="7" t="n">
        <v>10847</v>
      </c>
      <c r="E17023" s="7" t="n">
        <v>8</v>
      </c>
      <c r="F17023" s="7" t="n">
        <v>1</v>
      </c>
      <c r="G17023" s="11" t="n">
        <f t="normal" ca="1">A17045</f>
        <v>0</v>
      </c>
    </row>
    <row r="17024" spans="1:18">
      <c r="A17024" t="s">
        <v>4</v>
      </c>
      <c r="B17024" s="4" t="s">
        <v>5</v>
      </c>
      <c r="C17024" s="4" t="s">
        <v>7</v>
      </c>
      <c r="D17024" s="4" t="s">
        <v>11</v>
      </c>
      <c r="E17024" s="4" t="s">
        <v>8</v>
      </c>
    </row>
    <row r="17025" spans="1:8">
      <c r="A17025" t="n">
        <v>163141</v>
      </c>
      <c r="B17025" s="38" t="n">
        <v>51</v>
      </c>
      <c r="C17025" s="7" t="n">
        <v>4</v>
      </c>
      <c r="D17025" s="7" t="n">
        <v>0</v>
      </c>
      <c r="E17025" s="7" t="s">
        <v>179</v>
      </c>
    </row>
    <row r="17026" spans="1:8">
      <c r="A17026" t="s">
        <v>4</v>
      </c>
      <c r="B17026" s="4" t="s">
        <v>5</v>
      </c>
      <c r="C17026" s="4" t="s">
        <v>11</v>
      </c>
    </row>
    <row r="17027" spans="1:8">
      <c r="A17027" t="n">
        <v>163155</v>
      </c>
      <c r="B17027" s="29" t="n">
        <v>16</v>
      </c>
      <c r="C17027" s="7" t="n">
        <v>0</v>
      </c>
    </row>
    <row r="17028" spans="1:8">
      <c r="A17028" t="s">
        <v>4</v>
      </c>
      <c r="B17028" s="4" t="s">
        <v>5</v>
      </c>
      <c r="C17028" s="4" t="s">
        <v>11</v>
      </c>
      <c r="D17028" s="4" t="s">
        <v>7</v>
      </c>
      <c r="E17028" s="4" t="s">
        <v>15</v>
      </c>
      <c r="F17028" s="4" t="s">
        <v>55</v>
      </c>
      <c r="G17028" s="4" t="s">
        <v>7</v>
      </c>
      <c r="H17028" s="4" t="s">
        <v>7</v>
      </c>
      <c r="I17028" s="4" t="s">
        <v>7</v>
      </c>
      <c r="J17028" s="4" t="s">
        <v>15</v>
      </c>
      <c r="K17028" s="4" t="s">
        <v>55</v>
      </c>
      <c r="L17028" s="4" t="s">
        <v>7</v>
      </c>
      <c r="M17028" s="4" t="s">
        <v>7</v>
      </c>
      <c r="N17028" s="4" t="s">
        <v>7</v>
      </c>
      <c r="O17028" s="4" t="s">
        <v>15</v>
      </c>
      <c r="P17028" s="4" t="s">
        <v>55</v>
      </c>
      <c r="Q17028" s="4" t="s">
        <v>7</v>
      </c>
      <c r="R17028" s="4" t="s">
        <v>7</v>
      </c>
    </row>
    <row r="17029" spans="1:8">
      <c r="A17029" t="n">
        <v>163158</v>
      </c>
      <c r="B17029" s="55" t="n">
        <v>26</v>
      </c>
      <c r="C17029" s="7" t="n">
        <v>0</v>
      </c>
      <c r="D17029" s="7" t="n">
        <v>17</v>
      </c>
      <c r="E17029" s="7" t="n">
        <v>64410</v>
      </c>
      <c r="F17029" s="7" t="s">
        <v>1367</v>
      </c>
      <c r="G17029" s="7" t="n">
        <v>2</v>
      </c>
      <c r="H17029" s="7" t="n">
        <v>3</v>
      </c>
      <c r="I17029" s="7" t="n">
        <v>17</v>
      </c>
      <c r="J17029" s="7" t="n">
        <v>64411</v>
      </c>
      <c r="K17029" s="7" t="s">
        <v>1368</v>
      </c>
      <c r="L17029" s="7" t="n">
        <v>2</v>
      </c>
      <c r="M17029" s="7" t="n">
        <v>3</v>
      </c>
      <c r="N17029" s="7" t="n">
        <v>17</v>
      </c>
      <c r="O17029" s="7" t="n">
        <v>64412</v>
      </c>
      <c r="P17029" s="7" t="s">
        <v>1369</v>
      </c>
      <c r="Q17029" s="7" t="n">
        <v>2</v>
      </c>
      <c r="R17029" s="7" t="n">
        <v>0</v>
      </c>
    </row>
    <row r="17030" spans="1:8">
      <c r="A17030" t="s">
        <v>4</v>
      </c>
      <c r="B17030" s="4" t="s">
        <v>5</v>
      </c>
    </row>
    <row r="17031" spans="1:8">
      <c r="A17031" t="n">
        <v>163400</v>
      </c>
      <c r="B17031" s="27" t="n">
        <v>28</v>
      </c>
    </row>
    <row r="17032" spans="1:8">
      <c r="A17032" t="s">
        <v>4</v>
      </c>
      <c r="B17032" s="4" t="s">
        <v>5</v>
      </c>
      <c r="C17032" s="4" t="s">
        <v>7</v>
      </c>
      <c r="D17032" s="4" t="s">
        <v>11</v>
      </c>
      <c r="E17032" s="4" t="s">
        <v>11</v>
      </c>
      <c r="F17032" s="4" t="s">
        <v>7</v>
      </c>
    </row>
    <row r="17033" spans="1:8">
      <c r="A17033" t="n">
        <v>163401</v>
      </c>
      <c r="B17033" s="31" t="n">
        <v>25</v>
      </c>
      <c r="C17033" s="7" t="n">
        <v>1</v>
      </c>
      <c r="D17033" s="7" t="n">
        <v>65535</v>
      </c>
      <c r="E17033" s="7" t="n">
        <v>65535</v>
      </c>
      <c r="F17033" s="7" t="n">
        <v>0</v>
      </c>
    </row>
    <row r="17034" spans="1:8">
      <c r="A17034" t="s">
        <v>4</v>
      </c>
      <c r="B17034" s="4" t="s">
        <v>5</v>
      </c>
      <c r="C17034" s="4" t="s">
        <v>7</v>
      </c>
      <c r="D17034" s="4" t="s">
        <v>11</v>
      </c>
      <c r="E17034" s="4" t="s">
        <v>8</v>
      </c>
    </row>
    <row r="17035" spans="1:8">
      <c r="A17035" t="n">
        <v>163408</v>
      </c>
      <c r="B17035" s="38" t="n">
        <v>51</v>
      </c>
      <c r="C17035" s="7" t="n">
        <v>4</v>
      </c>
      <c r="D17035" s="7" t="n">
        <v>8</v>
      </c>
      <c r="E17035" s="7" t="s">
        <v>233</v>
      </c>
    </row>
    <row r="17036" spans="1:8">
      <c r="A17036" t="s">
        <v>4</v>
      </c>
      <c r="B17036" s="4" t="s">
        <v>5</v>
      </c>
      <c r="C17036" s="4" t="s">
        <v>11</v>
      </c>
    </row>
    <row r="17037" spans="1:8">
      <c r="A17037" t="n">
        <v>163421</v>
      </c>
      <c r="B17037" s="29" t="n">
        <v>16</v>
      </c>
      <c r="C17037" s="7" t="n">
        <v>0</v>
      </c>
    </row>
    <row r="17038" spans="1:8">
      <c r="A17038" t="s">
        <v>4</v>
      </c>
      <c r="B17038" s="4" t="s">
        <v>5</v>
      </c>
      <c r="C17038" s="4" t="s">
        <v>11</v>
      </c>
      <c r="D17038" s="4" t="s">
        <v>7</v>
      </c>
      <c r="E17038" s="4" t="s">
        <v>15</v>
      </c>
      <c r="F17038" s="4" t="s">
        <v>55</v>
      </c>
      <c r="G17038" s="4" t="s">
        <v>7</v>
      </c>
      <c r="H17038" s="4" t="s">
        <v>7</v>
      </c>
    </row>
    <row r="17039" spans="1:8">
      <c r="A17039" t="n">
        <v>163424</v>
      </c>
      <c r="B17039" s="55" t="n">
        <v>26</v>
      </c>
      <c r="C17039" s="7" t="n">
        <v>8</v>
      </c>
      <c r="D17039" s="7" t="n">
        <v>17</v>
      </c>
      <c r="E17039" s="7" t="n">
        <v>64413</v>
      </c>
      <c r="F17039" s="7" t="s">
        <v>1370</v>
      </c>
      <c r="G17039" s="7" t="n">
        <v>2</v>
      </c>
      <c r="H17039" s="7" t="n">
        <v>0</v>
      </c>
    </row>
    <row r="17040" spans="1:8">
      <c r="A17040" t="s">
        <v>4</v>
      </c>
      <c r="B17040" s="4" t="s">
        <v>5</v>
      </c>
    </row>
    <row r="17041" spans="1:18">
      <c r="A17041" t="n">
        <v>163460</v>
      </c>
      <c r="B17041" s="27" t="n">
        <v>28</v>
      </c>
    </row>
    <row r="17042" spans="1:18">
      <c r="A17042" t="s">
        <v>4</v>
      </c>
      <c r="B17042" s="4" t="s">
        <v>5</v>
      </c>
      <c r="C17042" s="4" t="s">
        <v>12</v>
      </c>
    </row>
    <row r="17043" spans="1:18">
      <c r="A17043" t="n">
        <v>163461</v>
      </c>
      <c r="B17043" s="19" t="n">
        <v>3</v>
      </c>
      <c r="C17043" s="11" t="n">
        <f t="normal" ca="1">A17151</f>
        <v>0</v>
      </c>
    </row>
    <row r="17044" spans="1:18">
      <c r="A17044" t="s">
        <v>4</v>
      </c>
      <c r="B17044" s="4" t="s">
        <v>5</v>
      </c>
      <c r="C17044" s="4" t="s">
        <v>7</v>
      </c>
      <c r="D17044" s="4" t="s">
        <v>11</v>
      </c>
      <c r="E17044" s="4" t="s">
        <v>13</v>
      </c>
    </row>
    <row r="17045" spans="1:18">
      <c r="A17045" t="n">
        <v>163466</v>
      </c>
      <c r="B17045" s="23" t="n">
        <v>58</v>
      </c>
      <c r="C17045" s="7" t="n">
        <v>101</v>
      </c>
      <c r="D17045" s="7" t="n">
        <v>800</v>
      </c>
      <c r="E17045" s="7" t="n">
        <v>1</v>
      </c>
    </row>
    <row r="17046" spans="1:18">
      <c r="A17046" t="s">
        <v>4</v>
      </c>
      <c r="B17046" s="4" t="s">
        <v>5</v>
      </c>
      <c r="C17046" s="4" t="s">
        <v>7</v>
      </c>
      <c r="D17046" s="4" t="s">
        <v>11</v>
      </c>
    </row>
    <row r="17047" spans="1:18">
      <c r="A17047" t="n">
        <v>163474</v>
      </c>
      <c r="B17047" s="23" t="n">
        <v>58</v>
      </c>
      <c r="C17047" s="7" t="n">
        <v>254</v>
      </c>
      <c r="D17047" s="7" t="n">
        <v>0</v>
      </c>
    </row>
    <row r="17048" spans="1:18">
      <c r="A17048" t="s">
        <v>4</v>
      </c>
      <c r="B17048" s="4" t="s">
        <v>5</v>
      </c>
      <c r="C17048" s="4" t="s">
        <v>11</v>
      </c>
      <c r="D17048" s="4" t="s">
        <v>13</v>
      </c>
      <c r="E17048" s="4" t="s">
        <v>13</v>
      </c>
      <c r="F17048" s="4" t="s">
        <v>13</v>
      </c>
      <c r="G17048" s="4" t="s">
        <v>13</v>
      </c>
    </row>
    <row r="17049" spans="1:18">
      <c r="A17049" t="n">
        <v>163478</v>
      </c>
      <c r="B17049" s="36" t="n">
        <v>46</v>
      </c>
      <c r="C17049" s="7" t="n">
        <v>0</v>
      </c>
      <c r="D17049" s="7" t="n">
        <v>-16.4200000762939</v>
      </c>
      <c r="E17049" s="7" t="n">
        <v>5.01000022888184</v>
      </c>
      <c r="F17049" s="7" t="n">
        <v>54.8600006103516</v>
      </c>
      <c r="G17049" s="7" t="n">
        <v>115.099998474121</v>
      </c>
    </row>
    <row r="17050" spans="1:18">
      <c r="A17050" t="s">
        <v>4</v>
      </c>
      <c r="B17050" s="4" t="s">
        <v>5</v>
      </c>
      <c r="C17050" s="4" t="s">
        <v>7</v>
      </c>
      <c r="D17050" s="4" t="s">
        <v>7</v>
      </c>
      <c r="E17050" s="4" t="s">
        <v>13</v>
      </c>
      <c r="F17050" s="4" t="s">
        <v>13</v>
      </c>
      <c r="G17050" s="4" t="s">
        <v>13</v>
      </c>
      <c r="H17050" s="4" t="s">
        <v>11</v>
      </c>
    </row>
    <row r="17051" spans="1:18">
      <c r="A17051" t="n">
        <v>163497</v>
      </c>
      <c r="B17051" s="51" t="n">
        <v>45</v>
      </c>
      <c r="C17051" s="7" t="n">
        <v>2</v>
      </c>
      <c r="D17051" s="7" t="n">
        <v>3</v>
      </c>
      <c r="E17051" s="7" t="n">
        <v>-16.0200004577637</v>
      </c>
      <c r="F17051" s="7" t="n">
        <v>6.3899998664856</v>
      </c>
      <c r="G17051" s="7" t="n">
        <v>54.6699981689453</v>
      </c>
      <c r="H17051" s="7" t="n">
        <v>0</v>
      </c>
    </row>
    <row r="17052" spans="1:18">
      <c r="A17052" t="s">
        <v>4</v>
      </c>
      <c r="B17052" s="4" t="s">
        <v>5</v>
      </c>
      <c r="C17052" s="4" t="s">
        <v>7</v>
      </c>
      <c r="D17052" s="4" t="s">
        <v>7</v>
      </c>
      <c r="E17052" s="4" t="s">
        <v>13</v>
      </c>
      <c r="F17052" s="4" t="s">
        <v>13</v>
      </c>
      <c r="G17052" s="4" t="s">
        <v>13</v>
      </c>
      <c r="H17052" s="4" t="s">
        <v>11</v>
      </c>
      <c r="I17052" s="4" t="s">
        <v>7</v>
      </c>
    </row>
    <row r="17053" spans="1:18">
      <c r="A17053" t="n">
        <v>163514</v>
      </c>
      <c r="B17053" s="51" t="n">
        <v>45</v>
      </c>
      <c r="C17053" s="7" t="n">
        <v>4</v>
      </c>
      <c r="D17053" s="7" t="n">
        <v>3</v>
      </c>
      <c r="E17053" s="7" t="n">
        <v>20.1200008392334</v>
      </c>
      <c r="F17053" s="7" t="n">
        <v>262.260009765625</v>
      </c>
      <c r="G17053" s="7" t="n">
        <v>6</v>
      </c>
      <c r="H17053" s="7" t="n">
        <v>0</v>
      </c>
      <c r="I17053" s="7" t="n">
        <v>0</v>
      </c>
    </row>
    <row r="17054" spans="1:18">
      <c r="A17054" t="s">
        <v>4</v>
      </c>
      <c r="B17054" s="4" t="s">
        <v>5</v>
      </c>
      <c r="C17054" s="4" t="s">
        <v>7</v>
      </c>
      <c r="D17054" s="4" t="s">
        <v>7</v>
      </c>
      <c r="E17054" s="4" t="s">
        <v>13</v>
      </c>
      <c r="F17054" s="4" t="s">
        <v>11</v>
      </c>
    </row>
    <row r="17055" spans="1:18">
      <c r="A17055" t="n">
        <v>163532</v>
      </c>
      <c r="B17055" s="51" t="n">
        <v>45</v>
      </c>
      <c r="C17055" s="7" t="n">
        <v>5</v>
      </c>
      <c r="D17055" s="7" t="n">
        <v>3</v>
      </c>
      <c r="E17055" s="7" t="n">
        <v>1</v>
      </c>
      <c r="F17055" s="7" t="n">
        <v>3000</v>
      </c>
    </row>
    <row r="17056" spans="1:18">
      <c r="A17056" t="s">
        <v>4</v>
      </c>
      <c r="B17056" s="4" t="s">
        <v>5</v>
      </c>
      <c r="C17056" s="4" t="s">
        <v>7</v>
      </c>
      <c r="D17056" s="4" t="s">
        <v>7</v>
      </c>
      <c r="E17056" s="4" t="s">
        <v>13</v>
      </c>
      <c r="F17056" s="4" t="s">
        <v>11</v>
      </c>
    </row>
    <row r="17057" spans="1:9">
      <c r="A17057" t="n">
        <v>163541</v>
      </c>
      <c r="B17057" s="51" t="n">
        <v>45</v>
      </c>
      <c r="C17057" s="7" t="n">
        <v>11</v>
      </c>
      <c r="D17057" s="7" t="n">
        <v>3</v>
      </c>
      <c r="E17057" s="7" t="n">
        <v>34</v>
      </c>
      <c r="F17057" s="7" t="n">
        <v>0</v>
      </c>
    </row>
    <row r="17058" spans="1:9">
      <c r="A17058" t="s">
        <v>4</v>
      </c>
      <c r="B17058" s="4" t="s">
        <v>5</v>
      </c>
      <c r="C17058" s="4" t="s">
        <v>7</v>
      </c>
      <c r="D17058" s="4" t="s">
        <v>7</v>
      </c>
      <c r="E17058" s="4" t="s">
        <v>13</v>
      </c>
      <c r="F17058" s="4" t="s">
        <v>11</v>
      </c>
    </row>
    <row r="17059" spans="1:9">
      <c r="A17059" t="n">
        <v>163550</v>
      </c>
      <c r="B17059" s="51" t="n">
        <v>45</v>
      </c>
      <c r="C17059" s="7" t="n">
        <v>5</v>
      </c>
      <c r="D17059" s="7" t="n">
        <v>3</v>
      </c>
      <c r="E17059" s="7" t="n">
        <v>1.10000002384186</v>
      </c>
      <c r="F17059" s="7" t="n">
        <v>0</v>
      </c>
    </row>
    <row r="17060" spans="1:9">
      <c r="A17060" t="s">
        <v>4</v>
      </c>
      <c r="B17060" s="4" t="s">
        <v>5</v>
      </c>
      <c r="C17060" s="4" t="s">
        <v>7</v>
      </c>
      <c r="D17060" s="4" t="s">
        <v>11</v>
      </c>
    </row>
    <row r="17061" spans="1:9">
      <c r="A17061" t="n">
        <v>163559</v>
      </c>
      <c r="B17061" s="23" t="n">
        <v>58</v>
      </c>
      <c r="C17061" s="7" t="n">
        <v>255</v>
      </c>
      <c r="D17061" s="7" t="n">
        <v>0</v>
      </c>
    </row>
    <row r="17062" spans="1:9">
      <c r="A17062" t="s">
        <v>4</v>
      </c>
      <c r="B17062" s="4" t="s">
        <v>5</v>
      </c>
      <c r="C17062" s="4" t="s">
        <v>7</v>
      </c>
      <c r="D17062" s="4" t="s">
        <v>11</v>
      </c>
      <c r="E17062" s="4" t="s">
        <v>8</v>
      </c>
      <c r="F17062" s="4" t="s">
        <v>8</v>
      </c>
      <c r="G17062" s="4" t="s">
        <v>8</v>
      </c>
      <c r="H17062" s="4" t="s">
        <v>8</v>
      </c>
    </row>
    <row r="17063" spans="1:9">
      <c r="A17063" t="n">
        <v>163563</v>
      </c>
      <c r="B17063" s="38" t="n">
        <v>51</v>
      </c>
      <c r="C17063" s="7" t="n">
        <v>3</v>
      </c>
      <c r="D17063" s="7" t="n">
        <v>8</v>
      </c>
      <c r="E17063" s="7" t="s">
        <v>86</v>
      </c>
      <c r="F17063" s="7" t="s">
        <v>79</v>
      </c>
      <c r="G17063" s="7" t="s">
        <v>78</v>
      </c>
      <c r="H17063" s="7" t="s">
        <v>79</v>
      </c>
    </row>
    <row r="17064" spans="1:9">
      <c r="A17064" t="s">
        <v>4</v>
      </c>
      <c r="B17064" s="4" t="s">
        <v>5</v>
      </c>
      <c r="C17064" s="4" t="s">
        <v>11</v>
      </c>
      <c r="D17064" s="4" t="s">
        <v>7</v>
      </c>
      <c r="E17064" s="4" t="s">
        <v>13</v>
      </c>
      <c r="F17064" s="4" t="s">
        <v>11</v>
      </c>
    </row>
    <row r="17065" spans="1:9">
      <c r="A17065" t="n">
        <v>163576</v>
      </c>
      <c r="B17065" s="56" t="n">
        <v>59</v>
      </c>
      <c r="C17065" s="7" t="n">
        <v>8</v>
      </c>
      <c r="D17065" s="7" t="n">
        <v>9</v>
      </c>
      <c r="E17065" s="7" t="n">
        <v>0.150000005960464</v>
      </c>
      <c r="F17065" s="7" t="n">
        <v>0</v>
      </c>
    </row>
    <row r="17066" spans="1:9">
      <c r="A17066" t="s">
        <v>4</v>
      </c>
      <c r="B17066" s="4" t="s">
        <v>5</v>
      </c>
      <c r="C17066" s="4" t="s">
        <v>11</v>
      </c>
    </row>
    <row r="17067" spans="1:9">
      <c r="A17067" t="n">
        <v>163586</v>
      </c>
      <c r="B17067" s="29" t="n">
        <v>16</v>
      </c>
      <c r="C17067" s="7" t="n">
        <v>1500</v>
      </c>
    </row>
    <row r="17068" spans="1:9">
      <c r="A17068" t="s">
        <v>4</v>
      </c>
      <c r="B17068" s="4" t="s">
        <v>5</v>
      </c>
      <c r="C17068" s="4" t="s">
        <v>7</v>
      </c>
      <c r="D17068" s="4" t="s">
        <v>11</v>
      </c>
      <c r="E17068" s="4" t="s">
        <v>8</v>
      </c>
    </row>
    <row r="17069" spans="1:9">
      <c r="A17069" t="n">
        <v>163589</v>
      </c>
      <c r="B17069" s="38" t="n">
        <v>51</v>
      </c>
      <c r="C17069" s="7" t="n">
        <v>4</v>
      </c>
      <c r="D17069" s="7" t="n">
        <v>8</v>
      </c>
      <c r="E17069" s="7" t="s">
        <v>432</v>
      </c>
    </row>
    <row r="17070" spans="1:9">
      <c r="A17070" t="s">
        <v>4</v>
      </c>
      <c r="B17070" s="4" t="s">
        <v>5</v>
      </c>
      <c r="C17070" s="4" t="s">
        <v>11</v>
      </c>
    </row>
    <row r="17071" spans="1:9">
      <c r="A17071" t="n">
        <v>163602</v>
      </c>
      <c r="B17071" s="29" t="n">
        <v>16</v>
      </c>
      <c r="C17071" s="7" t="n">
        <v>0</v>
      </c>
    </row>
    <row r="17072" spans="1:9">
      <c r="A17072" t="s">
        <v>4</v>
      </c>
      <c r="B17072" s="4" t="s">
        <v>5</v>
      </c>
      <c r="C17072" s="4" t="s">
        <v>11</v>
      </c>
      <c r="D17072" s="4" t="s">
        <v>7</v>
      </c>
      <c r="E17072" s="4" t="s">
        <v>15</v>
      </c>
      <c r="F17072" s="4" t="s">
        <v>55</v>
      </c>
      <c r="G17072" s="4" t="s">
        <v>7</v>
      </c>
      <c r="H17072" s="4" t="s">
        <v>7</v>
      </c>
      <c r="I17072" s="4" t="s">
        <v>7</v>
      </c>
      <c r="J17072" s="4" t="s">
        <v>15</v>
      </c>
      <c r="K17072" s="4" t="s">
        <v>55</v>
      </c>
      <c r="L17072" s="4" t="s">
        <v>7</v>
      </c>
      <c r="M17072" s="4" t="s">
        <v>7</v>
      </c>
      <c r="N17072" s="4" t="s">
        <v>7</v>
      </c>
      <c r="O17072" s="4" t="s">
        <v>15</v>
      </c>
      <c r="P17072" s="4" t="s">
        <v>55</v>
      </c>
      <c r="Q17072" s="4" t="s">
        <v>7</v>
      </c>
      <c r="R17072" s="4" t="s">
        <v>7</v>
      </c>
    </row>
    <row r="17073" spans="1:18">
      <c r="A17073" t="n">
        <v>163605</v>
      </c>
      <c r="B17073" s="55" t="n">
        <v>26</v>
      </c>
      <c r="C17073" s="7" t="n">
        <v>8</v>
      </c>
      <c r="D17073" s="7" t="n">
        <v>17</v>
      </c>
      <c r="E17073" s="7" t="n">
        <v>64414</v>
      </c>
      <c r="F17073" s="7" t="s">
        <v>1371</v>
      </c>
      <c r="G17073" s="7" t="n">
        <v>2</v>
      </c>
      <c r="H17073" s="7" t="n">
        <v>3</v>
      </c>
      <c r="I17073" s="7" t="n">
        <v>17</v>
      </c>
      <c r="J17073" s="7" t="n">
        <v>64415</v>
      </c>
      <c r="K17073" s="7" t="s">
        <v>1372</v>
      </c>
      <c r="L17073" s="7" t="n">
        <v>2</v>
      </c>
      <c r="M17073" s="7" t="n">
        <v>3</v>
      </c>
      <c r="N17073" s="7" t="n">
        <v>17</v>
      </c>
      <c r="O17073" s="7" t="n">
        <v>64416</v>
      </c>
      <c r="P17073" s="7" t="s">
        <v>1373</v>
      </c>
      <c r="Q17073" s="7" t="n">
        <v>2</v>
      </c>
      <c r="R17073" s="7" t="n">
        <v>0</v>
      </c>
    </row>
    <row r="17074" spans="1:18">
      <c r="A17074" t="s">
        <v>4</v>
      </c>
      <c r="B17074" s="4" t="s">
        <v>5</v>
      </c>
    </row>
    <row r="17075" spans="1:18">
      <c r="A17075" t="n">
        <v>163875</v>
      </c>
      <c r="B17075" s="27" t="n">
        <v>28</v>
      </c>
    </row>
    <row r="17076" spans="1:18">
      <c r="A17076" t="s">
        <v>4</v>
      </c>
      <c r="B17076" s="4" t="s">
        <v>5</v>
      </c>
      <c r="C17076" s="4" t="s">
        <v>11</v>
      </c>
      <c r="D17076" s="4" t="s">
        <v>7</v>
      </c>
      <c r="E17076" s="4" t="s">
        <v>7</v>
      </c>
      <c r="F17076" s="4" t="s">
        <v>8</v>
      </c>
    </row>
    <row r="17077" spans="1:18">
      <c r="A17077" t="n">
        <v>163876</v>
      </c>
      <c r="B17077" s="50" t="n">
        <v>20</v>
      </c>
      <c r="C17077" s="7" t="n">
        <v>0</v>
      </c>
      <c r="D17077" s="7" t="n">
        <v>2</v>
      </c>
      <c r="E17077" s="7" t="n">
        <v>10</v>
      </c>
      <c r="F17077" s="7" t="s">
        <v>260</v>
      </c>
    </row>
    <row r="17078" spans="1:18">
      <c r="A17078" t="s">
        <v>4</v>
      </c>
      <c r="B17078" s="4" t="s">
        <v>5</v>
      </c>
      <c r="C17078" s="4" t="s">
        <v>7</v>
      </c>
      <c r="D17078" s="4" t="s">
        <v>11</v>
      </c>
      <c r="E17078" s="4" t="s">
        <v>8</v>
      </c>
    </row>
    <row r="17079" spans="1:18">
      <c r="A17079" t="n">
        <v>163896</v>
      </c>
      <c r="B17079" s="38" t="n">
        <v>51</v>
      </c>
      <c r="C17079" s="7" t="n">
        <v>4</v>
      </c>
      <c r="D17079" s="7" t="n">
        <v>0</v>
      </c>
      <c r="E17079" s="7" t="s">
        <v>242</v>
      </c>
    </row>
    <row r="17080" spans="1:18">
      <c r="A17080" t="s">
        <v>4</v>
      </c>
      <c r="B17080" s="4" t="s">
        <v>5</v>
      </c>
      <c r="C17080" s="4" t="s">
        <v>11</v>
      </c>
    </row>
    <row r="17081" spans="1:18">
      <c r="A17081" t="n">
        <v>163910</v>
      </c>
      <c r="B17081" s="29" t="n">
        <v>16</v>
      </c>
      <c r="C17081" s="7" t="n">
        <v>0</v>
      </c>
    </row>
    <row r="17082" spans="1:18">
      <c r="A17082" t="s">
        <v>4</v>
      </c>
      <c r="B17082" s="4" t="s">
        <v>5</v>
      </c>
      <c r="C17082" s="4" t="s">
        <v>11</v>
      </c>
      <c r="D17082" s="4" t="s">
        <v>7</v>
      </c>
      <c r="E17082" s="4" t="s">
        <v>15</v>
      </c>
      <c r="F17082" s="4" t="s">
        <v>55</v>
      </c>
      <c r="G17082" s="4" t="s">
        <v>7</v>
      </c>
      <c r="H17082" s="4" t="s">
        <v>7</v>
      </c>
      <c r="I17082" s="4" t="s">
        <v>7</v>
      </c>
      <c r="J17082" s="4" t="s">
        <v>15</v>
      </c>
      <c r="K17082" s="4" t="s">
        <v>55</v>
      </c>
      <c r="L17082" s="4" t="s">
        <v>7</v>
      </c>
      <c r="M17082" s="4" t="s">
        <v>7</v>
      </c>
    </row>
    <row r="17083" spans="1:18">
      <c r="A17083" t="n">
        <v>163913</v>
      </c>
      <c r="B17083" s="55" t="n">
        <v>26</v>
      </c>
      <c r="C17083" s="7" t="n">
        <v>0</v>
      </c>
      <c r="D17083" s="7" t="n">
        <v>17</v>
      </c>
      <c r="E17083" s="7" t="n">
        <v>64417</v>
      </c>
      <c r="F17083" s="7" t="s">
        <v>1374</v>
      </c>
      <c r="G17083" s="7" t="n">
        <v>2</v>
      </c>
      <c r="H17083" s="7" t="n">
        <v>3</v>
      </c>
      <c r="I17083" s="7" t="n">
        <v>17</v>
      </c>
      <c r="J17083" s="7" t="n">
        <v>64418</v>
      </c>
      <c r="K17083" s="7" t="s">
        <v>1375</v>
      </c>
      <c r="L17083" s="7" t="n">
        <v>2</v>
      </c>
      <c r="M17083" s="7" t="n">
        <v>0</v>
      </c>
    </row>
    <row r="17084" spans="1:18">
      <c r="A17084" t="s">
        <v>4</v>
      </c>
      <c r="B17084" s="4" t="s">
        <v>5</v>
      </c>
    </row>
    <row r="17085" spans="1:18">
      <c r="A17085" t="n">
        <v>163981</v>
      </c>
      <c r="B17085" s="27" t="n">
        <v>28</v>
      </c>
    </row>
    <row r="17086" spans="1:18">
      <c r="A17086" t="s">
        <v>4</v>
      </c>
      <c r="B17086" s="4" t="s">
        <v>5</v>
      </c>
      <c r="C17086" s="4" t="s">
        <v>7</v>
      </c>
      <c r="D17086" s="4" t="s">
        <v>11</v>
      </c>
      <c r="E17086" s="4" t="s">
        <v>11</v>
      </c>
      <c r="F17086" s="4" t="s">
        <v>7</v>
      </c>
    </row>
    <row r="17087" spans="1:18">
      <c r="A17087" t="n">
        <v>163982</v>
      </c>
      <c r="B17087" s="31" t="n">
        <v>25</v>
      </c>
      <c r="C17087" s="7" t="n">
        <v>1</v>
      </c>
      <c r="D17087" s="7" t="n">
        <v>65535</v>
      </c>
      <c r="E17087" s="7" t="n">
        <v>65535</v>
      </c>
      <c r="F17087" s="7" t="n">
        <v>0</v>
      </c>
    </row>
    <row r="17088" spans="1:18">
      <c r="A17088" t="s">
        <v>4</v>
      </c>
      <c r="B17088" s="4" t="s">
        <v>5</v>
      </c>
      <c r="C17088" s="4" t="s">
        <v>11</v>
      </c>
      <c r="D17088" s="4" t="s">
        <v>13</v>
      </c>
      <c r="E17088" s="4" t="s">
        <v>13</v>
      </c>
      <c r="F17088" s="4" t="s">
        <v>13</v>
      </c>
      <c r="G17088" s="4" t="s">
        <v>11</v>
      </c>
      <c r="H17088" s="4" t="s">
        <v>11</v>
      </c>
    </row>
    <row r="17089" spans="1:18">
      <c r="A17089" t="n">
        <v>163989</v>
      </c>
      <c r="B17089" s="37" t="n">
        <v>60</v>
      </c>
      <c r="C17089" s="7" t="n">
        <v>8</v>
      </c>
      <c r="D17089" s="7" t="n">
        <v>0</v>
      </c>
      <c r="E17089" s="7" t="n">
        <v>-10</v>
      </c>
      <c r="F17089" s="7" t="n">
        <v>0</v>
      </c>
      <c r="G17089" s="7" t="n">
        <v>1000</v>
      </c>
      <c r="H17089" s="7" t="n">
        <v>0</v>
      </c>
    </row>
    <row r="17090" spans="1:18">
      <c r="A17090" t="s">
        <v>4</v>
      </c>
      <c r="B17090" s="4" t="s">
        <v>5</v>
      </c>
      <c r="C17090" s="4" t="s">
        <v>11</v>
      </c>
    </row>
    <row r="17091" spans="1:18">
      <c r="A17091" t="n">
        <v>164008</v>
      </c>
      <c r="B17091" s="29" t="n">
        <v>16</v>
      </c>
      <c r="C17091" s="7" t="n">
        <v>300</v>
      </c>
    </row>
    <row r="17092" spans="1:18">
      <c r="A17092" t="s">
        <v>4</v>
      </c>
      <c r="B17092" s="4" t="s">
        <v>5</v>
      </c>
      <c r="C17092" s="4" t="s">
        <v>7</v>
      </c>
      <c r="D17092" s="4" t="s">
        <v>11</v>
      </c>
      <c r="E17092" s="4" t="s">
        <v>8</v>
      </c>
    </row>
    <row r="17093" spans="1:18">
      <c r="A17093" t="n">
        <v>164011</v>
      </c>
      <c r="B17093" s="38" t="n">
        <v>51</v>
      </c>
      <c r="C17093" s="7" t="n">
        <v>4</v>
      </c>
      <c r="D17093" s="7" t="n">
        <v>8</v>
      </c>
      <c r="E17093" s="7" t="s">
        <v>1376</v>
      </c>
    </row>
    <row r="17094" spans="1:18">
      <c r="A17094" t="s">
        <v>4</v>
      </c>
      <c r="B17094" s="4" t="s">
        <v>5</v>
      </c>
      <c r="C17094" s="4" t="s">
        <v>11</v>
      </c>
    </row>
    <row r="17095" spans="1:18">
      <c r="A17095" t="n">
        <v>164026</v>
      </c>
      <c r="B17095" s="29" t="n">
        <v>16</v>
      </c>
      <c r="C17095" s="7" t="n">
        <v>0</v>
      </c>
    </row>
    <row r="17096" spans="1:18">
      <c r="A17096" t="s">
        <v>4</v>
      </c>
      <c r="B17096" s="4" t="s">
        <v>5</v>
      </c>
      <c r="C17096" s="4" t="s">
        <v>11</v>
      </c>
      <c r="D17096" s="4" t="s">
        <v>7</v>
      </c>
      <c r="E17096" s="4" t="s">
        <v>15</v>
      </c>
      <c r="F17096" s="4" t="s">
        <v>55</v>
      </c>
      <c r="G17096" s="4" t="s">
        <v>7</v>
      </c>
      <c r="H17096" s="4" t="s">
        <v>7</v>
      </c>
    </row>
    <row r="17097" spans="1:18">
      <c r="A17097" t="n">
        <v>164029</v>
      </c>
      <c r="B17097" s="55" t="n">
        <v>26</v>
      </c>
      <c r="C17097" s="7" t="n">
        <v>8</v>
      </c>
      <c r="D17097" s="7" t="n">
        <v>17</v>
      </c>
      <c r="E17097" s="7" t="n">
        <v>64419</v>
      </c>
      <c r="F17097" s="7" t="s">
        <v>464</v>
      </c>
      <c r="G17097" s="7" t="n">
        <v>2</v>
      </c>
      <c r="H17097" s="7" t="n">
        <v>0</v>
      </c>
    </row>
    <row r="17098" spans="1:18">
      <c r="A17098" t="s">
        <v>4</v>
      </c>
      <c r="B17098" s="4" t="s">
        <v>5</v>
      </c>
    </row>
    <row r="17099" spans="1:18">
      <c r="A17099" t="n">
        <v>164042</v>
      </c>
      <c r="B17099" s="27" t="n">
        <v>28</v>
      </c>
    </row>
    <row r="17100" spans="1:18">
      <c r="A17100" t="s">
        <v>4</v>
      </c>
      <c r="B17100" s="4" t="s">
        <v>5</v>
      </c>
      <c r="C17100" s="4" t="s">
        <v>7</v>
      </c>
      <c r="D17100" s="4" t="s">
        <v>11</v>
      </c>
      <c r="E17100" s="4" t="s">
        <v>8</v>
      </c>
    </row>
    <row r="17101" spans="1:18">
      <c r="A17101" t="n">
        <v>164043</v>
      </c>
      <c r="B17101" s="38" t="n">
        <v>51</v>
      </c>
      <c r="C17101" s="7" t="n">
        <v>4</v>
      </c>
      <c r="D17101" s="7" t="n">
        <v>0</v>
      </c>
      <c r="E17101" s="7" t="s">
        <v>242</v>
      </c>
    </row>
    <row r="17102" spans="1:18">
      <c r="A17102" t="s">
        <v>4</v>
      </c>
      <c r="B17102" s="4" t="s">
        <v>5</v>
      </c>
      <c r="C17102" s="4" t="s">
        <v>11</v>
      </c>
    </row>
    <row r="17103" spans="1:18">
      <c r="A17103" t="n">
        <v>164057</v>
      </c>
      <c r="B17103" s="29" t="n">
        <v>16</v>
      </c>
      <c r="C17103" s="7" t="n">
        <v>0</v>
      </c>
    </row>
    <row r="17104" spans="1:18">
      <c r="A17104" t="s">
        <v>4</v>
      </c>
      <c r="B17104" s="4" t="s">
        <v>5</v>
      </c>
      <c r="C17104" s="4" t="s">
        <v>11</v>
      </c>
      <c r="D17104" s="4" t="s">
        <v>7</v>
      </c>
      <c r="E17104" s="4" t="s">
        <v>15</v>
      </c>
      <c r="F17104" s="4" t="s">
        <v>55</v>
      </c>
      <c r="G17104" s="4" t="s">
        <v>7</v>
      </c>
      <c r="H17104" s="4" t="s">
        <v>7</v>
      </c>
      <c r="I17104" s="4" t="s">
        <v>7</v>
      </c>
      <c r="J17104" s="4" t="s">
        <v>15</v>
      </c>
      <c r="K17104" s="4" t="s">
        <v>55</v>
      </c>
      <c r="L17104" s="4" t="s">
        <v>7</v>
      </c>
      <c r="M17104" s="4" t="s">
        <v>7</v>
      </c>
      <c r="N17104" s="4" t="s">
        <v>7</v>
      </c>
      <c r="O17104" s="4" t="s">
        <v>15</v>
      </c>
      <c r="P17104" s="4" t="s">
        <v>55</v>
      </c>
      <c r="Q17104" s="4" t="s">
        <v>7</v>
      </c>
      <c r="R17104" s="4" t="s">
        <v>7</v>
      </c>
    </row>
    <row r="17105" spans="1:18">
      <c r="A17105" t="n">
        <v>164060</v>
      </c>
      <c r="B17105" s="55" t="n">
        <v>26</v>
      </c>
      <c r="C17105" s="7" t="n">
        <v>0</v>
      </c>
      <c r="D17105" s="7" t="n">
        <v>17</v>
      </c>
      <c r="E17105" s="7" t="n">
        <v>64420</v>
      </c>
      <c r="F17105" s="7" t="s">
        <v>1377</v>
      </c>
      <c r="G17105" s="7" t="n">
        <v>2</v>
      </c>
      <c r="H17105" s="7" t="n">
        <v>3</v>
      </c>
      <c r="I17105" s="7" t="n">
        <v>17</v>
      </c>
      <c r="J17105" s="7" t="n">
        <v>64421</v>
      </c>
      <c r="K17105" s="7" t="s">
        <v>1378</v>
      </c>
      <c r="L17105" s="7" t="n">
        <v>2</v>
      </c>
      <c r="M17105" s="7" t="n">
        <v>3</v>
      </c>
      <c r="N17105" s="7" t="n">
        <v>17</v>
      </c>
      <c r="O17105" s="7" t="n">
        <v>64422</v>
      </c>
      <c r="P17105" s="7" t="s">
        <v>1379</v>
      </c>
      <c r="Q17105" s="7" t="n">
        <v>2</v>
      </c>
      <c r="R17105" s="7" t="n">
        <v>0</v>
      </c>
    </row>
    <row r="17106" spans="1:18">
      <c r="A17106" t="s">
        <v>4</v>
      </c>
      <c r="B17106" s="4" t="s">
        <v>5</v>
      </c>
    </row>
    <row r="17107" spans="1:18">
      <c r="A17107" t="n">
        <v>164369</v>
      </c>
      <c r="B17107" s="27" t="n">
        <v>28</v>
      </c>
    </row>
    <row r="17108" spans="1:18">
      <c r="A17108" t="s">
        <v>4</v>
      </c>
      <c r="B17108" s="4" t="s">
        <v>5</v>
      </c>
      <c r="C17108" s="4" t="s">
        <v>7</v>
      </c>
      <c r="D17108" s="4" t="s">
        <v>11</v>
      </c>
      <c r="E17108" s="4" t="s">
        <v>11</v>
      </c>
      <c r="F17108" s="4" t="s">
        <v>7</v>
      </c>
    </row>
    <row r="17109" spans="1:18">
      <c r="A17109" t="n">
        <v>164370</v>
      </c>
      <c r="B17109" s="31" t="n">
        <v>25</v>
      </c>
      <c r="C17109" s="7" t="n">
        <v>1</v>
      </c>
      <c r="D17109" s="7" t="n">
        <v>65535</v>
      </c>
      <c r="E17109" s="7" t="n">
        <v>65535</v>
      </c>
      <c r="F17109" s="7" t="n">
        <v>0</v>
      </c>
    </row>
    <row r="17110" spans="1:18">
      <c r="A17110" t="s">
        <v>4</v>
      </c>
      <c r="B17110" s="4" t="s">
        <v>5</v>
      </c>
      <c r="C17110" s="4" t="s">
        <v>7</v>
      </c>
      <c r="D17110" s="4" t="s">
        <v>11</v>
      </c>
      <c r="E17110" s="4" t="s">
        <v>8</v>
      </c>
    </row>
    <row r="17111" spans="1:18">
      <c r="A17111" t="n">
        <v>164377</v>
      </c>
      <c r="B17111" s="38" t="n">
        <v>51</v>
      </c>
      <c r="C17111" s="7" t="n">
        <v>4</v>
      </c>
      <c r="D17111" s="7" t="n">
        <v>8</v>
      </c>
      <c r="E17111" s="7" t="s">
        <v>242</v>
      </c>
    </row>
    <row r="17112" spans="1:18">
      <c r="A17112" t="s">
        <v>4</v>
      </c>
      <c r="B17112" s="4" t="s">
        <v>5</v>
      </c>
      <c r="C17112" s="4" t="s">
        <v>11</v>
      </c>
    </row>
    <row r="17113" spans="1:18">
      <c r="A17113" t="n">
        <v>164391</v>
      </c>
      <c r="B17113" s="29" t="n">
        <v>16</v>
      </c>
      <c r="C17113" s="7" t="n">
        <v>0</v>
      </c>
    </row>
    <row r="17114" spans="1:18">
      <c r="A17114" t="s">
        <v>4</v>
      </c>
      <c r="B17114" s="4" t="s">
        <v>5</v>
      </c>
      <c r="C17114" s="4" t="s">
        <v>11</v>
      </c>
      <c r="D17114" s="4" t="s">
        <v>7</v>
      </c>
      <c r="E17114" s="4" t="s">
        <v>15</v>
      </c>
      <c r="F17114" s="4" t="s">
        <v>55</v>
      </c>
      <c r="G17114" s="4" t="s">
        <v>7</v>
      </c>
      <c r="H17114" s="4" t="s">
        <v>7</v>
      </c>
      <c r="I17114" s="4" t="s">
        <v>7</v>
      </c>
      <c r="J17114" s="4" t="s">
        <v>15</v>
      </c>
      <c r="K17114" s="4" t="s">
        <v>55</v>
      </c>
      <c r="L17114" s="4" t="s">
        <v>7</v>
      </c>
      <c r="M17114" s="4" t="s">
        <v>7</v>
      </c>
      <c r="N17114" s="4" t="s">
        <v>7</v>
      </c>
      <c r="O17114" s="4" t="s">
        <v>15</v>
      </c>
      <c r="P17114" s="4" t="s">
        <v>55</v>
      </c>
      <c r="Q17114" s="4" t="s">
        <v>7</v>
      </c>
      <c r="R17114" s="4" t="s">
        <v>7</v>
      </c>
    </row>
    <row r="17115" spans="1:18">
      <c r="A17115" t="n">
        <v>164394</v>
      </c>
      <c r="B17115" s="55" t="n">
        <v>26</v>
      </c>
      <c r="C17115" s="7" t="n">
        <v>8</v>
      </c>
      <c r="D17115" s="7" t="n">
        <v>17</v>
      </c>
      <c r="E17115" s="7" t="n">
        <v>64423</v>
      </c>
      <c r="F17115" s="7" t="s">
        <v>1380</v>
      </c>
      <c r="G17115" s="7" t="n">
        <v>2</v>
      </c>
      <c r="H17115" s="7" t="n">
        <v>3</v>
      </c>
      <c r="I17115" s="7" t="n">
        <v>17</v>
      </c>
      <c r="J17115" s="7" t="n">
        <v>64424</v>
      </c>
      <c r="K17115" s="7" t="s">
        <v>1381</v>
      </c>
      <c r="L17115" s="7" t="n">
        <v>2</v>
      </c>
      <c r="M17115" s="7" t="n">
        <v>3</v>
      </c>
      <c r="N17115" s="7" t="n">
        <v>17</v>
      </c>
      <c r="O17115" s="7" t="n">
        <v>64425</v>
      </c>
      <c r="P17115" s="7" t="s">
        <v>1382</v>
      </c>
      <c r="Q17115" s="7" t="n">
        <v>2</v>
      </c>
      <c r="R17115" s="7" t="n">
        <v>0</v>
      </c>
    </row>
    <row r="17116" spans="1:18">
      <c r="A17116" t="s">
        <v>4</v>
      </c>
      <c r="B17116" s="4" t="s">
        <v>5</v>
      </c>
    </row>
    <row r="17117" spans="1:18">
      <c r="A17117" t="n">
        <v>164588</v>
      </c>
      <c r="B17117" s="27" t="n">
        <v>28</v>
      </c>
    </row>
    <row r="17118" spans="1:18">
      <c r="A17118" t="s">
        <v>4</v>
      </c>
      <c r="B17118" s="4" t="s">
        <v>5</v>
      </c>
      <c r="C17118" s="4" t="s">
        <v>11</v>
      </c>
      <c r="D17118" s="4" t="s">
        <v>13</v>
      </c>
      <c r="E17118" s="4" t="s">
        <v>13</v>
      </c>
      <c r="F17118" s="4" t="s">
        <v>13</v>
      </c>
      <c r="G17118" s="4" t="s">
        <v>11</v>
      </c>
      <c r="H17118" s="4" t="s">
        <v>11</v>
      </c>
    </row>
    <row r="17119" spans="1:18">
      <c r="A17119" t="n">
        <v>164589</v>
      </c>
      <c r="B17119" s="37" t="n">
        <v>60</v>
      </c>
      <c r="C17119" s="7" t="n">
        <v>8</v>
      </c>
      <c r="D17119" s="7" t="n">
        <v>0</v>
      </c>
      <c r="E17119" s="7" t="n">
        <v>0</v>
      </c>
      <c r="F17119" s="7" t="n">
        <v>0</v>
      </c>
      <c r="G17119" s="7" t="n">
        <v>800</v>
      </c>
      <c r="H17119" s="7" t="n">
        <v>0</v>
      </c>
    </row>
    <row r="17120" spans="1:18">
      <c r="A17120" t="s">
        <v>4</v>
      </c>
      <c r="B17120" s="4" t="s">
        <v>5</v>
      </c>
      <c r="C17120" s="4" t="s">
        <v>11</v>
      </c>
    </row>
    <row r="17121" spans="1:18">
      <c r="A17121" t="n">
        <v>164608</v>
      </c>
      <c r="B17121" s="29" t="n">
        <v>16</v>
      </c>
      <c r="C17121" s="7" t="n">
        <v>1000</v>
      </c>
    </row>
    <row r="17122" spans="1:18">
      <c r="A17122" t="s">
        <v>4</v>
      </c>
      <c r="B17122" s="4" t="s">
        <v>5</v>
      </c>
      <c r="C17122" s="4" t="s">
        <v>7</v>
      </c>
      <c r="D17122" s="4" t="s">
        <v>11</v>
      </c>
      <c r="E17122" s="4" t="s">
        <v>8</v>
      </c>
    </row>
    <row r="17123" spans="1:18">
      <c r="A17123" t="n">
        <v>164611</v>
      </c>
      <c r="B17123" s="38" t="n">
        <v>51</v>
      </c>
      <c r="C17123" s="7" t="n">
        <v>4</v>
      </c>
      <c r="D17123" s="7" t="n">
        <v>8</v>
      </c>
      <c r="E17123" s="7" t="s">
        <v>288</v>
      </c>
    </row>
    <row r="17124" spans="1:18">
      <c r="A17124" t="s">
        <v>4</v>
      </c>
      <c r="B17124" s="4" t="s">
        <v>5</v>
      </c>
      <c r="C17124" s="4" t="s">
        <v>11</v>
      </c>
    </row>
    <row r="17125" spans="1:18">
      <c r="A17125" t="n">
        <v>164624</v>
      </c>
      <c r="B17125" s="29" t="n">
        <v>16</v>
      </c>
      <c r="C17125" s="7" t="n">
        <v>0</v>
      </c>
    </row>
    <row r="17126" spans="1:18">
      <c r="A17126" t="s">
        <v>4</v>
      </c>
      <c r="B17126" s="4" t="s">
        <v>5</v>
      </c>
      <c r="C17126" s="4" t="s">
        <v>11</v>
      </c>
      <c r="D17126" s="4" t="s">
        <v>7</v>
      </c>
      <c r="E17126" s="4" t="s">
        <v>15</v>
      </c>
      <c r="F17126" s="4" t="s">
        <v>55</v>
      </c>
      <c r="G17126" s="4" t="s">
        <v>7</v>
      </c>
      <c r="H17126" s="4" t="s">
        <v>7</v>
      </c>
      <c r="I17126" s="4" t="s">
        <v>7</v>
      </c>
      <c r="J17126" s="4" t="s">
        <v>15</v>
      </c>
      <c r="K17126" s="4" t="s">
        <v>55</v>
      </c>
      <c r="L17126" s="4" t="s">
        <v>7</v>
      </c>
      <c r="M17126" s="4" t="s">
        <v>7</v>
      </c>
      <c r="N17126" s="4" t="s">
        <v>7</v>
      </c>
      <c r="O17126" s="4" t="s">
        <v>15</v>
      </c>
      <c r="P17126" s="4" t="s">
        <v>55</v>
      </c>
      <c r="Q17126" s="4" t="s">
        <v>7</v>
      </c>
      <c r="R17126" s="4" t="s">
        <v>7</v>
      </c>
    </row>
    <row r="17127" spans="1:18">
      <c r="A17127" t="n">
        <v>164627</v>
      </c>
      <c r="B17127" s="55" t="n">
        <v>26</v>
      </c>
      <c r="C17127" s="7" t="n">
        <v>8</v>
      </c>
      <c r="D17127" s="7" t="n">
        <v>17</v>
      </c>
      <c r="E17127" s="7" t="n">
        <v>64426</v>
      </c>
      <c r="F17127" s="7" t="s">
        <v>1383</v>
      </c>
      <c r="G17127" s="7" t="n">
        <v>2</v>
      </c>
      <c r="H17127" s="7" t="n">
        <v>3</v>
      </c>
      <c r="I17127" s="7" t="n">
        <v>17</v>
      </c>
      <c r="J17127" s="7" t="n">
        <v>64427</v>
      </c>
      <c r="K17127" s="7" t="s">
        <v>1384</v>
      </c>
      <c r="L17127" s="7" t="n">
        <v>2</v>
      </c>
      <c r="M17127" s="7" t="n">
        <v>3</v>
      </c>
      <c r="N17127" s="7" t="n">
        <v>17</v>
      </c>
      <c r="O17127" s="7" t="n">
        <v>64428</v>
      </c>
      <c r="P17127" s="7" t="s">
        <v>1385</v>
      </c>
      <c r="Q17127" s="7" t="n">
        <v>2</v>
      </c>
      <c r="R17127" s="7" t="n">
        <v>0</v>
      </c>
    </row>
    <row r="17128" spans="1:18">
      <c r="A17128" t="s">
        <v>4</v>
      </c>
      <c r="B17128" s="4" t="s">
        <v>5</v>
      </c>
    </row>
    <row r="17129" spans="1:18">
      <c r="A17129" t="n">
        <v>164897</v>
      </c>
      <c r="B17129" s="27" t="n">
        <v>28</v>
      </c>
    </row>
    <row r="17130" spans="1:18">
      <c r="A17130" t="s">
        <v>4</v>
      </c>
      <c r="B17130" s="4" t="s">
        <v>5</v>
      </c>
      <c r="C17130" s="4" t="s">
        <v>11</v>
      </c>
      <c r="D17130" s="4" t="s">
        <v>7</v>
      </c>
      <c r="E17130" s="4" t="s">
        <v>7</v>
      </c>
      <c r="F17130" s="4" t="s">
        <v>8</v>
      </c>
    </row>
    <row r="17131" spans="1:18">
      <c r="A17131" t="n">
        <v>164898</v>
      </c>
      <c r="B17131" s="50" t="n">
        <v>20</v>
      </c>
      <c r="C17131" s="7" t="n">
        <v>0</v>
      </c>
      <c r="D17131" s="7" t="n">
        <v>2</v>
      </c>
      <c r="E17131" s="7" t="n">
        <v>10</v>
      </c>
      <c r="F17131" s="7" t="s">
        <v>223</v>
      </c>
    </row>
    <row r="17132" spans="1:18">
      <c r="A17132" t="s">
        <v>4</v>
      </c>
      <c r="B17132" s="4" t="s">
        <v>5</v>
      </c>
      <c r="C17132" s="4" t="s">
        <v>7</v>
      </c>
      <c r="D17132" s="4" t="s">
        <v>11</v>
      </c>
      <c r="E17132" s="4" t="s">
        <v>8</v>
      </c>
    </row>
    <row r="17133" spans="1:18">
      <c r="A17133" t="n">
        <v>164919</v>
      </c>
      <c r="B17133" s="38" t="n">
        <v>51</v>
      </c>
      <c r="C17133" s="7" t="n">
        <v>4</v>
      </c>
      <c r="D17133" s="7" t="n">
        <v>0</v>
      </c>
      <c r="E17133" s="7" t="s">
        <v>304</v>
      </c>
    </row>
    <row r="17134" spans="1:18">
      <c r="A17134" t="s">
        <v>4</v>
      </c>
      <c r="B17134" s="4" t="s">
        <v>5</v>
      </c>
      <c r="C17134" s="4" t="s">
        <v>11</v>
      </c>
    </row>
    <row r="17135" spans="1:18">
      <c r="A17135" t="n">
        <v>164932</v>
      </c>
      <c r="B17135" s="29" t="n">
        <v>16</v>
      </c>
      <c r="C17135" s="7" t="n">
        <v>0</v>
      </c>
    </row>
    <row r="17136" spans="1:18">
      <c r="A17136" t="s">
        <v>4</v>
      </c>
      <c r="B17136" s="4" t="s">
        <v>5</v>
      </c>
      <c r="C17136" s="4" t="s">
        <v>11</v>
      </c>
      <c r="D17136" s="4" t="s">
        <v>7</v>
      </c>
      <c r="E17136" s="4" t="s">
        <v>15</v>
      </c>
      <c r="F17136" s="4" t="s">
        <v>55</v>
      </c>
      <c r="G17136" s="4" t="s">
        <v>7</v>
      </c>
      <c r="H17136" s="4" t="s">
        <v>7</v>
      </c>
      <c r="I17136" s="4" t="s">
        <v>7</v>
      </c>
      <c r="J17136" s="4" t="s">
        <v>15</v>
      </c>
      <c r="K17136" s="4" t="s">
        <v>55</v>
      </c>
      <c r="L17136" s="4" t="s">
        <v>7</v>
      </c>
      <c r="M17136" s="4" t="s">
        <v>7</v>
      </c>
      <c r="N17136" s="4" t="s">
        <v>7</v>
      </c>
      <c r="O17136" s="4" t="s">
        <v>15</v>
      </c>
      <c r="P17136" s="4" t="s">
        <v>55</v>
      </c>
      <c r="Q17136" s="4" t="s">
        <v>7</v>
      </c>
      <c r="R17136" s="4" t="s">
        <v>7</v>
      </c>
    </row>
    <row r="17137" spans="1:18">
      <c r="A17137" t="n">
        <v>164935</v>
      </c>
      <c r="B17137" s="55" t="n">
        <v>26</v>
      </c>
      <c r="C17137" s="7" t="n">
        <v>0</v>
      </c>
      <c r="D17137" s="7" t="n">
        <v>17</v>
      </c>
      <c r="E17137" s="7" t="n">
        <v>64429</v>
      </c>
      <c r="F17137" s="7" t="s">
        <v>1386</v>
      </c>
      <c r="G17137" s="7" t="n">
        <v>2</v>
      </c>
      <c r="H17137" s="7" t="n">
        <v>3</v>
      </c>
      <c r="I17137" s="7" t="n">
        <v>17</v>
      </c>
      <c r="J17137" s="7" t="n">
        <v>64430</v>
      </c>
      <c r="K17137" s="7" t="s">
        <v>1387</v>
      </c>
      <c r="L17137" s="7" t="n">
        <v>2</v>
      </c>
      <c r="M17137" s="7" t="n">
        <v>3</v>
      </c>
      <c r="N17137" s="7" t="n">
        <v>17</v>
      </c>
      <c r="O17137" s="7" t="n">
        <v>64431</v>
      </c>
      <c r="P17137" s="7" t="s">
        <v>1388</v>
      </c>
      <c r="Q17137" s="7" t="n">
        <v>2</v>
      </c>
      <c r="R17137" s="7" t="n">
        <v>0</v>
      </c>
    </row>
    <row r="17138" spans="1:18">
      <c r="A17138" t="s">
        <v>4</v>
      </c>
      <c r="B17138" s="4" t="s">
        <v>5</v>
      </c>
    </row>
    <row r="17139" spans="1:18">
      <c r="A17139" t="n">
        <v>165183</v>
      </c>
      <c r="B17139" s="27" t="n">
        <v>28</v>
      </c>
    </row>
    <row r="17140" spans="1:18">
      <c r="A17140" t="s">
        <v>4</v>
      </c>
      <c r="B17140" s="4" t="s">
        <v>5</v>
      </c>
      <c r="C17140" s="4" t="s">
        <v>7</v>
      </c>
      <c r="D17140" s="4" t="s">
        <v>11</v>
      </c>
      <c r="E17140" s="4" t="s">
        <v>11</v>
      </c>
      <c r="F17140" s="4" t="s">
        <v>7</v>
      </c>
    </row>
    <row r="17141" spans="1:18">
      <c r="A17141" t="n">
        <v>165184</v>
      </c>
      <c r="B17141" s="31" t="n">
        <v>25</v>
      </c>
      <c r="C17141" s="7" t="n">
        <v>1</v>
      </c>
      <c r="D17141" s="7" t="n">
        <v>65535</v>
      </c>
      <c r="E17141" s="7" t="n">
        <v>65535</v>
      </c>
      <c r="F17141" s="7" t="n">
        <v>0</v>
      </c>
    </row>
    <row r="17142" spans="1:18">
      <c r="A17142" t="s">
        <v>4</v>
      </c>
      <c r="B17142" s="4" t="s">
        <v>5</v>
      </c>
      <c r="C17142" s="4" t="s">
        <v>7</v>
      </c>
      <c r="D17142" s="4" t="s">
        <v>11</v>
      </c>
      <c r="E17142" s="4" t="s">
        <v>8</v>
      </c>
    </row>
    <row r="17143" spans="1:18">
      <c r="A17143" t="n">
        <v>165191</v>
      </c>
      <c r="B17143" s="38" t="n">
        <v>51</v>
      </c>
      <c r="C17143" s="7" t="n">
        <v>4</v>
      </c>
      <c r="D17143" s="7" t="n">
        <v>8</v>
      </c>
      <c r="E17143" s="7" t="s">
        <v>247</v>
      </c>
    </row>
    <row r="17144" spans="1:18">
      <c r="A17144" t="s">
        <v>4</v>
      </c>
      <c r="B17144" s="4" t="s">
        <v>5</v>
      </c>
      <c r="C17144" s="4" t="s">
        <v>11</v>
      </c>
    </row>
    <row r="17145" spans="1:18">
      <c r="A17145" t="n">
        <v>165205</v>
      </c>
      <c r="B17145" s="29" t="n">
        <v>16</v>
      </c>
      <c r="C17145" s="7" t="n">
        <v>0</v>
      </c>
    </row>
    <row r="17146" spans="1:18">
      <c r="A17146" t="s">
        <v>4</v>
      </c>
      <c r="B17146" s="4" t="s">
        <v>5</v>
      </c>
      <c r="C17146" s="4" t="s">
        <v>11</v>
      </c>
      <c r="D17146" s="4" t="s">
        <v>7</v>
      </c>
      <c r="E17146" s="4" t="s">
        <v>15</v>
      </c>
      <c r="F17146" s="4" t="s">
        <v>55</v>
      </c>
      <c r="G17146" s="4" t="s">
        <v>7</v>
      </c>
      <c r="H17146" s="4" t="s">
        <v>7</v>
      </c>
    </row>
    <row r="17147" spans="1:18">
      <c r="A17147" t="n">
        <v>165208</v>
      </c>
      <c r="B17147" s="55" t="n">
        <v>26</v>
      </c>
      <c r="C17147" s="7" t="n">
        <v>8</v>
      </c>
      <c r="D17147" s="7" t="n">
        <v>17</v>
      </c>
      <c r="E17147" s="7" t="n">
        <v>64432</v>
      </c>
      <c r="F17147" s="7" t="s">
        <v>1389</v>
      </c>
      <c r="G17147" s="7" t="n">
        <v>2</v>
      </c>
      <c r="H17147" s="7" t="n">
        <v>0</v>
      </c>
    </row>
    <row r="17148" spans="1:18">
      <c r="A17148" t="s">
        <v>4</v>
      </c>
      <c r="B17148" s="4" t="s">
        <v>5</v>
      </c>
    </row>
    <row r="17149" spans="1:18">
      <c r="A17149" t="n">
        <v>165237</v>
      </c>
      <c r="B17149" s="27" t="n">
        <v>28</v>
      </c>
    </row>
    <row r="17150" spans="1:18">
      <c r="A17150" t="s">
        <v>4</v>
      </c>
      <c r="B17150" s="4" t="s">
        <v>5</v>
      </c>
      <c r="C17150" s="4" t="s">
        <v>7</v>
      </c>
      <c r="D17150" s="4" t="s">
        <v>11</v>
      </c>
      <c r="E17150" s="4" t="s">
        <v>13</v>
      </c>
    </row>
    <row r="17151" spans="1:18">
      <c r="A17151" t="n">
        <v>165238</v>
      </c>
      <c r="B17151" s="23" t="n">
        <v>58</v>
      </c>
      <c r="C17151" s="7" t="n">
        <v>0</v>
      </c>
      <c r="D17151" s="7" t="n">
        <v>2000</v>
      </c>
      <c r="E17151" s="7" t="n">
        <v>1</v>
      </c>
    </row>
    <row r="17152" spans="1:18">
      <c r="A17152" t="s">
        <v>4</v>
      </c>
      <c r="B17152" s="4" t="s">
        <v>5</v>
      </c>
      <c r="C17152" s="4" t="s">
        <v>7</v>
      </c>
      <c r="D17152" s="4" t="s">
        <v>11</v>
      </c>
    </row>
    <row r="17153" spans="1:18">
      <c r="A17153" t="n">
        <v>165246</v>
      </c>
      <c r="B17153" s="23" t="n">
        <v>58</v>
      </c>
      <c r="C17153" s="7" t="n">
        <v>255</v>
      </c>
      <c r="D17153" s="7" t="n">
        <v>0</v>
      </c>
    </row>
    <row r="17154" spans="1:18">
      <c r="A17154" t="s">
        <v>4</v>
      </c>
      <c r="B17154" s="4" t="s">
        <v>5</v>
      </c>
      <c r="C17154" s="4" t="s">
        <v>11</v>
      </c>
    </row>
    <row r="17155" spans="1:18">
      <c r="A17155" t="n">
        <v>165250</v>
      </c>
      <c r="B17155" s="29" t="n">
        <v>16</v>
      </c>
      <c r="C17155" s="7" t="n">
        <v>1000</v>
      </c>
    </row>
    <row r="17156" spans="1:18">
      <c r="A17156" t="s">
        <v>4</v>
      </c>
      <c r="B17156" s="4" t="s">
        <v>5</v>
      </c>
      <c r="C17156" s="4" t="s">
        <v>11</v>
      </c>
    </row>
    <row r="17157" spans="1:18">
      <c r="A17157" t="n">
        <v>165253</v>
      </c>
      <c r="B17157" s="43" t="n">
        <v>12</v>
      </c>
      <c r="C17157" s="7" t="n">
        <v>10309</v>
      </c>
    </row>
    <row r="17158" spans="1:18">
      <c r="A17158" t="s">
        <v>4</v>
      </c>
      <c r="B17158" s="4" t="s">
        <v>5</v>
      </c>
      <c r="C17158" s="4" t="s">
        <v>7</v>
      </c>
      <c r="D17158" s="4" t="s">
        <v>8</v>
      </c>
    </row>
    <row r="17159" spans="1:18">
      <c r="A17159" t="n">
        <v>165256</v>
      </c>
      <c r="B17159" s="6" t="n">
        <v>2</v>
      </c>
      <c r="C17159" s="7" t="n">
        <v>11</v>
      </c>
      <c r="D17159" s="7" t="s">
        <v>37</v>
      </c>
    </row>
    <row r="17160" spans="1:18">
      <c r="A17160" t="s">
        <v>4</v>
      </c>
      <c r="B17160" s="4" t="s">
        <v>5</v>
      </c>
      <c r="C17160" s="4" t="s">
        <v>11</v>
      </c>
      <c r="D17160" s="4" t="s">
        <v>13</v>
      </c>
      <c r="E17160" s="4" t="s">
        <v>13</v>
      </c>
      <c r="F17160" s="4" t="s">
        <v>13</v>
      </c>
      <c r="G17160" s="4" t="s">
        <v>13</v>
      </c>
    </row>
    <row r="17161" spans="1:18">
      <c r="A17161" t="n">
        <v>165280</v>
      </c>
      <c r="B17161" s="36" t="n">
        <v>46</v>
      </c>
      <c r="C17161" s="7" t="n">
        <v>61456</v>
      </c>
      <c r="D17161" s="7" t="n">
        <v>-15.5200004577637</v>
      </c>
      <c r="E17161" s="7" t="n">
        <v>5.01000022888184</v>
      </c>
      <c r="F17161" s="7" t="n">
        <v>55.75</v>
      </c>
      <c r="G17161" s="7" t="n">
        <v>78.5</v>
      </c>
    </row>
    <row r="17162" spans="1:18">
      <c r="A17162" t="s">
        <v>4</v>
      </c>
      <c r="B17162" s="4" t="s">
        <v>5</v>
      </c>
      <c r="C17162" s="4" t="s">
        <v>7</v>
      </c>
      <c r="D17162" s="4" t="s">
        <v>7</v>
      </c>
      <c r="E17162" s="4" t="s">
        <v>13</v>
      </c>
      <c r="F17162" s="4" t="s">
        <v>13</v>
      </c>
      <c r="G17162" s="4" t="s">
        <v>13</v>
      </c>
      <c r="H17162" s="4" t="s">
        <v>11</v>
      </c>
      <c r="I17162" s="4" t="s">
        <v>7</v>
      </c>
    </row>
    <row r="17163" spans="1:18">
      <c r="A17163" t="n">
        <v>165299</v>
      </c>
      <c r="B17163" s="51" t="n">
        <v>45</v>
      </c>
      <c r="C17163" s="7" t="n">
        <v>4</v>
      </c>
      <c r="D17163" s="7" t="n">
        <v>3</v>
      </c>
      <c r="E17163" s="7" t="n">
        <v>7</v>
      </c>
      <c r="F17163" s="7" t="n">
        <v>303.989990234375</v>
      </c>
      <c r="G17163" s="7" t="n">
        <v>0</v>
      </c>
      <c r="H17163" s="7" t="n">
        <v>0</v>
      </c>
      <c r="I17163" s="7" t="n">
        <v>0</v>
      </c>
    </row>
    <row r="17164" spans="1:18">
      <c r="A17164" t="s">
        <v>4</v>
      </c>
      <c r="B17164" s="4" t="s">
        <v>5</v>
      </c>
      <c r="C17164" s="4" t="s">
        <v>7</v>
      </c>
      <c r="D17164" s="4" t="s">
        <v>8</v>
      </c>
    </row>
    <row r="17165" spans="1:18">
      <c r="A17165" t="n">
        <v>165317</v>
      </c>
      <c r="B17165" s="6" t="n">
        <v>2</v>
      </c>
      <c r="C17165" s="7" t="n">
        <v>10</v>
      </c>
      <c r="D17165" s="7" t="s">
        <v>119</v>
      </c>
    </row>
    <row r="17166" spans="1:18">
      <c r="A17166" t="s">
        <v>4</v>
      </c>
      <c r="B17166" s="4" t="s">
        <v>5</v>
      </c>
      <c r="C17166" s="4" t="s">
        <v>11</v>
      </c>
    </row>
    <row r="17167" spans="1:18">
      <c r="A17167" t="n">
        <v>165332</v>
      </c>
      <c r="B17167" s="29" t="n">
        <v>16</v>
      </c>
      <c r="C17167" s="7" t="n">
        <v>0</v>
      </c>
    </row>
    <row r="17168" spans="1:18">
      <c r="A17168" t="s">
        <v>4</v>
      </c>
      <c r="B17168" s="4" t="s">
        <v>5</v>
      </c>
      <c r="C17168" s="4" t="s">
        <v>7</v>
      </c>
      <c r="D17168" s="4" t="s">
        <v>11</v>
      </c>
    </row>
    <row r="17169" spans="1:9">
      <c r="A17169" t="n">
        <v>165335</v>
      </c>
      <c r="B17169" s="23" t="n">
        <v>58</v>
      </c>
      <c r="C17169" s="7" t="n">
        <v>105</v>
      </c>
      <c r="D17169" s="7" t="n">
        <v>300</v>
      </c>
    </row>
    <row r="17170" spans="1:9">
      <c r="A17170" t="s">
        <v>4</v>
      </c>
      <c r="B17170" s="4" t="s">
        <v>5</v>
      </c>
      <c r="C17170" s="4" t="s">
        <v>13</v>
      </c>
      <c r="D17170" s="4" t="s">
        <v>11</v>
      </c>
    </row>
    <row r="17171" spans="1:9">
      <c r="A17171" t="n">
        <v>165339</v>
      </c>
      <c r="B17171" s="46" t="n">
        <v>103</v>
      </c>
      <c r="C17171" s="7" t="n">
        <v>1</v>
      </c>
      <c r="D17171" s="7" t="n">
        <v>300</v>
      </c>
    </row>
    <row r="17172" spans="1:9">
      <c r="A17172" t="s">
        <v>4</v>
      </c>
      <c r="B17172" s="4" t="s">
        <v>5</v>
      </c>
      <c r="C17172" s="4" t="s">
        <v>7</v>
      </c>
      <c r="D17172" s="4" t="s">
        <v>11</v>
      </c>
    </row>
    <row r="17173" spans="1:9">
      <c r="A17173" t="n">
        <v>165346</v>
      </c>
      <c r="B17173" s="48" t="n">
        <v>72</v>
      </c>
      <c r="C17173" s="7" t="n">
        <v>4</v>
      </c>
      <c r="D17173" s="7" t="n">
        <v>0</v>
      </c>
    </row>
    <row r="17174" spans="1:9">
      <c r="A17174" t="s">
        <v>4</v>
      </c>
      <c r="B17174" s="4" t="s">
        <v>5</v>
      </c>
      <c r="C17174" s="4" t="s">
        <v>15</v>
      </c>
    </row>
    <row r="17175" spans="1:9">
      <c r="A17175" t="n">
        <v>165350</v>
      </c>
      <c r="B17175" s="61" t="n">
        <v>15</v>
      </c>
      <c r="C17175" s="7" t="n">
        <v>1073741824</v>
      </c>
    </row>
    <row r="17176" spans="1:9">
      <c r="A17176" t="s">
        <v>4</v>
      </c>
      <c r="B17176" s="4" t="s">
        <v>5</v>
      </c>
      <c r="C17176" s="4" t="s">
        <v>7</v>
      </c>
    </row>
    <row r="17177" spans="1:9">
      <c r="A17177" t="n">
        <v>165355</v>
      </c>
      <c r="B17177" s="47" t="n">
        <v>64</v>
      </c>
      <c r="C17177" s="7" t="n">
        <v>3</v>
      </c>
    </row>
    <row r="17178" spans="1:9">
      <c r="A17178" t="s">
        <v>4</v>
      </c>
      <c r="B17178" s="4" t="s">
        <v>5</v>
      </c>
      <c r="C17178" s="4" t="s">
        <v>7</v>
      </c>
    </row>
    <row r="17179" spans="1:9">
      <c r="A17179" t="n">
        <v>165357</v>
      </c>
      <c r="B17179" s="45" t="n">
        <v>74</v>
      </c>
      <c r="C17179" s="7" t="n">
        <v>67</v>
      </c>
    </row>
    <row r="17180" spans="1:9">
      <c r="A17180" t="s">
        <v>4</v>
      </c>
      <c r="B17180" s="4" t="s">
        <v>5</v>
      </c>
      <c r="C17180" s="4" t="s">
        <v>7</v>
      </c>
      <c r="D17180" s="4" t="s">
        <v>7</v>
      </c>
      <c r="E17180" s="4" t="s">
        <v>11</v>
      </c>
    </row>
    <row r="17181" spans="1:9">
      <c r="A17181" t="n">
        <v>165359</v>
      </c>
      <c r="B17181" s="51" t="n">
        <v>45</v>
      </c>
      <c r="C17181" s="7" t="n">
        <v>8</v>
      </c>
      <c r="D17181" s="7" t="n">
        <v>1</v>
      </c>
      <c r="E17181" s="7" t="n">
        <v>0</v>
      </c>
    </row>
    <row r="17182" spans="1:9">
      <c r="A17182" t="s">
        <v>4</v>
      </c>
      <c r="B17182" s="4" t="s">
        <v>5</v>
      </c>
      <c r="C17182" s="4" t="s">
        <v>11</v>
      </c>
    </row>
    <row r="17183" spans="1:9">
      <c r="A17183" t="n">
        <v>165364</v>
      </c>
      <c r="B17183" s="12" t="n">
        <v>13</v>
      </c>
      <c r="C17183" s="7" t="n">
        <v>6409</v>
      </c>
    </row>
    <row r="17184" spans="1:9">
      <c r="A17184" t="s">
        <v>4</v>
      </c>
      <c r="B17184" s="4" t="s">
        <v>5</v>
      </c>
      <c r="C17184" s="4" t="s">
        <v>11</v>
      </c>
    </row>
    <row r="17185" spans="1:5">
      <c r="A17185" t="n">
        <v>165367</v>
      </c>
      <c r="B17185" s="12" t="n">
        <v>13</v>
      </c>
      <c r="C17185" s="7" t="n">
        <v>6408</v>
      </c>
    </row>
    <row r="17186" spans="1:5">
      <c r="A17186" t="s">
        <v>4</v>
      </c>
      <c r="B17186" s="4" t="s">
        <v>5</v>
      </c>
      <c r="C17186" s="4" t="s">
        <v>11</v>
      </c>
    </row>
    <row r="17187" spans="1:5">
      <c r="A17187" t="n">
        <v>165370</v>
      </c>
      <c r="B17187" s="43" t="n">
        <v>12</v>
      </c>
      <c r="C17187" s="7" t="n">
        <v>6464</v>
      </c>
    </row>
    <row r="17188" spans="1:5">
      <c r="A17188" t="s">
        <v>4</v>
      </c>
      <c r="B17188" s="4" t="s">
        <v>5</v>
      </c>
      <c r="C17188" s="4" t="s">
        <v>11</v>
      </c>
    </row>
    <row r="17189" spans="1:5">
      <c r="A17189" t="n">
        <v>165373</v>
      </c>
      <c r="B17189" s="12" t="n">
        <v>13</v>
      </c>
      <c r="C17189" s="7" t="n">
        <v>6465</v>
      </c>
    </row>
    <row r="17190" spans="1:5">
      <c r="A17190" t="s">
        <v>4</v>
      </c>
      <c r="B17190" s="4" t="s">
        <v>5</v>
      </c>
      <c r="C17190" s="4" t="s">
        <v>11</v>
      </c>
    </row>
    <row r="17191" spans="1:5">
      <c r="A17191" t="n">
        <v>165376</v>
      </c>
      <c r="B17191" s="12" t="n">
        <v>13</v>
      </c>
      <c r="C17191" s="7" t="n">
        <v>6466</v>
      </c>
    </row>
    <row r="17192" spans="1:5">
      <c r="A17192" t="s">
        <v>4</v>
      </c>
      <c r="B17192" s="4" t="s">
        <v>5</v>
      </c>
      <c r="C17192" s="4" t="s">
        <v>11</v>
      </c>
    </row>
    <row r="17193" spans="1:5">
      <c r="A17193" t="n">
        <v>165379</v>
      </c>
      <c r="B17193" s="12" t="n">
        <v>13</v>
      </c>
      <c r="C17193" s="7" t="n">
        <v>6467</v>
      </c>
    </row>
    <row r="17194" spans="1:5">
      <c r="A17194" t="s">
        <v>4</v>
      </c>
      <c r="B17194" s="4" t="s">
        <v>5</v>
      </c>
      <c r="C17194" s="4" t="s">
        <v>11</v>
      </c>
    </row>
    <row r="17195" spans="1:5">
      <c r="A17195" t="n">
        <v>165382</v>
      </c>
      <c r="B17195" s="12" t="n">
        <v>13</v>
      </c>
      <c r="C17195" s="7" t="n">
        <v>6468</v>
      </c>
    </row>
    <row r="17196" spans="1:5">
      <c r="A17196" t="s">
        <v>4</v>
      </c>
      <c r="B17196" s="4" t="s">
        <v>5</v>
      </c>
      <c r="C17196" s="4" t="s">
        <v>11</v>
      </c>
    </row>
    <row r="17197" spans="1:5">
      <c r="A17197" t="n">
        <v>165385</v>
      </c>
      <c r="B17197" s="12" t="n">
        <v>13</v>
      </c>
      <c r="C17197" s="7" t="n">
        <v>6469</v>
      </c>
    </row>
    <row r="17198" spans="1:5">
      <c r="A17198" t="s">
        <v>4</v>
      </c>
      <c r="B17198" s="4" t="s">
        <v>5</v>
      </c>
      <c r="C17198" s="4" t="s">
        <v>11</v>
      </c>
    </row>
    <row r="17199" spans="1:5">
      <c r="A17199" t="n">
        <v>165388</v>
      </c>
      <c r="B17199" s="12" t="n">
        <v>13</v>
      </c>
      <c r="C17199" s="7" t="n">
        <v>6470</v>
      </c>
    </row>
    <row r="17200" spans="1:5">
      <c r="A17200" t="s">
        <v>4</v>
      </c>
      <c r="B17200" s="4" t="s">
        <v>5</v>
      </c>
      <c r="C17200" s="4" t="s">
        <v>11</v>
      </c>
    </row>
    <row r="17201" spans="1:3">
      <c r="A17201" t="n">
        <v>165391</v>
      </c>
      <c r="B17201" s="12" t="n">
        <v>13</v>
      </c>
      <c r="C17201" s="7" t="n">
        <v>6471</v>
      </c>
    </row>
    <row r="17202" spans="1:3">
      <c r="A17202" t="s">
        <v>4</v>
      </c>
      <c r="B17202" s="4" t="s">
        <v>5</v>
      </c>
      <c r="C17202" s="4" t="s">
        <v>7</v>
      </c>
    </row>
    <row r="17203" spans="1:3">
      <c r="A17203" t="n">
        <v>165394</v>
      </c>
      <c r="B17203" s="45" t="n">
        <v>74</v>
      </c>
      <c r="C17203" s="7" t="n">
        <v>18</v>
      </c>
    </row>
    <row r="17204" spans="1:3">
      <c r="A17204" t="s">
        <v>4</v>
      </c>
      <c r="B17204" s="4" t="s">
        <v>5</v>
      </c>
      <c r="C17204" s="4" t="s">
        <v>7</v>
      </c>
    </row>
    <row r="17205" spans="1:3">
      <c r="A17205" t="n">
        <v>165396</v>
      </c>
      <c r="B17205" s="45" t="n">
        <v>74</v>
      </c>
      <c r="C17205" s="7" t="n">
        <v>45</v>
      </c>
    </row>
    <row r="17206" spans="1:3">
      <c r="A17206" t="s">
        <v>4</v>
      </c>
      <c r="B17206" s="4" t="s">
        <v>5</v>
      </c>
      <c r="C17206" s="4" t="s">
        <v>11</v>
      </c>
    </row>
    <row r="17207" spans="1:3">
      <c r="A17207" t="n">
        <v>165398</v>
      </c>
      <c r="B17207" s="29" t="n">
        <v>16</v>
      </c>
      <c r="C17207" s="7" t="n">
        <v>0</v>
      </c>
    </row>
    <row r="17208" spans="1:3">
      <c r="A17208" t="s">
        <v>4</v>
      </c>
      <c r="B17208" s="4" t="s">
        <v>5</v>
      </c>
      <c r="C17208" s="4" t="s">
        <v>7</v>
      </c>
      <c r="D17208" s="4" t="s">
        <v>7</v>
      </c>
      <c r="E17208" s="4" t="s">
        <v>7</v>
      </c>
      <c r="F17208" s="4" t="s">
        <v>7</v>
      </c>
    </row>
    <row r="17209" spans="1:3">
      <c r="A17209" t="n">
        <v>165401</v>
      </c>
      <c r="B17209" s="9" t="n">
        <v>14</v>
      </c>
      <c r="C17209" s="7" t="n">
        <v>0</v>
      </c>
      <c r="D17209" s="7" t="n">
        <v>8</v>
      </c>
      <c r="E17209" s="7" t="n">
        <v>0</v>
      </c>
      <c r="F17209" s="7" t="n">
        <v>0</v>
      </c>
    </row>
    <row r="17210" spans="1:3">
      <c r="A17210" t="s">
        <v>4</v>
      </c>
      <c r="B17210" s="4" t="s">
        <v>5</v>
      </c>
      <c r="C17210" s="4" t="s">
        <v>7</v>
      </c>
      <c r="D17210" s="4" t="s">
        <v>8</v>
      </c>
    </row>
    <row r="17211" spans="1:3">
      <c r="A17211" t="n">
        <v>165406</v>
      </c>
      <c r="B17211" s="6" t="n">
        <v>2</v>
      </c>
      <c r="C17211" s="7" t="n">
        <v>11</v>
      </c>
      <c r="D17211" s="7" t="s">
        <v>14</v>
      </c>
    </row>
    <row r="17212" spans="1:3">
      <c r="A17212" t="s">
        <v>4</v>
      </c>
      <c r="B17212" s="4" t="s">
        <v>5</v>
      </c>
      <c r="C17212" s="4" t="s">
        <v>11</v>
      </c>
    </row>
    <row r="17213" spans="1:3">
      <c r="A17213" t="n">
        <v>165420</v>
      </c>
      <c r="B17213" s="29" t="n">
        <v>16</v>
      </c>
      <c r="C17213" s="7" t="n">
        <v>0</v>
      </c>
    </row>
    <row r="17214" spans="1:3">
      <c r="A17214" t="s">
        <v>4</v>
      </c>
      <c r="B17214" s="4" t="s">
        <v>5</v>
      </c>
      <c r="C17214" s="4" t="s">
        <v>7</v>
      </c>
      <c r="D17214" s="4" t="s">
        <v>8</v>
      </c>
    </row>
    <row r="17215" spans="1:3">
      <c r="A17215" t="n">
        <v>165423</v>
      </c>
      <c r="B17215" s="6" t="n">
        <v>2</v>
      </c>
      <c r="C17215" s="7" t="n">
        <v>11</v>
      </c>
      <c r="D17215" s="7" t="s">
        <v>120</v>
      </c>
    </row>
    <row r="17216" spans="1:3">
      <c r="A17216" t="s">
        <v>4</v>
      </c>
      <c r="B17216" s="4" t="s">
        <v>5</v>
      </c>
      <c r="C17216" s="4" t="s">
        <v>11</v>
      </c>
    </row>
    <row r="17217" spans="1:6">
      <c r="A17217" t="n">
        <v>165432</v>
      </c>
      <c r="B17217" s="29" t="n">
        <v>16</v>
      </c>
      <c r="C17217" s="7" t="n">
        <v>0</v>
      </c>
    </row>
    <row r="17218" spans="1:6">
      <c r="A17218" t="s">
        <v>4</v>
      </c>
      <c r="B17218" s="4" t="s">
        <v>5</v>
      </c>
      <c r="C17218" s="4" t="s">
        <v>15</v>
      </c>
    </row>
    <row r="17219" spans="1:6">
      <c r="A17219" t="n">
        <v>165435</v>
      </c>
      <c r="B17219" s="61" t="n">
        <v>15</v>
      </c>
      <c r="C17219" s="7" t="n">
        <v>2048</v>
      </c>
    </row>
    <row r="17220" spans="1:6">
      <c r="A17220" t="s">
        <v>4</v>
      </c>
      <c r="B17220" s="4" t="s">
        <v>5</v>
      </c>
      <c r="C17220" s="4" t="s">
        <v>7</v>
      </c>
      <c r="D17220" s="4" t="s">
        <v>8</v>
      </c>
    </row>
    <row r="17221" spans="1:6">
      <c r="A17221" t="n">
        <v>165440</v>
      </c>
      <c r="B17221" s="6" t="n">
        <v>2</v>
      </c>
      <c r="C17221" s="7" t="n">
        <v>10</v>
      </c>
      <c r="D17221" s="7" t="s">
        <v>52</v>
      </c>
    </row>
    <row r="17222" spans="1:6">
      <c r="A17222" t="s">
        <v>4</v>
      </c>
      <c r="B17222" s="4" t="s">
        <v>5</v>
      </c>
      <c r="C17222" s="4" t="s">
        <v>11</v>
      </c>
    </row>
    <row r="17223" spans="1:6">
      <c r="A17223" t="n">
        <v>165458</v>
      </c>
      <c r="B17223" s="29" t="n">
        <v>16</v>
      </c>
      <c r="C17223" s="7" t="n">
        <v>0</v>
      </c>
    </row>
    <row r="17224" spans="1:6">
      <c r="A17224" t="s">
        <v>4</v>
      </c>
      <c r="B17224" s="4" t="s">
        <v>5</v>
      </c>
      <c r="C17224" s="4" t="s">
        <v>7</v>
      </c>
      <c r="D17224" s="4" t="s">
        <v>8</v>
      </c>
    </row>
    <row r="17225" spans="1:6">
      <c r="A17225" t="n">
        <v>165461</v>
      </c>
      <c r="B17225" s="6" t="n">
        <v>2</v>
      </c>
      <c r="C17225" s="7" t="n">
        <v>10</v>
      </c>
      <c r="D17225" s="7" t="s">
        <v>53</v>
      </c>
    </row>
    <row r="17226" spans="1:6">
      <c r="A17226" t="s">
        <v>4</v>
      </c>
      <c r="B17226" s="4" t="s">
        <v>5</v>
      </c>
      <c r="C17226" s="4" t="s">
        <v>11</v>
      </c>
    </row>
    <row r="17227" spans="1:6">
      <c r="A17227" t="n">
        <v>165480</v>
      </c>
      <c r="B17227" s="29" t="n">
        <v>16</v>
      </c>
      <c r="C17227" s="7" t="n">
        <v>0</v>
      </c>
    </row>
    <row r="17228" spans="1:6">
      <c r="A17228" t="s">
        <v>4</v>
      </c>
      <c r="B17228" s="4" t="s">
        <v>5</v>
      </c>
      <c r="C17228" s="4" t="s">
        <v>7</v>
      </c>
      <c r="D17228" s="4" t="s">
        <v>11</v>
      </c>
      <c r="E17228" s="4" t="s">
        <v>13</v>
      </c>
    </row>
    <row r="17229" spans="1:6">
      <c r="A17229" t="n">
        <v>165483</v>
      </c>
      <c r="B17229" s="23" t="n">
        <v>58</v>
      </c>
      <c r="C17229" s="7" t="n">
        <v>100</v>
      </c>
      <c r="D17229" s="7" t="n">
        <v>300</v>
      </c>
      <c r="E17229" s="7" t="n">
        <v>1</v>
      </c>
    </row>
    <row r="17230" spans="1:6">
      <c r="A17230" t="s">
        <v>4</v>
      </c>
      <c r="B17230" s="4" t="s">
        <v>5</v>
      </c>
      <c r="C17230" s="4" t="s">
        <v>7</v>
      </c>
      <c r="D17230" s="4" t="s">
        <v>11</v>
      </c>
    </row>
    <row r="17231" spans="1:6">
      <c r="A17231" t="n">
        <v>165491</v>
      </c>
      <c r="B17231" s="23" t="n">
        <v>58</v>
      </c>
      <c r="C17231" s="7" t="n">
        <v>255</v>
      </c>
      <c r="D17231" s="7" t="n">
        <v>0</v>
      </c>
    </row>
    <row r="17232" spans="1:6">
      <c r="A17232" t="s">
        <v>4</v>
      </c>
      <c r="B17232" s="4" t="s">
        <v>5</v>
      </c>
      <c r="C17232" s="4" t="s">
        <v>7</v>
      </c>
    </row>
    <row r="17233" spans="1:5">
      <c r="A17233" t="n">
        <v>165495</v>
      </c>
      <c r="B17233" s="30" t="n">
        <v>23</v>
      </c>
      <c r="C17233" s="7" t="n">
        <v>0</v>
      </c>
    </row>
    <row r="17234" spans="1:5">
      <c r="A17234" t="s">
        <v>4</v>
      </c>
      <c r="B17234" s="4" t="s">
        <v>5</v>
      </c>
    </row>
    <row r="17235" spans="1:5">
      <c r="A17235" t="n">
        <v>165497</v>
      </c>
      <c r="B17235" s="5" t="n">
        <v>1</v>
      </c>
    </row>
    <row r="17236" spans="1:5" s="3" customFormat="1" customHeight="0">
      <c r="A17236" s="3" t="s">
        <v>2</v>
      </c>
      <c r="B17236" s="3" t="s">
        <v>1390</v>
      </c>
    </row>
    <row r="17237" spans="1:5">
      <c r="A17237" t="s">
        <v>4</v>
      </c>
      <c r="B17237" s="4" t="s">
        <v>5</v>
      </c>
      <c r="C17237" s="4" t="s">
        <v>7</v>
      </c>
      <c r="D17237" s="4" t="s">
        <v>7</v>
      </c>
      <c r="E17237" s="4" t="s">
        <v>7</v>
      </c>
      <c r="F17237" s="4" t="s">
        <v>7</v>
      </c>
    </row>
    <row r="17238" spans="1:5">
      <c r="A17238" t="n">
        <v>165500</v>
      </c>
      <c r="B17238" s="9" t="n">
        <v>14</v>
      </c>
      <c r="C17238" s="7" t="n">
        <v>2</v>
      </c>
      <c r="D17238" s="7" t="n">
        <v>0</v>
      </c>
      <c r="E17238" s="7" t="n">
        <v>0</v>
      </c>
      <c r="F17238" s="7" t="n">
        <v>0</v>
      </c>
    </row>
    <row r="17239" spans="1:5">
      <c r="A17239" t="s">
        <v>4</v>
      </c>
      <c r="B17239" s="4" t="s">
        <v>5</v>
      </c>
      <c r="C17239" s="4" t="s">
        <v>7</v>
      </c>
      <c r="D17239" s="20" t="s">
        <v>35</v>
      </c>
      <c r="E17239" s="4" t="s">
        <v>5</v>
      </c>
      <c r="F17239" s="4" t="s">
        <v>7</v>
      </c>
      <c r="G17239" s="4" t="s">
        <v>11</v>
      </c>
      <c r="H17239" s="20" t="s">
        <v>36</v>
      </c>
      <c r="I17239" s="4" t="s">
        <v>7</v>
      </c>
      <c r="J17239" s="4" t="s">
        <v>15</v>
      </c>
      <c r="K17239" s="4" t="s">
        <v>7</v>
      </c>
      <c r="L17239" s="4" t="s">
        <v>7</v>
      </c>
      <c r="M17239" s="20" t="s">
        <v>35</v>
      </c>
      <c r="N17239" s="4" t="s">
        <v>5</v>
      </c>
      <c r="O17239" s="4" t="s">
        <v>7</v>
      </c>
      <c r="P17239" s="4" t="s">
        <v>11</v>
      </c>
      <c r="Q17239" s="20" t="s">
        <v>36</v>
      </c>
      <c r="R17239" s="4" t="s">
        <v>7</v>
      </c>
      <c r="S17239" s="4" t="s">
        <v>15</v>
      </c>
      <c r="T17239" s="4" t="s">
        <v>7</v>
      </c>
      <c r="U17239" s="4" t="s">
        <v>7</v>
      </c>
      <c r="V17239" s="4" t="s">
        <v>7</v>
      </c>
      <c r="W17239" s="4" t="s">
        <v>12</v>
      </c>
    </row>
    <row r="17240" spans="1:5">
      <c r="A17240" t="n">
        <v>165505</v>
      </c>
      <c r="B17240" s="10" t="n">
        <v>5</v>
      </c>
      <c r="C17240" s="7" t="n">
        <v>28</v>
      </c>
      <c r="D17240" s="20" t="s">
        <v>3</v>
      </c>
      <c r="E17240" s="8" t="n">
        <v>162</v>
      </c>
      <c r="F17240" s="7" t="n">
        <v>3</v>
      </c>
      <c r="G17240" s="7" t="n">
        <v>33153</v>
      </c>
      <c r="H17240" s="20" t="s">
        <v>3</v>
      </c>
      <c r="I17240" s="7" t="n">
        <v>0</v>
      </c>
      <c r="J17240" s="7" t="n">
        <v>1</v>
      </c>
      <c r="K17240" s="7" t="n">
        <v>2</v>
      </c>
      <c r="L17240" s="7" t="n">
        <v>28</v>
      </c>
      <c r="M17240" s="20" t="s">
        <v>3</v>
      </c>
      <c r="N17240" s="8" t="n">
        <v>162</v>
      </c>
      <c r="O17240" s="7" t="n">
        <v>3</v>
      </c>
      <c r="P17240" s="7" t="n">
        <v>33153</v>
      </c>
      <c r="Q17240" s="20" t="s">
        <v>3</v>
      </c>
      <c r="R17240" s="7" t="n">
        <v>0</v>
      </c>
      <c r="S17240" s="7" t="n">
        <v>2</v>
      </c>
      <c r="T17240" s="7" t="n">
        <v>2</v>
      </c>
      <c r="U17240" s="7" t="n">
        <v>11</v>
      </c>
      <c r="V17240" s="7" t="n">
        <v>1</v>
      </c>
      <c r="W17240" s="11" t="n">
        <f t="normal" ca="1">A17244</f>
        <v>0</v>
      </c>
    </row>
    <row r="17241" spans="1:5">
      <c r="A17241" t="s">
        <v>4</v>
      </c>
      <c r="B17241" s="4" t="s">
        <v>5</v>
      </c>
      <c r="C17241" s="4" t="s">
        <v>7</v>
      </c>
      <c r="D17241" s="4" t="s">
        <v>11</v>
      </c>
      <c r="E17241" s="4" t="s">
        <v>13</v>
      </c>
    </row>
    <row r="17242" spans="1:5">
      <c r="A17242" t="n">
        <v>165534</v>
      </c>
      <c r="B17242" s="23" t="n">
        <v>58</v>
      </c>
      <c r="C17242" s="7" t="n">
        <v>0</v>
      </c>
      <c r="D17242" s="7" t="n">
        <v>0</v>
      </c>
      <c r="E17242" s="7" t="n">
        <v>1</v>
      </c>
    </row>
    <row r="17243" spans="1:5">
      <c r="A17243" t="s">
        <v>4</v>
      </c>
      <c r="B17243" s="4" t="s">
        <v>5</v>
      </c>
      <c r="C17243" s="4" t="s">
        <v>7</v>
      </c>
      <c r="D17243" s="20" t="s">
        <v>35</v>
      </c>
      <c r="E17243" s="4" t="s">
        <v>5</v>
      </c>
      <c r="F17243" s="4" t="s">
        <v>7</v>
      </c>
      <c r="G17243" s="4" t="s">
        <v>11</v>
      </c>
      <c r="H17243" s="20" t="s">
        <v>36</v>
      </c>
      <c r="I17243" s="4" t="s">
        <v>7</v>
      </c>
      <c r="J17243" s="4" t="s">
        <v>15</v>
      </c>
      <c r="K17243" s="4" t="s">
        <v>7</v>
      </c>
      <c r="L17243" s="4" t="s">
        <v>7</v>
      </c>
      <c r="M17243" s="20" t="s">
        <v>35</v>
      </c>
      <c r="N17243" s="4" t="s">
        <v>5</v>
      </c>
      <c r="O17243" s="4" t="s">
        <v>7</v>
      </c>
      <c r="P17243" s="4" t="s">
        <v>11</v>
      </c>
      <c r="Q17243" s="20" t="s">
        <v>36</v>
      </c>
      <c r="R17243" s="4" t="s">
        <v>7</v>
      </c>
      <c r="S17243" s="4" t="s">
        <v>15</v>
      </c>
      <c r="T17243" s="4" t="s">
        <v>7</v>
      </c>
      <c r="U17243" s="4" t="s">
        <v>7</v>
      </c>
      <c r="V17243" s="4" t="s">
        <v>7</v>
      </c>
      <c r="W17243" s="4" t="s">
        <v>12</v>
      </c>
    </row>
    <row r="17244" spans="1:5">
      <c r="A17244" t="n">
        <v>165542</v>
      </c>
      <c r="B17244" s="10" t="n">
        <v>5</v>
      </c>
      <c r="C17244" s="7" t="n">
        <v>28</v>
      </c>
      <c r="D17244" s="20" t="s">
        <v>3</v>
      </c>
      <c r="E17244" s="8" t="n">
        <v>162</v>
      </c>
      <c r="F17244" s="7" t="n">
        <v>3</v>
      </c>
      <c r="G17244" s="7" t="n">
        <v>33153</v>
      </c>
      <c r="H17244" s="20" t="s">
        <v>3</v>
      </c>
      <c r="I17244" s="7" t="n">
        <v>0</v>
      </c>
      <c r="J17244" s="7" t="n">
        <v>1</v>
      </c>
      <c r="K17244" s="7" t="n">
        <v>3</v>
      </c>
      <c r="L17244" s="7" t="n">
        <v>28</v>
      </c>
      <c r="M17244" s="20" t="s">
        <v>3</v>
      </c>
      <c r="N17244" s="8" t="n">
        <v>162</v>
      </c>
      <c r="O17244" s="7" t="n">
        <v>3</v>
      </c>
      <c r="P17244" s="7" t="n">
        <v>33153</v>
      </c>
      <c r="Q17244" s="20" t="s">
        <v>3</v>
      </c>
      <c r="R17244" s="7" t="n">
        <v>0</v>
      </c>
      <c r="S17244" s="7" t="n">
        <v>2</v>
      </c>
      <c r="T17244" s="7" t="n">
        <v>3</v>
      </c>
      <c r="U17244" s="7" t="n">
        <v>9</v>
      </c>
      <c r="V17244" s="7" t="n">
        <v>1</v>
      </c>
      <c r="W17244" s="11" t="n">
        <f t="normal" ca="1">A17254</f>
        <v>0</v>
      </c>
    </row>
    <row r="17245" spans="1:5">
      <c r="A17245" t="s">
        <v>4</v>
      </c>
      <c r="B17245" s="4" t="s">
        <v>5</v>
      </c>
      <c r="C17245" s="4" t="s">
        <v>7</v>
      </c>
      <c r="D17245" s="20" t="s">
        <v>35</v>
      </c>
      <c r="E17245" s="4" t="s">
        <v>5</v>
      </c>
      <c r="F17245" s="4" t="s">
        <v>11</v>
      </c>
      <c r="G17245" s="4" t="s">
        <v>7</v>
      </c>
      <c r="H17245" s="4" t="s">
        <v>7</v>
      </c>
      <c r="I17245" s="4" t="s">
        <v>8</v>
      </c>
      <c r="J17245" s="20" t="s">
        <v>36</v>
      </c>
      <c r="K17245" s="4" t="s">
        <v>7</v>
      </c>
      <c r="L17245" s="4" t="s">
        <v>7</v>
      </c>
      <c r="M17245" s="20" t="s">
        <v>35</v>
      </c>
      <c r="N17245" s="4" t="s">
        <v>5</v>
      </c>
      <c r="O17245" s="4" t="s">
        <v>7</v>
      </c>
      <c r="P17245" s="20" t="s">
        <v>36</v>
      </c>
      <c r="Q17245" s="4" t="s">
        <v>7</v>
      </c>
      <c r="R17245" s="4" t="s">
        <v>15</v>
      </c>
      <c r="S17245" s="4" t="s">
        <v>7</v>
      </c>
      <c r="T17245" s="4" t="s">
        <v>7</v>
      </c>
      <c r="U17245" s="4" t="s">
        <v>7</v>
      </c>
      <c r="V17245" s="20" t="s">
        <v>35</v>
      </c>
      <c r="W17245" s="4" t="s">
        <v>5</v>
      </c>
      <c r="X17245" s="4" t="s">
        <v>7</v>
      </c>
      <c r="Y17245" s="20" t="s">
        <v>36</v>
      </c>
      <c r="Z17245" s="4" t="s">
        <v>7</v>
      </c>
      <c r="AA17245" s="4" t="s">
        <v>15</v>
      </c>
      <c r="AB17245" s="4" t="s">
        <v>7</v>
      </c>
      <c r="AC17245" s="4" t="s">
        <v>7</v>
      </c>
      <c r="AD17245" s="4" t="s">
        <v>7</v>
      </c>
      <c r="AE17245" s="4" t="s">
        <v>12</v>
      </c>
    </row>
    <row r="17246" spans="1:5">
      <c r="A17246" t="n">
        <v>165571</v>
      </c>
      <c r="B17246" s="10" t="n">
        <v>5</v>
      </c>
      <c r="C17246" s="7" t="n">
        <v>28</v>
      </c>
      <c r="D17246" s="20" t="s">
        <v>3</v>
      </c>
      <c r="E17246" s="41" t="n">
        <v>47</v>
      </c>
      <c r="F17246" s="7" t="n">
        <v>61456</v>
      </c>
      <c r="G17246" s="7" t="n">
        <v>2</v>
      </c>
      <c r="H17246" s="7" t="n">
        <v>0</v>
      </c>
      <c r="I17246" s="7" t="s">
        <v>105</v>
      </c>
      <c r="J17246" s="20" t="s">
        <v>3</v>
      </c>
      <c r="K17246" s="7" t="n">
        <v>8</v>
      </c>
      <c r="L17246" s="7" t="n">
        <v>28</v>
      </c>
      <c r="M17246" s="20" t="s">
        <v>3</v>
      </c>
      <c r="N17246" s="45" t="n">
        <v>74</v>
      </c>
      <c r="O17246" s="7" t="n">
        <v>65</v>
      </c>
      <c r="P17246" s="20" t="s">
        <v>3</v>
      </c>
      <c r="Q17246" s="7" t="n">
        <v>0</v>
      </c>
      <c r="R17246" s="7" t="n">
        <v>1</v>
      </c>
      <c r="S17246" s="7" t="n">
        <v>3</v>
      </c>
      <c r="T17246" s="7" t="n">
        <v>9</v>
      </c>
      <c r="U17246" s="7" t="n">
        <v>28</v>
      </c>
      <c r="V17246" s="20" t="s">
        <v>3</v>
      </c>
      <c r="W17246" s="45" t="n">
        <v>74</v>
      </c>
      <c r="X17246" s="7" t="n">
        <v>65</v>
      </c>
      <c r="Y17246" s="20" t="s">
        <v>3</v>
      </c>
      <c r="Z17246" s="7" t="n">
        <v>0</v>
      </c>
      <c r="AA17246" s="7" t="n">
        <v>2</v>
      </c>
      <c r="AB17246" s="7" t="n">
        <v>3</v>
      </c>
      <c r="AC17246" s="7" t="n">
        <v>9</v>
      </c>
      <c r="AD17246" s="7" t="n">
        <v>1</v>
      </c>
      <c r="AE17246" s="11" t="n">
        <f t="normal" ca="1">A17250</f>
        <v>0</v>
      </c>
    </row>
    <row r="17247" spans="1:5">
      <c r="A17247" t="s">
        <v>4</v>
      </c>
      <c r="B17247" s="4" t="s">
        <v>5</v>
      </c>
      <c r="C17247" s="4" t="s">
        <v>11</v>
      </c>
      <c r="D17247" s="4" t="s">
        <v>7</v>
      </c>
      <c r="E17247" s="4" t="s">
        <v>7</v>
      </c>
      <c r="F17247" s="4" t="s">
        <v>8</v>
      </c>
    </row>
    <row r="17248" spans="1:5">
      <c r="A17248" t="n">
        <v>165619</v>
      </c>
      <c r="B17248" s="41" t="n">
        <v>47</v>
      </c>
      <c r="C17248" s="7" t="n">
        <v>61456</v>
      </c>
      <c r="D17248" s="7" t="n">
        <v>0</v>
      </c>
      <c r="E17248" s="7" t="n">
        <v>0</v>
      </c>
      <c r="F17248" s="7" t="s">
        <v>106</v>
      </c>
    </row>
    <row r="17249" spans="1:31">
      <c r="A17249" t="s">
        <v>4</v>
      </c>
      <c r="B17249" s="4" t="s">
        <v>5</v>
      </c>
      <c r="C17249" s="4" t="s">
        <v>7</v>
      </c>
      <c r="D17249" s="4" t="s">
        <v>11</v>
      </c>
      <c r="E17249" s="4" t="s">
        <v>13</v>
      </c>
    </row>
    <row r="17250" spans="1:31">
      <c r="A17250" t="n">
        <v>165632</v>
      </c>
      <c r="B17250" s="23" t="n">
        <v>58</v>
      </c>
      <c r="C17250" s="7" t="n">
        <v>0</v>
      </c>
      <c r="D17250" s="7" t="n">
        <v>300</v>
      </c>
      <c r="E17250" s="7" t="n">
        <v>1</v>
      </c>
    </row>
    <row r="17251" spans="1:31">
      <c r="A17251" t="s">
        <v>4</v>
      </c>
      <c r="B17251" s="4" t="s">
        <v>5</v>
      </c>
      <c r="C17251" s="4" t="s">
        <v>7</v>
      </c>
      <c r="D17251" s="4" t="s">
        <v>11</v>
      </c>
    </row>
    <row r="17252" spans="1:31">
      <c r="A17252" t="n">
        <v>165640</v>
      </c>
      <c r="B17252" s="23" t="n">
        <v>58</v>
      </c>
      <c r="C17252" s="7" t="n">
        <v>255</v>
      </c>
      <c r="D17252" s="7" t="n">
        <v>0</v>
      </c>
    </row>
    <row r="17253" spans="1:31">
      <c r="A17253" t="s">
        <v>4</v>
      </c>
      <c r="B17253" s="4" t="s">
        <v>5</v>
      </c>
      <c r="C17253" s="4" t="s">
        <v>7</v>
      </c>
      <c r="D17253" s="4" t="s">
        <v>7</v>
      </c>
      <c r="E17253" s="4" t="s">
        <v>7</v>
      </c>
      <c r="F17253" s="4" t="s">
        <v>7</v>
      </c>
    </row>
    <row r="17254" spans="1:31">
      <c r="A17254" t="n">
        <v>165644</v>
      </c>
      <c r="B17254" s="9" t="n">
        <v>14</v>
      </c>
      <c r="C17254" s="7" t="n">
        <v>0</v>
      </c>
      <c r="D17254" s="7" t="n">
        <v>0</v>
      </c>
      <c r="E17254" s="7" t="n">
        <v>0</v>
      </c>
      <c r="F17254" s="7" t="n">
        <v>64</v>
      </c>
    </row>
    <row r="17255" spans="1:31">
      <c r="A17255" t="s">
        <v>4</v>
      </c>
      <c r="B17255" s="4" t="s">
        <v>5</v>
      </c>
      <c r="C17255" s="4" t="s">
        <v>7</v>
      </c>
      <c r="D17255" s="4" t="s">
        <v>11</v>
      </c>
    </row>
    <row r="17256" spans="1:31">
      <c r="A17256" t="n">
        <v>165649</v>
      </c>
      <c r="B17256" s="22" t="n">
        <v>22</v>
      </c>
      <c r="C17256" s="7" t="n">
        <v>0</v>
      </c>
      <c r="D17256" s="7" t="n">
        <v>33153</v>
      </c>
    </row>
    <row r="17257" spans="1:31">
      <c r="A17257" t="s">
        <v>4</v>
      </c>
      <c r="B17257" s="4" t="s">
        <v>5</v>
      </c>
      <c r="C17257" s="4" t="s">
        <v>7</v>
      </c>
      <c r="D17257" s="4" t="s">
        <v>11</v>
      </c>
    </row>
    <row r="17258" spans="1:31">
      <c r="A17258" t="n">
        <v>165653</v>
      </c>
      <c r="B17258" s="23" t="n">
        <v>58</v>
      </c>
      <c r="C17258" s="7" t="n">
        <v>5</v>
      </c>
      <c r="D17258" s="7" t="n">
        <v>300</v>
      </c>
    </row>
    <row r="17259" spans="1:31">
      <c r="A17259" t="s">
        <v>4</v>
      </c>
      <c r="B17259" s="4" t="s">
        <v>5</v>
      </c>
      <c r="C17259" s="4" t="s">
        <v>13</v>
      </c>
      <c r="D17259" s="4" t="s">
        <v>11</v>
      </c>
    </row>
    <row r="17260" spans="1:31">
      <c r="A17260" t="n">
        <v>165657</v>
      </c>
      <c r="B17260" s="46" t="n">
        <v>103</v>
      </c>
      <c r="C17260" s="7" t="n">
        <v>0</v>
      </c>
      <c r="D17260" s="7" t="n">
        <v>300</v>
      </c>
    </row>
    <row r="17261" spans="1:31">
      <c r="A17261" t="s">
        <v>4</v>
      </c>
      <c r="B17261" s="4" t="s">
        <v>5</v>
      </c>
      <c r="C17261" s="4" t="s">
        <v>7</v>
      </c>
    </row>
    <row r="17262" spans="1:31">
      <c r="A17262" t="n">
        <v>165664</v>
      </c>
      <c r="B17262" s="47" t="n">
        <v>64</v>
      </c>
      <c r="C17262" s="7" t="n">
        <v>7</v>
      </c>
    </row>
    <row r="17263" spans="1:31">
      <c r="A17263" t="s">
        <v>4</v>
      </c>
      <c r="B17263" s="4" t="s">
        <v>5</v>
      </c>
      <c r="C17263" s="4" t="s">
        <v>7</v>
      </c>
      <c r="D17263" s="4" t="s">
        <v>11</v>
      </c>
    </row>
    <row r="17264" spans="1:31">
      <c r="A17264" t="n">
        <v>165666</v>
      </c>
      <c r="B17264" s="48" t="n">
        <v>72</v>
      </c>
      <c r="C17264" s="7" t="n">
        <v>5</v>
      </c>
      <c r="D17264" s="7" t="n">
        <v>0</v>
      </c>
    </row>
    <row r="17265" spans="1:6">
      <c r="A17265" t="s">
        <v>4</v>
      </c>
      <c r="B17265" s="4" t="s">
        <v>5</v>
      </c>
      <c r="C17265" s="4" t="s">
        <v>7</v>
      </c>
      <c r="D17265" s="20" t="s">
        <v>35</v>
      </c>
      <c r="E17265" s="4" t="s">
        <v>5</v>
      </c>
      <c r="F17265" s="4" t="s">
        <v>7</v>
      </c>
      <c r="G17265" s="4" t="s">
        <v>11</v>
      </c>
      <c r="H17265" s="20" t="s">
        <v>36</v>
      </c>
      <c r="I17265" s="4" t="s">
        <v>7</v>
      </c>
      <c r="J17265" s="4" t="s">
        <v>15</v>
      </c>
      <c r="K17265" s="4" t="s">
        <v>7</v>
      </c>
      <c r="L17265" s="4" t="s">
        <v>7</v>
      </c>
      <c r="M17265" s="4" t="s">
        <v>12</v>
      </c>
    </row>
    <row r="17266" spans="1:6">
      <c r="A17266" t="n">
        <v>165670</v>
      </c>
      <c r="B17266" s="10" t="n">
        <v>5</v>
      </c>
      <c r="C17266" s="7" t="n">
        <v>28</v>
      </c>
      <c r="D17266" s="20" t="s">
        <v>3</v>
      </c>
      <c r="E17266" s="8" t="n">
        <v>162</v>
      </c>
      <c r="F17266" s="7" t="n">
        <v>4</v>
      </c>
      <c r="G17266" s="7" t="n">
        <v>33153</v>
      </c>
      <c r="H17266" s="20" t="s">
        <v>3</v>
      </c>
      <c r="I17266" s="7" t="n">
        <v>0</v>
      </c>
      <c r="J17266" s="7" t="n">
        <v>1</v>
      </c>
      <c r="K17266" s="7" t="n">
        <v>2</v>
      </c>
      <c r="L17266" s="7" t="n">
        <v>1</v>
      </c>
      <c r="M17266" s="11" t="n">
        <f t="normal" ca="1">A17272</f>
        <v>0</v>
      </c>
    </row>
    <row r="17267" spans="1:6">
      <c r="A17267" t="s">
        <v>4</v>
      </c>
      <c r="B17267" s="4" t="s">
        <v>5</v>
      </c>
      <c r="C17267" s="4" t="s">
        <v>7</v>
      </c>
      <c r="D17267" s="4" t="s">
        <v>8</v>
      </c>
    </row>
    <row r="17268" spans="1:6">
      <c r="A17268" t="n">
        <v>165687</v>
      </c>
      <c r="B17268" s="6" t="n">
        <v>2</v>
      </c>
      <c r="C17268" s="7" t="n">
        <v>10</v>
      </c>
      <c r="D17268" s="7" t="s">
        <v>107</v>
      </c>
    </row>
    <row r="17269" spans="1:6">
      <c r="A17269" t="s">
        <v>4</v>
      </c>
      <c r="B17269" s="4" t="s">
        <v>5</v>
      </c>
      <c r="C17269" s="4" t="s">
        <v>11</v>
      </c>
    </row>
    <row r="17270" spans="1:6">
      <c r="A17270" t="n">
        <v>165704</v>
      </c>
      <c r="B17270" s="29" t="n">
        <v>16</v>
      </c>
      <c r="C17270" s="7" t="n">
        <v>0</v>
      </c>
    </row>
    <row r="17271" spans="1:6">
      <c r="A17271" t="s">
        <v>4</v>
      </c>
      <c r="B17271" s="4" t="s">
        <v>5</v>
      </c>
      <c r="C17271" s="4" t="s">
        <v>11</v>
      </c>
      <c r="D17271" s="4" t="s">
        <v>7</v>
      </c>
      <c r="E17271" s="4" t="s">
        <v>7</v>
      </c>
      <c r="F17271" s="4" t="s">
        <v>8</v>
      </c>
    </row>
    <row r="17272" spans="1:6">
      <c r="A17272" t="n">
        <v>165707</v>
      </c>
      <c r="B17272" s="50" t="n">
        <v>20</v>
      </c>
      <c r="C17272" s="7" t="n">
        <v>0</v>
      </c>
      <c r="D17272" s="7" t="n">
        <v>3</v>
      </c>
      <c r="E17272" s="7" t="n">
        <v>10</v>
      </c>
      <c r="F17272" s="7" t="s">
        <v>108</v>
      </c>
    </row>
    <row r="17273" spans="1:6">
      <c r="A17273" t="s">
        <v>4</v>
      </c>
      <c r="B17273" s="4" t="s">
        <v>5</v>
      </c>
      <c r="C17273" s="4" t="s">
        <v>11</v>
      </c>
    </row>
    <row r="17274" spans="1:6">
      <c r="A17274" t="n">
        <v>165725</v>
      </c>
      <c r="B17274" s="29" t="n">
        <v>16</v>
      </c>
      <c r="C17274" s="7" t="n">
        <v>0</v>
      </c>
    </row>
    <row r="17275" spans="1:6">
      <c r="A17275" t="s">
        <v>4</v>
      </c>
      <c r="B17275" s="4" t="s">
        <v>5</v>
      </c>
      <c r="C17275" s="4" t="s">
        <v>11</v>
      </c>
      <c r="D17275" s="4" t="s">
        <v>7</v>
      </c>
      <c r="E17275" s="4" t="s">
        <v>7</v>
      </c>
      <c r="F17275" s="4" t="s">
        <v>8</v>
      </c>
    </row>
    <row r="17276" spans="1:6">
      <c r="A17276" t="n">
        <v>165728</v>
      </c>
      <c r="B17276" s="50" t="n">
        <v>20</v>
      </c>
      <c r="C17276" s="7" t="n">
        <v>4</v>
      </c>
      <c r="D17276" s="7" t="n">
        <v>3</v>
      </c>
      <c r="E17276" s="7" t="n">
        <v>10</v>
      </c>
      <c r="F17276" s="7" t="s">
        <v>108</v>
      </c>
    </row>
    <row r="17277" spans="1:6">
      <c r="A17277" t="s">
        <v>4</v>
      </c>
      <c r="B17277" s="4" t="s">
        <v>5</v>
      </c>
      <c r="C17277" s="4" t="s">
        <v>11</v>
      </c>
    </row>
    <row r="17278" spans="1:6">
      <c r="A17278" t="n">
        <v>165746</v>
      </c>
      <c r="B17278" s="29" t="n">
        <v>16</v>
      </c>
      <c r="C17278" s="7" t="n">
        <v>0</v>
      </c>
    </row>
    <row r="17279" spans="1:6">
      <c r="A17279" t="s">
        <v>4</v>
      </c>
      <c r="B17279" s="4" t="s">
        <v>5</v>
      </c>
      <c r="C17279" s="4" t="s">
        <v>7</v>
      </c>
    </row>
    <row r="17280" spans="1:6">
      <c r="A17280" t="n">
        <v>165749</v>
      </c>
      <c r="B17280" s="49" t="n">
        <v>116</v>
      </c>
      <c r="C17280" s="7" t="n">
        <v>0</v>
      </c>
    </row>
    <row r="17281" spans="1:13">
      <c r="A17281" t="s">
        <v>4</v>
      </c>
      <c r="B17281" s="4" t="s">
        <v>5</v>
      </c>
      <c r="C17281" s="4" t="s">
        <v>7</v>
      </c>
      <c r="D17281" s="4" t="s">
        <v>11</v>
      </c>
    </row>
    <row r="17282" spans="1:13">
      <c r="A17282" t="n">
        <v>165751</v>
      </c>
      <c r="B17282" s="49" t="n">
        <v>116</v>
      </c>
      <c r="C17282" s="7" t="n">
        <v>2</v>
      </c>
      <c r="D17282" s="7" t="n">
        <v>1</v>
      </c>
    </row>
    <row r="17283" spans="1:13">
      <c r="A17283" t="s">
        <v>4</v>
      </c>
      <c r="B17283" s="4" t="s">
        <v>5</v>
      </c>
      <c r="C17283" s="4" t="s">
        <v>7</v>
      </c>
      <c r="D17283" s="4" t="s">
        <v>15</v>
      </c>
    </row>
    <row r="17284" spans="1:13">
      <c r="A17284" t="n">
        <v>165755</v>
      </c>
      <c r="B17284" s="49" t="n">
        <v>116</v>
      </c>
      <c r="C17284" s="7" t="n">
        <v>5</v>
      </c>
      <c r="D17284" s="7" t="n">
        <v>1088421888</v>
      </c>
    </row>
    <row r="17285" spans="1:13">
      <c r="A17285" t="s">
        <v>4</v>
      </c>
      <c r="B17285" s="4" t="s">
        <v>5</v>
      </c>
      <c r="C17285" s="4" t="s">
        <v>7</v>
      </c>
      <c r="D17285" s="4" t="s">
        <v>11</v>
      </c>
    </row>
    <row r="17286" spans="1:13">
      <c r="A17286" t="n">
        <v>165761</v>
      </c>
      <c r="B17286" s="49" t="n">
        <v>116</v>
      </c>
      <c r="C17286" s="7" t="n">
        <v>6</v>
      </c>
      <c r="D17286" s="7" t="n">
        <v>1</v>
      </c>
    </row>
    <row r="17287" spans="1:13">
      <c r="A17287" t="s">
        <v>4</v>
      </c>
      <c r="B17287" s="4" t="s">
        <v>5</v>
      </c>
      <c r="C17287" s="4" t="s">
        <v>11</v>
      </c>
      <c r="D17287" s="4" t="s">
        <v>13</v>
      </c>
      <c r="E17287" s="4" t="s">
        <v>13</v>
      </c>
      <c r="F17287" s="4" t="s">
        <v>13</v>
      </c>
      <c r="G17287" s="4" t="s">
        <v>13</v>
      </c>
    </row>
    <row r="17288" spans="1:13">
      <c r="A17288" t="n">
        <v>165765</v>
      </c>
      <c r="B17288" s="36" t="n">
        <v>46</v>
      </c>
      <c r="C17288" s="7" t="n">
        <v>0</v>
      </c>
      <c r="D17288" s="7" t="n">
        <v>-19.0100002288818</v>
      </c>
      <c r="E17288" s="7" t="n">
        <v>5.01000022888184</v>
      </c>
      <c r="F17288" s="7" t="n">
        <v>50.3600006103516</v>
      </c>
      <c r="G17288" s="7" t="n">
        <v>289.899993896484</v>
      </c>
    </row>
    <row r="17289" spans="1:13">
      <c r="A17289" t="s">
        <v>4</v>
      </c>
      <c r="B17289" s="4" t="s">
        <v>5</v>
      </c>
      <c r="C17289" s="4" t="s">
        <v>11</v>
      </c>
    </row>
    <row r="17290" spans="1:13">
      <c r="A17290" t="n">
        <v>165784</v>
      </c>
      <c r="B17290" s="29" t="n">
        <v>16</v>
      </c>
      <c r="C17290" s="7" t="n">
        <v>0</v>
      </c>
    </row>
    <row r="17291" spans="1:13">
      <c r="A17291" t="s">
        <v>4</v>
      </c>
      <c r="B17291" s="4" t="s">
        <v>5</v>
      </c>
      <c r="C17291" s="4" t="s">
        <v>11</v>
      </c>
      <c r="D17291" s="4" t="s">
        <v>11</v>
      </c>
      <c r="E17291" s="4" t="s">
        <v>11</v>
      </c>
    </row>
    <row r="17292" spans="1:13">
      <c r="A17292" t="n">
        <v>165787</v>
      </c>
      <c r="B17292" s="72" t="n">
        <v>61</v>
      </c>
      <c r="C17292" s="7" t="n">
        <v>0</v>
      </c>
      <c r="D17292" s="7" t="n">
        <v>4</v>
      </c>
      <c r="E17292" s="7" t="n">
        <v>0</v>
      </c>
    </row>
    <row r="17293" spans="1:13">
      <c r="A17293" t="s">
        <v>4</v>
      </c>
      <c r="B17293" s="4" t="s">
        <v>5</v>
      </c>
      <c r="C17293" s="4" t="s">
        <v>11</v>
      </c>
      <c r="D17293" s="4" t="s">
        <v>11</v>
      </c>
      <c r="E17293" s="4" t="s">
        <v>11</v>
      </c>
      <c r="F17293" s="4" t="s">
        <v>15</v>
      </c>
      <c r="G17293" s="4" t="s">
        <v>15</v>
      </c>
      <c r="H17293" s="4" t="s">
        <v>15</v>
      </c>
    </row>
    <row r="17294" spans="1:13">
      <c r="A17294" t="n">
        <v>165794</v>
      </c>
      <c r="B17294" s="72" t="n">
        <v>61</v>
      </c>
      <c r="C17294" s="7" t="n">
        <v>4</v>
      </c>
      <c r="D17294" s="7" t="n">
        <v>65535</v>
      </c>
      <c r="E17294" s="7" t="n">
        <v>0</v>
      </c>
      <c r="F17294" s="7" t="n">
        <v>-1046478848</v>
      </c>
      <c r="G17294" s="7" t="n">
        <v>1086282793</v>
      </c>
      <c r="H17294" s="7" t="n">
        <v>1112311071</v>
      </c>
    </row>
    <row r="17295" spans="1:13">
      <c r="A17295" t="s">
        <v>4</v>
      </c>
      <c r="B17295" s="4" t="s">
        <v>5</v>
      </c>
      <c r="C17295" s="4" t="s">
        <v>7</v>
      </c>
      <c r="D17295" s="4" t="s">
        <v>11</v>
      </c>
      <c r="E17295" s="4" t="s">
        <v>8</v>
      </c>
      <c r="F17295" s="4" t="s">
        <v>8</v>
      </c>
      <c r="G17295" s="4" t="s">
        <v>8</v>
      </c>
      <c r="H17295" s="4" t="s">
        <v>8</v>
      </c>
    </row>
    <row r="17296" spans="1:13">
      <c r="A17296" t="n">
        <v>165813</v>
      </c>
      <c r="B17296" s="38" t="n">
        <v>51</v>
      </c>
      <c r="C17296" s="7" t="n">
        <v>3</v>
      </c>
      <c r="D17296" s="7" t="n">
        <v>4</v>
      </c>
      <c r="E17296" s="7" t="s">
        <v>68</v>
      </c>
      <c r="F17296" s="7" t="s">
        <v>218</v>
      </c>
      <c r="G17296" s="7" t="s">
        <v>78</v>
      </c>
      <c r="H17296" s="7" t="s">
        <v>79</v>
      </c>
    </row>
    <row r="17297" spans="1:8">
      <c r="A17297" t="s">
        <v>4</v>
      </c>
      <c r="B17297" s="4" t="s">
        <v>5</v>
      </c>
      <c r="C17297" s="4" t="s">
        <v>11</v>
      </c>
      <c r="D17297" s="4" t="s">
        <v>7</v>
      </c>
      <c r="E17297" s="4" t="s">
        <v>8</v>
      </c>
      <c r="F17297" s="4" t="s">
        <v>13</v>
      </c>
      <c r="G17297" s="4" t="s">
        <v>13</v>
      </c>
      <c r="H17297" s="4" t="s">
        <v>13</v>
      </c>
    </row>
    <row r="17298" spans="1:8">
      <c r="A17298" t="n">
        <v>165826</v>
      </c>
      <c r="B17298" s="42" t="n">
        <v>48</v>
      </c>
      <c r="C17298" s="7" t="n">
        <v>0</v>
      </c>
      <c r="D17298" s="7" t="n">
        <v>0</v>
      </c>
      <c r="E17298" s="7" t="s">
        <v>275</v>
      </c>
      <c r="F17298" s="7" t="n">
        <v>0</v>
      </c>
      <c r="G17298" s="7" t="n">
        <v>1</v>
      </c>
      <c r="H17298" s="7" t="n">
        <v>0</v>
      </c>
    </row>
    <row r="17299" spans="1:8">
      <c r="A17299" t="s">
        <v>4</v>
      </c>
      <c r="B17299" s="4" t="s">
        <v>5</v>
      </c>
      <c r="C17299" s="4" t="s">
        <v>7</v>
      </c>
      <c r="D17299" s="4" t="s">
        <v>7</v>
      </c>
      <c r="E17299" s="4" t="s">
        <v>13</v>
      </c>
      <c r="F17299" s="4" t="s">
        <v>13</v>
      </c>
      <c r="G17299" s="4" t="s">
        <v>13</v>
      </c>
      <c r="H17299" s="4" t="s">
        <v>11</v>
      </c>
    </row>
    <row r="17300" spans="1:8">
      <c r="A17300" t="n">
        <v>165851</v>
      </c>
      <c r="B17300" s="51" t="n">
        <v>45</v>
      </c>
      <c r="C17300" s="7" t="n">
        <v>2</v>
      </c>
      <c r="D17300" s="7" t="n">
        <v>3</v>
      </c>
      <c r="E17300" s="7" t="n">
        <v>-19.4500007629395</v>
      </c>
      <c r="F17300" s="7" t="n">
        <v>6.28000020980835</v>
      </c>
      <c r="G17300" s="7" t="n">
        <v>50.5900001525879</v>
      </c>
      <c r="H17300" s="7" t="n">
        <v>0</v>
      </c>
    </row>
    <row r="17301" spans="1:8">
      <c r="A17301" t="s">
        <v>4</v>
      </c>
      <c r="B17301" s="4" t="s">
        <v>5</v>
      </c>
      <c r="C17301" s="4" t="s">
        <v>7</v>
      </c>
      <c r="D17301" s="4" t="s">
        <v>7</v>
      </c>
      <c r="E17301" s="4" t="s">
        <v>13</v>
      </c>
      <c r="F17301" s="4" t="s">
        <v>13</v>
      </c>
      <c r="G17301" s="4" t="s">
        <v>13</v>
      </c>
      <c r="H17301" s="4" t="s">
        <v>11</v>
      </c>
      <c r="I17301" s="4" t="s">
        <v>7</v>
      </c>
    </row>
    <row r="17302" spans="1:8">
      <c r="A17302" t="n">
        <v>165868</v>
      </c>
      <c r="B17302" s="51" t="n">
        <v>45</v>
      </c>
      <c r="C17302" s="7" t="n">
        <v>4</v>
      </c>
      <c r="D17302" s="7" t="n">
        <v>3</v>
      </c>
      <c r="E17302" s="7" t="n">
        <v>25.8899993896484</v>
      </c>
      <c r="F17302" s="7" t="n">
        <v>145.389999389648</v>
      </c>
      <c r="G17302" s="7" t="n">
        <v>0</v>
      </c>
      <c r="H17302" s="7" t="n">
        <v>0</v>
      </c>
      <c r="I17302" s="7" t="n">
        <v>0</v>
      </c>
    </row>
    <row r="17303" spans="1:8">
      <c r="A17303" t="s">
        <v>4</v>
      </c>
      <c r="B17303" s="4" t="s">
        <v>5</v>
      </c>
      <c r="C17303" s="4" t="s">
        <v>7</v>
      </c>
      <c r="D17303" s="4" t="s">
        <v>7</v>
      </c>
      <c r="E17303" s="4" t="s">
        <v>13</v>
      </c>
      <c r="F17303" s="4" t="s">
        <v>11</v>
      </c>
    </row>
    <row r="17304" spans="1:8">
      <c r="A17304" t="n">
        <v>165886</v>
      </c>
      <c r="B17304" s="51" t="n">
        <v>45</v>
      </c>
      <c r="C17304" s="7" t="n">
        <v>5</v>
      </c>
      <c r="D17304" s="7" t="n">
        <v>3</v>
      </c>
      <c r="E17304" s="7" t="n">
        <v>1.70000004768372</v>
      </c>
      <c r="F17304" s="7" t="n">
        <v>0</v>
      </c>
    </row>
    <row r="17305" spans="1:8">
      <c r="A17305" t="s">
        <v>4</v>
      </c>
      <c r="B17305" s="4" t="s">
        <v>5</v>
      </c>
      <c r="C17305" s="4" t="s">
        <v>7</v>
      </c>
      <c r="D17305" s="4" t="s">
        <v>7</v>
      </c>
      <c r="E17305" s="4" t="s">
        <v>13</v>
      </c>
      <c r="F17305" s="4" t="s">
        <v>11</v>
      </c>
    </row>
    <row r="17306" spans="1:8">
      <c r="A17306" t="n">
        <v>165895</v>
      </c>
      <c r="B17306" s="51" t="n">
        <v>45</v>
      </c>
      <c r="C17306" s="7" t="n">
        <v>11</v>
      </c>
      <c r="D17306" s="7" t="n">
        <v>3</v>
      </c>
      <c r="E17306" s="7" t="n">
        <v>34</v>
      </c>
      <c r="F17306" s="7" t="n">
        <v>0</v>
      </c>
    </row>
    <row r="17307" spans="1:8">
      <c r="A17307" t="s">
        <v>4</v>
      </c>
      <c r="B17307" s="4" t="s">
        <v>5</v>
      </c>
      <c r="C17307" s="4" t="s">
        <v>7</v>
      </c>
      <c r="D17307" s="4" t="s">
        <v>7</v>
      </c>
      <c r="E17307" s="4" t="s">
        <v>13</v>
      </c>
      <c r="F17307" s="4" t="s">
        <v>11</v>
      </c>
    </row>
    <row r="17308" spans="1:8">
      <c r="A17308" t="n">
        <v>165904</v>
      </c>
      <c r="B17308" s="51" t="n">
        <v>45</v>
      </c>
      <c r="C17308" s="7" t="n">
        <v>5</v>
      </c>
      <c r="D17308" s="7" t="n">
        <v>3</v>
      </c>
      <c r="E17308" s="7" t="n">
        <v>1.5</v>
      </c>
      <c r="F17308" s="7" t="n">
        <v>3000</v>
      </c>
    </row>
    <row r="17309" spans="1:8">
      <c r="A17309" t="s">
        <v>4</v>
      </c>
      <c r="B17309" s="4" t="s">
        <v>5</v>
      </c>
      <c r="C17309" s="4" t="s">
        <v>7</v>
      </c>
      <c r="D17309" s="4" t="s">
        <v>11</v>
      </c>
      <c r="E17309" s="4" t="s">
        <v>13</v>
      </c>
    </row>
    <row r="17310" spans="1:8">
      <c r="A17310" t="n">
        <v>165913</v>
      </c>
      <c r="B17310" s="23" t="n">
        <v>58</v>
      </c>
      <c r="C17310" s="7" t="n">
        <v>100</v>
      </c>
      <c r="D17310" s="7" t="n">
        <v>1000</v>
      </c>
      <c r="E17310" s="7" t="n">
        <v>1</v>
      </c>
    </row>
    <row r="17311" spans="1:8">
      <c r="A17311" t="s">
        <v>4</v>
      </c>
      <c r="B17311" s="4" t="s">
        <v>5</v>
      </c>
      <c r="C17311" s="4" t="s">
        <v>7</v>
      </c>
      <c r="D17311" s="4" t="s">
        <v>11</v>
      </c>
    </row>
    <row r="17312" spans="1:8">
      <c r="A17312" t="n">
        <v>165921</v>
      </c>
      <c r="B17312" s="23" t="n">
        <v>58</v>
      </c>
      <c r="C17312" s="7" t="n">
        <v>255</v>
      </c>
      <c r="D17312" s="7" t="n">
        <v>0</v>
      </c>
    </row>
    <row r="17313" spans="1:9">
      <c r="A17313" t="s">
        <v>4</v>
      </c>
      <c r="B17313" s="4" t="s">
        <v>5</v>
      </c>
      <c r="C17313" s="4" t="s">
        <v>7</v>
      </c>
      <c r="D17313" s="4" t="s">
        <v>11</v>
      </c>
      <c r="E17313" s="4" t="s">
        <v>8</v>
      </c>
    </row>
    <row r="17314" spans="1:9">
      <c r="A17314" t="n">
        <v>165925</v>
      </c>
      <c r="B17314" s="38" t="n">
        <v>51</v>
      </c>
      <c r="C17314" s="7" t="n">
        <v>4</v>
      </c>
      <c r="D17314" s="7" t="n">
        <v>0</v>
      </c>
      <c r="E17314" s="7" t="s">
        <v>304</v>
      </c>
    </row>
    <row r="17315" spans="1:9">
      <c r="A17315" t="s">
        <v>4</v>
      </c>
      <c r="B17315" s="4" t="s">
        <v>5</v>
      </c>
      <c r="C17315" s="4" t="s">
        <v>11</v>
      </c>
    </row>
    <row r="17316" spans="1:9">
      <c r="A17316" t="n">
        <v>165938</v>
      </c>
      <c r="B17316" s="29" t="n">
        <v>16</v>
      </c>
      <c r="C17316" s="7" t="n">
        <v>0</v>
      </c>
    </row>
    <row r="17317" spans="1:9">
      <c r="A17317" t="s">
        <v>4</v>
      </c>
      <c r="B17317" s="4" t="s">
        <v>5</v>
      </c>
      <c r="C17317" s="4" t="s">
        <v>11</v>
      </c>
      <c r="D17317" s="4" t="s">
        <v>7</v>
      </c>
      <c r="E17317" s="4" t="s">
        <v>15</v>
      </c>
      <c r="F17317" s="4" t="s">
        <v>55</v>
      </c>
      <c r="G17317" s="4" t="s">
        <v>7</v>
      </c>
      <c r="H17317" s="4" t="s">
        <v>7</v>
      </c>
    </row>
    <row r="17318" spans="1:9">
      <c r="A17318" t="n">
        <v>165941</v>
      </c>
      <c r="B17318" s="55" t="n">
        <v>26</v>
      </c>
      <c r="C17318" s="7" t="n">
        <v>0</v>
      </c>
      <c r="D17318" s="7" t="n">
        <v>17</v>
      </c>
      <c r="E17318" s="7" t="n">
        <v>64433</v>
      </c>
      <c r="F17318" s="7" t="s">
        <v>1391</v>
      </c>
      <c r="G17318" s="7" t="n">
        <v>2</v>
      </c>
      <c r="H17318" s="7" t="n">
        <v>0</v>
      </c>
    </row>
    <row r="17319" spans="1:9">
      <c r="A17319" t="s">
        <v>4</v>
      </c>
      <c r="B17319" s="4" t="s">
        <v>5</v>
      </c>
    </row>
    <row r="17320" spans="1:9">
      <c r="A17320" t="n">
        <v>165992</v>
      </c>
      <c r="B17320" s="27" t="n">
        <v>28</v>
      </c>
    </row>
    <row r="17321" spans="1:9">
      <c r="A17321" t="s">
        <v>4</v>
      </c>
      <c r="B17321" s="4" t="s">
        <v>5</v>
      </c>
      <c r="C17321" s="4" t="s">
        <v>7</v>
      </c>
      <c r="D17321" s="4" t="s">
        <v>11</v>
      </c>
      <c r="E17321" s="4" t="s">
        <v>11</v>
      </c>
      <c r="F17321" s="4" t="s">
        <v>7</v>
      </c>
    </row>
    <row r="17322" spans="1:9">
      <c r="A17322" t="n">
        <v>165993</v>
      </c>
      <c r="B17322" s="31" t="n">
        <v>25</v>
      </c>
      <c r="C17322" s="7" t="n">
        <v>1</v>
      </c>
      <c r="D17322" s="7" t="n">
        <v>65535</v>
      </c>
      <c r="E17322" s="7" t="n">
        <v>65535</v>
      </c>
      <c r="F17322" s="7" t="n">
        <v>0</v>
      </c>
    </row>
    <row r="17323" spans="1:9">
      <c r="A17323" t="s">
        <v>4</v>
      </c>
      <c r="B17323" s="4" t="s">
        <v>5</v>
      </c>
      <c r="C17323" s="4" t="s">
        <v>11</v>
      </c>
    </row>
    <row r="17324" spans="1:9">
      <c r="A17324" t="n">
        <v>166000</v>
      </c>
      <c r="B17324" s="29" t="n">
        <v>16</v>
      </c>
      <c r="C17324" s="7" t="n">
        <v>100</v>
      </c>
    </row>
    <row r="17325" spans="1:9">
      <c r="A17325" t="s">
        <v>4</v>
      </c>
      <c r="B17325" s="4" t="s">
        <v>5</v>
      </c>
      <c r="C17325" s="4" t="s">
        <v>7</v>
      </c>
      <c r="D17325" s="4" t="s">
        <v>11</v>
      </c>
      <c r="E17325" s="4" t="s">
        <v>8</v>
      </c>
      <c r="F17325" s="4" t="s">
        <v>8</v>
      </c>
      <c r="G17325" s="4" t="s">
        <v>8</v>
      </c>
      <c r="H17325" s="4" t="s">
        <v>8</v>
      </c>
    </row>
    <row r="17326" spans="1:9">
      <c r="A17326" t="n">
        <v>166003</v>
      </c>
      <c r="B17326" s="38" t="n">
        <v>51</v>
      </c>
      <c r="C17326" s="7" t="n">
        <v>3</v>
      </c>
      <c r="D17326" s="7" t="n">
        <v>4</v>
      </c>
      <c r="E17326" s="7" t="s">
        <v>154</v>
      </c>
      <c r="F17326" s="7" t="s">
        <v>218</v>
      </c>
      <c r="G17326" s="7" t="s">
        <v>78</v>
      </c>
      <c r="H17326" s="7" t="s">
        <v>79</v>
      </c>
    </row>
    <row r="17327" spans="1:9">
      <c r="A17327" t="s">
        <v>4</v>
      </c>
      <c r="B17327" s="4" t="s">
        <v>5</v>
      </c>
      <c r="C17327" s="4" t="s">
        <v>11</v>
      </c>
      <c r="D17327" s="4" t="s">
        <v>7</v>
      </c>
      <c r="E17327" s="4" t="s">
        <v>13</v>
      </c>
      <c r="F17327" s="4" t="s">
        <v>11</v>
      </c>
    </row>
    <row r="17328" spans="1:9">
      <c r="A17328" t="n">
        <v>166016</v>
      </c>
      <c r="B17328" s="56" t="n">
        <v>59</v>
      </c>
      <c r="C17328" s="7" t="n">
        <v>4</v>
      </c>
      <c r="D17328" s="7" t="n">
        <v>13</v>
      </c>
      <c r="E17328" s="7" t="n">
        <v>0.150000005960464</v>
      </c>
      <c r="F17328" s="7" t="n">
        <v>0</v>
      </c>
    </row>
    <row r="17329" spans="1:8">
      <c r="A17329" t="s">
        <v>4</v>
      </c>
      <c r="B17329" s="4" t="s">
        <v>5</v>
      </c>
      <c r="C17329" s="4" t="s">
        <v>11</v>
      </c>
    </row>
    <row r="17330" spans="1:8">
      <c r="A17330" t="n">
        <v>166026</v>
      </c>
      <c r="B17330" s="29" t="n">
        <v>16</v>
      </c>
      <c r="C17330" s="7" t="n">
        <v>1000</v>
      </c>
    </row>
    <row r="17331" spans="1:8">
      <c r="A17331" t="s">
        <v>4</v>
      </c>
      <c r="B17331" s="4" t="s">
        <v>5</v>
      </c>
      <c r="C17331" s="4" t="s">
        <v>11</v>
      </c>
      <c r="D17331" s="4" t="s">
        <v>11</v>
      </c>
      <c r="E17331" s="4" t="s">
        <v>11</v>
      </c>
      <c r="F17331" s="4" t="s">
        <v>15</v>
      </c>
      <c r="G17331" s="4" t="s">
        <v>15</v>
      </c>
      <c r="H17331" s="4" t="s">
        <v>15</v>
      </c>
    </row>
    <row r="17332" spans="1:8">
      <c r="A17332" t="n">
        <v>166029</v>
      </c>
      <c r="B17332" s="72" t="n">
        <v>61</v>
      </c>
      <c r="C17332" s="7" t="n">
        <v>4</v>
      </c>
      <c r="D17332" s="7" t="n">
        <v>65535</v>
      </c>
      <c r="E17332" s="7" t="n">
        <v>1000</v>
      </c>
      <c r="F17332" s="7" t="n">
        <v>-1047013622</v>
      </c>
      <c r="G17332" s="7" t="n">
        <v>1087310397</v>
      </c>
      <c r="H17332" s="7" t="n">
        <v>1112106598</v>
      </c>
    </row>
    <row r="17333" spans="1:8">
      <c r="A17333" t="s">
        <v>4</v>
      </c>
      <c r="B17333" s="4" t="s">
        <v>5</v>
      </c>
      <c r="C17333" s="4" t="s">
        <v>11</v>
      </c>
      <c r="D17333" s="4" t="s">
        <v>13</v>
      </c>
      <c r="E17333" s="4" t="s">
        <v>13</v>
      </c>
      <c r="F17333" s="4" t="s">
        <v>7</v>
      </c>
    </row>
    <row r="17334" spans="1:8">
      <c r="A17334" t="n">
        <v>166048</v>
      </c>
      <c r="B17334" s="65" t="n">
        <v>52</v>
      </c>
      <c r="C17334" s="7" t="n">
        <v>4</v>
      </c>
      <c r="D17334" s="7" t="n">
        <v>45.7999992370605</v>
      </c>
      <c r="E17334" s="7" t="n">
        <v>5</v>
      </c>
      <c r="F17334" s="7" t="n">
        <v>1</v>
      </c>
    </row>
    <row r="17335" spans="1:8">
      <c r="A17335" t="s">
        <v>4</v>
      </c>
      <c r="B17335" s="4" t="s">
        <v>5</v>
      </c>
      <c r="C17335" s="4" t="s">
        <v>11</v>
      </c>
    </row>
    <row r="17336" spans="1:8">
      <c r="A17336" t="n">
        <v>166060</v>
      </c>
      <c r="B17336" s="29" t="n">
        <v>16</v>
      </c>
      <c r="C17336" s="7" t="n">
        <v>100</v>
      </c>
    </row>
    <row r="17337" spans="1:8">
      <c r="A17337" t="s">
        <v>4</v>
      </c>
      <c r="B17337" s="4" t="s">
        <v>5</v>
      </c>
      <c r="C17337" s="4" t="s">
        <v>7</v>
      </c>
      <c r="D17337" s="4" t="s">
        <v>11</v>
      </c>
      <c r="E17337" s="4" t="s">
        <v>13</v>
      </c>
    </row>
    <row r="17338" spans="1:8">
      <c r="A17338" t="n">
        <v>166063</v>
      </c>
      <c r="B17338" s="23" t="n">
        <v>58</v>
      </c>
      <c r="C17338" s="7" t="n">
        <v>101</v>
      </c>
      <c r="D17338" s="7" t="n">
        <v>300</v>
      </c>
      <c r="E17338" s="7" t="n">
        <v>1</v>
      </c>
    </row>
    <row r="17339" spans="1:8">
      <c r="A17339" t="s">
        <v>4</v>
      </c>
      <c r="B17339" s="4" t="s">
        <v>5</v>
      </c>
      <c r="C17339" s="4" t="s">
        <v>7</v>
      </c>
      <c r="D17339" s="4" t="s">
        <v>11</v>
      </c>
    </row>
    <row r="17340" spans="1:8">
      <c r="A17340" t="n">
        <v>166071</v>
      </c>
      <c r="B17340" s="23" t="n">
        <v>58</v>
      </c>
      <c r="C17340" s="7" t="n">
        <v>254</v>
      </c>
      <c r="D17340" s="7" t="n">
        <v>0</v>
      </c>
    </row>
    <row r="17341" spans="1:8">
      <c r="A17341" t="s">
        <v>4</v>
      </c>
      <c r="B17341" s="4" t="s">
        <v>5</v>
      </c>
      <c r="C17341" s="4" t="s">
        <v>11</v>
      </c>
      <c r="D17341" s="4" t="s">
        <v>7</v>
      </c>
      <c r="E17341" s="4" t="s">
        <v>8</v>
      </c>
      <c r="F17341" s="4" t="s">
        <v>13</v>
      </c>
      <c r="G17341" s="4" t="s">
        <v>13</v>
      </c>
      <c r="H17341" s="4" t="s">
        <v>13</v>
      </c>
    </row>
    <row r="17342" spans="1:8">
      <c r="A17342" t="n">
        <v>166075</v>
      </c>
      <c r="B17342" s="42" t="n">
        <v>48</v>
      </c>
      <c r="C17342" s="7" t="n">
        <v>4</v>
      </c>
      <c r="D17342" s="7" t="n">
        <v>0</v>
      </c>
      <c r="E17342" s="7" t="s">
        <v>1392</v>
      </c>
      <c r="F17342" s="7" t="n">
        <v>-1</v>
      </c>
      <c r="G17342" s="7" t="n">
        <v>1</v>
      </c>
      <c r="H17342" s="7" t="n">
        <v>0</v>
      </c>
    </row>
    <row r="17343" spans="1:8">
      <c r="A17343" t="s">
        <v>4</v>
      </c>
      <c r="B17343" s="4" t="s">
        <v>5</v>
      </c>
      <c r="C17343" s="4" t="s">
        <v>11</v>
      </c>
    </row>
    <row r="17344" spans="1:8">
      <c r="A17344" t="n">
        <v>166102</v>
      </c>
      <c r="B17344" s="66" t="n">
        <v>54</v>
      </c>
      <c r="C17344" s="7" t="n">
        <v>4</v>
      </c>
    </row>
    <row r="17345" spans="1:8">
      <c r="A17345" t="s">
        <v>4</v>
      </c>
      <c r="B17345" s="4" t="s">
        <v>5</v>
      </c>
      <c r="C17345" s="4" t="s">
        <v>7</v>
      </c>
      <c r="D17345" s="4" t="s">
        <v>11</v>
      </c>
    </row>
    <row r="17346" spans="1:8">
      <c r="A17346" t="n">
        <v>166105</v>
      </c>
      <c r="B17346" s="23" t="n">
        <v>58</v>
      </c>
      <c r="C17346" s="7" t="n">
        <v>255</v>
      </c>
      <c r="D17346" s="7" t="n">
        <v>0</v>
      </c>
    </row>
    <row r="17347" spans="1:8">
      <c r="A17347" t="s">
        <v>4</v>
      </c>
      <c r="B17347" s="4" t="s">
        <v>5</v>
      </c>
      <c r="C17347" s="4" t="s">
        <v>7</v>
      </c>
      <c r="D17347" s="4" t="s">
        <v>11</v>
      </c>
      <c r="E17347" s="4" t="s">
        <v>8</v>
      </c>
    </row>
    <row r="17348" spans="1:8">
      <c r="A17348" t="n">
        <v>166109</v>
      </c>
      <c r="B17348" s="38" t="n">
        <v>51</v>
      </c>
      <c r="C17348" s="7" t="n">
        <v>4</v>
      </c>
      <c r="D17348" s="7" t="n">
        <v>4</v>
      </c>
      <c r="E17348" s="7" t="s">
        <v>304</v>
      </c>
    </row>
    <row r="17349" spans="1:8">
      <c r="A17349" t="s">
        <v>4</v>
      </c>
      <c r="B17349" s="4" t="s">
        <v>5</v>
      </c>
      <c r="C17349" s="4" t="s">
        <v>11</v>
      </c>
    </row>
    <row r="17350" spans="1:8">
      <c r="A17350" t="n">
        <v>166122</v>
      </c>
      <c r="B17350" s="29" t="n">
        <v>16</v>
      </c>
      <c r="C17350" s="7" t="n">
        <v>0</v>
      </c>
    </row>
    <row r="17351" spans="1:8">
      <c r="A17351" t="s">
        <v>4</v>
      </c>
      <c r="B17351" s="4" t="s">
        <v>5</v>
      </c>
      <c r="C17351" s="4" t="s">
        <v>11</v>
      </c>
      <c r="D17351" s="4" t="s">
        <v>7</v>
      </c>
      <c r="E17351" s="4" t="s">
        <v>15</v>
      </c>
      <c r="F17351" s="4" t="s">
        <v>55</v>
      </c>
      <c r="G17351" s="4" t="s">
        <v>7</v>
      </c>
      <c r="H17351" s="4" t="s">
        <v>7</v>
      </c>
    </row>
    <row r="17352" spans="1:8">
      <c r="A17352" t="n">
        <v>166125</v>
      </c>
      <c r="B17352" s="55" t="n">
        <v>26</v>
      </c>
      <c r="C17352" s="7" t="n">
        <v>4</v>
      </c>
      <c r="D17352" s="7" t="n">
        <v>17</v>
      </c>
      <c r="E17352" s="7" t="n">
        <v>64434</v>
      </c>
      <c r="F17352" s="7" t="s">
        <v>1393</v>
      </c>
      <c r="G17352" s="7" t="n">
        <v>2</v>
      </c>
      <c r="H17352" s="7" t="n">
        <v>0</v>
      </c>
    </row>
    <row r="17353" spans="1:8">
      <c r="A17353" t="s">
        <v>4</v>
      </c>
      <c r="B17353" s="4" t="s">
        <v>5</v>
      </c>
    </row>
    <row r="17354" spans="1:8">
      <c r="A17354" t="n">
        <v>166166</v>
      </c>
      <c r="B17354" s="27" t="n">
        <v>28</v>
      </c>
    </row>
    <row r="17355" spans="1:8">
      <c r="A17355" t="s">
        <v>4</v>
      </c>
      <c r="B17355" s="4" t="s">
        <v>5</v>
      </c>
      <c r="C17355" s="4" t="s">
        <v>11</v>
      </c>
    </row>
    <row r="17356" spans="1:8">
      <c r="A17356" t="n">
        <v>166167</v>
      </c>
      <c r="B17356" s="29" t="n">
        <v>16</v>
      </c>
      <c r="C17356" s="7" t="n">
        <v>300</v>
      </c>
    </row>
    <row r="17357" spans="1:8">
      <c r="A17357" t="s">
        <v>4</v>
      </c>
      <c r="B17357" s="4" t="s">
        <v>5</v>
      </c>
      <c r="C17357" s="4" t="s">
        <v>11</v>
      </c>
      <c r="D17357" s="4" t="s">
        <v>13</v>
      </c>
      <c r="E17357" s="4" t="s">
        <v>13</v>
      </c>
      <c r="F17357" s="4" t="s">
        <v>13</v>
      </c>
      <c r="G17357" s="4" t="s">
        <v>11</v>
      </c>
      <c r="H17357" s="4" t="s">
        <v>11</v>
      </c>
    </row>
    <row r="17358" spans="1:8">
      <c r="A17358" t="n">
        <v>166170</v>
      </c>
      <c r="B17358" s="37" t="n">
        <v>60</v>
      </c>
      <c r="C17358" s="7" t="n">
        <v>4</v>
      </c>
      <c r="D17358" s="7" t="n">
        <v>-15</v>
      </c>
      <c r="E17358" s="7" t="n">
        <v>0</v>
      </c>
      <c r="F17358" s="7" t="n">
        <v>0</v>
      </c>
      <c r="G17358" s="7" t="n">
        <v>1000</v>
      </c>
      <c r="H17358" s="7" t="n">
        <v>0</v>
      </c>
    </row>
    <row r="17359" spans="1:8">
      <c r="A17359" t="s">
        <v>4</v>
      </c>
      <c r="B17359" s="4" t="s">
        <v>5</v>
      </c>
      <c r="C17359" s="4" t="s">
        <v>7</v>
      </c>
      <c r="D17359" s="4" t="s">
        <v>11</v>
      </c>
      <c r="E17359" s="4" t="s">
        <v>8</v>
      </c>
    </row>
    <row r="17360" spans="1:8">
      <c r="A17360" t="n">
        <v>166189</v>
      </c>
      <c r="B17360" s="38" t="n">
        <v>51</v>
      </c>
      <c r="C17360" s="7" t="n">
        <v>4</v>
      </c>
      <c r="D17360" s="7" t="n">
        <v>4</v>
      </c>
      <c r="E17360" s="7" t="s">
        <v>129</v>
      </c>
    </row>
    <row r="17361" spans="1:8">
      <c r="A17361" t="s">
        <v>4</v>
      </c>
      <c r="B17361" s="4" t="s">
        <v>5</v>
      </c>
      <c r="C17361" s="4" t="s">
        <v>11</v>
      </c>
    </row>
    <row r="17362" spans="1:8">
      <c r="A17362" t="n">
        <v>166202</v>
      </c>
      <c r="B17362" s="29" t="n">
        <v>16</v>
      </c>
      <c r="C17362" s="7" t="n">
        <v>0</v>
      </c>
    </row>
    <row r="17363" spans="1:8">
      <c r="A17363" t="s">
        <v>4</v>
      </c>
      <c r="B17363" s="4" t="s">
        <v>5</v>
      </c>
      <c r="C17363" s="4" t="s">
        <v>11</v>
      </c>
      <c r="D17363" s="4" t="s">
        <v>7</v>
      </c>
      <c r="E17363" s="4" t="s">
        <v>15</v>
      </c>
      <c r="F17363" s="4" t="s">
        <v>55</v>
      </c>
      <c r="G17363" s="4" t="s">
        <v>7</v>
      </c>
      <c r="H17363" s="4" t="s">
        <v>7</v>
      </c>
      <c r="I17363" s="4" t="s">
        <v>7</v>
      </c>
      <c r="J17363" s="4" t="s">
        <v>15</v>
      </c>
      <c r="K17363" s="4" t="s">
        <v>55</v>
      </c>
      <c r="L17363" s="4" t="s">
        <v>7</v>
      </c>
      <c r="M17363" s="4" t="s">
        <v>7</v>
      </c>
    </row>
    <row r="17364" spans="1:8">
      <c r="A17364" t="n">
        <v>166205</v>
      </c>
      <c r="B17364" s="55" t="n">
        <v>26</v>
      </c>
      <c r="C17364" s="7" t="n">
        <v>4</v>
      </c>
      <c r="D17364" s="7" t="n">
        <v>17</v>
      </c>
      <c r="E17364" s="7" t="n">
        <v>64435</v>
      </c>
      <c r="F17364" s="7" t="s">
        <v>1394</v>
      </c>
      <c r="G17364" s="7" t="n">
        <v>2</v>
      </c>
      <c r="H17364" s="7" t="n">
        <v>3</v>
      </c>
      <c r="I17364" s="7" t="n">
        <v>17</v>
      </c>
      <c r="J17364" s="7" t="n">
        <v>64436</v>
      </c>
      <c r="K17364" s="7" t="s">
        <v>1395</v>
      </c>
      <c r="L17364" s="7" t="n">
        <v>2</v>
      </c>
      <c r="M17364" s="7" t="n">
        <v>0</v>
      </c>
    </row>
    <row r="17365" spans="1:8">
      <c r="A17365" t="s">
        <v>4</v>
      </c>
      <c r="B17365" s="4" t="s">
        <v>5</v>
      </c>
    </row>
    <row r="17366" spans="1:8">
      <c r="A17366" t="n">
        <v>166396</v>
      </c>
      <c r="B17366" s="27" t="n">
        <v>28</v>
      </c>
    </row>
    <row r="17367" spans="1:8">
      <c r="A17367" t="s">
        <v>4</v>
      </c>
      <c r="B17367" s="4" t="s">
        <v>5</v>
      </c>
      <c r="C17367" s="4" t="s">
        <v>7</v>
      </c>
      <c r="D17367" s="4" t="s">
        <v>11</v>
      </c>
      <c r="E17367" s="4" t="s">
        <v>8</v>
      </c>
    </row>
    <row r="17368" spans="1:8">
      <c r="A17368" t="n">
        <v>166397</v>
      </c>
      <c r="B17368" s="38" t="n">
        <v>51</v>
      </c>
      <c r="C17368" s="7" t="n">
        <v>4</v>
      </c>
      <c r="D17368" s="7" t="n">
        <v>0</v>
      </c>
      <c r="E17368" s="7" t="s">
        <v>179</v>
      </c>
    </row>
    <row r="17369" spans="1:8">
      <c r="A17369" t="s">
        <v>4</v>
      </c>
      <c r="B17369" s="4" t="s">
        <v>5</v>
      </c>
      <c r="C17369" s="4" t="s">
        <v>11</v>
      </c>
    </row>
    <row r="17370" spans="1:8">
      <c r="A17370" t="n">
        <v>166411</v>
      </c>
      <c r="B17370" s="29" t="n">
        <v>16</v>
      </c>
      <c r="C17370" s="7" t="n">
        <v>0</v>
      </c>
    </row>
    <row r="17371" spans="1:8">
      <c r="A17371" t="s">
        <v>4</v>
      </c>
      <c r="B17371" s="4" t="s">
        <v>5</v>
      </c>
      <c r="C17371" s="4" t="s">
        <v>11</v>
      </c>
      <c r="D17371" s="4" t="s">
        <v>7</v>
      </c>
      <c r="E17371" s="4" t="s">
        <v>15</v>
      </c>
      <c r="F17371" s="4" t="s">
        <v>55</v>
      </c>
      <c r="G17371" s="4" t="s">
        <v>7</v>
      </c>
      <c r="H17371" s="4" t="s">
        <v>7</v>
      </c>
      <c r="I17371" s="4" t="s">
        <v>7</v>
      </c>
      <c r="J17371" s="4" t="s">
        <v>15</v>
      </c>
      <c r="K17371" s="4" t="s">
        <v>55</v>
      </c>
      <c r="L17371" s="4" t="s">
        <v>7</v>
      </c>
      <c r="M17371" s="4" t="s">
        <v>7</v>
      </c>
    </row>
    <row r="17372" spans="1:8">
      <c r="A17372" t="n">
        <v>166414</v>
      </c>
      <c r="B17372" s="55" t="n">
        <v>26</v>
      </c>
      <c r="C17372" s="7" t="n">
        <v>0</v>
      </c>
      <c r="D17372" s="7" t="n">
        <v>17</v>
      </c>
      <c r="E17372" s="7" t="n">
        <v>64437</v>
      </c>
      <c r="F17372" s="7" t="s">
        <v>1396</v>
      </c>
      <c r="G17372" s="7" t="n">
        <v>2</v>
      </c>
      <c r="H17372" s="7" t="n">
        <v>3</v>
      </c>
      <c r="I17372" s="7" t="n">
        <v>17</v>
      </c>
      <c r="J17372" s="7" t="n">
        <v>64438</v>
      </c>
      <c r="K17372" s="7" t="s">
        <v>1397</v>
      </c>
      <c r="L17372" s="7" t="n">
        <v>2</v>
      </c>
      <c r="M17372" s="7" t="n">
        <v>0</v>
      </c>
    </row>
    <row r="17373" spans="1:8">
      <c r="A17373" t="s">
        <v>4</v>
      </c>
      <c r="B17373" s="4" t="s">
        <v>5</v>
      </c>
    </row>
    <row r="17374" spans="1:8">
      <c r="A17374" t="n">
        <v>166591</v>
      </c>
      <c r="B17374" s="27" t="n">
        <v>28</v>
      </c>
    </row>
    <row r="17375" spans="1:8">
      <c r="A17375" t="s">
        <v>4</v>
      </c>
      <c r="B17375" s="4" t="s">
        <v>5</v>
      </c>
      <c r="C17375" s="4" t="s">
        <v>7</v>
      </c>
      <c r="D17375" s="4" t="s">
        <v>11</v>
      </c>
      <c r="E17375" s="4" t="s">
        <v>11</v>
      </c>
      <c r="F17375" s="4" t="s">
        <v>7</v>
      </c>
    </row>
    <row r="17376" spans="1:8">
      <c r="A17376" t="n">
        <v>166592</v>
      </c>
      <c r="B17376" s="31" t="n">
        <v>25</v>
      </c>
      <c r="C17376" s="7" t="n">
        <v>1</v>
      </c>
      <c r="D17376" s="7" t="n">
        <v>65535</v>
      </c>
      <c r="E17376" s="7" t="n">
        <v>65535</v>
      </c>
      <c r="F17376" s="7" t="n">
        <v>0</v>
      </c>
    </row>
    <row r="17377" spans="1:13">
      <c r="A17377" t="s">
        <v>4</v>
      </c>
      <c r="B17377" s="4" t="s">
        <v>5</v>
      </c>
      <c r="C17377" s="4" t="s">
        <v>11</v>
      </c>
      <c r="D17377" s="4" t="s">
        <v>13</v>
      </c>
      <c r="E17377" s="4" t="s">
        <v>13</v>
      </c>
      <c r="F17377" s="4" t="s">
        <v>13</v>
      </c>
      <c r="G17377" s="4" t="s">
        <v>11</v>
      </c>
      <c r="H17377" s="4" t="s">
        <v>11</v>
      </c>
    </row>
    <row r="17378" spans="1:13">
      <c r="A17378" t="n">
        <v>166599</v>
      </c>
      <c r="B17378" s="37" t="n">
        <v>60</v>
      </c>
      <c r="C17378" s="7" t="n">
        <v>4</v>
      </c>
      <c r="D17378" s="7" t="n">
        <v>0</v>
      </c>
      <c r="E17378" s="7" t="n">
        <v>0</v>
      </c>
      <c r="F17378" s="7" t="n">
        <v>0</v>
      </c>
      <c r="G17378" s="7" t="n">
        <v>1000</v>
      </c>
      <c r="H17378" s="7" t="n">
        <v>0</v>
      </c>
    </row>
    <row r="17379" spans="1:13">
      <c r="A17379" t="s">
        <v>4</v>
      </c>
      <c r="B17379" s="4" t="s">
        <v>5</v>
      </c>
      <c r="C17379" s="4" t="s">
        <v>7</v>
      </c>
      <c r="D17379" s="4" t="s">
        <v>11</v>
      </c>
      <c r="E17379" s="4" t="s">
        <v>8</v>
      </c>
    </row>
    <row r="17380" spans="1:13">
      <c r="A17380" t="n">
        <v>166618</v>
      </c>
      <c r="B17380" s="38" t="n">
        <v>51</v>
      </c>
      <c r="C17380" s="7" t="n">
        <v>4</v>
      </c>
      <c r="D17380" s="7" t="n">
        <v>4</v>
      </c>
      <c r="E17380" s="7" t="s">
        <v>285</v>
      </c>
    </row>
    <row r="17381" spans="1:13">
      <c r="A17381" t="s">
        <v>4</v>
      </c>
      <c r="B17381" s="4" t="s">
        <v>5</v>
      </c>
      <c r="C17381" s="4" t="s">
        <v>11</v>
      </c>
    </row>
    <row r="17382" spans="1:13">
      <c r="A17382" t="n">
        <v>166631</v>
      </c>
      <c r="B17382" s="29" t="n">
        <v>16</v>
      </c>
      <c r="C17382" s="7" t="n">
        <v>0</v>
      </c>
    </row>
    <row r="17383" spans="1:13">
      <c r="A17383" t="s">
        <v>4</v>
      </c>
      <c r="B17383" s="4" t="s">
        <v>5</v>
      </c>
      <c r="C17383" s="4" t="s">
        <v>11</v>
      </c>
      <c r="D17383" s="4" t="s">
        <v>7</v>
      </c>
      <c r="E17383" s="4" t="s">
        <v>15</v>
      </c>
      <c r="F17383" s="4" t="s">
        <v>55</v>
      </c>
      <c r="G17383" s="4" t="s">
        <v>7</v>
      </c>
      <c r="H17383" s="4" t="s">
        <v>7</v>
      </c>
      <c r="I17383" s="4" t="s">
        <v>7</v>
      </c>
      <c r="J17383" s="4" t="s">
        <v>15</v>
      </c>
      <c r="K17383" s="4" t="s">
        <v>55</v>
      </c>
      <c r="L17383" s="4" t="s">
        <v>7</v>
      </c>
      <c r="M17383" s="4" t="s">
        <v>7</v>
      </c>
      <c r="N17383" s="4" t="s">
        <v>7</v>
      </c>
      <c r="O17383" s="4" t="s">
        <v>15</v>
      </c>
      <c r="P17383" s="4" t="s">
        <v>55</v>
      </c>
      <c r="Q17383" s="4" t="s">
        <v>7</v>
      </c>
      <c r="R17383" s="4" t="s">
        <v>7</v>
      </c>
      <c r="S17383" s="4" t="s">
        <v>7</v>
      </c>
      <c r="T17383" s="4" t="s">
        <v>15</v>
      </c>
      <c r="U17383" s="4" t="s">
        <v>55</v>
      </c>
      <c r="V17383" s="4" t="s">
        <v>7</v>
      </c>
      <c r="W17383" s="4" t="s">
        <v>7</v>
      </c>
    </row>
    <row r="17384" spans="1:13">
      <c r="A17384" t="n">
        <v>166634</v>
      </c>
      <c r="B17384" s="55" t="n">
        <v>26</v>
      </c>
      <c r="C17384" s="7" t="n">
        <v>4</v>
      </c>
      <c r="D17384" s="7" t="n">
        <v>17</v>
      </c>
      <c r="E17384" s="7" t="n">
        <v>64439</v>
      </c>
      <c r="F17384" s="7" t="s">
        <v>1398</v>
      </c>
      <c r="G17384" s="7" t="n">
        <v>2</v>
      </c>
      <c r="H17384" s="7" t="n">
        <v>3</v>
      </c>
      <c r="I17384" s="7" t="n">
        <v>17</v>
      </c>
      <c r="J17384" s="7" t="n">
        <v>64440</v>
      </c>
      <c r="K17384" s="7" t="s">
        <v>1399</v>
      </c>
      <c r="L17384" s="7" t="n">
        <v>2</v>
      </c>
      <c r="M17384" s="7" t="n">
        <v>3</v>
      </c>
      <c r="N17384" s="7" t="n">
        <v>17</v>
      </c>
      <c r="O17384" s="7" t="n">
        <v>64441</v>
      </c>
      <c r="P17384" s="7" t="s">
        <v>1400</v>
      </c>
      <c r="Q17384" s="7" t="n">
        <v>2</v>
      </c>
      <c r="R17384" s="7" t="n">
        <v>3</v>
      </c>
      <c r="S17384" s="7" t="n">
        <v>17</v>
      </c>
      <c r="T17384" s="7" t="n">
        <v>64442</v>
      </c>
      <c r="U17384" s="7" t="s">
        <v>1401</v>
      </c>
      <c r="V17384" s="7" t="n">
        <v>2</v>
      </c>
      <c r="W17384" s="7" t="n">
        <v>0</v>
      </c>
    </row>
    <row r="17385" spans="1:13">
      <c r="A17385" t="s">
        <v>4</v>
      </c>
      <c r="B17385" s="4" t="s">
        <v>5</v>
      </c>
    </row>
    <row r="17386" spans="1:13">
      <c r="A17386" t="n">
        <v>167081</v>
      </c>
      <c r="B17386" s="27" t="n">
        <v>28</v>
      </c>
    </row>
    <row r="17387" spans="1:13">
      <c r="A17387" t="s">
        <v>4</v>
      </c>
      <c r="B17387" s="4" t="s">
        <v>5</v>
      </c>
      <c r="C17387" s="4" t="s">
        <v>7</v>
      </c>
      <c r="D17387" s="4" t="s">
        <v>11</v>
      </c>
      <c r="E17387" s="4" t="s">
        <v>8</v>
      </c>
    </row>
    <row r="17388" spans="1:13">
      <c r="A17388" t="n">
        <v>167082</v>
      </c>
      <c r="B17388" s="38" t="n">
        <v>51</v>
      </c>
      <c r="C17388" s="7" t="n">
        <v>4</v>
      </c>
      <c r="D17388" s="7" t="n">
        <v>0</v>
      </c>
      <c r="E17388" s="7" t="s">
        <v>173</v>
      </c>
    </row>
    <row r="17389" spans="1:13">
      <c r="A17389" t="s">
        <v>4</v>
      </c>
      <c r="B17389" s="4" t="s">
        <v>5</v>
      </c>
      <c r="C17389" s="4" t="s">
        <v>11</v>
      </c>
    </row>
    <row r="17390" spans="1:13">
      <c r="A17390" t="n">
        <v>167095</v>
      </c>
      <c r="B17390" s="29" t="n">
        <v>16</v>
      </c>
      <c r="C17390" s="7" t="n">
        <v>0</v>
      </c>
    </row>
    <row r="17391" spans="1:13">
      <c r="A17391" t="s">
        <v>4</v>
      </c>
      <c r="B17391" s="4" t="s">
        <v>5</v>
      </c>
      <c r="C17391" s="4" t="s">
        <v>11</v>
      </c>
      <c r="D17391" s="4" t="s">
        <v>7</v>
      </c>
      <c r="E17391" s="4" t="s">
        <v>15</v>
      </c>
      <c r="F17391" s="4" t="s">
        <v>55</v>
      </c>
      <c r="G17391" s="4" t="s">
        <v>7</v>
      </c>
      <c r="H17391" s="4" t="s">
        <v>7</v>
      </c>
      <c r="I17391" s="4" t="s">
        <v>7</v>
      </c>
      <c r="J17391" s="4" t="s">
        <v>15</v>
      </c>
      <c r="K17391" s="4" t="s">
        <v>55</v>
      </c>
      <c r="L17391" s="4" t="s">
        <v>7</v>
      </c>
      <c r="M17391" s="4" t="s">
        <v>7</v>
      </c>
      <c r="N17391" s="4" t="s">
        <v>7</v>
      </c>
      <c r="O17391" s="4" t="s">
        <v>15</v>
      </c>
      <c r="P17391" s="4" t="s">
        <v>55</v>
      </c>
      <c r="Q17391" s="4" t="s">
        <v>7</v>
      </c>
      <c r="R17391" s="4" t="s">
        <v>7</v>
      </c>
    </row>
    <row r="17392" spans="1:13">
      <c r="A17392" t="n">
        <v>167098</v>
      </c>
      <c r="B17392" s="55" t="n">
        <v>26</v>
      </c>
      <c r="C17392" s="7" t="n">
        <v>0</v>
      </c>
      <c r="D17392" s="7" t="n">
        <v>17</v>
      </c>
      <c r="E17392" s="7" t="n">
        <v>64443</v>
      </c>
      <c r="F17392" s="7" t="s">
        <v>1402</v>
      </c>
      <c r="G17392" s="7" t="n">
        <v>2</v>
      </c>
      <c r="H17392" s="7" t="n">
        <v>3</v>
      </c>
      <c r="I17392" s="7" t="n">
        <v>17</v>
      </c>
      <c r="J17392" s="7" t="n">
        <v>64444</v>
      </c>
      <c r="K17392" s="7" t="s">
        <v>1403</v>
      </c>
      <c r="L17392" s="7" t="n">
        <v>2</v>
      </c>
      <c r="M17392" s="7" t="n">
        <v>3</v>
      </c>
      <c r="N17392" s="7" t="n">
        <v>17</v>
      </c>
      <c r="O17392" s="7" t="n">
        <v>64445</v>
      </c>
      <c r="P17392" s="7" t="s">
        <v>1404</v>
      </c>
      <c r="Q17392" s="7" t="n">
        <v>2</v>
      </c>
      <c r="R17392" s="7" t="n">
        <v>0</v>
      </c>
    </row>
    <row r="17393" spans="1:23">
      <c r="A17393" t="s">
        <v>4</v>
      </c>
      <c r="B17393" s="4" t="s">
        <v>5</v>
      </c>
    </row>
    <row r="17394" spans="1:23">
      <c r="A17394" t="n">
        <v>167349</v>
      </c>
      <c r="B17394" s="27" t="n">
        <v>28</v>
      </c>
    </row>
    <row r="17395" spans="1:23">
      <c r="A17395" t="s">
        <v>4</v>
      </c>
      <c r="B17395" s="4" t="s">
        <v>5</v>
      </c>
      <c r="C17395" s="4" t="s">
        <v>7</v>
      </c>
      <c r="D17395" s="4" t="s">
        <v>11</v>
      </c>
      <c r="E17395" s="4" t="s">
        <v>11</v>
      </c>
      <c r="F17395" s="4" t="s">
        <v>7</v>
      </c>
    </row>
    <row r="17396" spans="1:23">
      <c r="A17396" t="n">
        <v>167350</v>
      </c>
      <c r="B17396" s="31" t="n">
        <v>25</v>
      </c>
      <c r="C17396" s="7" t="n">
        <v>1</v>
      </c>
      <c r="D17396" s="7" t="n">
        <v>65535</v>
      </c>
      <c r="E17396" s="7" t="n">
        <v>65535</v>
      </c>
      <c r="F17396" s="7" t="n">
        <v>0</v>
      </c>
    </row>
    <row r="17397" spans="1:23">
      <c r="A17397" t="s">
        <v>4</v>
      </c>
      <c r="B17397" s="4" t="s">
        <v>5</v>
      </c>
      <c r="C17397" s="4" t="s">
        <v>11</v>
      </c>
      <c r="D17397" s="4" t="s">
        <v>7</v>
      </c>
      <c r="E17397" s="4" t="s">
        <v>7</v>
      </c>
      <c r="F17397" s="4" t="s">
        <v>8</v>
      </c>
    </row>
    <row r="17398" spans="1:23">
      <c r="A17398" t="n">
        <v>167357</v>
      </c>
      <c r="B17398" s="50" t="n">
        <v>20</v>
      </c>
      <c r="C17398" s="7" t="n">
        <v>4</v>
      </c>
      <c r="D17398" s="7" t="n">
        <v>2</v>
      </c>
      <c r="E17398" s="7" t="n">
        <v>10</v>
      </c>
      <c r="F17398" s="7" t="s">
        <v>260</v>
      </c>
    </row>
    <row r="17399" spans="1:23">
      <c r="A17399" t="s">
        <v>4</v>
      </c>
      <c r="B17399" s="4" t="s">
        <v>5</v>
      </c>
      <c r="C17399" s="4" t="s">
        <v>7</v>
      </c>
      <c r="D17399" s="4" t="s">
        <v>11</v>
      </c>
      <c r="E17399" s="4" t="s">
        <v>8</v>
      </c>
    </row>
    <row r="17400" spans="1:23">
      <c r="A17400" t="n">
        <v>167377</v>
      </c>
      <c r="B17400" s="38" t="n">
        <v>51</v>
      </c>
      <c r="C17400" s="7" t="n">
        <v>4</v>
      </c>
      <c r="D17400" s="7" t="n">
        <v>4</v>
      </c>
      <c r="E17400" s="7" t="s">
        <v>658</v>
      </c>
    </row>
    <row r="17401" spans="1:23">
      <c r="A17401" t="s">
        <v>4</v>
      </c>
      <c r="B17401" s="4" t="s">
        <v>5</v>
      </c>
      <c r="C17401" s="4" t="s">
        <v>11</v>
      </c>
    </row>
    <row r="17402" spans="1:23">
      <c r="A17402" t="n">
        <v>167391</v>
      </c>
      <c r="B17402" s="29" t="n">
        <v>16</v>
      </c>
      <c r="C17402" s="7" t="n">
        <v>0</v>
      </c>
    </row>
    <row r="17403" spans="1:23">
      <c r="A17403" t="s">
        <v>4</v>
      </c>
      <c r="B17403" s="4" t="s">
        <v>5</v>
      </c>
      <c r="C17403" s="4" t="s">
        <v>11</v>
      </c>
      <c r="D17403" s="4" t="s">
        <v>7</v>
      </c>
      <c r="E17403" s="4" t="s">
        <v>15</v>
      </c>
      <c r="F17403" s="4" t="s">
        <v>55</v>
      </c>
      <c r="G17403" s="4" t="s">
        <v>7</v>
      </c>
      <c r="H17403" s="4" t="s">
        <v>7</v>
      </c>
    </row>
    <row r="17404" spans="1:23">
      <c r="A17404" t="n">
        <v>167394</v>
      </c>
      <c r="B17404" s="55" t="n">
        <v>26</v>
      </c>
      <c r="C17404" s="7" t="n">
        <v>4</v>
      </c>
      <c r="D17404" s="7" t="n">
        <v>17</v>
      </c>
      <c r="E17404" s="7" t="n">
        <v>64446</v>
      </c>
      <c r="F17404" s="7" t="s">
        <v>1405</v>
      </c>
      <c r="G17404" s="7" t="n">
        <v>2</v>
      </c>
      <c r="H17404" s="7" t="n">
        <v>0</v>
      </c>
    </row>
    <row r="17405" spans="1:23">
      <c r="A17405" t="s">
        <v>4</v>
      </c>
      <c r="B17405" s="4" t="s">
        <v>5</v>
      </c>
    </row>
    <row r="17406" spans="1:23">
      <c r="A17406" t="n">
        <v>167530</v>
      </c>
      <c r="B17406" s="27" t="n">
        <v>28</v>
      </c>
    </row>
    <row r="17407" spans="1:23">
      <c r="A17407" t="s">
        <v>4</v>
      </c>
      <c r="B17407" s="4" t="s">
        <v>5</v>
      </c>
      <c r="C17407" s="4" t="s">
        <v>11</v>
      </c>
      <c r="D17407" s="4" t="s">
        <v>13</v>
      </c>
      <c r="E17407" s="4" t="s">
        <v>13</v>
      </c>
      <c r="F17407" s="4" t="s">
        <v>13</v>
      </c>
      <c r="G17407" s="4" t="s">
        <v>11</v>
      </c>
      <c r="H17407" s="4" t="s">
        <v>11</v>
      </c>
    </row>
    <row r="17408" spans="1:23">
      <c r="A17408" t="n">
        <v>167531</v>
      </c>
      <c r="B17408" s="37" t="n">
        <v>60</v>
      </c>
      <c r="C17408" s="7" t="n">
        <v>4</v>
      </c>
      <c r="D17408" s="7" t="n">
        <v>0</v>
      </c>
      <c r="E17408" s="7" t="n">
        <v>-10</v>
      </c>
      <c r="F17408" s="7" t="n">
        <v>0</v>
      </c>
      <c r="G17408" s="7" t="n">
        <v>1000</v>
      </c>
      <c r="H17408" s="7" t="n">
        <v>0</v>
      </c>
    </row>
    <row r="17409" spans="1:8">
      <c r="A17409" t="s">
        <v>4</v>
      </c>
      <c r="B17409" s="4" t="s">
        <v>5</v>
      </c>
      <c r="C17409" s="4" t="s">
        <v>7</v>
      </c>
      <c r="D17409" s="4" t="s">
        <v>11</v>
      </c>
      <c r="E17409" s="4" t="s">
        <v>8</v>
      </c>
    </row>
    <row r="17410" spans="1:8">
      <c r="A17410" t="n">
        <v>167550</v>
      </c>
      <c r="B17410" s="38" t="n">
        <v>51</v>
      </c>
      <c r="C17410" s="7" t="n">
        <v>4</v>
      </c>
      <c r="D17410" s="7" t="n">
        <v>4</v>
      </c>
      <c r="E17410" s="7" t="s">
        <v>261</v>
      </c>
    </row>
    <row r="17411" spans="1:8">
      <c r="A17411" t="s">
        <v>4</v>
      </c>
      <c r="B17411" s="4" t="s">
        <v>5</v>
      </c>
      <c r="C17411" s="4" t="s">
        <v>11</v>
      </c>
    </row>
    <row r="17412" spans="1:8">
      <c r="A17412" t="n">
        <v>167565</v>
      </c>
      <c r="B17412" s="29" t="n">
        <v>16</v>
      </c>
      <c r="C17412" s="7" t="n">
        <v>0</v>
      </c>
    </row>
    <row r="17413" spans="1:8">
      <c r="A17413" t="s">
        <v>4</v>
      </c>
      <c r="B17413" s="4" t="s">
        <v>5</v>
      </c>
      <c r="C17413" s="4" t="s">
        <v>11</v>
      </c>
      <c r="D17413" s="4" t="s">
        <v>7</v>
      </c>
      <c r="E17413" s="4" t="s">
        <v>15</v>
      </c>
      <c r="F17413" s="4" t="s">
        <v>55</v>
      </c>
      <c r="G17413" s="4" t="s">
        <v>7</v>
      </c>
      <c r="H17413" s="4" t="s">
        <v>7</v>
      </c>
    </row>
    <row r="17414" spans="1:8">
      <c r="A17414" t="n">
        <v>167568</v>
      </c>
      <c r="B17414" s="55" t="n">
        <v>26</v>
      </c>
      <c r="C17414" s="7" t="n">
        <v>4</v>
      </c>
      <c r="D17414" s="7" t="n">
        <v>17</v>
      </c>
      <c r="E17414" s="7" t="n">
        <v>64447</v>
      </c>
      <c r="F17414" s="7" t="s">
        <v>464</v>
      </c>
      <c r="G17414" s="7" t="n">
        <v>2</v>
      </c>
      <c r="H17414" s="7" t="n">
        <v>0</v>
      </c>
    </row>
    <row r="17415" spans="1:8">
      <c r="A17415" t="s">
        <v>4</v>
      </c>
      <c r="B17415" s="4" t="s">
        <v>5</v>
      </c>
    </row>
    <row r="17416" spans="1:8">
      <c r="A17416" t="n">
        <v>167581</v>
      </c>
      <c r="B17416" s="27" t="n">
        <v>28</v>
      </c>
    </row>
    <row r="17417" spans="1:8">
      <c r="A17417" t="s">
        <v>4</v>
      </c>
      <c r="B17417" s="4" t="s">
        <v>5</v>
      </c>
      <c r="C17417" s="4" t="s">
        <v>11</v>
      </c>
      <c r="D17417" s="4" t="s">
        <v>7</v>
      </c>
    </row>
    <row r="17418" spans="1:8">
      <c r="A17418" t="n">
        <v>167582</v>
      </c>
      <c r="B17418" s="68" t="n">
        <v>89</v>
      </c>
      <c r="C17418" s="7" t="n">
        <v>65533</v>
      </c>
      <c r="D17418" s="7" t="n">
        <v>1</v>
      </c>
    </row>
    <row r="17419" spans="1:8">
      <c r="A17419" t="s">
        <v>4</v>
      </c>
      <c r="B17419" s="4" t="s">
        <v>5</v>
      </c>
      <c r="C17419" s="4" t="s">
        <v>7</v>
      </c>
      <c r="D17419" s="4" t="s">
        <v>11</v>
      </c>
      <c r="E17419" s="4" t="s">
        <v>7</v>
      </c>
      <c r="F17419" s="4" t="s">
        <v>7</v>
      </c>
      <c r="G17419" s="4" t="s">
        <v>12</v>
      </c>
    </row>
    <row r="17420" spans="1:8">
      <c r="A17420" t="n">
        <v>167586</v>
      </c>
      <c r="B17420" s="10" t="n">
        <v>5</v>
      </c>
      <c r="C17420" s="7" t="n">
        <v>30</v>
      </c>
      <c r="D17420" s="7" t="n">
        <v>10823</v>
      </c>
      <c r="E17420" s="7" t="n">
        <v>8</v>
      </c>
      <c r="F17420" s="7" t="n">
        <v>1</v>
      </c>
      <c r="G17420" s="11" t="n">
        <f t="normal" ca="1">A17470</f>
        <v>0</v>
      </c>
    </row>
    <row r="17421" spans="1:8">
      <c r="A17421" t="s">
        <v>4</v>
      </c>
      <c r="B17421" s="4" t="s">
        <v>5</v>
      </c>
      <c r="C17421" s="4" t="s">
        <v>7</v>
      </c>
      <c r="D17421" s="4" t="s">
        <v>11</v>
      </c>
      <c r="E17421" s="4" t="s">
        <v>8</v>
      </c>
    </row>
    <row r="17422" spans="1:8">
      <c r="A17422" t="n">
        <v>167596</v>
      </c>
      <c r="B17422" s="38" t="n">
        <v>51</v>
      </c>
      <c r="C17422" s="7" t="n">
        <v>4</v>
      </c>
      <c r="D17422" s="7" t="n">
        <v>0</v>
      </c>
      <c r="E17422" s="7" t="s">
        <v>245</v>
      </c>
    </row>
    <row r="17423" spans="1:8">
      <c r="A17423" t="s">
        <v>4</v>
      </c>
      <c r="B17423" s="4" t="s">
        <v>5</v>
      </c>
      <c r="C17423" s="4" t="s">
        <v>11</v>
      </c>
    </row>
    <row r="17424" spans="1:8">
      <c r="A17424" t="n">
        <v>167610</v>
      </c>
      <c r="B17424" s="29" t="n">
        <v>16</v>
      </c>
      <c r="C17424" s="7" t="n">
        <v>0</v>
      </c>
    </row>
    <row r="17425" spans="1:8">
      <c r="A17425" t="s">
        <v>4</v>
      </c>
      <c r="B17425" s="4" t="s">
        <v>5</v>
      </c>
      <c r="C17425" s="4" t="s">
        <v>11</v>
      </c>
      <c r="D17425" s="4" t="s">
        <v>7</v>
      </c>
      <c r="E17425" s="4" t="s">
        <v>15</v>
      </c>
      <c r="F17425" s="4" t="s">
        <v>55</v>
      </c>
      <c r="G17425" s="4" t="s">
        <v>7</v>
      </c>
      <c r="H17425" s="4" t="s">
        <v>7</v>
      </c>
    </row>
    <row r="17426" spans="1:8">
      <c r="A17426" t="n">
        <v>167613</v>
      </c>
      <c r="B17426" s="55" t="n">
        <v>26</v>
      </c>
      <c r="C17426" s="7" t="n">
        <v>0</v>
      </c>
      <c r="D17426" s="7" t="n">
        <v>17</v>
      </c>
      <c r="E17426" s="7" t="n">
        <v>64448</v>
      </c>
      <c r="F17426" s="7" t="s">
        <v>1406</v>
      </c>
      <c r="G17426" s="7" t="n">
        <v>2</v>
      </c>
      <c r="H17426" s="7" t="n">
        <v>0</v>
      </c>
    </row>
    <row r="17427" spans="1:8">
      <c r="A17427" t="s">
        <v>4</v>
      </c>
      <c r="B17427" s="4" t="s">
        <v>5</v>
      </c>
    </row>
    <row r="17428" spans="1:8">
      <c r="A17428" t="n">
        <v>167645</v>
      </c>
      <c r="B17428" s="27" t="n">
        <v>28</v>
      </c>
    </row>
    <row r="17429" spans="1:8">
      <c r="A17429" t="s">
        <v>4</v>
      </c>
      <c r="B17429" s="4" t="s">
        <v>5</v>
      </c>
      <c r="C17429" s="4" t="s">
        <v>7</v>
      </c>
      <c r="D17429" s="4" t="s">
        <v>11</v>
      </c>
      <c r="E17429" s="4" t="s">
        <v>11</v>
      </c>
      <c r="F17429" s="4" t="s">
        <v>7</v>
      </c>
    </row>
    <row r="17430" spans="1:8">
      <c r="A17430" t="n">
        <v>167646</v>
      </c>
      <c r="B17430" s="31" t="n">
        <v>25</v>
      </c>
      <c r="C17430" s="7" t="n">
        <v>1</v>
      </c>
      <c r="D17430" s="7" t="n">
        <v>65535</v>
      </c>
      <c r="E17430" s="7" t="n">
        <v>65535</v>
      </c>
      <c r="F17430" s="7" t="n">
        <v>0</v>
      </c>
    </row>
    <row r="17431" spans="1:8">
      <c r="A17431" t="s">
        <v>4</v>
      </c>
      <c r="B17431" s="4" t="s">
        <v>5</v>
      </c>
      <c r="C17431" s="4" t="s">
        <v>7</v>
      </c>
      <c r="D17431" s="4" t="s">
        <v>11</v>
      </c>
      <c r="E17431" s="4" t="s">
        <v>8</v>
      </c>
    </row>
    <row r="17432" spans="1:8">
      <c r="A17432" t="n">
        <v>167653</v>
      </c>
      <c r="B17432" s="38" t="n">
        <v>51</v>
      </c>
      <c r="C17432" s="7" t="n">
        <v>4</v>
      </c>
      <c r="D17432" s="7" t="n">
        <v>4</v>
      </c>
      <c r="E17432" s="7" t="s">
        <v>752</v>
      </c>
    </row>
    <row r="17433" spans="1:8">
      <c r="A17433" t="s">
        <v>4</v>
      </c>
      <c r="B17433" s="4" t="s">
        <v>5</v>
      </c>
      <c r="C17433" s="4" t="s">
        <v>11</v>
      </c>
    </row>
    <row r="17434" spans="1:8">
      <c r="A17434" t="n">
        <v>167667</v>
      </c>
      <c r="B17434" s="29" t="n">
        <v>16</v>
      </c>
      <c r="C17434" s="7" t="n">
        <v>0</v>
      </c>
    </row>
    <row r="17435" spans="1:8">
      <c r="A17435" t="s">
        <v>4</v>
      </c>
      <c r="B17435" s="4" t="s">
        <v>5</v>
      </c>
      <c r="C17435" s="4" t="s">
        <v>11</v>
      </c>
      <c r="D17435" s="4" t="s">
        <v>7</v>
      </c>
      <c r="E17435" s="4" t="s">
        <v>15</v>
      </c>
      <c r="F17435" s="4" t="s">
        <v>55</v>
      </c>
      <c r="G17435" s="4" t="s">
        <v>7</v>
      </c>
      <c r="H17435" s="4" t="s">
        <v>7</v>
      </c>
    </row>
    <row r="17436" spans="1:8">
      <c r="A17436" t="n">
        <v>167670</v>
      </c>
      <c r="B17436" s="55" t="n">
        <v>26</v>
      </c>
      <c r="C17436" s="7" t="n">
        <v>4</v>
      </c>
      <c r="D17436" s="7" t="n">
        <v>17</v>
      </c>
      <c r="E17436" s="7" t="n">
        <v>64449</v>
      </c>
      <c r="F17436" s="7" t="s">
        <v>1407</v>
      </c>
      <c r="G17436" s="7" t="n">
        <v>2</v>
      </c>
      <c r="H17436" s="7" t="n">
        <v>0</v>
      </c>
    </row>
    <row r="17437" spans="1:8">
      <c r="A17437" t="s">
        <v>4</v>
      </c>
      <c r="B17437" s="4" t="s">
        <v>5</v>
      </c>
    </row>
    <row r="17438" spans="1:8">
      <c r="A17438" t="n">
        <v>167699</v>
      </c>
      <c r="B17438" s="27" t="n">
        <v>28</v>
      </c>
    </row>
    <row r="17439" spans="1:8">
      <c r="A17439" t="s">
        <v>4</v>
      </c>
      <c r="B17439" s="4" t="s">
        <v>5</v>
      </c>
      <c r="C17439" s="4" t="s">
        <v>11</v>
      </c>
      <c r="D17439" s="4" t="s">
        <v>13</v>
      </c>
      <c r="E17439" s="4" t="s">
        <v>13</v>
      </c>
      <c r="F17439" s="4" t="s">
        <v>13</v>
      </c>
      <c r="G17439" s="4" t="s">
        <v>11</v>
      </c>
      <c r="H17439" s="4" t="s">
        <v>11</v>
      </c>
    </row>
    <row r="17440" spans="1:8">
      <c r="A17440" t="n">
        <v>167700</v>
      </c>
      <c r="B17440" s="37" t="n">
        <v>60</v>
      </c>
      <c r="C17440" s="7" t="n">
        <v>4</v>
      </c>
      <c r="D17440" s="7" t="n">
        <v>0</v>
      </c>
      <c r="E17440" s="7" t="n">
        <v>0</v>
      </c>
      <c r="F17440" s="7" t="n">
        <v>0</v>
      </c>
      <c r="G17440" s="7" t="n">
        <v>1000</v>
      </c>
      <c r="H17440" s="7" t="n">
        <v>0</v>
      </c>
    </row>
    <row r="17441" spans="1:8">
      <c r="A17441" t="s">
        <v>4</v>
      </c>
      <c r="B17441" s="4" t="s">
        <v>5</v>
      </c>
      <c r="C17441" s="4" t="s">
        <v>7</v>
      </c>
      <c r="D17441" s="4" t="s">
        <v>11</v>
      </c>
      <c r="E17441" s="4" t="s">
        <v>8</v>
      </c>
    </row>
    <row r="17442" spans="1:8">
      <c r="A17442" t="n">
        <v>167719</v>
      </c>
      <c r="B17442" s="38" t="n">
        <v>51</v>
      </c>
      <c r="C17442" s="7" t="n">
        <v>4</v>
      </c>
      <c r="D17442" s="7" t="n">
        <v>4</v>
      </c>
      <c r="E17442" s="7" t="s">
        <v>1270</v>
      </c>
    </row>
    <row r="17443" spans="1:8">
      <c r="A17443" t="s">
        <v>4</v>
      </c>
      <c r="B17443" s="4" t="s">
        <v>5</v>
      </c>
      <c r="C17443" s="4" t="s">
        <v>11</v>
      </c>
    </row>
    <row r="17444" spans="1:8">
      <c r="A17444" t="n">
        <v>167732</v>
      </c>
      <c r="B17444" s="29" t="n">
        <v>16</v>
      </c>
      <c r="C17444" s="7" t="n">
        <v>0</v>
      </c>
    </row>
    <row r="17445" spans="1:8">
      <c r="A17445" t="s">
        <v>4</v>
      </c>
      <c r="B17445" s="4" t="s">
        <v>5</v>
      </c>
      <c r="C17445" s="4" t="s">
        <v>11</v>
      </c>
      <c r="D17445" s="4" t="s">
        <v>7</v>
      </c>
      <c r="E17445" s="4" t="s">
        <v>15</v>
      </c>
      <c r="F17445" s="4" t="s">
        <v>55</v>
      </c>
      <c r="G17445" s="4" t="s">
        <v>7</v>
      </c>
      <c r="H17445" s="4" t="s">
        <v>7</v>
      </c>
      <c r="I17445" s="4" t="s">
        <v>7</v>
      </c>
      <c r="J17445" s="4" t="s">
        <v>15</v>
      </c>
      <c r="K17445" s="4" t="s">
        <v>55</v>
      </c>
      <c r="L17445" s="4" t="s">
        <v>7</v>
      </c>
      <c r="M17445" s="4" t="s">
        <v>7</v>
      </c>
      <c r="N17445" s="4" t="s">
        <v>7</v>
      </c>
      <c r="O17445" s="4" t="s">
        <v>15</v>
      </c>
      <c r="P17445" s="4" t="s">
        <v>55</v>
      </c>
      <c r="Q17445" s="4" t="s">
        <v>7</v>
      </c>
      <c r="R17445" s="4" t="s">
        <v>7</v>
      </c>
    </row>
    <row r="17446" spans="1:8">
      <c r="A17446" t="n">
        <v>167735</v>
      </c>
      <c r="B17446" s="55" t="n">
        <v>26</v>
      </c>
      <c r="C17446" s="7" t="n">
        <v>4</v>
      </c>
      <c r="D17446" s="7" t="n">
        <v>17</v>
      </c>
      <c r="E17446" s="7" t="n">
        <v>64450</v>
      </c>
      <c r="F17446" s="7" t="s">
        <v>1408</v>
      </c>
      <c r="G17446" s="7" t="n">
        <v>2</v>
      </c>
      <c r="H17446" s="7" t="n">
        <v>3</v>
      </c>
      <c r="I17446" s="7" t="n">
        <v>17</v>
      </c>
      <c r="J17446" s="7" t="n">
        <v>64451</v>
      </c>
      <c r="K17446" s="7" t="s">
        <v>1409</v>
      </c>
      <c r="L17446" s="7" t="n">
        <v>2</v>
      </c>
      <c r="M17446" s="7" t="n">
        <v>3</v>
      </c>
      <c r="N17446" s="7" t="n">
        <v>17</v>
      </c>
      <c r="O17446" s="7" t="n">
        <v>64452</v>
      </c>
      <c r="P17446" s="7" t="s">
        <v>1410</v>
      </c>
      <c r="Q17446" s="7" t="n">
        <v>2</v>
      </c>
      <c r="R17446" s="7" t="n">
        <v>0</v>
      </c>
    </row>
    <row r="17447" spans="1:8">
      <c r="A17447" t="s">
        <v>4</v>
      </c>
      <c r="B17447" s="4" t="s">
        <v>5</v>
      </c>
    </row>
    <row r="17448" spans="1:8">
      <c r="A17448" t="n">
        <v>168032</v>
      </c>
      <c r="B17448" s="27" t="n">
        <v>28</v>
      </c>
    </row>
    <row r="17449" spans="1:8">
      <c r="A17449" t="s">
        <v>4</v>
      </c>
      <c r="B17449" s="4" t="s">
        <v>5</v>
      </c>
      <c r="C17449" s="4" t="s">
        <v>7</v>
      </c>
      <c r="D17449" s="4" t="s">
        <v>11</v>
      </c>
      <c r="E17449" s="4" t="s">
        <v>8</v>
      </c>
    </row>
    <row r="17450" spans="1:8">
      <c r="A17450" t="n">
        <v>168033</v>
      </c>
      <c r="B17450" s="38" t="n">
        <v>51</v>
      </c>
      <c r="C17450" s="7" t="n">
        <v>4</v>
      </c>
      <c r="D17450" s="7" t="n">
        <v>0</v>
      </c>
      <c r="E17450" s="7" t="s">
        <v>179</v>
      </c>
    </row>
    <row r="17451" spans="1:8">
      <c r="A17451" t="s">
        <v>4</v>
      </c>
      <c r="B17451" s="4" t="s">
        <v>5</v>
      </c>
      <c r="C17451" s="4" t="s">
        <v>11</v>
      </c>
    </row>
    <row r="17452" spans="1:8">
      <c r="A17452" t="n">
        <v>168047</v>
      </c>
      <c r="B17452" s="29" t="n">
        <v>16</v>
      </c>
      <c r="C17452" s="7" t="n">
        <v>0</v>
      </c>
    </row>
    <row r="17453" spans="1:8">
      <c r="A17453" t="s">
        <v>4</v>
      </c>
      <c r="B17453" s="4" t="s">
        <v>5</v>
      </c>
      <c r="C17453" s="4" t="s">
        <v>11</v>
      </c>
      <c r="D17453" s="4" t="s">
        <v>7</v>
      </c>
      <c r="E17453" s="4" t="s">
        <v>15</v>
      </c>
      <c r="F17453" s="4" t="s">
        <v>55</v>
      </c>
      <c r="G17453" s="4" t="s">
        <v>7</v>
      </c>
      <c r="H17453" s="4" t="s">
        <v>7</v>
      </c>
      <c r="I17453" s="4" t="s">
        <v>7</v>
      </c>
      <c r="J17453" s="4" t="s">
        <v>15</v>
      </c>
      <c r="K17453" s="4" t="s">
        <v>55</v>
      </c>
      <c r="L17453" s="4" t="s">
        <v>7</v>
      </c>
      <c r="M17453" s="4" t="s">
        <v>7</v>
      </c>
    </row>
    <row r="17454" spans="1:8">
      <c r="A17454" t="n">
        <v>168050</v>
      </c>
      <c r="B17454" s="55" t="n">
        <v>26</v>
      </c>
      <c r="C17454" s="7" t="n">
        <v>0</v>
      </c>
      <c r="D17454" s="7" t="n">
        <v>17</v>
      </c>
      <c r="E17454" s="7" t="n">
        <v>64453</v>
      </c>
      <c r="F17454" s="7" t="s">
        <v>1411</v>
      </c>
      <c r="G17454" s="7" t="n">
        <v>2</v>
      </c>
      <c r="H17454" s="7" t="n">
        <v>3</v>
      </c>
      <c r="I17454" s="7" t="n">
        <v>17</v>
      </c>
      <c r="J17454" s="7" t="n">
        <v>64454</v>
      </c>
      <c r="K17454" s="7" t="s">
        <v>1412</v>
      </c>
      <c r="L17454" s="7" t="n">
        <v>2</v>
      </c>
      <c r="M17454" s="7" t="n">
        <v>0</v>
      </c>
    </row>
    <row r="17455" spans="1:8">
      <c r="A17455" t="s">
        <v>4</v>
      </c>
      <c r="B17455" s="4" t="s">
        <v>5</v>
      </c>
    </row>
    <row r="17456" spans="1:8">
      <c r="A17456" t="n">
        <v>168227</v>
      </c>
      <c r="B17456" s="27" t="n">
        <v>28</v>
      </c>
    </row>
    <row r="17457" spans="1:18">
      <c r="A17457" t="s">
        <v>4</v>
      </c>
      <c r="B17457" s="4" t="s">
        <v>5</v>
      </c>
      <c r="C17457" s="4" t="s">
        <v>7</v>
      </c>
      <c r="D17457" s="4" t="s">
        <v>11</v>
      </c>
      <c r="E17457" s="4" t="s">
        <v>11</v>
      </c>
      <c r="F17457" s="4" t="s">
        <v>7</v>
      </c>
    </row>
    <row r="17458" spans="1:18">
      <c r="A17458" t="n">
        <v>168228</v>
      </c>
      <c r="B17458" s="31" t="n">
        <v>25</v>
      </c>
      <c r="C17458" s="7" t="n">
        <v>1</v>
      </c>
      <c r="D17458" s="7" t="n">
        <v>65535</v>
      </c>
      <c r="E17458" s="7" t="n">
        <v>65535</v>
      </c>
      <c r="F17458" s="7" t="n">
        <v>0</v>
      </c>
    </row>
    <row r="17459" spans="1:18">
      <c r="A17459" t="s">
        <v>4</v>
      </c>
      <c r="B17459" s="4" t="s">
        <v>5</v>
      </c>
      <c r="C17459" s="4" t="s">
        <v>7</v>
      </c>
      <c r="D17459" s="4" t="s">
        <v>11</v>
      </c>
      <c r="E17459" s="4" t="s">
        <v>8</v>
      </c>
    </row>
    <row r="17460" spans="1:18">
      <c r="A17460" t="n">
        <v>168235</v>
      </c>
      <c r="B17460" s="38" t="n">
        <v>51</v>
      </c>
      <c r="C17460" s="7" t="n">
        <v>4</v>
      </c>
      <c r="D17460" s="7" t="n">
        <v>4</v>
      </c>
      <c r="E17460" s="7" t="s">
        <v>288</v>
      </c>
    </row>
    <row r="17461" spans="1:18">
      <c r="A17461" t="s">
        <v>4</v>
      </c>
      <c r="B17461" s="4" t="s">
        <v>5</v>
      </c>
      <c r="C17461" s="4" t="s">
        <v>11</v>
      </c>
    </row>
    <row r="17462" spans="1:18">
      <c r="A17462" t="n">
        <v>168248</v>
      </c>
      <c r="B17462" s="29" t="n">
        <v>16</v>
      </c>
      <c r="C17462" s="7" t="n">
        <v>0</v>
      </c>
    </row>
    <row r="17463" spans="1:18">
      <c r="A17463" t="s">
        <v>4</v>
      </c>
      <c r="B17463" s="4" t="s">
        <v>5</v>
      </c>
      <c r="C17463" s="4" t="s">
        <v>11</v>
      </c>
      <c r="D17463" s="4" t="s">
        <v>7</v>
      </c>
      <c r="E17463" s="4" t="s">
        <v>15</v>
      </c>
      <c r="F17463" s="4" t="s">
        <v>55</v>
      </c>
      <c r="G17463" s="4" t="s">
        <v>7</v>
      </c>
      <c r="H17463" s="4" t="s">
        <v>7</v>
      </c>
    </row>
    <row r="17464" spans="1:18">
      <c r="A17464" t="n">
        <v>168251</v>
      </c>
      <c r="B17464" s="55" t="n">
        <v>26</v>
      </c>
      <c r="C17464" s="7" t="n">
        <v>4</v>
      </c>
      <c r="D17464" s="7" t="n">
        <v>17</v>
      </c>
      <c r="E17464" s="7" t="n">
        <v>64455</v>
      </c>
      <c r="F17464" s="7" t="s">
        <v>1413</v>
      </c>
      <c r="G17464" s="7" t="n">
        <v>2</v>
      </c>
      <c r="H17464" s="7" t="n">
        <v>0</v>
      </c>
    </row>
    <row r="17465" spans="1:18">
      <c r="A17465" t="s">
        <v>4</v>
      </c>
      <c r="B17465" s="4" t="s">
        <v>5</v>
      </c>
    </row>
    <row r="17466" spans="1:18">
      <c r="A17466" t="n">
        <v>168278</v>
      </c>
      <c r="B17466" s="27" t="n">
        <v>28</v>
      </c>
    </row>
    <row r="17467" spans="1:18">
      <c r="A17467" t="s">
        <v>4</v>
      </c>
      <c r="B17467" s="4" t="s">
        <v>5</v>
      </c>
      <c r="C17467" s="4" t="s">
        <v>12</v>
      </c>
    </row>
    <row r="17468" spans="1:18">
      <c r="A17468" t="n">
        <v>168279</v>
      </c>
      <c r="B17468" s="19" t="n">
        <v>3</v>
      </c>
      <c r="C17468" s="11" t="n">
        <f t="normal" ca="1">A17584</f>
        <v>0</v>
      </c>
    </row>
    <row r="17469" spans="1:18">
      <c r="A17469" t="s">
        <v>4</v>
      </c>
      <c r="B17469" s="4" t="s">
        <v>5</v>
      </c>
      <c r="C17469" s="4" t="s">
        <v>7</v>
      </c>
      <c r="D17469" s="4" t="s">
        <v>11</v>
      </c>
      <c r="E17469" s="4" t="s">
        <v>13</v>
      </c>
    </row>
    <row r="17470" spans="1:18">
      <c r="A17470" t="n">
        <v>168284</v>
      </c>
      <c r="B17470" s="23" t="n">
        <v>58</v>
      </c>
      <c r="C17470" s="7" t="n">
        <v>101</v>
      </c>
      <c r="D17470" s="7" t="n">
        <v>800</v>
      </c>
      <c r="E17470" s="7" t="n">
        <v>1</v>
      </c>
    </row>
    <row r="17471" spans="1:18">
      <c r="A17471" t="s">
        <v>4</v>
      </c>
      <c r="B17471" s="4" t="s">
        <v>5</v>
      </c>
      <c r="C17471" s="4" t="s">
        <v>7</v>
      </c>
      <c r="D17471" s="4" t="s">
        <v>11</v>
      </c>
    </row>
    <row r="17472" spans="1:18">
      <c r="A17472" t="n">
        <v>168292</v>
      </c>
      <c r="B17472" s="23" t="n">
        <v>58</v>
      </c>
      <c r="C17472" s="7" t="n">
        <v>254</v>
      </c>
      <c r="D17472" s="7" t="n">
        <v>0</v>
      </c>
    </row>
    <row r="17473" spans="1:8">
      <c r="A17473" t="s">
        <v>4</v>
      </c>
      <c r="B17473" s="4" t="s">
        <v>5</v>
      </c>
      <c r="C17473" s="4" t="s">
        <v>7</v>
      </c>
      <c r="D17473" s="4" t="s">
        <v>7</v>
      </c>
      <c r="E17473" s="4" t="s">
        <v>13</v>
      </c>
      <c r="F17473" s="4" t="s">
        <v>13</v>
      </c>
      <c r="G17473" s="4" t="s">
        <v>13</v>
      </c>
      <c r="H17473" s="4" t="s">
        <v>11</v>
      </c>
    </row>
    <row r="17474" spans="1:8">
      <c r="A17474" t="n">
        <v>168296</v>
      </c>
      <c r="B17474" s="51" t="n">
        <v>45</v>
      </c>
      <c r="C17474" s="7" t="n">
        <v>2</v>
      </c>
      <c r="D17474" s="7" t="n">
        <v>3</v>
      </c>
      <c r="E17474" s="7" t="n">
        <v>-19.6399993896484</v>
      </c>
      <c r="F17474" s="7" t="n">
        <v>6.21000003814697</v>
      </c>
      <c r="G17474" s="7" t="n">
        <v>50.689998626709</v>
      </c>
      <c r="H17474" s="7" t="n">
        <v>0</v>
      </c>
    </row>
    <row r="17475" spans="1:8">
      <c r="A17475" t="s">
        <v>4</v>
      </c>
      <c r="B17475" s="4" t="s">
        <v>5</v>
      </c>
      <c r="C17475" s="4" t="s">
        <v>7</v>
      </c>
      <c r="D17475" s="4" t="s">
        <v>7</v>
      </c>
      <c r="E17475" s="4" t="s">
        <v>13</v>
      </c>
      <c r="F17475" s="4" t="s">
        <v>13</v>
      </c>
      <c r="G17475" s="4" t="s">
        <v>13</v>
      </c>
      <c r="H17475" s="4" t="s">
        <v>11</v>
      </c>
      <c r="I17475" s="4" t="s">
        <v>7</v>
      </c>
    </row>
    <row r="17476" spans="1:8">
      <c r="A17476" t="n">
        <v>168313</v>
      </c>
      <c r="B17476" s="51" t="n">
        <v>45</v>
      </c>
      <c r="C17476" s="7" t="n">
        <v>4</v>
      </c>
      <c r="D17476" s="7" t="n">
        <v>3</v>
      </c>
      <c r="E17476" s="7" t="n">
        <v>26.5</v>
      </c>
      <c r="F17476" s="7" t="n">
        <v>130.479995727539</v>
      </c>
      <c r="G17476" s="7" t="n">
        <v>4</v>
      </c>
      <c r="H17476" s="7" t="n">
        <v>0</v>
      </c>
      <c r="I17476" s="7" t="n">
        <v>0</v>
      </c>
    </row>
    <row r="17477" spans="1:8">
      <c r="A17477" t="s">
        <v>4</v>
      </c>
      <c r="B17477" s="4" t="s">
        <v>5</v>
      </c>
      <c r="C17477" s="4" t="s">
        <v>7</v>
      </c>
      <c r="D17477" s="4" t="s">
        <v>7</v>
      </c>
      <c r="E17477" s="4" t="s">
        <v>13</v>
      </c>
      <c r="F17477" s="4" t="s">
        <v>11</v>
      </c>
    </row>
    <row r="17478" spans="1:8">
      <c r="A17478" t="n">
        <v>168331</v>
      </c>
      <c r="B17478" s="51" t="n">
        <v>45</v>
      </c>
      <c r="C17478" s="7" t="n">
        <v>5</v>
      </c>
      <c r="D17478" s="7" t="n">
        <v>3</v>
      </c>
      <c r="E17478" s="7" t="n">
        <v>1.5</v>
      </c>
      <c r="F17478" s="7" t="n">
        <v>0</v>
      </c>
    </row>
    <row r="17479" spans="1:8">
      <c r="A17479" t="s">
        <v>4</v>
      </c>
      <c r="B17479" s="4" t="s">
        <v>5</v>
      </c>
      <c r="C17479" s="4" t="s">
        <v>7</v>
      </c>
      <c r="D17479" s="4" t="s">
        <v>7</v>
      </c>
      <c r="E17479" s="4" t="s">
        <v>13</v>
      </c>
      <c r="F17479" s="4" t="s">
        <v>11</v>
      </c>
    </row>
    <row r="17480" spans="1:8">
      <c r="A17480" t="n">
        <v>168340</v>
      </c>
      <c r="B17480" s="51" t="n">
        <v>45</v>
      </c>
      <c r="C17480" s="7" t="n">
        <v>5</v>
      </c>
      <c r="D17480" s="7" t="n">
        <v>3</v>
      </c>
      <c r="E17480" s="7" t="n">
        <v>1.39999997615814</v>
      </c>
      <c r="F17480" s="7" t="n">
        <v>3000</v>
      </c>
    </row>
    <row r="17481" spans="1:8">
      <c r="A17481" t="s">
        <v>4</v>
      </c>
      <c r="B17481" s="4" t="s">
        <v>5</v>
      </c>
      <c r="C17481" s="4" t="s">
        <v>7</v>
      </c>
      <c r="D17481" s="4" t="s">
        <v>7</v>
      </c>
      <c r="E17481" s="4" t="s">
        <v>13</v>
      </c>
      <c r="F17481" s="4" t="s">
        <v>11</v>
      </c>
    </row>
    <row r="17482" spans="1:8">
      <c r="A17482" t="n">
        <v>168349</v>
      </c>
      <c r="B17482" s="51" t="n">
        <v>45</v>
      </c>
      <c r="C17482" s="7" t="n">
        <v>11</v>
      </c>
      <c r="D17482" s="7" t="n">
        <v>3</v>
      </c>
      <c r="E17482" s="7" t="n">
        <v>35</v>
      </c>
      <c r="F17482" s="7" t="n">
        <v>0</v>
      </c>
    </row>
    <row r="17483" spans="1:8">
      <c r="A17483" t="s">
        <v>4</v>
      </c>
      <c r="B17483" s="4" t="s">
        <v>5</v>
      </c>
      <c r="C17483" s="4" t="s">
        <v>11</v>
      </c>
      <c r="D17483" s="4" t="s">
        <v>13</v>
      </c>
      <c r="E17483" s="4" t="s">
        <v>13</v>
      </c>
      <c r="F17483" s="4" t="s">
        <v>13</v>
      </c>
      <c r="G17483" s="4" t="s">
        <v>13</v>
      </c>
    </row>
    <row r="17484" spans="1:8">
      <c r="A17484" t="n">
        <v>168358</v>
      </c>
      <c r="B17484" s="36" t="n">
        <v>46</v>
      </c>
      <c r="C17484" s="7" t="n">
        <v>0</v>
      </c>
      <c r="D17484" s="7" t="n">
        <v>-19.0799999237061</v>
      </c>
      <c r="E17484" s="7" t="n">
        <v>5.01000022888184</v>
      </c>
      <c r="F17484" s="7" t="n">
        <v>50.3800010681152</v>
      </c>
      <c r="G17484" s="7" t="n">
        <v>289.899993896484</v>
      </c>
    </row>
    <row r="17485" spans="1:8">
      <c r="A17485" t="s">
        <v>4</v>
      </c>
      <c r="B17485" s="4" t="s">
        <v>5</v>
      </c>
      <c r="C17485" s="4" t="s">
        <v>7</v>
      </c>
      <c r="D17485" s="4" t="s">
        <v>11</v>
      </c>
    </row>
    <row r="17486" spans="1:8">
      <c r="A17486" t="n">
        <v>168377</v>
      </c>
      <c r="B17486" s="23" t="n">
        <v>58</v>
      </c>
      <c r="C17486" s="7" t="n">
        <v>255</v>
      </c>
      <c r="D17486" s="7" t="n">
        <v>0</v>
      </c>
    </row>
    <row r="17487" spans="1:8">
      <c r="A17487" t="s">
        <v>4</v>
      </c>
      <c r="B17487" s="4" t="s">
        <v>5</v>
      </c>
      <c r="C17487" s="4" t="s">
        <v>11</v>
      </c>
      <c r="D17487" s="4" t="s">
        <v>7</v>
      </c>
      <c r="E17487" s="4" t="s">
        <v>13</v>
      </c>
      <c r="F17487" s="4" t="s">
        <v>11</v>
      </c>
    </row>
    <row r="17488" spans="1:8">
      <c r="A17488" t="n">
        <v>168381</v>
      </c>
      <c r="B17488" s="56" t="n">
        <v>59</v>
      </c>
      <c r="C17488" s="7" t="n">
        <v>4</v>
      </c>
      <c r="D17488" s="7" t="n">
        <v>9</v>
      </c>
      <c r="E17488" s="7" t="n">
        <v>0.150000005960464</v>
      </c>
      <c r="F17488" s="7" t="n">
        <v>0</v>
      </c>
    </row>
    <row r="17489" spans="1:9">
      <c r="A17489" t="s">
        <v>4</v>
      </c>
      <c r="B17489" s="4" t="s">
        <v>5</v>
      </c>
      <c r="C17489" s="4" t="s">
        <v>11</v>
      </c>
    </row>
    <row r="17490" spans="1:9">
      <c r="A17490" t="n">
        <v>168391</v>
      </c>
      <c r="B17490" s="29" t="n">
        <v>16</v>
      </c>
      <c r="C17490" s="7" t="n">
        <v>1500</v>
      </c>
    </row>
    <row r="17491" spans="1:9">
      <c r="A17491" t="s">
        <v>4</v>
      </c>
      <c r="B17491" s="4" t="s">
        <v>5</v>
      </c>
      <c r="C17491" s="4" t="s">
        <v>7</v>
      </c>
      <c r="D17491" s="4" t="s">
        <v>11</v>
      </c>
      <c r="E17491" s="4" t="s">
        <v>8</v>
      </c>
      <c r="F17491" s="4" t="s">
        <v>8</v>
      </c>
      <c r="G17491" s="4" t="s">
        <v>8</v>
      </c>
      <c r="H17491" s="4" t="s">
        <v>8</v>
      </c>
    </row>
    <row r="17492" spans="1:9">
      <c r="A17492" t="n">
        <v>168394</v>
      </c>
      <c r="B17492" s="38" t="n">
        <v>51</v>
      </c>
      <c r="C17492" s="7" t="n">
        <v>3</v>
      </c>
      <c r="D17492" s="7" t="n">
        <v>4</v>
      </c>
      <c r="E17492" s="7" t="s">
        <v>68</v>
      </c>
      <c r="F17492" s="7" t="s">
        <v>218</v>
      </c>
      <c r="G17492" s="7" t="s">
        <v>78</v>
      </c>
      <c r="H17492" s="7" t="s">
        <v>79</v>
      </c>
    </row>
    <row r="17493" spans="1:9">
      <c r="A17493" t="s">
        <v>4</v>
      </c>
      <c r="B17493" s="4" t="s">
        <v>5</v>
      </c>
      <c r="C17493" s="4" t="s">
        <v>11</v>
      </c>
      <c r="D17493" s="4" t="s">
        <v>13</v>
      </c>
      <c r="E17493" s="4" t="s">
        <v>13</v>
      </c>
      <c r="F17493" s="4" t="s">
        <v>13</v>
      </c>
      <c r="G17493" s="4" t="s">
        <v>11</v>
      </c>
      <c r="H17493" s="4" t="s">
        <v>11</v>
      </c>
    </row>
    <row r="17494" spans="1:9">
      <c r="A17494" t="n">
        <v>168407</v>
      </c>
      <c r="B17494" s="37" t="n">
        <v>60</v>
      </c>
      <c r="C17494" s="7" t="n">
        <v>4</v>
      </c>
      <c r="D17494" s="7" t="n">
        <v>0</v>
      </c>
      <c r="E17494" s="7" t="n">
        <v>0</v>
      </c>
      <c r="F17494" s="7" t="n">
        <v>0</v>
      </c>
      <c r="G17494" s="7" t="n">
        <v>800</v>
      </c>
      <c r="H17494" s="7" t="n">
        <v>0</v>
      </c>
    </row>
    <row r="17495" spans="1:9">
      <c r="A17495" t="s">
        <v>4</v>
      </c>
      <c r="B17495" s="4" t="s">
        <v>5</v>
      </c>
      <c r="C17495" s="4" t="s">
        <v>11</v>
      </c>
    </row>
    <row r="17496" spans="1:9">
      <c r="A17496" t="n">
        <v>168426</v>
      </c>
      <c r="B17496" s="29" t="n">
        <v>16</v>
      </c>
      <c r="C17496" s="7" t="n">
        <v>300</v>
      </c>
    </row>
    <row r="17497" spans="1:9">
      <c r="A17497" t="s">
        <v>4</v>
      </c>
      <c r="B17497" s="4" t="s">
        <v>5</v>
      </c>
      <c r="C17497" s="4" t="s">
        <v>7</v>
      </c>
      <c r="D17497" s="4" t="s">
        <v>11</v>
      </c>
      <c r="E17497" s="4" t="s">
        <v>8</v>
      </c>
    </row>
    <row r="17498" spans="1:9">
      <c r="A17498" t="n">
        <v>168429</v>
      </c>
      <c r="B17498" s="38" t="n">
        <v>51</v>
      </c>
      <c r="C17498" s="7" t="n">
        <v>4</v>
      </c>
      <c r="D17498" s="7" t="n">
        <v>4</v>
      </c>
      <c r="E17498" s="7" t="s">
        <v>911</v>
      </c>
    </row>
    <row r="17499" spans="1:9">
      <c r="A17499" t="s">
        <v>4</v>
      </c>
      <c r="B17499" s="4" t="s">
        <v>5</v>
      </c>
      <c r="C17499" s="4" t="s">
        <v>11</v>
      </c>
    </row>
    <row r="17500" spans="1:9">
      <c r="A17500" t="n">
        <v>168442</v>
      </c>
      <c r="B17500" s="29" t="n">
        <v>16</v>
      </c>
      <c r="C17500" s="7" t="n">
        <v>0</v>
      </c>
    </row>
    <row r="17501" spans="1:9">
      <c r="A17501" t="s">
        <v>4</v>
      </c>
      <c r="B17501" s="4" t="s">
        <v>5</v>
      </c>
      <c r="C17501" s="4" t="s">
        <v>11</v>
      </c>
      <c r="D17501" s="4" t="s">
        <v>7</v>
      </c>
      <c r="E17501" s="4" t="s">
        <v>15</v>
      </c>
      <c r="F17501" s="4" t="s">
        <v>55</v>
      </c>
      <c r="G17501" s="4" t="s">
        <v>7</v>
      </c>
      <c r="H17501" s="4" t="s">
        <v>7</v>
      </c>
      <c r="I17501" s="4" t="s">
        <v>7</v>
      </c>
      <c r="J17501" s="4" t="s">
        <v>15</v>
      </c>
      <c r="K17501" s="4" t="s">
        <v>55</v>
      </c>
      <c r="L17501" s="4" t="s">
        <v>7</v>
      </c>
      <c r="M17501" s="4" t="s">
        <v>7</v>
      </c>
    </row>
    <row r="17502" spans="1:9">
      <c r="A17502" t="n">
        <v>168445</v>
      </c>
      <c r="B17502" s="55" t="n">
        <v>26</v>
      </c>
      <c r="C17502" s="7" t="n">
        <v>4</v>
      </c>
      <c r="D17502" s="7" t="n">
        <v>17</v>
      </c>
      <c r="E17502" s="7" t="n">
        <v>64456</v>
      </c>
      <c r="F17502" s="7" t="s">
        <v>1414</v>
      </c>
      <c r="G17502" s="7" t="n">
        <v>2</v>
      </c>
      <c r="H17502" s="7" t="n">
        <v>3</v>
      </c>
      <c r="I17502" s="7" t="n">
        <v>17</v>
      </c>
      <c r="J17502" s="7" t="n">
        <v>64457</v>
      </c>
      <c r="K17502" s="7" t="s">
        <v>1415</v>
      </c>
      <c r="L17502" s="7" t="n">
        <v>2</v>
      </c>
      <c r="M17502" s="7" t="n">
        <v>0</v>
      </c>
    </row>
    <row r="17503" spans="1:9">
      <c r="A17503" t="s">
        <v>4</v>
      </c>
      <c r="B17503" s="4" t="s">
        <v>5</v>
      </c>
    </row>
    <row r="17504" spans="1:9">
      <c r="A17504" t="n">
        <v>168504</v>
      </c>
      <c r="B17504" s="27" t="n">
        <v>28</v>
      </c>
    </row>
    <row r="17505" spans="1:13">
      <c r="A17505" t="s">
        <v>4</v>
      </c>
      <c r="B17505" s="4" t="s">
        <v>5</v>
      </c>
      <c r="C17505" s="4" t="s">
        <v>11</v>
      </c>
      <c r="D17505" s="4" t="s">
        <v>7</v>
      </c>
      <c r="E17505" s="4" t="s">
        <v>7</v>
      </c>
      <c r="F17505" s="4" t="s">
        <v>8</v>
      </c>
    </row>
    <row r="17506" spans="1:13">
      <c r="A17506" t="n">
        <v>168505</v>
      </c>
      <c r="B17506" s="50" t="n">
        <v>20</v>
      </c>
      <c r="C17506" s="7" t="n">
        <v>0</v>
      </c>
      <c r="D17506" s="7" t="n">
        <v>2</v>
      </c>
      <c r="E17506" s="7" t="n">
        <v>10</v>
      </c>
      <c r="F17506" s="7" t="s">
        <v>260</v>
      </c>
    </row>
    <row r="17507" spans="1:13">
      <c r="A17507" t="s">
        <v>4</v>
      </c>
      <c r="B17507" s="4" t="s">
        <v>5</v>
      </c>
      <c r="C17507" s="4" t="s">
        <v>7</v>
      </c>
      <c r="D17507" s="4" t="s">
        <v>11</v>
      </c>
      <c r="E17507" s="4" t="s">
        <v>8</v>
      </c>
    </row>
    <row r="17508" spans="1:13">
      <c r="A17508" t="n">
        <v>168525</v>
      </c>
      <c r="B17508" s="38" t="n">
        <v>51</v>
      </c>
      <c r="C17508" s="7" t="n">
        <v>4</v>
      </c>
      <c r="D17508" s="7" t="n">
        <v>0</v>
      </c>
      <c r="E17508" s="7" t="s">
        <v>242</v>
      </c>
    </row>
    <row r="17509" spans="1:13">
      <c r="A17509" t="s">
        <v>4</v>
      </c>
      <c r="B17509" s="4" t="s">
        <v>5</v>
      </c>
      <c r="C17509" s="4" t="s">
        <v>11</v>
      </c>
    </row>
    <row r="17510" spans="1:13">
      <c r="A17510" t="n">
        <v>168539</v>
      </c>
      <c r="B17510" s="29" t="n">
        <v>16</v>
      </c>
      <c r="C17510" s="7" t="n">
        <v>0</v>
      </c>
    </row>
    <row r="17511" spans="1:13">
      <c r="A17511" t="s">
        <v>4</v>
      </c>
      <c r="B17511" s="4" t="s">
        <v>5</v>
      </c>
      <c r="C17511" s="4" t="s">
        <v>11</v>
      </c>
      <c r="D17511" s="4" t="s">
        <v>7</v>
      </c>
      <c r="E17511" s="4" t="s">
        <v>15</v>
      </c>
      <c r="F17511" s="4" t="s">
        <v>55</v>
      </c>
      <c r="G17511" s="4" t="s">
        <v>7</v>
      </c>
      <c r="H17511" s="4" t="s">
        <v>7</v>
      </c>
      <c r="I17511" s="4" t="s">
        <v>7</v>
      </c>
      <c r="J17511" s="4" t="s">
        <v>15</v>
      </c>
      <c r="K17511" s="4" t="s">
        <v>55</v>
      </c>
      <c r="L17511" s="4" t="s">
        <v>7</v>
      </c>
      <c r="M17511" s="4" t="s">
        <v>7</v>
      </c>
    </row>
    <row r="17512" spans="1:13">
      <c r="A17512" t="n">
        <v>168542</v>
      </c>
      <c r="B17512" s="55" t="n">
        <v>26</v>
      </c>
      <c r="C17512" s="7" t="n">
        <v>0</v>
      </c>
      <c r="D17512" s="7" t="n">
        <v>17</v>
      </c>
      <c r="E17512" s="7" t="n">
        <v>64458</v>
      </c>
      <c r="F17512" s="7" t="s">
        <v>1416</v>
      </c>
      <c r="G17512" s="7" t="n">
        <v>2</v>
      </c>
      <c r="H17512" s="7" t="n">
        <v>3</v>
      </c>
      <c r="I17512" s="7" t="n">
        <v>17</v>
      </c>
      <c r="J17512" s="7" t="n">
        <v>64459</v>
      </c>
      <c r="K17512" s="7" t="s">
        <v>1417</v>
      </c>
      <c r="L17512" s="7" t="n">
        <v>2</v>
      </c>
      <c r="M17512" s="7" t="n">
        <v>0</v>
      </c>
    </row>
    <row r="17513" spans="1:13">
      <c r="A17513" t="s">
        <v>4</v>
      </c>
      <c r="B17513" s="4" t="s">
        <v>5</v>
      </c>
    </row>
    <row r="17514" spans="1:13">
      <c r="A17514" t="n">
        <v>168721</v>
      </c>
      <c r="B17514" s="27" t="n">
        <v>28</v>
      </c>
    </row>
    <row r="17515" spans="1:13">
      <c r="A17515" t="s">
        <v>4</v>
      </c>
      <c r="B17515" s="4" t="s">
        <v>5</v>
      </c>
      <c r="C17515" s="4" t="s">
        <v>7</v>
      </c>
      <c r="D17515" s="4" t="s">
        <v>11</v>
      </c>
      <c r="E17515" s="4" t="s">
        <v>11</v>
      </c>
      <c r="F17515" s="4" t="s">
        <v>7</v>
      </c>
    </row>
    <row r="17516" spans="1:13">
      <c r="A17516" t="n">
        <v>168722</v>
      </c>
      <c r="B17516" s="31" t="n">
        <v>25</v>
      </c>
      <c r="C17516" s="7" t="n">
        <v>1</v>
      </c>
      <c r="D17516" s="7" t="n">
        <v>65535</v>
      </c>
      <c r="E17516" s="7" t="n">
        <v>65535</v>
      </c>
      <c r="F17516" s="7" t="n">
        <v>0</v>
      </c>
    </row>
    <row r="17517" spans="1:13">
      <c r="A17517" t="s">
        <v>4</v>
      </c>
      <c r="B17517" s="4" t="s">
        <v>5</v>
      </c>
      <c r="C17517" s="4" t="s">
        <v>7</v>
      </c>
      <c r="D17517" s="4" t="s">
        <v>11</v>
      </c>
      <c r="E17517" s="4" t="s">
        <v>8</v>
      </c>
    </row>
    <row r="17518" spans="1:13">
      <c r="A17518" t="n">
        <v>168729</v>
      </c>
      <c r="B17518" s="38" t="n">
        <v>51</v>
      </c>
      <c r="C17518" s="7" t="n">
        <v>4</v>
      </c>
      <c r="D17518" s="7" t="n">
        <v>4</v>
      </c>
      <c r="E17518" s="7" t="s">
        <v>219</v>
      </c>
    </row>
    <row r="17519" spans="1:13">
      <c r="A17519" t="s">
        <v>4</v>
      </c>
      <c r="B17519" s="4" t="s">
        <v>5</v>
      </c>
      <c r="C17519" s="4" t="s">
        <v>11</v>
      </c>
    </row>
    <row r="17520" spans="1:13">
      <c r="A17520" t="n">
        <v>168742</v>
      </c>
      <c r="B17520" s="29" t="n">
        <v>16</v>
      </c>
      <c r="C17520" s="7" t="n">
        <v>0</v>
      </c>
    </row>
    <row r="17521" spans="1:13">
      <c r="A17521" t="s">
        <v>4</v>
      </c>
      <c r="B17521" s="4" t="s">
        <v>5</v>
      </c>
      <c r="C17521" s="4" t="s">
        <v>11</v>
      </c>
      <c r="D17521" s="4" t="s">
        <v>7</v>
      </c>
      <c r="E17521" s="4" t="s">
        <v>15</v>
      </c>
      <c r="F17521" s="4" t="s">
        <v>55</v>
      </c>
      <c r="G17521" s="4" t="s">
        <v>7</v>
      </c>
      <c r="H17521" s="4" t="s">
        <v>7</v>
      </c>
      <c r="I17521" s="4" t="s">
        <v>7</v>
      </c>
      <c r="J17521" s="4" t="s">
        <v>15</v>
      </c>
      <c r="K17521" s="4" t="s">
        <v>55</v>
      </c>
      <c r="L17521" s="4" t="s">
        <v>7</v>
      </c>
      <c r="M17521" s="4" t="s">
        <v>7</v>
      </c>
    </row>
    <row r="17522" spans="1:13">
      <c r="A17522" t="n">
        <v>168745</v>
      </c>
      <c r="B17522" s="55" t="n">
        <v>26</v>
      </c>
      <c r="C17522" s="7" t="n">
        <v>4</v>
      </c>
      <c r="D17522" s="7" t="n">
        <v>17</v>
      </c>
      <c r="E17522" s="7" t="n">
        <v>64460</v>
      </c>
      <c r="F17522" s="7" t="s">
        <v>1418</v>
      </c>
      <c r="G17522" s="7" t="n">
        <v>2</v>
      </c>
      <c r="H17522" s="7" t="n">
        <v>3</v>
      </c>
      <c r="I17522" s="7" t="n">
        <v>17</v>
      </c>
      <c r="J17522" s="7" t="n">
        <v>64461</v>
      </c>
      <c r="K17522" s="7" t="s">
        <v>1419</v>
      </c>
      <c r="L17522" s="7" t="n">
        <v>2</v>
      </c>
      <c r="M17522" s="7" t="n">
        <v>0</v>
      </c>
    </row>
    <row r="17523" spans="1:13">
      <c r="A17523" t="s">
        <v>4</v>
      </c>
      <c r="B17523" s="4" t="s">
        <v>5</v>
      </c>
    </row>
    <row r="17524" spans="1:13">
      <c r="A17524" t="n">
        <v>168856</v>
      </c>
      <c r="B17524" s="27" t="n">
        <v>28</v>
      </c>
    </row>
    <row r="17525" spans="1:13">
      <c r="A17525" t="s">
        <v>4</v>
      </c>
      <c r="B17525" s="4" t="s">
        <v>5</v>
      </c>
      <c r="C17525" s="4" t="s">
        <v>7</v>
      </c>
      <c r="D17525" s="4" t="s">
        <v>11</v>
      </c>
      <c r="E17525" s="4" t="s">
        <v>8</v>
      </c>
    </row>
    <row r="17526" spans="1:13">
      <c r="A17526" t="n">
        <v>168857</v>
      </c>
      <c r="B17526" s="38" t="n">
        <v>51</v>
      </c>
      <c r="C17526" s="7" t="n">
        <v>4</v>
      </c>
      <c r="D17526" s="7" t="n">
        <v>0</v>
      </c>
      <c r="E17526" s="7" t="s">
        <v>242</v>
      </c>
    </row>
    <row r="17527" spans="1:13">
      <c r="A17527" t="s">
        <v>4</v>
      </c>
      <c r="B17527" s="4" t="s">
        <v>5</v>
      </c>
      <c r="C17527" s="4" t="s">
        <v>11</v>
      </c>
    </row>
    <row r="17528" spans="1:13">
      <c r="A17528" t="n">
        <v>168871</v>
      </c>
      <c r="B17528" s="29" t="n">
        <v>16</v>
      </c>
      <c r="C17528" s="7" t="n">
        <v>0</v>
      </c>
    </row>
    <row r="17529" spans="1:13">
      <c r="A17529" t="s">
        <v>4</v>
      </c>
      <c r="B17529" s="4" t="s">
        <v>5</v>
      </c>
      <c r="C17529" s="4" t="s">
        <v>11</v>
      </c>
      <c r="D17529" s="4" t="s">
        <v>7</v>
      </c>
      <c r="E17529" s="4" t="s">
        <v>15</v>
      </c>
      <c r="F17529" s="4" t="s">
        <v>55</v>
      </c>
      <c r="G17529" s="4" t="s">
        <v>7</v>
      </c>
      <c r="H17529" s="4" t="s">
        <v>7</v>
      </c>
      <c r="I17529" s="4" t="s">
        <v>7</v>
      </c>
      <c r="J17529" s="4" t="s">
        <v>15</v>
      </c>
      <c r="K17529" s="4" t="s">
        <v>55</v>
      </c>
      <c r="L17529" s="4" t="s">
        <v>7</v>
      </c>
      <c r="M17529" s="4" t="s">
        <v>7</v>
      </c>
      <c r="N17529" s="4" t="s">
        <v>7</v>
      </c>
      <c r="O17529" s="4" t="s">
        <v>15</v>
      </c>
      <c r="P17529" s="4" t="s">
        <v>55</v>
      </c>
      <c r="Q17529" s="4" t="s">
        <v>7</v>
      </c>
      <c r="R17529" s="4" t="s">
        <v>7</v>
      </c>
    </row>
    <row r="17530" spans="1:13">
      <c r="A17530" t="n">
        <v>168874</v>
      </c>
      <c r="B17530" s="55" t="n">
        <v>26</v>
      </c>
      <c r="C17530" s="7" t="n">
        <v>0</v>
      </c>
      <c r="D17530" s="7" t="n">
        <v>17</v>
      </c>
      <c r="E17530" s="7" t="n">
        <v>64462</v>
      </c>
      <c r="F17530" s="7" t="s">
        <v>1420</v>
      </c>
      <c r="G17530" s="7" t="n">
        <v>2</v>
      </c>
      <c r="H17530" s="7" t="n">
        <v>3</v>
      </c>
      <c r="I17530" s="7" t="n">
        <v>17</v>
      </c>
      <c r="J17530" s="7" t="n">
        <v>64463</v>
      </c>
      <c r="K17530" s="7" t="s">
        <v>1421</v>
      </c>
      <c r="L17530" s="7" t="n">
        <v>2</v>
      </c>
      <c r="M17530" s="7" t="n">
        <v>3</v>
      </c>
      <c r="N17530" s="7" t="n">
        <v>17</v>
      </c>
      <c r="O17530" s="7" t="n">
        <v>64464</v>
      </c>
      <c r="P17530" s="7" t="s">
        <v>1422</v>
      </c>
      <c r="Q17530" s="7" t="n">
        <v>2</v>
      </c>
      <c r="R17530" s="7" t="n">
        <v>0</v>
      </c>
    </row>
    <row r="17531" spans="1:13">
      <c r="A17531" t="s">
        <v>4</v>
      </c>
      <c r="B17531" s="4" t="s">
        <v>5</v>
      </c>
    </row>
    <row r="17532" spans="1:13">
      <c r="A17532" t="n">
        <v>169183</v>
      </c>
      <c r="B17532" s="27" t="n">
        <v>28</v>
      </c>
    </row>
    <row r="17533" spans="1:13">
      <c r="A17533" t="s">
        <v>4</v>
      </c>
      <c r="B17533" s="4" t="s">
        <v>5</v>
      </c>
      <c r="C17533" s="4" t="s">
        <v>7</v>
      </c>
      <c r="D17533" s="4" t="s">
        <v>11</v>
      </c>
      <c r="E17533" s="4" t="s">
        <v>11</v>
      </c>
      <c r="F17533" s="4" t="s">
        <v>7</v>
      </c>
    </row>
    <row r="17534" spans="1:13">
      <c r="A17534" t="n">
        <v>169184</v>
      </c>
      <c r="B17534" s="31" t="n">
        <v>25</v>
      </c>
      <c r="C17534" s="7" t="n">
        <v>1</v>
      </c>
      <c r="D17534" s="7" t="n">
        <v>65535</v>
      </c>
      <c r="E17534" s="7" t="n">
        <v>65535</v>
      </c>
      <c r="F17534" s="7" t="n">
        <v>0</v>
      </c>
    </row>
    <row r="17535" spans="1:13">
      <c r="A17535" t="s">
        <v>4</v>
      </c>
      <c r="B17535" s="4" t="s">
        <v>5</v>
      </c>
      <c r="C17535" s="4" t="s">
        <v>7</v>
      </c>
      <c r="D17535" s="4" t="s">
        <v>11</v>
      </c>
      <c r="E17535" s="4" t="s">
        <v>8</v>
      </c>
      <c r="F17535" s="4" t="s">
        <v>8</v>
      </c>
      <c r="G17535" s="4" t="s">
        <v>8</v>
      </c>
      <c r="H17535" s="4" t="s">
        <v>8</v>
      </c>
    </row>
    <row r="17536" spans="1:13">
      <c r="A17536" t="n">
        <v>169191</v>
      </c>
      <c r="B17536" s="38" t="n">
        <v>51</v>
      </c>
      <c r="C17536" s="7" t="n">
        <v>3</v>
      </c>
      <c r="D17536" s="7" t="n">
        <v>4</v>
      </c>
      <c r="E17536" s="7" t="s">
        <v>99</v>
      </c>
      <c r="F17536" s="7" t="s">
        <v>79</v>
      </c>
      <c r="G17536" s="7" t="s">
        <v>78</v>
      </c>
      <c r="H17536" s="7" t="s">
        <v>79</v>
      </c>
    </row>
    <row r="17537" spans="1:18">
      <c r="A17537" t="s">
        <v>4</v>
      </c>
      <c r="B17537" s="4" t="s">
        <v>5</v>
      </c>
      <c r="C17537" s="4" t="s">
        <v>11</v>
      </c>
      <c r="D17537" s="4" t="s">
        <v>13</v>
      </c>
      <c r="E17537" s="4" t="s">
        <v>13</v>
      </c>
      <c r="F17537" s="4" t="s">
        <v>13</v>
      </c>
      <c r="G17537" s="4" t="s">
        <v>11</v>
      </c>
      <c r="H17537" s="4" t="s">
        <v>11</v>
      </c>
    </row>
    <row r="17538" spans="1:18">
      <c r="A17538" t="n">
        <v>169204</v>
      </c>
      <c r="B17538" s="37" t="n">
        <v>60</v>
      </c>
      <c r="C17538" s="7" t="n">
        <v>4</v>
      </c>
      <c r="D17538" s="7" t="n">
        <v>0</v>
      </c>
      <c r="E17538" s="7" t="n">
        <v>-10</v>
      </c>
      <c r="F17538" s="7" t="n">
        <v>0</v>
      </c>
      <c r="G17538" s="7" t="n">
        <v>1000</v>
      </c>
      <c r="H17538" s="7" t="n">
        <v>0</v>
      </c>
    </row>
    <row r="17539" spans="1:18">
      <c r="A17539" t="s">
        <v>4</v>
      </c>
      <c r="B17539" s="4" t="s">
        <v>5</v>
      </c>
      <c r="C17539" s="4" t="s">
        <v>11</v>
      </c>
    </row>
    <row r="17540" spans="1:18">
      <c r="A17540" t="n">
        <v>169223</v>
      </c>
      <c r="B17540" s="29" t="n">
        <v>16</v>
      </c>
      <c r="C17540" s="7" t="n">
        <v>1000</v>
      </c>
    </row>
    <row r="17541" spans="1:18">
      <c r="A17541" t="s">
        <v>4</v>
      </c>
      <c r="B17541" s="4" t="s">
        <v>5</v>
      </c>
      <c r="C17541" s="4" t="s">
        <v>7</v>
      </c>
      <c r="D17541" s="4" t="s">
        <v>11</v>
      </c>
      <c r="E17541" s="4" t="s">
        <v>8</v>
      </c>
    </row>
    <row r="17542" spans="1:18">
      <c r="A17542" t="n">
        <v>169226</v>
      </c>
      <c r="B17542" s="38" t="n">
        <v>51</v>
      </c>
      <c r="C17542" s="7" t="n">
        <v>4</v>
      </c>
      <c r="D17542" s="7" t="n">
        <v>4</v>
      </c>
      <c r="E17542" s="7" t="s">
        <v>752</v>
      </c>
    </row>
    <row r="17543" spans="1:18">
      <c r="A17543" t="s">
        <v>4</v>
      </c>
      <c r="B17543" s="4" t="s">
        <v>5</v>
      </c>
      <c r="C17543" s="4" t="s">
        <v>11</v>
      </c>
    </row>
    <row r="17544" spans="1:18">
      <c r="A17544" t="n">
        <v>169240</v>
      </c>
      <c r="B17544" s="29" t="n">
        <v>16</v>
      </c>
      <c r="C17544" s="7" t="n">
        <v>0</v>
      </c>
    </row>
    <row r="17545" spans="1:18">
      <c r="A17545" t="s">
        <v>4</v>
      </c>
      <c r="B17545" s="4" t="s">
        <v>5</v>
      </c>
      <c r="C17545" s="4" t="s">
        <v>11</v>
      </c>
      <c r="D17545" s="4" t="s">
        <v>7</v>
      </c>
      <c r="E17545" s="4" t="s">
        <v>15</v>
      </c>
      <c r="F17545" s="4" t="s">
        <v>55</v>
      </c>
      <c r="G17545" s="4" t="s">
        <v>7</v>
      </c>
      <c r="H17545" s="4" t="s">
        <v>7</v>
      </c>
      <c r="I17545" s="4" t="s">
        <v>7</v>
      </c>
      <c r="J17545" s="4" t="s">
        <v>15</v>
      </c>
      <c r="K17545" s="4" t="s">
        <v>55</v>
      </c>
      <c r="L17545" s="4" t="s">
        <v>7</v>
      </c>
      <c r="M17545" s="4" t="s">
        <v>7</v>
      </c>
      <c r="N17545" s="4" t="s">
        <v>7</v>
      </c>
      <c r="O17545" s="4" t="s">
        <v>15</v>
      </c>
      <c r="P17545" s="4" t="s">
        <v>55</v>
      </c>
      <c r="Q17545" s="4" t="s">
        <v>7</v>
      </c>
      <c r="R17545" s="4" t="s">
        <v>7</v>
      </c>
      <c r="S17545" s="4" t="s">
        <v>7</v>
      </c>
      <c r="T17545" s="4" t="s">
        <v>15</v>
      </c>
      <c r="U17545" s="4" t="s">
        <v>55</v>
      </c>
      <c r="V17545" s="4" t="s">
        <v>7</v>
      </c>
      <c r="W17545" s="4" t="s">
        <v>7</v>
      </c>
    </row>
    <row r="17546" spans="1:18">
      <c r="A17546" t="n">
        <v>169243</v>
      </c>
      <c r="B17546" s="55" t="n">
        <v>26</v>
      </c>
      <c r="C17546" s="7" t="n">
        <v>4</v>
      </c>
      <c r="D17546" s="7" t="n">
        <v>17</v>
      </c>
      <c r="E17546" s="7" t="n">
        <v>64465</v>
      </c>
      <c r="F17546" s="7" t="s">
        <v>1423</v>
      </c>
      <c r="G17546" s="7" t="n">
        <v>2</v>
      </c>
      <c r="H17546" s="7" t="n">
        <v>3</v>
      </c>
      <c r="I17546" s="7" t="n">
        <v>17</v>
      </c>
      <c r="J17546" s="7" t="n">
        <v>64466</v>
      </c>
      <c r="K17546" s="7" t="s">
        <v>1424</v>
      </c>
      <c r="L17546" s="7" t="n">
        <v>2</v>
      </c>
      <c r="M17546" s="7" t="n">
        <v>3</v>
      </c>
      <c r="N17546" s="7" t="n">
        <v>17</v>
      </c>
      <c r="O17546" s="7" t="n">
        <v>64467</v>
      </c>
      <c r="P17546" s="7" t="s">
        <v>1425</v>
      </c>
      <c r="Q17546" s="7" t="n">
        <v>2</v>
      </c>
      <c r="R17546" s="7" t="n">
        <v>3</v>
      </c>
      <c r="S17546" s="7" t="n">
        <v>17</v>
      </c>
      <c r="T17546" s="7" t="n">
        <v>64468</v>
      </c>
      <c r="U17546" s="7" t="s">
        <v>1426</v>
      </c>
      <c r="V17546" s="7" t="n">
        <v>2</v>
      </c>
      <c r="W17546" s="7" t="n">
        <v>0</v>
      </c>
    </row>
    <row r="17547" spans="1:18">
      <c r="A17547" t="s">
        <v>4</v>
      </c>
      <c r="B17547" s="4" t="s">
        <v>5</v>
      </c>
    </row>
    <row r="17548" spans="1:18">
      <c r="A17548" t="n">
        <v>169638</v>
      </c>
      <c r="B17548" s="27" t="n">
        <v>28</v>
      </c>
    </row>
    <row r="17549" spans="1:18">
      <c r="A17549" t="s">
        <v>4</v>
      </c>
      <c r="B17549" s="4" t="s">
        <v>5</v>
      </c>
      <c r="C17549" s="4" t="s">
        <v>7</v>
      </c>
      <c r="D17549" s="4" t="s">
        <v>11</v>
      </c>
      <c r="E17549" s="4" t="s">
        <v>8</v>
      </c>
      <c r="F17549" s="4" t="s">
        <v>8</v>
      </c>
      <c r="G17549" s="4" t="s">
        <v>8</v>
      </c>
      <c r="H17549" s="4" t="s">
        <v>8</v>
      </c>
    </row>
    <row r="17550" spans="1:18">
      <c r="A17550" t="n">
        <v>169639</v>
      </c>
      <c r="B17550" s="38" t="n">
        <v>51</v>
      </c>
      <c r="C17550" s="7" t="n">
        <v>3</v>
      </c>
      <c r="D17550" s="7" t="n">
        <v>4</v>
      </c>
      <c r="E17550" s="7" t="s">
        <v>86</v>
      </c>
      <c r="F17550" s="7" t="s">
        <v>79</v>
      </c>
      <c r="G17550" s="7" t="s">
        <v>78</v>
      </c>
      <c r="H17550" s="7" t="s">
        <v>79</v>
      </c>
    </row>
    <row r="17551" spans="1:18">
      <c r="A17551" t="s">
        <v>4</v>
      </c>
      <c r="B17551" s="4" t="s">
        <v>5</v>
      </c>
      <c r="C17551" s="4" t="s">
        <v>11</v>
      </c>
      <c r="D17551" s="4" t="s">
        <v>13</v>
      </c>
      <c r="E17551" s="4" t="s">
        <v>13</v>
      </c>
      <c r="F17551" s="4" t="s">
        <v>13</v>
      </c>
      <c r="G17551" s="4" t="s">
        <v>11</v>
      </c>
      <c r="H17551" s="4" t="s">
        <v>11</v>
      </c>
    </row>
    <row r="17552" spans="1:18">
      <c r="A17552" t="n">
        <v>169652</v>
      </c>
      <c r="B17552" s="37" t="n">
        <v>60</v>
      </c>
      <c r="C17552" s="7" t="n">
        <v>4</v>
      </c>
      <c r="D17552" s="7" t="n">
        <v>0</v>
      </c>
      <c r="E17552" s="7" t="n">
        <v>0</v>
      </c>
      <c r="F17552" s="7" t="n">
        <v>0</v>
      </c>
      <c r="G17552" s="7" t="n">
        <v>800</v>
      </c>
      <c r="H17552" s="7" t="n">
        <v>0</v>
      </c>
    </row>
    <row r="17553" spans="1:23">
      <c r="A17553" t="s">
        <v>4</v>
      </c>
      <c r="B17553" s="4" t="s">
        <v>5</v>
      </c>
      <c r="C17553" s="4" t="s">
        <v>11</v>
      </c>
    </row>
    <row r="17554" spans="1:23">
      <c r="A17554" t="n">
        <v>169671</v>
      </c>
      <c r="B17554" s="29" t="n">
        <v>16</v>
      </c>
      <c r="C17554" s="7" t="n">
        <v>1000</v>
      </c>
    </row>
    <row r="17555" spans="1:23">
      <c r="A17555" t="s">
        <v>4</v>
      </c>
      <c r="B17555" s="4" t="s">
        <v>5</v>
      </c>
      <c r="C17555" s="4" t="s">
        <v>7</v>
      </c>
      <c r="D17555" s="4" t="s">
        <v>11</v>
      </c>
      <c r="E17555" s="4" t="s">
        <v>8</v>
      </c>
    </row>
    <row r="17556" spans="1:23">
      <c r="A17556" t="n">
        <v>169674</v>
      </c>
      <c r="B17556" s="38" t="n">
        <v>51</v>
      </c>
      <c r="C17556" s="7" t="n">
        <v>4</v>
      </c>
      <c r="D17556" s="7" t="n">
        <v>4</v>
      </c>
      <c r="E17556" s="7" t="s">
        <v>288</v>
      </c>
    </row>
    <row r="17557" spans="1:23">
      <c r="A17557" t="s">
        <v>4</v>
      </c>
      <c r="B17557" s="4" t="s">
        <v>5</v>
      </c>
      <c r="C17557" s="4" t="s">
        <v>11</v>
      </c>
    </row>
    <row r="17558" spans="1:23">
      <c r="A17558" t="n">
        <v>169687</v>
      </c>
      <c r="B17558" s="29" t="n">
        <v>16</v>
      </c>
      <c r="C17558" s="7" t="n">
        <v>0</v>
      </c>
    </row>
    <row r="17559" spans="1:23">
      <c r="A17559" t="s">
        <v>4</v>
      </c>
      <c r="B17559" s="4" t="s">
        <v>5</v>
      </c>
      <c r="C17559" s="4" t="s">
        <v>11</v>
      </c>
      <c r="D17559" s="4" t="s">
        <v>7</v>
      </c>
      <c r="E17559" s="4" t="s">
        <v>15</v>
      </c>
      <c r="F17559" s="4" t="s">
        <v>55</v>
      </c>
      <c r="G17559" s="4" t="s">
        <v>7</v>
      </c>
      <c r="H17559" s="4" t="s">
        <v>7</v>
      </c>
      <c r="I17559" s="4" t="s">
        <v>7</v>
      </c>
      <c r="J17559" s="4" t="s">
        <v>15</v>
      </c>
      <c r="K17559" s="4" t="s">
        <v>55</v>
      </c>
      <c r="L17559" s="4" t="s">
        <v>7</v>
      </c>
      <c r="M17559" s="4" t="s">
        <v>7</v>
      </c>
      <c r="N17559" s="4" t="s">
        <v>7</v>
      </c>
      <c r="O17559" s="4" t="s">
        <v>15</v>
      </c>
      <c r="P17559" s="4" t="s">
        <v>55</v>
      </c>
      <c r="Q17559" s="4" t="s">
        <v>7</v>
      </c>
      <c r="R17559" s="4" t="s">
        <v>7</v>
      </c>
      <c r="S17559" s="4" t="s">
        <v>7</v>
      </c>
      <c r="T17559" s="4" t="s">
        <v>15</v>
      </c>
      <c r="U17559" s="4" t="s">
        <v>55</v>
      </c>
      <c r="V17559" s="4" t="s">
        <v>7</v>
      </c>
      <c r="W17559" s="4" t="s">
        <v>7</v>
      </c>
    </row>
    <row r="17560" spans="1:23">
      <c r="A17560" t="n">
        <v>169690</v>
      </c>
      <c r="B17560" s="55" t="n">
        <v>26</v>
      </c>
      <c r="C17560" s="7" t="n">
        <v>4</v>
      </c>
      <c r="D17560" s="7" t="n">
        <v>17</v>
      </c>
      <c r="E17560" s="7" t="n">
        <v>64469</v>
      </c>
      <c r="F17560" s="7" t="s">
        <v>1427</v>
      </c>
      <c r="G17560" s="7" t="n">
        <v>2</v>
      </c>
      <c r="H17560" s="7" t="n">
        <v>3</v>
      </c>
      <c r="I17560" s="7" t="n">
        <v>17</v>
      </c>
      <c r="J17560" s="7" t="n">
        <v>64470</v>
      </c>
      <c r="K17560" s="7" t="s">
        <v>1428</v>
      </c>
      <c r="L17560" s="7" t="n">
        <v>2</v>
      </c>
      <c r="M17560" s="7" t="n">
        <v>3</v>
      </c>
      <c r="N17560" s="7" t="n">
        <v>17</v>
      </c>
      <c r="O17560" s="7" t="n">
        <v>64471</v>
      </c>
      <c r="P17560" s="7" t="s">
        <v>1429</v>
      </c>
      <c r="Q17560" s="7" t="n">
        <v>2</v>
      </c>
      <c r="R17560" s="7" t="n">
        <v>3</v>
      </c>
      <c r="S17560" s="7" t="n">
        <v>17</v>
      </c>
      <c r="T17560" s="7" t="n">
        <v>64472</v>
      </c>
      <c r="U17560" s="7" t="s">
        <v>1430</v>
      </c>
      <c r="V17560" s="7" t="n">
        <v>2</v>
      </c>
      <c r="W17560" s="7" t="n">
        <v>0</v>
      </c>
    </row>
    <row r="17561" spans="1:23">
      <c r="A17561" t="s">
        <v>4</v>
      </c>
      <c r="B17561" s="4" t="s">
        <v>5</v>
      </c>
    </row>
    <row r="17562" spans="1:23">
      <c r="A17562" t="n">
        <v>170031</v>
      </c>
      <c r="B17562" s="27" t="n">
        <v>28</v>
      </c>
    </row>
    <row r="17563" spans="1:23">
      <c r="A17563" t="s">
        <v>4</v>
      </c>
      <c r="B17563" s="4" t="s">
        <v>5</v>
      </c>
      <c r="C17563" s="4" t="s">
        <v>11</v>
      </c>
      <c r="D17563" s="4" t="s">
        <v>7</v>
      </c>
      <c r="E17563" s="4" t="s">
        <v>7</v>
      </c>
      <c r="F17563" s="4" t="s">
        <v>8</v>
      </c>
    </row>
    <row r="17564" spans="1:23">
      <c r="A17564" t="n">
        <v>170032</v>
      </c>
      <c r="B17564" s="50" t="n">
        <v>20</v>
      </c>
      <c r="C17564" s="7" t="n">
        <v>0</v>
      </c>
      <c r="D17564" s="7" t="n">
        <v>2</v>
      </c>
      <c r="E17564" s="7" t="n">
        <v>10</v>
      </c>
      <c r="F17564" s="7" t="s">
        <v>223</v>
      </c>
    </row>
    <row r="17565" spans="1:23">
      <c r="A17565" t="s">
        <v>4</v>
      </c>
      <c r="B17565" s="4" t="s">
        <v>5</v>
      </c>
      <c r="C17565" s="4" t="s">
        <v>7</v>
      </c>
      <c r="D17565" s="4" t="s">
        <v>11</v>
      </c>
      <c r="E17565" s="4" t="s">
        <v>8</v>
      </c>
    </row>
    <row r="17566" spans="1:23">
      <c r="A17566" t="n">
        <v>170053</v>
      </c>
      <c r="B17566" s="38" t="n">
        <v>51</v>
      </c>
      <c r="C17566" s="7" t="n">
        <v>4</v>
      </c>
      <c r="D17566" s="7" t="n">
        <v>0</v>
      </c>
      <c r="E17566" s="7" t="s">
        <v>247</v>
      </c>
    </row>
    <row r="17567" spans="1:23">
      <c r="A17567" t="s">
        <v>4</v>
      </c>
      <c r="B17567" s="4" t="s">
        <v>5</v>
      </c>
      <c r="C17567" s="4" t="s">
        <v>11</v>
      </c>
    </row>
    <row r="17568" spans="1:23">
      <c r="A17568" t="n">
        <v>170067</v>
      </c>
      <c r="B17568" s="29" t="n">
        <v>16</v>
      </c>
      <c r="C17568" s="7" t="n">
        <v>0</v>
      </c>
    </row>
    <row r="17569" spans="1:23">
      <c r="A17569" t="s">
        <v>4</v>
      </c>
      <c r="B17569" s="4" t="s">
        <v>5</v>
      </c>
      <c r="C17569" s="4" t="s">
        <v>11</v>
      </c>
      <c r="D17569" s="4" t="s">
        <v>7</v>
      </c>
      <c r="E17569" s="4" t="s">
        <v>15</v>
      </c>
      <c r="F17569" s="4" t="s">
        <v>55</v>
      </c>
      <c r="G17569" s="4" t="s">
        <v>7</v>
      </c>
      <c r="H17569" s="4" t="s">
        <v>7</v>
      </c>
      <c r="I17569" s="4" t="s">
        <v>7</v>
      </c>
      <c r="J17569" s="4" t="s">
        <v>15</v>
      </c>
      <c r="K17569" s="4" t="s">
        <v>55</v>
      </c>
      <c r="L17569" s="4" t="s">
        <v>7</v>
      </c>
      <c r="M17569" s="4" t="s">
        <v>7</v>
      </c>
    </row>
    <row r="17570" spans="1:23">
      <c r="A17570" t="n">
        <v>170070</v>
      </c>
      <c r="B17570" s="55" t="n">
        <v>26</v>
      </c>
      <c r="C17570" s="7" t="n">
        <v>0</v>
      </c>
      <c r="D17570" s="7" t="n">
        <v>17</v>
      </c>
      <c r="E17570" s="7" t="n">
        <v>64473</v>
      </c>
      <c r="F17570" s="7" t="s">
        <v>1431</v>
      </c>
      <c r="G17570" s="7" t="n">
        <v>2</v>
      </c>
      <c r="H17570" s="7" t="n">
        <v>3</v>
      </c>
      <c r="I17570" s="7" t="n">
        <v>17</v>
      </c>
      <c r="J17570" s="7" t="n">
        <v>64474</v>
      </c>
      <c r="K17570" s="7" t="s">
        <v>1432</v>
      </c>
      <c r="L17570" s="7" t="n">
        <v>2</v>
      </c>
      <c r="M17570" s="7" t="n">
        <v>0</v>
      </c>
    </row>
    <row r="17571" spans="1:23">
      <c r="A17571" t="s">
        <v>4</v>
      </c>
      <c r="B17571" s="4" t="s">
        <v>5</v>
      </c>
    </row>
    <row r="17572" spans="1:23">
      <c r="A17572" t="n">
        <v>170193</v>
      </c>
      <c r="B17572" s="27" t="n">
        <v>28</v>
      </c>
    </row>
    <row r="17573" spans="1:23">
      <c r="A17573" t="s">
        <v>4</v>
      </c>
      <c r="B17573" s="4" t="s">
        <v>5</v>
      </c>
      <c r="C17573" s="4" t="s">
        <v>7</v>
      </c>
      <c r="D17573" s="4" t="s">
        <v>11</v>
      </c>
      <c r="E17573" s="4" t="s">
        <v>11</v>
      </c>
      <c r="F17573" s="4" t="s">
        <v>7</v>
      </c>
    </row>
    <row r="17574" spans="1:23">
      <c r="A17574" t="n">
        <v>170194</v>
      </c>
      <c r="B17574" s="31" t="n">
        <v>25</v>
      </c>
      <c r="C17574" s="7" t="n">
        <v>1</v>
      </c>
      <c r="D17574" s="7" t="n">
        <v>65535</v>
      </c>
      <c r="E17574" s="7" t="n">
        <v>65535</v>
      </c>
      <c r="F17574" s="7" t="n">
        <v>0</v>
      </c>
    </row>
    <row r="17575" spans="1:23">
      <c r="A17575" t="s">
        <v>4</v>
      </c>
      <c r="B17575" s="4" t="s">
        <v>5</v>
      </c>
      <c r="C17575" s="4" t="s">
        <v>7</v>
      </c>
      <c r="D17575" s="4" t="s">
        <v>11</v>
      </c>
      <c r="E17575" s="4" t="s">
        <v>8</v>
      </c>
    </row>
    <row r="17576" spans="1:23">
      <c r="A17576" t="n">
        <v>170201</v>
      </c>
      <c r="B17576" s="38" t="n">
        <v>51</v>
      </c>
      <c r="C17576" s="7" t="n">
        <v>4</v>
      </c>
      <c r="D17576" s="7" t="n">
        <v>4</v>
      </c>
      <c r="E17576" s="7" t="s">
        <v>238</v>
      </c>
    </row>
    <row r="17577" spans="1:23">
      <c r="A17577" t="s">
        <v>4</v>
      </c>
      <c r="B17577" s="4" t="s">
        <v>5</v>
      </c>
      <c r="C17577" s="4" t="s">
        <v>11</v>
      </c>
    </row>
    <row r="17578" spans="1:23">
      <c r="A17578" t="n">
        <v>170215</v>
      </c>
      <c r="B17578" s="29" t="n">
        <v>16</v>
      </c>
      <c r="C17578" s="7" t="n">
        <v>0</v>
      </c>
    </row>
    <row r="17579" spans="1:23">
      <c r="A17579" t="s">
        <v>4</v>
      </c>
      <c r="B17579" s="4" t="s">
        <v>5</v>
      </c>
      <c r="C17579" s="4" t="s">
        <v>11</v>
      </c>
      <c r="D17579" s="4" t="s">
        <v>7</v>
      </c>
      <c r="E17579" s="4" t="s">
        <v>15</v>
      </c>
      <c r="F17579" s="4" t="s">
        <v>55</v>
      </c>
      <c r="G17579" s="4" t="s">
        <v>7</v>
      </c>
      <c r="H17579" s="4" t="s">
        <v>7</v>
      </c>
    </row>
    <row r="17580" spans="1:23">
      <c r="A17580" t="n">
        <v>170218</v>
      </c>
      <c r="B17580" s="55" t="n">
        <v>26</v>
      </c>
      <c r="C17580" s="7" t="n">
        <v>4</v>
      </c>
      <c r="D17580" s="7" t="n">
        <v>17</v>
      </c>
      <c r="E17580" s="7" t="n">
        <v>64475</v>
      </c>
      <c r="F17580" s="7" t="s">
        <v>1433</v>
      </c>
      <c r="G17580" s="7" t="n">
        <v>2</v>
      </c>
      <c r="H17580" s="7" t="n">
        <v>0</v>
      </c>
    </row>
    <row r="17581" spans="1:23">
      <c r="A17581" t="s">
        <v>4</v>
      </c>
      <c r="B17581" s="4" t="s">
        <v>5</v>
      </c>
    </row>
    <row r="17582" spans="1:23">
      <c r="A17582" t="n">
        <v>170238</v>
      </c>
      <c r="B17582" s="27" t="n">
        <v>28</v>
      </c>
    </row>
    <row r="17583" spans="1:23">
      <c r="A17583" t="s">
        <v>4</v>
      </c>
      <c r="B17583" s="4" t="s">
        <v>5</v>
      </c>
      <c r="C17583" s="4" t="s">
        <v>7</v>
      </c>
      <c r="D17583" s="4" t="s">
        <v>11</v>
      </c>
      <c r="E17583" s="4" t="s">
        <v>13</v>
      </c>
    </row>
    <row r="17584" spans="1:23">
      <c r="A17584" t="n">
        <v>170239</v>
      </c>
      <c r="B17584" s="23" t="n">
        <v>58</v>
      </c>
      <c r="C17584" s="7" t="n">
        <v>0</v>
      </c>
      <c r="D17584" s="7" t="n">
        <v>2000</v>
      </c>
      <c r="E17584" s="7" t="n">
        <v>1</v>
      </c>
    </row>
    <row r="17585" spans="1:13">
      <c r="A17585" t="s">
        <v>4</v>
      </c>
      <c r="B17585" s="4" t="s">
        <v>5</v>
      </c>
      <c r="C17585" s="4" t="s">
        <v>7</v>
      </c>
      <c r="D17585" s="4" t="s">
        <v>11</v>
      </c>
    </row>
    <row r="17586" spans="1:13">
      <c r="A17586" t="n">
        <v>170247</v>
      </c>
      <c r="B17586" s="23" t="n">
        <v>58</v>
      </c>
      <c r="C17586" s="7" t="n">
        <v>255</v>
      </c>
      <c r="D17586" s="7" t="n">
        <v>0</v>
      </c>
    </row>
    <row r="17587" spans="1:13">
      <c r="A17587" t="s">
        <v>4</v>
      </c>
      <c r="B17587" s="4" t="s">
        <v>5</v>
      </c>
      <c r="C17587" s="4" t="s">
        <v>11</v>
      </c>
    </row>
    <row r="17588" spans="1:13">
      <c r="A17588" t="n">
        <v>170251</v>
      </c>
      <c r="B17588" s="29" t="n">
        <v>16</v>
      </c>
      <c r="C17588" s="7" t="n">
        <v>1000</v>
      </c>
    </row>
    <row r="17589" spans="1:13">
      <c r="A17589" t="s">
        <v>4</v>
      </c>
      <c r="B17589" s="4" t="s">
        <v>5</v>
      </c>
      <c r="C17589" s="4" t="s">
        <v>11</v>
      </c>
    </row>
    <row r="17590" spans="1:13">
      <c r="A17590" t="n">
        <v>170254</v>
      </c>
      <c r="B17590" s="43" t="n">
        <v>12</v>
      </c>
      <c r="C17590" s="7" t="n">
        <v>10307</v>
      </c>
    </row>
    <row r="17591" spans="1:13">
      <c r="A17591" t="s">
        <v>4</v>
      </c>
      <c r="B17591" s="4" t="s">
        <v>5</v>
      </c>
      <c r="C17591" s="4" t="s">
        <v>7</v>
      </c>
      <c r="D17591" s="4" t="s">
        <v>11</v>
      </c>
      <c r="E17591" s="4" t="s">
        <v>11</v>
      </c>
    </row>
    <row r="17592" spans="1:13">
      <c r="A17592" t="n">
        <v>170257</v>
      </c>
      <c r="B17592" s="59" t="n">
        <v>135</v>
      </c>
      <c r="C17592" s="7" t="n">
        <v>0</v>
      </c>
      <c r="D17592" s="7" t="n">
        <v>4</v>
      </c>
      <c r="E17592" s="7" t="n">
        <v>64</v>
      </c>
    </row>
    <row r="17593" spans="1:13">
      <c r="A17593" t="s">
        <v>4</v>
      </c>
      <c r="B17593" s="4" t="s">
        <v>5</v>
      </c>
      <c r="C17593" s="4" t="s">
        <v>7</v>
      </c>
      <c r="D17593" s="4" t="s">
        <v>8</v>
      </c>
    </row>
    <row r="17594" spans="1:13">
      <c r="A17594" t="n">
        <v>170263</v>
      </c>
      <c r="B17594" s="6" t="n">
        <v>2</v>
      </c>
      <c r="C17594" s="7" t="n">
        <v>11</v>
      </c>
      <c r="D17594" s="7" t="s">
        <v>37</v>
      </c>
    </row>
    <row r="17595" spans="1:13">
      <c r="A17595" t="s">
        <v>4</v>
      </c>
      <c r="B17595" s="4" t="s">
        <v>5</v>
      </c>
      <c r="C17595" s="4" t="s">
        <v>11</v>
      </c>
      <c r="D17595" s="4" t="s">
        <v>13</v>
      </c>
      <c r="E17595" s="4" t="s">
        <v>13</v>
      </c>
      <c r="F17595" s="4" t="s">
        <v>13</v>
      </c>
      <c r="G17595" s="4" t="s">
        <v>13</v>
      </c>
    </row>
    <row r="17596" spans="1:13">
      <c r="A17596" t="n">
        <v>170287</v>
      </c>
      <c r="B17596" s="36" t="n">
        <v>46</v>
      </c>
      <c r="C17596" s="7" t="n">
        <v>61456</v>
      </c>
      <c r="D17596" s="7" t="n">
        <v>-19.0799999237061</v>
      </c>
      <c r="E17596" s="7" t="n">
        <v>5.01000022888184</v>
      </c>
      <c r="F17596" s="7" t="n">
        <v>49.6599998474121</v>
      </c>
      <c r="G17596" s="7" t="n">
        <v>117.900001525879</v>
      </c>
    </row>
    <row r="17597" spans="1:13">
      <c r="A17597" t="s">
        <v>4</v>
      </c>
      <c r="B17597" s="4" t="s">
        <v>5</v>
      </c>
      <c r="C17597" s="4" t="s">
        <v>7</v>
      </c>
      <c r="D17597" s="4" t="s">
        <v>7</v>
      </c>
      <c r="E17597" s="4" t="s">
        <v>13</v>
      </c>
      <c r="F17597" s="4" t="s">
        <v>13</v>
      </c>
      <c r="G17597" s="4" t="s">
        <v>13</v>
      </c>
      <c r="H17597" s="4" t="s">
        <v>11</v>
      </c>
      <c r="I17597" s="4" t="s">
        <v>7</v>
      </c>
    </row>
    <row r="17598" spans="1:13">
      <c r="A17598" t="n">
        <v>170306</v>
      </c>
      <c r="B17598" s="51" t="n">
        <v>45</v>
      </c>
      <c r="C17598" s="7" t="n">
        <v>4</v>
      </c>
      <c r="D17598" s="7" t="n">
        <v>3</v>
      </c>
      <c r="E17598" s="7" t="n">
        <v>8.38000011444092</v>
      </c>
      <c r="F17598" s="7" t="n">
        <v>153.600006103516</v>
      </c>
      <c r="G17598" s="7" t="n">
        <v>0</v>
      </c>
      <c r="H17598" s="7" t="n">
        <v>0</v>
      </c>
      <c r="I17598" s="7" t="n">
        <v>0</v>
      </c>
    </row>
    <row r="17599" spans="1:13">
      <c r="A17599" t="s">
        <v>4</v>
      </c>
      <c r="B17599" s="4" t="s">
        <v>5</v>
      </c>
      <c r="C17599" s="4" t="s">
        <v>7</v>
      </c>
      <c r="D17599" s="4" t="s">
        <v>8</v>
      </c>
    </row>
    <row r="17600" spans="1:13">
      <c r="A17600" t="n">
        <v>170324</v>
      </c>
      <c r="B17600" s="6" t="n">
        <v>2</v>
      </c>
      <c r="C17600" s="7" t="n">
        <v>10</v>
      </c>
      <c r="D17600" s="7" t="s">
        <v>119</v>
      </c>
    </row>
    <row r="17601" spans="1:9">
      <c r="A17601" t="s">
        <v>4</v>
      </c>
      <c r="B17601" s="4" t="s">
        <v>5</v>
      </c>
      <c r="C17601" s="4" t="s">
        <v>11</v>
      </c>
    </row>
    <row r="17602" spans="1:9">
      <c r="A17602" t="n">
        <v>170339</v>
      </c>
      <c r="B17602" s="29" t="n">
        <v>16</v>
      </c>
      <c r="C17602" s="7" t="n">
        <v>0</v>
      </c>
    </row>
    <row r="17603" spans="1:9">
      <c r="A17603" t="s">
        <v>4</v>
      </c>
      <c r="B17603" s="4" t="s">
        <v>5</v>
      </c>
      <c r="C17603" s="4" t="s">
        <v>7</v>
      </c>
      <c r="D17603" s="4" t="s">
        <v>11</v>
      </c>
    </row>
    <row r="17604" spans="1:9">
      <c r="A17604" t="n">
        <v>170342</v>
      </c>
      <c r="B17604" s="23" t="n">
        <v>58</v>
      </c>
      <c r="C17604" s="7" t="n">
        <v>105</v>
      </c>
      <c r="D17604" s="7" t="n">
        <v>300</v>
      </c>
    </row>
    <row r="17605" spans="1:9">
      <c r="A17605" t="s">
        <v>4</v>
      </c>
      <c r="B17605" s="4" t="s">
        <v>5</v>
      </c>
      <c r="C17605" s="4" t="s">
        <v>13</v>
      </c>
      <c r="D17605" s="4" t="s">
        <v>11</v>
      </c>
    </row>
    <row r="17606" spans="1:9">
      <c r="A17606" t="n">
        <v>170346</v>
      </c>
      <c r="B17606" s="46" t="n">
        <v>103</v>
      </c>
      <c r="C17606" s="7" t="n">
        <v>1</v>
      </c>
      <c r="D17606" s="7" t="n">
        <v>300</v>
      </c>
    </row>
    <row r="17607" spans="1:9">
      <c r="A17607" t="s">
        <v>4</v>
      </c>
      <c r="B17607" s="4" t="s">
        <v>5</v>
      </c>
      <c r="C17607" s="4" t="s">
        <v>7</v>
      </c>
      <c r="D17607" s="4" t="s">
        <v>11</v>
      </c>
    </row>
    <row r="17608" spans="1:9">
      <c r="A17608" t="n">
        <v>170353</v>
      </c>
      <c r="B17608" s="48" t="n">
        <v>72</v>
      </c>
      <c r="C17608" s="7" t="n">
        <v>4</v>
      </c>
      <c r="D17608" s="7" t="n">
        <v>0</v>
      </c>
    </row>
    <row r="17609" spans="1:9">
      <c r="A17609" t="s">
        <v>4</v>
      </c>
      <c r="B17609" s="4" t="s">
        <v>5</v>
      </c>
      <c r="C17609" s="4" t="s">
        <v>15</v>
      </c>
    </row>
    <row r="17610" spans="1:9">
      <c r="A17610" t="n">
        <v>170357</v>
      </c>
      <c r="B17610" s="61" t="n">
        <v>15</v>
      </c>
      <c r="C17610" s="7" t="n">
        <v>1073741824</v>
      </c>
    </row>
    <row r="17611" spans="1:9">
      <c r="A17611" t="s">
        <v>4</v>
      </c>
      <c r="B17611" s="4" t="s">
        <v>5</v>
      </c>
      <c r="C17611" s="4" t="s">
        <v>7</v>
      </c>
    </row>
    <row r="17612" spans="1:9">
      <c r="A17612" t="n">
        <v>170362</v>
      </c>
      <c r="B17612" s="47" t="n">
        <v>64</v>
      </c>
      <c r="C17612" s="7" t="n">
        <v>3</v>
      </c>
    </row>
    <row r="17613" spans="1:9">
      <c r="A17613" t="s">
        <v>4</v>
      </c>
      <c r="B17613" s="4" t="s">
        <v>5</v>
      </c>
      <c r="C17613" s="4" t="s">
        <v>7</v>
      </c>
    </row>
    <row r="17614" spans="1:9">
      <c r="A17614" t="n">
        <v>170364</v>
      </c>
      <c r="B17614" s="45" t="n">
        <v>74</v>
      </c>
      <c r="C17614" s="7" t="n">
        <v>67</v>
      </c>
    </row>
    <row r="17615" spans="1:9">
      <c r="A17615" t="s">
        <v>4</v>
      </c>
      <c r="B17615" s="4" t="s">
        <v>5</v>
      </c>
      <c r="C17615" s="4" t="s">
        <v>7</v>
      </c>
      <c r="D17615" s="4" t="s">
        <v>7</v>
      </c>
      <c r="E17615" s="4" t="s">
        <v>11</v>
      </c>
    </row>
    <row r="17616" spans="1:9">
      <c r="A17616" t="n">
        <v>170366</v>
      </c>
      <c r="B17616" s="51" t="n">
        <v>45</v>
      </c>
      <c r="C17616" s="7" t="n">
        <v>8</v>
      </c>
      <c r="D17616" s="7" t="n">
        <v>1</v>
      </c>
      <c r="E17616" s="7" t="n">
        <v>0</v>
      </c>
    </row>
    <row r="17617" spans="1:5">
      <c r="A17617" t="s">
        <v>4</v>
      </c>
      <c r="B17617" s="4" t="s">
        <v>5</v>
      </c>
      <c r="C17617" s="4" t="s">
        <v>11</v>
      </c>
    </row>
    <row r="17618" spans="1:5">
      <c r="A17618" t="n">
        <v>170371</v>
      </c>
      <c r="B17618" s="12" t="n">
        <v>13</v>
      </c>
      <c r="C17618" s="7" t="n">
        <v>6409</v>
      </c>
    </row>
    <row r="17619" spans="1:5">
      <c r="A17619" t="s">
        <v>4</v>
      </c>
      <c r="B17619" s="4" t="s">
        <v>5</v>
      </c>
      <c r="C17619" s="4" t="s">
        <v>11</v>
      </c>
    </row>
    <row r="17620" spans="1:5">
      <c r="A17620" t="n">
        <v>170374</v>
      </c>
      <c r="B17620" s="12" t="n">
        <v>13</v>
      </c>
      <c r="C17620" s="7" t="n">
        <v>6408</v>
      </c>
    </row>
    <row r="17621" spans="1:5">
      <c r="A17621" t="s">
        <v>4</v>
      </c>
      <c r="B17621" s="4" t="s">
        <v>5</v>
      </c>
      <c r="C17621" s="4" t="s">
        <v>11</v>
      </c>
    </row>
    <row r="17622" spans="1:5">
      <c r="A17622" t="n">
        <v>170377</v>
      </c>
      <c r="B17622" s="43" t="n">
        <v>12</v>
      </c>
      <c r="C17622" s="7" t="n">
        <v>6464</v>
      </c>
    </row>
    <row r="17623" spans="1:5">
      <c r="A17623" t="s">
        <v>4</v>
      </c>
      <c r="B17623" s="4" t="s">
        <v>5</v>
      </c>
      <c r="C17623" s="4" t="s">
        <v>11</v>
      </c>
    </row>
    <row r="17624" spans="1:5">
      <c r="A17624" t="n">
        <v>170380</v>
      </c>
      <c r="B17624" s="12" t="n">
        <v>13</v>
      </c>
      <c r="C17624" s="7" t="n">
        <v>6465</v>
      </c>
    </row>
    <row r="17625" spans="1:5">
      <c r="A17625" t="s">
        <v>4</v>
      </c>
      <c r="B17625" s="4" t="s">
        <v>5</v>
      </c>
      <c r="C17625" s="4" t="s">
        <v>11</v>
      </c>
    </row>
    <row r="17626" spans="1:5">
      <c r="A17626" t="n">
        <v>170383</v>
      </c>
      <c r="B17626" s="12" t="n">
        <v>13</v>
      </c>
      <c r="C17626" s="7" t="n">
        <v>6466</v>
      </c>
    </row>
    <row r="17627" spans="1:5">
      <c r="A17627" t="s">
        <v>4</v>
      </c>
      <c r="B17627" s="4" t="s">
        <v>5</v>
      </c>
      <c r="C17627" s="4" t="s">
        <v>11</v>
      </c>
    </row>
    <row r="17628" spans="1:5">
      <c r="A17628" t="n">
        <v>170386</v>
      </c>
      <c r="B17628" s="12" t="n">
        <v>13</v>
      </c>
      <c r="C17628" s="7" t="n">
        <v>6467</v>
      </c>
    </row>
    <row r="17629" spans="1:5">
      <c r="A17629" t="s">
        <v>4</v>
      </c>
      <c r="B17629" s="4" t="s">
        <v>5</v>
      </c>
      <c r="C17629" s="4" t="s">
        <v>11</v>
      </c>
    </row>
    <row r="17630" spans="1:5">
      <c r="A17630" t="n">
        <v>170389</v>
      </c>
      <c r="B17630" s="12" t="n">
        <v>13</v>
      </c>
      <c r="C17630" s="7" t="n">
        <v>6468</v>
      </c>
    </row>
    <row r="17631" spans="1:5">
      <c r="A17631" t="s">
        <v>4</v>
      </c>
      <c r="B17631" s="4" t="s">
        <v>5</v>
      </c>
      <c r="C17631" s="4" t="s">
        <v>11</v>
      </c>
    </row>
    <row r="17632" spans="1:5">
      <c r="A17632" t="n">
        <v>170392</v>
      </c>
      <c r="B17632" s="12" t="n">
        <v>13</v>
      </c>
      <c r="C17632" s="7" t="n">
        <v>6469</v>
      </c>
    </row>
    <row r="17633" spans="1:3">
      <c r="A17633" t="s">
        <v>4</v>
      </c>
      <c r="B17633" s="4" t="s">
        <v>5</v>
      </c>
      <c r="C17633" s="4" t="s">
        <v>11</v>
      </c>
    </row>
    <row r="17634" spans="1:3">
      <c r="A17634" t="n">
        <v>170395</v>
      </c>
      <c r="B17634" s="12" t="n">
        <v>13</v>
      </c>
      <c r="C17634" s="7" t="n">
        <v>6470</v>
      </c>
    </row>
    <row r="17635" spans="1:3">
      <c r="A17635" t="s">
        <v>4</v>
      </c>
      <c r="B17635" s="4" t="s">
        <v>5</v>
      </c>
      <c r="C17635" s="4" t="s">
        <v>11</v>
      </c>
    </row>
    <row r="17636" spans="1:3">
      <c r="A17636" t="n">
        <v>170398</v>
      </c>
      <c r="B17636" s="12" t="n">
        <v>13</v>
      </c>
      <c r="C17636" s="7" t="n">
        <v>6471</v>
      </c>
    </row>
    <row r="17637" spans="1:3">
      <c r="A17637" t="s">
        <v>4</v>
      </c>
      <c r="B17637" s="4" t="s">
        <v>5</v>
      </c>
      <c r="C17637" s="4" t="s">
        <v>7</v>
      </c>
    </row>
    <row r="17638" spans="1:3">
      <c r="A17638" t="n">
        <v>170401</v>
      </c>
      <c r="B17638" s="45" t="n">
        <v>74</v>
      </c>
      <c r="C17638" s="7" t="n">
        <v>18</v>
      </c>
    </row>
    <row r="17639" spans="1:3">
      <c r="A17639" t="s">
        <v>4</v>
      </c>
      <c r="B17639" s="4" t="s">
        <v>5</v>
      </c>
      <c r="C17639" s="4" t="s">
        <v>7</v>
      </c>
    </row>
    <row r="17640" spans="1:3">
      <c r="A17640" t="n">
        <v>170403</v>
      </c>
      <c r="B17640" s="45" t="n">
        <v>74</v>
      </c>
      <c r="C17640" s="7" t="n">
        <v>45</v>
      </c>
    </row>
    <row r="17641" spans="1:3">
      <c r="A17641" t="s">
        <v>4</v>
      </c>
      <c r="B17641" s="4" t="s">
        <v>5</v>
      </c>
      <c r="C17641" s="4" t="s">
        <v>11</v>
      </c>
    </row>
    <row r="17642" spans="1:3">
      <c r="A17642" t="n">
        <v>170405</v>
      </c>
      <c r="B17642" s="29" t="n">
        <v>16</v>
      </c>
      <c r="C17642" s="7" t="n">
        <v>0</v>
      </c>
    </row>
    <row r="17643" spans="1:3">
      <c r="A17643" t="s">
        <v>4</v>
      </c>
      <c r="B17643" s="4" t="s">
        <v>5</v>
      </c>
      <c r="C17643" s="4" t="s">
        <v>7</v>
      </c>
      <c r="D17643" s="4" t="s">
        <v>7</v>
      </c>
      <c r="E17643" s="4" t="s">
        <v>7</v>
      </c>
      <c r="F17643" s="4" t="s">
        <v>7</v>
      </c>
    </row>
    <row r="17644" spans="1:3">
      <c r="A17644" t="n">
        <v>170408</v>
      </c>
      <c r="B17644" s="9" t="n">
        <v>14</v>
      </c>
      <c r="C17644" s="7" t="n">
        <v>0</v>
      </c>
      <c r="D17644" s="7" t="n">
        <v>8</v>
      </c>
      <c r="E17644" s="7" t="n">
        <v>0</v>
      </c>
      <c r="F17644" s="7" t="n">
        <v>0</v>
      </c>
    </row>
    <row r="17645" spans="1:3">
      <c r="A17645" t="s">
        <v>4</v>
      </c>
      <c r="B17645" s="4" t="s">
        <v>5</v>
      </c>
      <c r="C17645" s="4" t="s">
        <v>7</v>
      </c>
      <c r="D17645" s="4" t="s">
        <v>8</v>
      </c>
    </row>
    <row r="17646" spans="1:3">
      <c r="A17646" t="n">
        <v>170413</v>
      </c>
      <c r="B17646" s="6" t="n">
        <v>2</v>
      </c>
      <c r="C17646" s="7" t="n">
        <v>11</v>
      </c>
      <c r="D17646" s="7" t="s">
        <v>14</v>
      </c>
    </row>
    <row r="17647" spans="1:3">
      <c r="A17647" t="s">
        <v>4</v>
      </c>
      <c r="B17647" s="4" t="s">
        <v>5</v>
      </c>
      <c r="C17647" s="4" t="s">
        <v>11</v>
      </c>
    </row>
    <row r="17648" spans="1:3">
      <c r="A17648" t="n">
        <v>170427</v>
      </c>
      <c r="B17648" s="29" t="n">
        <v>16</v>
      </c>
      <c r="C17648" s="7" t="n">
        <v>0</v>
      </c>
    </row>
    <row r="17649" spans="1:6">
      <c r="A17649" t="s">
        <v>4</v>
      </c>
      <c r="B17649" s="4" t="s">
        <v>5</v>
      </c>
      <c r="C17649" s="4" t="s">
        <v>7</v>
      </c>
      <c r="D17649" s="4" t="s">
        <v>8</v>
      </c>
    </row>
    <row r="17650" spans="1:6">
      <c r="A17650" t="n">
        <v>170430</v>
      </c>
      <c r="B17650" s="6" t="n">
        <v>2</v>
      </c>
      <c r="C17650" s="7" t="n">
        <v>11</v>
      </c>
      <c r="D17650" s="7" t="s">
        <v>120</v>
      </c>
    </row>
    <row r="17651" spans="1:6">
      <c r="A17651" t="s">
        <v>4</v>
      </c>
      <c r="B17651" s="4" t="s">
        <v>5</v>
      </c>
      <c r="C17651" s="4" t="s">
        <v>11</v>
      </c>
    </row>
    <row r="17652" spans="1:6">
      <c r="A17652" t="n">
        <v>170439</v>
      </c>
      <c r="B17652" s="29" t="n">
        <v>16</v>
      </c>
      <c r="C17652" s="7" t="n">
        <v>0</v>
      </c>
    </row>
    <row r="17653" spans="1:6">
      <c r="A17653" t="s">
        <v>4</v>
      </c>
      <c r="B17653" s="4" t="s">
        <v>5</v>
      </c>
      <c r="C17653" s="4" t="s">
        <v>15</v>
      </c>
    </row>
    <row r="17654" spans="1:6">
      <c r="A17654" t="n">
        <v>170442</v>
      </c>
      <c r="B17654" s="61" t="n">
        <v>15</v>
      </c>
      <c r="C17654" s="7" t="n">
        <v>2048</v>
      </c>
    </row>
    <row r="17655" spans="1:6">
      <c r="A17655" t="s">
        <v>4</v>
      </c>
      <c r="B17655" s="4" t="s">
        <v>5</v>
      </c>
      <c r="C17655" s="4" t="s">
        <v>7</v>
      </c>
      <c r="D17655" s="4" t="s">
        <v>8</v>
      </c>
    </row>
    <row r="17656" spans="1:6">
      <c r="A17656" t="n">
        <v>170447</v>
      </c>
      <c r="B17656" s="6" t="n">
        <v>2</v>
      </c>
      <c r="C17656" s="7" t="n">
        <v>10</v>
      </c>
      <c r="D17656" s="7" t="s">
        <v>52</v>
      </c>
    </row>
    <row r="17657" spans="1:6">
      <c r="A17657" t="s">
        <v>4</v>
      </c>
      <c r="B17657" s="4" t="s">
        <v>5</v>
      </c>
      <c r="C17657" s="4" t="s">
        <v>11</v>
      </c>
    </row>
    <row r="17658" spans="1:6">
      <c r="A17658" t="n">
        <v>170465</v>
      </c>
      <c r="B17658" s="29" t="n">
        <v>16</v>
      </c>
      <c r="C17658" s="7" t="n">
        <v>0</v>
      </c>
    </row>
    <row r="17659" spans="1:6">
      <c r="A17659" t="s">
        <v>4</v>
      </c>
      <c r="B17659" s="4" t="s">
        <v>5</v>
      </c>
      <c r="C17659" s="4" t="s">
        <v>7</v>
      </c>
      <c r="D17659" s="4" t="s">
        <v>8</v>
      </c>
    </row>
    <row r="17660" spans="1:6">
      <c r="A17660" t="n">
        <v>170468</v>
      </c>
      <c r="B17660" s="6" t="n">
        <v>2</v>
      </c>
      <c r="C17660" s="7" t="n">
        <v>10</v>
      </c>
      <c r="D17660" s="7" t="s">
        <v>53</v>
      </c>
    </row>
    <row r="17661" spans="1:6">
      <c r="A17661" t="s">
        <v>4</v>
      </c>
      <c r="B17661" s="4" t="s">
        <v>5</v>
      </c>
      <c r="C17661" s="4" t="s">
        <v>11</v>
      </c>
    </row>
    <row r="17662" spans="1:6">
      <c r="A17662" t="n">
        <v>170487</v>
      </c>
      <c r="B17662" s="29" t="n">
        <v>16</v>
      </c>
      <c r="C17662" s="7" t="n">
        <v>0</v>
      </c>
    </row>
    <row r="17663" spans="1:6">
      <c r="A17663" t="s">
        <v>4</v>
      </c>
      <c r="B17663" s="4" t="s">
        <v>5</v>
      </c>
      <c r="C17663" s="4" t="s">
        <v>7</v>
      </c>
      <c r="D17663" s="4" t="s">
        <v>11</v>
      </c>
      <c r="E17663" s="4" t="s">
        <v>13</v>
      </c>
    </row>
    <row r="17664" spans="1:6">
      <c r="A17664" t="n">
        <v>170490</v>
      </c>
      <c r="B17664" s="23" t="n">
        <v>58</v>
      </c>
      <c r="C17664" s="7" t="n">
        <v>100</v>
      </c>
      <c r="D17664" s="7" t="n">
        <v>300</v>
      </c>
      <c r="E17664" s="7" t="n">
        <v>1</v>
      </c>
    </row>
    <row r="17665" spans="1:5">
      <c r="A17665" t="s">
        <v>4</v>
      </c>
      <c r="B17665" s="4" t="s">
        <v>5</v>
      </c>
      <c r="C17665" s="4" t="s">
        <v>7</v>
      </c>
      <c r="D17665" s="4" t="s">
        <v>11</v>
      </c>
    </row>
    <row r="17666" spans="1:5">
      <c r="A17666" t="n">
        <v>170498</v>
      </c>
      <c r="B17666" s="23" t="n">
        <v>58</v>
      </c>
      <c r="C17666" s="7" t="n">
        <v>255</v>
      </c>
      <c r="D17666" s="7" t="n">
        <v>0</v>
      </c>
    </row>
    <row r="17667" spans="1:5">
      <c r="A17667" t="s">
        <v>4</v>
      </c>
      <c r="B17667" s="4" t="s">
        <v>5</v>
      </c>
      <c r="C17667" s="4" t="s">
        <v>7</v>
      </c>
    </row>
    <row r="17668" spans="1:5">
      <c r="A17668" t="n">
        <v>170502</v>
      </c>
      <c r="B17668" s="30" t="n">
        <v>23</v>
      </c>
      <c r="C17668" s="7" t="n">
        <v>0</v>
      </c>
    </row>
    <row r="17669" spans="1:5">
      <c r="A17669" t="s">
        <v>4</v>
      </c>
      <c r="B17669" s="4" t="s">
        <v>5</v>
      </c>
    </row>
    <row r="17670" spans="1:5">
      <c r="A17670" t="n">
        <v>170504</v>
      </c>
      <c r="B17670" s="5" t="n">
        <v>1</v>
      </c>
    </row>
    <row r="17671" spans="1:5" s="3" customFormat="1" customHeight="0">
      <c r="A17671" s="3" t="s">
        <v>2</v>
      </c>
      <c r="B17671" s="3" t="s">
        <v>1434</v>
      </c>
    </row>
    <row r="17672" spans="1:5">
      <c r="A17672" t="s">
        <v>4</v>
      </c>
      <c r="B17672" s="4" t="s">
        <v>5</v>
      </c>
      <c r="C17672" s="4" t="s">
        <v>7</v>
      </c>
      <c r="D17672" s="4" t="s">
        <v>7</v>
      </c>
      <c r="E17672" s="4" t="s">
        <v>7</v>
      </c>
      <c r="F17672" s="4" t="s">
        <v>7</v>
      </c>
    </row>
    <row r="17673" spans="1:5">
      <c r="A17673" t="n">
        <v>170508</v>
      </c>
      <c r="B17673" s="9" t="n">
        <v>14</v>
      </c>
      <c r="C17673" s="7" t="n">
        <v>2</v>
      </c>
      <c r="D17673" s="7" t="n">
        <v>0</v>
      </c>
      <c r="E17673" s="7" t="n">
        <v>0</v>
      </c>
      <c r="F17673" s="7" t="n">
        <v>0</v>
      </c>
    </row>
    <row r="17674" spans="1:5">
      <c r="A17674" t="s">
        <v>4</v>
      </c>
      <c r="B17674" s="4" t="s">
        <v>5</v>
      </c>
      <c r="C17674" s="4" t="s">
        <v>7</v>
      </c>
      <c r="D17674" s="20" t="s">
        <v>35</v>
      </c>
      <c r="E17674" s="4" t="s">
        <v>5</v>
      </c>
      <c r="F17674" s="4" t="s">
        <v>7</v>
      </c>
      <c r="G17674" s="4" t="s">
        <v>11</v>
      </c>
      <c r="H17674" s="20" t="s">
        <v>36</v>
      </c>
      <c r="I17674" s="4" t="s">
        <v>7</v>
      </c>
      <c r="J17674" s="4" t="s">
        <v>15</v>
      </c>
      <c r="K17674" s="4" t="s">
        <v>7</v>
      </c>
      <c r="L17674" s="4" t="s">
        <v>7</v>
      </c>
      <c r="M17674" s="20" t="s">
        <v>35</v>
      </c>
      <c r="N17674" s="4" t="s">
        <v>5</v>
      </c>
      <c r="O17674" s="4" t="s">
        <v>7</v>
      </c>
      <c r="P17674" s="4" t="s">
        <v>11</v>
      </c>
      <c r="Q17674" s="20" t="s">
        <v>36</v>
      </c>
      <c r="R17674" s="4" t="s">
        <v>7</v>
      </c>
      <c r="S17674" s="4" t="s">
        <v>15</v>
      </c>
      <c r="T17674" s="4" t="s">
        <v>7</v>
      </c>
      <c r="U17674" s="4" t="s">
        <v>7</v>
      </c>
      <c r="V17674" s="4" t="s">
        <v>7</v>
      </c>
      <c r="W17674" s="4" t="s">
        <v>12</v>
      </c>
    </row>
    <row r="17675" spans="1:5">
      <c r="A17675" t="n">
        <v>170513</v>
      </c>
      <c r="B17675" s="10" t="n">
        <v>5</v>
      </c>
      <c r="C17675" s="7" t="n">
        <v>28</v>
      </c>
      <c r="D17675" s="20" t="s">
        <v>3</v>
      </c>
      <c r="E17675" s="8" t="n">
        <v>162</v>
      </c>
      <c r="F17675" s="7" t="n">
        <v>3</v>
      </c>
      <c r="G17675" s="7" t="n">
        <v>33156</v>
      </c>
      <c r="H17675" s="20" t="s">
        <v>3</v>
      </c>
      <c r="I17675" s="7" t="n">
        <v>0</v>
      </c>
      <c r="J17675" s="7" t="n">
        <v>1</v>
      </c>
      <c r="K17675" s="7" t="n">
        <v>2</v>
      </c>
      <c r="L17675" s="7" t="n">
        <v>28</v>
      </c>
      <c r="M17675" s="20" t="s">
        <v>3</v>
      </c>
      <c r="N17675" s="8" t="n">
        <v>162</v>
      </c>
      <c r="O17675" s="7" t="n">
        <v>3</v>
      </c>
      <c r="P17675" s="7" t="n">
        <v>33156</v>
      </c>
      <c r="Q17675" s="20" t="s">
        <v>3</v>
      </c>
      <c r="R17675" s="7" t="n">
        <v>0</v>
      </c>
      <c r="S17675" s="7" t="n">
        <v>2</v>
      </c>
      <c r="T17675" s="7" t="n">
        <v>2</v>
      </c>
      <c r="U17675" s="7" t="n">
        <v>11</v>
      </c>
      <c r="V17675" s="7" t="n">
        <v>1</v>
      </c>
      <c r="W17675" s="11" t="n">
        <f t="normal" ca="1">A17679</f>
        <v>0</v>
      </c>
    </row>
    <row r="17676" spans="1:5">
      <c r="A17676" t="s">
        <v>4</v>
      </c>
      <c r="B17676" s="4" t="s">
        <v>5</v>
      </c>
      <c r="C17676" s="4" t="s">
        <v>7</v>
      </c>
      <c r="D17676" s="4" t="s">
        <v>11</v>
      </c>
      <c r="E17676" s="4" t="s">
        <v>13</v>
      </c>
    </row>
    <row r="17677" spans="1:5">
      <c r="A17677" t="n">
        <v>170542</v>
      </c>
      <c r="B17677" s="23" t="n">
        <v>58</v>
      </c>
      <c r="C17677" s="7" t="n">
        <v>0</v>
      </c>
      <c r="D17677" s="7" t="n">
        <v>0</v>
      </c>
      <c r="E17677" s="7" t="n">
        <v>1</v>
      </c>
    </row>
    <row r="17678" spans="1:5">
      <c r="A17678" t="s">
        <v>4</v>
      </c>
      <c r="B17678" s="4" t="s">
        <v>5</v>
      </c>
      <c r="C17678" s="4" t="s">
        <v>7</v>
      </c>
      <c r="D17678" s="20" t="s">
        <v>35</v>
      </c>
      <c r="E17678" s="4" t="s">
        <v>5</v>
      </c>
      <c r="F17678" s="4" t="s">
        <v>7</v>
      </c>
      <c r="G17678" s="4" t="s">
        <v>11</v>
      </c>
      <c r="H17678" s="20" t="s">
        <v>36</v>
      </c>
      <c r="I17678" s="4" t="s">
        <v>7</v>
      </c>
      <c r="J17678" s="4" t="s">
        <v>15</v>
      </c>
      <c r="K17678" s="4" t="s">
        <v>7</v>
      </c>
      <c r="L17678" s="4" t="s">
        <v>7</v>
      </c>
      <c r="M17678" s="20" t="s">
        <v>35</v>
      </c>
      <c r="N17678" s="4" t="s">
        <v>5</v>
      </c>
      <c r="O17678" s="4" t="s">
        <v>7</v>
      </c>
      <c r="P17678" s="4" t="s">
        <v>11</v>
      </c>
      <c r="Q17678" s="20" t="s">
        <v>36</v>
      </c>
      <c r="R17678" s="4" t="s">
        <v>7</v>
      </c>
      <c r="S17678" s="4" t="s">
        <v>15</v>
      </c>
      <c r="T17678" s="4" t="s">
        <v>7</v>
      </c>
      <c r="U17678" s="4" t="s">
        <v>7</v>
      </c>
      <c r="V17678" s="4" t="s">
        <v>7</v>
      </c>
      <c r="W17678" s="4" t="s">
        <v>12</v>
      </c>
    </row>
    <row r="17679" spans="1:5">
      <c r="A17679" t="n">
        <v>170550</v>
      </c>
      <c r="B17679" s="10" t="n">
        <v>5</v>
      </c>
      <c r="C17679" s="7" t="n">
        <v>28</v>
      </c>
      <c r="D17679" s="20" t="s">
        <v>3</v>
      </c>
      <c r="E17679" s="8" t="n">
        <v>162</v>
      </c>
      <c r="F17679" s="7" t="n">
        <v>3</v>
      </c>
      <c r="G17679" s="7" t="n">
        <v>33156</v>
      </c>
      <c r="H17679" s="20" t="s">
        <v>3</v>
      </c>
      <c r="I17679" s="7" t="n">
        <v>0</v>
      </c>
      <c r="J17679" s="7" t="n">
        <v>1</v>
      </c>
      <c r="K17679" s="7" t="n">
        <v>3</v>
      </c>
      <c r="L17679" s="7" t="n">
        <v>28</v>
      </c>
      <c r="M17679" s="20" t="s">
        <v>3</v>
      </c>
      <c r="N17679" s="8" t="n">
        <v>162</v>
      </c>
      <c r="O17679" s="7" t="n">
        <v>3</v>
      </c>
      <c r="P17679" s="7" t="n">
        <v>33156</v>
      </c>
      <c r="Q17679" s="20" t="s">
        <v>3</v>
      </c>
      <c r="R17679" s="7" t="n">
        <v>0</v>
      </c>
      <c r="S17679" s="7" t="n">
        <v>2</v>
      </c>
      <c r="T17679" s="7" t="n">
        <v>3</v>
      </c>
      <c r="U17679" s="7" t="n">
        <v>9</v>
      </c>
      <c r="V17679" s="7" t="n">
        <v>1</v>
      </c>
      <c r="W17679" s="11" t="n">
        <f t="normal" ca="1">A17689</f>
        <v>0</v>
      </c>
    </row>
    <row r="17680" spans="1:5">
      <c r="A17680" t="s">
        <v>4</v>
      </c>
      <c r="B17680" s="4" t="s">
        <v>5</v>
      </c>
      <c r="C17680" s="4" t="s">
        <v>7</v>
      </c>
      <c r="D17680" s="20" t="s">
        <v>35</v>
      </c>
      <c r="E17680" s="4" t="s">
        <v>5</v>
      </c>
      <c r="F17680" s="4" t="s">
        <v>11</v>
      </c>
      <c r="G17680" s="4" t="s">
        <v>7</v>
      </c>
      <c r="H17680" s="4" t="s">
        <v>7</v>
      </c>
      <c r="I17680" s="4" t="s">
        <v>8</v>
      </c>
      <c r="J17680" s="20" t="s">
        <v>36</v>
      </c>
      <c r="K17680" s="4" t="s">
        <v>7</v>
      </c>
      <c r="L17680" s="4" t="s">
        <v>7</v>
      </c>
      <c r="M17680" s="20" t="s">
        <v>35</v>
      </c>
      <c r="N17680" s="4" t="s">
        <v>5</v>
      </c>
      <c r="O17680" s="4" t="s">
        <v>7</v>
      </c>
      <c r="P17680" s="20" t="s">
        <v>36</v>
      </c>
      <c r="Q17680" s="4" t="s">
        <v>7</v>
      </c>
      <c r="R17680" s="4" t="s">
        <v>15</v>
      </c>
      <c r="S17680" s="4" t="s">
        <v>7</v>
      </c>
      <c r="T17680" s="4" t="s">
        <v>7</v>
      </c>
      <c r="U17680" s="4" t="s">
        <v>7</v>
      </c>
      <c r="V17680" s="20" t="s">
        <v>35</v>
      </c>
      <c r="W17680" s="4" t="s">
        <v>5</v>
      </c>
      <c r="X17680" s="4" t="s">
        <v>7</v>
      </c>
      <c r="Y17680" s="20" t="s">
        <v>36</v>
      </c>
      <c r="Z17680" s="4" t="s">
        <v>7</v>
      </c>
      <c r="AA17680" s="4" t="s">
        <v>15</v>
      </c>
      <c r="AB17680" s="4" t="s">
        <v>7</v>
      </c>
      <c r="AC17680" s="4" t="s">
        <v>7</v>
      </c>
      <c r="AD17680" s="4" t="s">
        <v>7</v>
      </c>
      <c r="AE17680" s="4" t="s">
        <v>12</v>
      </c>
    </row>
    <row r="17681" spans="1:31">
      <c r="A17681" t="n">
        <v>170579</v>
      </c>
      <c r="B17681" s="10" t="n">
        <v>5</v>
      </c>
      <c r="C17681" s="7" t="n">
        <v>28</v>
      </c>
      <c r="D17681" s="20" t="s">
        <v>3</v>
      </c>
      <c r="E17681" s="41" t="n">
        <v>47</v>
      </c>
      <c r="F17681" s="7" t="n">
        <v>61456</v>
      </c>
      <c r="G17681" s="7" t="n">
        <v>2</v>
      </c>
      <c r="H17681" s="7" t="n">
        <v>0</v>
      </c>
      <c r="I17681" s="7" t="s">
        <v>105</v>
      </c>
      <c r="J17681" s="20" t="s">
        <v>3</v>
      </c>
      <c r="K17681" s="7" t="n">
        <v>8</v>
      </c>
      <c r="L17681" s="7" t="n">
        <v>28</v>
      </c>
      <c r="M17681" s="20" t="s">
        <v>3</v>
      </c>
      <c r="N17681" s="45" t="n">
        <v>74</v>
      </c>
      <c r="O17681" s="7" t="n">
        <v>65</v>
      </c>
      <c r="P17681" s="20" t="s">
        <v>3</v>
      </c>
      <c r="Q17681" s="7" t="n">
        <v>0</v>
      </c>
      <c r="R17681" s="7" t="n">
        <v>1</v>
      </c>
      <c r="S17681" s="7" t="n">
        <v>3</v>
      </c>
      <c r="T17681" s="7" t="n">
        <v>9</v>
      </c>
      <c r="U17681" s="7" t="n">
        <v>28</v>
      </c>
      <c r="V17681" s="20" t="s">
        <v>3</v>
      </c>
      <c r="W17681" s="45" t="n">
        <v>74</v>
      </c>
      <c r="X17681" s="7" t="n">
        <v>65</v>
      </c>
      <c r="Y17681" s="20" t="s">
        <v>3</v>
      </c>
      <c r="Z17681" s="7" t="n">
        <v>0</v>
      </c>
      <c r="AA17681" s="7" t="n">
        <v>2</v>
      </c>
      <c r="AB17681" s="7" t="n">
        <v>3</v>
      </c>
      <c r="AC17681" s="7" t="n">
        <v>9</v>
      </c>
      <c r="AD17681" s="7" t="n">
        <v>1</v>
      </c>
      <c r="AE17681" s="11" t="n">
        <f t="normal" ca="1">A17685</f>
        <v>0</v>
      </c>
    </row>
    <row r="17682" spans="1:31">
      <c r="A17682" t="s">
        <v>4</v>
      </c>
      <c r="B17682" s="4" t="s">
        <v>5</v>
      </c>
      <c r="C17682" s="4" t="s">
        <v>11</v>
      </c>
      <c r="D17682" s="4" t="s">
        <v>7</v>
      </c>
      <c r="E17682" s="4" t="s">
        <v>7</v>
      </c>
      <c r="F17682" s="4" t="s">
        <v>8</v>
      </c>
    </row>
    <row r="17683" spans="1:31">
      <c r="A17683" t="n">
        <v>170627</v>
      </c>
      <c r="B17683" s="41" t="n">
        <v>47</v>
      </c>
      <c r="C17683" s="7" t="n">
        <v>61456</v>
      </c>
      <c r="D17683" s="7" t="n">
        <v>0</v>
      </c>
      <c r="E17683" s="7" t="n">
        <v>0</v>
      </c>
      <c r="F17683" s="7" t="s">
        <v>106</v>
      </c>
    </row>
    <row r="17684" spans="1:31">
      <c r="A17684" t="s">
        <v>4</v>
      </c>
      <c r="B17684" s="4" t="s">
        <v>5</v>
      </c>
      <c r="C17684" s="4" t="s">
        <v>7</v>
      </c>
      <c r="D17684" s="4" t="s">
        <v>11</v>
      </c>
      <c r="E17684" s="4" t="s">
        <v>13</v>
      </c>
    </row>
    <row r="17685" spans="1:31">
      <c r="A17685" t="n">
        <v>170640</v>
      </c>
      <c r="B17685" s="23" t="n">
        <v>58</v>
      </c>
      <c r="C17685" s="7" t="n">
        <v>0</v>
      </c>
      <c r="D17685" s="7" t="n">
        <v>300</v>
      </c>
      <c r="E17685" s="7" t="n">
        <v>1</v>
      </c>
    </row>
    <row r="17686" spans="1:31">
      <c r="A17686" t="s">
        <v>4</v>
      </c>
      <c r="B17686" s="4" t="s">
        <v>5</v>
      </c>
      <c r="C17686" s="4" t="s">
        <v>7</v>
      </c>
      <c r="D17686" s="4" t="s">
        <v>11</v>
      </c>
    </row>
    <row r="17687" spans="1:31">
      <c r="A17687" t="n">
        <v>170648</v>
      </c>
      <c r="B17687" s="23" t="n">
        <v>58</v>
      </c>
      <c r="C17687" s="7" t="n">
        <v>255</v>
      </c>
      <c r="D17687" s="7" t="n">
        <v>0</v>
      </c>
    </row>
    <row r="17688" spans="1:31">
      <c r="A17688" t="s">
        <v>4</v>
      </c>
      <c r="B17688" s="4" t="s">
        <v>5</v>
      </c>
      <c r="C17688" s="4" t="s">
        <v>7</v>
      </c>
      <c r="D17688" s="4" t="s">
        <v>7</v>
      </c>
      <c r="E17688" s="4" t="s">
        <v>7</v>
      </c>
      <c r="F17688" s="4" t="s">
        <v>7</v>
      </c>
    </row>
    <row r="17689" spans="1:31">
      <c r="A17689" t="n">
        <v>170652</v>
      </c>
      <c r="B17689" s="9" t="n">
        <v>14</v>
      </c>
      <c r="C17689" s="7" t="n">
        <v>0</v>
      </c>
      <c r="D17689" s="7" t="n">
        <v>0</v>
      </c>
      <c r="E17689" s="7" t="n">
        <v>0</v>
      </c>
      <c r="F17689" s="7" t="n">
        <v>64</v>
      </c>
    </row>
    <row r="17690" spans="1:31">
      <c r="A17690" t="s">
        <v>4</v>
      </c>
      <c r="B17690" s="4" t="s">
        <v>5</v>
      </c>
      <c r="C17690" s="4" t="s">
        <v>7</v>
      </c>
      <c r="D17690" s="4" t="s">
        <v>11</v>
      </c>
    </row>
    <row r="17691" spans="1:31">
      <c r="A17691" t="n">
        <v>170657</v>
      </c>
      <c r="B17691" s="22" t="n">
        <v>22</v>
      </c>
      <c r="C17691" s="7" t="n">
        <v>0</v>
      </c>
      <c r="D17691" s="7" t="n">
        <v>33156</v>
      </c>
    </row>
    <row r="17692" spans="1:31">
      <c r="A17692" t="s">
        <v>4</v>
      </c>
      <c r="B17692" s="4" t="s">
        <v>5</v>
      </c>
      <c r="C17692" s="4" t="s">
        <v>7</v>
      </c>
      <c r="D17692" s="4" t="s">
        <v>11</v>
      </c>
    </row>
    <row r="17693" spans="1:31">
      <c r="A17693" t="n">
        <v>170661</v>
      </c>
      <c r="B17693" s="23" t="n">
        <v>58</v>
      </c>
      <c r="C17693" s="7" t="n">
        <v>5</v>
      </c>
      <c r="D17693" s="7" t="n">
        <v>300</v>
      </c>
    </row>
    <row r="17694" spans="1:31">
      <c r="A17694" t="s">
        <v>4</v>
      </c>
      <c r="B17694" s="4" t="s">
        <v>5</v>
      </c>
      <c r="C17694" s="4" t="s">
        <v>13</v>
      </c>
      <c r="D17694" s="4" t="s">
        <v>11</v>
      </c>
    </row>
    <row r="17695" spans="1:31">
      <c r="A17695" t="n">
        <v>170665</v>
      </c>
      <c r="B17695" s="46" t="n">
        <v>103</v>
      </c>
      <c r="C17695" s="7" t="n">
        <v>0</v>
      </c>
      <c r="D17695" s="7" t="n">
        <v>300</v>
      </c>
    </row>
    <row r="17696" spans="1:31">
      <c r="A17696" t="s">
        <v>4</v>
      </c>
      <c r="B17696" s="4" t="s">
        <v>5</v>
      </c>
      <c r="C17696" s="4" t="s">
        <v>7</v>
      </c>
    </row>
    <row r="17697" spans="1:31">
      <c r="A17697" t="n">
        <v>170672</v>
      </c>
      <c r="B17697" s="47" t="n">
        <v>64</v>
      </c>
      <c r="C17697" s="7" t="n">
        <v>7</v>
      </c>
    </row>
    <row r="17698" spans="1:31">
      <c r="A17698" t="s">
        <v>4</v>
      </c>
      <c r="B17698" s="4" t="s">
        <v>5</v>
      </c>
      <c r="C17698" s="4" t="s">
        <v>7</v>
      </c>
      <c r="D17698" s="4" t="s">
        <v>11</v>
      </c>
    </row>
    <row r="17699" spans="1:31">
      <c r="A17699" t="n">
        <v>170674</v>
      </c>
      <c r="B17699" s="48" t="n">
        <v>72</v>
      </c>
      <c r="C17699" s="7" t="n">
        <v>5</v>
      </c>
      <c r="D17699" s="7" t="n">
        <v>0</v>
      </c>
    </row>
    <row r="17700" spans="1:31">
      <c r="A17700" t="s">
        <v>4</v>
      </c>
      <c r="B17700" s="4" t="s">
        <v>5</v>
      </c>
      <c r="C17700" s="4" t="s">
        <v>7</v>
      </c>
      <c r="D17700" s="20" t="s">
        <v>35</v>
      </c>
      <c r="E17700" s="4" t="s">
        <v>5</v>
      </c>
      <c r="F17700" s="4" t="s">
        <v>7</v>
      </c>
      <c r="G17700" s="4" t="s">
        <v>11</v>
      </c>
      <c r="H17700" s="20" t="s">
        <v>36</v>
      </c>
      <c r="I17700" s="4" t="s">
        <v>7</v>
      </c>
      <c r="J17700" s="4" t="s">
        <v>15</v>
      </c>
      <c r="K17700" s="4" t="s">
        <v>7</v>
      </c>
      <c r="L17700" s="4" t="s">
        <v>7</v>
      </c>
      <c r="M17700" s="4" t="s">
        <v>12</v>
      </c>
    </row>
    <row r="17701" spans="1:31">
      <c r="A17701" t="n">
        <v>170678</v>
      </c>
      <c r="B17701" s="10" t="n">
        <v>5</v>
      </c>
      <c r="C17701" s="7" t="n">
        <v>28</v>
      </c>
      <c r="D17701" s="20" t="s">
        <v>3</v>
      </c>
      <c r="E17701" s="8" t="n">
        <v>162</v>
      </c>
      <c r="F17701" s="7" t="n">
        <v>4</v>
      </c>
      <c r="G17701" s="7" t="n">
        <v>33156</v>
      </c>
      <c r="H17701" s="20" t="s">
        <v>3</v>
      </c>
      <c r="I17701" s="7" t="n">
        <v>0</v>
      </c>
      <c r="J17701" s="7" t="n">
        <v>1</v>
      </c>
      <c r="K17701" s="7" t="n">
        <v>2</v>
      </c>
      <c r="L17701" s="7" t="n">
        <v>1</v>
      </c>
      <c r="M17701" s="11" t="n">
        <f t="normal" ca="1">A17707</f>
        <v>0</v>
      </c>
    </row>
    <row r="17702" spans="1:31">
      <c r="A17702" t="s">
        <v>4</v>
      </c>
      <c r="B17702" s="4" t="s">
        <v>5</v>
      </c>
      <c r="C17702" s="4" t="s">
        <v>7</v>
      </c>
      <c r="D17702" s="4" t="s">
        <v>8</v>
      </c>
    </row>
    <row r="17703" spans="1:31">
      <c r="A17703" t="n">
        <v>170695</v>
      </c>
      <c r="B17703" s="6" t="n">
        <v>2</v>
      </c>
      <c r="C17703" s="7" t="n">
        <v>10</v>
      </c>
      <c r="D17703" s="7" t="s">
        <v>107</v>
      </c>
    </row>
    <row r="17704" spans="1:31">
      <c r="A17704" t="s">
        <v>4</v>
      </c>
      <c r="B17704" s="4" t="s">
        <v>5</v>
      </c>
      <c r="C17704" s="4" t="s">
        <v>11</v>
      </c>
    </row>
    <row r="17705" spans="1:31">
      <c r="A17705" t="n">
        <v>170712</v>
      </c>
      <c r="B17705" s="29" t="n">
        <v>16</v>
      </c>
      <c r="C17705" s="7" t="n">
        <v>0</v>
      </c>
    </row>
    <row r="17706" spans="1:31">
      <c r="A17706" t="s">
        <v>4</v>
      </c>
      <c r="B17706" s="4" t="s">
        <v>5</v>
      </c>
      <c r="C17706" s="4" t="s">
        <v>7</v>
      </c>
      <c r="D17706" s="4" t="s">
        <v>11</v>
      </c>
      <c r="E17706" s="4" t="s">
        <v>7</v>
      </c>
      <c r="F17706" s="4" t="s">
        <v>8</v>
      </c>
    </row>
    <row r="17707" spans="1:31">
      <c r="A17707" t="n">
        <v>170715</v>
      </c>
      <c r="B17707" s="81" t="n">
        <v>39</v>
      </c>
      <c r="C17707" s="7" t="n">
        <v>10</v>
      </c>
      <c r="D17707" s="7" t="n">
        <v>65533</v>
      </c>
      <c r="E17707" s="7" t="n">
        <v>202</v>
      </c>
      <c r="F17707" s="7" t="s">
        <v>1435</v>
      </c>
    </row>
    <row r="17708" spans="1:31">
      <c r="A17708" t="s">
        <v>4</v>
      </c>
      <c r="B17708" s="4" t="s">
        <v>5</v>
      </c>
      <c r="C17708" s="4" t="s">
        <v>7</v>
      </c>
      <c r="D17708" s="4" t="s">
        <v>11</v>
      </c>
      <c r="E17708" s="4" t="s">
        <v>7</v>
      </c>
      <c r="F17708" s="4" t="s">
        <v>8</v>
      </c>
    </row>
    <row r="17709" spans="1:31">
      <c r="A17709" t="n">
        <v>170739</v>
      </c>
      <c r="B17709" s="81" t="n">
        <v>39</v>
      </c>
      <c r="C17709" s="7" t="n">
        <v>10</v>
      </c>
      <c r="D17709" s="7" t="n">
        <v>65533</v>
      </c>
      <c r="E17709" s="7" t="n">
        <v>203</v>
      </c>
      <c r="F17709" s="7" t="s">
        <v>1436</v>
      </c>
    </row>
    <row r="17710" spans="1:31">
      <c r="A17710" t="s">
        <v>4</v>
      </c>
      <c r="B17710" s="4" t="s">
        <v>5</v>
      </c>
      <c r="C17710" s="4" t="s">
        <v>11</v>
      </c>
      <c r="D17710" s="4" t="s">
        <v>7</v>
      </c>
      <c r="E17710" s="4" t="s">
        <v>7</v>
      </c>
      <c r="F17710" s="4" t="s">
        <v>8</v>
      </c>
    </row>
    <row r="17711" spans="1:31">
      <c r="A17711" t="n">
        <v>170763</v>
      </c>
      <c r="B17711" s="50" t="n">
        <v>20</v>
      </c>
      <c r="C17711" s="7" t="n">
        <v>0</v>
      </c>
      <c r="D17711" s="7" t="n">
        <v>3</v>
      </c>
      <c r="E17711" s="7" t="n">
        <v>10</v>
      </c>
      <c r="F17711" s="7" t="s">
        <v>108</v>
      </c>
    </row>
    <row r="17712" spans="1:31">
      <c r="A17712" t="s">
        <v>4</v>
      </c>
      <c r="B17712" s="4" t="s">
        <v>5</v>
      </c>
      <c r="C17712" s="4" t="s">
        <v>11</v>
      </c>
    </row>
    <row r="17713" spans="1:13">
      <c r="A17713" t="n">
        <v>170781</v>
      </c>
      <c r="B17713" s="29" t="n">
        <v>16</v>
      </c>
      <c r="C17713" s="7" t="n">
        <v>0</v>
      </c>
    </row>
    <row r="17714" spans="1:13">
      <c r="A17714" t="s">
        <v>4</v>
      </c>
      <c r="B17714" s="4" t="s">
        <v>5</v>
      </c>
      <c r="C17714" s="4" t="s">
        <v>11</v>
      </c>
      <c r="D17714" s="4" t="s">
        <v>7</v>
      </c>
      <c r="E17714" s="4" t="s">
        <v>7</v>
      </c>
      <c r="F17714" s="4" t="s">
        <v>8</v>
      </c>
    </row>
    <row r="17715" spans="1:13">
      <c r="A17715" t="n">
        <v>170784</v>
      </c>
      <c r="B17715" s="50" t="n">
        <v>20</v>
      </c>
      <c r="C17715" s="7" t="n">
        <v>1</v>
      </c>
      <c r="D17715" s="7" t="n">
        <v>3</v>
      </c>
      <c r="E17715" s="7" t="n">
        <v>10</v>
      </c>
      <c r="F17715" s="7" t="s">
        <v>108</v>
      </c>
    </row>
    <row r="17716" spans="1:13">
      <c r="A17716" t="s">
        <v>4</v>
      </c>
      <c r="B17716" s="4" t="s">
        <v>5</v>
      </c>
      <c r="C17716" s="4" t="s">
        <v>11</v>
      </c>
    </row>
    <row r="17717" spans="1:13">
      <c r="A17717" t="n">
        <v>170802</v>
      </c>
      <c r="B17717" s="29" t="n">
        <v>16</v>
      </c>
      <c r="C17717" s="7" t="n">
        <v>0</v>
      </c>
    </row>
    <row r="17718" spans="1:13">
      <c r="A17718" t="s">
        <v>4</v>
      </c>
      <c r="B17718" s="4" t="s">
        <v>5</v>
      </c>
      <c r="C17718" s="4" t="s">
        <v>7</v>
      </c>
      <c r="D17718" s="4" t="s">
        <v>11</v>
      </c>
      <c r="E17718" s="4" t="s">
        <v>7</v>
      </c>
      <c r="F17718" s="4" t="s">
        <v>8</v>
      </c>
      <c r="G17718" s="4" t="s">
        <v>8</v>
      </c>
      <c r="H17718" s="4" t="s">
        <v>8</v>
      </c>
      <c r="I17718" s="4" t="s">
        <v>8</v>
      </c>
      <c r="J17718" s="4" t="s">
        <v>8</v>
      </c>
      <c r="K17718" s="4" t="s">
        <v>8</v>
      </c>
      <c r="L17718" s="4" t="s">
        <v>8</v>
      </c>
      <c r="M17718" s="4" t="s">
        <v>8</v>
      </c>
      <c r="N17718" s="4" t="s">
        <v>8</v>
      </c>
      <c r="O17718" s="4" t="s">
        <v>8</v>
      </c>
      <c r="P17718" s="4" t="s">
        <v>8</v>
      </c>
      <c r="Q17718" s="4" t="s">
        <v>8</v>
      </c>
      <c r="R17718" s="4" t="s">
        <v>8</v>
      </c>
      <c r="S17718" s="4" t="s">
        <v>8</v>
      </c>
      <c r="T17718" s="4" t="s">
        <v>8</v>
      </c>
      <c r="U17718" s="4" t="s">
        <v>8</v>
      </c>
    </row>
    <row r="17719" spans="1:13">
      <c r="A17719" t="n">
        <v>170805</v>
      </c>
      <c r="B17719" s="40" t="n">
        <v>36</v>
      </c>
      <c r="C17719" s="7" t="n">
        <v>8</v>
      </c>
      <c r="D17719" s="7" t="n">
        <v>0</v>
      </c>
      <c r="E17719" s="7" t="n">
        <v>0</v>
      </c>
      <c r="F17719" s="7" t="s">
        <v>1437</v>
      </c>
      <c r="G17719" s="7" t="s">
        <v>276</v>
      </c>
      <c r="H17719" s="7" t="s">
        <v>277</v>
      </c>
      <c r="I17719" s="7" t="s">
        <v>1438</v>
      </c>
      <c r="J17719" s="7" t="s">
        <v>278</v>
      </c>
      <c r="K17719" s="7" t="s">
        <v>16</v>
      </c>
      <c r="L17719" s="7" t="s">
        <v>16</v>
      </c>
      <c r="M17719" s="7" t="s">
        <v>16</v>
      </c>
      <c r="N17719" s="7" t="s">
        <v>16</v>
      </c>
      <c r="O17719" s="7" t="s">
        <v>16</v>
      </c>
      <c r="P17719" s="7" t="s">
        <v>16</v>
      </c>
      <c r="Q17719" s="7" t="s">
        <v>16</v>
      </c>
      <c r="R17719" s="7" t="s">
        <v>16</v>
      </c>
      <c r="S17719" s="7" t="s">
        <v>16</v>
      </c>
      <c r="T17719" s="7" t="s">
        <v>16</v>
      </c>
      <c r="U17719" s="7" t="s">
        <v>16</v>
      </c>
    </row>
    <row r="17720" spans="1:13">
      <c r="A17720" t="s">
        <v>4</v>
      </c>
      <c r="B17720" s="4" t="s">
        <v>5</v>
      </c>
      <c r="C17720" s="4" t="s">
        <v>7</v>
      </c>
      <c r="D17720" s="4" t="s">
        <v>11</v>
      </c>
      <c r="E17720" s="4" t="s">
        <v>7</v>
      </c>
      <c r="F17720" s="4" t="s">
        <v>8</v>
      </c>
      <c r="G17720" s="4" t="s">
        <v>8</v>
      </c>
      <c r="H17720" s="4" t="s">
        <v>8</v>
      </c>
      <c r="I17720" s="4" t="s">
        <v>8</v>
      </c>
      <c r="J17720" s="4" t="s">
        <v>8</v>
      </c>
      <c r="K17720" s="4" t="s">
        <v>8</v>
      </c>
      <c r="L17720" s="4" t="s">
        <v>8</v>
      </c>
      <c r="M17720" s="4" t="s">
        <v>8</v>
      </c>
      <c r="N17720" s="4" t="s">
        <v>8</v>
      </c>
      <c r="O17720" s="4" t="s">
        <v>8</v>
      </c>
      <c r="P17720" s="4" t="s">
        <v>8</v>
      </c>
      <c r="Q17720" s="4" t="s">
        <v>8</v>
      </c>
      <c r="R17720" s="4" t="s">
        <v>8</v>
      </c>
      <c r="S17720" s="4" t="s">
        <v>8</v>
      </c>
      <c r="T17720" s="4" t="s">
        <v>8</v>
      </c>
      <c r="U17720" s="4" t="s">
        <v>8</v>
      </c>
    </row>
    <row r="17721" spans="1:13">
      <c r="A17721" t="n">
        <v>170871</v>
      </c>
      <c r="B17721" s="40" t="n">
        <v>36</v>
      </c>
      <c r="C17721" s="7" t="n">
        <v>8</v>
      </c>
      <c r="D17721" s="7" t="n">
        <v>1</v>
      </c>
      <c r="E17721" s="7" t="n">
        <v>0</v>
      </c>
      <c r="F17721" s="7" t="s">
        <v>391</v>
      </c>
      <c r="G17721" s="7" t="s">
        <v>1437</v>
      </c>
      <c r="H17721" s="7" t="s">
        <v>276</v>
      </c>
      <c r="I17721" s="7" t="s">
        <v>277</v>
      </c>
      <c r="J17721" s="7" t="s">
        <v>1438</v>
      </c>
      <c r="K17721" s="7" t="s">
        <v>278</v>
      </c>
      <c r="L17721" s="7" t="s">
        <v>392</v>
      </c>
      <c r="M17721" s="7" t="s">
        <v>1439</v>
      </c>
      <c r="N17721" s="7" t="s">
        <v>16</v>
      </c>
      <c r="O17721" s="7" t="s">
        <v>16</v>
      </c>
      <c r="P17721" s="7" t="s">
        <v>16</v>
      </c>
      <c r="Q17721" s="7" t="s">
        <v>16</v>
      </c>
      <c r="R17721" s="7" t="s">
        <v>16</v>
      </c>
      <c r="S17721" s="7" t="s">
        <v>16</v>
      </c>
      <c r="T17721" s="7" t="s">
        <v>16</v>
      </c>
      <c r="U17721" s="7" t="s">
        <v>16</v>
      </c>
    </row>
    <row r="17722" spans="1:13">
      <c r="A17722" t="s">
        <v>4</v>
      </c>
      <c r="B17722" s="4" t="s">
        <v>5</v>
      </c>
      <c r="C17722" s="4" t="s">
        <v>11</v>
      </c>
      <c r="D17722" s="4" t="s">
        <v>7</v>
      </c>
      <c r="E17722" s="4" t="s">
        <v>8</v>
      </c>
      <c r="F17722" s="4" t="s">
        <v>13</v>
      </c>
      <c r="G17722" s="4" t="s">
        <v>13</v>
      </c>
      <c r="H17722" s="4" t="s">
        <v>13</v>
      </c>
    </row>
    <row r="17723" spans="1:13">
      <c r="A17723" t="n">
        <v>170971</v>
      </c>
      <c r="B17723" s="42" t="n">
        <v>48</v>
      </c>
      <c r="C17723" s="7" t="n">
        <v>0</v>
      </c>
      <c r="D17723" s="7" t="n">
        <v>0</v>
      </c>
      <c r="E17723" s="7" t="s">
        <v>275</v>
      </c>
      <c r="F17723" s="7" t="n">
        <v>0</v>
      </c>
      <c r="G17723" s="7" t="n">
        <v>1</v>
      </c>
      <c r="H17723" s="7" t="n">
        <v>0</v>
      </c>
    </row>
    <row r="17724" spans="1:13">
      <c r="A17724" t="s">
        <v>4</v>
      </c>
      <c r="B17724" s="4" t="s">
        <v>5</v>
      </c>
      <c r="C17724" s="4" t="s">
        <v>7</v>
      </c>
    </row>
    <row r="17725" spans="1:13">
      <c r="A17725" t="n">
        <v>170996</v>
      </c>
      <c r="B17725" s="49" t="n">
        <v>116</v>
      </c>
      <c r="C17725" s="7" t="n">
        <v>0</v>
      </c>
    </row>
    <row r="17726" spans="1:13">
      <c r="A17726" t="s">
        <v>4</v>
      </c>
      <c r="B17726" s="4" t="s">
        <v>5</v>
      </c>
      <c r="C17726" s="4" t="s">
        <v>7</v>
      </c>
      <c r="D17726" s="4" t="s">
        <v>11</v>
      </c>
    </row>
    <row r="17727" spans="1:13">
      <c r="A17727" t="n">
        <v>170998</v>
      </c>
      <c r="B17727" s="49" t="n">
        <v>116</v>
      </c>
      <c r="C17727" s="7" t="n">
        <v>2</v>
      </c>
      <c r="D17727" s="7" t="n">
        <v>1</v>
      </c>
    </row>
    <row r="17728" spans="1:13">
      <c r="A17728" t="s">
        <v>4</v>
      </c>
      <c r="B17728" s="4" t="s">
        <v>5</v>
      </c>
      <c r="C17728" s="4" t="s">
        <v>7</v>
      </c>
      <c r="D17728" s="4" t="s">
        <v>15</v>
      </c>
    </row>
    <row r="17729" spans="1:21">
      <c r="A17729" t="n">
        <v>171002</v>
      </c>
      <c r="B17729" s="49" t="n">
        <v>116</v>
      </c>
      <c r="C17729" s="7" t="n">
        <v>5</v>
      </c>
      <c r="D17729" s="7" t="n">
        <v>1088421888</v>
      </c>
    </row>
    <row r="17730" spans="1:21">
      <c r="A17730" t="s">
        <v>4</v>
      </c>
      <c r="B17730" s="4" t="s">
        <v>5</v>
      </c>
      <c r="C17730" s="4" t="s">
        <v>7</v>
      </c>
      <c r="D17730" s="4" t="s">
        <v>11</v>
      </c>
    </row>
    <row r="17731" spans="1:21">
      <c r="A17731" t="n">
        <v>171008</v>
      </c>
      <c r="B17731" s="49" t="n">
        <v>116</v>
      </c>
      <c r="C17731" s="7" t="n">
        <v>6</v>
      </c>
      <c r="D17731" s="7" t="n">
        <v>1</v>
      </c>
    </row>
    <row r="17732" spans="1:21">
      <c r="A17732" t="s">
        <v>4</v>
      </c>
      <c r="B17732" s="4" t="s">
        <v>5</v>
      </c>
      <c r="C17732" s="4" t="s">
        <v>11</v>
      </c>
      <c r="D17732" s="4" t="s">
        <v>15</v>
      </c>
    </row>
    <row r="17733" spans="1:21">
      <c r="A17733" t="n">
        <v>171012</v>
      </c>
      <c r="B17733" s="39" t="n">
        <v>43</v>
      </c>
      <c r="C17733" s="7" t="n">
        <v>0</v>
      </c>
      <c r="D17733" s="7" t="n">
        <v>256</v>
      </c>
    </row>
    <row r="17734" spans="1:21">
      <c r="A17734" t="s">
        <v>4</v>
      </c>
      <c r="B17734" s="4" t="s">
        <v>5</v>
      </c>
      <c r="C17734" s="4" t="s">
        <v>11</v>
      </c>
      <c r="D17734" s="4" t="s">
        <v>15</v>
      </c>
    </row>
    <row r="17735" spans="1:21">
      <c r="A17735" t="n">
        <v>171019</v>
      </c>
      <c r="B17735" s="39" t="n">
        <v>43</v>
      </c>
      <c r="C17735" s="7" t="n">
        <v>1</v>
      </c>
      <c r="D17735" s="7" t="n">
        <v>256</v>
      </c>
    </row>
    <row r="17736" spans="1:21">
      <c r="A17736" t="s">
        <v>4</v>
      </c>
      <c r="B17736" s="4" t="s">
        <v>5</v>
      </c>
      <c r="C17736" s="4" t="s">
        <v>11</v>
      </c>
      <c r="D17736" s="4" t="s">
        <v>13</v>
      </c>
      <c r="E17736" s="4" t="s">
        <v>13</v>
      </c>
      <c r="F17736" s="4" t="s">
        <v>13</v>
      </c>
      <c r="G17736" s="4" t="s">
        <v>13</v>
      </c>
    </row>
    <row r="17737" spans="1:21">
      <c r="A17737" t="n">
        <v>171026</v>
      </c>
      <c r="B17737" s="36" t="n">
        <v>46</v>
      </c>
      <c r="C17737" s="7" t="n">
        <v>0</v>
      </c>
      <c r="D17737" s="7" t="n">
        <v>6.25</v>
      </c>
      <c r="E17737" s="7" t="n">
        <v>10.0100002288818</v>
      </c>
      <c r="F17737" s="7" t="n">
        <v>47.5999984741211</v>
      </c>
      <c r="G17737" s="7" t="n">
        <v>100.400001525879</v>
      </c>
    </row>
    <row r="17738" spans="1:21">
      <c r="A17738" t="s">
        <v>4</v>
      </c>
      <c r="B17738" s="4" t="s">
        <v>5</v>
      </c>
      <c r="C17738" s="4" t="s">
        <v>11</v>
      </c>
      <c r="D17738" s="4" t="s">
        <v>13</v>
      </c>
      <c r="E17738" s="4" t="s">
        <v>13</v>
      </c>
      <c r="F17738" s="4" t="s">
        <v>13</v>
      </c>
      <c r="G17738" s="4" t="s">
        <v>13</v>
      </c>
    </row>
    <row r="17739" spans="1:21">
      <c r="A17739" t="n">
        <v>171045</v>
      </c>
      <c r="B17739" s="36" t="n">
        <v>46</v>
      </c>
      <c r="C17739" s="7" t="n">
        <v>1</v>
      </c>
      <c r="D17739" s="7" t="n">
        <v>7.25</v>
      </c>
      <c r="E17739" s="7" t="n">
        <v>10.0100002288818</v>
      </c>
      <c r="F17739" s="7" t="n">
        <v>47.5800018310547</v>
      </c>
      <c r="G17739" s="7" t="n">
        <v>90</v>
      </c>
    </row>
    <row r="17740" spans="1:21">
      <c r="A17740" t="s">
        <v>4</v>
      </c>
      <c r="B17740" s="4" t="s">
        <v>5</v>
      </c>
      <c r="C17740" s="4" t="s">
        <v>11</v>
      </c>
    </row>
    <row r="17741" spans="1:21">
      <c r="A17741" t="n">
        <v>171064</v>
      </c>
      <c r="B17741" s="29" t="n">
        <v>16</v>
      </c>
      <c r="C17741" s="7" t="n">
        <v>0</v>
      </c>
    </row>
    <row r="17742" spans="1:21">
      <c r="A17742" t="s">
        <v>4</v>
      </c>
      <c r="B17742" s="4" t="s">
        <v>5</v>
      </c>
      <c r="C17742" s="4" t="s">
        <v>11</v>
      </c>
      <c r="D17742" s="4" t="s">
        <v>11</v>
      </c>
      <c r="E17742" s="4" t="s">
        <v>11</v>
      </c>
    </row>
    <row r="17743" spans="1:21">
      <c r="A17743" t="n">
        <v>171067</v>
      </c>
      <c r="B17743" s="72" t="n">
        <v>61</v>
      </c>
      <c r="C17743" s="7" t="n">
        <v>0</v>
      </c>
      <c r="D17743" s="7" t="n">
        <v>1</v>
      </c>
      <c r="E17743" s="7" t="n">
        <v>0</v>
      </c>
    </row>
    <row r="17744" spans="1:21">
      <c r="A17744" t="s">
        <v>4</v>
      </c>
      <c r="B17744" s="4" t="s">
        <v>5</v>
      </c>
      <c r="C17744" s="4" t="s">
        <v>11</v>
      </c>
      <c r="D17744" s="4" t="s">
        <v>13</v>
      </c>
      <c r="E17744" s="4" t="s">
        <v>13</v>
      </c>
      <c r="F17744" s="4" t="s">
        <v>13</v>
      </c>
      <c r="G17744" s="4" t="s">
        <v>11</v>
      </c>
      <c r="H17744" s="4" t="s">
        <v>11</v>
      </c>
    </row>
    <row r="17745" spans="1:8">
      <c r="A17745" t="n">
        <v>171074</v>
      </c>
      <c r="B17745" s="37" t="n">
        <v>60</v>
      </c>
      <c r="C17745" s="7" t="n">
        <v>1</v>
      </c>
      <c r="D17745" s="7" t="n">
        <v>0</v>
      </c>
      <c r="E17745" s="7" t="n">
        <v>20</v>
      </c>
      <c r="F17745" s="7" t="n">
        <v>0</v>
      </c>
      <c r="G17745" s="7" t="n">
        <v>0</v>
      </c>
      <c r="H17745" s="7" t="n">
        <v>0</v>
      </c>
    </row>
    <row r="17746" spans="1:8">
      <c r="A17746" t="s">
        <v>4</v>
      </c>
      <c r="B17746" s="4" t="s">
        <v>5</v>
      </c>
      <c r="C17746" s="4" t="s">
        <v>7</v>
      </c>
      <c r="D17746" s="4" t="s">
        <v>7</v>
      </c>
      <c r="E17746" s="4" t="s">
        <v>13</v>
      </c>
      <c r="F17746" s="4" t="s">
        <v>13</v>
      </c>
      <c r="G17746" s="4" t="s">
        <v>13</v>
      </c>
      <c r="H17746" s="4" t="s">
        <v>11</v>
      </c>
    </row>
    <row r="17747" spans="1:8">
      <c r="A17747" t="n">
        <v>171093</v>
      </c>
      <c r="B17747" s="51" t="n">
        <v>45</v>
      </c>
      <c r="C17747" s="7" t="n">
        <v>2</v>
      </c>
      <c r="D17747" s="7" t="n">
        <v>3</v>
      </c>
      <c r="E17747" s="7" t="n">
        <v>6.59999990463257</v>
      </c>
      <c r="F17747" s="7" t="n">
        <v>11.4099998474121</v>
      </c>
      <c r="G17747" s="7" t="n">
        <v>47.5</v>
      </c>
      <c r="H17747" s="7" t="n">
        <v>0</v>
      </c>
    </row>
    <row r="17748" spans="1:8">
      <c r="A17748" t="s">
        <v>4</v>
      </c>
      <c r="B17748" s="4" t="s">
        <v>5</v>
      </c>
      <c r="C17748" s="4" t="s">
        <v>7</v>
      </c>
      <c r="D17748" s="4" t="s">
        <v>7</v>
      </c>
      <c r="E17748" s="4" t="s">
        <v>13</v>
      </c>
      <c r="F17748" s="4" t="s">
        <v>13</v>
      </c>
      <c r="G17748" s="4" t="s">
        <v>13</v>
      </c>
      <c r="H17748" s="4" t="s">
        <v>11</v>
      </c>
      <c r="I17748" s="4" t="s">
        <v>7</v>
      </c>
    </row>
    <row r="17749" spans="1:8">
      <c r="A17749" t="n">
        <v>171110</v>
      </c>
      <c r="B17749" s="51" t="n">
        <v>45</v>
      </c>
      <c r="C17749" s="7" t="n">
        <v>4</v>
      </c>
      <c r="D17749" s="7" t="n">
        <v>3</v>
      </c>
      <c r="E17749" s="7" t="n">
        <v>13.7399997711182</v>
      </c>
      <c r="F17749" s="7" t="n">
        <v>233.160003662109</v>
      </c>
      <c r="G17749" s="7" t="n">
        <v>0</v>
      </c>
      <c r="H17749" s="7" t="n">
        <v>0</v>
      </c>
      <c r="I17749" s="7" t="n">
        <v>0</v>
      </c>
    </row>
    <row r="17750" spans="1:8">
      <c r="A17750" t="s">
        <v>4</v>
      </c>
      <c r="B17750" s="4" t="s">
        <v>5</v>
      </c>
      <c r="C17750" s="4" t="s">
        <v>7</v>
      </c>
      <c r="D17750" s="4" t="s">
        <v>7</v>
      </c>
      <c r="E17750" s="4" t="s">
        <v>13</v>
      </c>
      <c r="F17750" s="4" t="s">
        <v>11</v>
      </c>
    </row>
    <row r="17751" spans="1:8">
      <c r="A17751" t="n">
        <v>171128</v>
      </c>
      <c r="B17751" s="51" t="n">
        <v>45</v>
      </c>
      <c r="C17751" s="7" t="n">
        <v>5</v>
      </c>
      <c r="D17751" s="7" t="n">
        <v>3</v>
      </c>
      <c r="E17751" s="7" t="n">
        <v>1.5</v>
      </c>
      <c r="F17751" s="7" t="n">
        <v>0</v>
      </c>
    </row>
    <row r="17752" spans="1:8">
      <c r="A17752" t="s">
        <v>4</v>
      </c>
      <c r="B17752" s="4" t="s">
        <v>5</v>
      </c>
      <c r="C17752" s="4" t="s">
        <v>7</v>
      </c>
      <c r="D17752" s="4" t="s">
        <v>7</v>
      </c>
      <c r="E17752" s="4" t="s">
        <v>13</v>
      </c>
      <c r="F17752" s="4" t="s">
        <v>11</v>
      </c>
    </row>
    <row r="17753" spans="1:8">
      <c r="A17753" t="n">
        <v>171137</v>
      </c>
      <c r="B17753" s="51" t="n">
        <v>45</v>
      </c>
      <c r="C17753" s="7" t="n">
        <v>11</v>
      </c>
      <c r="D17753" s="7" t="n">
        <v>3</v>
      </c>
      <c r="E17753" s="7" t="n">
        <v>38</v>
      </c>
      <c r="F17753" s="7" t="n">
        <v>0</v>
      </c>
    </row>
    <row r="17754" spans="1:8">
      <c r="A17754" t="s">
        <v>4</v>
      </c>
      <c r="B17754" s="4" t="s">
        <v>5</v>
      </c>
      <c r="C17754" s="4" t="s">
        <v>7</v>
      </c>
      <c r="D17754" s="4" t="s">
        <v>7</v>
      </c>
      <c r="E17754" s="4" t="s">
        <v>13</v>
      </c>
      <c r="F17754" s="4" t="s">
        <v>11</v>
      </c>
    </row>
    <row r="17755" spans="1:8">
      <c r="A17755" t="n">
        <v>171146</v>
      </c>
      <c r="B17755" s="51" t="n">
        <v>45</v>
      </c>
      <c r="C17755" s="7" t="n">
        <v>5</v>
      </c>
      <c r="D17755" s="7" t="n">
        <v>3</v>
      </c>
      <c r="E17755" s="7" t="n">
        <v>1.20000004768372</v>
      </c>
      <c r="F17755" s="7" t="n">
        <v>3000</v>
      </c>
    </row>
    <row r="17756" spans="1:8">
      <c r="A17756" t="s">
        <v>4</v>
      </c>
      <c r="B17756" s="4" t="s">
        <v>5</v>
      </c>
      <c r="C17756" s="4" t="s">
        <v>7</v>
      </c>
      <c r="D17756" s="4" t="s">
        <v>11</v>
      </c>
      <c r="E17756" s="4" t="s">
        <v>13</v>
      </c>
    </row>
    <row r="17757" spans="1:8">
      <c r="A17757" t="n">
        <v>171155</v>
      </c>
      <c r="B17757" s="23" t="n">
        <v>58</v>
      </c>
      <c r="C17757" s="7" t="n">
        <v>100</v>
      </c>
      <c r="D17757" s="7" t="n">
        <v>1000</v>
      </c>
      <c r="E17757" s="7" t="n">
        <v>1</v>
      </c>
    </row>
    <row r="17758" spans="1:8">
      <c r="A17758" t="s">
        <v>4</v>
      </c>
      <c r="B17758" s="4" t="s">
        <v>5</v>
      </c>
      <c r="C17758" s="4" t="s">
        <v>7</v>
      </c>
      <c r="D17758" s="4" t="s">
        <v>11</v>
      </c>
    </row>
    <row r="17759" spans="1:8">
      <c r="A17759" t="n">
        <v>171163</v>
      </c>
      <c r="B17759" s="23" t="n">
        <v>58</v>
      </c>
      <c r="C17759" s="7" t="n">
        <v>255</v>
      </c>
      <c r="D17759" s="7" t="n">
        <v>0</v>
      </c>
    </row>
    <row r="17760" spans="1:8">
      <c r="A17760" t="s">
        <v>4</v>
      </c>
      <c r="B17760" s="4" t="s">
        <v>5</v>
      </c>
      <c r="C17760" s="4" t="s">
        <v>11</v>
      </c>
    </row>
    <row r="17761" spans="1:9">
      <c r="A17761" t="n">
        <v>171167</v>
      </c>
      <c r="B17761" s="29" t="n">
        <v>16</v>
      </c>
      <c r="C17761" s="7" t="n">
        <v>1000</v>
      </c>
    </row>
    <row r="17762" spans="1:9">
      <c r="A17762" t="s">
        <v>4</v>
      </c>
      <c r="B17762" s="4" t="s">
        <v>5</v>
      </c>
      <c r="C17762" s="4" t="s">
        <v>7</v>
      </c>
      <c r="D17762" s="4" t="s">
        <v>11</v>
      </c>
      <c r="E17762" s="4" t="s">
        <v>8</v>
      </c>
    </row>
    <row r="17763" spans="1:9">
      <c r="A17763" t="n">
        <v>171170</v>
      </c>
      <c r="B17763" s="38" t="n">
        <v>51</v>
      </c>
      <c r="C17763" s="7" t="n">
        <v>4</v>
      </c>
      <c r="D17763" s="7" t="n">
        <v>1</v>
      </c>
      <c r="E17763" s="7" t="s">
        <v>894</v>
      </c>
    </row>
    <row r="17764" spans="1:9">
      <c r="A17764" t="s">
        <v>4</v>
      </c>
      <c r="B17764" s="4" t="s">
        <v>5</v>
      </c>
      <c r="C17764" s="4" t="s">
        <v>11</v>
      </c>
    </row>
    <row r="17765" spans="1:9">
      <c r="A17765" t="n">
        <v>171184</v>
      </c>
      <c r="B17765" s="29" t="n">
        <v>16</v>
      </c>
      <c r="C17765" s="7" t="n">
        <v>0</v>
      </c>
    </row>
    <row r="17766" spans="1:9">
      <c r="A17766" t="s">
        <v>4</v>
      </c>
      <c r="B17766" s="4" t="s">
        <v>5</v>
      </c>
      <c r="C17766" s="4" t="s">
        <v>11</v>
      </c>
      <c r="D17766" s="4" t="s">
        <v>7</v>
      </c>
      <c r="E17766" s="4" t="s">
        <v>15</v>
      </c>
      <c r="F17766" s="4" t="s">
        <v>55</v>
      </c>
      <c r="G17766" s="4" t="s">
        <v>7</v>
      </c>
      <c r="H17766" s="4" t="s">
        <v>7</v>
      </c>
    </row>
    <row r="17767" spans="1:9">
      <c r="A17767" t="n">
        <v>171187</v>
      </c>
      <c r="B17767" s="55" t="n">
        <v>26</v>
      </c>
      <c r="C17767" s="7" t="n">
        <v>1</v>
      </c>
      <c r="D17767" s="7" t="n">
        <v>17</v>
      </c>
      <c r="E17767" s="7" t="n">
        <v>64476</v>
      </c>
      <c r="F17767" s="7" t="s">
        <v>446</v>
      </c>
      <c r="G17767" s="7" t="n">
        <v>2</v>
      </c>
      <c r="H17767" s="7" t="n">
        <v>0</v>
      </c>
    </row>
    <row r="17768" spans="1:9">
      <c r="A17768" t="s">
        <v>4</v>
      </c>
      <c r="B17768" s="4" t="s">
        <v>5</v>
      </c>
    </row>
    <row r="17769" spans="1:9">
      <c r="A17769" t="n">
        <v>171203</v>
      </c>
      <c r="B17769" s="27" t="n">
        <v>28</v>
      </c>
    </row>
    <row r="17770" spans="1:9">
      <c r="A17770" t="s">
        <v>4</v>
      </c>
      <c r="B17770" s="4" t="s">
        <v>5</v>
      </c>
      <c r="C17770" s="4" t="s">
        <v>7</v>
      </c>
      <c r="D17770" s="4" t="s">
        <v>11</v>
      </c>
      <c r="E17770" s="4" t="s">
        <v>8</v>
      </c>
    </row>
    <row r="17771" spans="1:9">
      <c r="A17771" t="n">
        <v>171204</v>
      </c>
      <c r="B17771" s="38" t="n">
        <v>51</v>
      </c>
      <c r="C17771" s="7" t="n">
        <v>4</v>
      </c>
      <c r="D17771" s="7" t="n">
        <v>0</v>
      </c>
      <c r="E17771" s="7" t="s">
        <v>173</v>
      </c>
    </row>
    <row r="17772" spans="1:9">
      <c r="A17772" t="s">
        <v>4</v>
      </c>
      <c r="B17772" s="4" t="s">
        <v>5</v>
      </c>
      <c r="C17772" s="4" t="s">
        <v>11</v>
      </c>
    </row>
    <row r="17773" spans="1:9">
      <c r="A17773" t="n">
        <v>171217</v>
      </c>
      <c r="B17773" s="29" t="n">
        <v>16</v>
      </c>
      <c r="C17773" s="7" t="n">
        <v>0</v>
      </c>
    </row>
    <row r="17774" spans="1:9">
      <c r="A17774" t="s">
        <v>4</v>
      </c>
      <c r="B17774" s="4" t="s">
        <v>5</v>
      </c>
      <c r="C17774" s="4" t="s">
        <v>11</v>
      </c>
      <c r="D17774" s="4" t="s">
        <v>7</v>
      </c>
      <c r="E17774" s="4" t="s">
        <v>15</v>
      </c>
      <c r="F17774" s="4" t="s">
        <v>55</v>
      </c>
      <c r="G17774" s="4" t="s">
        <v>7</v>
      </c>
      <c r="H17774" s="4" t="s">
        <v>7</v>
      </c>
    </row>
    <row r="17775" spans="1:9">
      <c r="A17775" t="n">
        <v>171220</v>
      </c>
      <c r="B17775" s="55" t="n">
        <v>26</v>
      </c>
      <c r="C17775" s="7" t="n">
        <v>0</v>
      </c>
      <c r="D17775" s="7" t="n">
        <v>17</v>
      </c>
      <c r="E17775" s="7" t="n">
        <v>64477</v>
      </c>
      <c r="F17775" s="7" t="s">
        <v>1440</v>
      </c>
      <c r="G17775" s="7" t="n">
        <v>2</v>
      </c>
      <c r="H17775" s="7" t="n">
        <v>0</v>
      </c>
    </row>
    <row r="17776" spans="1:9">
      <c r="A17776" t="s">
        <v>4</v>
      </c>
      <c r="B17776" s="4" t="s">
        <v>5</v>
      </c>
    </row>
    <row r="17777" spans="1:8">
      <c r="A17777" t="n">
        <v>171287</v>
      </c>
      <c r="B17777" s="27" t="n">
        <v>28</v>
      </c>
    </row>
    <row r="17778" spans="1:8">
      <c r="A17778" t="s">
        <v>4</v>
      </c>
      <c r="B17778" s="4" t="s">
        <v>5</v>
      </c>
      <c r="C17778" s="4" t="s">
        <v>7</v>
      </c>
      <c r="D17778" s="4" t="s">
        <v>11</v>
      </c>
      <c r="E17778" s="4" t="s">
        <v>11</v>
      </c>
      <c r="F17778" s="4" t="s">
        <v>7</v>
      </c>
    </row>
    <row r="17779" spans="1:8">
      <c r="A17779" t="n">
        <v>171288</v>
      </c>
      <c r="B17779" s="31" t="n">
        <v>25</v>
      </c>
      <c r="C17779" s="7" t="n">
        <v>1</v>
      </c>
      <c r="D17779" s="7" t="n">
        <v>65535</v>
      </c>
      <c r="E17779" s="7" t="n">
        <v>65535</v>
      </c>
      <c r="F17779" s="7" t="n">
        <v>0</v>
      </c>
    </row>
    <row r="17780" spans="1:8">
      <c r="A17780" t="s">
        <v>4</v>
      </c>
      <c r="B17780" s="4" t="s">
        <v>5</v>
      </c>
      <c r="C17780" s="4" t="s">
        <v>11</v>
      </c>
      <c r="D17780" s="4" t="s">
        <v>7</v>
      </c>
      <c r="E17780" s="4" t="s">
        <v>13</v>
      </c>
      <c r="F17780" s="4" t="s">
        <v>11</v>
      </c>
    </row>
    <row r="17781" spans="1:8">
      <c r="A17781" t="n">
        <v>171295</v>
      </c>
      <c r="B17781" s="56" t="n">
        <v>59</v>
      </c>
      <c r="C17781" s="7" t="n">
        <v>1</v>
      </c>
      <c r="D17781" s="7" t="n">
        <v>13</v>
      </c>
      <c r="E17781" s="7" t="n">
        <v>0.150000005960464</v>
      </c>
      <c r="F17781" s="7" t="n">
        <v>0</v>
      </c>
    </row>
    <row r="17782" spans="1:8">
      <c r="A17782" t="s">
        <v>4</v>
      </c>
      <c r="B17782" s="4" t="s">
        <v>5</v>
      </c>
      <c r="C17782" s="4" t="s">
        <v>11</v>
      </c>
    </row>
    <row r="17783" spans="1:8">
      <c r="A17783" t="n">
        <v>171305</v>
      </c>
      <c r="B17783" s="29" t="n">
        <v>16</v>
      </c>
      <c r="C17783" s="7" t="n">
        <v>1000</v>
      </c>
    </row>
    <row r="17784" spans="1:8">
      <c r="A17784" t="s">
        <v>4</v>
      </c>
      <c r="B17784" s="4" t="s">
        <v>5</v>
      </c>
      <c r="C17784" s="4" t="s">
        <v>11</v>
      </c>
      <c r="D17784" s="4" t="s">
        <v>13</v>
      </c>
      <c r="E17784" s="4" t="s">
        <v>13</v>
      </c>
      <c r="F17784" s="4" t="s">
        <v>13</v>
      </c>
      <c r="G17784" s="4" t="s">
        <v>11</v>
      </c>
      <c r="H17784" s="4" t="s">
        <v>11</v>
      </c>
    </row>
    <row r="17785" spans="1:8">
      <c r="A17785" t="n">
        <v>171308</v>
      </c>
      <c r="B17785" s="37" t="n">
        <v>60</v>
      </c>
      <c r="C17785" s="7" t="n">
        <v>1</v>
      </c>
      <c r="D17785" s="7" t="n">
        <v>0</v>
      </c>
      <c r="E17785" s="7" t="n">
        <v>5</v>
      </c>
      <c r="F17785" s="7" t="n">
        <v>0</v>
      </c>
      <c r="G17785" s="7" t="n">
        <v>800</v>
      </c>
      <c r="H17785" s="7" t="n">
        <v>0</v>
      </c>
    </row>
    <row r="17786" spans="1:8">
      <c r="A17786" t="s">
        <v>4</v>
      </c>
      <c r="B17786" s="4" t="s">
        <v>5</v>
      </c>
      <c r="C17786" s="4" t="s">
        <v>7</v>
      </c>
      <c r="D17786" s="4" t="s">
        <v>11</v>
      </c>
      <c r="E17786" s="4" t="s">
        <v>8</v>
      </c>
      <c r="F17786" s="4" t="s">
        <v>8</v>
      </c>
      <c r="G17786" s="4" t="s">
        <v>8</v>
      </c>
      <c r="H17786" s="4" t="s">
        <v>8</v>
      </c>
    </row>
    <row r="17787" spans="1:8">
      <c r="A17787" t="n">
        <v>171327</v>
      </c>
      <c r="B17787" s="38" t="n">
        <v>51</v>
      </c>
      <c r="C17787" s="7" t="n">
        <v>3</v>
      </c>
      <c r="D17787" s="7" t="n">
        <v>1</v>
      </c>
      <c r="E17787" s="7" t="s">
        <v>79</v>
      </c>
      <c r="F17787" s="7" t="s">
        <v>99</v>
      </c>
      <c r="G17787" s="7" t="s">
        <v>78</v>
      </c>
      <c r="H17787" s="7" t="s">
        <v>79</v>
      </c>
    </row>
    <row r="17788" spans="1:8">
      <c r="A17788" t="s">
        <v>4</v>
      </c>
      <c r="B17788" s="4" t="s">
        <v>5</v>
      </c>
      <c r="C17788" s="4" t="s">
        <v>11</v>
      </c>
      <c r="D17788" s="4" t="s">
        <v>13</v>
      </c>
      <c r="E17788" s="4" t="s">
        <v>13</v>
      </c>
      <c r="F17788" s="4" t="s">
        <v>7</v>
      </c>
    </row>
    <row r="17789" spans="1:8">
      <c r="A17789" t="n">
        <v>171340</v>
      </c>
      <c r="B17789" s="65" t="n">
        <v>52</v>
      </c>
      <c r="C17789" s="7" t="n">
        <v>1</v>
      </c>
      <c r="D17789" s="7" t="n">
        <v>270</v>
      </c>
      <c r="E17789" s="7" t="n">
        <v>5</v>
      </c>
      <c r="F17789" s="7" t="n">
        <v>0</v>
      </c>
    </row>
    <row r="17790" spans="1:8">
      <c r="A17790" t="s">
        <v>4</v>
      </c>
      <c r="B17790" s="4" t="s">
        <v>5</v>
      </c>
      <c r="C17790" s="4" t="s">
        <v>11</v>
      </c>
    </row>
    <row r="17791" spans="1:8">
      <c r="A17791" t="n">
        <v>171352</v>
      </c>
      <c r="B17791" s="66" t="n">
        <v>54</v>
      </c>
      <c r="C17791" s="7" t="n">
        <v>1</v>
      </c>
    </row>
    <row r="17792" spans="1:8">
      <c r="A17792" t="s">
        <v>4</v>
      </c>
      <c r="B17792" s="4" t="s">
        <v>5</v>
      </c>
      <c r="C17792" s="4" t="s">
        <v>7</v>
      </c>
      <c r="D17792" s="4" t="s">
        <v>11</v>
      </c>
      <c r="E17792" s="4" t="s">
        <v>8</v>
      </c>
    </row>
    <row r="17793" spans="1:8">
      <c r="A17793" t="n">
        <v>171355</v>
      </c>
      <c r="B17793" s="38" t="n">
        <v>51</v>
      </c>
      <c r="C17793" s="7" t="n">
        <v>4</v>
      </c>
      <c r="D17793" s="7" t="n">
        <v>1</v>
      </c>
      <c r="E17793" s="7" t="s">
        <v>417</v>
      </c>
    </row>
    <row r="17794" spans="1:8">
      <c r="A17794" t="s">
        <v>4</v>
      </c>
      <c r="B17794" s="4" t="s">
        <v>5</v>
      </c>
      <c r="C17794" s="4" t="s">
        <v>11</v>
      </c>
    </row>
    <row r="17795" spans="1:8">
      <c r="A17795" t="n">
        <v>171369</v>
      </c>
      <c r="B17795" s="29" t="n">
        <v>16</v>
      </c>
      <c r="C17795" s="7" t="n">
        <v>0</v>
      </c>
    </row>
    <row r="17796" spans="1:8">
      <c r="A17796" t="s">
        <v>4</v>
      </c>
      <c r="B17796" s="4" t="s">
        <v>5</v>
      </c>
      <c r="C17796" s="4" t="s">
        <v>11</v>
      </c>
      <c r="D17796" s="4" t="s">
        <v>7</v>
      </c>
      <c r="E17796" s="4" t="s">
        <v>15</v>
      </c>
      <c r="F17796" s="4" t="s">
        <v>55</v>
      </c>
      <c r="G17796" s="4" t="s">
        <v>7</v>
      </c>
      <c r="H17796" s="4" t="s">
        <v>7</v>
      </c>
      <c r="I17796" s="4" t="s">
        <v>7</v>
      </c>
      <c r="J17796" s="4" t="s">
        <v>15</v>
      </c>
      <c r="K17796" s="4" t="s">
        <v>55</v>
      </c>
      <c r="L17796" s="4" t="s">
        <v>7</v>
      </c>
      <c r="M17796" s="4" t="s">
        <v>7</v>
      </c>
    </row>
    <row r="17797" spans="1:8">
      <c r="A17797" t="n">
        <v>171372</v>
      </c>
      <c r="B17797" s="55" t="n">
        <v>26</v>
      </c>
      <c r="C17797" s="7" t="n">
        <v>1</v>
      </c>
      <c r="D17797" s="7" t="n">
        <v>17</v>
      </c>
      <c r="E17797" s="7" t="n">
        <v>64478</v>
      </c>
      <c r="F17797" s="7" t="s">
        <v>1441</v>
      </c>
      <c r="G17797" s="7" t="n">
        <v>2</v>
      </c>
      <c r="H17797" s="7" t="n">
        <v>3</v>
      </c>
      <c r="I17797" s="7" t="n">
        <v>17</v>
      </c>
      <c r="J17797" s="7" t="n">
        <v>64479</v>
      </c>
      <c r="K17797" s="7" t="s">
        <v>1442</v>
      </c>
      <c r="L17797" s="7" t="n">
        <v>2</v>
      </c>
      <c r="M17797" s="7" t="n">
        <v>0</v>
      </c>
    </row>
    <row r="17798" spans="1:8">
      <c r="A17798" t="s">
        <v>4</v>
      </c>
      <c r="B17798" s="4" t="s">
        <v>5</v>
      </c>
    </row>
    <row r="17799" spans="1:8">
      <c r="A17799" t="n">
        <v>171522</v>
      </c>
      <c r="B17799" s="27" t="n">
        <v>28</v>
      </c>
    </row>
    <row r="17800" spans="1:8">
      <c r="A17800" t="s">
        <v>4</v>
      </c>
      <c r="B17800" s="4" t="s">
        <v>5</v>
      </c>
      <c r="C17800" s="4" t="s">
        <v>7</v>
      </c>
      <c r="D17800" s="4" t="s">
        <v>11</v>
      </c>
      <c r="E17800" s="4" t="s">
        <v>8</v>
      </c>
    </row>
    <row r="17801" spans="1:8">
      <c r="A17801" t="n">
        <v>171523</v>
      </c>
      <c r="B17801" s="38" t="n">
        <v>51</v>
      </c>
      <c r="C17801" s="7" t="n">
        <v>4</v>
      </c>
      <c r="D17801" s="7" t="n">
        <v>0</v>
      </c>
      <c r="E17801" s="7" t="s">
        <v>179</v>
      </c>
    </row>
    <row r="17802" spans="1:8">
      <c r="A17802" t="s">
        <v>4</v>
      </c>
      <c r="B17802" s="4" t="s">
        <v>5</v>
      </c>
      <c r="C17802" s="4" t="s">
        <v>11</v>
      </c>
    </row>
    <row r="17803" spans="1:8">
      <c r="A17803" t="n">
        <v>171537</v>
      </c>
      <c r="B17803" s="29" t="n">
        <v>16</v>
      </c>
      <c r="C17803" s="7" t="n">
        <v>0</v>
      </c>
    </row>
    <row r="17804" spans="1:8">
      <c r="A17804" t="s">
        <v>4</v>
      </c>
      <c r="B17804" s="4" t="s">
        <v>5</v>
      </c>
      <c r="C17804" s="4" t="s">
        <v>11</v>
      </c>
      <c r="D17804" s="4" t="s">
        <v>7</v>
      </c>
      <c r="E17804" s="4" t="s">
        <v>15</v>
      </c>
      <c r="F17804" s="4" t="s">
        <v>55</v>
      </c>
      <c r="G17804" s="4" t="s">
        <v>7</v>
      </c>
      <c r="H17804" s="4" t="s">
        <v>7</v>
      </c>
      <c r="I17804" s="4" t="s">
        <v>7</v>
      </c>
      <c r="J17804" s="4" t="s">
        <v>15</v>
      </c>
      <c r="K17804" s="4" t="s">
        <v>55</v>
      </c>
      <c r="L17804" s="4" t="s">
        <v>7</v>
      </c>
      <c r="M17804" s="4" t="s">
        <v>7</v>
      </c>
    </row>
    <row r="17805" spans="1:8">
      <c r="A17805" t="n">
        <v>171540</v>
      </c>
      <c r="B17805" s="55" t="n">
        <v>26</v>
      </c>
      <c r="C17805" s="7" t="n">
        <v>0</v>
      </c>
      <c r="D17805" s="7" t="n">
        <v>17</v>
      </c>
      <c r="E17805" s="7" t="n">
        <v>64480</v>
      </c>
      <c r="F17805" s="7" t="s">
        <v>1443</v>
      </c>
      <c r="G17805" s="7" t="n">
        <v>2</v>
      </c>
      <c r="H17805" s="7" t="n">
        <v>3</v>
      </c>
      <c r="I17805" s="7" t="n">
        <v>17</v>
      </c>
      <c r="J17805" s="7" t="n">
        <v>64481</v>
      </c>
      <c r="K17805" s="7" t="s">
        <v>1444</v>
      </c>
      <c r="L17805" s="7" t="n">
        <v>2</v>
      </c>
      <c r="M17805" s="7" t="n">
        <v>0</v>
      </c>
    </row>
    <row r="17806" spans="1:8">
      <c r="A17806" t="s">
        <v>4</v>
      </c>
      <c r="B17806" s="4" t="s">
        <v>5</v>
      </c>
    </row>
    <row r="17807" spans="1:8">
      <c r="A17807" t="n">
        <v>171645</v>
      </c>
      <c r="B17807" s="27" t="n">
        <v>28</v>
      </c>
    </row>
    <row r="17808" spans="1:8">
      <c r="A17808" t="s">
        <v>4</v>
      </c>
      <c r="B17808" s="4" t="s">
        <v>5</v>
      </c>
      <c r="C17808" s="4" t="s">
        <v>7</v>
      </c>
      <c r="D17808" s="4" t="s">
        <v>11</v>
      </c>
      <c r="E17808" s="4" t="s">
        <v>11</v>
      </c>
      <c r="F17808" s="4" t="s">
        <v>7</v>
      </c>
    </row>
    <row r="17809" spans="1:13">
      <c r="A17809" t="n">
        <v>171646</v>
      </c>
      <c r="B17809" s="31" t="n">
        <v>25</v>
      </c>
      <c r="C17809" s="7" t="n">
        <v>1</v>
      </c>
      <c r="D17809" s="7" t="n">
        <v>65535</v>
      </c>
      <c r="E17809" s="7" t="n">
        <v>65535</v>
      </c>
      <c r="F17809" s="7" t="n">
        <v>0</v>
      </c>
    </row>
    <row r="17810" spans="1:13">
      <c r="A17810" t="s">
        <v>4</v>
      </c>
      <c r="B17810" s="4" t="s">
        <v>5</v>
      </c>
      <c r="C17810" s="4" t="s">
        <v>11</v>
      </c>
      <c r="D17810" s="4" t="s">
        <v>7</v>
      </c>
      <c r="E17810" s="4" t="s">
        <v>8</v>
      </c>
      <c r="F17810" s="4" t="s">
        <v>13</v>
      </c>
      <c r="G17810" s="4" t="s">
        <v>13</v>
      </c>
      <c r="H17810" s="4" t="s">
        <v>13</v>
      </c>
    </row>
    <row r="17811" spans="1:13">
      <c r="A17811" t="n">
        <v>171653</v>
      </c>
      <c r="B17811" s="42" t="n">
        <v>48</v>
      </c>
      <c r="C17811" s="7" t="n">
        <v>1</v>
      </c>
      <c r="D17811" s="7" t="n">
        <v>0</v>
      </c>
      <c r="E17811" s="7" t="s">
        <v>391</v>
      </c>
      <c r="F17811" s="7" t="n">
        <v>-1</v>
      </c>
      <c r="G17811" s="7" t="n">
        <v>1</v>
      </c>
      <c r="H17811" s="7" t="n">
        <v>0</v>
      </c>
    </row>
    <row r="17812" spans="1:13">
      <c r="A17812" t="s">
        <v>4</v>
      </c>
      <c r="B17812" s="4" t="s">
        <v>5</v>
      </c>
      <c r="C17812" s="4" t="s">
        <v>7</v>
      </c>
      <c r="D17812" s="4" t="s">
        <v>11</v>
      </c>
      <c r="E17812" s="4" t="s">
        <v>8</v>
      </c>
    </row>
    <row r="17813" spans="1:13">
      <c r="A17813" t="n">
        <v>171683</v>
      </c>
      <c r="B17813" s="38" t="n">
        <v>51</v>
      </c>
      <c r="C17813" s="7" t="n">
        <v>4</v>
      </c>
      <c r="D17813" s="7" t="n">
        <v>1</v>
      </c>
      <c r="E17813" s="7" t="s">
        <v>885</v>
      </c>
    </row>
    <row r="17814" spans="1:13">
      <c r="A17814" t="s">
        <v>4</v>
      </c>
      <c r="B17814" s="4" t="s">
        <v>5</v>
      </c>
      <c r="C17814" s="4" t="s">
        <v>11</v>
      </c>
    </row>
    <row r="17815" spans="1:13">
      <c r="A17815" t="n">
        <v>171696</v>
      </c>
      <c r="B17815" s="29" t="n">
        <v>16</v>
      </c>
      <c r="C17815" s="7" t="n">
        <v>0</v>
      </c>
    </row>
    <row r="17816" spans="1:13">
      <c r="A17816" t="s">
        <v>4</v>
      </c>
      <c r="B17816" s="4" t="s">
        <v>5</v>
      </c>
      <c r="C17816" s="4" t="s">
        <v>11</v>
      </c>
      <c r="D17816" s="4" t="s">
        <v>7</v>
      </c>
      <c r="E17816" s="4" t="s">
        <v>15</v>
      </c>
      <c r="F17816" s="4" t="s">
        <v>55</v>
      </c>
      <c r="G17816" s="4" t="s">
        <v>7</v>
      </c>
      <c r="H17816" s="4" t="s">
        <v>7</v>
      </c>
      <c r="I17816" s="4" t="s">
        <v>7</v>
      </c>
      <c r="J17816" s="4" t="s">
        <v>15</v>
      </c>
      <c r="K17816" s="4" t="s">
        <v>55</v>
      </c>
      <c r="L17816" s="4" t="s">
        <v>7</v>
      </c>
      <c r="M17816" s="4" t="s">
        <v>7</v>
      </c>
      <c r="N17816" s="4" t="s">
        <v>7</v>
      </c>
      <c r="O17816" s="4" t="s">
        <v>15</v>
      </c>
      <c r="P17816" s="4" t="s">
        <v>55</v>
      </c>
      <c r="Q17816" s="4" t="s">
        <v>7</v>
      </c>
      <c r="R17816" s="4" t="s">
        <v>7</v>
      </c>
    </row>
    <row r="17817" spans="1:13">
      <c r="A17817" t="n">
        <v>171699</v>
      </c>
      <c r="B17817" s="55" t="n">
        <v>26</v>
      </c>
      <c r="C17817" s="7" t="n">
        <v>1</v>
      </c>
      <c r="D17817" s="7" t="n">
        <v>17</v>
      </c>
      <c r="E17817" s="7" t="n">
        <v>64482</v>
      </c>
      <c r="F17817" s="7" t="s">
        <v>1445</v>
      </c>
      <c r="G17817" s="7" t="n">
        <v>2</v>
      </c>
      <c r="H17817" s="7" t="n">
        <v>3</v>
      </c>
      <c r="I17817" s="7" t="n">
        <v>17</v>
      </c>
      <c r="J17817" s="7" t="n">
        <v>64483</v>
      </c>
      <c r="K17817" s="7" t="s">
        <v>1446</v>
      </c>
      <c r="L17817" s="7" t="n">
        <v>2</v>
      </c>
      <c r="M17817" s="7" t="n">
        <v>3</v>
      </c>
      <c r="N17817" s="7" t="n">
        <v>17</v>
      </c>
      <c r="O17817" s="7" t="n">
        <v>64484</v>
      </c>
      <c r="P17817" s="7" t="s">
        <v>1447</v>
      </c>
      <c r="Q17817" s="7" t="n">
        <v>2</v>
      </c>
      <c r="R17817" s="7" t="n">
        <v>0</v>
      </c>
    </row>
    <row r="17818" spans="1:13">
      <c r="A17818" t="s">
        <v>4</v>
      </c>
      <c r="B17818" s="4" t="s">
        <v>5</v>
      </c>
    </row>
    <row r="17819" spans="1:13">
      <c r="A17819" t="n">
        <v>172033</v>
      </c>
      <c r="B17819" s="27" t="n">
        <v>28</v>
      </c>
    </row>
    <row r="17820" spans="1:13">
      <c r="A17820" t="s">
        <v>4</v>
      </c>
      <c r="B17820" s="4" t="s">
        <v>5</v>
      </c>
      <c r="C17820" s="4" t="s">
        <v>7</v>
      </c>
      <c r="D17820" s="4" t="s">
        <v>11</v>
      </c>
      <c r="E17820" s="4" t="s">
        <v>8</v>
      </c>
    </row>
    <row r="17821" spans="1:13">
      <c r="A17821" t="n">
        <v>172034</v>
      </c>
      <c r="B17821" s="38" t="n">
        <v>51</v>
      </c>
      <c r="C17821" s="7" t="n">
        <v>4</v>
      </c>
      <c r="D17821" s="7" t="n">
        <v>0</v>
      </c>
      <c r="E17821" s="7" t="s">
        <v>1448</v>
      </c>
    </row>
    <row r="17822" spans="1:13">
      <c r="A17822" t="s">
        <v>4</v>
      </c>
      <c r="B17822" s="4" t="s">
        <v>5</v>
      </c>
      <c r="C17822" s="4" t="s">
        <v>11</v>
      </c>
    </row>
    <row r="17823" spans="1:13">
      <c r="A17823" t="n">
        <v>172048</v>
      </c>
      <c r="B17823" s="29" t="n">
        <v>16</v>
      </c>
      <c r="C17823" s="7" t="n">
        <v>0</v>
      </c>
    </row>
    <row r="17824" spans="1:13">
      <c r="A17824" t="s">
        <v>4</v>
      </c>
      <c r="B17824" s="4" t="s">
        <v>5</v>
      </c>
      <c r="C17824" s="4" t="s">
        <v>11</v>
      </c>
      <c r="D17824" s="4" t="s">
        <v>7</v>
      </c>
      <c r="E17824" s="4" t="s">
        <v>15</v>
      </c>
      <c r="F17824" s="4" t="s">
        <v>55</v>
      </c>
      <c r="G17824" s="4" t="s">
        <v>7</v>
      </c>
      <c r="H17824" s="4" t="s">
        <v>7</v>
      </c>
      <c r="I17824" s="4" t="s">
        <v>7</v>
      </c>
      <c r="J17824" s="4" t="s">
        <v>15</v>
      </c>
      <c r="K17824" s="4" t="s">
        <v>55</v>
      </c>
      <c r="L17824" s="4" t="s">
        <v>7</v>
      </c>
      <c r="M17824" s="4" t="s">
        <v>7</v>
      </c>
    </row>
    <row r="17825" spans="1:18">
      <c r="A17825" t="n">
        <v>172051</v>
      </c>
      <c r="B17825" s="55" t="n">
        <v>26</v>
      </c>
      <c r="C17825" s="7" t="n">
        <v>0</v>
      </c>
      <c r="D17825" s="7" t="n">
        <v>17</v>
      </c>
      <c r="E17825" s="7" t="n">
        <v>64485</v>
      </c>
      <c r="F17825" s="7" t="s">
        <v>1449</v>
      </c>
      <c r="G17825" s="7" t="n">
        <v>2</v>
      </c>
      <c r="H17825" s="7" t="n">
        <v>3</v>
      </c>
      <c r="I17825" s="7" t="n">
        <v>17</v>
      </c>
      <c r="J17825" s="7" t="n">
        <v>64486</v>
      </c>
      <c r="K17825" s="7" t="s">
        <v>1450</v>
      </c>
      <c r="L17825" s="7" t="n">
        <v>2</v>
      </c>
      <c r="M17825" s="7" t="n">
        <v>0</v>
      </c>
    </row>
    <row r="17826" spans="1:18">
      <c r="A17826" t="s">
        <v>4</v>
      </c>
      <c r="B17826" s="4" t="s">
        <v>5</v>
      </c>
    </row>
    <row r="17827" spans="1:18">
      <c r="A17827" t="n">
        <v>172200</v>
      </c>
      <c r="B17827" s="27" t="n">
        <v>28</v>
      </c>
    </row>
    <row r="17828" spans="1:18">
      <c r="A17828" t="s">
        <v>4</v>
      </c>
      <c r="B17828" s="4" t="s">
        <v>5</v>
      </c>
      <c r="C17828" s="4" t="s">
        <v>7</v>
      </c>
      <c r="D17828" s="4" t="s">
        <v>11</v>
      </c>
      <c r="E17828" s="4" t="s">
        <v>11</v>
      </c>
      <c r="F17828" s="4" t="s">
        <v>7</v>
      </c>
    </row>
    <row r="17829" spans="1:18">
      <c r="A17829" t="n">
        <v>172201</v>
      </c>
      <c r="B17829" s="31" t="n">
        <v>25</v>
      </c>
      <c r="C17829" s="7" t="n">
        <v>1</v>
      </c>
      <c r="D17829" s="7" t="n">
        <v>65535</v>
      </c>
      <c r="E17829" s="7" t="n">
        <v>65535</v>
      </c>
      <c r="F17829" s="7" t="n">
        <v>0</v>
      </c>
    </row>
    <row r="17830" spans="1:18">
      <c r="A17830" t="s">
        <v>4</v>
      </c>
      <c r="B17830" s="4" t="s">
        <v>5</v>
      </c>
      <c r="C17830" s="4" t="s">
        <v>11</v>
      </c>
      <c r="D17830" s="4" t="s">
        <v>7</v>
      </c>
      <c r="E17830" s="4" t="s">
        <v>7</v>
      </c>
      <c r="F17830" s="4" t="s">
        <v>8</v>
      </c>
    </row>
    <row r="17831" spans="1:18">
      <c r="A17831" t="n">
        <v>172208</v>
      </c>
      <c r="B17831" s="50" t="n">
        <v>20</v>
      </c>
      <c r="C17831" s="7" t="n">
        <v>1</v>
      </c>
      <c r="D17831" s="7" t="n">
        <v>2</v>
      </c>
      <c r="E17831" s="7" t="n">
        <v>10</v>
      </c>
      <c r="F17831" s="7" t="s">
        <v>260</v>
      </c>
    </row>
    <row r="17832" spans="1:18">
      <c r="A17832" t="s">
        <v>4</v>
      </c>
      <c r="B17832" s="4" t="s">
        <v>5</v>
      </c>
      <c r="C17832" s="4" t="s">
        <v>7</v>
      </c>
      <c r="D17832" s="4" t="s">
        <v>11</v>
      </c>
      <c r="E17832" s="4" t="s">
        <v>8</v>
      </c>
    </row>
    <row r="17833" spans="1:18">
      <c r="A17833" t="n">
        <v>172228</v>
      </c>
      <c r="B17833" s="38" t="n">
        <v>51</v>
      </c>
      <c r="C17833" s="7" t="n">
        <v>4</v>
      </c>
      <c r="D17833" s="7" t="n">
        <v>1</v>
      </c>
      <c r="E17833" s="7" t="s">
        <v>752</v>
      </c>
    </row>
    <row r="17834" spans="1:18">
      <c r="A17834" t="s">
        <v>4</v>
      </c>
      <c r="B17834" s="4" t="s">
        <v>5</v>
      </c>
      <c r="C17834" s="4" t="s">
        <v>11</v>
      </c>
    </row>
    <row r="17835" spans="1:18">
      <c r="A17835" t="n">
        <v>172242</v>
      </c>
      <c r="B17835" s="29" t="n">
        <v>16</v>
      </c>
      <c r="C17835" s="7" t="n">
        <v>0</v>
      </c>
    </row>
    <row r="17836" spans="1:18">
      <c r="A17836" t="s">
        <v>4</v>
      </c>
      <c r="B17836" s="4" t="s">
        <v>5</v>
      </c>
      <c r="C17836" s="4" t="s">
        <v>11</v>
      </c>
      <c r="D17836" s="4" t="s">
        <v>7</v>
      </c>
      <c r="E17836" s="4" t="s">
        <v>15</v>
      </c>
      <c r="F17836" s="4" t="s">
        <v>55</v>
      </c>
      <c r="G17836" s="4" t="s">
        <v>7</v>
      </c>
      <c r="H17836" s="4" t="s">
        <v>7</v>
      </c>
      <c r="I17836" s="4" t="s">
        <v>7</v>
      </c>
      <c r="J17836" s="4" t="s">
        <v>15</v>
      </c>
      <c r="K17836" s="4" t="s">
        <v>55</v>
      </c>
      <c r="L17836" s="4" t="s">
        <v>7</v>
      </c>
      <c r="M17836" s="4" t="s">
        <v>7</v>
      </c>
      <c r="N17836" s="4" t="s">
        <v>7</v>
      </c>
      <c r="O17836" s="4" t="s">
        <v>15</v>
      </c>
      <c r="P17836" s="4" t="s">
        <v>55</v>
      </c>
      <c r="Q17836" s="4" t="s">
        <v>7</v>
      </c>
      <c r="R17836" s="4" t="s">
        <v>7</v>
      </c>
    </row>
    <row r="17837" spans="1:18">
      <c r="A17837" t="n">
        <v>172245</v>
      </c>
      <c r="B17837" s="55" t="n">
        <v>26</v>
      </c>
      <c r="C17837" s="7" t="n">
        <v>1</v>
      </c>
      <c r="D17837" s="7" t="n">
        <v>17</v>
      </c>
      <c r="E17837" s="7" t="n">
        <v>64487</v>
      </c>
      <c r="F17837" s="7" t="s">
        <v>1451</v>
      </c>
      <c r="G17837" s="7" t="n">
        <v>2</v>
      </c>
      <c r="H17837" s="7" t="n">
        <v>3</v>
      </c>
      <c r="I17837" s="7" t="n">
        <v>17</v>
      </c>
      <c r="J17837" s="7" t="n">
        <v>64488</v>
      </c>
      <c r="K17837" s="7" t="s">
        <v>1452</v>
      </c>
      <c r="L17837" s="7" t="n">
        <v>2</v>
      </c>
      <c r="M17837" s="7" t="n">
        <v>3</v>
      </c>
      <c r="N17837" s="7" t="n">
        <v>17</v>
      </c>
      <c r="O17837" s="7" t="n">
        <v>64489</v>
      </c>
      <c r="P17837" s="7" t="s">
        <v>1453</v>
      </c>
      <c r="Q17837" s="7" t="n">
        <v>2</v>
      </c>
      <c r="R17837" s="7" t="n">
        <v>0</v>
      </c>
    </row>
    <row r="17838" spans="1:18">
      <c r="A17838" t="s">
        <v>4</v>
      </c>
      <c r="B17838" s="4" t="s">
        <v>5</v>
      </c>
    </row>
    <row r="17839" spans="1:18">
      <c r="A17839" t="n">
        <v>172554</v>
      </c>
      <c r="B17839" s="27" t="n">
        <v>28</v>
      </c>
    </row>
    <row r="17840" spans="1:18">
      <c r="A17840" t="s">
        <v>4</v>
      </c>
      <c r="B17840" s="4" t="s">
        <v>5</v>
      </c>
      <c r="C17840" s="4" t="s">
        <v>7</v>
      </c>
      <c r="D17840" s="4" t="s">
        <v>11</v>
      </c>
      <c r="E17840" s="4" t="s">
        <v>8</v>
      </c>
    </row>
    <row r="17841" spans="1:18">
      <c r="A17841" t="n">
        <v>172555</v>
      </c>
      <c r="B17841" s="38" t="n">
        <v>51</v>
      </c>
      <c r="C17841" s="7" t="n">
        <v>4</v>
      </c>
      <c r="D17841" s="7" t="n">
        <v>0</v>
      </c>
      <c r="E17841" s="7" t="s">
        <v>179</v>
      </c>
    </row>
    <row r="17842" spans="1:18">
      <c r="A17842" t="s">
        <v>4</v>
      </c>
      <c r="B17842" s="4" t="s">
        <v>5</v>
      </c>
      <c r="C17842" s="4" t="s">
        <v>11</v>
      </c>
    </row>
    <row r="17843" spans="1:18">
      <c r="A17843" t="n">
        <v>172569</v>
      </c>
      <c r="B17843" s="29" t="n">
        <v>16</v>
      </c>
      <c r="C17843" s="7" t="n">
        <v>0</v>
      </c>
    </row>
    <row r="17844" spans="1:18">
      <c r="A17844" t="s">
        <v>4</v>
      </c>
      <c r="B17844" s="4" t="s">
        <v>5</v>
      </c>
      <c r="C17844" s="4" t="s">
        <v>11</v>
      </c>
      <c r="D17844" s="4" t="s">
        <v>7</v>
      </c>
      <c r="E17844" s="4" t="s">
        <v>15</v>
      </c>
      <c r="F17844" s="4" t="s">
        <v>55</v>
      </c>
      <c r="G17844" s="4" t="s">
        <v>7</v>
      </c>
      <c r="H17844" s="4" t="s">
        <v>7</v>
      </c>
      <c r="I17844" s="4" t="s">
        <v>7</v>
      </c>
      <c r="J17844" s="4" t="s">
        <v>15</v>
      </c>
      <c r="K17844" s="4" t="s">
        <v>55</v>
      </c>
      <c r="L17844" s="4" t="s">
        <v>7</v>
      </c>
      <c r="M17844" s="4" t="s">
        <v>7</v>
      </c>
    </row>
    <row r="17845" spans="1:18">
      <c r="A17845" t="n">
        <v>172572</v>
      </c>
      <c r="B17845" s="55" t="n">
        <v>26</v>
      </c>
      <c r="C17845" s="7" t="n">
        <v>0</v>
      </c>
      <c r="D17845" s="7" t="n">
        <v>17</v>
      </c>
      <c r="E17845" s="7" t="n">
        <v>64490</v>
      </c>
      <c r="F17845" s="7" t="s">
        <v>1454</v>
      </c>
      <c r="G17845" s="7" t="n">
        <v>2</v>
      </c>
      <c r="H17845" s="7" t="n">
        <v>3</v>
      </c>
      <c r="I17845" s="7" t="n">
        <v>17</v>
      </c>
      <c r="J17845" s="7" t="n">
        <v>64491</v>
      </c>
      <c r="K17845" s="7" t="s">
        <v>1455</v>
      </c>
      <c r="L17845" s="7" t="n">
        <v>2</v>
      </c>
      <c r="M17845" s="7" t="n">
        <v>0</v>
      </c>
    </row>
    <row r="17846" spans="1:18">
      <c r="A17846" t="s">
        <v>4</v>
      </c>
      <c r="B17846" s="4" t="s">
        <v>5</v>
      </c>
    </row>
    <row r="17847" spans="1:18">
      <c r="A17847" t="n">
        <v>172724</v>
      </c>
      <c r="B17847" s="27" t="n">
        <v>28</v>
      </c>
    </row>
    <row r="17848" spans="1:18">
      <c r="A17848" t="s">
        <v>4</v>
      </c>
      <c r="B17848" s="4" t="s">
        <v>5</v>
      </c>
      <c r="C17848" s="4" t="s">
        <v>7</v>
      </c>
      <c r="D17848" s="4" t="s">
        <v>11</v>
      </c>
      <c r="E17848" s="4" t="s">
        <v>11</v>
      </c>
      <c r="F17848" s="4" t="s">
        <v>7</v>
      </c>
    </row>
    <row r="17849" spans="1:18">
      <c r="A17849" t="n">
        <v>172725</v>
      </c>
      <c r="B17849" s="31" t="n">
        <v>25</v>
      </c>
      <c r="C17849" s="7" t="n">
        <v>1</v>
      </c>
      <c r="D17849" s="7" t="n">
        <v>65535</v>
      </c>
      <c r="E17849" s="7" t="n">
        <v>65535</v>
      </c>
      <c r="F17849" s="7" t="n">
        <v>0</v>
      </c>
    </row>
    <row r="17850" spans="1:18">
      <c r="A17850" t="s">
        <v>4</v>
      </c>
      <c r="B17850" s="4" t="s">
        <v>5</v>
      </c>
      <c r="C17850" s="4" t="s">
        <v>7</v>
      </c>
      <c r="D17850" s="4" t="s">
        <v>11</v>
      </c>
      <c r="E17850" s="4" t="s">
        <v>8</v>
      </c>
    </row>
    <row r="17851" spans="1:18">
      <c r="A17851" t="n">
        <v>172732</v>
      </c>
      <c r="B17851" s="38" t="n">
        <v>51</v>
      </c>
      <c r="C17851" s="7" t="n">
        <v>4</v>
      </c>
      <c r="D17851" s="7" t="n">
        <v>1</v>
      </c>
      <c r="E17851" s="7" t="s">
        <v>1456</v>
      </c>
    </row>
    <row r="17852" spans="1:18">
      <c r="A17852" t="s">
        <v>4</v>
      </c>
      <c r="B17852" s="4" t="s">
        <v>5</v>
      </c>
      <c r="C17852" s="4" t="s">
        <v>11</v>
      </c>
    </row>
    <row r="17853" spans="1:18">
      <c r="A17853" t="n">
        <v>172746</v>
      </c>
      <c r="B17853" s="29" t="n">
        <v>16</v>
      </c>
      <c r="C17853" s="7" t="n">
        <v>0</v>
      </c>
    </row>
    <row r="17854" spans="1:18">
      <c r="A17854" t="s">
        <v>4</v>
      </c>
      <c r="B17854" s="4" t="s">
        <v>5</v>
      </c>
      <c r="C17854" s="4" t="s">
        <v>11</v>
      </c>
      <c r="D17854" s="4" t="s">
        <v>7</v>
      </c>
      <c r="E17854" s="4" t="s">
        <v>15</v>
      </c>
      <c r="F17854" s="4" t="s">
        <v>55</v>
      </c>
      <c r="G17854" s="4" t="s">
        <v>7</v>
      </c>
      <c r="H17854" s="4" t="s">
        <v>7</v>
      </c>
    </row>
    <row r="17855" spans="1:18">
      <c r="A17855" t="n">
        <v>172749</v>
      </c>
      <c r="B17855" s="55" t="n">
        <v>26</v>
      </c>
      <c r="C17855" s="7" t="n">
        <v>1</v>
      </c>
      <c r="D17855" s="7" t="n">
        <v>17</v>
      </c>
      <c r="E17855" s="7" t="n">
        <v>64492</v>
      </c>
      <c r="F17855" s="7" t="s">
        <v>1457</v>
      </c>
      <c r="G17855" s="7" t="n">
        <v>2</v>
      </c>
      <c r="H17855" s="7" t="n">
        <v>0</v>
      </c>
    </row>
    <row r="17856" spans="1:18">
      <c r="A17856" t="s">
        <v>4</v>
      </c>
      <c r="B17856" s="4" t="s">
        <v>5</v>
      </c>
    </row>
    <row r="17857" spans="1:13">
      <c r="A17857" t="n">
        <v>172833</v>
      </c>
      <c r="B17857" s="27" t="n">
        <v>28</v>
      </c>
    </row>
    <row r="17858" spans="1:13">
      <c r="A17858" t="s">
        <v>4</v>
      </c>
      <c r="B17858" s="4" t="s">
        <v>5</v>
      </c>
      <c r="C17858" s="4" t="s">
        <v>11</v>
      </c>
      <c r="D17858" s="4" t="s">
        <v>13</v>
      </c>
      <c r="E17858" s="4" t="s">
        <v>13</v>
      </c>
      <c r="F17858" s="4" t="s">
        <v>13</v>
      </c>
      <c r="G17858" s="4" t="s">
        <v>11</v>
      </c>
      <c r="H17858" s="4" t="s">
        <v>11</v>
      </c>
    </row>
    <row r="17859" spans="1:13">
      <c r="A17859" t="n">
        <v>172834</v>
      </c>
      <c r="B17859" s="37" t="n">
        <v>60</v>
      </c>
      <c r="C17859" s="7" t="n">
        <v>1</v>
      </c>
      <c r="D17859" s="7" t="n">
        <v>0</v>
      </c>
      <c r="E17859" s="7" t="n">
        <v>-10</v>
      </c>
      <c r="F17859" s="7" t="n">
        <v>0</v>
      </c>
      <c r="G17859" s="7" t="n">
        <v>1000</v>
      </c>
      <c r="H17859" s="7" t="n">
        <v>0</v>
      </c>
    </row>
    <row r="17860" spans="1:13">
      <c r="A17860" t="s">
        <v>4</v>
      </c>
      <c r="B17860" s="4" t="s">
        <v>5</v>
      </c>
      <c r="C17860" s="4" t="s">
        <v>7</v>
      </c>
      <c r="D17860" s="4" t="s">
        <v>11</v>
      </c>
      <c r="E17860" s="4" t="s">
        <v>8</v>
      </c>
    </row>
    <row r="17861" spans="1:13">
      <c r="A17861" t="n">
        <v>172853</v>
      </c>
      <c r="B17861" s="38" t="n">
        <v>51</v>
      </c>
      <c r="C17861" s="7" t="n">
        <v>4</v>
      </c>
      <c r="D17861" s="7" t="n">
        <v>1</v>
      </c>
      <c r="E17861" s="7" t="s">
        <v>1376</v>
      </c>
    </row>
    <row r="17862" spans="1:13">
      <c r="A17862" t="s">
        <v>4</v>
      </c>
      <c r="B17862" s="4" t="s">
        <v>5</v>
      </c>
      <c r="C17862" s="4" t="s">
        <v>11</v>
      </c>
    </row>
    <row r="17863" spans="1:13">
      <c r="A17863" t="n">
        <v>172868</v>
      </c>
      <c r="B17863" s="29" t="n">
        <v>16</v>
      </c>
      <c r="C17863" s="7" t="n">
        <v>0</v>
      </c>
    </row>
    <row r="17864" spans="1:13">
      <c r="A17864" t="s">
        <v>4</v>
      </c>
      <c r="B17864" s="4" t="s">
        <v>5</v>
      </c>
      <c r="C17864" s="4" t="s">
        <v>11</v>
      </c>
      <c r="D17864" s="4" t="s">
        <v>7</v>
      </c>
      <c r="E17864" s="4" t="s">
        <v>15</v>
      </c>
      <c r="F17864" s="4" t="s">
        <v>55</v>
      </c>
      <c r="G17864" s="4" t="s">
        <v>7</v>
      </c>
      <c r="H17864" s="4" t="s">
        <v>7</v>
      </c>
    </row>
    <row r="17865" spans="1:13">
      <c r="A17865" t="n">
        <v>172871</v>
      </c>
      <c r="B17865" s="55" t="n">
        <v>26</v>
      </c>
      <c r="C17865" s="7" t="n">
        <v>1</v>
      </c>
      <c r="D17865" s="7" t="n">
        <v>17</v>
      </c>
      <c r="E17865" s="7" t="n">
        <v>65277</v>
      </c>
      <c r="F17865" s="7" t="s">
        <v>464</v>
      </c>
      <c r="G17865" s="7" t="n">
        <v>2</v>
      </c>
      <c r="H17865" s="7" t="n">
        <v>0</v>
      </c>
    </row>
    <row r="17866" spans="1:13">
      <c r="A17866" t="s">
        <v>4</v>
      </c>
      <c r="B17866" s="4" t="s">
        <v>5</v>
      </c>
    </row>
    <row r="17867" spans="1:13">
      <c r="A17867" t="n">
        <v>172884</v>
      </c>
      <c r="B17867" s="27" t="n">
        <v>28</v>
      </c>
    </row>
    <row r="17868" spans="1:13">
      <c r="A17868" t="s">
        <v>4</v>
      </c>
      <c r="B17868" s="4" t="s">
        <v>5</v>
      </c>
      <c r="C17868" s="4" t="s">
        <v>11</v>
      </c>
    </row>
    <row r="17869" spans="1:13">
      <c r="A17869" t="n">
        <v>172885</v>
      </c>
      <c r="B17869" s="29" t="n">
        <v>16</v>
      </c>
      <c r="C17869" s="7" t="n">
        <v>300</v>
      </c>
    </row>
    <row r="17870" spans="1:13">
      <c r="A17870" t="s">
        <v>4</v>
      </c>
      <c r="B17870" s="4" t="s">
        <v>5</v>
      </c>
      <c r="C17870" s="4" t="s">
        <v>7</v>
      </c>
      <c r="D17870" s="4" t="s">
        <v>11</v>
      </c>
      <c r="E17870" s="4" t="s">
        <v>7</v>
      </c>
      <c r="F17870" s="4" t="s">
        <v>7</v>
      </c>
      <c r="G17870" s="4" t="s">
        <v>12</v>
      </c>
    </row>
    <row r="17871" spans="1:13">
      <c r="A17871" t="n">
        <v>172888</v>
      </c>
      <c r="B17871" s="10" t="n">
        <v>5</v>
      </c>
      <c r="C17871" s="7" t="n">
        <v>30</v>
      </c>
      <c r="D17871" s="7" t="n">
        <v>10805</v>
      </c>
      <c r="E17871" s="7" t="n">
        <v>8</v>
      </c>
      <c r="F17871" s="7" t="n">
        <v>1</v>
      </c>
      <c r="G17871" s="11" t="n">
        <f t="normal" ca="1">A18047</f>
        <v>0</v>
      </c>
    </row>
    <row r="17872" spans="1:13">
      <c r="A17872" t="s">
        <v>4</v>
      </c>
      <c r="B17872" s="4" t="s">
        <v>5</v>
      </c>
      <c r="C17872" s="4" t="s">
        <v>7</v>
      </c>
      <c r="D17872" s="4" t="s">
        <v>11</v>
      </c>
      <c r="E17872" s="4" t="s">
        <v>8</v>
      </c>
    </row>
    <row r="17873" spans="1:8">
      <c r="A17873" t="n">
        <v>172898</v>
      </c>
      <c r="B17873" s="38" t="n">
        <v>51</v>
      </c>
      <c r="C17873" s="7" t="n">
        <v>4</v>
      </c>
      <c r="D17873" s="7" t="n">
        <v>0</v>
      </c>
      <c r="E17873" s="7" t="s">
        <v>245</v>
      </c>
    </row>
    <row r="17874" spans="1:8">
      <c r="A17874" t="s">
        <v>4</v>
      </c>
      <c r="B17874" s="4" t="s">
        <v>5</v>
      </c>
      <c r="C17874" s="4" t="s">
        <v>11</v>
      </c>
    </row>
    <row r="17875" spans="1:8">
      <c r="A17875" t="n">
        <v>172912</v>
      </c>
      <c r="B17875" s="29" t="n">
        <v>16</v>
      </c>
      <c r="C17875" s="7" t="n">
        <v>0</v>
      </c>
    </row>
    <row r="17876" spans="1:8">
      <c r="A17876" t="s">
        <v>4</v>
      </c>
      <c r="B17876" s="4" t="s">
        <v>5</v>
      </c>
      <c r="C17876" s="4" t="s">
        <v>11</v>
      </c>
      <c r="D17876" s="4" t="s">
        <v>7</v>
      </c>
      <c r="E17876" s="4" t="s">
        <v>15</v>
      </c>
      <c r="F17876" s="4" t="s">
        <v>55</v>
      </c>
      <c r="G17876" s="4" t="s">
        <v>7</v>
      </c>
      <c r="H17876" s="4" t="s">
        <v>7</v>
      </c>
    </row>
    <row r="17877" spans="1:8">
      <c r="A17877" t="n">
        <v>172915</v>
      </c>
      <c r="B17877" s="55" t="n">
        <v>26</v>
      </c>
      <c r="C17877" s="7" t="n">
        <v>0</v>
      </c>
      <c r="D17877" s="7" t="n">
        <v>17</v>
      </c>
      <c r="E17877" s="7" t="n">
        <v>64493</v>
      </c>
      <c r="F17877" s="7" t="s">
        <v>1458</v>
      </c>
      <c r="G17877" s="7" t="n">
        <v>2</v>
      </c>
      <c r="H17877" s="7" t="n">
        <v>0</v>
      </c>
    </row>
    <row r="17878" spans="1:8">
      <c r="A17878" t="s">
        <v>4</v>
      </c>
      <c r="B17878" s="4" t="s">
        <v>5</v>
      </c>
    </row>
    <row r="17879" spans="1:8">
      <c r="A17879" t="n">
        <v>172942</v>
      </c>
      <c r="B17879" s="27" t="n">
        <v>28</v>
      </c>
    </row>
    <row r="17880" spans="1:8">
      <c r="A17880" t="s">
        <v>4</v>
      </c>
      <c r="B17880" s="4" t="s">
        <v>5</v>
      </c>
      <c r="C17880" s="4" t="s">
        <v>7</v>
      </c>
      <c r="D17880" s="4" t="s">
        <v>11</v>
      </c>
      <c r="E17880" s="4" t="s">
        <v>11</v>
      </c>
      <c r="F17880" s="4" t="s">
        <v>7</v>
      </c>
    </row>
    <row r="17881" spans="1:8">
      <c r="A17881" t="n">
        <v>172943</v>
      </c>
      <c r="B17881" s="31" t="n">
        <v>25</v>
      </c>
      <c r="C17881" s="7" t="n">
        <v>1</v>
      </c>
      <c r="D17881" s="7" t="n">
        <v>65535</v>
      </c>
      <c r="E17881" s="7" t="n">
        <v>65535</v>
      </c>
      <c r="F17881" s="7" t="n">
        <v>0</v>
      </c>
    </row>
    <row r="17882" spans="1:8">
      <c r="A17882" t="s">
        <v>4</v>
      </c>
      <c r="B17882" s="4" t="s">
        <v>5</v>
      </c>
      <c r="C17882" s="4" t="s">
        <v>11</v>
      </c>
      <c r="D17882" s="4" t="s">
        <v>11</v>
      </c>
      <c r="E17882" s="4" t="s">
        <v>11</v>
      </c>
    </row>
    <row r="17883" spans="1:8">
      <c r="A17883" t="n">
        <v>172950</v>
      </c>
      <c r="B17883" s="72" t="n">
        <v>61</v>
      </c>
      <c r="C17883" s="7" t="n">
        <v>1</v>
      </c>
      <c r="D17883" s="7" t="n">
        <v>0</v>
      </c>
      <c r="E17883" s="7" t="n">
        <v>1000</v>
      </c>
    </row>
    <row r="17884" spans="1:8">
      <c r="A17884" t="s">
        <v>4</v>
      </c>
      <c r="B17884" s="4" t="s">
        <v>5</v>
      </c>
      <c r="C17884" s="4" t="s">
        <v>7</v>
      </c>
      <c r="D17884" s="4" t="s">
        <v>11</v>
      </c>
      <c r="E17884" s="4" t="s">
        <v>8</v>
      </c>
    </row>
    <row r="17885" spans="1:8">
      <c r="A17885" t="n">
        <v>172957</v>
      </c>
      <c r="B17885" s="38" t="n">
        <v>51</v>
      </c>
      <c r="C17885" s="7" t="n">
        <v>4</v>
      </c>
      <c r="D17885" s="7" t="n">
        <v>1</v>
      </c>
      <c r="E17885" s="7" t="s">
        <v>417</v>
      </c>
    </row>
    <row r="17886" spans="1:8">
      <c r="A17886" t="s">
        <v>4</v>
      </c>
      <c r="B17886" s="4" t="s">
        <v>5</v>
      </c>
      <c r="C17886" s="4" t="s">
        <v>11</v>
      </c>
    </row>
    <row r="17887" spans="1:8">
      <c r="A17887" t="n">
        <v>172971</v>
      </c>
      <c r="B17887" s="29" t="n">
        <v>16</v>
      </c>
      <c r="C17887" s="7" t="n">
        <v>0</v>
      </c>
    </row>
    <row r="17888" spans="1:8">
      <c r="A17888" t="s">
        <v>4</v>
      </c>
      <c r="B17888" s="4" t="s">
        <v>5</v>
      </c>
      <c r="C17888" s="4" t="s">
        <v>11</v>
      </c>
      <c r="D17888" s="4" t="s">
        <v>7</v>
      </c>
      <c r="E17888" s="4" t="s">
        <v>15</v>
      </c>
      <c r="F17888" s="4" t="s">
        <v>55</v>
      </c>
      <c r="G17888" s="4" t="s">
        <v>7</v>
      </c>
      <c r="H17888" s="4" t="s">
        <v>7</v>
      </c>
      <c r="I17888" s="4" t="s">
        <v>7</v>
      </c>
      <c r="J17888" s="4" t="s">
        <v>15</v>
      </c>
      <c r="K17888" s="4" t="s">
        <v>55</v>
      </c>
      <c r="L17888" s="4" t="s">
        <v>7</v>
      </c>
      <c r="M17888" s="4" t="s">
        <v>7</v>
      </c>
      <c r="N17888" s="4" t="s">
        <v>7</v>
      </c>
      <c r="O17888" s="4" t="s">
        <v>15</v>
      </c>
      <c r="P17888" s="4" t="s">
        <v>55</v>
      </c>
      <c r="Q17888" s="4" t="s">
        <v>7</v>
      </c>
      <c r="R17888" s="4" t="s">
        <v>7</v>
      </c>
    </row>
    <row r="17889" spans="1:18">
      <c r="A17889" t="n">
        <v>172974</v>
      </c>
      <c r="B17889" s="55" t="n">
        <v>26</v>
      </c>
      <c r="C17889" s="7" t="n">
        <v>1</v>
      </c>
      <c r="D17889" s="7" t="n">
        <v>17</v>
      </c>
      <c r="E17889" s="7" t="n">
        <v>64494</v>
      </c>
      <c r="F17889" s="7" t="s">
        <v>1459</v>
      </c>
      <c r="G17889" s="7" t="n">
        <v>2</v>
      </c>
      <c r="H17889" s="7" t="n">
        <v>3</v>
      </c>
      <c r="I17889" s="7" t="n">
        <v>17</v>
      </c>
      <c r="J17889" s="7" t="n">
        <v>64495</v>
      </c>
      <c r="K17889" s="7" t="s">
        <v>1460</v>
      </c>
      <c r="L17889" s="7" t="n">
        <v>2</v>
      </c>
      <c r="M17889" s="7" t="n">
        <v>3</v>
      </c>
      <c r="N17889" s="7" t="n">
        <v>17</v>
      </c>
      <c r="O17889" s="7" t="n">
        <v>64496</v>
      </c>
      <c r="P17889" s="7" t="s">
        <v>1461</v>
      </c>
      <c r="Q17889" s="7" t="n">
        <v>2</v>
      </c>
      <c r="R17889" s="7" t="n">
        <v>0</v>
      </c>
    </row>
    <row r="17890" spans="1:18">
      <c r="A17890" t="s">
        <v>4</v>
      </c>
      <c r="B17890" s="4" t="s">
        <v>5</v>
      </c>
    </row>
    <row r="17891" spans="1:18">
      <c r="A17891" t="n">
        <v>173167</v>
      </c>
      <c r="B17891" s="27" t="n">
        <v>28</v>
      </c>
    </row>
    <row r="17892" spans="1:18">
      <c r="A17892" t="s">
        <v>4</v>
      </c>
      <c r="B17892" s="4" t="s">
        <v>5</v>
      </c>
      <c r="C17892" s="4" t="s">
        <v>7</v>
      </c>
      <c r="D17892" s="4" t="s">
        <v>11</v>
      </c>
      <c r="E17892" s="4" t="s">
        <v>8</v>
      </c>
    </row>
    <row r="17893" spans="1:18">
      <c r="A17893" t="n">
        <v>173168</v>
      </c>
      <c r="B17893" s="38" t="n">
        <v>51</v>
      </c>
      <c r="C17893" s="7" t="n">
        <v>4</v>
      </c>
      <c r="D17893" s="7" t="n">
        <v>0</v>
      </c>
      <c r="E17893" s="7" t="s">
        <v>167</v>
      </c>
    </row>
    <row r="17894" spans="1:18">
      <c r="A17894" t="s">
        <v>4</v>
      </c>
      <c r="B17894" s="4" t="s">
        <v>5</v>
      </c>
      <c r="C17894" s="4" t="s">
        <v>11</v>
      </c>
    </row>
    <row r="17895" spans="1:18">
      <c r="A17895" t="n">
        <v>173182</v>
      </c>
      <c r="B17895" s="29" t="n">
        <v>16</v>
      </c>
      <c r="C17895" s="7" t="n">
        <v>0</v>
      </c>
    </row>
    <row r="17896" spans="1:18">
      <c r="A17896" t="s">
        <v>4</v>
      </c>
      <c r="B17896" s="4" t="s">
        <v>5</v>
      </c>
      <c r="C17896" s="4" t="s">
        <v>11</v>
      </c>
      <c r="D17896" s="4" t="s">
        <v>7</v>
      </c>
      <c r="E17896" s="4" t="s">
        <v>15</v>
      </c>
      <c r="F17896" s="4" t="s">
        <v>55</v>
      </c>
      <c r="G17896" s="4" t="s">
        <v>7</v>
      </c>
      <c r="H17896" s="4" t="s">
        <v>7</v>
      </c>
      <c r="I17896" s="4" t="s">
        <v>7</v>
      </c>
      <c r="J17896" s="4" t="s">
        <v>15</v>
      </c>
      <c r="K17896" s="4" t="s">
        <v>55</v>
      </c>
      <c r="L17896" s="4" t="s">
        <v>7</v>
      </c>
      <c r="M17896" s="4" t="s">
        <v>7</v>
      </c>
      <c r="N17896" s="4" t="s">
        <v>7</v>
      </c>
      <c r="O17896" s="4" t="s">
        <v>15</v>
      </c>
      <c r="P17896" s="4" t="s">
        <v>55</v>
      </c>
      <c r="Q17896" s="4" t="s">
        <v>7</v>
      </c>
      <c r="R17896" s="4" t="s">
        <v>7</v>
      </c>
    </row>
    <row r="17897" spans="1:18">
      <c r="A17897" t="n">
        <v>173185</v>
      </c>
      <c r="B17897" s="55" t="n">
        <v>26</v>
      </c>
      <c r="C17897" s="7" t="n">
        <v>0</v>
      </c>
      <c r="D17897" s="7" t="n">
        <v>17</v>
      </c>
      <c r="E17897" s="7" t="n">
        <v>64497</v>
      </c>
      <c r="F17897" s="7" t="s">
        <v>1462</v>
      </c>
      <c r="G17897" s="7" t="n">
        <v>2</v>
      </c>
      <c r="H17897" s="7" t="n">
        <v>3</v>
      </c>
      <c r="I17897" s="7" t="n">
        <v>17</v>
      </c>
      <c r="J17897" s="7" t="n">
        <v>64498</v>
      </c>
      <c r="K17897" s="7" t="s">
        <v>1463</v>
      </c>
      <c r="L17897" s="7" t="n">
        <v>2</v>
      </c>
      <c r="M17897" s="7" t="n">
        <v>3</v>
      </c>
      <c r="N17897" s="7" t="n">
        <v>17</v>
      </c>
      <c r="O17897" s="7" t="n">
        <v>64499</v>
      </c>
      <c r="P17897" s="7" t="s">
        <v>1464</v>
      </c>
      <c r="Q17897" s="7" t="n">
        <v>2</v>
      </c>
      <c r="R17897" s="7" t="n">
        <v>0</v>
      </c>
    </row>
    <row r="17898" spans="1:18">
      <c r="A17898" t="s">
        <v>4</v>
      </c>
      <c r="B17898" s="4" t="s">
        <v>5</v>
      </c>
    </row>
    <row r="17899" spans="1:18">
      <c r="A17899" t="n">
        <v>173321</v>
      </c>
      <c r="B17899" s="27" t="n">
        <v>28</v>
      </c>
    </row>
    <row r="17900" spans="1:18">
      <c r="A17900" t="s">
        <v>4</v>
      </c>
      <c r="B17900" s="4" t="s">
        <v>5</v>
      </c>
      <c r="C17900" s="4" t="s">
        <v>7</v>
      </c>
      <c r="D17900" s="4" t="s">
        <v>11</v>
      </c>
      <c r="E17900" s="4" t="s">
        <v>11</v>
      </c>
      <c r="F17900" s="4" t="s">
        <v>7</v>
      </c>
    </row>
    <row r="17901" spans="1:18">
      <c r="A17901" t="n">
        <v>173322</v>
      </c>
      <c r="B17901" s="31" t="n">
        <v>25</v>
      </c>
      <c r="C17901" s="7" t="n">
        <v>1</v>
      </c>
      <c r="D17901" s="7" t="n">
        <v>65535</v>
      </c>
      <c r="E17901" s="7" t="n">
        <v>65535</v>
      </c>
      <c r="F17901" s="7" t="n">
        <v>0</v>
      </c>
    </row>
    <row r="17902" spans="1:18">
      <c r="A17902" t="s">
        <v>4</v>
      </c>
      <c r="B17902" s="4" t="s">
        <v>5</v>
      </c>
      <c r="C17902" s="4" t="s">
        <v>11</v>
      </c>
      <c r="D17902" s="4" t="s">
        <v>13</v>
      </c>
      <c r="E17902" s="4" t="s">
        <v>13</v>
      </c>
      <c r="F17902" s="4" t="s">
        <v>13</v>
      </c>
      <c r="G17902" s="4" t="s">
        <v>11</v>
      </c>
      <c r="H17902" s="4" t="s">
        <v>11</v>
      </c>
    </row>
    <row r="17903" spans="1:18">
      <c r="A17903" t="n">
        <v>173329</v>
      </c>
      <c r="B17903" s="37" t="n">
        <v>60</v>
      </c>
      <c r="C17903" s="7" t="n">
        <v>1</v>
      </c>
      <c r="D17903" s="7" t="n">
        <v>0</v>
      </c>
      <c r="E17903" s="7" t="n">
        <v>0</v>
      </c>
      <c r="F17903" s="7" t="n">
        <v>0</v>
      </c>
      <c r="G17903" s="7" t="n">
        <v>1000</v>
      </c>
      <c r="H17903" s="7" t="n">
        <v>0</v>
      </c>
    </row>
    <row r="17904" spans="1:18">
      <c r="A17904" t="s">
        <v>4</v>
      </c>
      <c r="B17904" s="4" t="s">
        <v>5</v>
      </c>
      <c r="C17904" s="4" t="s">
        <v>11</v>
      </c>
    </row>
    <row r="17905" spans="1:18">
      <c r="A17905" t="n">
        <v>173348</v>
      </c>
      <c r="B17905" s="29" t="n">
        <v>16</v>
      </c>
      <c r="C17905" s="7" t="n">
        <v>300</v>
      </c>
    </row>
    <row r="17906" spans="1:18">
      <c r="A17906" t="s">
        <v>4</v>
      </c>
      <c r="B17906" s="4" t="s">
        <v>5</v>
      </c>
      <c r="C17906" s="4" t="s">
        <v>7</v>
      </c>
      <c r="D17906" s="4" t="s">
        <v>11</v>
      </c>
      <c r="E17906" s="4" t="s">
        <v>8</v>
      </c>
    </row>
    <row r="17907" spans="1:18">
      <c r="A17907" t="n">
        <v>173351</v>
      </c>
      <c r="B17907" s="38" t="n">
        <v>51</v>
      </c>
      <c r="C17907" s="7" t="n">
        <v>4</v>
      </c>
      <c r="D17907" s="7" t="n">
        <v>1</v>
      </c>
      <c r="E17907" s="7" t="s">
        <v>375</v>
      </c>
    </row>
    <row r="17908" spans="1:18">
      <c r="A17908" t="s">
        <v>4</v>
      </c>
      <c r="B17908" s="4" t="s">
        <v>5</v>
      </c>
      <c r="C17908" s="4" t="s">
        <v>11</v>
      </c>
    </row>
    <row r="17909" spans="1:18">
      <c r="A17909" t="n">
        <v>173365</v>
      </c>
      <c r="B17909" s="29" t="n">
        <v>16</v>
      </c>
      <c r="C17909" s="7" t="n">
        <v>0</v>
      </c>
    </row>
    <row r="17910" spans="1:18">
      <c r="A17910" t="s">
        <v>4</v>
      </c>
      <c r="B17910" s="4" t="s">
        <v>5</v>
      </c>
      <c r="C17910" s="4" t="s">
        <v>11</v>
      </c>
      <c r="D17910" s="4" t="s">
        <v>7</v>
      </c>
      <c r="E17910" s="4" t="s">
        <v>15</v>
      </c>
      <c r="F17910" s="4" t="s">
        <v>55</v>
      </c>
      <c r="G17910" s="4" t="s">
        <v>7</v>
      </c>
      <c r="H17910" s="4" t="s">
        <v>7</v>
      </c>
    </row>
    <row r="17911" spans="1:18">
      <c r="A17911" t="n">
        <v>173368</v>
      </c>
      <c r="B17911" s="55" t="n">
        <v>26</v>
      </c>
      <c r="C17911" s="7" t="n">
        <v>1</v>
      </c>
      <c r="D17911" s="7" t="n">
        <v>17</v>
      </c>
      <c r="E17911" s="7" t="n">
        <v>64500</v>
      </c>
      <c r="F17911" s="7" t="s">
        <v>1465</v>
      </c>
      <c r="G17911" s="7" t="n">
        <v>2</v>
      </c>
      <c r="H17911" s="7" t="n">
        <v>0</v>
      </c>
    </row>
    <row r="17912" spans="1:18">
      <c r="A17912" t="s">
        <v>4</v>
      </c>
      <c r="B17912" s="4" t="s">
        <v>5</v>
      </c>
    </row>
    <row r="17913" spans="1:18">
      <c r="A17913" t="n">
        <v>173385</v>
      </c>
      <c r="B17913" s="27" t="n">
        <v>28</v>
      </c>
    </row>
    <row r="17914" spans="1:18">
      <c r="A17914" t="s">
        <v>4</v>
      </c>
      <c r="B17914" s="4" t="s">
        <v>5</v>
      </c>
      <c r="C17914" s="4" t="s">
        <v>11</v>
      </c>
      <c r="D17914" s="4" t="s">
        <v>7</v>
      </c>
    </row>
    <row r="17915" spans="1:18">
      <c r="A17915" t="n">
        <v>173386</v>
      </c>
      <c r="B17915" s="68" t="n">
        <v>89</v>
      </c>
      <c r="C17915" s="7" t="n">
        <v>65533</v>
      </c>
      <c r="D17915" s="7" t="n">
        <v>1</v>
      </c>
    </row>
    <row r="17916" spans="1:18">
      <c r="A17916" t="s">
        <v>4</v>
      </c>
      <c r="B17916" s="4" t="s">
        <v>5</v>
      </c>
      <c r="C17916" s="4" t="s">
        <v>7</v>
      </c>
      <c r="D17916" s="4" t="s">
        <v>11</v>
      </c>
      <c r="E17916" s="4" t="s">
        <v>13</v>
      </c>
    </row>
    <row r="17917" spans="1:18">
      <c r="A17917" t="n">
        <v>173390</v>
      </c>
      <c r="B17917" s="23" t="n">
        <v>58</v>
      </c>
      <c r="C17917" s="7" t="n">
        <v>101</v>
      </c>
      <c r="D17917" s="7" t="n">
        <v>600</v>
      </c>
      <c r="E17917" s="7" t="n">
        <v>1</v>
      </c>
    </row>
    <row r="17918" spans="1:18">
      <c r="A17918" t="s">
        <v>4</v>
      </c>
      <c r="B17918" s="4" t="s">
        <v>5</v>
      </c>
      <c r="C17918" s="4" t="s">
        <v>7</v>
      </c>
      <c r="D17918" s="4" t="s">
        <v>11</v>
      </c>
    </row>
    <row r="17919" spans="1:18">
      <c r="A17919" t="n">
        <v>173398</v>
      </c>
      <c r="B17919" s="23" t="n">
        <v>58</v>
      </c>
      <c r="C17919" s="7" t="n">
        <v>254</v>
      </c>
      <c r="D17919" s="7" t="n">
        <v>0</v>
      </c>
    </row>
    <row r="17920" spans="1:18">
      <c r="A17920" t="s">
        <v>4</v>
      </c>
      <c r="B17920" s="4" t="s">
        <v>5</v>
      </c>
      <c r="C17920" s="4" t="s">
        <v>7</v>
      </c>
      <c r="D17920" s="4" t="s">
        <v>7</v>
      </c>
      <c r="E17920" s="4" t="s">
        <v>13</v>
      </c>
      <c r="F17920" s="4" t="s">
        <v>13</v>
      </c>
      <c r="G17920" s="4" t="s">
        <v>13</v>
      </c>
      <c r="H17920" s="4" t="s">
        <v>11</v>
      </c>
    </row>
    <row r="17921" spans="1:8">
      <c r="A17921" t="n">
        <v>173402</v>
      </c>
      <c r="B17921" s="51" t="n">
        <v>45</v>
      </c>
      <c r="C17921" s="7" t="n">
        <v>2</v>
      </c>
      <c r="D17921" s="7" t="n">
        <v>3</v>
      </c>
      <c r="E17921" s="7" t="n">
        <v>7.17000007629395</v>
      </c>
      <c r="F17921" s="7" t="n">
        <v>11.3999996185303</v>
      </c>
      <c r="G17921" s="7" t="n">
        <v>47.5800018310547</v>
      </c>
      <c r="H17921" s="7" t="n">
        <v>0</v>
      </c>
    </row>
    <row r="17922" spans="1:8">
      <c r="A17922" t="s">
        <v>4</v>
      </c>
      <c r="B17922" s="4" t="s">
        <v>5</v>
      </c>
      <c r="C17922" s="4" t="s">
        <v>7</v>
      </c>
      <c r="D17922" s="4" t="s">
        <v>7</v>
      </c>
      <c r="E17922" s="4" t="s">
        <v>13</v>
      </c>
      <c r="F17922" s="4" t="s">
        <v>13</v>
      </c>
      <c r="G17922" s="4" t="s">
        <v>13</v>
      </c>
      <c r="H17922" s="4" t="s">
        <v>11</v>
      </c>
      <c r="I17922" s="4" t="s">
        <v>7</v>
      </c>
    </row>
    <row r="17923" spans="1:8">
      <c r="A17923" t="n">
        <v>173419</v>
      </c>
      <c r="B17923" s="51" t="n">
        <v>45</v>
      </c>
      <c r="C17923" s="7" t="n">
        <v>4</v>
      </c>
      <c r="D17923" s="7" t="n">
        <v>3</v>
      </c>
      <c r="E17923" s="7" t="n">
        <v>10.4700002670288</v>
      </c>
      <c r="F17923" s="7" t="n">
        <v>240.660003662109</v>
      </c>
      <c r="G17923" s="7" t="n">
        <v>0</v>
      </c>
      <c r="H17923" s="7" t="n">
        <v>0</v>
      </c>
      <c r="I17923" s="7" t="n">
        <v>0</v>
      </c>
    </row>
    <row r="17924" spans="1:8">
      <c r="A17924" t="s">
        <v>4</v>
      </c>
      <c r="B17924" s="4" t="s">
        <v>5</v>
      </c>
      <c r="C17924" s="4" t="s">
        <v>7</v>
      </c>
      <c r="D17924" s="4" t="s">
        <v>7</v>
      </c>
      <c r="E17924" s="4" t="s">
        <v>13</v>
      </c>
      <c r="F17924" s="4" t="s">
        <v>11</v>
      </c>
    </row>
    <row r="17925" spans="1:8">
      <c r="A17925" t="n">
        <v>173437</v>
      </c>
      <c r="B17925" s="51" t="n">
        <v>45</v>
      </c>
      <c r="C17925" s="7" t="n">
        <v>5</v>
      </c>
      <c r="D17925" s="7" t="n">
        <v>3</v>
      </c>
      <c r="E17925" s="7" t="n">
        <v>1</v>
      </c>
      <c r="F17925" s="7" t="n">
        <v>0</v>
      </c>
    </row>
    <row r="17926" spans="1:8">
      <c r="A17926" t="s">
        <v>4</v>
      </c>
      <c r="B17926" s="4" t="s">
        <v>5</v>
      </c>
      <c r="C17926" s="4" t="s">
        <v>7</v>
      </c>
      <c r="D17926" s="4" t="s">
        <v>7</v>
      </c>
      <c r="E17926" s="4" t="s">
        <v>13</v>
      </c>
      <c r="F17926" s="4" t="s">
        <v>11</v>
      </c>
    </row>
    <row r="17927" spans="1:8">
      <c r="A17927" t="n">
        <v>173446</v>
      </c>
      <c r="B17927" s="51" t="n">
        <v>45</v>
      </c>
      <c r="C17927" s="7" t="n">
        <v>11</v>
      </c>
      <c r="D17927" s="7" t="n">
        <v>3</v>
      </c>
      <c r="E17927" s="7" t="n">
        <v>34</v>
      </c>
      <c r="F17927" s="7" t="n">
        <v>0</v>
      </c>
    </row>
    <row r="17928" spans="1:8">
      <c r="A17928" t="s">
        <v>4</v>
      </c>
      <c r="B17928" s="4" t="s">
        <v>5</v>
      </c>
      <c r="C17928" s="4" t="s">
        <v>7</v>
      </c>
      <c r="D17928" s="4" t="s">
        <v>11</v>
      </c>
    </row>
    <row r="17929" spans="1:8">
      <c r="A17929" t="n">
        <v>173455</v>
      </c>
      <c r="B17929" s="23" t="n">
        <v>58</v>
      </c>
      <c r="C17929" s="7" t="n">
        <v>255</v>
      </c>
      <c r="D17929" s="7" t="n">
        <v>0</v>
      </c>
    </row>
    <row r="17930" spans="1:8">
      <c r="A17930" t="s">
        <v>4</v>
      </c>
      <c r="B17930" s="4" t="s">
        <v>5</v>
      </c>
      <c r="C17930" s="4" t="s">
        <v>11</v>
      </c>
    </row>
    <row r="17931" spans="1:8">
      <c r="A17931" t="n">
        <v>173459</v>
      </c>
      <c r="B17931" s="29" t="n">
        <v>16</v>
      </c>
      <c r="C17931" s="7" t="n">
        <v>200</v>
      </c>
    </row>
    <row r="17932" spans="1:8">
      <c r="A17932" t="s">
        <v>4</v>
      </c>
      <c r="B17932" s="4" t="s">
        <v>5</v>
      </c>
      <c r="C17932" s="4" t="s">
        <v>7</v>
      </c>
      <c r="D17932" s="4" t="s">
        <v>11</v>
      </c>
      <c r="E17932" s="4" t="s">
        <v>11</v>
      </c>
      <c r="F17932" s="4" t="s">
        <v>11</v>
      </c>
      <c r="G17932" s="4" t="s">
        <v>11</v>
      </c>
      <c r="H17932" s="4" t="s">
        <v>11</v>
      </c>
      <c r="I17932" s="4" t="s">
        <v>8</v>
      </c>
      <c r="J17932" s="4" t="s">
        <v>13</v>
      </c>
      <c r="K17932" s="4" t="s">
        <v>13</v>
      </c>
      <c r="L17932" s="4" t="s">
        <v>13</v>
      </c>
      <c r="M17932" s="4" t="s">
        <v>15</v>
      </c>
      <c r="N17932" s="4" t="s">
        <v>15</v>
      </c>
      <c r="O17932" s="4" t="s">
        <v>13</v>
      </c>
      <c r="P17932" s="4" t="s">
        <v>13</v>
      </c>
      <c r="Q17932" s="4" t="s">
        <v>13</v>
      </c>
      <c r="R17932" s="4" t="s">
        <v>13</v>
      </c>
      <c r="S17932" s="4" t="s">
        <v>7</v>
      </c>
    </row>
    <row r="17933" spans="1:8">
      <c r="A17933" t="n">
        <v>173462</v>
      </c>
      <c r="B17933" s="81" t="n">
        <v>39</v>
      </c>
      <c r="C17933" s="7" t="n">
        <v>12</v>
      </c>
      <c r="D17933" s="7" t="n">
        <v>1</v>
      </c>
      <c r="E17933" s="7" t="n">
        <v>203</v>
      </c>
      <c r="F17933" s="7" t="n">
        <v>0</v>
      </c>
      <c r="G17933" s="7" t="n">
        <v>1</v>
      </c>
      <c r="H17933" s="7" t="n">
        <v>3</v>
      </c>
      <c r="I17933" s="7" t="s">
        <v>917</v>
      </c>
      <c r="J17933" s="7" t="n">
        <v>0</v>
      </c>
      <c r="K17933" s="7" t="n">
        <v>0</v>
      </c>
      <c r="L17933" s="7" t="n">
        <v>0</v>
      </c>
      <c r="M17933" s="7" t="n">
        <v>0</v>
      </c>
      <c r="N17933" s="7" t="n">
        <v>0</v>
      </c>
      <c r="O17933" s="7" t="n">
        <v>0</v>
      </c>
      <c r="P17933" s="7" t="n">
        <v>1</v>
      </c>
      <c r="Q17933" s="7" t="n">
        <v>1</v>
      </c>
      <c r="R17933" s="7" t="n">
        <v>1</v>
      </c>
      <c r="S17933" s="7" t="n">
        <v>103</v>
      </c>
    </row>
    <row r="17934" spans="1:8">
      <c r="A17934" t="s">
        <v>4</v>
      </c>
      <c r="B17934" s="4" t="s">
        <v>5</v>
      </c>
      <c r="C17934" s="4" t="s">
        <v>11</v>
      </c>
    </row>
    <row r="17935" spans="1:8">
      <c r="A17935" t="n">
        <v>173532</v>
      </c>
      <c r="B17935" s="29" t="n">
        <v>16</v>
      </c>
      <c r="C17935" s="7" t="n">
        <v>500</v>
      </c>
    </row>
    <row r="17936" spans="1:8">
      <c r="A17936" t="s">
        <v>4</v>
      </c>
      <c r="B17936" s="4" t="s">
        <v>5</v>
      </c>
      <c r="C17936" s="4" t="s">
        <v>7</v>
      </c>
      <c r="D17936" s="4" t="s">
        <v>11</v>
      </c>
      <c r="E17936" s="4" t="s">
        <v>11</v>
      </c>
      <c r="F17936" s="4" t="s">
        <v>11</v>
      </c>
      <c r="G17936" s="4" t="s">
        <v>11</v>
      </c>
      <c r="H17936" s="4" t="s">
        <v>11</v>
      </c>
      <c r="I17936" s="4" t="s">
        <v>8</v>
      </c>
      <c r="J17936" s="4" t="s">
        <v>13</v>
      </c>
      <c r="K17936" s="4" t="s">
        <v>13</v>
      </c>
      <c r="L17936" s="4" t="s">
        <v>13</v>
      </c>
      <c r="M17936" s="4" t="s">
        <v>15</v>
      </c>
      <c r="N17936" s="4" t="s">
        <v>15</v>
      </c>
      <c r="O17936" s="4" t="s">
        <v>13</v>
      </c>
      <c r="P17936" s="4" t="s">
        <v>13</v>
      </c>
      <c r="Q17936" s="4" t="s">
        <v>13</v>
      </c>
      <c r="R17936" s="4" t="s">
        <v>13</v>
      </c>
      <c r="S17936" s="4" t="s">
        <v>7</v>
      </c>
    </row>
    <row r="17937" spans="1:19">
      <c r="A17937" t="n">
        <v>173535</v>
      </c>
      <c r="B17937" s="81" t="n">
        <v>39</v>
      </c>
      <c r="C17937" s="7" t="n">
        <v>12</v>
      </c>
      <c r="D17937" s="7" t="n">
        <v>1</v>
      </c>
      <c r="E17937" s="7" t="n">
        <v>202</v>
      </c>
      <c r="F17937" s="7" t="n">
        <v>0</v>
      </c>
      <c r="G17937" s="7" t="n">
        <v>1</v>
      </c>
      <c r="H17937" s="7" t="n">
        <v>3</v>
      </c>
      <c r="I17937" s="7" t="s">
        <v>917</v>
      </c>
      <c r="J17937" s="7" t="n">
        <v>0</v>
      </c>
      <c r="K17937" s="7" t="n">
        <v>0</v>
      </c>
      <c r="L17937" s="7" t="n">
        <v>0</v>
      </c>
      <c r="M17937" s="7" t="n">
        <v>0</v>
      </c>
      <c r="N17937" s="7" t="n">
        <v>0</v>
      </c>
      <c r="O17937" s="7" t="n">
        <v>0</v>
      </c>
      <c r="P17937" s="7" t="n">
        <v>1</v>
      </c>
      <c r="Q17937" s="7" t="n">
        <v>1</v>
      </c>
      <c r="R17937" s="7" t="n">
        <v>1</v>
      </c>
      <c r="S17937" s="7" t="n">
        <v>102</v>
      </c>
    </row>
    <row r="17938" spans="1:19">
      <c r="A17938" t="s">
        <v>4</v>
      </c>
      <c r="B17938" s="4" t="s">
        <v>5</v>
      </c>
      <c r="C17938" s="4" t="s">
        <v>11</v>
      </c>
    </row>
    <row r="17939" spans="1:19">
      <c r="A17939" t="n">
        <v>173605</v>
      </c>
      <c r="B17939" s="29" t="n">
        <v>16</v>
      </c>
      <c r="C17939" s="7" t="n">
        <v>500</v>
      </c>
    </row>
    <row r="17940" spans="1:19">
      <c r="A17940" t="s">
        <v>4</v>
      </c>
      <c r="B17940" s="4" t="s">
        <v>5</v>
      </c>
      <c r="C17940" s="4" t="s">
        <v>7</v>
      </c>
      <c r="D17940" s="4" t="s">
        <v>11</v>
      </c>
      <c r="E17940" s="4" t="s">
        <v>8</v>
      </c>
      <c r="F17940" s="4" t="s">
        <v>8</v>
      </c>
      <c r="G17940" s="4" t="s">
        <v>8</v>
      </c>
      <c r="H17940" s="4" t="s">
        <v>8</v>
      </c>
    </row>
    <row r="17941" spans="1:19">
      <c r="A17941" t="n">
        <v>173608</v>
      </c>
      <c r="B17941" s="38" t="n">
        <v>51</v>
      </c>
      <c r="C17941" s="7" t="n">
        <v>3</v>
      </c>
      <c r="D17941" s="7" t="n">
        <v>1</v>
      </c>
      <c r="E17941" s="7" t="s">
        <v>154</v>
      </c>
      <c r="F17941" s="7" t="s">
        <v>155</v>
      </c>
      <c r="G17941" s="7" t="s">
        <v>78</v>
      </c>
      <c r="H17941" s="7" t="s">
        <v>79</v>
      </c>
    </row>
    <row r="17942" spans="1:19">
      <c r="A17942" t="s">
        <v>4</v>
      </c>
      <c r="B17942" s="4" t="s">
        <v>5</v>
      </c>
      <c r="C17942" s="4" t="s">
        <v>11</v>
      </c>
    </row>
    <row r="17943" spans="1:19">
      <c r="A17943" t="n">
        <v>173621</v>
      </c>
      <c r="B17943" s="29" t="n">
        <v>16</v>
      </c>
      <c r="C17943" s="7" t="n">
        <v>1500</v>
      </c>
    </row>
    <row r="17944" spans="1:19">
      <c r="A17944" t="s">
        <v>4</v>
      </c>
      <c r="B17944" s="4" t="s">
        <v>5</v>
      </c>
      <c r="C17944" s="4" t="s">
        <v>7</v>
      </c>
      <c r="D17944" s="4" t="s">
        <v>11</v>
      </c>
      <c r="E17944" s="4" t="s">
        <v>13</v>
      </c>
    </row>
    <row r="17945" spans="1:19">
      <c r="A17945" t="n">
        <v>173624</v>
      </c>
      <c r="B17945" s="23" t="n">
        <v>58</v>
      </c>
      <c r="C17945" s="7" t="n">
        <v>101</v>
      </c>
      <c r="D17945" s="7" t="n">
        <v>600</v>
      </c>
      <c r="E17945" s="7" t="n">
        <v>1</v>
      </c>
    </row>
    <row r="17946" spans="1:19">
      <c r="A17946" t="s">
        <v>4</v>
      </c>
      <c r="B17946" s="4" t="s">
        <v>5</v>
      </c>
      <c r="C17946" s="4" t="s">
        <v>7</v>
      </c>
      <c r="D17946" s="4" t="s">
        <v>11</v>
      </c>
    </row>
    <row r="17947" spans="1:19">
      <c r="A17947" t="n">
        <v>173632</v>
      </c>
      <c r="B17947" s="23" t="n">
        <v>58</v>
      </c>
      <c r="C17947" s="7" t="n">
        <v>254</v>
      </c>
      <c r="D17947" s="7" t="n">
        <v>0</v>
      </c>
    </row>
    <row r="17948" spans="1:19">
      <c r="A17948" t="s">
        <v>4</v>
      </c>
      <c r="B17948" s="4" t="s">
        <v>5</v>
      </c>
      <c r="C17948" s="4" t="s">
        <v>7</v>
      </c>
      <c r="D17948" s="4" t="s">
        <v>7</v>
      </c>
      <c r="E17948" s="4" t="s">
        <v>13</v>
      </c>
      <c r="F17948" s="4" t="s">
        <v>13</v>
      </c>
      <c r="G17948" s="4" t="s">
        <v>13</v>
      </c>
      <c r="H17948" s="4" t="s">
        <v>11</v>
      </c>
    </row>
    <row r="17949" spans="1:19">
      <c r="A17949" t="n">
        <v>173636</v>
      </c>
      <c r="B17949" s="51" t="n">
        <v>45</v>
      </c>
      <c r="C17949" s="7" t="n">
        <v>2</v>
      </c>
      <c r="D17949" s="7" t="n">
        <v>3</v>
      </c>
      <c r="E17949" s="7" t="n">
        <v>6.80000019073486</v>
      </c>
      <c r="F17949" s="7" t="n">
        <v>11.3699998855591</v>
      </c>
      <c r="G17949" s="7" t="n">
        <v>47.6199989318848</v>
      </c>
      <c r="H17949" s="7" t="n">
        <v>0</v>
      </c>
    </row>
    <row r="17950" spans="1:19">
      <c r="A17950" t="s">
        <v>4</v>
      </c>
      <c r="B17950" s="4" t="s">
        <v>5</v>
      </c>
      <c r="C17950" s="4" t="s">
        <v>7</v>
      </c>
      <c r="D17950" s="4" t="s">
        <v>7</v>
      </c>
      <c r="E17950" s="4" t="s">
        <v>13</v>
      </c>
      <c r="F17950" s="4" t="s">
        <v>13</v>
      </c>
      <c r="G17950" s="4" t="s">
        <v>13</v>
      </c>
      <c r="H17950" s="4" t="s">
        <v>11</v>
      </c>
      <c r="I17950" s="4" t="s">
        <v>7</v>
      </c>
    </row>
    <row r="17951" spans="1:19">
      <c r="A17951" t="n">
        <v>173653</v>
      </c>
      <c r="B17951" s="51" t="n">
        <v>45</v>
      </c>
      <c r="C17951" s="7" t="n">
        <v>4</v>
      </c>
      <c r="D17951" s="7" t="n">
        <v>3</v>
      </c>
      <c r="E17951" s="7" t="n">
        <v>19.1000003814697</v>
      </c>
      <c r="F17951" s="7" t="n">
        <v>243.539993286133</v>
      </c>
      <c r="G17951" s="7" t="n">
        <v>0</v>
      </c>
      <c r="H17951" s="7" t="n">
        <v>0</v>
      </c>
      <c r="I17951" s="7" t="n">
        <v>0</v>
      </c>
    </row>
    <row r="17952" spans="1:19">
      <c r="A17952" t="s">
        <v>4</v>
      </c>
      <c r="B17952" s="4" t="s">
        <v>5</v>
      </c>
      <c r="C17952" s="4" t="s">
        <v>7</v>
      </c>
      <c r="D17952" s="4" t="s">
        <v>7</v>
      </c>
      <c r="E17952" s="4" t="s">
        <v>13</v>
      </c>
      <c r="F17952" s="4" t="s">
        <v>11</v>
      </c>
    </row>
    <row r="17953" spans="1:19">
      <c r="A17953" t="n">
        <v>173671</v>
      </c>
      <c r="B17953" s="51" t="n">
        <v>45</v>
      </c>
      <c r="C17953" s="7" t="n">
        <v>5</v>
      </c>
      <c r="D17953" s="7" t="n">
        <v>3</v>
      </c>
      <c r="E17953" s="7" t="n">
        <v>1.39999997615814</v>
      </c>
      <c r="F17953" s="7" t="n">
        <v>0</v>
      </c>
    </row>
    <row r="17954" spans="1:19">
      <c r="A17954" t="s">
        <v>4</v>
      </c>
      <c r="B17954" s="4" t="s">
        <v>5</v>
      </c>
      <c r="C17954" s="4" t="s">
        <v>7</v>
      </c>
      <c r="D17954" s="4" t="s">
        <v>7</v>
      </c>
      <c r="E17954" s="4" t="s">
        <v>13</v>
      </c>
      <c r="F17954" s="4" t="s">
        <v>11</v>
      </c>
    </row>
    <row r="17955" spans="1:19">
      <c r="A17955" t="n">
        <v>173680</v>
      </c>
      <c r="B17955" s="51" t="n">
        <v>45</v>
      </c>
      <c r="C17955" s="7" t="n">
        <v>5</v>
      </c>
      <c r="D17955" s="7" t="n">
        <v>3</v>
      </c>
      <c r="E17955" s="7" t="n">
        <v>1.5</v>
      </c>
      <c r="F17955" s="7" t="n">
        <v>3000</v>
      </c>
    </row>
    <row r="17956" spans="1:19">
      <c r="A17956" t="s">
        <v>4</v>
      </c>
      <c r="B17956" s="4" t="s">
        <v>5</v>
      </c>
      <c r="C17956" s="4" t="s">
        <v>7</v>
      </c>
      <c r="D17956" s="4" t="s">
        <v>7</v>
      </c>
      <c r="E17956" s="4" t="s">
        <v>13</v>
      </c>
      <c r="F17956" s="4" t="s">
        <v>11</v>
      </c>
    </row>
    <row r="17957" spans="1:19">
      <c r="A17957" t="n">
        <v>173689</v>
      </c>
      <c r="B17957" s="51" t="n">
        <v>45</v>
      </c>
      <c r="C17957" s="7" t="n">
        <v>11</v>
      </c>
      <c r="D17957" s="7" t="n">
        <v>3</v>
      </c>
      <c r="E17957" s="7" t="n">
        <v>34</v>
      </c>
      <c r="F17957" s="7" t="n">
        <v>0</v>
      </c>
    </row>
    <row r="17958" spans="1:19">
      <c r="A17958" t="s">
        <v>4</v>
      </c>
      <c r="B17958" s="4" t="s">
        <v>5</v>
      </c>
      <c r="C17958" s="4" t="s">
        <v>7</v>
      </c>
      <c r="D17958" s="4" t="s">
        <v>11</v>
      </c>
    </row>
    <row r="17959" spans="1:19">
      <c r="A17959" t="n">
        <v>173698</v>
      </c>
      <c r="B17959" s="23" t="n">
        <v>58</v>
      </c>
      <c r="C17959" s="7" t="n">
        <v>255</v>
      </c>
      <c r="D17959" s="7" t="n">
        <v>0</v>
      </c>
    </row>
    <row r="17960" spans="1:19">
      <c r="A17960" t="s">
        <v>4</v>
      </c>
      <c r="B17960" s="4" t="s">
        <v>5</v>
      </c>
      <c r="C17960" s="4" t="s">
        <v>11</v>
      </c>
    </row>
    <row r="17961" spans="1:19">
      <c r="A17961" t="n">
        <v>173702</v>
      </c>
      <c r="B17961" s="29" t="n">
        <v>16</v>
      </c>
      <c r="C17961" s="7" t="n">
        <v>500</v>
      </c>
    </row>
    <row r="17962" spans="1:19">
      <c r="A17962" t="s">
        <v>4</v>
      </c>
      <c r="B17962" s="4" t="s">
        <v>5</v>
      </c>
      <c r="C17962" s="4" t="s">
        <v>11</v>
      </c>
      <c r="D17962" s="4" t="s">
        <v>7</v>
      </c>
      <c r="E17962" s="4" t="s">
        <v>13</v>
      </c>
      <c r="F17962" s="4" t="s">
        <v>11</v>
      </c>
    </row>
    <row r="17963" spans="1:19">
      <c r="A17963" t="n">
        <v>173705</v>
      </c>
      <c r="B17963" s="56" t="n">
        <v>59</v>
      </c>
      <c r="C17963" s="7" t="n">
        <v>0</v>
      </c>
      <c r="D17963" s="7" t="n">
        <v>1</v>
      </c>
      <c r="E17963" s="7" t="n">
        <v>0.150000005960464</v>
      </c>
      <c r="F17963" s="7" t="n">
        <v>0</v>
      </c>
    </row>
    <row r="17964" spans="1:19">
      <c r="A17964" t="s">
        <v>4</v>
      </c>
      <c r="B17964" s="4" t="s">
        <v>5</v>
      </c>
      <c r="C17964" s="4" t="s">
        <v>11</v>
      </c>
    </row>
    <row r="17965" spans="1:19">
      <c r="A17965" t="n">
        <v>173715</v>
      </c>
      <c r="B17965" s="29" t="n">
        <v>16</v>
      </c>
      <c r="C17965" s="7" t="n">
        <v>1000</v>
      </c>
    </row>
    <row r="17966" spans="1:19">
      <c r="A17966" t="s">
        <v>4</v>
      </c>
      <c r="B17966" s="4" t="s">
        <v>5</v>
      </c>
      <c r="C17966" s="4" t="s">
        <v>7</v>
      </c>
      <c r="D17966" s="4" t="s">
        <v>11</v>
      </c>
      <c r="E17966" s="4" t="s">
        <v>8</v>
      </c>
    </row>
    <row r="17967" spans="1:19">
      <c r="A17967" t="n">
        <v>173718</v>
      </c>
      <c r="B17967" s="38" t="n">
        <v>51</v>
      </c>
      <c r="C17967" s="7" t="n">
        <v>4</v>
      </c>
      <c r="D17967" s="7" t="n">
        <v>0</v>
      </c>
      <c r="E17967" s="7" t="s">
        <v>245</v>
      </c>
    </row>
    <row r="17968" spans="1:19">
      <c r="A17968" t="s">
        <v>4</v>
      </c>
      <c r="B17968" s="4" t="s">
        <v>5</v>
      </c>
      <c r="C17968" s="4" t="s">
        <v>11</v>
      </c>
    </row>
    <row r="17969" spans="1:6">
      <c r="A17969" t="n">
        <v>173732</v>
      </c>
      <c r="B17969" s="29" t="n">
        <v>16</v>
      </c>
      <c r="C17969" s="7" t="n">
        <v>0</v>
      </c>
    </row>
    <row r="17970" spans="1:6">
      <c r="A17970" t="s">
        <v>4</v>
      </c>
      <c r="B17970" s="4" t="s">
        <v>5</v>
      </c>
      <c r="C17970" s="4" t="s">
        <v>11</v>
      </c>
      <c r="D17970" s="4" t="s">
        <v>7</v>
      </c>
      <c r="E17970" s="4" t="s">
        <v>15</v>
      </c>
      <c r="F17970" s="4" t="s">
        <v>55</v>
      </c>
      <c r="G17970" s="4" t="s">
        <v>7</v>
      </c>
      <c r="H17970" s="4" t="s">
        <v>7</v>
      </c>
    </row>
    <row r="17971" spans="1:6">
      <c r="A17971" t="n">
        <v>173735</v>
      </c>
      <c r="B17971" s="55" t="n">
        <v>26</v>
      </c>
      <c r="C17971" s="7" t="n">
        <v>0</v>
      </c>
      <c r="D17971" s="7" t="n">
        <v>17</v>
      </c>
      <c r="E17971" s="7" t="n">
        <v>64501</v>
      </c>
      <c r="F17971" s="7" t="s">
        <v>1466</v>
      </c>
      <c r="G17971" s="7" t="n">
        <v>2</v>
      </c>
      <c r="H17971" s="7" t="n">
        <v>0</v>
      </c>
    </row>
    <row r="17972" spans="1:6">
      <c r="A17972" t="s">
        <v>4</v>
      </c>
      <c r="B17972" s="4" t="s">
        <v>5</v>
      </c>
    </row>
    <row r="17973" spans="1:6">
      <c r="A17973" t="n">
        <v>173763</v>
      </c>
      <c r="B17973" s="27" t="n">
        <v>28</v>
      </c>
    </row>
    <row r="17974" spans="1:6">
      <c r="A17974" t="s">
        <v>4</v>
      </c>
      <c r="B17974" s="4" t="s">
        <v>5</v>
      </c>
      <c r="C17974" s="4" t="s">
        <v>7</v>
      </c>
      <c r="D17974" s="4" t="s">
        <v>11</v>
      </c>
      <c r="E17974" s="4" t="s">
        <v>11</v>
      </c>
      <c r="F17974" s="4" t="s">
        <v>7</v>
      </c>
    </row>
    <row r="17975" spans="1:6">
      <c r="A17975" t="n">
        <v>173764</v>
      </c>
      <c r="B17975" s="31" t="n">
        <v>25</v>
      </c>
      <c r="C17975" s="7" t="n">
        <v>1</v>
      </c>
      <c r="D17975" s="7" t="n">
        <v>65535</v>
      </c>
      <c r="E17975" s="7" t="n">
        <v>65535</v>
      </c>
      <c r="F17975" s="7" t="n">
        <v>0</v>
      </c>
    </row>
    <row r="17976" spans="1:6">
      <c r="A17976" t="s">
        <v>4</v>
      </c>
      <c r="B17976" s="4" t="s">
        <v>5</v>
      </c>
      <c r="C17976" s="4" t="s">
        <v>11</v>
      </c>
      <c r="D17976" s="4" t="s">
        <v>13</v>
      </c>
      <c r="E17976" s="4" t="s">
        <v>13</v>
      </c>
      <c r="F17976" s="4" t="s">
        <v>13</v>
      </c>
      <c r="G17976" s="4" t="s">
        <v>11</v>
      </c>
      <c r="H17976" s="4" t="s">
        <v>11</v>
      </c>
    </row>
    <row r="17977" spans="1:6">
      <c r="A17977" t="n">
        <v>173771</v>
      </c>
      <c r="B17977" s="37" t="n">
        <v>60</v>
      </c>
      <c r="C17977" s="7" t="n">
        <v>1</v>
      </c>
      <c r="D17977" s="7" t="n">
        <v>0</v>
      </c>
      <c r="E17977" s="7" t="n">
        <v>0</v>
      </c>
      <c r="F17977" s="7" t="n">
        <v>0</v>
      </c>
      <c r="G17977" s="7" t="n">
        <v>800</v>
      </c>
      <c r="H17977" s="7" t="n">
        <v>0</v>
      </c>
    </row>
    <row r="17978" spans="1:6">
      <c r="A17978" t="s">
        <v>4</v>
      </c>
      <c r="B17978" s="4" t="s">
        <v>5</v>
      </c>
      <c r="C17978" s="4" t="s">
        <v>7</v>
      </c>
      <c r="D17978" s="4" t="s">
        <v>11</v>
      </c>
      <c r="E17978" s="4" t="s">
        <v>7</v>
      </c>
    </row>
    <row r="17979" spans="1:6">
      <c r="A17979" t="n">
        <v>173790</v>
      </c>
      <c r="B17979" s="81" t="n">
        <v>39</v>
      </c>
      <c r="C17979" s="7" t="n">
        <v>14</v>
      </c>
      <c r="D17979" s="7" t="n">
        <v>1</v>
      </c>
      <c r="E17979" s="7" t="n">
        <v>102</v>
      </c>
    </row>
    <row r="17980" spans="1:6">
      <c r="A17980" t="s">
        <v>4</v>
      </c>
      <c r="B17980" s="4" t="s">
        <v>5</v>
      </c>
      <c r="C17980" s="4" t="s">
        <v>7</v>
      </c>
      <c r="D17980" s="4" t="s">
        <v>11</v>
      </c>
      <c r="E17980" s="4" t="s">
        <v>7</v>
      </c>
    </row>
    <row r="17981" spans="1:6">
      <c r="A17981" t="n">
        <v>173795</v>
      </c>
      <c r="B17981" s="81" t="n">
        <v>39</v>
      </c>
      <c r="C17981" s="7" t="n">
        <v>14</v>
      </c>
      <c r="D17981" s="7" t="n">
        <v>1</v>
      </c>
      <c r="E17981" s="7" t="n">
        <v>103</v>
      </c>
    </row>
    <row r="17982" spans="1:6">
      <c r="A17982" t="s">
        <v>4</v>
      </c>
      <c r="B17982" s="4" t="s">
        <v>5</v>
      </c>
      <c r="C17982" s="4" t="s">
        <v>11</v>
      </c>
      <c r="D17982" s="4" t="s">
        <v>7</v>
      </c>
      <c r="E17982" s="4" t="s">
        <v>8</v>
      </c>
      <c r="F17982" s="4" t="s">
        <v>13</v>
      </c>
      <c r="G17982" s="4" t="s">
        <v>13</v>
      </c>
      <c r="H17982" s="4" t="s">
        <v>13</v>
      </c>
    </row>
    <row r="17983" spans="1:6">
      <c r="A17983" t="n">
        <v>173800</v>
      </c>
      <c r="B17983" s="42" t="n">
        <v>48</v>
      </c>
      <c r="C17983" s="7" t="n">
        <v>1</v>
      </c>
      <c r="D17983" s="7" t="n">
        <v>0</v>
      </c>
      <c r="E17983" s="7" t="s">
        <v>1439</v>
      </c>
      <c r="F17983" s="7" t="n">
        <v>-1</v>
      </c>
      <c r="G17983" s="7" t="n">
        <v>1</v>
      </c>
      <c r="H17983" s="7" t="n">
        <v>0</v>
      </c>
    </row>
    <row r="17984" spans="1:6">
      <c r="A17984" t="s">
        <v>4</v>
      </c>
      <c r="B17984" s="4" t="s">
        <v>5</v>
      </c>
      <c r="C17984" s="4" t="s">
        <v>11</v>
      </c>
      <c r="D17984" s="4" t="s">
        <v>7</v>
      </c>
      <c r="E17984" s="4" t="s">
        <v>7</v>
      </c>
      <c r="F17984" s="4" t="s">
        <v>8</v>
      </c>
    </row>
    <row r="17985" spans="1:8">
      <c r="A17985" t="n">
        <v>173827</v>
      </c>
      <c r="B17985" s="50" t="n">
        <v>20</v>
      </c>
      <c r="C17985" s="7" t="n">
        <v>1</v>
      </c>
      <c r="D17985" s="7" t="n">
        <v>2</v>
      </c>
      <c r="E17985" s="7" t="n">
        <v>10</v>
      </c>
      <c r="F17985" s="7" t="s">
        <v>260</v>
      </c>
    </row>
    <row r="17986" spans="1:8">
      <c r="A17986" t="s">
        <v>4</v>
      </c>
      <c r="B17986" s="4" t="s">
        <v>5</v>
      </c>
      <c r="C17986" s="4" t="s">
        <v>7</v>
      </c>
      <c r="D17986" s="4" t="s">
        <v>11</v>
      </c>
      <c r="E17986" s="4" t="s">
        <v>8</v>
      </c>
    </row>
    <row r="17987" spans="1:8">
      <c r="A17987" t="n">
        <v>173847</v>
      </c>
      <c r="B17987" s="38" t="n">
        <v>51</v>
      </c>
      <c r="C17987" s="7" t="n">
        <v>4</v>
      </c>
      <c r="D17987" s="7" t="n">
        <v>1</v>
      </c>
      <c r="E17987" s="7" t="s">
        <v>1467</v>
      </c>
    </row>
    <row r="17988" spans="1:8">
      <c r="A17988" t="s">
        <v>4</v>
      </c>
      <c r="B17988" s="4" t="s">
        <v>5</v>
      </c>
      <c r="C17988" s="4" t="s">
        <v>11</v>
      </c>
    </row>
    <row r="17989" spans="1:8">
      <c r="A17989" t="n">
        <v>173866</v>
      </c>
      <c r="B17989" s="29" t="n">
        <v>16</v>
      </c>
      <c r="C17989" s="7" t="n">
        <v>0</v>
      </c>
    </row>
    <row r="17990" spans="1:8">
      <c r="A17990" t="s">
        <v>4</v>
      </c>
      <c r="B17990" s="4" t="s">
        <v>5</v>
      </c>
      <c r="C17990" s="4" t="s">
        <v>11</v>
      </c>
      <c r="D17990" s="4" t="s">
        <v>7</v>
      </c>
      <c r="E17990" s="4" t="s">
        <v>15</v>
      </c>
      <c r="F17990" s="4" t="s">
        <v>55</v>
      </c>
      <c r="G17990" s="4" t="s">
        <v>7</v>
      </c>
      <c r="H17990" s="4" t="s">
        <v>7</v>
      </c>
      <c r="I17990" s="4" t="s">
        <v>7</v>
      </c>
      <c r="J17990" s="4" t="s">
        <v>15</v>
      </c>
      <c r="K17990" s="4" t="s">
        <v>55</v>
      </c>
      <c r="L17990" s="4" t="s">
        <v>7</v>
      </c>
      <c r="M17990" s="4" t="s">
        <v>7</v>
      </c>
      <c r="N17990" s="4" t="s">
        <v>7</v>
      </c>
      <c r="O17990" s="4" t="s">
        <v>15</v>
      </c>
      <c r="P17990" s="4" t="s">
        <v>55</v>
      </c>
      <c r="Q17990" s="4" t="s">
        <v>7</v>
      </c>
      <c r="R17990" s="4" t="s">
        <v>7</v>
      </c>
    </row>
    <row r="17991" spans="1:8">
      <c r="A17991" t="n">
        <v>173869</v>
      </c>
      <c r="B17991" s="55" t="n">
        <v>26</v>
      </c>
      <c r="C17991" s="7" t="n">
        <v>1</v>
      </c>
      <c r="D17991" s="7" t="n">
        <v>17</v>
      </c>
      <c r="E17991" s="7" t="n">
        <v>64502</v>
      </c>
      <c r="F17991" s="7" t="s">
        <v>1468</v>
      </c>
      <c r="G17991" s="7" t="n">
        <v>2</v>
      </c>
      <c r="H17991" s="7" t="n">
        <v>3</v>
      </c>
      <c r="I17991" s="7" t="n">
        <v>17</v>
      </c>
      <c r="J17991" s="7" t="n">
        <v>64503</v>
      </c>
      <c r="K17991" s="7" t="s">
        <v>1469</v>
      </c>
      <c r="L17991" s="7" t="n">
        <v>2</v>
      </c>
      <c r="M17991" s="7" t="n">
        <v>3</v>
      </c>
      <c r="N17991" s="7" t="n">
        <v>17</v>
      </c>
      <c r="O17991" s="7" t="n">
        <v>64504</v>
      </c>
      <c r="P17991" s="7" t="s">
        <v>1470</v>
      </c>
      <c r="Q17991" s="7" t="n">
        <v>2</v>
      </c>
      <c r="R17991" s="7" t="n">
        <v>0</v>
      </c>
    </row>
    <row r="17992" spans="1:8">
      <c r="A17992" t="s">
        <v>4</v>
      </c>
      <c r="B17992" s="4" t="s">
        <v>5</v>
      </c>
    </row>
    <row r="17993" spans="1:8">
      <c r="A17993" t="n">
        <v>174073</v>
      </c>
      <c r="B17993" s="27" t="n">
        <v>28</v>
      </c>
    </row>
    <row r="17994" spans="1:8">
      <c r="A17994" t="s">
        <v>4</v>
      </c>
      <c r="B17994" s="4" t="s">
        <v>5</v>
      </c>
      <c r="C17994" s="4" t="s">
        <v>11</v>
      </c>
    </row>
    <row r="17995" spans="1:8">
      <c r="A17995" t="n">
        <v>174074</v>
      </c>
      <c r="B17995" s="29" t="n">
        <v>16</v>
      </c>
      <c r="C17995" s="7" t="n">
        <v>400</v>
      </c>
    </row>
    <row r="17996" spans="1:8">
      <c r="A17996" t="s">
        <v>4</v>
      </c>
      <c r="B17996" s="4" t="s">
        <v>5</v>
      </c>
      <c r="C17996" s="4" t="s">
        <v>7</v>
      </c>
      <c r="D17996" s="4" t="s">
        <v>11</v>
      </c>
      <c r="E17996" s="4" t="s">
        <v>8</v>
      </c>
    </row>
    <row r="17997" spans="1:8">
      <c r="A17997" t="n">
        <v>174077</v>
      </c>
      <c r="B17997" s="38" t="n">
        <v>51</v>
      </c>
      <c r="C17997" s="7" t="n">
        <v>4</v>
      </c>
      <c r="D17997" s="7" t="n">
        <v>0</v>
      </c>
      <c r="E17997" s="7" t="s">
        <v>192</v>
      </c>
    </row>
    <row r="17998" spans="1:8">
      <c r="A17998" t="s">
        <v>4</v>
      </c>
      <c r="B17998" s="4" t="s">
        <v>5</v>
      </c>
      <c r="C17998" s="4" t="s">
        <v>11</v>
      </c>
    </row>
    <row r="17999" spans="1:8">
      <c r="A17999" t="n">
        <v>174090</v>
      </c>
      <c r="B17999" s="29" t="n">
        <v>16</v>
      </c>
      <c r="C17999" s="7" t="n">
        <v>0</v>
      </c>
    </row>
    <row r="18000" spans="1:8">
      <c r="A18000" t="s">
        <v>4</v>
      </c>
      <c r="B18000" s="4" t="s">
        <v>5</v>
      </c>
      <c r="C18000" s="4" t="s">
        <v>11</v>
      </c>
      <c r="D18000" s="4" t="s">
        <v>7</v>
      </c>
      <c r="E18000" s="4" t="s">
        <v>15</v>
      </c>
      <c r="F18000" s="4" t="s">
        <v>55</v>
      </c>
      <c r="G18000" s="4" t="s">
        <v>7</v>
      </c>
      <c r="H18000" s="4" t="s">
        <v>7</v>
      </c>
    </row>
    <row r="18001" spans="1:18">
      <c r="A18001" t="n">
        <v>174093</v>
      </c>
      <c r="B18001" s="55" t="n">
        <v>26</v>
      </c>
      <c r="C18001" s="7" t="n">
        <v>0</v>
      </c>
      <c r="D18001" s="7" t="n">
        <v>17</v>
      </c>
      <c r="E18001" s="7" t="n">
        <v>64505</v>
      </c>
      <c r="F18001" s="7" t="s">
        <v>1471</v>
      </c>
      <c r="G18001" s="7" t="n">
        <v>2</v>
      </c>
      <c r="H18001" s="7" t="n">
        <v>0</v>
      </c>
    </row>
    <row r="18002" spans="1:18">
      <c r="A18002" t="s">
        <v>4</v>
      </c>
      <c r="B18002" s="4" t="s">
        <v>5</v>
      </c>
    </row>
    <row r="18003" spans="1:18">
      <c r="A18003" t="n">
        <v>174115</v>
      </c>
      <c r="B18003" s="27" t="n">
        <v>28</v>
      </c>
    </row>
    <row r="18004" spans="1:18">
      <c r="A18004" t="s">
        <v>4</v>
      </c>
      <c r="B18004" s="4" t="s">
        <v>5</v>
      </c>
      <c r="C18004" s="4" t="s">
        <v>7</v>
      </c>
      <c r="D18004" s="4" t="s">
        <v>11</v>
      </c>
      <c r="E18004" s="4" t="s">
        <v>11</v>
      </c>
      <c r="F18004" s="4" t="s">
        <v>7</v>
      </c>
    </row>
    <row r="18005" spans="1:18">
      <c r="A18005" t="n">
        <v>174116</v>
      </c>
      <c r="B18005" s="31" t="n">
        <v>25</v>
      </c>
      <c r="C18005" s="7" t="n">
        <v>1</v>
      </c>
      <c r="D18005" s="7" t="n">
        <v>65535</v>
      </c>
      <c r="E18005" s="7" t="n">
        <v>65535</v>
      </c>
      <c r="F18005" s="7" t="n">
        <v>0</v>
      </c>
    </row>
    <row r="18006" spans="1:18">
      <c r="A18006" t="s">
        <v>4</v>
      </c>
      <c r="B18006" s="4" t="s">
        <v>5</v>
      </c>
      <c r="C18006" s="4" t="s">
        <v>7</v>
      </c>
      <c r="D18006" s="4" t="s">
        <v>11</v>
      </c>
      <c r="E18006" s="4" t="s">
        <v>8</v>
      </c>
      <c r="F18006" s="4" t="s">
        <v>8</v>
      </c>
      <c r="G18006" s="4" t="s">
        <v>8</v>
      </c>
      <c r="H18006" s="4" t="s">
        <v>8</v>
      </c>
    </row>
    <row r="18007" spans="1:18">
      <c r="A18007" t="n">
        <v>174123</v>
      </c>
      <c r="B18007" s="38" t="n">
        <v>51</v>
      </c>
      <c r="C18007" s="7" t="n">
        <v>3</v>
      </c>
      <c r="D18007" s="7" t="n">
        <v>1</v>
      </c>
      <c r="E18007" s="7" t="s">
        <v>319</v>
      </c>
      <c r="F18007" s="7" t="s">
        <v>218</v>
      </c>
      <c r="G18007" s="7" t="s">
        <v>16</v>
      </c>
      <c r="H18007" s="7" t="s">
        <v>79</v>
      </c>
    </row>
    <row r="18008" spans="1:18">
      <c r="A18008" t="s">
        <v>4</v>
      </c>
      <c r="B18008" s="4" t="s">
        <v>5</v>
      </c>
      <c r="C18008" s="4" t="s">
        <v>11</v>
      </c>
      <c r="D18008" s="4" t="s">
        <v>13</v>
      </c>
      <c r="E18008" s="4" t="s">
        <v>13</v>
      </c>
      <c r="F18008" s="4" t="s">
        <v>13</v>
      </c>
      <c r="G18008" s="4" t="s">
        <v>11</v>
      </c>
      <c r="H18008" s="4" t="s">
        <v>11</v>
      </c>
    </row>
    <row r="18009" spans="1:18">
      <c r="A18009" t="n">
        <v>174134</v>
      </c>
      <c r="B18009" s="37" t="n">
        <v>60</v>
      </c>
      <c r="C18009" s="7" t="n">
        <v>1</v>
      </c>
      <c r="D18009" s="7" t="n">
        <v>0</v>
      </c>
      <c r="E18009" s="7" t="n">
        <v>-10</v>
      </c>
      <c r="F18009" s="7" t="n">
        <v>0</v>
      </c>
      <c r="G18009" s="7" t="n">
        <v>800</v>
      </c>
      <c r="H18009" s="7" t="n">
        <v>0</v>
      </c>
    </row>
    <row r="18010" spans="1:18">
      <c r="A18010" t="s">
        <v>4</v>
      </c>
      <c r="B18010" s="4" t="s">
        <v>5</v>
      </c>
      <c r="C18010" s="4" t="s">
        <v>11</v>
      </c>
      <c r="D18010" s="4" t="s">
        <v>7</v>
      </c>
      <c r="E18010" s="4" t="s">
        <v>8</v>
      </c>
      <c r="F18010" s="4" t="s">
        <v>13</v>
      </c>
      <c r="G18010" s="4" t="s">
        <v>13</v>
      </c>
      <c r="H18010" s="4" t="s">
        <v>13</v>
      </c>
    </row>
    <row r="18011" spans="1:18">
      <c r="A18011" t="n">
        <v>174153</v>
      </c>
      <c r="B18011" s="42" t="n">
        <v>48</v>
      </c>
      <c r="C18011" s="7" t="n">
        <v>1</v>
      </c>
      <c r="D18011" s="7" t="n">
        <v>0</v>
      </c>
      <c r="E18011" s="7" t="s">
        <v>392</v>
      </c>
      <c r="F18011" s="7" t="n">
        <v>-1</v>
      </c>
      <c r="G18011" s="7" t="n">
        <v>1</v>
      </c>
      <c r="H18011" s="7" t="n">
        <v>0</v>
      </c>
    </row>
    <row r="18012" spans="1:18">
      <c r="A18012" t="s">
        <v>4</v>
      </c>
      <c r="B18012" s="4" t="s">
        <v>5</v>
      </c>
      <c r="C18012" s="4" t="s">
        <v>11</v>
      </c>
    </row>
    <row r="18013" spans="1:18">
      <c r="A18013" t="n">
        <v>174181</v>
      </c>
      <c r="B18013" s="29" t="n">
        <v>16</v>
      </c>
      <c r="C18013" s="7" t="n">
        <v>500</v>
      </c>
    </row>
    <row r="18014" spans="1:18">
      <c r="A18014" t="s">
        <v>4</v>
      </c>
      <c r="B18014" s="4" t="s">
        <v>5</v>
      </c>
      <c r="C18014" s="4" t="s">
        <v>7</v>
      </c>
      <c r="D18014" s="4" t="s">
        <v>11</v>
      </c>
      <c r="E18014" s="4" t="s">
        <v>8</v>
      </c>
    </row>
    <row r="18015" spans="1:18">
      <c r="A18015" t="n">
        <v>174184</v>
      </c>
      <c r="B18015" s="38" t="n">
        <v>51</v>
      </c>
      <c r="C18015" s="7" t="n">
        <v>4</v>
      </c>
      <c r="D18015" s="7" t="n">
        <v>1</v>
      </c>
      <c r="E18015" s="7" t="s">
        <v>1472</v>
      </c>
    </row>
    <row r="18016" spans="1:18">
      <c r="A18016" t="s">
        <v>4</v>
      </c>
      <c r="B18016" s="4" t="s">
        <v>5</v>
      </c>
      <c r="C18016" s="4" t="s">
        <v>11</v>
      </c>
    </row>
    <row r="18017" spans="1:8">
      <c r="A18017" t="n">
        <v>174203</v>
      </c>
      <c r="B18017" s="29" t="n">
        <v>16</v>
      </c>
      <c r="C18017" s="7" t="n">
        <v>0</v>
      </c>
    </row>
    <row r="18018" spans="1:8">
      <c r="A18018" t="s">
        <v>4</v>
      </c>
      <c r="B18018" s="4" t="s">
        <v>5</v>
      </c>
      <c r="C18018" s="4" t="s">
        <v>11</v>
      </c>
      <c r="D18018" s="4" t="s">
        <v>7</v>
      </c>
      <c r="E18018" s="4" t="s">
        <v>15</v>
      </c>
      <c r="F18018" s="4" t="s">
        <v>55</v>
      </c>
      <c r="G18018" s="4" t="s">
        <v>7</v>
      </c>
      <c r="H18018" s="4" t="s">
        <v>7</v>
      </c>
    </row>
    <row r="18019" spans="1:8">
      <c r="A18019" t="n">
        <v>174206</v>
      </c>
      <c r="B18019" s="55" t="n">
        <v>26</v>
      </c>
      <c r="C18019" s="7" t="n">
        <v>1</v>
      </c>
      <c r="D18019" s="7" t="n">
        <v>17</v>
      </c>
      <c r="E18019" s="7" t="n">
        <v>64506</v>
      </c>
      <c r="F18019" s="7" t="s">
        <v>1473</v>
      </c>
      <c r="G18019" s="7" t="n">
        <v>2</v>
      </c>
      <c r="H18019" s="7" t="n">
        <v>0</v>
      </c>
    </row>
    <row r="18020" spans="1:8">
      <c r="A18020" t="s">
        <v>4</v>
      </c>
      <c r="B18020" s="4" t="s">
        <v>5</v>
      </c>
    </row>
    <row r="18021" spans="1:8">
      <c r="A18021" t="n">
        <v>174273</v>
      </c>
      <c r="B18021" s="27" t="n">
        <v>28</v>
      </c>
    </row>
    <row r="18022" spans="1:8">
      <c r="A18022" t="s">
        <v>4</v>
      </c>
      <c r="B18022" s="4" t="s">
        <v>5</v>
      </c>
      <c r="C18022" s="4" t="s">
        <v>11</v>
      </c>
      <c r="D18022" s="4" t="s">
        <v>13</v>
      </c>
      <c r="E18022" s="4" t="s">
        <v>13</v>
      </c>
      <c r="F18022" s="4" t="s">
        <v>13</v>
      </c>
      <c r="G18022" s="4" t="s">
        <v>11</v>
      </c>
      <c r="H18022" s="4" t="s">
        <v>11</v>
      </c>
    </row>
    <row r="18023" spans="1:8">
      <c r="A18023" t="n">
        <v>174274</v>
      </c>
      <c r="B18023" s="37" t="n">
        <v>60</v>
      </c>
      <c r="C18023" s="7" t="n">
        <v>1</v>
      </c>
      <c r="D18023" s="7" t="n">
        <v>0</v>
      </c>
      <c r="E18023" s="7" t="n">
        <v>0</v>
      </c>
      <c r="F18023" s="7" t="n">
        <v>0</v>
      </c>
      <c r="G18023" s="7" t="n">
        <v>800</v>
      </c>
      <c r="H18023" s="7" t="n">
        <v>0</v>
      </c>
    </row>
    <row r="18024" spans="1:8">
      <c r="A18024" t="s">
        <v>4</v>
      </c>
      <c r="B18024" s="4" t="s">
        <v>5</v>
      </c>
      <c r="C18024" s="4" t="s">
        <v>11</v>
      </c>
    </row>
    <row r="18025" spans="1:8">
      <c r="A18025" t="n">
        <v>174293</v>
      </c>
      <c r="B18025" s="29" t="n">
        <v>16</v>
      </c>
      <c r="C18025" s="7" t="n">
        <v>300</v>
      </c>
    </row>
    <row r="18026" spans="1:8">
      <c r="A18026" t="s">
        <v>4</v>
      </c>
      <c r="B18026" s="4" t="s">
        <v>5</v>
      </c>
      <c r="C18026" s="4" t="s">
        <v>7</v>
      </c>
      <c r="D18026" s="4" t="s">
        <v>11</v>
      </c>
      <c r="E18026" s="4" t="s">
        <v>8</v>
      </c>
    </row>
    <row r="18027" spans="1:8">
      <c r="A18027" t="n">
        <v>174296</v>
      </c>
      <c r="B18027" s="38" t="n">
        <v>51</v>
      </c>
      <c r="C18027" s="7" t="n">
        <v>4</v>
      </c>
      <c r="D18027" s="7" t="n">
        <v>1</v>
      </c>
      <c r="E18027" s="7" t="s">
        <v>233</v>
      </c>
    </row>
    <row r="18028" spans="1:8">
      <c r="A18028" t="s">
        <v>4</v>
      </c>
      <c r="B18028" s="4" t="s">
        <v>5</v>
      </c>
      <c r="C18028" s="4" t="s">
        <v>11</v>
      </c>
    </row>
    <row r="18029" spans="1:8">
      <c r="A18029" t="n">
        <v>174309</v>
      </c>
      <c r="B18029" s="29" t="n">
        <v>16</v>
      </c>
      <c r="C18029" s="7" t="n">
        <v>0</v>
      </c>
    </row>
    <row r="18030" spans="1:8">
      <c r="A18030" t="s">
        <v>4</v>
      </c>
      <c r="B18030" s="4" t="s">
        <v>5</v>
      </c>
      <c r="C18030" s="4" t="s">
        <v>11</v>
      </c>
      <c r="D18030" s="4" t="s">
        <v>7</v>
      </c>
      <c r="E18030" s="4" t="s">
        <v>15</v>
      </c>
      <c r="F18030" s="4" t="s">
        <v>55</v>
      </c>
      <c r="G18030" s="4" t="s">
        <v>7</v>
      </c>
      <c r="H18030" s="4" t="s">
        <v>7</v>
      </c>
    </row>
    <row r="18031" spans="1:8">
      <c r="A18031" t="n">
        <v>174312</v>
      </c>
      <c r="B18031" s="55" t="n">
        <v>26</v>
      </c>
      <c r="C18031" s="7" t="n">
        <v>1</v>
      </c>
      <c r="D18031" s="7" t="n">
        <v>17</v>
      </c>
      <c r="E18031" s="7" t="n">
        <v>64507</v>
      </c>
      <c r="F18031" s="7" t="s">
        <v>1474</v>
      </c>
      <c r="G18031" s="7" t="n">
        <v>2</v>
      </c>
      <c r="H18031" s="7" t="n">
        <v>0</v>
      </c>
    </row>
    <row r="18032" spans="1:8">
      <c r="A18032" t="s">
        <v>4</v>
      </c>
      <c r="B18032" s="4" t="s">
        <v>5</v>
      </c>
    </row>
    <row r="18033" spans="1:8">
      <c r="A18033" t="n">
        <v>174428</v>
      </c>
      <c r="B18033" s="27" t="n">
        <v>28</v>
      </c>
    </row>
    <row r="18034" spans="1:8">
      <c r="A18034" t="s">
        <v>4</v>
      </c>
      <c r="B18034" s="4" t="s">
        <v>5</v>
      </c>
      <c r="C18034" s="4" t="s">
        <v>7</v>
      </c>
      <c r="D18034" s="4" t="s">
        <v>11</v>
      </c>
      <c r="E18034" s="4" t="s">
        <v>8</v>
      </c>
    </row>
    <row r="18035" spans="1:8">
      <c r="A18035" t="n">
        <v>174429</v>
      </c>
      <c r="B18035" s="38" t="n">
        <v>51</v>
      </c>
      <c r="C18035" s="7" t="n">
        <v>4</v>
      </c>
      <c r="D18035" s="7" t="n">
        <v>0</v>
      </c>
      <c r="E18035" s="7" t="s">
        <v>752</v>
      </c>
    </row>
    <row r="18036" spans="1:8">
      <c r="A18036" t="s">
        <v>4</v>
      </c>
      <c r="B18036" s="4" t="s">
        <v>5</v>
      </c>
      <c r="C18036" s="4" t="s">
        <v>11</v>
      </c>
    </row>
    <row r="18037" spans="1:8">
      <c r="A18037" t="n">
        <v>174443</v>
      </c>
      <c r="B18037" s="29" t="n">
        <v>16</v>
      </c>
      <c r="C18037" s="7" t="n">
        <v>300</v>
      </c>
    </row>
    <row r="18038" spans="1:8">
      <c r="A18038" t="s">
        <v>4</v>
      </c>
      <c r="B18038" s="4" t="s">
        <v>5</v>
      </c>
      <c r="C18038" s="4" t="s">
        <v>11</v>
      </c>
      <c r="D18038" s="4" t="s">
        <v>7</v>
      </c>
      <c r="E18038" s="4" t="s">
        <v>15</v>
      </c>
      <c r="F18038" s="4" t="s">
        <v>55</v>
      </c>
      <c r="G18038" s="4" t="s">
        <v>7</v>
      </c>
      <c r="H18038" s="4" t="s">
        <v>7</v>
      </c>
      <c r="I18038" s="4" t="s">
        <v>7</v>
      </c>
      <c r="J18038" s="4" t="s">
        <v>15</v>
      </c>
      <c r="K18038" s="4" t="s">
        <v>55</v>
      </c>
      <c r="L18038" s="4" t="s">
        <v>7</v>
      </c>
      <c r="M18038" s="4" t="s">
        <v>7</v>
      </c>
    </row>
    <row r="18039" spans="1:8">
      <c r="A18039" t="n">
        <v>174446</v>
      </c>
      <c r="B18039" s="55" t="n">
        <v>26</v>
      </c>
      <c r="C18039" s="7" t="n">
        <v>0</v>
      </c>
      <c r="D18039" s="7" t="n">
        <v>17</v>
      </c>
      <c r="E18039" s="7" t="n">
        <v>64508</v>
      </c>
      <c r="F18039" s="7" t="s">
        <v>1475</v>
      </c>
      <c r="G18039" s="7" t="n">
        <v>2</v>
      </c>
      <c r="H18039" s="7" t="n">
        <v>3</v>
      </c>
      <c r="I18039" s="7" t="n">
        <v>17</v>
      </c>
      <c r="J18039" s="7" t="n">
        <v>64509</v>
      </c>
      <c r="K18039" s="7" t="s">
        <v>1476</v>
      </c>
      <c r="L18039" s="7" t="n">
        <v>2</v>
      </c>
      <c r="M18039" s="7" t="n">
        <v>0</v>
      </c>
    </row>
    <row r="18040" spans="1:8">
      <c r="A18040" t="s">
        <v>4</v>
      </c>
      <c r="B18040" s="4" t="s">
        <v>5</v>
      </c>
    </row>
    <row r="18041" spans="1:8">
      <c r="A18041" t="n">
        <v>174540</v>
      </c>
      <c r="B18041" s="27" t="n">
        <v>28</v>
      </c>
    </row>
    <row r="18042" spans="1:8">
      <c r="A18042" t="s">
        <v>4</v>
      </c>
      <c r="B18042" s="4" t="s">
        <v>5</v>
      </c>
      <c r="C18042" s="4" t="s">
        <v>7</v>
      </c>
      <c r="D18042" s="4" t="s">
        <v>11</v>
      </c>
      <c r="E18042" s="4" t="s">
        <v>11</v>
      </c>
      <c r="F18042" s="4" t="s">
        <v>7</v>
      </c>
    </row>
    <row r="18043" spans="1:8">
      <c r="A18043" t="n">
        <v>174541</v>
      </c>
      <c r="B18043" s="31" t="n">
        <v>25</v>
      </c>
      <c r="C18043" s="7" t="n">
        <v>1</v>
      </c>
      <c r="D18043" s="7" t="n">
        <v>65535</v>
      </c>
      <c r="E18043" s="7" t="n">
        <v>65535</v>
      </c>
      <c r="F18043" s="7" t="n">
        <v>0</v>
      </c>
    </row>
    <row r="18044" spans="1:8">
      <c r="A18044" t="s">
        <v>4</v>
      </c>
      <c r="B18044" s="4" t="s">
        <v>5</v>
      </c>
      <c r="C18044" s="4" t="s">
        <v>12</v>
      </c>
    </row>
    <row r="18045" spans="1:8">
      <c r="A18045" t="n">
        <v>174548</v>
      </c>
      <c r="B18045" s="19" t="n">
        <v>3</v>
      </c>
      <c r="C18045" s="11" t="n">
        <f t="normal" ca="1">A18331</f>
        <v>0</v>
      </c>
    </row>
    <row r="18046" spans="1:8">
      <c r="A18046" t="s">
        <v>4</v>
      </c>
      <c r="B18046" s="4" t="s">
        <v>5</v>
      </c>
      <c r="C18046" s="4" t="s">
        <v>11</v>
      </c>
      <c r="D18046" s="4" t="s">
        <v>7</v>
      </c>
      <c r="E18046" s="4" t="s">
        <v>13</v>
      </c>
      <c r="F18046" s="4" t="s">
        <v>11</v>
      </c>
    </row>
    <row r="18047" spans="1:8">
      <c r="A18047" t="n">
        <v>174553</v>
      </c>
      <c r="B18047" s="56" t="n">
        <v>59</v>
      </c>
      <c r="C18047" s="7" t="n">
        <v>1</v>
      </c>
      <c r="D18047" s="7" t="n">
        <v>9</v>
      </c>
      <c r="E18047" s="7" t="n">
        <v>0.150000005960464</v>
      </c>
      <c r="F18047" s="7" t="n">
        <v>0</v>
      </c>
    </row>
    <row r="18048" spans="1:8">
      <c r="A18048" t="s">
        <v>4</v>
      </c>
      <c r="B18048" s="4" t="s">
        <v>5</v>
      </c>
      <c r="C18048" s="4" t="s">
        <v>11</v>
      </c>
    </row>
    <row r="18049" spans="1:13">
      <c r="A18049" t="n">
        <v>174563</v>
      </c>
      <c r="B18049" s="29" t="n">
        <v>16</v>
      </c>
      <c r="C18049" s="7" t="n">
        <v>1500</v>
      </c>
    </row>
    <row r="18050" spans="1:13">
      <c r="A18050" t="s">
        <v>4</v>
      </c>
      <c r="B18050" s="4" t="s">
        <v>5</v>
      </c>
      <c r="C18050" s="4" t="s">
        <v>11</v>
      </c>
    </row>
    <row r="18051" spans="1:13">
      <c r="A18051" t="n">
        <v>174566</v>
      </c>
      <c r="B18051" s="29" t="n">
        <v>16</v>
      </c>
      <c r="C18051" s="7" t="n">
        <v>300</v>
      </c>
    </row>
    <row r="18052" spans="1:13">
      <c r="A18052" t="s">
        <v>4</v>
      </c>
      <c r="B18052" s="4" t="s">
        <v>5</v>
      </c>
      <c r="C18052" s="4" t="s">
        <v>7</v>
      </c>
      <c r="D18052" s="4" t="s">
        <v>11</v>
      </c>
      <c r="E18052" s="4" t="s">
        <v>13</v>
      </c>
    </row>
    <row r="18053" spans="1:13">
      <c r="A18053" t="n">
        <v>174569</v>
      </c>
      <c r="B18053" s="23" t="n">
        <v>58</v>
      </c>
      <c r="C18053" s="7" t="n">
        <v>101</v>
      </c>
      <c r="D18053" s="7" t="n">
        <v>300</v>
      </c>
      <c r="E18053" s="7" t="n">
        <v>1</v>
      </c>
    </row>
    <row r="18054" spans="1:13">
      <c r="A18054" t="s">
        <v>4</v>
      </c>
      <c r="B18054" s="4" t="s">
        <v>5</v>
      </c>
      <c r="C18054" s="4" t="s">
        <v>7</v>
      </c>
      <c r="D18054" s="4" t="s">
        <v>11</v>
      </c>
    </row>
    <row r="18055" spans="1:13">
      <c r="A18055" t="n">
        <v>174577</v>
      </c>
      <c r="B18055" s="23" t="n">
        <v>58</v>
      </c>
      <c r="C18055" s="7" t="n">
        <v>254</v>
      </c>
      <c r="D18055" s="7" t="n">
        <v>0</v>
      </c>
    </row>
    <row r="18056" spans="1:13">
      <c r="A18056" t="s">
        <v>4</v>
      </c>
      <c r="B18056" s="4" t="s">
        <v>5</v>
      </c>
      <c r="C18056" s="4" t="s">
        <v>7</v>
      </c>
      <c r="D18056" s="4" t="s">
        <v>7</v>
      </c>
      <c r="E18056" s="4" t="s">
        <v>13</v>
      </c>
      <c r="F18056" s="4" t="s">
        <v>13</v>
      </c>
      <c r="G18056" s="4" t="s">
        <v>13</v>
      </c>
      <c r="H18056" s="4" t="s">
        <v>11</v>
      </c>
    </row>
    <row r="18057" spans="1:13">
      <c r="A18057" t="n">
        <v>174581</v>
      </c>
      <c r="B18057" s="51" t="n">
        <v>45</v>
      </c>
      <c r="C18057" s="7" t="n">
        <v>2</v>
      </c>
      <c r="D18057" s="7" t="n">
        <v>3</v>
      </c>
      <c r="E18057" s="7" t="n">
        <v>6.92999982833862</v>
      </c>
      <c r="F18057" s="7" t="n">
        <v>11.4499998092651</v>
      </c>
      <c r="G18057" s="7" t="n">
        <v>47.7999992370605</v>
      </c>
      <c r="H18057" s="7" t="n">
        <v>0</v>
      </c>
    </row>
    <row r="18058" spans="1:13">
      <c r="A18058" t="s">
        <v>4</v>
      </c>
      <c r="B18058" s="4" t="s">
        <v>5</v>
      </c>
      <c r="C18058" s="4" t="s">
        <v>7</v>
      </c>
      <c r="D18058" s="4" t="s">
        <v>7</v>
      </c>
      <c r="E18058" s="4" t="s">
        <v>13</v>
      </c>
      <c r="F18058" s="4" t="s">
        <v>13</v>
      </c>
      <c r="G18058" s="4" t="s">
        <v>13</v>
      </c>
      <c r="H18058" s="4" t="s">
        <v>11</v>
      </c>
      <c r="I18058" s="4" t="s">
        <v>7</v>
      </c>
    </row>
    <row r="18059" spans="1:13">
      <c r="A18059" t="n">
        <v>174598</v>
      </c>
      <c r="B18059" s="51" t="n">
        <v>45</v>
      </c>
      <c r="C18059" s="7" t="n">
        <v>4</v>
      </c>
      <c r="D18059" s="7" t="n">
        <v>3</v>
      </c>
      <c r="E18059" s="7" t="n">
        <v>4.38000011444092</v>
      </c>
      <c r="F18059" s="7" t="n">
        <v>320.570007324219</v>
      </c>
      <c r="G18059" s="7" t="n">
        <v>350</v>
      </c>
      <c r="H18059" s="7" t="n">
        <v>0</v>
      </c>
      <c r="I18059" s="7" t="n">
        <v>0</v>
      </c>
    </row>
    <row r="18060" spans="1:13">
      <c r="A18060" t="s">
        <v>4</v>
      </c>
      <c r="B18060" s="4" t="s">
        <v>5</v>
      </c>
      <c r="C18060" s="4" t="s">
        <v>7</v>
      </c>
      <c r="D18060" s="4" t="s">
        <v>7</v>
      </c>
      <c r="E18060" s="4" t="s">
        <v>13</v>
      </c>
      <c r="F18060" s="4" t="s">
        <v>11</v>
      </c>
    </row>
    <row r="18061" spans="1:13">
      <c r="A18061" t="n">
        <v>174616</v>
      </c>
      <c r="B18061" s="51" t="n">
        <v>45</v>
      </c>
      <c r="C18061" s="7" t="n">
        <v>5</v>
      </c>
      <c r="D18061" s="7" t="n">
        <v>3</v>
      </c>
      <c r="E18061" s="7" t="n">
        <v>0.800000011920929</v>
      </c>
      <c r="F18061" s="7" t="n">
        <v>0</v>
      </c>
    </row>
    <row r="18062" spans="1:13">
      <c r="A18062" t="s">
        <v>4</v>
      </c>
      <c r="B18062" s="4" t="s">
        <v>5</v>
      </c>
      <c r="C18062" s="4" t="s">
        <v>7</v>
      </c>
      <c r="D18062" s="4" t="s">
        <v>7</v>
      </c>
      <c r="E18062" s="4" t="s">
        <v>13</v>
      </c>
      <c r="F18062" s="4" t="s">
        <v>11</v>
      </c>
    </row>
    <row r="18063" spans="1:13">
      <c r="A18063" t="n">
        <v>174625</v>
      </c>
      <c r="B18063" s="51" t="n">
        <v>45</v>
      </c>
      <c r="C18063" s="7" t="n">
        <v>11</v>
      </c>
      <c r="D18063" s="7" t="n">
        <v>3</v>
      </c>
      <c r="E18063" s="7" t="n">
        <v>34</v>
      </c>
      <c r="F18063" s="7" t="n">
        <v>0</v>
      </c>
    </row>
    <row r="18064" spans="1:13">
      <c r="A18064" t="s">
        <v>4</v>
      </c>
      <c r="B18064" s="4" t="s">
        <v>5</v>
      </c>
      <c r="C18064" s="4" t="s">
        <v>11</v>
      </c>
      <c r="D18064" s="4" t="s">
        <v>11</v>
      </c>
      <c r="E18064" s="4" t="s">
        <v>11</v>
      </c>
    </row>
    <row r="18065" spans="1:9">
      <c r="A18065" t="n">
        <v>174634</v>
      </c>
      <c r="B18065" s="72" t="n">
        <v>61</v>
      </c>
      <c r="C18065" s="7" t="n">
        <v>0</v>
      </c>
      <c r="D18065" s="7" t="n">
        <v>65533</v>
      </c>
      <c r="E18065" s="7" t="n">
        <v>0</v>
      </c>
    </row>
    <row r="18066" spans="1:9">
      <c r="A18066" t="s">
        <v>4</v>
      </c>
      <c r="B18066" s="4" t="s">
        <v>5</v>
      </c>
      <c r="C18066" s="4" t="s">
        <v>11</v>
      </c>
      <c r="D18066" s="4" t="s">
        <v>13</v>
      </c>
      <c r="E18066" s="4" t="s">
        <v>13</v>
      </c>
      <c r="F18066" s="4" t="s">
        <v>13</v>
      </c>
      <c r="G18066" s="4" t="s">
        <v>11</v>
      </c>
      <c r="H18066" s="4" t="s">
        <v>11</v>
      </c>
    </row>
    <row r="18067" spans="1:9">
      <c r="A18067" t="n">
        <v>174641</v>
      </c>
      <c r="B18067" s="37" t="n">
        <v>60</v>
      </c>
      <c r="C18067" s="7" t="n">
        <v>0</v>
      </c>
      <c r="D18067" s="7" t="n">
        <v>5</v>
      </c>
      <c r="E18067" s="7" t="n">
        <v>-10</v>
      </c>
      <c r="F18067" s="7" t="n">
        <v>0</v>
      </c>
      <c r="G18067" s="7" t="n">
        <v>1000</v>
      </c>
      <c r="H18067" s="7" t="n">
        <v>0</v>
      </c>
    </row>
    <row r="18068" spans="1:9">
      <c r="A18068" t="s">
        <v>4</v>
      </c>
      <c r="B18068" s="4" t="s">
        <v>5</v>
      </c>
      <c r="C18068" s="4" t="s">
        <v>7</v>
      </c>
      <c r="D18068" s="4" t="s">
        <v>11</v>
      </c>
      <c r="E18068" s="4" t="s">
        <v>8</v>
      </c>
      <c r="F18068" s="4" t="s">
        <v>8</v>
      </c>
      <c r="G18068" s="4" t="s">
        <v>8</v>
      </c>
      <c r="H18068" s="4" t="s">
        <v>8</v>
      </c>
    </row>
    <row r="18069" spans="1:9">
      <c r="A18069" t="n">
        <v>174660</v>
      </c>
      <c r="B18069" s="38" t="n">
        <v>51</v>
      </c>
      <c r="C18069" s="7" t="n">
        <v>3</v>
      </c>
      <c r="D18069" s="7" t="n">
        <v>1</v>
      </c>
      <c r="E18069" s="7" t="s">
        <v>371</v>
      </c>
      <c r="F18069" s="7" t="s">
        <v>155</v>
      </c>
      <c r="G18069" s="7" t="s">
        <v>78</v>
      </c>
      <c r="H18069" s="7" t="s">
        <v>79</v>
      </c>
    </row>
    <row r="18070" spans="1:9">
      <c r="A18070" t="s">
        <v>4</v>
      </c>
      <c r="B18070" s="4" t="s">
        <v>5</v>
      </c>
      <c r="C18070" s="4" t="s">
        <v>11</v>
      </c>
      <c r="D18070" s="4" t="s">
        <v>13</v>
      </c>
      <c r="E18070" s="4" t="s">
        <v>13</v>
      </c>
      <c r="F18070" s="4" t="s">
        <v>13</v>
      </c>
      <c r="G18070" s="4" t="s">
        <v>11</v>
      </c>
      <c r="H18070" s="4" t="s">
        <v>11</v>
      </c>
    </row>
    <row r="18071" spans="1:9">
      <c r="A18071" t="n">
        <v>174673</v>
      </c>
      <c r="B18071" s="37" t="n">
        <v>60</v>
      </c>
      <c r="C18071" s="7" t="n">
        <v>1</v>
      </c>
      <c r="D18071" s="7" t="n">
        <v>0</v>
      </c>
      <c r="E18071" s="7" t="n">
        <v>0</v>
      </c>
      <c r="F18071" s="7" t="n">
        <v>0</v>
      </c>
      <c r="G18071" s="7" t="n">
        <v>1000</v>
      </c>
      <c r="H18071" s="7" t="n">
        <v>0</v>
      </c>
    </row>
    <row r="18072" spans="1:9">
      <c r="A18072" t="s">
        <v>4</v>
      </c>
      <c r="B18072" s="4" t="s">
        <v>5</v>
      </c>
      <c r="C18072" s="4" t="s">
        <v>7</v>
      </c>
      <c r="D18072" s="4" t="s">
        <v>11</v>
      </c>
      <c r="E18072" s="4" t="s">
        <v>11</v>
      </c>
      <c r="F18072" s="4" t="s">
        <v>15</v>
      </c>
    </row>
    <row r="18073" spans="1:9">
      <c r="A18073" t="n">
        <v>174692</v>
      </c>
      <c r="B18073" s="76" t="n">
        <v>84</v>
      </c>
      <c r="C18073" s="7" t="n">
        <v>0</v>
      </c>
      <c r="D18073" s="7" t="n">
        <v>0</v>
      </c>
      <c r="E18073" s="7" t="n">
        <v>0</v>
      </c>
      <c r="F18073" s="7" t="n">
        <v>1053609165</v>
      </c>
    </row>
    <row r="18074" spans="1:9">
      <c r="A18074" t="s">
        <v>4</v>
      </c>
      <c r="B18074" s="4" t="s">
        <v>5</v>
      </c>
      <c r="C18074" s="4" t="s">
        <v>11</v>
      </c>
      <c r="D18074" s="4" t="s">
        <v>7</v>
      </c>
      <c r="E18074" s="4" t="s">
        <v>8</v>
      </c>
      <c r="F18074" s="4" t="s">
        <v>13</v>
      </c>
      <c r="G18074" s="4" t="s">
        <v>13</v>
      </c>
      <c r="H18074" s="4" t="s">
        <v>13</v>
      </c>
    </row>
    <row r="18075" spans="1:9">
      <c r="A18075" t="n">
        <v>174702</v>
      </c>
      <c r="B18075" s="42" t="n">
        <v>48</v>
      </c>
      <c r="C18075" s="7" t="n">
        <v>1</v>
      </c>
      <c r="D18075" s="7" t="n">
        <v>0</v>
      </c>
      <c r="E18075" s="7" t="s">
        <v>1437</v>
      </c>
      <c r="F18075" s="7" t="n">
        <v>-1</v>
      </c>
      <c r="G18075" s="7" t="n">
        <v>1</v>
      </c>
      <c r="H18075" s="7" t="n">
        <v>0</v>
      </c>
    </row>
    <row r="18076" spans="1:9">
      <c r="A18076" t="s">
        <v>4</v>
      </c>
      <c r="B18076" s="4" t="s">
        <v>5</v>
      </c>
      <c r="C18076" s="4" t="s">
        <v>11</v>
      </c>
      <c r="D18076" s="4" t="s">
        <v>7</v>
      </c>
      <c r="E18076" s="4" t="s">
        <v>8</v>
      </c>
      <c r="F18076" s="4" t="s">
        <v>13</v>
      </c>
      <c r="G18076" s="4" t="s">
        <v>13</v>
      </c>
      <c r="H18076" s="4" t="s">
        <v>13</v>
      </c>
    </row>
    <row r="18077" spans="1:9">
      <c r="A18077" t="n">
        <v>174728</v>
      </c>
      <c r="B18077" s="42" t="n">
        <v>48</v>
      </c>
      <c r="C18077" s="7" t="n">
        <v>0</v>
      </c>
      <c r="D18077" s="7" t="n">
        <v>0</v>
      </c>
      <c r="E18077" s="7" t="s">
        <v>1437</v>
      </c>
      <c r="F18077" s="7" t="n">
        <v>-1</v>
      </c>
      <c r="G18077" s="7" t="n">
        <v>1</v>
      </c>
      <c r="H18077" s="7" t="n">
        <v>0</v>
      </c>
    </row>
    <row r="18078" spans="1:9">
      <c r="A18078" t="s">
        <v>4</v>
      </c>
      <c r="B18078" s="4" t="s">
        <v>5</v>
      </c>
      <c r="C18078" s="4" t="s">
        <v>7</v>
      </c>
      <c r="D18078" s="4" t="s">
        <v>7</v>
      </c>
      <c r="E18078" s="4" t="s">
        <v>13</v>
      </c>
      <c r="F18078" s="4" t="s">
        <v>13</v>
      </c>
      <c r="G18078" s="4" t="s">
        <v>13</v>
      </c>
      <c r="H18078" s="4" t="s">
        <v>11</v>
      </c>
    </row>
    <row r="18079" spans="1:9">
      <c r="A18079" t="n">
        <v>174754</v>
      </c>
      <c r="B18079" s="51" t="n">
        <v>45</v>
      </c>
      <c r="C18079" s="7" t="n">
        <v>2</v>
      </c>
      <c r="D18079" s="7" t="n">
        <v>3</v>
      </c>
      <c r="E18079" s="7" t="n">
        <v>6.28999996185303</v>
      </c>
      <c r="F18079" s="7" t="n">
        <v>11.4399995803833</v>
      </c>
      <c r="G18079" s="7" t="n">
        <v>47.7200012207031</v>
      </c>
      <c r="H18079" s="7" t="n">
        <v>1000</v>
      </c>
    </row>
    <row r="18080" spans="1:9">
      <c r="A18080" t="s">
        <v>4</v>
      </c>
      <c r="B18080" s="4" t="s">
        <v>5</v>
      </c>
      <c r="C18080" s="4" t="s">
        <v>7</v>
      </c>
      <c r="D18080" s="4" t="s">
        <v>7</v>
      </c>
      <c r="E18080" s="4" t="s">
        <v>13</v>
      </c>
      <c r="F18080" s="4" t="s">
        <v>13</v>
      </c>
      <c r="G18080" s="4" t="s">
        <v>13</v>
      </c>
      <c r="H18080" s="4" t="s">
        <v>11</v>
      </c>
      <c r="I18080" s="4" t="s">
        <v>7</v>
      </c>
    </row>
    <row r="18081" spans="1:9">
      <c r="A18081" t="n">
        <v>174771</v>
      </c>
      <c r="B18081" s="51" t="n">
        <v>45</v>
      </c>
      <c r="C18081" s="7" t="n">
        <v>4</v>
      </c>
      <c r="D18081" s="7" t="n">
        <v>3</v>
      </c>
      <c r="E18081" s="7" t="n">
        <v>359.269989013672</v>
      </c>
      <c r="F18081" s="7" t="n">
        <v>345.910003662109</v>
      </c>
      <c r="G18081" s="7" t="n">
        <v>350</v>
      </c>
      <c r="H18081" s="7" t="n">
        <v>1000</v>
      </c>
      <c r="I18081" s="7" t="n">
        <v>1</v>
      </c>
    </row>
    <row r="18082" spans="1:9">
      <c r="A18082" t="s">
        <v>4</v>
      </c>
      <c r="B18082" s="4" t="s">
        <v>5</v>
      </c>
      <c r="C18082" s="4" t="s">
        <v>7</v>
      </c>
      <c r="D18082" s="4" t="s">
        <v>7</v>
      </c>
      <c r="E18082" s="4" t="s">
        <v>13</v>
      </c>
      <c r="F18082" s="4" t="s">
        <v>11</v>
      </c>
    </row>
    <row r="18083" spans="1:9">
      <c r="A18083" t="n">
        <v>174789</v>
      </c>
      <c r="B18083" s="51" t="n">
        <v>45</v>
      </c>
      <c r="C18083" s="7" t="n">
        <v>5</v>
      </c>
      <c r="D18083" s="7" t="n">
        <v>3</v>
      </c>
      <c r="E18083" s="7" t="n">
        <v>1</v>
      </c>
      <c r="F18083" s="7" t="n">
        <v>1000</v>
      </c>
    </row>
    <row r="18084" spans="1:9">
      <c r="A18084" t="s">
        <v>4</v>
      </c>
      <c r="B18084" s="4" t="s">
        <v>5</v>
      </c>
      <c r="C18084" s="4" t="s">
        <v>7</v>
      </c>
      <c r="D18084" s="4" t="s">
        <v>7</v>
      </c>
      <c r="E18084" s="4" t="s">
        <v>13</v>
      </c>
      <c r="F18084" s="4" t="s">
        <v>11</v>
      </c>
    </row>
    <row r="18085" spans="1:9">
      <c r="A18085" t="n">
        <v>174798</v>
      </c>
      <c r="B18085" s="51" t="n">
        <v>45</v>
      </c>
      <c r="C18085" s="7" t="n">
        <v>11</v>
      </c>
      <c r="D18085" s="7" t="n">
        <v>3</v>
      </c>
      <c r="E18085" s="7" t="n">
        <v>34</v>
      </c>
      <c r="F18085" s="7" t="n">
        <v>1000</v>
      </c>
    </row>
    <row r="18086" spans="1:9">
      <c r="A18086" t="s">
        <v>4</v>
      </c>
      <c r="B18086" s="4" t="s">
        <v>5</v>
      </c>
      <c r="C18086" s="4" t="s">
        <v>11</v>
      </c>
    </row>
    <row r="18087" spans="1:9">
      <c r="A18087" t="n">
        <v>174807</v>
      </c>
      <c r="B18087" s="29" t="n">
        <v>16</v>
      </c>
      <c r="C18087" s="7" t="n">
        <v>400</v>
      </c>
    </row>
    <row r="18088" spans="1:9">
      <c r="A18088" t="s">
        <v>4</v>
      </c>
      <c r="B18088" s="4" t="s">
        <v>5</v>
      </c>
      <c r="C18088" s="4" t="s">
        <v>7</v>
      </c>
      <c r="D18088" s="4" t="s">
        <v>11</v>
      </c>
      <c r="E18088" s="4" t="s">
        <v>13</v>
      </c>
      <c r="F18088" s="4" t="s">
        <v>11</v>
      </c>
      <c r="G18088" s="4" t="s">
        <v>15</v>
      </c>
      <c r="H18088" s="4" t="s">
        <v>15</v>
      </c>
      <c r="I18088" s="4" t="s">
        <v>11</v>
      </c>
      <c r="J18088" s="4" t="s">
        <v>11</v>
      </c>
      <c r="K18088" s="4" t="s">
        <v>15</v>
      </c>
      <c r="L18088" s="4" t="s">
        <v>15</v>
      </c>
      <c r="M18088" s="4" t="s">
        <v>15</v>
      </c>
      <c r="N18088" s="4" t="s">
        <v>15</v>
      </c>
      <c r="O18088" s="4" t="s">
        <v>8</v>
      </c>
    </row>
    <row r="18089" spans="1:9">
      <c r="A18089" t="n">
        <v>174810</v>
      </c>
      <c r="B18089" s="57" t="n">
        <v>50</v>
      </c>
      <c r="C18089" s="7" t="n">
        <v>0</v>
      </c>
      <c r="D18089" s="7" t="n">
        <v>2004</v>
      </c>
      <c r="E18089" s="7" t="n">
        <v>0.800000011920929</v>
      </c>
      <c r="F18089" s="7" t="n">
        <v>200</v>
      </c>
      <c r="G18089" s="7" t="n">
        <v>0</v>
      </c>
      <c r="H18089" s="7" t="n">
        <v>1073741824</v>
      </c>
      <c r="I18089" s="7" t="n">
        <v>0</v>
      </c>
      <c r="J18089" s="7" t="n">
        <v>65533</v>
      </c>
      <c r="K18089" s="7" t="n">
        <v>0</v>
      </c>
      <c r="L18089" s="7" t="n">
        <v>0</v>
      </c>
      <c r="M18089" s="7" t="n">
        <v>0</v>
      </c>
      <c r="N18089" s="7" t="n">
        <v>0</v>
      </c>
      <c r="O18089" s="7" t="s">
        <v>16</v>
      </c>
    </row>
    <row r="18090" spans="1:9">
      <c r="A18090" t="s">
        <v>4</v>
      </c>
      <c r="B18090" s="4" t="s">
        <v>5</v>
      </c>
      <c r="C18090" s="4" t="s">
        <v>11</v>
      </c>
    </row>
    <row r="18091" spans="1:9">
      <c r="A18091" t="n">
        <v>174849</v>
      </c>
      <c r="B18091" s="29" t="n">
        <v>16</v>
      </c>
      <c r="C18091" s="7" t="n">
        <v>400</v>
      </c>
    </row>
    <row r="18092" spans="1:9">
      <c r="A18092" t="s">
        <v>4</v>
      </c>
      <c r="B18092" s="4" t="s">
        <v>5</v>
      </c>
      <c r="C18092" s="4" t="s">
        <v>7</v>
      </c>
      <c r="D18092" s="4" t="s">
        <v>11</v>
      </c>
      <c r="E18092" s="4" t="s">
        <v>8</v>
      </c>
      <c r="F18092" s="4" t="s">
        <v>8</v>
      </c>
      <c r="G18092" s="4" t="s">
        <v>8</v>
      </c>
      <c r="H18092" s="4" t="s">
        <v>8</v>
      </c>
    </row>
    <row r="18093" spans="1:9">
      <c r="A18093" t="n">
        <v>174852</v>
      </c>
      <c r="B18093" s="38" t="n">
        <v>51</v>
      </c>
      <c r="C18093" s="7" t="n">
        <v>3</v>
      </c>
      <c r="D18093" s="7" t="n">
        <v>1</v>
      </c>
      <c r="E18093" s="7" t="s">
        <v>372</v>
      </c>
      <c r="F18093" s="7" t="s">
        <v>218</v>
      </c>
      <c r="G18093" s="7" t="s">
        <v>78</v>
      </c>
      <c r="H18093" s="7" t="s">
        <v>79</v>
      </c>
    </row>
    <row r="18094" spans="1:9">
      <c r="A18094" t="s">
        <v>4</v>
      </c>
      <c r="B18094" s="4" t="s">
        <v>5</v>
      </c>
      <c r="C18094" s="4" t="s">
        <v>11</v>
      </c>
    </row>
    <row r="18095" spans="1:9">
      <c r="A18095" t="n">
        <v>174865</v>
      </c>
      <c r="B18095" s="29" t="n">
        <v>16</v>
      </c>
      <c r="C18095" s="7" t="n">
        <v>500</v>
      </c>
    </row>
    <row r="18096" spans="1:9">
      <c r="A18096" t="s">
        <v>4</v>
      </c>
      <c r="B18096" s="4" t="s">
        <v>5</v>
      </c>
      <c r="C18096" s="4" t="s">
        <v>7</v>
      </c>
      <c r="D18096" s="4" t="s">
        <v>11</v>
      </c>
      <c r="E18096" s="4" t="s">
        <v>11</v>
      </c>
      <c r="F18096" s="4" t="s">
        <v>15</v>
      </c>
    </row>
    <row r="18097" spans="1:15">
      <c r="A18097" t="n">
        <v>174868</v>
      </c>
      <c r="B18097" s="76" t="n">
        <v>84</v>
      </c>
      <c r="C18097" s="7" t="n">
        <v>1</v>
      </c>
      <c r="D18097" s="7" t="n">
        <v>0</v>
      </c>
      <c r="E18097" s="7" t="n">
        <v>1000</v>
      </c>
      <c r="F18097" s="7" t="n">
        <v>0</v>
      </c>
    </row>
    <row r="18098" spans="1:15">
      <c r="A18098" t="s">
        <v>4</v>
      </c>
      <c r="B18098" s="4" t="s">
        <v>5</v>
      </c>
      <c r="C18098" s="4" t="s">
        <v>11</v>
      </c>
      <c r="D18098" s="4" t="s">
        <v>7</v>
      </c>
      <c r="E18098" s="4" t="s">
        <v>13</v>
      </c>
      <c r="F18098" s="4" t="s">
        <v>11</v>
      </c>
    </row>
    <row r="18099" spans="1:15">
      <c r="A18099" t="n">
        <v>174878</v>
      </c>
      <c r="B18099" s="56" t="n">
        <v>59</v>
      </c>
      <c r="C18099" s="7" t="n">
        <v>0</v>
      </c>
      <c r="D18099" s="7" t="n">
        <v>13</v>
      </c>
      <c r="E18099" s="7" t="n">
        <v>0.150000005960464</v>
      </c>
      <c r="F18099" s="7" t="n">
        <v>0</v>
      </c>
    </row>
    <row r="18100" spans="1:15">
      <c r="A18100" t="s">
        <v>4</v>
      </c>
      <c r="B18100" s="4" t="s">
        <v>5</v>
      </c>
      <c r="C18100" s="4" t="s">
        <v>11</v>
      </c>
    </row>
    <row r="18101" spans="1:15">
      <c r="A18101" t="n">
        <v>174888</v>
      </c>
      <c r="B18101" s="29" t="n">
        <v>16</v>
      </c>
      <c r="C18101" s="7" t="n">
        <v>1000</v>
      </c>
    </row>
    <row r="18102" spans="1:15">
      <c r="A18102" t="s">
        <v>4</v>
      </c>
      <c r="B18102" s="4" t="s">
        <v>5</v>
      </c>
      <c r="C18102" s="4" t="s">
        <v>7</v>
      </c>
      <c r="D18102" s="4" t="s">
        <v>11</v>
      </c>
      <c r="E18102" s="4" t="s">
        <v>11</v>
      </c>
      <c r="F18102" s="4" t="s">
        <v>11</v>
      </c>
      <c r="G18102" s="4" t="s">
        <v>11</v>
      </c>
      <c r="H18102" s="4" t="s">
        <v>11</v>
      </c>
      <c r="I18102" s="4" t="s">
        <v>8</v>
      </c>
      <c r="J18102" s="4" t="s">
        <v>13</v>
      </c>
      <c r="K18102" s="4" t="s">
        <v>13</v>
      </c>
      <c r="L18102" s="4" t="s">
        <v>13</v>
      </c>
      <c r="M18102" s="4" t="s">
        <v>15</v>
      </c>
      <c r="N18102" s="4" t="s">
        <v>15</v>
      </c>
      <c r="O18102" s="4" t="s">
        <v>13</v>
      </c>
      <c r="P18102" s="4" t="s">
        <v>13</v>
      </c>
      <c r="Q18102" s="4" t="s">
        <v>13</v>
      </c>
      <c r="R18102" s="4" t="s">
        <v>13</v>
      </c>
      <c r="S18102" s="4" t="s">
        <v>7</v>
      </c>
    </row>
    <row r="18103" spans="1:15">
      <c r="A18103" t="n">
        <v>174891</v>
      </c>
      <c r="B18103" s="81" t="n">
        <v>39</v>
      </c>
      <c r="C18103" s="7" t="n">
        <v>12</v>
      </c>
      <c r="D18103" s="7" t="n">
        <v>1</v>
      </c>
      <c r="E18103" s="7" t="n">
        <v>203</v>
      </c>
      <c r="F18103" s="7" t="n">
        <v>0</v>
      </c>
      <c r="G18103" s="7" t="n">
        <v>1</v>
      </c>
      <c r="H18103" s="7" t="n">
        <v>3</v>
      </c>
      <c r="I18103" s="7" t="s">
        <v>917</v>
      </c>
      <c r="J18103" s="7" t="n">
        <v>0</v>
      </c>
      <c r="K18103" s="7" t="n">
        <v>0</v>
      </c>
      <c r="L18103" s="7" t="n">
        <v>0</v>
      </c>
      <c r="M18103" s="7" t="n">
        <v>0</v>
      </c>
      <c r="N18103" s="7" t="n">
        <v>0</v>
      </c>
      <c r="O18103" s="7" t="n">
        <v>0</v>
      </c>
      <c r="P18103" s="7" t="n">
        <v>1</v>
      </c>
      <c r="Q18103" s="7" t="n">
        <v>1</v>
      </c>
      <c r="R18103" s="7" t="n">
        <v>1</v>
      </c>
      <c r="S18103" s="7" t="n">
        <v>103</v>
      </c>
    </row>
    <row r="18104" spans="1:15">
      <c r="A18104" t="s">
        <v>4</v>
      </c>
      <c r="B18104" s="4" t="s">
        <v>5</v>
      </c>
      <c r="C18104" s="4" t="s">
        <v>7</v>
      </c>
      <c r="D18104" s="4" t="s">
        <v>11</v>
      </c>
    </row>
    <row r="18105" spans="1:15">
      <c r="A18105" t="n">
        <v>174961</v>
      </c>
      <c r="B18105" s="51" t="n">
        <v>45</v>
      </c>
      <c r="C18105" s="7" t="n">
        <v>7</v>
      </c>
      <c r="D18105" s="7" t="n">
        <v>255</v>
      </c>
    </row>
    <row r="18106" spans="1:15">
      <c r="A18106" t="s">
        <v>4</v>
      </c>
      <c r="B18106" s="4" t="s">
        <v>5</v>
      </c>
      <c r="C18106" s="4" t="s">
        <v>7</v>
      </c>
      <c r="D18106" s="4" t="s">
        <v>11</v>
      </c>
      <c r="E18106" s="4" t="s">
        <v>8</v>
      </c>
    </row>
    <row r="18107" spans="1:15">
      <c r="A18107" t="n">
        <v>174965</v>
      </c>
      <c r="B18107" s="38" t="n">
        <v>51</v>
      </c>
      <c r="C18107" s="7" t="n">
        <v>4</v>
      </c>
      <c r="D18107" s="7" t="n">
        <v>0</v>
      </c>
      <c r="E18107" s="7" t="s">
        <v>245</v>
      </c>
    </row>
    <row r="18108" spans="1:15">
      <c r="A18108" t="s">
        <v>4</v>
      </c>
      <c r="B18108" s="4" t="s">
        <v>5</v>
      </c>
      <c r="C18108" s="4" t="s">
        <v>11</v>
      </c>
    </row>
    <row r="18109" spans="1:15">
      <c r="A18109" t="n">
        <v>174979</v>
      </c>
      <c r="B18109" s="29" t="n">
        <v>16</v>
      </c>
      <c r="C18109" s="7" t="n">
        <v>0</v>
      </c>
    </row>
    <row r="18110" spans="1:15">
      <c r="A18110" t="s">
        <v>4</v>
      </c>
      <c r="B18110" s="4" t="s">
        <v>5</v>
      </c>
      <c r="C18110" s="4" t="s">
        <v>11</v>
      </c>
      <c r="D18110" s="4" t="s">
        <v>7</v>
      </c>
      <c r="E18110" s="4" t="s">
        <v>15</v>
      </c>
      <c r="F18110" s="4" t="s">
        <v>55</v>
      </c>
      <c r="G18110" s="4" t="s">
        <v>7</v>
      </c>
      <c r="H18110" s="4" t="s">
        <v>7</v>
      </c>
    </row>
    <row r="18111" spans="1:15">
      <c r="A18111" t="n">
        <v>174982</v>
      </c>
      <c r="B18111" s="55" t="n">
        <v>26</v>
      </c>
      <c r="C18111" s="7" t="n">
        <v>0</v>
      </c>
      <c r="D18111" s="7" t="n">
        <v>17</v>
      </c>
      <c r="E18111" s="7" t="n">
        <v>64510</v>
      </c>
      <c r="F18111" s="7" t="s">
        <v>1477</v>
      </c>
      <c r="G18111" s="7" t="n">
        <v>2</v>
      </c>
      <c r="H18111" s="7" t="n">
        <v>0</v>
      </c>
    </row>
    <row r="18112" spans="1:15">
      <c r="A18112" t="s">
        <v>4</v>
      </c>
      <c r="B18112" s="4" t="s">
        <v>5</v>
      </c>
    </row>
    <row r="18113" spans="1:19">
      <c r="A18113" t="n">
        <v>175009</v>
      </c>
      <c r="B18113" s="27" t="n">
        <v>28</v>
      </c>
    </row>
    <row r="18114" spans="1:19">
      <c r="A18114" t="s">
        <v>4</v>
      </c>
      <c r="B18114" s="4" t="s">
        <v>5</v>
      </c>
      <c r="C18114" s="4" t="s">
        <v>7</v>
      </c>
      <c r="D18114" s="4" t="s">
        <v>11</v>
      </c>
      <c r="E18114" s="4" t="s">
        <v>11</v>
      </c>
      <c r="F18114" s="4" t="s">
        <v>7</v>
      </c>
    </row>
    <row r="18115" spans="1:19">
      <c r="A18115" t="n">
        <v>175010</v>
      </c>
      <c r="B18115" s="31" t="n">
        <v>25</v>
      </c>
      <c r="C18115" s="7" t="n">
        <v>1</v>
      </c>
      <c r="D18115" s="7" t="n">
        <v>65535</v>
      </c>
      <c r="E18115" s="7" t="n">
        <v>65535</v>
      </c>
      <c r="F18115" s="7" t="n">
        <v>0</v>
      </c>
    </row>
    <row r="18116" spans="1:19">
      <c r="A18116" t="s">
        <v>4</v>
      </c>
      <c r="B18116" s="4" t="s">
        <v>5</v>
      </c>
      <c r="C18116" s="4" t="s">
        <v>11</v>
      </c>
    </row>
    <row r="18117" spans="1:19">
      <c r="A18117" t="n">
        <v>175017</v>
      </c>
      <c r="B18117" s="29" t="n">
        <v>16</v>
      </c>
      <c r="C18117" s="7" t="n">
        <v>300</v>
      </c>
    </row>
    <row r="18118" spans="1:19">
      <c r="A18118" t="s">
        <v>4</v>
      </c>
      <c r="B18118" s="4" t="s">
        <v>5</v>
      </c>
      <c r="C18118" s="4" t="s">
        <v>7</v>
      </c>
      <c r="D18118" s="4" t="s">
        <v>11</v>
      </c>
      <c r="E18118" s="4" t="s">
        <v>8</v>
      </c>
      <c r="F18118" s="4" t="s">
        <v>8</v>
      </c>
      <c r="G18118" s="4" t="s">
        <v>8</v>
      </c>
      <c r="H18118" s="4" t="s">
        <v>8</v>
      </c>
    </row>
    <row r="18119" spans="1:19">
      <c r="A18119" t="n">
        <v>175020</v>
      </c>
      <c r="B18119" s="38" t="n">
        <v>51</v>
      </c>
      <c r="C18119" s="7" t="n">
        <v>3</v>
      </c>
      <c r="D18119" s="7" t="n">
        <v>1</v>
      </c>
      <c r="E18119" s="7" t="s">
        <v>371</v>
      </c>
      <c r="F18119" s="7" t="s">
        <v>218</v>
      </c>
      <c r="G18119" s="7" t="s">
        <v>78</v>
      </c>
      <c r="H18119" s="7" t="s">
        <v>79</v>
      </c>
    </row>
    <row r="18120" spans="1:19">
      <c r="A18120" t="s">
        <v>4</v>
      </c>
      <c r="B18120" s="4" t="s">
        <v>5</v>
      </c>
      <c r="C18120" s="4" t="s">
        <v>11</v>
      </c>
      <c r="D18120" s="4" t="s">
        <v>13</v>
      </c>
      <c r="E18120" s="4" t="s">
        <v>13</v>
      </c>
      <c r="F18120" s="4" t="s">
        <v>13</v>
      </c>
      <c r="G18120" s="4" t="s">
        <v>11</v>
      </c>
      <c r="H18120" s="4" t="s">
        <v>11</v>
      </c>
    </row>
    <row r="18121" spans="1:19">
      <c r="A18121" t="n">
        <v>175033</v>
      </c>
      <c r="B18121" s="37" t="n">
        <v>60</v>
      </c>
      <c r="C18121" s="7" t="n">
        <v>1</v>
      </c>
      <c r="D18121" s="7" t="n">
        <v>-10</v>
      </c>
      <c r="E18121" s="7" t="n">
        <v>25</v>
      </c>
      <c r="F18121" s="7" t="n">
        <v>0</v>
      </c>
      <c r="G18121" s="7" t="n">
        <v>1200</v>
      </c>
      <c r="H18121" s="7" t="n">
        <v>0</v>
      </c>
    </row>
    <row r="18122" spans="1:19">
      <c r="A18122" t="s">
        <v>4</v>
      </c>
      <c r="B18122" s="4" t="s">
        <v>5</v>
      </c>
      <c r="C18122" s="4" t="s">
        <v>11</v>
      </c>
    </row>
    <row r="18123" spans="1:19">
      <c r="A18123" t="n">
        <v>175052</v>
      </c>
      <c r="B18123" s="29" t="n">
        <v>16</v>
      </c>
      <c r="C18123" s="7" t="n">
        <v>1200</v>
      </c>
    </row>
    <row r="18124" spans="1:19">
      <c r="A18124" t="s">
        <v>4</v>
      </c>
      <c r="B18124" s="4" t="s">
        <v>5</v>
      </c>
      <c r="C18124" s="4" t="s">
        <v>7</v>
      </c>
      <c r="D18124" s="4" t="s">
        <v>11</v>
      </c>
      <c r="E18124" s="4" t="s">
        <v>8</v>
      </c>
    </row>
    <row r="18125" spans="1:19">
      <c r="A18125" t="n">
        <v>175055</v>
      </c>
      <c r="B18125" s="38" t="n">
        <v>51</v>
      </c>
      <c r="C18125" s="7" t="n">
        <v>4</v>
      </c>
      <c r="D18125" s="7" t="n">
        <v>1</v>
      </c>
      <c r="E18125" s="7" t="s">
        <v>1478</v>
      </c>
    </row>
    <row r="18126" spans="1:19">
      <c r="A18126" t="s">
        <v>4</v>
      </c>
      <c r="B18126" s="4" t="s">
        <v>5</v>
      </c>
      <c r="C18126" s="4" t="s">
        <v>11</v>
      </c>
    </row>
    <row r="18127" spans="1:19">
      <c r="A18127" t="n">
        <v>175069</v>
      </c>
      <c r="B18127" s="29" t="n">
        <v>16</v>
      </c>
      <c r="C18127" s="7" t="n">
        <v>0</v>
      </c>
    </row>
    <row r="18128" spans="1:19">
      <c r="A18128" t="s">
        <v>4</v>
      </c>
      <c r="B18128" s="4" t="s">
        <v>5</v>
      </c>
      <c r="C18128" s="4" t="s">
        <v>11</v>
      </c>
      <c r="D18128" s="4" t="s">
        <v>7</v>
      </c>
      <c r="E18128" s="4" t="s">
        <v>15</v>
      </c>
      <c r="F18128" s="4" t="s">
        <v>55</v>
      </c>
      <c r="G18128" s="4" t="s">
        <v>7</v>
      </c>
      <c r="H18128" s="4" t="s">
        <v>7</v>
      </c>
      <c r="I18128" s="4" t="s">
        <v>7</v>
      </c>
      <c r="J18128" s="4" t="s">
        <v>15</v>
      </c>
      <c r="K18128" s="4" t="s">
        <v>55</v>
      </c>
      <c r="L18128" s="4" t="s">
        <v>7</v>
      </c>
      <c r="M18128" s="4" t="s">
        <v>7</v>
      </c>
    </row>
    <row r="18129" spans="1:13">
      <c r="A18129" t="n">
        <v>175072</v>
      </c>
      <c r="B18129" s="55" t="n">
        <v>26</v>
      </c>
      <c r="C18129" s="7" t="n">
        <v>1</v>
      </c>
      <c r="D18129" s="7" t="n">
        <v>17</v>
      </c>
      <c r="E18129" s="7" t="n">
        <v>64511</v>
      </c>
      <c r="F18129" s="7" t="s">
        <v>1479</v>
      </c>
      <c r="G18129" s="7" t="n">
        <v>2</v>
      </c>
      <c r="H18129" s="7" t="n">
        <v>3</v>
      </c>
      <c r="I18129" s="7" t="n">
        <v>17</v>
      </c>
      <c r="J18129" s="7" t="n">
        <v>64512</v>
      </c>
      <c r="K18129" s="7" t="s">
        <v>1480</v>
      </c>
      <c r="L18129" s="7" t="n">
        <v>2</v>
      </c>
      <c r="M18129" s="7" t="n">
        <v>0</v>
      </c>
    </row>
    <row r="18130" spans="1:13">
      <c r="A18130" t="s">
        <v>4</v>
      </c>
      <c r="B18130" s="4" t="s">
        <v>5</v>
      </c>
    </row>
    <row r="18131" spans="1:13">
      <c r="A18131" t="n">
        <v>175197</v>
      </c>
      <c r="B18131" s="27" t="n">
        <v>28</v>
      </c>
    </row>
    <row r="18132" spans="1:13">
      <c r="A18132" t="s">
        <v>4</v>
      </c>
      <c r="B18132" s="4" t="s">
        <v>5</v>
      </c>
      <c r="C18132" s="4" t="s">
        <v>7</v>
      </c>
      <c r="D18132" s="4" t="s">
        <v>11</v>
      </c>
      <c r="E18132" s="4" t="s">
        <v>8</v>
      </c>
    </row>
    <row r="18133" spans="1:13">
      <c r="A18133" t="n">
        <v>175198</v>
      </c>
      <c r="B18133" s="38" t="n">
        <v>51</v>
      </c>
      <c r="C18133" s="7" t="n">
        <v>4</v>
      </c>
      <c r="D18133" s="7" t="n">
        <v>1</v>
      </c>
      <c r="E18133" s="7" t="s">
        <v>375</v>
      </c>
    </row>
    <row r="18134" spans="1:13">
      <c r="A18134" t="s">
        <v>4</v>
      </c>
      <c r="B18134" s="4" t="s">
        <v>5</v>
      </c>
      <c r="C18134" s="4" t="s">
        <v>11</v>
      </c>
    </row>
    <row r="18135" spans="1:13">
      <c r="A18135" t="n">
        <v>175212</v>
      </c>
      <c r="B18135" s="29" t="n">
        <v>16</v>
      </c>
      <c r="C18135" s="7" t="n">
        <v>0</v>
      </c>
    </row>
    <row r="18136" spans="1:13">
      <c r="A18136" t="s">
        <v>4</v>
      </c>
      <c r="B18136" s="4" t="s">
        <v>5</v>
      </c>
      <c r="C18136" s="4" t="s">
        <v>11</v>
      </c>
      <c r="D18136" s="4" t="s">
        <v>7</v>
      </c>
      <c r="E18136" s="4" t="s">
        <v>15</v>
      </c>
      <c r="F18136" s="4" t="s">
        <v>55</v>
      </c>
      <c r="G18136" s="4" t="s">
        <v>7</v>
      </c>
      <c r="H18136" s="4" t="s">
        <v>7</v>
      </c>
    </row>
    <row r="18137" spans="1:13">
      <c r="A18137" t="n">
        <v>175215</v>
      </c>
      <c r="B18137" s="55" t="n">
        <v>26</v>
      </c>
      <c r="C18137" s="7" t="n">
        <v>1</v>
      </c>
      <c r="D18137" s="7" t="n">
        <v>17</v>
      </c>
      <c r="E18137" s="7" t="n">
        <v>64513</v>
      </c>
      <c r="F18137" s="7" t="s">
        <v>1481</v>
      </c>
      <c r="G18137" s="7" t="n">
        <v>2</v>
      </c>
      <c r="H18137" s="7" t="n">
        <v>0</v>
      </c>
    </row>
    <row r="18138" spans="1:13">
      <c r="A18138" t="s">
        <v>4</v>
      </c>
      <c r="B18138" s="4" t="s">
        <v>5</v>
      </c>
    </row>
    <row r="18139" spans="1:13">
      <c r="A18139" t="n">
        <v>175263</v>
      </c>
      <c r="B18139" s="27" t="n">
        <v>28</v>
      </c>
    </row>
    <row r="18140" spans="1:13">
      <c r="A18140" t="s">
        <v>4</v>
      </c>
      <c r="B18140" s="4" t="s">
        <v>5</v>
      </c>
      <c r="C18140" s="4" t="s">
        <v>11</v>
      </c>
    </row>
    <row r="18141" spans="1:13">
      <c r="A18141" t="n">
        <v>175264</v>
      </c>
      <c r="B18141" s="29" t="n">
        <v>16</v>
      </c>
      <c r="C18141" s="7" t="n">
        <v>500</v>
      </c>
    </row>
    <row r="18142" spans="1:13">
      <c r="A18142" t="s">
        <v>4</v>
      </c>
      <c r="B18142" s="4" t="s">
        <v>5</v>
      </c>
      <c r="C18142" s="4" t="s">
        <v>7</v>
      </c>
      <c r="D18142" s="4" t="s">
        <v>7</v>
      </c>
      <c r="E18142" s="4" t="s">
        <v>13</v>
      </c>
      <c r="F18142" s="4" t="s">
        <v>13</v>
      </c>
      <c r="G18142" s="4" t="s">
        <v>13</v>
      </c>
      <c r="H18142" s="4" t="s">
        <v>11</v>
      </c>
    </row>
    <row r="18143" spans="1:13">
      <c r="A18143" t="n">
        <v>175267</v>
      </c>
      <c r="B18143" s="51" t="n">
        <v>45</v>
      </c>
      <c r="C18143" s="7" t="n">
        <v>2</v>
      </c>
      <c r="D18143" s="7" t="n">
        <v>3</v>
      </c>
      <c r="E18143" s="7" t="n">
        <v>6.34999990463257</v>
      </c>
      <c r="F18143" s="7" t="n">
        <v>11.3800001144409</v>
      </c>
      <c r="G18143" s="7" t="n">
        <v>47.6699981689453</v>
      </c>
      <c r="H18143" s="7" t="n">
        <v>2000</v>
      </c>
    </row>
    <row r="18144" spans="1:13">
      <c r="A18144" t="s">
        <v>4</v>
      </c>
      <c r="B18144" s="4" t="s">
        <v>5</v>
      </c>
      <c r="C18144" s="4" t="s">
        <v>7</v>
      </c>
      <c r="D18144" s="4" t="s">
        <v>7</v>
      </c>
      <c r="E18144" s="4" t="s">
        <v>13</v>
      </c>
      <c r="F18144" s="4" t="s">
        <v>13</v>
      </c>
      <c r="G18144" s="4" t="s">
        <v>13</v>
      </c>
      <c r="H18144" s="4" t="s">
        <v>11</v>
      </c>
      <c r="I18144" s="4" t="s">
        <v>7</v>
      </c>
    </row>
    <row r="18145" spans="1:13">
      <c r="A18145" t="n">
        <v>175284</v>
      </c>
      <c r="B18145" s="51" t="n">
        <v>45</v>
      </c>
      <c r="C18145" s="7" t="n">
        <v>4</v>
      </c>
      <c r="D18145" s="7" t="n">
        <v>3</v>
      </c>
      <c r="E18145" s="7" t="n">
        <v>10.7700004577637</v>
      </c>
      <c r="F18145" s="7" t="n">
        <v>342.809997558594</v>
      </c>
      <c r="G18145" s="7" t="n">
        <v>350</v>
      </c>
      <c r="H18145" s="7" t="n">
        <v>2000</v>
      </c>
      <c r="I18145" s="7" t="n">
        <v>1</v>
      </c>
    </row>
    <row r="18146" spans="1:13">
      <c r="A18146" t="s">
        <v>4</v>
      </c>
      <c r="B18146" s="4" t="s">
        <v>5</v>
      </c>
      <c r="C18146" s="4" t="s">
        <v>7</v>
      </c>
      <c r="D18146" s="4" t="s">
        <v>7</v>
      </c>
      <c r="E18146" s="4" t="s">
        <v>13</v>
      </c>
      <c r="F18146" s="4" t="s">
        <v>11</v>
      </c>
    </row>
    <row r="18147" spans="1:13">
      <c r="A18147" t="n">
        <v>175302</v>
      </c>
      <c r="B18147" s="51" t="n">
        <v>45</v>
      </c>
      <c r="C18147" s="7" t="n">
        <v>5</v>
      </c>
      <c r="D18147" s="7" t="n">
        <v>3</v>
      </c>
      <c r="E18147" s="7" t="n">
        <v>1.10000002384186</v>
      </c>
      <c r="F18147" s="7" t="n">
        <v>2000</v>
      </c>
    </row>
    <row r="18148" spans="1:13">
      <c r="A18148" t="s">
        <v>4</v>
      </c>
      <c r="B18148" s="4" t="s">
        <v>5</v>
      </c>
      <c r="C18148" s="4" t="s">
        <v>11</v>
      </c>
      <c r="D18148" s="4" t="s">
        <v>7</v>
      </c>
      <c r="E18148" s="4" t="s">
        <v>8</v>
      </c>
      <c r="F18148" s="4" t="s">
        <v>13</v>
      </c>
      <c r="G18148" s="4" t="s">
        <v>13</v>
      </c>
      <c r="H18148" s="4" t="s">
        <v>13</v>
      </c>
    </row>
    <row r="18149" spans="1:13">
      <c r="A18149" t="n">
        <v>175311</v>
      </c>
      <c r="B18149" s="42" t="n">
        <v>48</v>
      </c>
      <c r="C18149" s="7" t="n">
        <v>1</v>
      </c>
      <c r="D18149" s="7" t="n">
        <v>0</v>
      </c>
      <c r="E18149" s="7" t="s">
        <v>276</v>
      </c>
      <c r="F18149" s="7" t="n">
        <v>-1</v>
      </c>
      <c r="G18149" s="7" t="n">
        <v>1</v>
      </c>
      <c r="H18149" s="7" t="n">
        <v>0</v>
      </c>
    </row>
    <row r="18150" spans="1:13">
      <c r="A18150" t="s">
        <v>4</v>
      </c>
      <c r="B18150" s="4" t="s">
        <v>5</v>
      </c>
      <c r="C18150" s="4" t="s">
        <v>11</v>
      </c>
      <c r="D18150" s="4" t="s">
        <v>7</v>
      </c>
      <c r="E18150" s="4" t="s">
        <v>8</v>
      </c>
      <c r="F18150" s="4" t="s">
        <v>13</v>
      </c>
      <c r="G18150" s="4" t="s">
        <v>13</v>
      </c>
      <c r="H18150" s="4" t="s">
        <v>13</v>
      </c>
    </row>
    <row r="18151" spans="1:13">
      <c r="A18151" t="n">
        <v>175337</v>
      </c>
      <c r="B18151" s="42" t="n">
        <v>48</v>
      </c>
      <c r="C18151" s="7" t="n">
        <v>0</v>
      </c>
      <c r="D18151" s="7" t="n">
        <v>0</v>
      </c>
      <c r="E18151" s="7" t="s">
        <v>276</v>
      </c>
      <c r="F18151" s="7" t="n">
        <v>-1</v>
      </c>
      <c r="G18151" s="7" t="n">
        <v>1</v>
      </c>
      <c r="H18151" s="7" t="n">
        <v>0</v>
      </c>
    </row>
    <row r="18152" spans="1:13">
      <c r="A18152" t="s">
        <v>4</v>
      </c>
      <c r="B18152" s="4" t="s">
        <v>5</v>
      </c>
      <c r="C18152" s="4" t="s">
        <v>11</v>
      </c>
    </row>
    <row r="18153" spans="1:13">
      <c r="A18153" t="n">
        <v>175363</v>
      </c>
      <c r="B18153" s="29" t="n">
        <v>16</v>
      </c>
      <c r="C18153" s="7" t="n">
        <v>500</v>
      </c>
    </row>
    <row r="18154" spans="1:13">
      <c r="A18154" t="s">
        <v>4</v>
      </c>
      <c r="B18154" s="4" t="s">
        <v>5</v>
      </c>
      <c r="C18154" s="4" t="s">
        <v>7</v>
      </c>
      <c r="D18154" s="4" t="s">
        <v>11</v>
      </c>
      <c r="E18154" s="4" t="s">
        <v>13</v>
      </c>
      <c r="F18154" s="4" t="s">
        <v>11</v>
      </c>
      <c r="G18154" s="4" t="s">
        <v>15</v>
      </c>
      <c r="H18154" s="4" t="s">
        <v>15</v>
      </c>
      <c r="I18154" s="4" t="s">
        <v>11</v>
      </c>
      <c r="J18154" s="4" t="s">
        <v>11</v>
      </c>
      <c r="K18154" s="4" t="s">
        <v>15</v>
      </c>
      <c r="L18154" s="4" t="s">
        <v>15</v>
      </c>
      <c r="M18154" s="4" t="s">
        <v>15</v>
      </c>
      <c r="N18154" s="4" t="s">
        <v>15</v>
      </c>
      <c r="O18154" s="4" t="s">
        <v>8</v>
      </c>
    </row>
    <row r="18155" spans="1:13">
      <c r="A18155" t="n">
        <v>175366</v>
      </c>
      <c r="B18155" s="57" t="n">
        <v>50</v>
      </c>
      <c r="C18155" s="7" t="n">
        <v>0</v>
      </c>
      <c r="D18155" s="7" t="n">
        <v>2000</v>
      </c>
      <c r="E18155" s="7" t="n">
        <v>0.600000023841858</v>
      </c>
      <c r="F18155" s="7" t="n">
        <v>200</v>
      </c>
      <c r="G18155" s="7" t="n">
        <v>0</v>
      </c>
      <c r="H18155" s="7" t="n">
        <v>1073741824</v>
      </c>
      <c r="I18155" s="7" t="n">
        <v>0</v>
      </c>
      <c r="J18155" s="7" t="n">
        <v>65533</v>
      </c>
      <c r="K18155" s="7" t="n">
        <v>0</v>
      </c>
      <c r="L18155" s="7" t="n">
        <v>0</v>
      </c>
      <c r="M18155" s="7" t="n">
        <v>0</v>
      </c>
      <c r="N18155" s="7" t="n">
        <v>0</v>
      </c>
      <c r="O18155" s="7" t="s">
        <v>16</v>
      </c>
    </row>
    <row r="18156" spans="1:13">
      <c r="A18156" t="s">
        <v>4</v>
      </c>
      <c r="B18156" s="4" t="s">
        <v>5</v>
      </c>
      <c r="C18156" s="4" t="s">
        <v>11</v>
      </c>
    </row>
    <row r="18157" spans="1:13">
      <c r="A18157" t="n">
        <v>175405</v>
      </c>
      <c r="B18157" s="29" t="n">
        <v>16</v>
      </c>
      <c r="C18157" s="7" t="n">
        <v>1500</v>
      </c>
    </row>
    <row r="18158" spans="1:13">
      <c r="A18158" t="s">
        <v>4</v>
      </c>
      <c r="B18158" s="4" t="s">
        <v>5</v>
      </c>
      <c r="C18158" s="4" t="s">
        <v>7</v>
      </c>
      <c r="D18158" s="4" t="s">
        <v>11</v>
      </c>
      <c r="E18158" s="4" t="s">
        <v>8</v>
      </c>
    </row>
    <row r="18159" spans="1:13">
      <c r="A18159" t="n">
        <v>175408</v>
      </c>
      <c r="B18159" s="38" t="n">
        <v>51</v>
      </c>
      <c r="C18159" s="7" t="n">
        <v>4</v>
      </c>
      <c r="D18159" s="7" t="n">
        <v>0</v>
      </c>
      <c r="E18159" s="7" t="s">
        <v>242</v>
      </c>
    </row>
    <row r="18160" spans="1:13">
      <c r="A18160" t="s">
        <v>4</v>
      </c>
      <c r="B18160" s="4" t="s">
        <v>5</v>
      </c>
      <c r="C18160" s="4" t="s">
        <v>11</v>
      </c>
    </row>
    <row r="18161" spans="1:15">
      <c r="A18161" t="n">
        <v>175422</v>
      </c>
      <c r="B18161" s="29" t="n">
        <v>16</v>
      </c>
      <c r="C18161" s="7" t="n">
        <v>0</v>
      </c>
    </row>
    <row r="18162" spans="1:15">
      <c r="A18162" t="s">
        <v>4</v>
      </c>
      <c r="B18162" s="4" t="s">
        <v>5</v>
      </c>
      <c r="C18162" s="4" t="s">
        <v>11</v>
      </c>
      <c r="D18162" s="4" t="s">
        <v>7</v>
      </c>
      <c r="E18162" s="4" t="s">
        <v>15</v>
      </c>
      <c r="F18162" s="4" t="s">
        <v>55</v>
      </c>
      <c r="G18162" s="4" t="s">
        <v>7</v>
      </c>
      <c r="H18162" s="4" t="s">
        <v>7</v>
      </c>
    </row>
    <row r="18163" spans="1:15">
      <c r="A18163" t="n">
        <v>175425</v>
      </c>
      <c r="B18163" s="55" t="n">
        <v>26</v>
      </c>
      <c r="C18163" s="7" t="n">
        <v>0</v>
      </c>
      <c r="D18163" s="7" t="n">
        <v>17</v>
      </c>
      <c r="E18163" s="7" t="n">
        <v>64514</v>
      </c>
      <c r="F18163" s="7" t="s">
        <v>1482</v>
      </c>
      <c r="G18163" s="7" t="n">
        <v>2</v>
      </c>
      <c r="H18163" s="7" t="n">
        <v>0</v>
      </c>
    </row>
    <row r="18164" spans="1:15">
      <c r="A18164" t="s">
        <v>4</v>
      </c>
      <c r="B18164" s="4" t="s">
        <v>5</v>
      </c>
    </row>
    <row r="18165" spans="1:15">
      <c r="A18165" t="n">
        <v>175447</v>
      </c>
      <c r="B18165" s="27" t="n">
        <v>28</v>
      </c>
    </row>
    <row r="18166" spans="1:15">
      <c r="A18166" t="s">
        <v>4</v>
      </c>
      <c r="B18166" s="4" t="s">
        <v>5</v>
      </c>
      <c r="C18166" s="4" t="s">
        <v>7</v>
      </c>
      <c r="D18166" s="4" t="s">
        <v>11</v>
      </c>
      <c r="E18166" s="4" t="s">
        <v>8</v>
      </c>
      <c r="F18166" s="4" t="s">
        <v>8</v>
      </c>
      <c r="G18166" s="4" t="s">
        <v>8</v>
      </c>
      <c r="H18166" s="4" t="s">
        <v>8</v>
      </c>
    </row>
    <row r="18167" spans="1:15">
      <c r="A18167" t="n">
        <v>175448</v>
      </c>
      <c r="B18167" s="38" t="n">
        <v>51</v>
      </c>
      <c r="C18167" s="7" t="n">
        <v>3</v>
      </c>
      <c r="D18167" s="7" t="n">
        <v>1</v>
      </c>
      <c r="E18167" s="7" t="s">
        <v>154</v>
      </c>
      <c r="F18167" s="7" t="s">
        <v>155</v>
      </c>
      <c r="G18167" s="7" t="s">
        <v>78</v>
      </c>
      <c r="H18167" s="7" t="s">
        <v>79</v>
      </c>
    </row>
    <row r="18168" spans="1:15">
      <c r="A18168" t="s">
        <v>4</v>
      </c>
      <c r="B18168" s="4" t="s">
        <v>5</v>
      </c>
      <c r="C18168" s="4" t="s">
        <v>7</v>
      </c>
      <c r="D18168" s="4" t="s">
        <v>13</v>
      </c>
      <c r="E18168" s="4" t="s">
        <v>13</v>
      </c>
      <c r="F18168" s="4" t="s">
        <v>13</v>
      </c>
    </row>
    <row r="18169" spans="1:15">
      <c r="A18169" t="n">
        <v>175461</v>
      </c>
      <c r="B18169" s="51" t="n">
        <v>45</v>
      </c>
      <c r="C18169" s="7" t="n">
        <v>9</v>
      </c>
      <c r="D18169" s="7" t="n">
        <v>0.0020000000949949</v>
      </c>
      <c r="E18169" s="7" t="n">
        <v>0.0020000000949949</v>
      </c>
      <c r="F18169" s="7" t="n">
        <v>0.300000011920929</v>
      </c>
    </row>
    <row r="18170" spans="1:15">
      <c r="A18170" t="s">
        <v>4</v>
      </c>
      <c r="B18170" s="4" t="s">
        <v>5</v>
      </c>
      <c r="C18170" s="4" t="s">
        <v>11</v>
      </c>
    </row>
    <row r="18171" spans="1:15">
      <c r="A18171" t="n">
        <v>175475</v>
      </c>
      <c r="B18171" s="29" t="n">
        <v>16</v>
      </c>
      <c r="C18171" s="7" t="n">
        <v>1000</v>
      </c>
    </row>
    <row r="18172" spans="1:15">
      <c r="A18172" t="s">
        <v>4</v>
      </c>
      <c r="B18172" s="4" t="s">
        <v>5</v>
      </c>
      <c r="C18172" s="4" t="s">
        <v>7</v>
      </c>
      <c r="D18172" s="4" t="s">
        <v>11</v>
      </c>
      <c r="E18172" s="4" t="s">
        <v>8</v>
      </c>
      <c r="F18172" s="4" t="s">
        <v>8</v>
      </c>
      <c r="G18172" s="4" t="s">
        <v>8</v>
      </c>
      <c r="H18172" s="4" t="s">
        <v>8</v>
      </c>
    </row>
    <row r="18173" spans="1:15">
      <c r="A18173" t="n">
        <v>175478</v>
      </c>
      <c r="B18173" s="38" t="n">
        <v>51</v>
      </c>
      <c r="C18173" s="7" t="n">
        <v>3</v>
      </c>
      <c r="D18173" s="7" t="n">
        <v>1</v>
      </c>
      <c r="E18173" s="7" t="s">
        <v>372</v>
      </c>
      <c r="F18173" s="7" t="s">
        <v>218</v>
      </c>
      <c r="G18173" s="7" t="s">
        <v>78</v>
      </c>
      <c r="H18173" s="7" t="s">
        <v>79</v>
      </c>
    </row>
    <row r="18174" spans="1:15">
      <c r="A18174" t="s">
        <v>4</v>
      </c>
      <c r="B18174" s="4" t="s">
        <v>5</v>
      </c>
      <c r="C18174" s="4" t="s">
        <v>7</v>
      </c>
      <c r="D18174" s="4" t="s">
        <v>11</v>
      </c>
      <c r="E18174" s="4" t="s">
        <v>7</v>
      </c>
    </row>
    <row r="18175" spans="1:15">
      <c r="A18175" t="n">
        <v>175491</v>
      </c>
      <c r="B18175" s="81" t="n">
        <v>39</v>
      </c>
      <c r="C18175" s="7" t="n">
        <v>14</v>
      </c>
      <c r="D18175" s="7" t="n">
        <v>1</v>
      </c>
      <c r="E18175" s="7" t="n">
        <v>103</v>
      </c>
    </row>
    <row r="18176" spans="1:15">
      <c r="A18176" t="s">
        <v>4</v>
      </c>
      <c r="B18176" s="4" t="s">
        <v>5</v>
      </c>
      <c r="C18176" s="4" t="s">
        <v>11</v>
      </c>
      <c r="D18176" s="4" t="s">
        <v>13</v>
      </c>
      <c r="E18176" s="4" t="s">
        <v>13</v>
      </c>
      <c r="F18176" s="4" t="s">
        <v>13</v>
      </c>
      <c r="G18176" s="4" t="s">
        <v>11</v>
      </c>
      <c r="H18176" s="4" t="s">
        <v>11</v>
      </c>
    </row>
    <row r="18177" spans="1:8">
      <c r="A18177" t="n">
        <v>175496</v>
      </c>
      <c r="B18177" s="37" t="n">
        <v>60</v>
      </c>
      <c r="C18177" s="7" t="n">
        <v>1</v>
      </c>
      <c r="D18177" s="7" t="n">
        <v>0</v>
      </c>
      <c r="E18177" s="7" t="n">
        <v>0</v>
      </c>
      <c r="F18177" s="7" t="n">
        <v>0</v>
      </c>
      <c r="G18177" s="7" t="n">
        <v>2000</v>
      </c>
      <c r="H18177" s="7" t="n">
        <v>0</v>
      </c>
    </row>
    <row r="18178" spans="1:8">
      <c r="A18178" t="s">
        <v>4</v>
      </c>
      <c r="B18178" s="4" t="s">
        <v>5</v>
      </c>
      <c r="C18178" s="4" t="s">
        <v>11</v>
      </c>
    </row>
    <row r="18179" spans="1:8">
      <c r="A18179" t="n">
        <v>175515</v>
      </c>
      <c r="B18179" s="29" t="n">
        <v>16</v>
      </c>
      <c r="C18179" s="7" t="n">
        <v>1000</v>
      </c>
    </row>
    <row r="18180" spans="1:8">
      <c r="A18180" t="s">
        <v>4</v>
      </c>
      <c r="B18180" s="4" t="s">
        <v>5</v>
      </c>
      <c r="C18180" s="4" t="s">
        <v>7</v>
      </c>
      <c r="D18180" s="4" t="s">
        <v>11</v>
      </c>
      <c r="E18180" s="4" t="s">
        <v>8</v>
      </c>
    </row>
    <row r="18181" spans="1:8">
      <c r="A18181" t="n">
        <v>175518</v>
      </c>
      <c r="B18181" s="38" t="n">
        <v>51</v>
      </c>
      <c r="C18181" s="7" t="n">
        <v>4</v>
      </c>
      <c r="D18181" s="7" t="n">
        <v>0</v>
      </c>
      <c r="E18181" s="7" t="s">
        <v>173</v>
      </c>
    </row>
    <row r="18182" spans="1:8">
      <c r="A18182" t="s">
        <v>4</v>
      </c>
      <c r="B18182" s="4" t="s">
        <v>5</v>
      </c>
      <c r="C18182" s="4" t="s">
        <v>11</v>
      </c>
    </row>
    <row r="18183" spans="1:8">
      <c r="A18183" t="n">
        <v>175531</v>
      </c>
      <c r="B18183" s="29" t="n">
        <v>16</v>
      </c>
      <c r="C18183" s="7" t="n">
        <v>0</v>
      </c>
    </row>
    <row r="18184" spans="1:8">
      <c r="A18184" t="s">
        <v>4</v>
      </c>
      <c r="B18184" s="4" t="s">
        <v>5</v>
      </c>
      <c r="C18184" s="4" t="s">
        <v>11</v>
      </c>
      <c r="D18184" s="4" t="s">
        <v>7</v>
      </c>
      <c r="E18184" s="4" t="s">
        <v>15</v>
      </c>
      <c r="F18184" s="4" t="s">
        <v>55</v>
      </c>
      <c r="G18184" s="4" t="s">
        <v>7</v>
      </c>
      <c r="H18184" s="4" t="s">
        <v>7</v>
      </c>
      <c r="I18184" s="4" t="s">
        <v>7</v>
      </c>
      <c r="J18184" s="4" t="s">
        <v>15</v>
      </c>
      <c r="K18184" s="4" t="s">
        <v>55</v>
      </c>
      <c r="L18184" s="4" t="s">
        <v>7</v>
      </c>
      <c r="M18184" s="4" t="s">
        <v>7</v>
      </c>
      <c r="N18184" s="4" t="s">
        <v>7</v>
      </c>
      <c r="O18184" s="4" t="s">
        <v>15</v>
      </c>
      <c r="P18184" s="4" t="s">
        <v>55</v>
      </c>
      <c r="Q18184" s="4" t="s">
        <v>7</v>
      </c>
      <c r="R18184" s="4" t="s">
        <v>7</v>
      </c>
      <c r="S18184" s="4" t="s">
        <v>7</v>
      </c>
      <c r="T18184" s="4" t="s">
        <v>15</v>
      </c>
      <c r="U18184" s="4" t="s">
        <v>55</v>
      </c>
      <c r="V18184" s="4" t="s">
        <v>7</v>
      </c>
      <c r="W18184" s="4" t="s">
        <v>7</v>
      </c>
    </row>
    <row r="18185" spans="1:8">
      <c r="A18185" t="n">
        <v>175534</v>
      </c>
      <c r="B18185" s="55" t="n">
        <v>26</v>
      </c>
      <c r="C18185" s="7" t="n">
        <v>0</v>
      </c>
      <c r="D18185" s="7" t="n">
        <v>17</v>
      </c>
      <c r="E18185" s="7" t="n">
        <v>64515</v>
      </c>
      <c r="F18185" s="7" t="s">
        <v>1483</v>
      </c>
      <c r="G18185" s="7" t="n">
        <v>2</v>
      </c>
      <c r="H18185" s="7" t="n">
        <v>3</v>
      </c>
      <c r="I18185" s="7" t="n">
        <v>17</v>
      </c>
      <c r="J18185" s="7" t="n">
        <v>64516</v>
      </c>
      <c r="K18185" s="7" t="s">
        <v>1484</v>
      </c>
      <c r="L18185" s="7" t="n">
        <v>2</v>
      </c>
      <c r="M18185" s="7" t="n">
        <v>3</v>
      </c>
      <c r="N18185" s="7" t="n">
        <v>17</v>
      </c>
      <c r="O18185" s="7" t="n">
        <v>64517</v>
      </c>
      <c r="P18185" s="7" t="s">
        <v>1485</v>
      </c>
      <c r="Q18185" s="7" t="n">
        <v>2</v>
      </c>
      <c r="R18185" s="7" t="n">
        <v>3</v>
      </c>
      <c r="S18185" s="7" t="n">
        <v>17</v>
      </c>
      <c r="T18185" s="7" t="n">
        <v>64518</v>
      </c>
      <c r="U18185" s="7" t="s">
        <v>1486</v>
      </c>
      <c r="V18185" s="7" t="n">
        <v>2</v>
      </c>
      <c r="W18185" s="7" t="n">
        <v>0</v>
      </c>
    </row>
    <row r="18186" spans="1:8">
      <c r="A18186" t="s">
        <v>4</v>
      </c>
      <c r="B18186" s="4" t="s">
        <v>5</v>
      </c>
    </row>
    <row r="18187" spans="1:8">
      <c r="A18187" t="n">
        <v>175877</v>
      </c>
      <c r="B18187" s="27" t="n">
        <v>28</v>
      </c>
    </row>
    <row r="18188" spans="1:8">
      <c r="A18188" t="s">
        <v>4</v>
      </c>
      <c r="B18188" s="4" t="s">
        <v>5</v>
      </c>
      <c r="C18188" s="4" t="s">
        <v>7</v>
      </c>
      <c r="D18188" s="4" t="s">
        <v>11</v>
      </c>
      <c r="E18188" s="4" t="s">
        <v>11</v>
      </c>
      <c r="F18188" s="4" t="s">
        <v>7</v>
      </c>
    </row>
    <row r="18189" spans="1:8">
      <c r="A18189" t="n">
        <v>175878</v>
      </c>
      <c r="B18189" s="31" t="n">
        <v>25</v>
      </c>
      <c r="C18189" s="7" t="n">
        <v>1</v>
      </c>
      <c r="D18189" s="7" t="n">
        <v>65535</v>
      </c>
      <c r="E18189" s="7" t="n">
        <v>65535</v>
      </c>
      <c r="F18189" s="7" t="n">
        <v>0</v>
      </c>
    </row>
    <row r="18190" spans="1:8">
      <c r="A18190" t="s">
        <v>4</v>
      </c>
      <c r="B18190" s="4" t="s">
        <v>5</v>
      </c>
      <c r="C18190" s="4" t="s">
        <v>7</v>
      </c>
      <c r="D18190" s="4" t="s">
        <v>11</v>
      </c>
      <c r="E18190" s="4" t="s">
        <v>8</v>
      </c>
    </row>
    <row r="18191" spans="1:8">
      <c r="A18191" t="n">
        <v>175885</v>
      </c>
      <c r="B18191" s="38" t="n">
        <v>51</v>
      </c>
      <c r="C18191" s="7" t="n">
        <v>4</v>
      </c>
      <c r="D18191" s="7" t="n">
        <v>1</v>
      </c>
      <c r="E18191" s="7" t="s">
        <v>466</v>
      </c>
    </row>
    <row r="18192" spans="1:8">
      <c r="A18192" t="s">
        <v>4</v>
      </c>
      <c r="B18192" s="4" t="s">
        <v>5</v>
      </c>
      <c r="C18192" s="4" t="s">
        <v>11</v>
      </c>
    </row>
    <row r="18193" spans="1:23">
      <c r="A18193" t="n">
        <v>175899</v>
      </c>
      <c r="B18193" s="29" t="n">
        <v>16</v>
      </c>
      <c r="C18193" s="7" t="n">
        <v>0</v>
      </c>
    </row>
    <row r="18194" spans="1:23">
      <c r="A18194" t="s">
        <v>4</v>
      </c>
      <c r="B18194" s="4" t="s">
        <v>5</v>
      </c>
      <c r="C18194" s="4" t="s">
        <v>11</v>
      </c>
      <c r="D18194" s="4" t="s">
        <v>7</v>
      </c>
      <c r="E18194" s="4" t="s">
        <v>15</v>
      </c>
      <c r="F18194" s="4" t="s">
        <v>55</v>
      </c>
      <c r="G18194" s="4" t="s">
        <v>7</v>
      </c>
      <c r="H18194" s="4" t="s">
        <v>7</v>
      </c>
      <c r="I18194" s="4" t="s">
        <v>7</v>
      </c>
      <c r="J18194" s="4" t="s">
        <v>15</v>
      </c>
      <c r="K18194" s="4" t="s">
        <v>55</v>
      </c>
      <c r="L18194" s="4" t="s">
        <v>7</v>
      </c>
      <c r="M18194" s="4" t="s">
        <v>7</v>
      </c>
      <c r="N18194" s="4" t="s">
        <v>7</v>
      </c>
      <c r="O18194" s="4" t="s">
        <v>15</v>
      </c>
      <c r="P18194" s="4" t="s">
        <v>55</v>
      </c>
      <c r="Q18194" s="4" t="s">
        <v>7</v>
      </c>
      <c r="R18194" s="4" t="s">
        <v>7</v>
      </c>
      <c r="S18194" s="4" t="s">
        <v>7</v>
      </c>
      <c r="T18194" s="4" t="s">
        <v>15</v>
      </c>
      <c r="U18194" s="4" t="s">
        <v>55</v>
      </c>
      <c r="V18194" s="4" t="s">
        <v>7</v>
      </c>
      <c r="W18194" s="4" t="s">
        <v>7</v>
      </c>
      <c r="X18194" s="4" t="s">
        <v>7</v>
      </c>
      <c r="Y18194" s="4" t="s">
        <v>15</v>
      </c>
      <c r="Z18194" s="4" t="s">
        <v>55</v>
      </c>
      <c r="AA18194" s="4" t="s">
        <v>7</v>
      </c>
      <c r="AB18194" s="4" t="s">
        <v>7</v>
      </c>
      <c r="AC18194" s="4" t="s">
        <v>7</v>
      </c>
      <c r="AD18194" s="4" t="s">
        <v>15</v>
      </c>
      <c r="AE18194" s="4" t="s">
        <v>55</v>
      </c>
      <c r="AF18194" s="4" t="s">
        <v>7</v>
      </c>
      <c r="AG18194" s="4" t="s">
        <v>7</v>
      </c>
    </row>
    <row r="18195" spans="1:23">
      <c r="A18195" t="n">
        <v>175902</v>
      </c>
      <c r="B18195" s="55" t="n">
        <v>26</v>
      </c>
      <c r="C18195" s="7" t="n">
        <v>1</v>
      </c>
      <c r="D18195" s="7" t="n">
        <v>17</v>
      </c>
      <c r="E18195" s="7" t="n">
        <v>64519</v>
      </c>
      <c r="F18195" s="7" t="s">
        <v>1487</v>
      </c>
      <c r="G18195" s="7" t="n">
        <v>2</v>
      </c>
      <c r="H18195" s="7" t="n">
        <v>3</v>
      </c>
      <c r="I18195" s="7" t="n">
        <v>17</v>
      </c>
      <c r="J18195" s="7" t="n">
        <v>64520</v>
      </c>
      <c r="K18195" s="7" t="s">
        <v>1488</v>
      </c>
      <c r="L18195" s="7" t="n">
        <v>2</v>
      </c>
      <c r="M18195" s="7" t="n">
        <v>3</v>
      </c>
      <c r="N18195" s="7" t="n">
        <v>17</v>
      </c>
      <c r="O18195" s="7" t="n">
        <v>64521</v>
      </c>
      <c r="P18195" s="7" t="s">
        <v>1489</v>
      </c>
      <c r="Q18195" s="7" t="n">
        <v>2</v>
      </c>
      <c r="R18195" s="7" t="n">
        <v>3</v>
      </c>
      <c r="S18195" s="7" t="n">
        <v>17</v>
      </c>
      <c r="T18195" s="7" t="n">
        <v>64522</v>
      </c>
      <c r="U18195" s="7" t="s">
        <v>1490</v>
      </c>
      <c r="V18195" s="7" t="n">
        <v>2</v>
      </c>
      <c r="W18195" s="7" t="n">
        <v>3</v>
      </c>
      <c r="X18195" s="7" t="n">
        <v>17</v>
      </c>
      <c r="Y18195" s="7" t="n">
        <v>64523</v>
      </c>
      <c r="Z18195" s="7" t="s">
        <v>1491</v>
      </c>
      <c r="AA18195" s="7" t="n">
        <v>2</v>
      </c>
      <c r="AB18195" s="7" t="n">
        <v>3</v>
      </c>
      <c r="AC18195" s="7" t="n">
        <v>17</v>
      </c>
      <c r="AD18195" s="7" t="n">
        <v>64524</v>
      </c>
      <c r="AE18195" s="7" t="s">
        <v>1492</v>
      </c>
      <c r="AF18195" s="7" t="n">
        <v>2</v>
      </c>
      <c r="AG18195" s="7" t="n">
        <v>0</v>
      </c>
    </row>
    <row r="18196" spans="1:23">
      <c r="A18196" t="s">
        <v>4</v>
      </c>
      <c r="B18196" s="4" t="s">
        <v>5</v>
      </c>
    </row>
    <row r="18197" spans="1:23">
      <c r="A18197" t="n">
        <v>176496</v>
      </c>
      <c r="B18197" s="27" t="n">
        <v>28</v>
      </c>
    </row>
    <row r="18198" spans="1:23">
      <c r="A18198" t="s">
        <v>4</v>
      </c>
      <c r="B18198" s="4" t="s">
        <v>5</v>
      </c>
      <c r="C18198" s="4" t="s">
        <v>7</v>
      </c>
      <c r="D18198" s="4" t="s">
        <v>11</v>
      </c>
      <c r="E18198" s="4" t="s">
        <v>8</v>
      </c>
    </row>
    <row r="18199" spans="1:23">
      <c r="A18199" t="n">
        <v>176497</v>
      </c>
      <c r="B18199" s="38" t="n">
        <v>51</v>
      </c>
      <c r="C18199" s="7" t="n">
        <v>4</v>
      </c>
      <c r="D18199" s="7" t="n">
        <v>0</v>
      </c>
      <c r="E18199" s="7" t="s">
        <v>173</v>
      </c>
    </row>
    <row r="18200" spans="1:23">
      <c r="A18200" t="s">
        <v>4</v>
      </c>
      <c r="B18200" s="4" t="s">
        <v>5</v>
      </c>
      <c r="C18200" s="4" t="s">
        <v>11</v>
      </c>
    </row>
    <row r="18201" spans="1:23">
      <c r="A18201" t="n">
        <v>176510</v>
      </c>
      <c r="B18201" s="29" t="n">
        <v>16</v>
      </c>
      <c r="C18201" s="7" t="n">
        <v>0</v>
      </c>
    </row>
    <row r="18202" spans="1:23">
      <c r="A18202" t="s">
        <v>4</v>
      </c>
      <c r="B18202" s="4" t="s">
        <v>5</v>
      </c>
      <c r="C18202" s="4" t="s">
        <v>11</v>
      </c>
      <c r="D18202" s="4" t="s">
        <v>7</v>
      </c>
      <c r="E18202" s="4" t="s">
        <v>15</v>
      </c>
      <c r="F18202" s="4" t="s">
        <v>55</v>
      </c>
      <c r="G18202" s="4" t="s">
        <v>7</v>
      </c>
      <c r="H18202" s="4" t="s">
        <v>7</v>
      </c>
      <c r="I18202" s="4" t="s">
        <v>7</v>
      </c>
      <c r="J18202" s="4" t="s">
        <v>15</v>
      </c>
      <c r="K18202" s="4" t="s">
        <v>55</v>
      </c>
      <c r="L18202" s="4" t="s">
        <v>7</v>
      </c>
      <c r="M18202" s="4" t="s">
        <v>7</v>
      </c>
      <c r="N18202" s="4" t="s">
        <v>7</v>
      </c>
      <c r="O18202" s="4" t="s">
        <v>15</v>
      </c>
      <c r="P18202" s="4" t="s">
        <v>55</v>
      </c>
      <c r="Q18202" s="4" t="s">
        <v>7</v>
      </c>
      <c r="R18202" s="4" t="s">
        <v>7</v>
      </c>
      <c r="S18202" s="4" t="s">
        <v>7</v>
      </c>
      <c r="T18202" s="4" t="s">
        <v>15</v>
      </c>
      <c r="U18202" s="4" t="s">
        <v>55</v>
      </c>
      <c r="V18202" s="4" t="s">
        <v>7</v>
      </c>
      <c r="W18202" s="4" t="s">
        <v>7</v>
      </c>
    </row>
    <row r="18203" spans="1:23">
      <c r="A18203" t="n">
        <v>176513</v>
      </c>
      <c r="B18203" s="55" t="n">
        <v>26</v>
      </c>
      <c r="C18203" s="7" t="n">
        <v>0</v>
      </c>
      <c r="D18203" s="7" t="n">
        <v>17</v>
      </c>
      <c r="E18203" s="7" t="n">
        <v>64525</v>
      </c>
      <c r="F18203" s="7" t="s">
        <v>1493</v>
      </c>
      <c r="G18203" s="7" t="n">
        <v>2</v>
      </c>
      <c r="H18203" s="7" t="n">
        <v>3</v>
      </c>
      <c r="I18203" s="7" t="n">
        <v>17</v>
      </c>
      <c r="J18203" s="7" t="n">
        <v>64526</v>
      </c>
      <c r="K18203" s="7" t="s">
        <v>1494</v>
      </c>
      <c r="L18203" s="7" t="n">
        <v>2</v>
      </c>
      <c r="M18203" s="7" t="n">
        <v>3</v>
      </c>
      <c r="N18203" s="7" t="n">
        <v>17</v>
      </c>
      <c r="O18203" s="7" t="n">
        <v>64527</v>
      </c>
      <c r="P18203" s="7" t="s">
        <v>1495</v>
      </c>
      <c r="Q18203" s="7" t="n">
        <v>2</v>
      </c>
      <c r="R18203" s="7" t="n">
        <v>3</v>
      </c>
      <c r="S18203" s="7" t="n">
        <v>17</v>
      </c>
      <c r="T18203" s="7" t="n">
        <v>64528</v>
      </c>
      <c r="U18203" s="7" t="s">
        <v>1496</v>
      </c>
      <c r="V18203" s="7" t="n">
        <v>2</v>
      </c>
      <c r="W18203" s="7" t="n">
        <v>0</v>
      </c>
    </row>
    <row r="18204" spans="1:23">
      <c r="A18204" t="s">
        <v>4</v>
      </c>
      <c r="B18204" s="4" t="s">
        <v>5</v>
      </c>
    </row>
    <row r="18205" spans="1:23">
      <c r="A18205" t="n">
        <v>176804</v>
      </c>
      <c r="B18205" s="27" t="n">
        <v>28</v>
      </c>
    </row>
    <row r="18206" spans="1:23">
      <c r="A18206" t="s">
        <v>4</v>
      </c>
      <c r="B18206" s="4" t="s">
        <v>5</v>
      </c>
      <c r="C18206" s="4" t="s">
        <v>7</v>
      </c>
      <c r="D18206" s="4" t="s">
        <v>11</v>
      </c>
      <c r="E18206" s="4" t="s">
        <v>11</v>
      </c>
      <c r="F18206" s="4" t="s">
        <v>7</v>
      </c>
    </row>
    <row r="18207" spans="1:23">
      <c r="A18207" t="n">
        <v>176805</v>
      </c>
      <c r="B18207" s="31" t="n">
        <v>25</v>
      </c>
      <c r="C18207" s="7" t="n">
        <v>1</v>
      </c>
      <c r="D18207" s="7" t="n">
        <v>65535</v>
      </c>
      <c r="E18207" s="7" t="n">
        <v>65535</v>
      </c>
      <c r="F18207" s="7" t="n">
        <v>0</v>
      </c>
    </row>
    <row r="18208" spans="1:23">
      <c r="A18208" t="s">
        <v>4</v>
      </c>
      <c r="B18208" s="4" t="s">
        <v>5</v>
      </c>
      <c r="C18208" s="4" t="s">
        <v>7</v>
      </c>
      <c r="D18208" s="4" t="s">
        <v>11</v>
      </c>
      <c r="E18208" s="4" t="s">
        <v>8</v>
      </c>
      <c r="F18208" s="4" t="s">
        <v>13</v>
      </c>
    </row>
    <row r="18209" spans="1:33">
      <c r="A18209" t="n">
        <v>176812</v>
      </c>
      <c r="B18209" s="83" t="n">
        <v>128</v>
      </c>
      <c r="C18209" s="7" t="n">
        <v>255</v>
      </c>
      <c r="D18209" s="7" t="n">
        <v>1</v>
      </c>
      <c r="E18209" s="7" t="s">
        <v>1497</v>
      </c>
      <c r="F18209" s="7" t="n">
        <v>0.200000002980232</v>
      </c>
    </row>
    <row r="18210" spans="1:33">
      <c r="A18210" t="s">
        <v>4</v>
      </c>
      <c r="B18210" s="4" t="s">
        <v>5</v>
      </c>
      <c r="C18210" s="4" t="s">
        <v>7</v>
      </c>
      <c r="D18210" s="4" t="s">
        <v>11</v>
      </c>
      <c r="E18210" s="4" t="s">
        <v>8</v>
      </c>
      <c r="F18210" s="4" t="s">
        <v>13</v>
      </c>
    </row>
    <row r="18211" spans="1:33">
      <c r="A18211" t="n">
        <v>176829</v>
      </c>
      <c r="B18211" s="83" t="n">
        <v>128</v>
      </c>
      <c r="C18211" s="7" t="n">
        <v>255</v>
      </c>
      <c r="D18211" s="7" t="n">
        <v>1</v>
      </c>
      <c r="E18211" s="7" t="s">
        <v>1498</v>
      </c>
      <c r="F18211" s="7" t="n">
        <v>0.200000002980232</v>
      </c>
    </row>
    <row r="18212" spans="1:33">
      <c r="A18212" t="s">
        <v>4</v>
      </c>
      <c r="B18212" s="4" t="s">
        <v>5</v>
      </c>
      <c r="C18212" s="4" t="s">
        <v>7</v>
      </c>
      <c r="D18212" s="4" t="s">
        <v>11</v>
      </c>
      <c r="E18212" s="4" t="s">
        <v>8</v>
      </c>
      <c r="F18212" s="4" t="s">
        <v>13</v>
      </c>
    </row>
    <row r="18213" spans="1:33">
      <c r="A18213" t="n">
        <v>176846</v>
      </c>
      <c r="B18213" s="83" t="n">
        <v>128</v>
      </c>
      <c r="C18213" s="7" t="n">
        <v>255</v>
      </c>
      <c r="D18213" s="7" t="n">
        <v>1</v>
      </c>
      <c r="E18213" s="7" t="s">
        <v>1499</v>
      </c>
      <c r="F18213" s="7" t="n">
        <v>0.200000002980232</v>
      </c>
    </row>
    <row r="18214" spans="1:33">
      <c r="A18214" t="s">
        <v>4</v>
      </c>
      <c r="B18214" s="4" t="s">
        <v>5</v>
      </c>
      <c r="C18214" s="4" t="s">
        <v>7</v>
      </c>
      <c r="D18214" s="4" t="s">
        <v>11</v>
      </c>
      <c r="E18214" s="4" t="s">
        <v>8</v>
      </c>
      <c r="F18214" s="4" t="s">
        <v>13</v>
      </c>
    </row>
    <row r="18215" spans="1:33">
      <c r="A18215" t="n">
        <v>176863</v>
      </c>
      <c r="B18215" s="83" t="n">
        <v>128</v>
      </c>
      <c r="C18215" s="7" t="n">
        <v>255</v>
      </c>
      <c r="D18215" s="7" t="n">
        <v>1</v>
      </c>
      <c r="E18215" s="7" t="s">
        <v>1500</v>
      </c>
      <c r="F18215" s="7" t="n">
        <v>0.200000002980232</v>
      </c>
    </row>
    <row r="18216" spans="1:33">
      <c r="A18216" t="s">
        <v>4</v>
      </c>
      <c r="B18216" s="4" t="s">
        <v>5</v>
      </c>
      <c r="C18216" s="4" t="s">
        <v>7</v>
      </c>
      <c r="D18216" s="4" t="s">
        <v>11</v>
      </c>
      <c r="E18216" s="4" t="s">
        <v>8</v>
      </c>
      <c r="F18216" s="4" t="s">
        <v>13</v>
      </c>
    </row>
    <row r="18217" spans="1:33">
      <c r="A18217" t="n">
        <v>176880</v>
      </c>
      <c r="B18217" s="83" t="n">
        <v>128</v>
      </c>
      <c r="C18217" s="7" t="n">
        <v>255</v>
      </c>
      <c r="D18217" s="7" t="n">
        <v>1</v>
      </c>
      <c r="E18217" s="7" t="s">
        <v>1501</v>
      </c>
      <c r="F18217" s="7" t="n">
        <v>0.200000002980232</v>
      </c>
    </row>
    <row r="18218" spans="1:33">
      <c r="A18218" t="s">
        <v>4</v>
      </c>
      <c r="B18218" s="4" t="s">
        <v>5</v>
      </c>
      <c r="C18218" s="4" t="s">
        <v>7</v>
      </c>
      <c r="D18218" s="4" t="s">
        <v>11</v>
      </c>
      <c r="E18218" s="4" t="s">
        <v>8</v>
      </c>
      <c r="F18218" s="4" t="s">
        <v>13</v>
      </c>
    </row>
    <row r="18219" spans="1:33">
      <c r="A18219" t="n">
        <v>176898</v>
      </c>
      <c r="B18219" s="83" t="n">
        <v>128</v>
      </c>
      <c r="C18219" s="7" t="n">
        <v>255</v>
      </c>
      <c r="D18219" s="7" t="n">
        <v>1</v>
      </c>
      <c r="E18219" s="7" t="s">
        <v>1502</v>
      </c>
      <c r="F18219" s="7" t="n">
        <v>0.200000002980232</v>
      </c>
    </row>
    <row r="18220" spans="1:33">
      <c r="A18220" t="s">
        <v>4</v>
      </c>
      <c r="B18220" s="4" t="s">
        <v>5</v>
      </c>
      <c r="C18220" s="4" t="s">
        <v>7</v>
      </c>
      <c r="D18220" s="4" t="s">
        <v>11</v>
      </c>
      <c r="E18220" s="4" t="s">
        <v>8</v>
      </c>
      <c r="F18220" s="4" t="s">
        <v>13</v>
      </c>
    </row>
    <row r="18221" spans="1:33">
      <c r="A18221" t="n">
        <v>176916</v>
      </c>
      <c r="B18221" s="83" t="n">
        <v>128</v>
      </c>
      <c r="C18221" s="7" t="n">
        <v>255</v>
      </c>
      <c r="D18221" s="7" t="n">
        <v>1</v>
      </c>
      <c r="E18221" s="7" t="s">
        <v>1503</v>
      </c>
      <c r="F18221" s="7" t="n">
        <v>0.200000002980232</v>
      </c>
    </row>
    <row r="18222" spans="1:33">
      <c r="A18222" t="s">
        <v>4</v>
      </c>
      <c r="B18222" s="4" t="s">
        <v>5</v>
      </c>
      <c r="C18222" s="4" t="s">
        <v>7</v>
      </c>
      <c r="D18222" s="4" t="s">
        <v>11</v>
      </c>
      <c r="E18222" s="4" t="s">
        <v>8</v>
      </c>
      <c r="F18222" s="4" t="s">
        <v>13</v>
      </c>
    </row>
    <row r="18223" spans="1:33">
      <c r="A18223" t="n">
        <v>176934</v>
      </c>
      <c r="B18223" s="83" t="n">
        <v>128</v>
      </c>
      <c r="C18223" s="7" t="n">
        <v>255</v>
      </c>
      <c r="D18223" s="7" t="n">
        <v>1</v>
      </c>
      <c r="E18223" s="7" t="s">
        <v>1504</v>
      </c>
      <c r="F18223" s="7" t="n">
        <v>0.200000002980232</v>
      </c>
    </row>
    <row r="18224" spans="1:33">
      <c r="A18224" t="s">
        <v>4</v>
      </c>
      <c r="B18224" s="4" t="s">
        <v>5</v>
      </c>
      <c r="C18224" s="4" t="s">
        <v>11</v>
      </c>
      <c r="D18224" s="4" t="s">
        <v>13</v>
      </c>
      <c r="E18224" s="4" t="s">
        <v>13</v>
      </c>
      <c r="F18224" s="4" t="s">
        <v>13</v>
      </c>
      <c r="G18224" s="4" t="s">
        <v>11</v>
      </c>
      <c r="H18224" s="4" t="s">
        <v>11</v>
      </c>
    </row>
    <row r="18225" spans="1:8">
      <c r="A18225" t="n">
        <v>176952</v>
      </c>
      <c r="B18225" s="37" t="n">
        <v>60</v>
      </c>
      <c r="C18225" s="7" t="n">
        <v>0</v>
      </c>
      <c r="D18225" s="7" t="n">
        <v>0</v>
      </c>
      <c r="E18225" s="7" t="n">
        <v>0</v>
      </c>
      <c r="F18225" s="7" t="n">
        <v>0</v>
      </c>
      <c r="G18225" s="7" t="n">
        <v>1000</v>
      </c>
      <c r="H18225" s="7" t="n">
        <v>0</v>
      </c>
    </row>
    <row r="18226" spans="1:8">
      <c r="A18226" t="s">
        <v>4</v>
      </c>
      <c r="B18226" s="4" t="s">
        <v>5</v>
      </c>
      <c r="C18226" s="4" t="s">
        <v>7</v>
      </c>
      <c r="D18226" s="4" t="s">
        <v>11</v>
      </c>
      <c r="E18226" s="4" t="s">
        <v>8</v>
      </c>
      <c r="F18226" s="4" t="s">
        <v>8</v>
      </c>
      <c r="G18226" s="4" t="s">
        <v>8</v>
      </c>
      <c r="H18226" s="4" t="s">
        <v>8</v>
      </c>
    </row>
    <row r="18227" spans="1:8">
      <c r="A18227" t="n">
        <v>176971</v>
      </c>
      <c r="B18227" s="38" t="n">
        <v>51</v>
      </c>
      <c r="C18227" s="7" t="n">
        <v>3</v>
      </c>
      <c r="D18227" s="7" t="n">
        <v>1</v>
      </c>
      <c r="E18227" s="7" t="s">
        <v>371</v>
      </c>
      <c r="F18227" s="7" t="s">
        <v>232</v>
      </c>
      <c r="G18227" s="7" t="s">
        <v>16</v>
      </c>
      <c r="H18227" s="7" t="s">
        <v>68</v>
      </c>
    </row>
    <row r="18228" spans="1:8">
      <c r="A18228" t="s">
        <v>4</v>
      </c>
      <c r="B18228" s="4" t="s">
        <v>5</v>
      </c>
      <c r="C18228" s="4" t="s">
        <v>11</v>
      </c>
      <c r="D18228" s="4" t="s">
        <v>8</v>
      </c>
      <c r="E18228" s="4" t="s">
        <v>7</v>
      </c>
      <c r="F18228" s="4" t="s">
        <v>7</v>
      </c>
      <c r="G18228" s="4" t="s">
        <v>7</v>
      </c>
      <c r="H18228" s="4" t="s">
        <v>7</v>
      </c>
      <c r="I18228" s="4" t="s">
        <v>7</v>
      </c>
      <c r="J18228" s="4" t="s">
        <v>13</v>
      </c>
      <c r="K18228" s="4" t="s">
        <v>13</v>
      </c>
      <c r="L18228" s="4" t="s">
        <v>13</v>
      </c>
      <c r="M18228" s="4" t="s">
        <v>13</v>
      </c>
      <c r="N18228" s="4" t="s">
        <v>7</v>
      </c>
    </row>
    <row r="18229" spans="1:8">
      <c r="A18229" t="n">
        <v>176982</v>
      </c>
      <c r="B18229" s="82" t="n">
        <v>34</v>
      </c>
      <c r="C18229" s="7" t="n">
        <v>1</v>
      </c>
      <c r="D18229" s="7" t="s">
        <v>1505</v>
      </c>
      <c r="E18229" s="7" t="n">
        <v>0</v>
      </c>
      <c r="F18229" s="7" t="n">
        <v>1</v>
      </c>
      <c r="G18229" s="7" t="n">
        <v>0</v>
      </c>
      <c r="H18229" s="7" t="n">
        <v>0</v>
      </c>
      <c r="I18229" s="7" t="n">
        <v>0</v>
      </c>
      <c r="J18229" s="7" t="n">
        <v>0.400000005960464</v>
      </c>
      <c r="K18229" s="7" t="n">
        <v>-1</v>
      </c>
      <c r="L18229" s="7" t="n">
        <v>-1</v>
      </c>
      <c r="M18229" s="7" t="n">
        <v>-1</v>
      </c>
      <c r="N18229" s="7" t="n">
        <v>0</v>
      </c>
    </row>
    <row r="18230" spans="1:8">
      <c r="A18230" t="s">
        <v>4</v>
      </c>
      <c r="B18230" s="4" t="s">
        <v>5</v>
      </c>
      <c r="C18230" s="4" t="s">
        <v>11</v>
      </c>
      <c r="D18230" s="4" t="s">
        <v>8</v>
      </c>
      <c r="E18230" s="4" t="s">
        <v>7</v>
      </c>
      <c r="F18230" s="4" t="s">
        <v>7</v>
      </c>
      <c r="G18230" s="4" t="s">
        <v>7</v>
      </c>
      <c r="H18230" s="4" t="s">
        <v>7</v>
      </c>
      <c r="I18230" s="4" t="s">
        <v>7</v>
      </c>
      <c r="J18230" s="4" t="s">
        <v>13</v>
      </c>
      <c r="K18230" s="4" t="s">
        <v>13</v>
      </c>
      <c r="L18230" s="4" t="s">
        <v>13</v>
      </c>
      <c r="M18230" s="4" t="s">
        <v>13</v>
      </c>
      <c r="N18230" s="4" t="s">
        <v>7</v>
      </c>
    </row>
    <row r="18231" spans="1:8">
      <c r="A18231" t="n">
        <v>177015</v>
      </c>
      <c r="B18231" s="82" t="n">
        <v>34</v>
      </c>
      <c r="C18231" s="7" t="n">
        <v>0</v>
      </c>
      <c r="D18231" s="7" t="s">
        <v>1505</v>
      </c>
      <c r="E18231" s="7" t="n">
        <v>0</v>
      </c>
      <c r="F18231" s="7" t="n">
        <v>1</v>
      </c>
      <c r="G18231" s="7" t="n">
        <v>0</v>
      </c>
      <c r="H18231" s="7" t="n">
        <v>0</v>
      </c>
      <c r="I18231" s="7" t="n">
        <v>0</v>
      </c>
      <c r="J18231" s="7" t="n">
        <v>0.400000005960464</v>
      </c>
      <c r="K18231" s="7" t="n">
        <v>-1</v>
      </c>
      <c r="L18231" s="7" t="n">
        <v>-1</v>
      </c>
      <c r="M18231" s="7" t="n">
        <v>-1</v>
      </c>
      <c r="N18231" s="7" t="n">
        <v>0</v>
      </c>
    </row>
    <row r="18232" spans="1:8">
      <c r="A18232" t="s">
        <v>4</v>
      </c>
      <c r="B18232" s="4" t="s">
        <v>5</v>
      </c>
      <c r="C18232" s="4" t="s">
        <v>11</v>
      </c>
    </row>
    <row r="18233" spans="1:8">
      <c r="A18233" t="n">
        <v>177048</v>
      </c>
      <c r="B18233" s="29" t="n">
        <v>16</v>
      </c>
      <c r="C18233" s="7" t="n">
        <v>1100</v>
      </c>
    </row>
    <row r="18234" spans="1:8">
      <c r="A18234" t="s">
        <v>4</v>
      </c>
      <c r="B18234" s="4" t="s">
        <v>5</v>
      </c>
      <c r="C18234" s="4" t="s">
        <v>7</v>
      </c>
      <c r="D18234" s="4" t="s">
        <v>11</v>
      </c>
      <c r="E18234" s="4" t="s">
        <v>8</v>
      </c>
    </row>
    <row r="18235" spans="1:8">
      <c r="A18235" t="n">
        <v>177051</v>
      </c>
      <c r="B18235" s="38" t="n">
        <v>51</v>
      </c>
      <c r="C18235" s="7" t="n">
        <v>4</v>
      </c>
      <c r="D18235" s="7" t="n">
        <v>1</v>
      </c>
      <c r="E18235" s="7" t="s">
        <v>359</v>
      </c>
    </row>
    <row r="18236" spans="1:8">
      <c r="A18236" t="s">
        <v>4</v>
      </c>
      <c r="B18236" s="4" t="s">
        <v>5</v>
      </c>
      <c r="C18236" s="4" t="s">
        <v>11</v>
      </c>
    </row>
    <row r="18237" spans="1:8">
      <c r="A18237" t="n">
        <v>177070</v>
      </c>
      <c r="B18237" s="29" t="n">
        <v>16</v>
      </c>
      <c r="C18237" s="7" t="n">
        <v>0</v>
      </c>
    </row>
    <row r="18238" spans="1:8">
      <c r="A18238" t="s">
        <v>4</v>
      </c>
      <c r="B18238" s="4" t="s">
        <v>5</v>
      </c>
      <c r="C18238" s="4" t="s">
        <v>11</v>
      </c>
      <c r="D18238" s="4" t="s">
        <v>7</v>
      </c>
      <c r="E18238" s="4" t="s">
        <v>15</v>
      </c>
      <c r="F18238" s="4" t="s">
        <v>55</v>
      </c>
      <c r="G18238" s="4" t="s">
        <v>7</v>
      </c>
      <c r="H18238" s="4" t="s">
        <v>7</v>
      </c>
      <c r="I18238" s="4" t="s">
        <v>7</v>
      </c>
    </row>
    <row r="18239" spans="1:8">
      <c r="A18239" t="n">
        <v>177073</v>
      </c>
      <c r="B18239" s="55" t="n">
        <v>26</v>
      </c>
      <c r="C18239" s="7" t="n">
        <v>1</v>
      </c>
      <c r="D18239" s="7" t="n">
        <v>17</v>
      </c>
      <c r="E18239" s="7" t="n">
        <v>64529</v>
      </c>
      <c r="F18239" s="7" t="s">
        <v>1506</v>
      </c>
      <c r="G18239" s="7" t="n">
        <v>8</v>
      </c>
      <c r="H18239" s="7" t="n">
        <v>2</v>
      </c>
      <c r="I18239" s="7" t="n">
        <v>0</v>
      </c>
    </row>
    <row r="18240" spans="1:8">
      <c r="A18240" t="s">
        <v>4</v>
      </c>
      <c r="B18240" s="4" t="s">
        <v>5</v>
      </c>
      <c r="C18240" s="4" t="s">
        <v>11</v>
      </c>
      <c r="D18240" s="4" t="s">
        <v>15</v>
      </c>
    </row>
    <row r="18241" spans="1:14">
      <c r="A18241" t="n">
        <v>177115</v>
      </c>
      <c r="B18241" s="44" t="n">
        <v>98</v>
      </c>
      <c r="C18241" s="7" t="n">
        <v>1</v>
      </c>
      <c r="D18241" s="7" t="n">
        <v>1045220557</v>
      </c>
    </row>
    <row r="18242" spans="1:14">
      <c r="A18242" t="s">
        <v>4</v>
      </c>
      <c r="B18242" s="4" t="s">
        <v>5</v>
      </c>
      <c r="C18242" s="4" t="s">
        <v>11</v>
      </c>
      <c r="D18242" s="4" t="s">
        <v>15</v>
      </c>
    </row>
    <row r="18243" spans="1:14">
      <c r="A18243" t="n">
        <v>177122</v>
      </c>
      <c r="B18243" s="44" t="n">
        <v>98</v>
      </c>
      <c r="C18243" s="7" t="n">
        <v>0</v>
      </c>
      <c r="D18243" s="7" t="n">
        <v>1045220557</v>
      </c>
    </row>
    <row r="18244" spans="1:14">
      <c r="A18244" t="s">
        <v>4</v>
      </c>
      <c r="B18244" s="4" t="s">
        <v>5</v>
      </c>
      <c r="C18244" s="4" t="s">
        <v>11</v>
      </c>
    </row>
    <row r="18245" spans="1:14">
      <c r="A18245" t="n">
        <v>177129</v>
      </c>
      <c r="B18245" s="29" t="n">
        <v>16</v>
      </c>
      <c r="C18245" s="7" t="n">
        <v>2700</v>
      </c>
    </row>
    <row r="18246" spans="1:14">
      <c r="A18246" t="s">
        <v>4</v>
      </c>
      <c r="B18246" s="4" t="s">
        <v>5</v>
      </c>
      <c r="C18246" s="4" t="s">
        <v>7</v>
      </c>
      <c r="D18246" s="4" t="s">
        <v>11</v>
      </c>
      <c r="E18246" s="4" t="s">
        <v>13</v>
      </c>
    </row>
    <row r="18247" spans="1:14">
      <c r="A18247" t="n">
        <v>177132</v>
      </c>
      <c r="B18247" s="23" t="n">
        <v>58</v>
      </c>
      <c r="C18247" s="7" t="n">
        <v>0</v>
      </c>
      <c r="D18247" s="7" t="n">
        <v>2000</v>
      </c>
      <c r="E18247" s="7" t="n">
        <v>1</v>
      </c>
    </row>
    <row r="18248" spans="1:14">
      <c r="A18248" t="s">
        <v>4</v>
      </c>
      <c r="B18248" s="4" t="s">
        <v>5</v>
      </c>
      <c r="C18248" s="4" t="s">
        <v>11</v>
      </c>
      <c r="D18248" s="4" t="s">
        <v>7</v>
      </c>
    </row>
    <row r="18249" spans="1:14">
      <c r="A18249" t="n">
        <v>177140</v>
      </c>
      <c r="B18249" s="68" t="n">
        <v>89</v>
      </c>
      <c r="C18249" s="7" t="n">
        <v>1</v>
      </c>
      <c r="D18249" s="7" t="n">
        <v>0</v>
      </c>
    </row>
    <row r="18250" spans="1:14">
      <c r="A18250" t="s">
        <v>4</v>
      </c>
      <c r="B18250" s="4" t="s">
        <v>5</v>
      </c>
      <c r="C18250" s="4" t="s">
        <v>7</v>
      </c>
      <c r="D18250" s="4" t="s">
        <v>11</v>
      </c>
      <c r="E18250" s="4" t="s">
        <v>8</v>
      </c>
      <c r="F18250" s="4" t="s">
        <v>8</v>
      </c>
      <c r="G18250" s="4" t="s">
        <v>8</v>
      </c>
      <c r="H18250" s="4" t="s">
        <v>8</v>
      </c>
    </row>
    <row r="18251" spans="1:14">
      <c r="A18251" t="n">
        <v>177144</v>
      </c>
      <c r="B18251" s="38" t="n">
        <v>51</v>
      </c>
      <c r="C18251" s="7" t="n">
        <v>3</v>
      </c>
      <c r="D18251" s="7" t="n">
        <v>1</v>
      </c>
      <c r="E18251" s="7" t="s">
        <v>372</v>
      </c>
      <c r="F18251" s="7" t="s">
        <v>155</v>
      </c>
      <c r="G18251" s="7" t="s">
        <v>16</v>
      </c>
      <c r="H18251" s="7" t="s">
        <v>86</v>
      </c>
    </row>
    <row r="18252" spans="1:14">
      <c r="A18252" t="s">
        <v>4</v>
      </c>
      <c r="B18252" s="4" t="s">
        <v>5</v>
      </c>
      <c r="C18252" s="4" t="s">
        <v>11</v>
      </c>
      <c r="D18252" s="4" t="s">
        <v>15</v>
      </c>
    </row>
    <row r="18253" spans="1:14">
      <c r="A18253" t="n">
        <v>177155</v>
      </c>
      <c r="B18253" s="44" t="n">
        <v>98</v>
      </c>
      <c r="C18253" s="7" t="n">
        <v>1</v>
      </c>
      <c r="D18253" s="7" t="n">
        <v>1056964608</v>
      </c>
    </row>
    <row r="18254" spans="1:14">
      <c r="A18254" t="s">
        <v>4</v>
      </c>
      <c r="B18254" s="4" t="s">
        <v>5</v>
      </c>
      <c r="C18254" s="4" t="s">
        <v>11</v>
      </c>
      <c r="D18254" s="4" t="s">
        <v>15</v>
      </c>
    </row>
    <row r="18255" spans="1:14">
      <c r="A18255" t="n">
        <v>177162</v>
      </c>
      <c r="B18255" s="44" t="n">
        <v>98</v>
      </c>
      <c r="C18255" s="7" t="n">
        <v>0</v>
      </c>
      <c r="D18255" s="7" t="n">
        <v>1056964608</v>
      </c>
    </row>
    <row r="18256" spans="1:14">
      <c r="A18256" t="s">
        <v>4</v>
      </c>
      <c r="B18256" s="4" t="s">
        <v>5</v>
      </c>
      <c r="C18256" s="4" t="s">
        <v>7</v>
      </c>
      <c r="D18256" s="4" t="s">
        <v>11</v>
      </c>
    </row>
    <row r="18257" spans="1:8">
      <c r="A18257" t="n">
        <v>177169</v>
      </c>
      <c r="B18257" s="23" t="n">
        <v>58</v>
      </c>
      <c r="C18257" s="7" t="n">
        <v>255</v>
      </c>
      <c r="D18257" s="7" t="n">
        <v>0</v>
      </c>
    </row>
    <row r="18258" spans="1:8">
      <c r="A18258" t="s">
        <v>4</v>
      </c>
      <c r="B18258" s="4" t="s">
        <v>5</v>
      </c>
      <c r="C18258" s="4" t="s">
        <v>11</v>
      </c>
    </row>
    <row r="18259" spans="1:8">
      <c r="A18259" t="n">
        <v>177173</v>
      </c>
      <c r="B18259" s="29" t="n">
        <v>16</v>
      </c>
      <c r="C18259" s="7" t="n">
        <v>2000</v>
      </c>
    </row>
    <row r="18260" spans="1:8">
      <c r="A18260" t="s">
        <v>4</v>
      </c>
      <c r="B18260" s="4" t="s">
        <v>5</v>
      </c>
      <c r="C18260" s="4" t="s">
        <v>11</v>
      </c>
    </row>
    <row r="18261" spans="1:8">
      <c r="A18261" t="n">
        <v>177176</v>
      </c>
      <c r="B18261" s="29" t="n">
        <v>16</v>
      </c>
      <c r="C18261" s="7" t="n">
        <v>0</v>
      </c>
    </row>
    <row r="18262" spans="1:8">
      <c r="A18262" t="s">
        <v>4</v>
      </c>
      <c r="B18262" s="4" t="s">
        <v>5</v>
      </c>
      <c r="C18262" s="4" t="s">
        <v>11</v>
      </c>
      <c r="D18262" s="4" t="s">
        <v>13</v>
      </c>
      <c r="E18262" s="4" t="s">
        <v>13</v>
      </c>
      <c r="F18262" s="4" t="s">
        <v>13</v>
      </c>
      <c r="G18262" s="4" t="s">
        <v>13</v>
      </c>
    </row>
    <row r="18263" spans="1:8">
      <c r="A18263" t="n">
        <v>177179</v>
      </c>
      <c r="B18263" s="36" t="n">
        <v>46</v>
      </c>
      <c r="C18263" s="7" t="n">
        <v>1</v>
      </c>
      <c r="D18263" s="7" t="n">
        <v>7.25</v>
      </c>
      <c r="E18263" s="7" t="n">
        <v>10.0100002288818</v>
      </c>
      <c r="F18263" s="7" t="n">
        <v>47.5800018310547</v>
      </c>
      <c r="G18263" s="7" t="n">
        <v>270</v>
      </c>
    </row>
    <row r="18264" spans="1:8">
      <c r="A18264" t="s">
        <v>4</v>
      </c>
      <c r="B18264" s="4" t="s">
        <v>5</v>
      </c>
      <c r="C18264" s="4" t="s">
        <v>11</v>
      </c>
      <c r="D18264" s="4" t="s">
        <v>13</v>
      </c>
      <c r="E18264" s="4" t="s">
        <v>13</v>
      </c>
      <c r="F18264" s="4" t="s">
        <v>13</v>
      </c>
      <c r="G18264" s="4" t="s">
        <v>13</v>
      </c>
    </row>
    <row r="18265" spans="1:8">
      <c r="A18265" t="n">
        <v>177198</v>
      </c>
      <c r="B18265" s="36" t="n">
        <v>46</v>
      </c>
      <c r="C18265" s="7" t="n">
        <v>0</v>
      </c>
      <c r="D18265" s="7" t="n">
        <v>6.48999977111816</v>
      </c>
      <c r="E18265" s="7" t="n">
        <v>10.0100002288818</v>
      </c>
      <c r="F18265" s="7" t="n">
        <v>47.6699981689453</v>
      </c>
      <c r="G18265" s="7" t="n">
        <v>100.400001525879</v>
      </c>
    </row>
    <row r="18266" spans="1:8">
      <c r="A18266" t="s">
        <v>4</v>
      </c>
      <c r="B18266" s="4" t="s">
        <v>5</v>
      </c>
      <c r="C18266" s="4" t="s">
        <v>11</v>
      </c>
      <c r="D18266" s="4" t="s">
        <v>15</v>
      </c>
    </row>
    <row r="18267" spans="1:8">
      <c r="A18267" t="n">
        <v>177217</v>
      </c>
      <c r="B18267" s="44" t="n">
        <v>98</v>
      </c>
      <c r="C18267" s="7" t="n">
        <v>0</v>
      </c>
      <c r="D18267" s="7" t="n">
        <v>1065353216</v>
      </c>
    </row>
    <row r="18268" spans="1:8">
      <c r="A18268" t="s">
        <v>4</v>
      </c>
      <c r="B18268" s="4" t="s">
        <v>5</v>
      </c>
      <c r="C18268" s="4" t="s">
        <v>11</v>
      </c>
      <c r="D18268" s="4" t="s">
        <v>15</v>
      </c>
    </row>
    <row r="18269" spans="1:8">
      <c r="A18269" t="n">
        <v>177224</v>
      </c>
      <c r="B18269" s="44" t="n">
        <v>98</v>
      </c>
      <c r="C18269" s="7" t="n">
        <v>1</v>
      </c>
      <c r="D18269" s="7" t="n">
        <v>1065353216</v>
      </c>
    </row>
    <row r="18270" spans="1:8">
      <c r="A18270" t="s">
        <v>4</v>
      </c>
      <c r="B18270" s="4" t="s">
        <v>5</v>
      </c>
      <c r="C18270" s="4" t="s">
        <v>11</v>
      </c>
      <c r="D18270" s="4" t="s">
        <v>7</v>
      </c>
      <c r="E18270" s="4" t="s">
        <v>8</v>
      </c>
      <c r="F18270" s="4" t="s">
        <v>13</v>
      </c>
      <c r="G18270" s="4" t="s">
        <v>13</v>
      </c>
      <c r="H18270" s="4" t="s">
        <v>13</v>
      </c>
    </row>
    <row r="18271" spans="1:8">
      <c r="A18271" t="n">
        <v>177231</v>
      </c>
      <c r="B18271" s="42" t="n">
        <v>48</v>
      </c>
      <c r="C18271" s="7" t="n">
        <v>0</v>
      </c>
      <c r="D18271" s="7" t="n">
        <v>0</v>
      </c>
      <c r="E18271" s="7" t="s">
        <v>275</v>
      </c>
      <c r="F18271" s="7" t="n">
        <v>0</v>
      </c>
      <c r="G18271" s="7" t="n">
        <v>1</v>
      </c>
      <c r="H18271" s="7" t="n">
        <v>0</v>
      </c>
    </row>
    <row r="18272" spans="1:8">
      <c r="A18272" t="s">
        <v>4</v>
      </c>
      <c r="B18272" s="4" t="s">
        <v>5</v>
      </c>
      <c r="C18272" s="4" t="s">
        <v>11</v>
      </c>
      <c r="D18272" s="4" t="s">
        <v>7</v>
      </c>
      <c r="E18272" s="4" t="s">
        <v>8</v>
      </c>
      <c r="F18272" s="4" t="s">
        <v>13</v>
      </c>
      <c r="G18272" s="4" t="s">
        <v>13</v>
      </c>
      <c r="H18272" s="4" t="s">
        <v>13</v>
      </c>
    </row>
    <row r="18273" spans="1:8">
      <c r="A18273" t="n">
        <v>177256</v>
      </c>
      <c r="B18273" s="42" t="n">
        <v>48</v>
      </c>
      <c r="C18273" s="7" t="n">
        <v>1</v>
      </c>
      <c r="D18273" s="7" t="n">
        <v>0</v>
      </c>
      <c r="E18273" s="7" t="s">
        <v>106</v>
      </c>
      <c r="F18273" s="7" t="n">
        <v>0</v>
      </c>
      <c r="G18273" s="7" t="n">
        <v>1</v>
      </c>
      <c r="H18273" s="7" t="n">
        <v>0</v>
      </c>
    </row>
    <row r="18274" spans="1:8">
      <c r="A18274" t="s">
        <v>4</v>
      </c>
      <c r="B18274" s="4" t="s">
        <v>5</v>
      </c>
      <c r="C18274" s="4" t="s">
        <v>7</v>
      </c>
      <c r="D18274" s="4" t="s">
        <v>11</v>
      </c>
      <c r="E18274" s="4" t="s">
        <v>8</v>
      </c>
      <c r="F18274" s="4" t="s">
        <v>8</v>
      </c>
      <c r="G18274" s="4" t="s">
        <v>8</v>
      </c>
      <c r="H18274" s="4" t="s">
        <v>8</v>
      </c>
    </row>
    <row r="18275" spans="1:8">
      <c r="A18275" t="n">
        <v>177280</v>
      </c>
      <c r="B18275" s="38" t="n">
        <v>51</v>
      </c>
      <c r="C18275" s="7" t="n">
        <v>3</v>
      </c>
      <c r="D18275" s="7" t="n">
        <v>1</v>
      </c>
      <c r="E18275" s="7" t="s">
        <v>372</v>
      </c>
      <c r="F18275" s="7" t="s">
        <v>79</v>
      </c>
      <c r="G18275" s="7" t="s">
        <v>16</v>
      </c>
      <c r="H18275" s="7" t="s">
        <v>68</v>
      </c>
    </row>
    <row r="18276" spans="1:8">
      <c r="A18276" t="s">
        <v>4</v>
      </c>
      <c r="B18276" s="4" t="s">
        <v>5</v>
      </c>
      <c r="C18276" s="4" t="s">
        <v>11</v>
      </c>
    </row>
    <row r="18277" spans="1:8">
      <c r="A18277" t="n">
        <v>177291</v>
      </c>
      <c r="B18277" s="29" t="n">
        <v>16</v>
      </c>
      <c r="C18277" s="7" t="n">
        <v>0</v>
      </c>
    </row>
    <row r="18278" spans="1:8">
      <c r="A18278" t="s">
        <v>4</v>
      </c>
      <c r="B18278" s="4" t="s">
        <v>5</v>
      </c>
      <c r="C18278" s="4" t="s">
        <v>11</v>
      </c>
      <c r="D18278" s="4" t="s">
        <v>11</v>
      </c>
      <c r="E18278" s="4" t="s">
        <v>11</v>
      </c>
    </row>
    <row r="18279" spans="1:8">
      <c r="A18279" t="n">
        <v>177294</v>
      </c>
      <c r="B18279" s="72" t="n">
        <v>61</v>
      </c>
      <c r="C18279" s="7" t="n">
        <v>0</v>
      </c>
      <c r="D18279" s="7" t="n">
        <v>1</v>
      </c>
      <c r="E18279" s="7" t="n">
        <v>0</v>
      </c>
    </row>
    <row r="18280" spans="1:8">
      <c r="A18280" t="s">
        <v>4</v>
      </c>
      <c r="B18280" s="4" t="s">
        <v>5</v>
      </c>
      <c r="C18280" s="4" t="s">
        <v>11</v>
      </c>
      <c r="D18280" s="4" t="s">
        <v>11</v>
      </c>
      <c r="E18280" s="4" t="s">
        <v>11</v>
      </c>
    </row>
    <row r="18281" spans="1:8">
      <c r="A18281" t="n">
        <v>177301</v>
      </c>
      <c r="B18281" s="72" t="n">
        <v>61</v>
      </c>
      <c r="C18281" s="7" t="n">
        <v>1</v>
      </c>
      <c r="D18281" s="7" t="n">
        <v>0</v>
      </c>
      <c r="E18281" s="7" t="n">
        <v>0</v>
      </c>
    </row>
    <row r="18282" spans="1:8">
      <c r="A18282" t="s">
        <v>4</v>
      </c>
      <c r="B18282" s="4" t="s">
        <v>5</v>
      </c>
      <c r="C18282" s="4" t="s">
        <v>7</v>
      </c>
      <c r="D18282" s="4" t="s">
        <v>7</v>
      </c>
      <c r="E18282" s="4" t="s">
        <v>13</v>
      </c>
      <c r="F18282" s="4" t="s">
        <v>13</v>
      </c>
      <c r="G18282" s="4" t="s">
        <v>13</v>
      </c>
      <c r="H18282" s="4" t="s">
        <v>11</v>
      </c>
    </row>
    <row r="18283" spans="1:8">
      <c r="A18283" t="n">
        <v>177308</v>
      </c>
      <c r="B18283" s="51" t="n">
        <v>45</v>
      </c>
      <c r="C18283" s="7" t="n">
        <v>2</v>
      </c>
      <c r="D18283" s="7" t="n">
        <v>3</v>
      </c>
      <c r="E18283" s="7" t="n">
        <v>6.82000017166138</v>
      </c>
      <c r="F18283" s="7" t="n">
        <v>11.8100004196167</v>
      </c>
      <c r="G18283" s="7" t="n">
        <v>47.5499992370605</v>
      </c>
      <c r="H18283" s="7" t="n">
        <v>0</v>
      </c>
    </row>
    <row r="18284" spans="1:8">
      <c r="A18284" t="s">
        <v>4</v>
      </c>
      <c r="B18284" s="4" t="s">
        <v>5</v>
      </c>
      <c r="C18284" s="4" t="s">
        <v>7</v>
      </c>
      <c r="D18284" s="4" t="s">
        <v>7</v>
      </c>
      <c r="E18284" s="4" t="s">
        <v>13</v>
      </c>
      <c r="F18284" s="4" t="s">
        <v>13</v>
      </c>
      <c r="G18284" s="4" t="s">
        <v>13</v>
      </c>
      <c r="H18284" s="4" t="s">
        <v>11</v>
      </c>
    </row>
    <row r="18285" spans="1:8">
      <c r="A18285" t="n">
        <v>177325</v>
      </c>
      <c r="B18285" s="51" t="n">
        <v>45</v>
      </c>
      <c r="C18285" s="7" t="n">
        <v>2</v>
      </c>
      <c r="D18285" s="7" t="n">
        <v>3</v>
      </c>
      <c r="E18285" s="7" t="n">
        <v>6.82000017166138</v>
      </c>
      <c r="F18285" s="7" t="n">
        <v>11.4099998474121</v>
      </c>
      <c r="G18285" s="7" t="n">
        <v>47.5499992370605</v>
      </c>
      <c r="H18285" s="7" t="n">
        <v>4400</v>
      </c>
    </row>
    <row r="18286" spans="1:8">
      <c r="A18286" t="s">
        <v>4</v>
      </c>
      <c r="B18286" s="4" t="s">
        <v>5</v>
      </c>
      <c r="C18286" s="4" t="s">
        <v>7</v>
      </c>
      <c r="D18286" s="4" t="s">
        <v>7</v>
      </c>
      <c r="E18286" s="4" t="s">
        <v>13</v>
      </c>
      <c r="F18286" s="4" t="s">
        <v>13</v>
      </c>
      <c r="G18286" s="4" t="s">
        <v>13</v>
      </c>
      <c r="H18286" s="4" t="s">
        <v>11</v>
      </c>
      <c r="I18286" s="4" t="s">
        <v>7</v>
      </c>
    </row>
    <row r="18287" spans="1:8">
      <c r="A18287" t="n">
        <v>177342</v>
      </c>
      <c r="B18287" s="51" t="n">
        <v>45</v>
      </c>
      <c r="C18287" s="7" t="n">
        <v>4</v>
      </c>
      <c r="D18287" s="7" t="n">
        <v>3</v>
      </c>
      <c r="E18287" s="7" t="n">
        <v>12.7399997711182</v>
      </c>
      <c r="F18287" s="7" t="n">
        <v>313.489990234375</v>
      </c>
      <c r="G18287" s="7" t="n">
        <v>0</v>
      </c>
      <c r="H18287" s="7" t="n">
        <v>0</v>
      </c>
      <c r="I18287" s="7" t="n">
        <v>0</v>
      </c>
    </row>
    <row r="18288" spans="1:8">
      <c r="A18288" t="s">
        <v>4</v>
      </c>
      <c r="B18288" s="4" t="s">
        <v>5</v>
      </c>
      <c r="C18288" s="4" t="s">
        <v>7</v>
      </c>
      <c r="D18288" s="4" t="s">
        <v>7</v>
      </c>
      <c r="E18288" s="4" t="s">
        <v>13</v>
      </c>
      <c r="F18288" s="4" t="s">
        <v>11</v>
      </c>
    </row>
    <row r="18289" spans="1:9">
      <c r="A18289" t="n">
        <v>177360</v>
      </c>
      <c r="B18289" s="51" t="n">
        <v>45</v>
      </c>
      <c r="C18289" s="7" t="n">
        <v>5</v>
      </c>
      <c r="D18289" s="7" t="n">
        <v>3</v>
      </c>
      <c r="E18289" s="7" t="n">
        <v>1.20000004768372</v>
      </c>
      <c r="F18289" s="7" t="n">
        <v>0</v>
      </c>
    </row>
    <row r="18290" spans="1:9">
      <c r="A18290" t="s">
        <v>4</v>
      </c>
      <c r="B18290" s="4" t="s">
        <v>5</v>
      </c>
      <c r="C18290" s="4" t="s">
        <v>7</v>
      </c>
      <c r="D18290" s="4" t="s">
        <v>7</v>
      </c>
      <c r="E18290" s="4" t="s">
        <v>13</v>
      </c>
      <c r="F18290" s="4" t="s">
        <v>11</v>
      </c>
    </row>
    <row r="18291" spans="1:9">
      <c r="A18291" t="n">
        <v>177369</v>
      </c>
      <c r="B18291" s="51" t="n">
        <v>45</v>
      </c>
      <c r="C18291" s="7" t="n">
        <v>11</v>
      </c>
      <c r="D18291" s="7" t="n">
        <v>3</v>
      </c>
      <c r="E18291" s="7" t="n">
        <v>38</v>
      </c>
      <c r="F18291" s="7" t="n">
        <v>0</v>
      </c>
    </row>
    <row r="18292" spans="1:9">
      <c r="A18292" t="s">
        <v>4</v>
      </c>
      <c r="B18292" s="4" t="s">
        <v>5</v>
      </c>
      <c r="C18292" s="4" t="s">
        <v>7</v>
      </c>
      <c r="D18292" s="4" t="s">
        <v>11</v>
      </c>
      <c r="E18292" s="4" t="s">
        <v>13</v>
      </c>
    </row>
    <row r="18293" spans="1:9">
      <c r="A18293" t="n">
        <v>177378</v>
      </c>
      <c r="B18293" s="23" t="n">
        <v>58</v>
      </c>
      <c r="C18293" s="7" t="n">
        <v>100</v>
      </c>
      <c r="D18293" s="7" t="n">
        <v>1000</v>
      </c>
      <c r="E18293" s="7" t="n">
        <v>1</v>
      </c>
    </row>
    <row r="18294" spans="1:9">
      <c r="A18294" t="s">
        <v>4</v>
      </c>
      <c r="B18294" s="4" t="s">
        <v>5</v>
      </c>
      <c r="C18294" s="4" t="s">
        <v>7</v>
      </c>
      <c r="D18294" s="4" t="s">
        <v>11</v>
      </c>
    </row>
    <row r="18295" spans="1:9">
      <c r="A18295" t="n">
        <v>177386</v>
      </c>
      <c r="B18295" s="23" t="n">
        <v>58</v>
      </c>
      <c r="C18295" s="7" t="n">
        <v>255</v>
      </c>
      <c r="D18295" s="7" t="n">
        <v>0</v>
      </c>
    </row>
    <row r="18296" spans="1:9">
      <c r="A18296" t="s">
        <v>4</v>
      </c>
      <c r="B18296" s="4" t="s">
        <v>5</v>
      </c>
      <c r="C18296" s="4" t="s">
        <v>7</v>
      </c>
      <c r="D18296" s="4" t="s">
        <v>11</v>
      </c>
    </row>
    <row r="18297" spans="1:9">
      <c r="A18297" t="n">
        <v>177390</v>
      </c>
      <c r="B18297" s="51" t="n">
        <v>45</v>
      </c>
      <c r="C18297" s="7" t="n">
        <v>7</v>
      </c>
      <c r="D18297" s="7" t="n">
        <v>255</v>
      </c>
    </row>
    <row r="18298" spans="1:9">
      <c r="A18298" t="s">
        <v>4</v>
      </c>
      <c r="B18298" s="4" t="s">
        <v>5</v>
      </c>
      <c r="C18298" s="4" t="s">
        <v>7</v>
      </c>
      <c r="D18298" s="4" t="s">
        <v>11</v>
      </c>
      <c r="E18298" s="4" t="s">
        <v>8</v>
      </c>
    </row>
    <row r="18299" spans="1:9">
      <c r="A18299" t="n">
        <v>177394</v>
      </c>
      <c r="B18299" s="38" t="n">
        <v>51</v>
      </c>
      <c r="C18299" s="7" t="n">
        <v>4</v>
      </c>
      <c r="D18299" s="7" t="n">
        <v>1</v>
      </c>
      <c r="E18299" s="7" t="s">
        <v>466</v>
      </c>
    </row>
    <row r="18300" spans="1:9">
      <c r="A18300" t="s">
        <v>4</v>
      </c>
      <c r="B18300" s="4" t="s">
        <v>5</v>
      </c>
      <c r="C18300" s="4" t="s">
        <v>11</v>
      </c>
    </row>
    <row r="18301" spans="1:9">
      <c r="A18301" t="n">
        <v>177408</v>
      </c>
      <c r="B18301" s="29" t="n">
        <v>16</v>
      </c>
      <c r="C18301" s="7" t="n">
        <v>0</v>
      </c>
    </row>
    <row r="18302" spans="1:9">
      <c r="A18302" t="s">
        <v>4</v>
      </c>
      <c r="B18302" s="4" t="s">
        <v>5</v>
      </c>
      <c r="C18302" s="4" t="s">
        <v>11</v>
      </c>
      <c r="D18302" s="4" t="s">
        <v>7</v>
      </c>
      <c r="E18302" s="4" t="s">
        <v>15</v>
      </c>
      <c r="F18302" s="4" t="s">
        <v>55</v>
      </c>
      <c r="G18302" s="4" t="s">
        <v>7</v>
      </c>
      <c r="H18302" s="4" t="s">
        <v>7</v>
      </c>
      <c r="I18302" s="4" t="s">
        <v>7</v>
      </c>
      <c r="J18302" s="4" t="s">
        <v>15</v>
      </c>
      <c r="K18302" s="4" t="s">
        <v>55</v>
      </c>
      <c r="L18302" s="4" t="s">
        <v>7</v>
      </c>
      <c r="M18302" s="4" t="s">
        <v>7</v>
      </c>
    </row>
    <row r="18303" spans="1:9">
      <c r="A18303" t="n">
        <v>177411</v>
      </c>
      <c r="B18303" s="55" t="n">
        <v>26</v>
      </c>
      <c r="C18303" s="7" t="n">
        <v>1</v>
      </c>
      <c r="D18303" s="7" t="n">
        <v>17</v>
      </c>
      <c r="E18303" s="7" t="n">
        <v>64530</v>
      </c>
      <c r="F18303" s="7" t="s">
        <v>1507</v>
      </c>
      <c r="G18303" s="7" t="n">
        <v>2</v>
      </c>
      <c r="H18303" s="7" t="n">
        <v>3</v>
      </c>
      <c r="I18303" s="7" t="n">
        <v>17</v>
      </c>
      <c r="J18303" s="7" t="n">
        <v>64531</v>
      </c>
      <c r="K18303" s="7" t="s">
        <v>1508</v>
      </c>
      <c r="L18303" s="7" t="n">
        <v>2</v>
      </c>
      <c r="M18303" s="7" t="n">
        <v>0</v>
      </c>
    </row>
    <row r="18304" spans="1:9">
      <c r="A18304" t="s">
        <v>4</v>
      </c>
      <c r="B18304" s="4" t="s">
        <v>5</v>
      </c>
    </row>
    <row r="18305" spans="1:13">
      <c r="A18305" t="n">
        <v>177510</v>
      </c>
      <c r="B18305" s="27" t="n">
        <v>28</v>
      </c>
    </row>
    <row r="18306" spans="1:13">
      <c r="A18306" t="s">
        <v>4</v>
      </c>
      <c r="B18306" s="4" t="s">
        <v>5</v>
      </c>
      <c r="C18306" s="4" t="s">
        <v>7</v>
      </c>
      <c r="D18306" s="4" t="s">
        <v>11</v>
      </c>
      <c r="E18306" s="4" t="s">
        <v>8</v>
      </c>
    </row>
    <row r="18307" spans="1:13">
      <c r="A18307" t="n">
        <v>177511</v>
      </c>
      <c r="B18307" s="38" t="n">
        <v>51</v>
      </c>
      <c r="C18307" s="7" t="n">
        <v>4</v>
      </c>
      <c r="D18307" s="7" t="n">
        <v>0</v>
      </c>
      <c r="E18307" s="7" t="s">
        <v>179</v>
      </c>
    </row>
    <row r="18308" spans="1:13">
      <c r="A18308" t="s">
        <v>4</v>
      </c>
      <c r="B18308" s="4" t="s">
        <v>5</v>
      </c>
      <c r="C18308" s="4" t="s">
        <v>11</v>
      </c>
    </row>
    <row r="18309" spans="1:13">
      <c r="A18309" t="n">
        <v>177525</v>
      </c>
      <c r="B18309" s="29" t="n">
        <v>16</v>
      </c>
      <c r="C18309" s="7" t="n">
        <v>0</v>
      </c>
    </row>
    <row r="18310" spans="1:13">
      <c r="A18310" t="s">
        <v>4</v>
      </c>
      <c r="B18310" s="4" t="s">
        <v>5</v>
      </c>
      <c r="C18310" s="4" t="s">
        <v>11</v>
      </c>
      <c r="D18310" s="4" t="s">
        <v>7</v>
      </c>
      <c r="E18310" s="4" t="s">
        <v>15</v>
      </c>
      <c r="F18310" s="4" t="s">
        <v>55</v>
      </c>
      <c r="G18310" s="4" t="s">
        <v>7</v>
      </c>
      <c r="H18310" s="4" t="s">
        <v>7</v>
      </c>
      <c r="I18310" s="4" t="s">
        <v>7</v>
      </c>
      <c r="J18310" s="4" t="s">
        <v>15</v>
      </c>
      <c r="K18310" s="4" t="s">
        <v>55</v>
      </c>
      <c r="L18310" s="4" t="s">
        <v>7</v>
      </c>
      <c r="M18310" s="4" t="s">
        <v>7</v>
      </c>
      <c r="N18310" s="4" t="s">
        <v>7</v>
      </c>
      <c r="O18310" s="4" t="s">
        <v>15</v>
      </c>
      <c r="P18310" s="4" t="s">
        <v>55</v>
      </c>
      <c r="Q18310" s="4" t="s">
        <v>7</v>
      </c>
      <c r="R18310" s="4" t="s">
        <v>7</v>
      </c>
    </row>
    <row r="18311" spans="1:13">
      <c r="A18311" t="n">
        <v>177528</v>
      </c>
      <c r="B18311" s="55" t="n">
        <v>26</v>
      </c>
      <c r="C18311" s="7" t="n">
        <v>0</v>
      </c>
      <c r="D18311" s="7" t="n">
        <v>17</v>
      </c>
      <c r="E18311" s="7" t="n">
        <v>64532</v>
      </c>
      <c r="F18311" s="7" t="s">
        <v>1509</v>
      </c>
      <c r="G18311" s="7" t="n">
        <v>2</v>
      </c>
      <c r="H18311" s="7" t="n">
        <v>3</v>
      </c>
      <c r="I18311" s="7" t="n">
        <v>17</v>
      </c>
      <c r="J18311" s="7" t="n">
        <v>64533</v>
      </c>
      <c r="K18311" s="7" t="s">
        <v>1510</v>
      </c>
      <c r="L18311" s="7" t="n">
        <v>2</v>
      </c>
      <c r="M18311" s="7" t="n">
        <v>3</v>
      </c>
      <c r="N18311" s="7" t="n">
        <v>17</v>
      </c>
      <c r="O18311" s="7" t="n">
        <v>64534</v>
      </c>
      <c r="P18311" s="7" t="s">
        <v>1511</v>
      </c>
      <c r="Q18311" s="7" t="n">
        <v>2</v>
      </c>
      <c r="R18311" s="7" t="n">
        <v>0</v>
      </c>
    </row>
    <row r="18312" spans="1:13">
      <c r="A18312" t="s">
        <v>4</v>
      </c>
      <c r="B18312" s="4" t="s">
        <v>5</v>
      </c>
    </row>
    <row r="18313" spans="1:13">
      <c r="A18313" t="n">
        <v>177736</v>
      </c>
      <c r="B18313" s="27" t="n">
        <v>28</v>
      </c>
    </row>
    <row r="18314" spans="1:13">
      <c r="A18314" t="s">
        <v>4</v>
      </c>
      <c r="B18314" s="4" t="s">
        <v>5</v>
      </c>
      <c r="C18314" s="4" t="s">
        <v>7</v>
      </c>
      <c r="D18314" s="4" t="s">
        <v>11</v>
      </c>
      <c r="E18314" s="4" t="s">
        <v>11</v>
      </c>
      <c r="F18314" s="4" t="s">
        <v>7</v>
      </c>
    </row>
    <row r="18315" spans="1:13">
      <c r="A18315" t="n">
        <v>177737</v>
      </c>
      <c r="B18315" s="31" t="n">
        <v>25</v>
      </c>
      <c r="C18315" s="7" t="n">
        <v>1</v>
      </c>
      <c r="D18315" s="7" t="n">
        <v>65535</v>
      </c>
      <c r="E18315" s="7" t="n">
        <v>65535</v>
      </c>
      <c r="F18315" s="7" t="n">
        <v>0</v>
      </c>
    </row>
    <row r="18316" spans="1:13">
      <c r="A18316" t="s">
        <v>4</v>
      </c>
      <c r="B18316" s="4" t="s">
        <v>5</v>
      </c>
      <c r="C18316" s="4" t="s">
        <v>7</v>
      </c>
      <c r="D18316" s="4" t="s">
        <v>11</v>
      </c>
      <c r="E18316" s="4" t="s">
        <v>8</v>
      </c>
      <c r="F18316" s="4" t="s">
        <v>8</v>
      </c>
      <c r="G18316" s="4" t="s">
        <v>8</v>
      </c>
      <c r="H18316" s="4" t="s">
        <v>8</v>
      </c>
    </row>
    <row r="18317" spans="1:13">
      <c r="A18317" t="n">
        <v>177744</v>
      </c>
      <c r="B18317" s="38" t="n">
        <v>51</v>
      </c>
      <c r="C18317" s="7" t="n">
        <v>3</v>
      </c>
      <c r="D18317" s="7" t="n">
        <v>1</v>
      </c>
      <c r="E18317" s="7" t="s">
        <v>99</v>
      </c>
      <c r="F18317" s="7" t="s">
        <v>232</v>
      </c>
      <c r="G18317" s="7" t="s">
        <v>78</v>
      </c>
      <c r="H18317" s="7" t="s">
        <v>79</v>
      </c>
    </row>
    <row r="18318" spans="1:13">
      <c r="A18318" t="s">
        <v>4</v>
      </c>
      <c r="B18318" s="4" t="s">
        <v>5</v>
      </c>
      <c r="C18318" s="4" t="s">
        <v>11</v>
      </c>
      <c r="D18318" s="4" t="s">
        <v>7</v>
      </c>
      <c r="E18318" s="4" t="s">
        <v>7</v>
      </c>
      <c r="F18318" s="4" t="s">
        <v>8</v>
      </c>
    </row>
    <row r="18319" spans="1:13">
      <c r="A18319" t="n">
        <v>177757</v>
      </c>
      <c r="B18319" s="50" t="n">
        <v>20</v>
      </c>
      <c r="C18319" s="7" t="n">
        <v>1</v>
      </c>
      <c r="D18319" s="7" t="n">
        <v>2</v>
      </c>
      <c r="E18319" s="7" t="n">
        <v>10</v>
      </c>
      <c r="F18319" s="7" t="s">
        <v>223</v>
      </c>
    </row>
    <row r="18320" spans="1:13">
      <c r="A18320" t="s">
        <v>4</v>
      </c>
      <c r="B18320" s="4" t="s">
        <v>5</v>
      </c>
      <c r="C18320" s="4" t="s">
        <v>11</v>
      </c>
    </row>
    <row r="18321" spans="1:18">
      <c r="A18321" t="n">
        <v>177778</v>
      </c>
      <c r="B18321" s="29" t="n">
        <v>16</v>
      </c>
      <c r="C18321" s="7" t="n">
        <v>500</v>
      </c>
    </row>
    <row r="18322" spans="1:18">
      <c r="A18322" t="s">
        <v>4</v>
      </c>
      <c r="B18322" s="4" t="s">
        <v>5</v>
      </c>
      <c r="C18322" s="4" t="s">
        <v>7</v>
      </c>
      <c r="D18322" s="4" t="s">
        <v>11</v>
      </c>
      <c r="E18322" s="4" t="s">
        <v>8</v>
      </c>
    </row>
    <row r="18323" spans="1:18">
      <c r="A18323" t="n">
        <v>177781</v>
      </c>
      <c r="B18323" s="38" t="n">
        <v>51</v>
      </c>
      <c r="C18323" s="7" t="n">
        <v>4</v>
      </c>
      <c r="D18323" s="7" t="n">
        <v>1</v>
      </c>
      <c r="E18323" s="7" t="s">
        <v>313</v>
      </c>
    </row>
    <row r="18324" spans="1:18">
      <c r="A18324" t="s">
        <v>4</v>
      </c>
      <c r="B18324" s="4" t="s">
        <v>5</v>
      </c>
      <c r="C18324" s="4" t="s">
        <v>11</v>
      </c>
    </row>
    <row r="18325" spans="1:18">
      <c r="A18325" t="n">
        <v>177794</v>
      </c>
      <c r="B18325" s="29" t="n">
        <v>16</v>
      </c>
      <c r="C18325" s="7" t="n">
        <v>0</v>
      </c>
    </row>
    <row r="18326" spans="1:18">
      <c r="A18326" t="s">
        <v>4</v>
      </c>
      <c r="B18326" s="4" t="s">
        <v>5</v>
      </c>
      <c r="C18326" s="4" t="s">
        <v>11</v>
      </c>
      <c r="D18326" s="4" t="s">
        <v>7</v>
      </c>
      <c r="E18326" s="4" t="s">
        <v>15</v>
      </c>
      <c r="F18326" s="4" t="s">
        <v>55</v>
      </c>
      <c r="G18326" s="4" t="s">
        <v>7</v>
      </c>
      <c r="H18326" s="4" t="s">
        <v>7</v>
      </c>
      <c r="I18326" s="4" t="s">
        <v>7</v>
      </c>
      <c r="J18326" s="4" t="s">
        <v>15</v>
      </c>
      <c r="K18326" s="4" t="s">
        <v>55</v>
      </c>
      <c r="L18326" s="4" t="s">
        <v>7</v>
      </c>
      <c r="M18326" s="4" t="s">
        <v>7</v>
      </c>
      <c r="N18326" s="4" t="s">
        <v>7</v>
      </c>
      <c r="O18326" s="4" t="s">
        <v>15</v>
      </c>
      <c r="P18326" s="4" t="s">
        <v>55</v>
      </c>
      <c r="Q18326" s="4" t="s">
        <v>7</v>
      </c>
      <c r="R18326" s="4" t="s">
        <v>7</v>
      </c>
    </row>
    <row r="18327" spans="1:18">
      <c r="A18327" t="n">
        <v>177797</v>
      </c>
      <c r="B18327" s="55" t="n">
        <v>26</v>
      </c>
      <c r="C18327" s="7" t="n">
        <v>1</v>
      </c>
      <c r="D18327" s="7" t="n">
        <v>17</v>
      </c>
      <c r="E18327" s="7" t="n">
        <v>64535</v>
      </c>
      <c r="F18327" s="7" t="s">
        <v>1512</v>
      </c>
      <c r="G18327" s="7" t="n">
        <v>2</v>
      </c>
      <c r="H18327" s="7" t="n">
        <v>3</v>
      </c>
      <c r="I18327" s="7" t="n">
        <v>17</v>
      </c>
      <c r="J18327" s="7" t="n">
        <v>64536</v>
      </c>
      <c r="K18327" s="7" t="s">
        <v>1513</v>
      </c>
      <c r="L18327" s="7" t="n">
        <v>2</v>
      </c>
      <c r="M18327" s="7" t="n">
        <v>3</v>
      </c>
      <c r="N18327" s="7" t="n">
        <v>17</v>
      </c>
      <c r="O18327" s="7" t="n">
        <v>64537</v>
      </c>
      <c r="P18327" s="7" t="s">
        <v>1514</v>
      </c>
      <c r="Q18327" s="7" t="n">
        <v>2</v>
      </c>
      <c r="R18327" s="7" t="n">
        <v>0</v>
      </c>
    </row>
    <row r="18328" spans="1:18">
      <c r="A18328" t="s">
        <v>4</v>
      </c>
      <c r="B18328" s="4" t="s">
        <v>5</v>
      </c>
    </row>
    <row r="18329" spans="1:18">
      <c r="A18329" t="n">
        <v>178005</v>
      </c>
      <c r="B18329" s="27" t="n">
        <v>28</v>
      </c>
    </row>
    <row r="18330" spans="1:18">
      <c r="A18330" t="s">
        <v>4</v>
      </c>
      <c r="B18330" s="4" t="s">
        <v>5</v>
      </c>
      <c r="C18330" s="4" t="s">
        <v>7</v>
      </c>
      <c r="D18330" s="4" t="s">
        <v>11</v>
      </c>
      <c r="E18330" s="4" t="s">
        <v>13</v>
      </c>
    </row>
    <row r="18331" spans="1:18">
      <c r="A18331" t="n">
        <v>178006</v>
      </c>
      <c r="B18331" s="23" t="n">
        <v>58</v>
      </c>
      <c r="C18331" s="7" t="n">
        <v>0</v>
      </c>
      <c r="D18331" s="7" t="n">
        <v>2000</v>
      </c>
      <c r="E18331" s="7" t="n">
        <v>1</v>
      </c>
    </row>
    <row r="18332" spans="1:18">
      <c r="A18332" t="s">
        <v>4</v>
      </c>
      <c r="B18332" s="4" t="s">
        <v>5</v>
      </c>
      <c r="C18332" s="4" t="s">
        <v>7</v>
      </c>
      <c r="D18332" s="4" t="s">
        <v>11</v>
      </c>
    </row>
    <row r="18333" spans="1:18">
      <c r="A18333" t="n">
        <v>178014</v>
      </c>
      <c r="B18333" s="23" t="n">
        <v>58</v>
      </c>
      <c r="C18333" s="7" t="n">
        <v>255</v>
      </c>
      <c r="D18333" s="7" t="n">
        <v>0</v>
      </c>
    </row>
    <row r="18334" spans="1:18">
      <c r="A18334" t="s">
        <v>4</v>
      </c>
      <c r="B18334" s="4" t="s">
        <v>5</v>
      </c>
      <c r="C18334" s="4" t="s">
        <v>11</v>
      </c>
    </row>
    <row r="18335" spans="1:18">
      <c r="A18335" t="n">
        <v>178018</v>
      </c>
      <c r="B18335" s="29" t="n">
        <v>16</v>
      </c>
      <c r="C18335" s="7" t="n">
        <v>1000</v>
      </c>
    </row>
    <row r="18336" spans="1:18">
      <c r="A18336" t="s">
        <v>4</v>
      </c>
      <c r="B18336" s="4" t="s">
        <v>5</v>
      </c>
      <c r="C18336" s="4" t="s">
        <v>7</v>
      </c>
      <c r="D18336" s="4" t="s">
        <v>11</v>
      </c>
      <c r="E18336" s="4" t="s">
        <v>7</v>
      </c>
    </row>
    <row r="18337" spans="1:18">
      <c r="A18337" t="n">
        <v>178021</v>
      </c>
      <c r="B18337" s="81" t="n">
        <v>39</v>
      </c>
      <c r="C18337" s="7" t="n">
        <v>14</v>
      </c>
      <c r="D18337" s="7" t="n">
        <v>1</v>
      </c>
      <c r="E18337" s="7" t="n">
        <v>102</v>
      </c>
    </row>
    <row r="18338" spans="1:18">
      <c r="A18338" t="s">
        <v>4</v>
      </c>
      <c r="B18338" s="4" t="s">
        <v>5</v>
      </c>
      <c r="C18338" s="4" t="s">
        <v>7</v>
      </c>
      <c r="D18338" s="4" t="s">
        <v>11</v>
      </c>
      <c r="E18338" s="4" t="s">
        <v>7</v>
      </c>
    </row>
    <row r="18339" spans="1:18">
      <c r="A18339" t="n">
        <v>178026</v>
      </c>
      <c r="B18339" s="81" t="n">
        <v>39</v>
      </c>
      <c r="C18339" s="7" t="n">
        <v>14</v>
      </c>
      <c r="D18339" s="7" t="n">
        <v>1</v>
      </c>
      <c r="E18339" s="7" t="n">
        <v>103</v>
      </c>
    </row>
    <row r="18340" spans="1:18">
      <c r="A18340" t="s">
        <v>4</v>
      </c>
      <c r="B18340" s="4" t="s">
        <v>5</v>
      </c>
      <c r="C18340" s="4" t="s">
        <v>7</v>
      </c>
      <c r="D18340" s="4" t="s">
        <v>11</v>
      </c>
      <c r="E18340" s="4" t="s">
        <v>7</v>
      </c>
    </row>
    <row r="18341" spans="1:18">
      <c r="A18341" t="n">
        <v>178031</v>
      </c>
      <c r="B18341" s="81" t="n">
        <v>39</v>
      </c>
      <c r="C18341" s="7" t="n">
        <v>11</v>
      </c>
      <c r="D18341" s="7" t="n">
        <v>65533</v>
      </c>
      <c r="E18341" s="7" t="n">
        <v>202</v>
      </c>
    </row>
    <row r="18342" spans="1:18">
      <c r="A18342" t="s">
        <v>4</v>
      </c>
      <c r="B18342" s="4" t="s">
        <v>5</v>
      </c>
      <c r="C18342" s="4" t="s">
        <v>7</v>
      </c>
      <c r="D18342" s="4" t="s">
        <v>11</v>
      </c>
      <c r="E18342" s="4" t="s">
        <v>7</v>
      </c>
    </row>
    <row r="18343" spans="1:18">
      <c r="A18343" t="n">
        <v>178036</v>
      </c>
      <c r="B18343" s="81" t="n">
        <v>39</v>
      </c>
      <c r="C18343" s="7" t="n">
        <v>11</v>
      </c>
      <c r="D18343" s="7" t="n">
        <v>65533</v>
      </c>
      <c r="E18343" s="7" t="n">
        <v>203</v>
      </c>
    </row>
    <row r="18344" spans="1:18">
      <c r="A18344" t="s">
        <v>4</v>
      </c>
      <c r="B18344" s="4" t="s">
        <v>5</v>
      </c>
      <c r="C18344" s="4" t="s">
        <v>7</v>
      </c>
      <c r="D18344" s="4" t="s">
        <v>11</v>
      </c>
      <c r="E18344" s="4" t="s">
        <v>7</v>
      </c>
    </row>
    <row r="18345" spans="1:18">
      <c r="A18345" t="n">
        <v>178041</v>
      </c>
      <c r="B18345" s="40" t="n">
        <v>36</v>
      </c>
      <c r="C18345" s="7" t="n">
        <v>9</v>
      </c>
      <c r="D18345" s="7" t="n">
        <v>0</v>
      </c>
      <c r="E18345" s="7" t="n">
        <v>0</v>
      </c>
    </row>
    <row r="18346" spans="1:18">
      <c r="A18346" t="s">
        <v>4</v>
      </c>
      <c r="B18346" s="4" t="s">
        <v>5</v>
      </c>
      <c r="C18346" s="4" t="s">
        <v>7</v>
      </c>
      <c r="D18346" s="4" t="s">
        <v>11</v>
      </c>
      <c r="E18346" s="4" t="s">
        <v>7</v>
      </c>
    </row>
    <row r="18347" spans="1:18">
      <c r="A18347" t="n">
        <v>178046</v>
      </c>
      <c r="B18347" s="40" t="n">
        <v>36</v>
      </c>
      <c r="C18347" s="7" t="n">
        <v>9</v>
      </c>
      <c r="D18347" s="7" t="n">
        <v>1</v>
      </c>
      <c r="E18347" s="7" t="n">
        <v>0</v>
      </c>
    </row>
    <row r="18348" spans="1:18">
      <c r="A18348" t="s">
        <v>4</v>
      </c>
      <c r="B18348" s="4" t="s">
        <v>5</v>
      </c>
      <c r="C18348" s="4" t="s">
        <v>11</v>
      </c>
    </row>
    <row r="18349" spans="1:18">
      <c r="A18349" t="n">
        <v>178051</v>
      </c>
      <c r="B18349" s="43" t="n">
        <v>12</v>
      </c>
      <c r="C18349" s="7" t="n">
        <v>10310</v>
      </c>
    </row>
    <row r="18350" spans="1:18">
      <c r="A18350" t="s">
        <v>4</v>
      </c>
      <c r="B18350" s="4" t="s">
        <v>5</v>
      </c>
      <c r="C18350" s="4" t="s">
        <v>7</v>
      </c>
      <c r="D18350" s="4" t="s">
        <v>11</v>
      </c>
      <c r="E18350" s="4" t="s">
        <v>11</v>
      </c>
    </row>
    <row r="18351" spans="1:18">
      <c r="A18351" t="n">
        <v>178054</v>
      </c>
      <c r="B18351" s="59" t="n">
        <v>135</v>
      </c>
      <c r="C18351" s="7" t="n">
        <v>0</v>
      </c>
      <c r="D18351" s="7" t="n">
        <v>1</v>
      </c>
      <c r="E18351" s="7" t="n">
        <v>64</v>
      </c>
    </row>
    <row r="18352" spans="1:18">
      <c r="A18352" t="s">
        <v>4</v>
      </c>
      <c r="B18352" s="4" t="s">
        <v>5</v>
      </c>
      <c r="C18352" s="4" t="s">
        <v>7</v>
      </c>
      <c r="D18352" s="4" t="s">
        <v>8</v>
      </c>
    </row>
    <row r="18353" spans="1:5">
      <c r="A18353" t="n">
        <v>178060</v>
      </c>
      <c r="B18353" s="6" t="n">
        <v>2</v>
      </c>
      <c r="C18353" s="7" t="n">
        <v>11</v>
      </c>
      <c r="D18353" s="7" t="s">
        <v>37</v>
      </c>
    </row>
    <row r="18354" spans="1:5">
      <c r="A18354" t="s">
        <v>4</v>
      </c>
      <c r="B18354" s="4" t="s">
        <v>5</v>
      </c>
      <c r="C18354" s="4" t="s">
        <v>11</v>
      </c>
      <c r="D18354" s="4" t="s">
        <v>15</v>
      </c>
    </row>
    <row r="18355" spans="1:5">
      <c r="A18355" t="n">
        <v>178084</v>
      </c>
      <c r="B18355" s="63" t="n">
        <v>44</v>
      </c>
      <c r="C18355" s="7" t="n">
        <v>0</v>
      </c>
      <c r="D18355" s="7" t="n">
        <v>256</v>
      </c>
    </row>
    <row r="18356" spans="1:5">
      <c r="A18356" t="s">
        <v>4</v>
      </c>
      <c r="B18356" s="4" t="s">
        <v>5</v>
      </c>
      <c r="C18356" s="4" t="s">
        <v>11</v>
      </c>
      <c r="D18356" s="4" t="s">
        <v>15</v>
      </c>
    </row>
    <row r="18357" spans="1:5">
      <c r="A18357" t="n">
        <v>178091</v>
      </c>
      <c r="B18357" s="63" t="n">
        <v>44</v>
      </c>
      <c r="C18357" s="7" t="n">
        <v>1</v>
      </c>
      <c r="D18357" s="7" t="n">
        <v>256</v>
      </c>
    </row>
    <row r="18358" spans="1:5">
      <c r="A18358" t="s">
        <v>4</v>
      </c>
      <c r="B18358" s="4" t="s">
        <v>5</v>
      </c>
      <c r="C18358" s="4" t="s">
        <v>11</v>
      </c>
      <c r="D18358" s="4" t="s">
        <v>15</v>
      </c>
    </row>
    <row r="18359" spans="1:5">
      <c r="A18359" t="n">
        <v>178098</v>
      </c>
      <c r="B18359" s="63" t="n">
        <v>44</v>
      </c>
      <c r="C18359" s="7" t="n">
        <v>1</v>
      </c>
      <c r="D18359" s="7" t="n">
        <v>32768</v>
      </c>
    </row>
    <row r="18360" spans="1:5">
      <c r="A18360" t="s">
        <v>4</v>
      </c>
      <c r="B18360" s="4" t="s">
        <v>5</v>
      </c>
      <c r="C18360" s="4" t="s">
        <v>11</v>
      </c>
      <c r="D18360" s="4" t="s">
        <v>13</v>
      </c>
      <c r="E18360" s="4" t="s">
        <v>13</v>
      </c>
      <c r="F18360" s="4" t="s">
        <v>13</v>
      </c>
      <c r="G18360" s="4" t="s">
        <v>13</v>
      </c>
    </row>
    <row r="18361" spans="1:5">
      <c r="A18361" t="n">
        <v>178105</v>
      </c>
      <c r="B18361" s="36" t="n">
        <v>46</v>
      </c>
      <c r="C18361" s="7" t="n">
        <v>61456</v>
      </c>
      <c r="D18361" s="7" t="n">
        <v>5.98000001907349</v>
      </c>
      <c r="E18361" s="7" t="n">
        <v>10.0100002288818</v>
      </c>
      <c r="F18361" s="7" t="n">
        <v>47.1399993896484</v>
      </c>
      <c r="G18361" s="7" t="n">
        <v>266.299987792969</v>
      </c>
    </row>
    <row r="18362" spans="1:5">
      <c r="A18362" t="s">
        <v>4</v>
      </c>
      <c r="B18362" s="4" t="s">
        <v>5</v>
      </c>
      <c r="C18362" s="4" t="s">
        <v>7</v>
      </c>
      <c r="D18362" s="4" t="s">
        <v>7</v>
      </c>
      <c r="E18362" s="4" t="s">
        <v>13</v>
      </c>
      <c r="F18362" s="4" t="s">
        <v>13</v>
      </c>
      <c r="G18362" s="4" t="s">
        <v>13</v>
      </c>
      <c r="H18362" s="4" t="s">
        <v>11</v>
      </c>
      <c r="I18362" s="4" t="s">
        <v>7</v>
      </c>
    </row>
    <row r="18363" spans="1:5">
      <c r="A18363" t="n">
        <v>178124</v>
      </c>
      <c r="B18363" s="51" t="n">
        <v>45</v>
      </c>
      <c r="C18363" s="7" t="n">
        <v>4</v>
      </c>
      <c r="D18363" s="7" t="n">
        <v>3</v>
      </c>
      <c r="E18363" s="7" t="n">
        <v>7</v>
      </c>
      <c r="F18363" s="7" t="n">
        <v>296.5</v>
      </c>
      <c r="G18363" s="7" t="n">
        <v>0</v>
      </c>
      <c r="H18363" s="7" t="n">
        <v>0</v>
      </c>
      <c r="I18363" s="7" t="n">
        <v>0</v>
      </c>
    </row>
    <row r="18364" spans="1:5">
      <c r="A18364" t="s">
        <v>4</v>
      </c>
      <c r="B18364" s="4" t="s">
        <v>5</v>
      </c>
      <c r="C18364" s="4" t="s">
        <v>7</v>
      </c>
      <c r="D18364" s="4" t="s">
        <v>8</v>
      </c>
    </row>
    <row r="18365" spans="1:5">
      <c r="A18365" t="n">
        <v>178142</v>
      </c>
      <c r="B18365" s="6" t="n">
        <v>2</v>
      </c>
      <c r="C18365" s="7" t="n">
        <v>10</v>
      </c>
      <c r="D18365" s="7" t="s">
        <v>119</v>
      </c>
    </row>
    <row r="18366" spans="1:5">
      <c r="A18366" t="s">
        <v>4</v>
      </c>
      <c r="B18366" s="4" t="s">
        <v>5</v>
      </c>
      <c r="C18366" s="4" t="s">
        <v>11</v>
      </c>
    </row>
    <row r="18367" spans="1:5">
      <c r="A18367" t="n">
        <v>178157</v>
      </c>
      <c r="B18367" s="29" t="n">
        <v>16</v>
      </c>
      <c r="C18367" s="7" t="n">
        <v>0</v>
      </c>
    </row>
    <row r="18368" spans="1:5">
      <c r="A18368" t="s">
        <v>4</v>
      </c>
      <c r="B18368" s="4" t="s">
        <v>5</v>
      </c>
      <c r="C18368" s="4" t="s">
        <v>7</v>
      </c>
      <c r="D18368" s="4" t="s">
        <v>11</v>
      </c>
    </row>
    <row r="18369" spans="1:9">
      <c r="A18369" t="n">
        <v>178160</v>
      </c>
      <c r="B18369" s="23" t="n">
        <v>58</v>
      </c>
      <c r="C18369" s="7" t="n">
        <v>105</v>
      </c>
      <c r="D18369" s="7" t="n">
        <v>300</v>
      </c>
    </row>
    <row r="18370" spans="1:9">
      <c r="A18370" t="s">
        <v>4</v>
      </c>
      <c r="B18370" s="4" t="s">
        <v>5</v>
      </c>
      <c r="C18370" s="4" t="s">
        <v>13</v>
      </c>
      <c r="D18370" s="4" t="s">
        <v>11</v>
      </c>
    </row>
    <row r="18371" spans="1:9">
      <c r="A18371" t="n">
        <v>178164</v>
      </c>
      <c r="B18371" s="46" t="n">
        <v>103</v>
      </c>
      <c r="C18371" s="7" t="n">
        <v>1</v>
      </c>
      <c r="D18371" s="7" t="n">
        <v>300</v>
      </c>
    </row>
    <row r="18372" spans="1:9">
      <c r="A18372" t="s">
        <v>4</v>
      </c>
      <c r="B18372" s="4" t="s">
        <v>5</v>
      </c>
      <c r="C18372" s="4" t="s">
        <v>7</v>
      </c>
      <c r="D18372" s="4" t="s">
        <v>11</v>
      </c>
    </row>
    <row r="18373" spans="1:9">
      <c r="A18373" t="n">
        <v>178171</v>
      </c>
      <c r="B18373" s="48" t="n">
        <v>72</v>
      </c>
      <c r="C18373" s="7" t="n">
        <v>4</v>
      </c>
      <c r="D18373" s="7" t="n">
        <v>0</v>
      </c>
    </row>
    <row r="18374" spans="1:9">
      <c r="A18374" t="s">
        <v>4</v>
      </c>
      <c r="B18374" s="4" t="s">
        <v>5</v>
      </c>
      <c r="C18374" s="4" t="s">
        <v>15</v>
      </c>
    </row>
    <row r="18375" spans="1:9">
      <c r="A18375" t="n">
        <v>178175</v>
      </c>
      <c r="B18375" s="61" t="n">
        <v>15</v>
      </c>
      <c r="C18375" s="7" t="n">
        <v>1073741824</v>
      </c>
    </row>
    <row r="18376" spans="1:9">
      <c r="A18376" t="s">
        <v>4</v>
      </c>
      <c r="B18376" s="4" t="s">
        <v>5</v>
      </c>
      <c r="C18376" s="4" t="s">
        <v>7</v>
      </c>
    </row>
    <row r="18377" spans="1:9">
      <c r="A18377" t="n">
        <v>178180</v>
      </c>
      <c r="B18377" s="47" t="n">
        <v>64</v>
      </c>
      <c r="C18377" s="7" t="n">
        <v>3</v>
      </c>
    </row>
    <row r="18378" spans="1:9">
      <c r="A18378" t="s">
        <v>4</v>
      </c>
      <c r="B18378" s="4" t="s">
        <v>5</v>
      </c>
      <c r="C18378" s="4" t="s">
        <v>7</v>
      </c>
    </row>
    <row r="18379" spans="1:9">
      <c r="A18379" t="n">
        <v>178182</v>
      </c>
      <c r="B18379" s="45" t="n">
        <v>74</v>
      </c>
      <c r="C18379" s="7" t="n">
        <v>67</v>
      </c>
    </row>
    <row r="18380" spans="1:9">
      <c r="A18380" t="s">
        <v>4</v>
      </c>
      <c r="B18380" s="4" t="s">
        <v>5</v>
      </c>
      <c r="C18380" s="4" t="s">
        <v>7</v>
      </c>
      <c r="D18380" s="4" t="s">
        <v>7</v>
      </c>
      <c r="E18380" s="4" t="s">
        <v>11</v>
      </c>
    </row>
    <row r="18381" spans="1:9">
      <c r="A18381" t="n">
        <v>178184</v>
      </c>
      <c r="B18381" s="51" t="n">
        <v>45</v>
      </c>
      <c r="C18381" s="7" t="n">
        <v>8</v>
      </c>
      <c r="D18381" s="7" t="n">
        <v>1</v>
      </c>
      <c r="E18381" s="7" t="n">
        <v>0</v>
      </c>
    </row>
    <row r="18382" spans="1:9">
      <c r="A18382" t="s">
        <v>4</v>
      </c>
      <c r="B18382" s="4" t="s">
        <v>5</v>
      </c>
      <c r="C18382" s="4" t="s">
        <v>11</v>
      </c>
    </row>
    <row r="18383" spans="1:9">
      <c r="A18383" t="n">
        <v>178189</v>
      </c>
      <c r="B18383" s="12" t="n">
        <v>13</v>
      </c>
      <c r="C18383" s="7" t="n">
        <v>6409</v>
      </c>
    </row>
    <row r="18384" spans="1:9">
      <c r="A18384" t="s">
        <v>4</v>
      </c>
      <c r="B18384" s="4" t="s">
        <v>5</v>
      </c>
      <c r="C18384" s="4" t="s">
        <v>11</v>
      </c>
    </row>
    <row r="18385" spans="1:5">
      <c r="A18385" t="n">
        <v>178192</v>
      </c>
      <c r="B18385" s="12" t="n">
        <v>13</v>
      </c>
      <c r="C18385" s="7" t="n">
        <v>6408</v>
      </c>
    </row>
    <row r="18386" spans="1:5">
      <c r="A18386" t="s">
        <v>4</v>
      </c>
      <c r="B18386" s="4" t="s">
        <v>5</v>
      </c>
      <c r="C18386" s="4" t="s">
        <v>11</v>
      </c>
    </row>
    <row r="18387" spans="1:5">
      <c r="A18387" t="n">
        <v>178195</v>
      </c>
      <c r="B18387" s="43" t="n">
        <v>12</v>
      </c>
      <c r="C18387" s="7" t="n">
        <v>6464</v>
      </c>
    </row>
    <row r="18388" spans="1:5">
      <c r="A18388" t="s">
        <v>4</v>
      </c>
      <c r="B18388" s="4" t="s">
        <v>5</v>
      </c>
      <c r="C18388" s="4" t="s">
        <v>11</v>
      </c>
    </row>
    <row r="18389" spans="1:5">
      <c r="A18389" t="n">
        <v>178198</v>
      </c>
      <c r="B18389" s="12" t="n">
        <v>13</v>
      </c>
      <c r="C18389" s="7" t="n">
        <v>6465</v>
      </c>
    </row>
    <row r="18390" spans="1:5">
      <c r="A18390" t="s">
        <v>4</v>
      </c>
      <c r="B18390" s="4" t="s">
        <v>5</v>
      </c>
      <c r="C18390" s="4" t="s">
        <v>11</v>
      </c>
    </row>
    <row r="18391" spans="1:5">
      <c r="A18391" t="n">
        <v>178201</v>
      </c>
      <c r="B18391" s="12" t="n">
        <v>13</v>
      </c>
      <c r="C18391" s="7" t="n">
        <v>6466</v>
      </c>
    </row>
    <row r="18392" spans="1:5">
      <c r="A18392" t="s">
        <v>4</v>
      </c>
      <c r="B18392" s="4" t="s">
        <v>5</v>
      </c>
      <c r="C18392" s="4" t="s">
        <v>11</v>
      </c>
    </row>
    <row r="18393" spans="1:5">
      <c r="A18393" t="n">
        <v>178204</v>
      </c>
      <c r="B18393" s="12" t="n">
        <v>13</v>
      </c>
      <c r="C18393" s="7" t="n">
        <v>6467</v>
      </c>
    </row>
    <row r="18394" spans="1:5">
      <c r="A18394" t="s">
        <v>4</v>
      </c>
      <c r="B18394" s="4" t="s">
        <v>5</v>
      </c>
      <c r="C18394" s="4" t="s">
        <v>11</v>
      </c>
    </row>
    <row r="18395" spans="1:5">
      <c r="A18395" t="n">
        <v>178207</v>
      </c>
      <c r="B18395" s="12" t="n">
        <v>13</v>
      </c>
      <c r="C18395" s="7" t="n">
        <v>6468</v>
      </c>
    </row>
    <row r="18396" spans="1:5">
      <c r="A18396" t="s">
        <v>4</v>
      </c>
      <c r="B18396" s="4" t="s">
        <v>5</v>
      </c>
      <c r="C18396" s="4" t="s">
        <v>11</v>
      </c>
    </row>
    <row r="18397" spans="1:5">
      <c r="A18397" t="n">
        <v>178210</v>
      </c>
      <c r="B18397" s="12" t="n">
        <v>13</v>
      </c>
      <c r="C18397" s="7" t="n">
        <v>6469</v>
      </c>
    </row>
    <row r="18398" spans="1:5">
      <c r="A18398" t="s">
        <v>4</v>
      </c>
      <c r="B18398" s="4" t="s">
        <v>5</v>
      </c>
      <c r="C18398" s="4" t="s">
        <v>11</v>
      </c>
    </row>
    <row r="18399" spans="1:5">
      <c r="A18399" t="n">
        <v>178213</v>
      </c>
      <c r="B18399" s="12" t="n">
        <v>13</v>
      </c>
      <c r="C18399" s="7" t="n">
        <v>6470</v>
      </c>
    </row>
    <row r="18400" spans="1:5">
      <c r="A18400" t="s">
        <v>4</v>
      </c>
      <c r="B18400" s="4" t="s">
        <v>5</v>
      </c>
      <c r="C18400" s="4" t="s">
        <v>11</v>
      </c>
    </row>
    <row r="18401" spans="1:3">
      <c r="A18401" t="n">
        <v>178216</v>
      </c>
      <c r="B18401" s="12" t="n">
        <v>13</v>
      </c>
      <c r="C18401" s="7" t="n">
        <v>6471</v>
      </c>
    </row>
    <row r="18402" spans="1:3">
      <c r="A18402" t="s">
        <v>4</v>
      </c>
      <c r="B18402" s="4" t="s">
        <v>5</v>
      </c>
      <c r="C18402" s="4" t="s">
        <v>7</v>
      </c>
    </row>
    <row r="18403" spans="1:3">
      <c r="A18403" t="n">
        <v>178219</v>
      </c>
      <c r="B18403" s="45" t="n">
        <v>74</v>
      </c>
      <c r="C18403" s="7" t="n">
        <v>18</v>
      </c>
    </row>
    <row r="18404" spans="1:3">
      <c r="A18404" t="s">
        <v>4</v>
      </c>
      <c r="B18404" s="4" t="s">
        <v>5</v>
      </c>
      <c r="C18404" s="4" t="s">
        <v>7</v>
      </c>
    </row>
    <row r="18405" spans="1:3">
      <c r="A18405" t="n">
        <v>178221</v>
      </c>
      <c r="B18405" s="45" t="n">
        <v>74</v>
      </c>
      <c r="C18405" s="7" t="n">
        <v>45</v>
      </c>
    </row>
    <row r="18406" spans="1:3">
      <c r="A18406" t="s">
        <v>4</v>
      </c>
      <c r="B18406" s="4" t="s">
        <v>5</v>
      </c>
      <c r="C18406" s="4" t="s">
        <v>11</v>
      </c>
    </row>
    <row r="18407" spans="1:3">
      <c r="A18407" t="n">
        <v>178223</v>
      </c>
      <c r="B18407" s="29" t="n">
        <v>16</v>
      </c>
      <c r="C18407" s="7" t="n">
        <v>0</v>
      </c>
    </row>
    <row r="18408" spans="1:3">
      <c r="A18408" t="s">
        <v>4</v>
      </c>
      <c r="B18408" s="4" t="s">
        <v>5</v>
      </c>
      <c r="C18408" s="4" t="s">
        <v>7</v>
      </c>
      <c r="D18408" s="4" t="s">
        <v>7</v>
      </c>
      <c r="E18408" s="4" t="s">
        <v>7</v>
      </c>
      <c r="F18408" s="4" t="s">
        <v>7</v>
      </c>
    </row>
    <row r="18409" spans="1:3">
      <c r="A18409" t="n">
        <v>178226</v>
      </c>
      <c r="B18409" s="9" t="n">
        <v>14</v>
      </c>
      <c r="C18409" s="7" t="n">
        <v>0</v>
      </c>
      <c r="D18409" s="7" t="n">
        <v>8</v>
      </c>
      <c r="E18409" s="7" t="n">
        <v>0</v>
      </c>
      <c r="F18409" s="7" t="n">
        <v>0</v>
      </c>
    </row>
    <row r="18410" spans="1:3">
      <c r="A18410" t="s">
        <v>4</v>
      </c>
      <c r="B18410" s="4" t="s">
        <v>5</v>
      </c>
      <c r="C18410" s="4" t="s">
        <v>7</v>
      </c>
      <c r="D18410" s="4" t="s">
        <v>8</v>
      </c>
    </row>
    <row r="18411" spans="1:3">
      <c r="A18411" t="n">
        <v>178231</v>
      </c>
      <c r="B18411" s="6" t="n">
        <v>2</v>
      </c>
      <c r="C18411" s="7" t="n">
        <v>11</v>
      </c>
      <c r="D18411" s="7" t="s">
        <v>14</v>
      </c>
    </row>
    <row r="18412" spans="1:3">
      <c r="A18412" t="s">
        <v>4</v>
      </c>
      <c r="B18412" s="4" t="s">
        <v>5</v>
      </c>
      <c r="C18412" s="4" t="s">
        <v>11</v>
      </c>
    </row>
    <row r="18413" spans="1:3">
      <c r="A18413" t="n">
        <v>178245</v>
      </c>
      <c r="B18413" s="29" t="n">
        <v>16</v>
      </c>
      <c r="C18413" s="7" t="n">
        <v>0</v>
      </c>
    </row>
    <row r="18414" spans="1:3">
      <c r="A18414" t="s">
        <v>4</v>
      </c>
      <c r="B18414" s="4" t="s">
        <v>5</v>
      </c>
      <c r="C18414" s="4" t="s">
        <v>7</v>
      </c>
      <c r="D18414" s="4" t="s">
        <v>8</v>
      </c>
    </row>
    <row r="18415" spans="1:3">
      <c r="A18415" t="n">
        <v>178248</v>
      </c>
      <c r="B18415" s="6" t="n">
        <v>2</v>
      </c>
      <c r="C18415" s="7" t="n">
        <v>11</v>
      </c>
      <c r="D18415" s="7" t="s">
        <v>120</v>
      </c>
    </row>
    <row r="18416" spans="1:3">
      <c r="A18416" t="s">
        <v>4</v>
      </c>
      <c r="B18416" s="4" t="s">
        <v>5</v>
      </c>
      <c r="C18416" s="4" t="s">
        <v>11</v>
      </c>
    </row>
    <row r="18417" spans="1:6">
      <c r="A18417" t="n">
        <v>178257</v>
      </c>
      <c r="B18417" s="29" t="n">
        <v>16</v>
      </c>
      <c r="C18417" s="7" t="n">
        <v>0</v>
      </c>
    </row>
    <row r="18418" spans="1:6">
      <c r="A18418" t="s">
        <v>4</v>
      </c>
      <c r="B18418" s="4" t="s">
        <v>5</v>
      </c>
      <c r="C18418" s="4" t="s">
        <v>15</v>
      </c>
    </row>
    <row r="18419" spans="1:6">
      <c r="A18419" t="n">
        <v>178260</v>
      </c>
      <c r="B18419" s="61" t="n">
        <v>15</v>
      </c>
      <c r="C18419" s="7" t="n">
        <v>2048</v>
      </c>
    </row>
    <row r="18420" spans="1:6">
      <c r="A18420" t="s">
        <v>4</v>
      </c>
      <c r="B18420" s="4" t="s">
        <v>5</v>
      </c>
      <c r="C18420" s="4" t="s">
        <v>7</v>
      </c>
      <c r="D18420" s="4" t="s">
        <v>8</v>
      </c>
    </row>
    <row r="18421" spans="1:6">
      <c r="A18421" t="n">
        <v>178265</v>
      </c>
      <c r="B18421" s="6" t="n">
        <v>2</v>
      </c>
      <c r="C18421" s="7" t="n">
        <v>10</v>
      </c>
      <c r="D18421" s="7" t="s">
        <v>52</v>
      </c>
    </row>
    <row r="18422" spans="1:6">
      <c r="A18422" t="s">
        <v>4</v>
      </c>
      <c r="B18422" s="4" t="s">
        <v>5</v>
      </c>
      <c r="C18422" s="4" t="s">
        <v>11</v>
      </c>
    </row>
    <row r="18423" spans="1:6">
      <c r="A18423" t="n">
        <v>178283</v>
      </c>
      <c r="B18423" s="29" t="n">
        <v>16</v>
      </c>
      <c r="C18423" s="7" t="n">
        <v>0</v>
      </c>
    </row>
    <row r="18424" spans="1:6">
      <c r="A18424" t="s">
        <v>4</v>
      </c>
      <c r="B18424" s="4" t="s">
        <v>5</v>
      </c>
      <c r="C18424" s="4" t="s">
        <v>7</v>
      </c>
      <c r="D18424" s="4" t="s">
        <v>8</v>
      </c>
    </row>
    <row r="18425" spans="1:6">
      <c r="A18425" t="n">
        <v>178286</v>
      </c>
      <c r="B18425" s="6" t="n">
        <v>2</v>
      </c>
      <c r="C18425" s="7" t="n">
        <v>10</v>
      </c>
      <c r="D18425" s="7" t="s">
        <v>53</v>
      </c>
    </row>
    <row r="18426" spans="1:6">
      <c r="A18426" t="s">
        <v>4</v>
      </c>
      <c r="B18426" s="4" t="s">
        <v>5</v>
      </c>
      <c r="C18426" s="4" t="s">
        <v>11</v>
      </c>
    </row>
    <row r="18427" spans="1:6">
      <c r="A18427" t="n">
        <v>178305</v>
      </c>
      <c r="B18427" s="29" t="n">
        <v>16</v>
      </c>
      <c r="C18427" s="7" t="n">
        <v>0</v>
      </c>
    </row>
    <row r="18428" spans="1:6">
      <c r="A18428" t="s">
        <v>4</v>
      </c>
      <c r="B18428" s="4" t="s">
        <v>5</v>
      </c>
      <c r="C18428" s="4" t="s">
        <v>7</v>
      </c>
      <c r="D18428" s="4" t="s">
        <v>11</v>
      </c>
      <c r="E18428" s="4" t="s">
        <v>13</v>
      </c>
    </row>
    <row r="18429" spans="1:6">
      <c r="A18429" t="n">
        <v>178308</v>
      </c>
      <c r="B18429" s="23" t="n">
        <v>58</v>
      </c>
      <c r="C18429" s="7" t="n">
        <v>100</v>
      </c>
      <c r="D18429" s="7" t="n">
        <v>300</v>
      </c>
      <c r="E18429" s="7" t="n">
        <v>1</v>
      </c>
    </row>
    <row r="18430" spans="1:6">
      <c r="A18430" t="s">
        <v>4</v>
      </c>
      <c r="B18430" s="4" t="s">
        <v>5</v>
      </c>
      <c r="C18430" s="4" t="s">
        <v>7</v>
      </c>
      <c r="D18430" s="4" t="s">
        <v>11</v>
      </c>
    </row>
    <row r="18431" spans="1:6">
      <c r="A18431" t="n">
        <v>178316</v>
      </c>
      <c r="B18431" s="23" t="n">
        <v>58</v>
      </c>
      <c r="C18431" s="7" t="n">
        <v>255</v>
      </c>
      <c r="D18431" s="7" t="n">
        <v>0</v>
      </c>
    </row>
    <row r="18432" spans="1:6">
      <c r="A18432" t="s">
        <v>4</v>
      </c>
      <c r="B18432" s="4" t="s">
        <v>5</v>
      </c>
      <c r="C18432" s="4" t="s">
        <v>7</v>
      </c>
    </row>
    <row r="18433" spans="1:5">
      <c r="A18433" t="n">
        <v>178320</v>
      </c>
      <c r="B18433" s="30" t="n">
        <v>23</v>
      </c>
      <c r="C18433" s="7" t="n">
        <v>0</v>
      </c>
    </row>
    <row r="18434" spans="1:5">
      <c r="A18434" t="s">
        <v>4</v>
      </c>
      <c r="B18434" s="4" t="s">
        <v>5</v>
      </c>
    </row>
    <row r="18435" spans="1:5">
      <c r="A18435" t="n">
        <v>178322</v>
      </c>
      <c r="B18435" s="5" t="n">
        <v>1</v>
      </c>
    </row>
    <row r="18436" spans="1:5" s="3" customFormat="1" customHeight="0">
      <c r="A18436" s="3" t="s">
        <v>2</v>
      </c>
      <c r="B18436" s="3" t="s">
        <v>1515</v>
      </c>
    </row>
    <row r="18437" spans="1:5">
      <c r="A18437" t="s">
        <v>4</v>
      </c>
      <c r="B18437" s="4" t="s">
        <v>5</v>
      </c>
      <c r="C18437" s="4" t="s">
        <v>7</v>
      </c>
      <c r="D18437" s="4" t="s">
        <v>7</v>
      </c>
      <c r="E18437" s="4" t="s">
        <v>7</v>
      </c>
      <c r="F18437" s="4" t="s">
        <v>7</v>
      </c>
    </row>
    <row r="18438" spans="1:5">
      <c r="A18438" t="n">
        <v>178324</v>
      </c>
      <c r="B18438" s="9" t="n">
        <v>14</v>
      </c>
      <c r="C18438" s="7" t="n">
        <v>2</v>
      </c>
      <c r="D18438" s="7" t="n">
        <v>0</v>
      </c>
      <c r="E18438" s="7" t="n">
        <v>0</v>
      </c>
      <c r="F18438" s="7" t="n">
        <v>0</v>
      </c>
    </row>
    <row r="18439" spans="1:5">
      <c r="A18439" t="s">
        <v>4</v>
      </c>
      <c r="B18439" s="4" t="s">
        <v>5</v>
      </c>
      <c r="C18439" s="4" t="s">
        <v>7</v>
      </c>
      <c r="D18439" s="20" t="s">
        <v>35</v>
      </c>
      <c r="E18439" s="4" t="s">
        <v>5</v>
      </c>
      <c r="F18439" s="4" t="s">
        <v>7</v>
      </c>
      <c r="G18439" s="4" t="s">
        <v>11</v>
      </c>
      <c r="H18439" s="20" t="s">
        <v>36</v>
      </c>
      <c r="I18439" s="4" t="s">
        <v>7</v>
      </c>
      <c r="J18439" s="4" t="s">
        <v>15</v>
      </c>
      <c r="K18439" s="4" t="s">
        <v>7</v>
      </c>
      <c r="L18439" s="4" t="s">
        <v>7</v>
      </c>
      <c r="M18439" s="20" t="s">
        <v>35</v>
      </c>
      <c r="N18439" s="4" t="s">
        <v>5</v>
      </c>
      <c r="O18439" s="4" t="s">
        <v>7</v>
      </c>
      <c r="P18439" s="4" t="s">
        <v>11</v>
      </c>
      <c r="Q18439" s="20" t="s">
        <v>36</v>
      </c>
      <c r="R18439" s="4" t="s">
        <v>7</v>
      </c>
      <c r="S18439" s="4" t="s">
        <v>15</v>
      </c>
      <c r="T18439" s="4" t="s">
        <v>7</v>
      </c>
      <c r="U18439" s="4" t="s">
        <v>7</v>
      </c>
      <c r="V18439" s="4" t="s">
        <v>7</v>
      </c>
      <c r="W18439" s="4" t="s">
        <v>12</v>
      </c>
    </row>
    <row r="18440" spans="1:5">
      <c r="A18440" t="n">
        <v>178329</v>
      </c>
      <c r="B18440" s="10" t="n">
        <v>5</v>
      </c>
      <c r="C18440" s="7" t="n">
        <v>28</v>
      </c>
      <c r="D18440" s="20" t="s">
        <v>3</v>
      </c>
      <c r="E18440" s="8" t="n">
        <v>162</v>
      </c>
      <c r="F18440" s="7" t="n">
        <v>3</v>
      </c>
      <c r="G18440" s="7" t="n">
        <v>33157</v>
      </c>
      <c r="H18440" s="20" t="s">
        <v>3</v>
      </c>
      <c r="I18440" s="7" t="n">
        <v>0</v>
      </c>
      <c r="J18440" s="7" t="n">
        <v>1</v>
      </c>
      <c r="K18440" s="7" t="n">
        <v>2</v>
      </c>
      <c r="L18440" s="7" t="n">
        <v>28</v>
      </c>
      <c r="M18440" s="20" t="s">
        <v>3</v>
      </c>
      <c r="N18440" s="8" t="n">
        <v>162</v>
      </c>
      <c r="O18440" s="7" t="n">
        <v>3</v>
      </c>
      <c r="P18440" s="7" t="n">
        <v>33157</v>
      </c>
      <c r="Q18440" s="20" t="s">
        <v>3</v>
      </c>
      <c r="R18440" s="7" t="n">
        <v>0</v>
      </c>
      <c r="S18440" s="7" t="n">
        <v>2</v>
      </c>
      <c r="T18440" s="7" t="n">
        <v>2</v>
      </c>
      <c r="U18440" s="7" t="n">
        <v>11</v>
      </c>
      <c r="V18440" s="7" t="n">
        <v>1</v>
      </c>
      <c r="W18440" s="11" t="n">
        <f t="normal" ca="1">A18444</f>
        <v>0</v>
      </c>
    </row>
    <row r="18441" spans="1:5">
      <c r="A18441" t="s">
        <v>4</v>
      </c>
      <c r="B18441" s="4" t="s">
        <v>5</v>
      </c>
      <c r="C18441" s="4" t="s">
        <v>7</v>
      </c>
      <c r="D18441" s="4" t="s">
        <v>11</v>
      </c>
      <c r="E18441" s="4" t="s">
        <v>13</v>
      </c>
    </row>
    <row r="18442" spans="1:5">
      <c r="A18442" t="n">
        <v>178358</v>
      </c>
      <c r="B18442" s="23" t="n">
        <v>58</v>
      </c>
      <c r="C18442" s="7" t="n">
        <v>0</v>
      </c>
      <c r="D18442" s="7" t="n">
        <v>0</v>
      </c>
      <c r="E18442" s="7" t="n">
        <v>1</v>
      </c>
    </row>
    <row r="18443" spans="1:5">
      <c r="A18443" t="s">
        <v>4</v>
      </c>
      <c r="B18443" s="4" t="s">
        <v>5</v>
      </c>
      <c r="C18443" s="4" t="s">
        <v>7</v>
      </c>
      <c r="D18443" s="20" t="s">
        <v>35</v>
      </c>
      <c r="E18443" s="4" t="s">
        <v>5</v>
      </c>
      <c r="F18443" s="4" t="s">
        <v>7</v>
      </c>
      <c r="G18443" s="4" t="s">
        <v>11</v>
      </c>
      <c r="H18443" s="20" t="s">
        <v>36</v>
      </c>
      <c r="I18443" s="4" t="s">
        <v>7</v>
      </c>
      <c r="J18443" s="4" t="s">
        <v>15</v>
      </c>
      <c r="K18443" s="4" t="s">
        <v>7</v>
      </c>
      <c r="L18443" s="4" t="s">
        <v>7</v>
      </c>
      <c r="M18443" s="20" t="s">
        <v>35</v>
      </c>
      <c r="N18443" s="4" t="s">
        <v>5</v>
      </c>
      <c r="O18443" s="4" t="s">
        <v>7</v>
      </c>
      <c r="P18443" s="4" t="s">
        <v>11</v>
      </c>
      <c r="Q18443" s="20" t="s">
        <v>36</v>
      </c>
      <c r="R18443" s="4" t="s">
        <v>7</v>
      </c>
      <c r="S18443" s="4" t="s">
        <v>15</v>
      </c>
      <c r="T18443" s="4" t="s">
        <v>7</v>
      </c>
      <c r="U18443" s="4" t="s">
        <v>7</v>
      </c>
      <c r="V18443" s="4" t="s">
        <v>7</v>
      </c>
      <c r="W18443" s="4" t="s">
        <v>12</v>
      </c>
    </row>
    <row r="18444" spans="1:5">
      <c r="A18444" t="n">
        <v>178366</v>
      </c>
      <c r="B18444" s="10" t="n">
        <v>5</v>
      </c>
      <c r="C18444" s="7" t="n">
        <v>28</v>
      </c>
      <c r="D18444" s="20" t="s">
        <v>3</v>
      </c>
      <c r="E18444" s="8" t="n">
        <v>162</v>
      </c>
      <c r="F18444" s="7" t="n">
        <v>3</v>
      </c>
      <c r="G18444" s="7" t="n">
        <v>33157</v>
      </c>
      <c r="H18444" s="20" t="s">
        <v>3</v>
      </c>
      <c r="I18444" s="7" t="n">
        <v>0</v>
      </c>
      <c r="J18444" s="7" t="n">
        <v>1</v>
      </c>
      <c r="K18444" s="7" t="n">
        <v>3</v>
      </c>
      <c r="L18444" s="7" t="n">
        <v>28</v>
      </c>
      <c r="M18444" s="20" t="s">
        <v>3</v>
      </c>
      <c r="N18444" s="8" t="n">
        <v>162</v>
      </c>
      <c r="O18444" s="7" t="n">
        <v>3</v>
      </c>
      <c r="P18444" s="7" t="n">
        <v>33157</v>
      </c>
      <c r="Q18444" s="20" t="s">
        <v>3</v>
      </c>
      <c r="R18444" s="7" t="n">
        <v>0</v>
      </c>
      <c r="S18444" s="7" t="n">
        <v>2</v>
      </c>
      <c r="T18444" s="7" t="n">
        <v>3</v>
      </c>
      <c r="U18444" s="7" t="n">
        <v>9</v>
      </c>
      <c r="V18444" s="7" t="n">
        <v>1</v>
      </c>
      <c r="W18444" s="11" t="n">
        <f t="normal" ca="1">A18454</f>
        <v>0</v>
      </c>
    </row>
    <row r="18445" spans="1:5">
      <c r="A18445" t="s">
        <v>4</v>
      </c>
      <c r="B18445" s="4" t="s">
        <v>5</v>
      </c>
      <c r="C18445" s="4" t="s">
        <v>7</v>
      </c>
      <c r="D18445" s="20" t="s">
        <v>35</v>
      </c>
      <c r="E18445" s="4" t="s">
        <v>5</v>
      </c>
      <c r="F18445" s="4" t="s">
        <v>11</v>
      </c>
      <c r="G18445" s="4" t="s">
        <v>7</v>
      </c>
      <c r="H18445" s="4" t="s">
        <v>7</v>
      </c>
      <c r="I18445" s="4" t="s">
        <v>8</v>
      </c>
      <c r="J18445" s="20" t="s">
        <v>36</v>
      </c>
      <c r="K18445" s="4" t="s">
        <v>7</v>
      </c>
      <c r="L18445" s="4" t="s">
        <v>7</v>
      </c>
      <c r="M18445" s="20" t="s">
        <v>35</v>
      </c>
      <c r="N18445" s="4" t="s">
        <v>5</v>
      </c>
      <c r="O18445" s="4" t="s">
        <v>7</v>
      </c>
      <c r="P18445" s="20" t="s">
        <v>36</v>
      </c>
      <c r="Q18445" s="4" t="s">
        <v>7</v>
      </c>
      <c r="R18445" s="4" t="s">
        <v>15</v>
      </c>
      <c r="S18445" s="4" t="s">
        <v>7</v>
      </c>
      <c r="T18445" s="4" t="s">
        <v>7</v>
      </c>
      <c r="U18445" s="4" t="s">
        <v>7</v>
      </c>
      <c r="V18445" s="20" t="s">
        <v>35</v>
      </c>
      <c r="W18445" s="4" t="s">
        <v>5</v>
      </c>
      <c r="X18445" s="4" t="s">
        <v>7</v>
      </c>
      <c r="Y18445" s="20" t="s">
        <v>36</v>
      </c>
      <c r="Z18445" s="4" t="s">
        <v>7</v>
      </c>
      <c r="AA18445" s="4" t="s">
        <v>15</v>
      </c>
      <c r="AB18445" s="4" t="s">
        <v>7</v>
      </c>
      <c r="AC18445" s="4" t="s">
        <v>7</v>
      </c>
      <c r="AD18445" s="4" t="s">
        <v>7</v>
      </c>
      <c r="AE18445" s="4" t="s">
        <v>12</v>
      </c>
    </row>
    <row r="18446" spans="1:5">
      <c r="A18446" t="n">
        <v>178395</v>
      </c>
      <c r="B18446" s="10" t="n">
        <v>5</v>
      </c>
      <c r="C18446" s="7" t="n">
        <v>28</v>
      </c>
      <c r="D18446" s="20" t="s">
        <v>3</v>
      </c>
      <c r="E18446" s="41" t="n">
        <v>47</v>
      </c>
      <c r="F18446" s="7" t="n">
        <v>61456</v>
      </c>
      <c r="G18446" s="7" t="n">
        <v>2</v>
      </c>
      <c r="H18446" s="7" t="n">
        <v>0</v>
      </c>
      <c r="I18446" s="7" t="s">
        <v>105</v>
      </c>
      <c r="J18446" s="20" t="s">
        <v>3</v>
      </c>
      <c r="K18446" s="7" t="n">
        <v>8</v>
      </c>
      <c r="L18446" s="7" t="n">
        <v>28</v>
      </c>
      <c r="M18446" s="20" t="s">
        <v>3</v>
      </c>
      <c r="N18446" s="45" t="n">
        <v>74</v>
      </c>
      <c r="O18446" s="7" t="n">
        <v>65</v>
      </c>
      <c r="P18446" s="20" t="s">
        <v>3</v>
      </c>
      <c r="Q18446" s="7" t="n">
        <v>0</v>
      </c>
      <c r="R18446" s="7" t="n">
        <v>1</v>
      </c>
      <c r="S18446" s="7" t="n">
        <v>3</v>
      </c>
      <c r="T18446" s="7" t="n">
        <v>9</v>
      </c>
      <c r="U18446" s="7" t="n">
        <v>28</v>
      </c>
      <c r="V18446" s="20" t="s">
        <v>3</v>
      </c>
      <c r="W18446" s="45" t="n">
        <v>74</v>
      </c>
      <c r="X18446" s="7" t="n">
        <v>65</v>
      </c>
      <c r="Y18446" s="20" t="s">
        <v>3</v>
      </c>
      <c r="Z18446" s="7" t="n">
        <v>0</v>
      </c>
      <c r="AA18446" s="7" t="n">
        <v>2</v>
      </c>
      <c r="AB18446" s="7" t="n">
        <v>3</v>
      </c>
      <c r="AC18446" s="7" t="n">
        <v>9</v>
      </c>
      <c r="AD18446" s="7" t="n">
        <v>1</v>
      </c>
      <c r="AE18446" s="11" t="n">
        <f t="normal" ca="1">A18450</f>
        <v>0</v>
      </c>
    </row>
    <row r="18447" spans="1:5">
      <c r="A18447" t="s">
        <v>4</v>
      </c>
      <c r="B18447" s="4" t="s">
        <v>5</v>
      </c>
      <c r="C18447" s="4" t="s">
        <v>11</v>
      </c>
      <c r="D18447" s="4" t="s">
        <v>7</v>
      </c>
      <c r="E18447" s="4" t="s">
        <v>7</v>
      </c>
      <c r="F18447" s="4" t="s">
        <v>8</v>
      </c>
    </row>
    <row r="18448" spans="1:5">
      <c r="A18448" t="n">
        <v>178443</v>
      </c>
      <c r="B18448" s="41" t="n">
        <v>47</v>
      </c>
      <c r="C18448" s="7" t="n">
        <v>61456</v>
      </c>
      <c r="D18448" s="7" t="n">
        <v>0</v>
      </c>
      <c r="E18448" s="7" t="n">
        <v>0</v>
      </c>
      <c r="F18448" s="7" t="s">
        <v>106</v>
      </c>
    </row>
    <row r="18449" spans="1:31">
      <c r="A18449" t="s">
        <v>4</v>
      </c>
      <c r="B18449" s="4" t="s">
        <v>5</v>
      </c>
      <c r="C18449" s="4" t="s">
        <v>7</v>
      </c>
      <c r="D18449" s="4" t="s">
        <v>11</v>
      </c>
      <c r="E18449" s="4" t="s">
        <v>13</v>
      </c>
    </row>
    <row r="18450" spans="1:31">
      <c r="A18450" t="n">
        <v>178456</v>
      </c>
      <c r="B18450" s="23" t="n">
        <v>58</v>
      </c>
      <c r="C18450" s="7" t="n">
        <v>0</v>
      </c>
      <c r="D18450" s="7" t="n">
        <v>300</v>
      </c>
      <c r="E18450" s="7" t="n">
        <v>1</v>
      </c>
    </row>
    <row r="18451" spans="1:31">
      <c r="A18451" t="s">
        <v>4</v>
      </c>
      <c r="B18451" s="4" t="s">
        <v>5</v>
      </c>
      <c r="C18451" s="4" t="s">
        <v>7</v>
      </c>
      <c r="D18451" s="4" t="s">
        <v>11</v>
      </c>
    </row>
    <row r="18452" spans="1:31">
      <c r="A18452" t="n">
        <v>178464</v>
      </c>
      <c r="B18452" s="23" t="n">
        <v>58</v>
      </c>
      <c r="C18452" s="7" t="n">
        <v>255</v>
      </c>
      <c r="D18452" s="7" t="n">
        <v>0</v>
      </c>
    </row>
    <row r="18453" spans="1:31">
      <c r="A18453" t="s">
        <v>4</v>
      </c>
      <c r="B18453" s="4" t="s">
        <v>5</v>
      </c>
      <c r="C18453" s="4" t="s">
        <v>7</v>
      </c>
      <c r="D18453" s="4" t="s">
        <v>7</v>
      </c>
      <c r="E18453" s="4" t="s">
        <v>7</v>
      </c>
      <c r="F18453" s="4" t="s">
        <v>7</v>
      </c>
    </row>
    <row r="18454" spans="1:31">
      <c r="A18454" t="n">
        <v>178468</v>
      </c>
      <c r="B18454" s="9" t="n">
        <v>14</v>
      </c>
      <c r="C18454" s="7" t="n">
        <v>0</v>
      </c>
      <c r="D18454" s="7" t="n">
        <v>0</v>
      </c>
      <c r="E18454" s="7" t="n">
        <v>0</v>
      </c>
      <c r="F18454" s="7" t="n">
        <v>64</v>
      </c>
    </row>
    <row r="18455" spans="1:31">
      <c r="A18455" t="s">
        <v>4</v>
      </c>
      <c r="B18455" s="4" t="s">
        <v>5</v>
      </c>
      <c r="C18455" s="4" t="s">
        <v>7</v>
      </c>
      <c r="D18455" s="4" t="s">
        <v>11</v>
      </c>
    </row>
    <row r="18456" spans="1:31">
      <c r="A18456" t="n">
        <v>178473</v>
      </c>
      <c r="B18456" s="22" t="n">
        <v>22</v>
      </c>
      <c r="C18456" s="7" t="n">
        <v>0</v>
      </c>
      <c r="D18456" s="7" t="n">
        <v>33157</v>
      </c>
    </row>
    <row r="18457" spans="1:31">
      <c r="A18457" t="s">
        <v>4</v>
      </c>
      <c r="B18457" s="4" t="s">
        <v>5</v>
      </c>
      <c r="C18457" s="4" t="s">
        <v>7</v>
      </c>
      <c r="D18457" s="4" t="s">
        <v>11</v>
      </c>
    </row>
    <row r="18458" spans="1:31">
      <c r="A18458" t="n">
        <v>178477</v>
      </c>
      <c r="B18458" s="23" t="n">
        <v>58</v>
      </c>
      <c r="C18458" s="7" t="n">
        <v>5</v>
      </c>
      <c r="D18458" s="7" t="n">
        <v>300</v>
      </c>
    </row>
    <row r="18459" spans="1:31">
      <c r="A18459" t="s">
        <v>4</v>
      </c>
      <c r="B18459" s="4" t="s">
        <v>5</v>
      </c>
      <c r="C18459" s="4" t="s">
        <v>13</v>
      </c>
      <c r="D18459" s="4" t="s">
        <v>11</v>
      </c>
    </row>
    <row r="18460" spans="1:31">
      <c r="A18460" t="n">
        <v>178481</v>
      </c>
      <c r="B18460" s="46" t="n">
        <v>103</v>
      </c>
      <c r="C18460" s="7" t="n">
        <v>0</v>
      </c>
      <c r="D18460" s="7" t="n">
        <v>300</v>
      </c>
    </row>
    <row r="18461" spans="1:31">
      <c r="A18461" t="s">
        <v>4</v>
      </c>
      <c r="B18461" s="4" t="s">
        <v>5</v>
      </c>
      <c r="C18461" s="4" t="s">
        <v>7</v>
      </c>
    </row>
    <row r="18462" spans="1:31">
      <c r="A18462" t="n">
        <v>178488</v>
      </c>
      <c r="B18462" s="47" t="n">
        <v>64</v>
      </c>
      <c r="C18462" s="7" t="n">
        <v>7</v>
      </c>
    </row>
    <row r="18463" spans="1:31">
      <c r="A18463" t="s">
        <v>4</v>
      </c>
      <c r="B18463" s="4" t="s">
        <v>5</v>
      </c>
      <c r="C18463" s="4" t="s">
        <v>7</v>
      </c>
      <c r="D18463" s="4" t="s">
        <v>11</v>
      </c>
    </row>
    <row r="18464" spans="1:31">
      <c r="A18464" t="n">
        <v>178490</v>
      </c>
      <c r="B18464" s="48" t="n">
        <v>72</v>
      </c>
      <c r="C18464" s="7" t="n">
        <v>5</v>
      </c>
      <c r="D18464" s="7" t="n">
        <v>0</v>
      </c>
    </row>
    <row r="18465" spans="1:6">
      <c r="A18465" t="s">
        <v>4</v>
      </c>
      <c r="B18465" s="4" t="s">
        <v>5</v>
      </c>
      <c r="C18465" s="4" t="s">
        <v>7</v>
      </c>
      <c r="D18465" s="20" t="s">
        <v>35</v>
      </c>
      <c r="E18465" s="4" t="s">
        <v>5</v>
      </c>
      <c r="F18465" s="4" t="s">
        <v>7</v>
      </c>
      <c r="G18465" s="4" t="s">
        <v>11</v>
      </c>
      <c r="H18465" s="20" t="s">
        <v>36</v>
      </c>
      <c r="I18465" s="4" t="s">
        <v>7</v>
      </c>
      <c r="J18465" s="4" t="s">
        <v>15</v>
      </c>
      <c r="K18465" s="4" t="s">
        <v>7</v>
      </c>
      <c r="L18465" s="4" t="s">
        <v>7</v>
      </c>
      <c r="M18465" s="4" t="s">
        <v>12</v>
      </c>
    </row>
    <row r="18466" spans="1:6">
      <c r="A18466" t="n">
        <v>178494</v>
      </c>
      <c r="B18466" s="10" t="n">
        <v>5</v>
      </c>
      <c r="C18466" s="7" t="n">
        <v>28</v>
      </c>
      <c r="D18466" s="20" t="s">
        <v>3</v>
      </c>
      <c r="E18466" s="8" t="n">
        <v>162</v>
      </c>
      <c r="F18466" s="7" t="n">
        <v>4</v>
      </c>
      <c r="G18466" s="7" t="n">
        <v>33157</v>
      </c>
      <c r="H18466" s="20" t="s">
        <v>3</v>
      </c>
      <c r="I18466" s="7" t="n">
        <v>0</v>
      </c>
      <c r="J18466" s="7" t="n">
        <v>1</v>
      </c>
      <c r="K18466" s="7" t="n">
        <v>2</v>
      </c>
      <c r="L18466" s="7" t="n">
        <v>1</v>
      </c>
      <c r="M18466" s="11" t="n">
        <f t="normal" ca="1">A18472</f>
        <v>0</v>
      </c>
    </row>
    <row r="18467" spans="1:6">
      <c r="A18467" t="s">
        <v>4</v>
      </c>
      <c r="B18467" s="4" t="s">
        <v>5</v>
      </c>
      <c r="C18467" s="4" t="s">
        <v>7</v>
      </c>
      <c r="D18467" s="4" t="s">
        <v>8</v>
      </c>
    </row>
    <row r="18468" spans="1:6">
      <c r="A18468" t="n">
        <v>178511</v>
      </c>
      <c r="B18468" s="6" t="n">
        <v>2</v>
      </c>
      <c r="C18468" s="7" t="n">
        <v>10</v>
      </c>
      <c r="D18468" s="7" t="s">
        <v>107</v>
      </c>
    </row>
    <row r="18469" spans="1:6">
      <c r="A18469" t="s">
        <v>4</v>
      </c>
      <c r="B18469" s="4" t="s">
        <v>5</v>
      </c>
      <c r="C18469" s="4" t="s">
        <v>11</v>
      </c>
    </row>
    <row r="18470" spans="1:6">
      <c r="A18470" t="n">
        <v>178528</v>
      </c>
      <c r="B18470" s="29" t="n">
        <v>16</v>
      </c>
      <c r="C18470" s="7" t="n">
        <v>0</v>
      </c>
    </row>
    <row r="18471" spans="1:6">
      <c r="A18471" t="s">
        <v>4</v>
      </c>
      <c r="B18471" s="4" t="s">
        <v>5</v>
      </c>
      <c r="C18471" s="4" t="s">
        <v>7</v>
      </c>
      <c r="D18471" s="4" t="s">
        <v>11</v>
      </c>
      <c r="E18471" s="4" t="s">
        <v>11</v>
      </c>
      <c r="F18471" s="4" t="s">
        <v>11</v>
      </c>
      <c r="G18471" s="4" t="s">
        <v>11</v>
      </c>
      <c r="H18471" s="4" t="s">
        <v>11</v>
      </c>
      <c r="I18471" s="4" t="s">
        <v>11</v>
      </c>
      <c r="J18471" s="4" t="s">
        <v>11</v>
      </c>
      <c r="K18471" s="4" t="s">
        <v>11</v>
      </c>
      <c r="L18471" s="4" t="s">
        <v>11</v>
      </c>
      <c r="M18471" s="4" t="s">
        <v>11</v>
      </c>
      <c r="N18471" s="4" t="s">
        <v>15</v>
      </c>
      <c r="O18471" s="4" t="s">
        <v>15</v>
      </c>
      <c r="P18471" s="4" t="s">
        <v>15</v>
      </c>
      <c r="Q18471" s="4" t="s">
        <v>15</v>
      </c>
      <c r="R18471" s="4" t="s">
        <v>7</v>
      </c>
      <c r="S18471" s="4" t="s">
        <v>8</v>
      </c>
    </row>
    <row r="18472" spans="1:6">
      <c r="A18472" t="n">
        <v>178531</v>
      </c>
      <c r="B18472" s="24" t="n">
        <v>75</v>
      </c>
      <c r="C18472" s="7" t="n">
        <v>0</v>
      </c>
      <c r="D18472" s="7" t="n">
        <v>422</v>
      </c>
      <c r="E18472" s="7" t="n">
        <v>72</v>
      </c>
      <c r="F18472" s="7" t="n">
        <v>858</v>
      </c>
      <c r="G18472" s="7" t="n">
        <v>648</v>
      </c>
      <c r="H18472" s="7" t="n">
        <v>0</v>
      </c>
      <c r="I18472" s="7" t="n">
        <v>0</v>
      </c>
      <c r="J18472" s="7" t="n">
        <v>0</v>
      </c>
      <c r="K18472" s="7" t="n">
        <v>0</v>
      </c>
      <c r="L18472" s="7" t="n">
        <v>436</v>
      </c>
      <c r="M18472" s="7" t="n">
        <v>576</v>
      </c>
      <c r="N18472" s="7" t="n">
        <v>1065353216</v>
      </c>
      <c r="O18472" s="7" t="n">
        <v>1065353216</v>
      </c>
      <c r="P18472" s="7" t="n">
        <v>1065353216</v>
      </c>
      <c r="Q18472" s="7" t="n">
        <v>0</v>
      </c>
      <c r="R18472" s="7" t="n">
        <v>0</v>
      </c>
      <c r="S18472" s="7" t="s">
        <v>50</v>
      </c>
    </row>
    <row r="18473" spans="1:6">
      <c r="A18473" t="s">
        <v>4</v>
      </c>
      <c r="B18473" s="4" t="s">
        <v>5</v>
      </c>
      <c r="C18473" s="4" t="s">
        <v>11</v>
      </c>
      <c r="D18473" s="4" t="s">
        <v>7</v>
      </c>
      <c r="E18473" s="4" t="s">
        <v>7</v>
      </c>
      <c r="F18473" s="4" t="s">
        <v>8</v>
      </c>
    </row>
    <row r="18474" spans="1:6">
      <c r="A18474" t="n">
        <v>178579</v>
      </c>
      <c r="B18474" s="50" t="n">
        <v>20</v>
      </c>
      <c r="C18474" s="7" t="n">
        <v>0</v>
      </c>
      <c r="D18474" s="7" t="n">
        <v>3</v>
      </c>
      <c r="E18474" s="7" t="n">
        <v>10</v>
      </c>
      <c r="F18474" s="7" t="s">
        <v>108</v>
      </c>
    </row>
    <row r="18475" spans="1:6">
      <c r="A18475" t="s">
        <v>4</v>
      </c>
      <c r="B18475" s="4" t="s">
        <v>5</v>
      </c>
      <c r="C18475" s="4" t="s">
        <v>11</v>
      </c>
    </row>
    <row r="18476" spans="1:6">
      <c r="A18476" t="n">
        <v>178597</v>
      </c>
      <c r="B18476" s="29" t="n">
        <v>16</v>
      </c>
      <c r="C18476" s="7" t="n">
        <v>0</v>
      </c>
    </row>
    <row r="18477" spans="1:6">
      <c r="A18477" t="s">
        <v>4</v>
      </c>
      <c r="B18477" s="4" t="s">
        <v>5</v>
      </c>
      <c r="C18477" s="4" t="s">
        <v>11</v>
      </c>
      <c r="D18477" s="4" t="s">
        <v>7</v>
      </c>
      <c r="E18477" s="4" t="s">
        <v>7</v>
      </c>
      <c r="F18477" s="4" t="s">
        <v>8</v>
      </c>
    </row>
    <row r="18478" spans="1:6">
      <c r="A18478" t="n">
        <v>178600</v>
      </c>
      <c r="B18478" s="50" t="n">
        <v>20</v>
      </c>
      <c r="C18478" s="7" t="n">
        <v>3</v>
      </c>
      <c r="D18478" s="7" t="n">
        <v>3</v>
      </c>
      <c r="E18478" s="7" t="n">
        <v>10</v>
      </c>
      <c r="F18478" s="7" t="s">
        <v>108</v>
      </c>
    </row>
    <row r="18479" spans="1:6">
      <c r="A18479" t="s">
        <v>4</v>
      </c>
      <c r="B18479" s="4" t="s">
        <v>5</v>
      </c>
      <c r="C18479" s="4" t="s">
        <v>11</v>
      </c>
    </row>
    <row r="18480" spans="1:6">
      <c r="A18480" t="n">
        <v>178618</v>
      </c>
      <c r="B18480" s="29" t="n">
        <v>16</v>
      </c>
      <c r="C18480" s="7" t="n">
        <v>0</v>
      </c>
    </row>
    <row r="18481" spans="1:19">
      <c r="A18481" t="s">
        <v>4</v>
      </c>
      <c r="B18481" s="4" t="s">
        <v>5</v>
      </c>
      <c r="C18481" s="4" t="s">
        <v>7</v>
      </c>
      <c r="D18481" s="4" t="s">
        <v>11</v>
      </c>
      <c r="E18481" s="4" t="s">
        <v>7</v>
      </c>
      <c r="F18481" s="4" t="s">
        <v>8</v>
      </c>
      <c r="G18481" s="4" t="s">
        <v>8</v>
      </c>
      <c r="H18481" s="4" t="s">
        <v>8</v>
      </c>
      <c r="I18481" s="4" t="s">
        <v>8</v>
      </c>
      <c r="J18481" s="4" t="s">
        <v>8</v>
      </c>
      <c r="K18481" s="4" t="s">
        <v>8</v>
      </c>
      <c r="L18481" s="4" t="s">
        <v>8</v>
      </c>
      <c r="M18481" s="4" t="s">
        <v>8</v>
      </c>
      <c r="N18481" s="4" t="s">
        <v>8</v>
      </c>
      <c r="O18481" s="4" t="s">
        <v>8</v>
      </c>
      <c r="P18481" s="4" t="s">
        <v>8</v>
      </c>
      <c r="Q18481" s="4" t="s">
        <v>8</v>
      </c>
      <c r="R18481" s="4" t="s">
        <v>8</v>
      </c>
      <c r="S18481" s="4" t="s">
        <v>8</v>
      </c>
      <c r="T18481" s="4" t="s">
        <v>8</v>
      </c>
      <c r="U18481" s="4" t="s">
        <v>8</v>
      </c>
    </row>
    <row r="18482" spans="1:19">
      <c r="A18482" t="n">
        <v>178621</v>
      </c>
      <c r="B18482" s="40" t="n">
        <v>36</v>
      </c>
      <c r="C18482" s="7" t="n">
        <v>8</v>
      </c>
      <c r="D18482" s="7" t="n">
        <v>0</v>
      </c>
      <c r="E18482" s="7" t="n">
        <v>0</v>
      </c>
      <c r="F18482" s="7" t="s">
        <v>389</v>
      </c>
      <c r="G18482" s="7" t="s">
        <v>390</v>
      </c>
      <c r="H18482" s="7" t="s">
        <v>16</v>
      </c>
      <c r="I18482" s="7" t="s">
        <v>16</v>
      </c>
      <c r="J18482" s="7" t="s">
        <v>16</v>
      </c>
      <c r="K18482" s="7" t="s">
        <v>16</v>
      </c>
      <c r="L18482" s="7" t="s">
        <v>16</v>
      </c>
      <c r="M18482" s="7" t="s">
        <v>16</v>
      </c>
      <c r="N18482" s="7" t="s">
        <v>16</v>
      </c>
      <c r="O18482" s="7" t="s">
        <v>16</v>
      </c>
      <c r="P18482" s="7" t="s">
        <v>16</v>
      </c>
      <c r="Q18482" s="7" t="s">
        <v>16</v>
      </c>
      <c r="R18482" s="7" t="s">
        <v>16</v>
      </c>
      <c r="S18482" s="7" t="s">
        <v>16</v>
      </c>
      <c r="T18482" s="7" t="s">
        <v>16</v>
      </c>
      <c r="U18482" s="7" t="s">
        <v>16</v>
      </c>
    </row>
    <row r="18483" spans="1:19">
      <c r="A18483" t="s">
        <v>4</v>
      </c>
      <c r="B18483" s="4" t="s">
        <v>5</v>
      </c>
      <c r="C18483" s="4" t="s">
        <v>7</v>
      </c>
      <c r="D18483" s="4" t="s">
        <v>11</v>
      </c>
      <c r="E18483" s="4" t="s">
        <v>7</v>
      </c>
      <c r="F18483" s="4" t="s">
        <v>8</v>
      </c>
      <c r="G18483" s="4" t="s">
        <v>8</v>
      </c>
      <c r="H18483" s="4" t="s">
        <v>8</v>
      </c>
      <c r="I18483" s="4" t="s">
        <v>8</v>
      </c>
      <c r="J18483" s="4" t="s">
        <v>8</v>
      </c>
      <c r="K18483" s="4" t="s">
        <v>8</v>
      </c>
      <c r="L18483" s="4" t="s">
        <v>8</v>
      </c>
      <c r="M18483" s="4" t="s">
        <v>8</v>
      </c>
      <c r="N18483" s="4" t="s">
        <v>8</v>
      </c>
      <c r="O18483" s="4" t="s">
        <v>8</v>
      </c>
      <c r="P18483" s="4" t="s">
        <v>8</v>
      </c>
      <c r="Q18483" s="4" t="s">
        <v>8</v>
      </c>
      <c r="R18483" s="4" t="s">
        <v>8</v>
      </c>
      <c r="S18483" s="4" t="s">
        <v>8</v>
      </c>
      <c r="T18483" s="4" t="s">
        <v>8</v>
      </c>
      <c r="U18483" s="4" t="s">
        <v>8</v>
      </c>
    </row>
    <row r="18484" spans="1:19">
      <c r="A18484" t="n">
        <v>178660</v>
      </c>
      <c r="B18484" s="40" t="n">
        <v>36</v>
      </c>
      <c r="C18484" s="7" t="n">
        <v>8</v>
      </c>
      <c r="D18484" s="7" t="n">
        <v>3</v>
      </c>
      <c r="E18484" s="7" t="n">
        <v>0</v>
      </c>
      <c r="F18484" s="7" t="s">
        <v>389</v>
      </c>
      <c r="G18484" s="7" t="s">
        <v>390</v>
      </c>
      <c r="H18484" s="7" t="s">
        <v>16</v>
      </c>
      <c r="I18484" s="7" t="s">
        <v>16</v>
      </c>
      <c r="J18484" s="7" t="s">
        <v>16</v>
      </c>
      <c r="K18484" s="7" t="s">
        <v>16</v>
      </c>
      <c r="L18484" s="7" t="s">
        <v>16</v>
      </c>
      <c r="M18484" s="7" t="s">
        <v>16</v>
      </c>
      <c r="N18484" s="7" t="s">
        <v>16</v>
      </c>
      <c r="O18484" s="7" t="s">
        <v>16</v>
      </c>
      <c r="P18484" s="7" t="s">
        <v>16</v>
      </c>
      <c r="Q18484" s="7" t="s">
        <v>16</v>
      </c>
      <c r="R18484" s="7" t="s">
        <v>16</v>
      </c>
      <c r="S18484" s="7" t="s">
        <v>16</v>
      </c>
      <c r="T18484" s="7" t="s">
        <v>16</v>
      </c>
      <c r="U18484" s="7" t="s">
        <v>16</v>
      </c>
    </row>
    <row r="18485" spans="1:19">
      <c r="A18485" t="s">
        <v>4</v>
      </c>
      <c r="B18485" s="4" t="s">
        <v>5</v>
      </c>
      <c r="C18485" s="4" t="s">
        <v>7</v>
      </c>
    </row>
    <row r="18486" spans="1:19">
      <c r="A18486" t="n">
        <v>178699</v>
      </c>
      <c r="B18486" s="49" t="n">
        <v>116</v>
      </c>
      <c r="C18486" s="7" t="n">
        <v>0</v>
      </c>
    </row>
    <row r="18487" spans="1:19">
      <c r="A18487" t="s">
        <v>4</v>
      </c>
      <c r="B18487" s="4" t="s">
        <v>5</v>
      </c>
      <c r="C18487" s="4" t="s">
        <v>7</v>
      </c>
      <c r="D18487" s="4" t="s">
        <v>11</v>
      </c>
    </row>
    <row r="18488" spans="1:19">
      <c r="A18488" t="n">
        <v>178701</v>
      </c>
      <c r="B18488" s="49" t="n">
        <v>116</v>
      </c>
      <c r="C18488" s="7" t="n">
        <v>2</v>
      </c>
      <c r="D18488" s="7" t="n">
        <v>1</v>
      </c>
    </row>
    <row r="18489" spans="1:19">
      <c r="A18489" t="s">
        <v>4</v>
      </c>
      <c r="B18489" s="4" t="s">
        <v>5</v>
      </c>
      <c r="C18489" s="4" t="s">
        <v>7</v>
      </c>
      <c r="D18489" s="4" t="s">
        <v>15</v>
      </c>
    </row>
    <row r="18490" spans="1:19">
      <c r="A18490" t="n">
        <v>178705</v>
      </c>
      <c r="B18490" s="49" t="n">
        <v>116</v>
      </c>
      <c r="C18490" s="7" t="n">
        <v>5</v>
      </c>
      <c r="D18490" s="7" t="n">
        <v>1088421888</v>
      </c>
    </row>
    <row r="18491" spans="1:19">
      <c r="A18491" t="s">
        <v>4</v>
      </c>
      <c r="B18491" s="4" t="s">
        <v>5</v>
      </c>
      <c r="C18491" s="4" t="s">
        <v>7</v>
      </c>
      <c r="D18491" s="4" t="s">
        <v>11</v>
      </c>
    </row>
    <row r="18492" spans="1:19">
      <c r="A18492" t="n">
        <v>178711</v>
      </c>
      <c r="B18492" s="49" t="n">
        <v>116</v>
      </c>
      <c r="C18492" s="7" t="n">
        <v>6</v>
      </c>
      <c r="D18492" s="7" t="n">
        <v>1</v>
      </c>
    </row>
    <row r="18493" spans="1:19">
      <c r="A18493" t="s">
        <v>4</v>
      </c>
      <c r="B18493" s="4" t="s">
        <v>5</v>
      </c>
      <c r="C18493" s="4" t="s">
        <v>11</v>
      </c>
      <c r="D18493" s="4" t="s">
        <v>13</v>
      </c>
      <c r="E18493" s="4" t="s">
        <v>13</v>
      </c>
      <c r="F18493" s="4" t="s">
        <v>13</v>
      </c>
      <c r="G18493" s="4" t="s">
        <v>13</v>
      </c>
    </row>
    <row r="18494" spans="1:19">
      <c r="A18494" t="n">
        <v>178715</v>
      </c>
      <c r="B18494" s="36" t="n">
        <v>46</v>
      </c>
      <c r="C18494" s="7" t="n">
        <v>0</v>
      </c>
      <c r="D18494" s="7" t="n">
        <v>-0.270000010728836</v>
      </c>
      <c r="E18494" s="7" t="n">
        <v>10.0100002288818</v>
      </c>
      <c r="F18494" s="7" t="n">
        <v>57.7200012207031</v>
      </c>
      <c r="G18494" s="7" t="n">
        <v>58.5999984741211</v>
      </c>
    </row>
    <row r="18495" spans="1:19">
      <c r="A18495" t="s">
        <v>4</v>
      </c>
      <c r="B18495" s="4" t="s">
        <v>5</v>
      </c>
      <c r="C18495" s="4" t="s">
        <v>7</v>
      </c>
      <c r="D18495" s="4" t="s">
        <v>7</v>
      </c>
      <c r="E18495" s="4" t="s">
        <v>13</v>
      </c>
      <c r="F18495" s="4" t="s">
        <v>13</v>
      </c>
      <c r="G18495" s="4" t="s">
        <v>13</v>
      </c>
      <c r="H18495" s="4" t="s">
        <v>11</v>
      </c>
    </row>
    <row r="18496" spans="1:19">
      <c r="A18496" t="n">
        <v>178734</v>
      </c>
      <c r="B18496" s="51" t="n">
        <v>45</v>
      </c>
      <c r="C18496" s="7" t="n">
        <v>2</v>
      </c>
      <c r="D18496" s="7" t="n">
        <v>3</v>
      </c>
      <c r="E18496" s="7" t="n">
        <v>0.0799999982118607</v>
      </c>
      <c r="F18496" s="7" t="n">
        <v>11.3699998855591</v>
      </c>
      <c r="G18496" s="7" t="n">
        <v>58.0900001525879</v>
      </c>
      <c r="H18496" s="7" t="n">
        <v>0</v>
      </c>
    </row>
    <row r="18497" spans="1:21">
      <c r="A18497" t="s">
        <v>4</v>
      </c>
      <c r="B18497" s="4" t="s">
        <v>5</v>
      </c>
      <c r="C18497" s="4" t="s">
        <v>7</v>
      </c>
      <c r="D18497" s="4" t="s">
        <v>7</v>
      </c>
      <c r="E18497" s="4" t="s">
        <v>13</v>
      </c>
      <c r="F18497" s="4" t="s">
        <v>13</v>
      </c>
      <c r="G18497" s="4" t="s">
        <v>13</v>
      </c>
      <c r="H18497" s="4" t="s">
        <v>11</v>
      </c>
      <c r="I18497" s="4" t="s">
        <v>7</v>
      </c>
    </row>
    <row r="18498" spans="1:21">
      <c r="A18498" t="n">
        <v>178751</v>
      </c>
      <c r="B18498" s="51" t="n">
        <v>45</v>
      </c>
      <c r="C18498" s="7" t="n">
        <v>4</v>
      </c>
      <c r="D18498" s="7" t="n">
        <v>3</v>
      </c>
      <c r="E18498" s="7" t="n">
        <v>10.6899995803833</v>
      </c>
      <c r="F18498" s="7" t="n">
        <v>197.380004882813</v>
      </c>
      <c r="G18498" s="7" t="n">
        <v>0</v>
      </c>
      <c r="H18498" s="7" t="n">
        <v>0</v>
      </c>
      <c r="I18498" s="7" t="n">
        <v>0</v>
      </c>
    </row>
    <row r="18499" spans="1:21">
      <c r="A18499" t="s">
        <v>4</v>
      </c>
      <c r="B18499" s="4" t="s">
        <v>5</v>
      </c>
      <c r="C18499" s="4" t="s">
        <v>7</v>
      </c>
      <c r="D18499" s="4" t="s">
        <v>7</v>
      </c>
      <c r="E18499" s="4" t="s">
        <v>13</v>
      </c>
      <c r="F18499" s="4" t="s">
        <v>11</v>
      </c>
    </row>
    <row r="18500" spans="1:21">
      <c r="A18500" t="n">
        <v>178769</v>
      </c>
      <c r="B18500" s="51" t="n">
        <v>45</v>
      </c>
      <c r="C18500" s="7" t="n">
        <v>5</v>
      </c>
      <c r="D18500" s="7" t="n">
        <v>3</v>
      </c>
      <c r="E18500" s="7" t="n">
        <v>1.79999995231628</v>
      </c>
      <c r="F18500" s="7" t="n">
        <v>0</v>
      </c>
    </row>
    <row r="18501" spans="1:21">
      <c r="A18501" t="s">
        <v>4</v>
      </c>
      <c r="B18501" s="4" t="s">
        <v>5</v>
      </c>
      <c r="C18501" s="4" t="s">
        <v>7</v>
      </c>
      <c r="D18501" s="4" t="s">
        <v>7</v>
      </c>
      <c r="E18501" s="4" t="s">
        <v>13</v>
      </c>
      <c r="F18501" s="4" t="s">
        <v>11</v>
      </c>
    </row>
    <row r="18502" spans="1:21">
      <c r="A18502" t="n">
        <v>178778</v>
      </c>
      <c r="B18502" s="51" t="n">
        <v>45</v>
      </c>
      <c r="C18502" s="7" t="n">
        <v>11</v>
      </c>
      <c r="D18502" s="7" t="n">
        <v>3</v>
      </c>
      <c r="E18502" s="7" t="n">
        <v>34.5999984741211</v>
      </c>
      <c r="F18502" s="7" t="n">
        <v>0</v>
      </c>
    </row>
    <row r="18503" spans="1:21">
      <c r="A18503" t="s">
        <v>4</v>
      </c>
      <c r="B18503" s="4" t="s">
        <v>5</v>
      </c>
      <c r="C18503" s="4" t="s">
        <v>7</v>
      </c>
      <c r="D18503" s="4" t="s">
        <v>7</v>
      </c>
      <c r="E18503" s="4" t="s">
        <v>13</v>
      </c>
      <c r="F18503" s="4" t="s">
        <v>11</v>
      </c>
    </row>
    <row r="18504" spans="1:21">
      <c r="A18504" t="n">
        <v>178787</v>
      </c>
      <c r="B18504" s="51" t="n">
        <v>45</v>
      </c>
      <c r="C18504" s="7" t="n">
        <v>5</v>
      </c>
      <c r="D18504" s="7" t="n">
        <v>3</v>
      </c>
      <c r="E18504" s="7" t="n">
        <v>1.5</v>
      </c>
      <c r="F18504" s="7" t="n">
        <v>3000</v>
      </c>
    </row>
    <row r="18505" spans="1:21">
      <c r="A18505" t="s">
        <v>4</v>
      </c>
      <c r="B18505" s="4" t="s">
        <v>5</v>
      </c>
      <c r="C18505" s="4" t="s">
        <v>11</v>
      </c>
      <c r="D18505" s="4" t="s">
        <v>7</v>
      </c>
      <c r="E18505" s="4" t="s">
        <v>8</v>
      </c>
      <c r="F18505" s="4" t="s">
        <v>13</v>
      </c>
      <c r="G18505" s="4" t="s">
        <v>13</v>
      </c>
      <c r="H18505" s="4" t="s">
        <v>13</v>
      </c>
    </row>
    <row r="18506" spans="1:21">
      <c r="A18506" t="n">
        <v>178796</v>
      </c>
      <c r="B18506" s="42" t="n">
        <v>48</v>
      </c>
      <c r="C18506" s="7" t="n">
        <v>0</v>
      </c>
      <c r="D18506" s="7" t="n">
        <v>0</v>
      </c>
      <c r="E18506" s="7" t="s">
        <v>275</v>
      </c>
      <c r="F18506" s="7" t="n">
        <v>0</v>
      </c>
      <c r="G18506" s="7" t="n">
        <v>1</v>
      </c>
      <c r="H18506" s="7" t="n">
        <v>0</v>
      </c>
    </row>
    <row r="18507" spans="1:21">
      <c r="A18507" t="s">
        <v>4</v>
      </c>
      <c r="B18507" s="4" t="s">
        <v>5</v>
      </c>
      <c r="C18507" s="4" t="s">
        <v>11</v>
      </c>
    </row>
    <row r="18508" spans="1:21">
      <c r="A18508" t="n">
        <v>178821</v>
      </c>
      <c r="B18508" s="29" t="n">
        <v>16</v>
      </c>
      <c r="C18508" s="7" t="n">
        <v>0</v>
      </c>
    </row>
    <row r="18509" spans="1:21">
      <c r="A18509" t="s">
        <v>4</v>
      </c>
      <c r="B18509" s="4" t="s">
        <v>5</v>
      </c>
      <c r="C18509" s="4" t="s">
        <v>11</v>
      </c>
      <c r="D18509" s="4" t="s">
        <v>11</v>
      </c>
      <c r="E18509" s="4" t="s">
        <v>11</v>
      </c>
    </row>
    <row r="18510" spans="1:21">
      <c r="A18510" t="n">
        <v>178824</v>
      </c>
      <c r="B18510" s="72" t="n">
        <v>61</v>
      </c>
      <c r="C18510" s="7" t="n">
        <v>0</v>
      </c>
      <c r="D18510" s="7" t="n">
        <v>3</v>
      </c>
      <c r="E18510" s="7" t="n">
        <v>0</v>
      </c>
    </row>
    <row r="18511" spans="1:21">
      <c r="A18511" t="s">
        <v>4</v>
      </c>
      <c r="B18511" s="4" t="s">
        <v>5</v>
      </c>
      <c r="C18511" s="4" t="s">
        <v>7</v>
      </c>
      <c r="D18511" s="4" t="s">
        <v>11</v>
      </c>
      <c r="E18511" s="4" t="s">
        <v>13</v>
      </c>
    </row>
    <row r="18512" spans="1:21">
      <c r="A18512" t="n">
        <v>178831</v>
      </c>
      <c r="B18512" s="23" t="n">
        <v>58</v>
      </c>
      <c r="C18512" s="7" t="n">
        <v>100</v>
      </c>
      <c r="D18512" s="7" t="n">
        <v>1000</v>
      </c>
      <c r="E18512" s="7" t="n">
        <v>1</v>
      </c>
    </row>
    <row r="18513" spans="1:9">
      <c r="A18513" t="s">
        <v>4</v>
      </c>
      <c r="B18513" s="4" t="s">
        <v>5</v>
      </c>
      <c r="C18513" s="4" t="s">
        <v>7</v>
      </c>
      <c r="D18513" s="4" t="s">
        <v>11</v>
      </c>
    </row>
    <row r="18514" spans="1:9">
      <c r="A18514" t="n">
        <v>178839</v>
      </c>
      <c r="B18514" s="23" t="n">
        <v>58</v>
      </c>
      <c r="C18514" s="7" t="n">
        <v>255</v>
      </c>
      <c r="D18514" s="7" t="n">
        <v>0</v>
      </c>
    </row>
    <row r="18515" spans="1:9">
      <c r="A18515" t="s">
        <v>4</v>
      </c>
      <c r="B18515" s="4" t="s">
        <v>5</v>
      </c>
      <c r="C18515" s="4" t="s">
        <v>11</v>
      </c>
    </row>
    <row r="18516" spans="1:9">
      <c r="A18516" t="n">
        <v>178843</v>
      </c>
      <c r="B18516" s="29" t="n">
        <v>16</v>
      </c>
      <c r="C18516" s="7" t="n">
        <v>1000</v>
      </c>
    </row>
    <row r="18517" spans="1:9">
      <c r="A18517" t="s">
        <v>4</v>
      </c>
      <c r="B18517" s="4" t="s">
        <v>5</v>
      </c>
      <c r="C18517" s="4" t="s">
        <v>7</v>
      </c>
      <c r="D18517" s="4" t="s">
        <v>11</v>
      </c>
      <c r="E18517" s="4" t="s">
        <v>8</v>
      </c>
    </row>
    <row r="18518" spans="1:9">
      <c r="A18518" t="n">
        <v>178846</v>
      </c>
      <c r="B18518" s="38" t="n">
        <v>51</v>
      </c>
      <c r="C18518" s="7" t="n">
        <v>4</v>
      </c>
      <c r="D18518" s="7" t="n">
        <v>3</v>
      </c>
      <c r="E18518" s="7" t="s">
        <v>1516</v>
      </c>
    </row>
    <row r="18519" spans="1:9">
      <c r="A18519" t="s">
        <v>4</v>
      </c>
      <c r="B18519" s="4" t="s">
        <v>5</v>
      </c>
      <c r="C18519" s="4" t="s">
        <v>11</v>
      </c>
    </row>
    <row r="18520" spans="1:9">
      <c r="A18520" t="n">
        <v>178861</v>
      </c>
      <c r="B18520" s="29" t="n">
        <v>16</v>
      </c>
      <c r="C18520" s="7" t="n">
        <v>0</v>
      </c>
    </row>
    <row r="18521" spans="1:9">
      <c r="A18521" t="s">
        <v>4</v>
      </c>
      <c r="B18521" s="4" t="s">
        <v>5</v>
      </c>
      <c r="C18521" s="4" t="s">
        <v>11</v>
      </c>
      <c r="D18521" s="4" t="s">
        <v>7</v>
      </c>
      <c r="E18521" s="4" t="s">
        <v>15</v>
      </c>
      <c r="F18521" s="4" t="s">
        <v>55</v>
      </c>
      <c r="G18521" s="4" t="s">
        <v>7</v>
      </c>
      <c r="H18521" s="4" t="s">
        <v>7</v>
      </c>
    </row>
    <row r="18522" spans="1:9">
      <c r="A18522" t="n">
        <v>178864</v>
      </c>
      <c r="B18522" s="55" t="n">
        <v>26</v>
      </c>
      <c r="C18522" s="7" t="n">
        <v>3</v>
      </c>
      <c r="D18522" s="7" t="n">
        <v>17</v>
      </c>
      <c r="E18522" s="7" t="n">
        <v>64538</v>
      </c>
      <c r="F18522" s="7" t="s">
        <v>318</v>
      </c>
      <c r="G18522" s="7" t="n">
        <v>2</v>
      </c>
      <c r="H18522" s="7" t="n">
        <v>0</v>
      </c>
    </row>
    <row r="18523" spans="1:9">
      <c r="A18523" t="s">
        <v>4</v>
      </c>
      <c r="B18523" s="4" t="s">
        <v>5</v>
      </c>
    </row>
    <row r="18524" spans="1:9">
      <c r="A18524" t="n">
        <v>178880</v>
      </c>
      <c r="B18524" s="27" t="n">
        <v>28</v>
      </c>
    </row>
    <row r="18525" spans="1:9">
      <c r="A18525" t="s">
        <v>4</v>
      </c>
      <c r="B18525" s="4" t="s">
        <v>5</v>
      </c>
      <c r="C18525" s="4" t="s">
        <v>7</v>
      </c>
      <c r="D18525" s="4" t="s">
        <v>11</v>
      </c>
      <c r="E18525" s="4" t="s">
        <v>8</v>
      </c>
    </row>
    <row r="18526" spans="1:9">
      <c r="A18526" t="n">
        <v>178881</v>
      </c>
      <c r="B18526" s="38" t="n">
        <v>51</v>
      </c>
      <c r="C18526" s="7" t="n">
        <v>4</v>
      </c>
      <c r="D18526" s="7" t="n">
        <v>0</v>
      </c>
      <c r="E18526" s="7" t="s">
        <v>430</v>
      </c>
    </row>
    <row r="18527" spans="1:9">
      <c r="A18527" t="s">
        <v>4</v>
      </c>
      <c r="B18527" s="4" t="s">
        <v>5</v>
      </c>
      <c r="C18527" s="4" t="s">
        <v>11</v>
      </c>
    </row>
    <row r="18528" spans="1:9">
      <c r="A18528" t="n">
        <v>178894</v>
      </c>
      <c r="B18528" s="29" t="n">
        <v>16</v>
      </c>
      <c r="C18528" s="7" t="n">
        <v>0</v>
      </c>
    </row>
    <row r="18529" spans="1:8">
      <c r="A18529" t="s">
        <v>4</v>
      </c>
      <c r="B18529" s="4" t="s">
        <v>5</v>
      </c>
      <c r="C18529" s="4" t="s">
        <v>11</v>
      </c>
      <c r="D18529" s="4" t="s">
        <v>7</v>
      </c>
      <c r="E18529" s="4" t="s">
        <v>15</v>
      </c>
      <c r="F18529" s="4" t="s">
        <v>55</v>
      </c>
      <c r="G18529" s="4" t="s">
        <v>7</v>
      </c>
      <c r="H18529" s="4" t="s">
        <v>7</v>
      </c>
    </row>
    <row r="18530" spans="1:8">
      <c r="A18530" t="n">
        <v>178897</v>
      </c>
      <c r="B18530" s="55" t="n">
        <v>26</v>
      </c>
      <c r="C18530" s="7" t="n">
        <v>0</v>
      </c>
      <c r="D18530" s="7" t="n">
        <v>17</v>
      </c>
      <c r="E18530" s="7" t="n">
        <v>64539</v>
      </c>
      <c r="F18530" s="7" t="s">
        <v>1517</v>
      </c>
      <c r="G18530" s="7" t="n">
        <v>2</v>
      </c>
      <c r="H18530" s="7" t="n">
        <v>0</v>
      </c>
    </row>
    <row r="18531" spans="1:8">
      <c r="A18531" t="s">
        <v>4</v>
      </c>
      <c r="B18531" s="4" t="s">
        <v>5</v>
      </c>
    </row>
    <row r="18532" spans="1:8">
      <c r="A18532" t="n">
        <v>178943</v>
      </c>
      <c r="B18532" s="27" t="n">
        <v>28</v>
      </c>
    </row>
    <row r="18533" spans="1:8">
      <c r="A18533" t="s">
        <v>4</v>
      </c>
      <c r="B18533" s="4" t="s">
        <v>5</v>
      </c>
      <c r="C18533" s="4" t="s">
        <v>7</v>
      </c>
      <c r="D18533" s="4" t="s">
        <v>11</v>
      </c>
      <c r="E18533" s="4" t="s">
        <v>11</v>
      </c>
      <c r="F18533" s="4" t="s">
        <v>7</v>
      </c>
    </row>
    <row r="18534" spans="1:8">
      <c r="A18534" t="n">
        <v>178944</v>
      </c>
      <c r="B18534" s="31" t="n">
        <v>25</v>
      </c>
      <c r="C18534" s="7" t="n">
        <v>1</v>
      </c>
      <c r="D18534" s="7" t="n">
        <v>65535</v>
      </c>
      <c r="E18534" s="7" t="n">
        <v>65535</v>
      </c>
      <c r="F18534" s="7" t="n">
        <v>0</v>
      </c>
    </row>
    <row r="18535" spans="1:8">
      <c r="A18535" t="s">
        <v>4</v>
      </c>
      <c r="B18535" s="4" t="s">
        <v>5</v>
      </c>
      <c r="C18535" s="4" t="s">
        <v>7</v>
      </c>
      <c r="D18535" s="4" t="s">
        <v>11</v>
      </c>
      <c r="E18535" s="4" t="s">
        <v>8</v>
      </c>
      <c r="F18535" s="4" t="s">
        <v>8</v>
      </c>
      <c r="G18535" s="4" t="s">
        <v>8</v>
      </c>
      <c r="H18535" s="4" t="s">
        <v>8</v>
      </c>
    </row>
    <row r="18536" spans="1:8">
      <c r="A18536" t="n">
        <v>178951</v>
      </c>
      <c r="B18536" s="38" t="n">
        <v>51</v>
      </c>
      <c r="C18536" s="7" t="n">
        <v>3</v>
      </c>
      <c r="D18536" s="7" t="n">
        <v>3</v>
      </c>
      <c r="E18536" s="7" t="s">
        <v>154</v>
      </c>
      <c r="F18536" s="7" t="s">
        <v>218</v>
      </c>
      <c r="G18536" s="7" t="s">
        <v>78</v>
      </c>
      <c r="H18536" s="7" t="s">
        <v>79</v>
      </c>
    </row>
    <row r="18537" spans="1:8">
      <c r="A18537" t="s">
        <v>4</v>
      </c>
      <c r="B18537" s="4" t="s">
        <v>5</v>
      </c>
      <c r="C18537" s="4" t="s">
        <v>11</v>
      </c>
      <c r="D18537" s="4" t="s">
        <v>7</v>
      </c>
      <c r="E18537" s="4" t="s">
        <v>13</v>
      </c>
      <c r="F18537" s="4" t="s">
        <v>11</v>
      </c>
    </row>
    <row r="18538" spans="1:8">
      <c r="A18538" t="n">
        <v>178964</v>
      </c>
      <c r="B18538" s="56" t="n">
        <v>59</v>
      </c>
      <c r="C18538" s="7" t="n">
        <v>3</v>
      </c>
      <c r="D18538" s="7" t="n">
        <v>13</v>
      </c>
      <c r="E18538" s="7" t="n">
        <v>0.150000005960464</v>
      </c>
      <c r="F18538" s="7" t="n">
        <v>0</v>
      </c>
    </row>
    <row r="18539" spans="1:8">
      <c r="A18539" t="s">
        <v>4</v>
      </c>
      <c r="B18539" s="4" t="s">
        <v>5</v>
      </c>
      <c r="C18539" s="4" t="s">
        <v>11</v>
      </c>
    </row>
    <row r="18540" spans="1:8">
      <c r="A18540" t="n">
        <v>178974</v>
      </c>
      <c r="B18540" s="29" t="n">
        <v>16</v>
      </c>
      <c r="C18540" s="7" t="n">
        <v>800</v>
      </c>
    </row>
    <row r="18541" spans="1:8">
      <c r="A18541" t="s">
        <v>4</v>
      </c>
      <c r="B18541" s="4" t="s">
        <v>5</v>
      </c>
      <c r="C18541" s="4" t="s">
        <v>11</v>
      </c>
      <c r="D18541" s="4" t="s">
        <v>13</v>
      </c>
      <c r="E18541" s="4" t="s">
        <v>13</v>
      </c>
      <c r="F18541" s="4" t="s">
        <v>7</v>
      </c>
    </row>
    <row r="18542" spans="1:8">
      <c r="A18542" t="n">
        <v>178977</v>
      </c>
      <c r="B18542" s="65" t="n">
        <v>52</v>
      </c>
      <c r="C18542" s="7" t="n">
        <v>3</v>
      </c>
      <c r="D18542" s="7" t="n">
        <v>228.300003051758</v>
      </c>
      <c r="E18542" s="7" t="n">
        <v>5</v>
      </c>
      <c r="F18542" s="7" t="n">
        <v>0</v>
      </c>
    </row>
    <row r="18543" spans="1:8">
      <c r="A18543" t="s">
        <v>4</v>
      </c>
      <c r="B18543" s="4" t="s">
        <v>5</v>
      </c>
      <c r="C18543" s="4" t="s">
        <v>11</v>
      </c>
    </row>
    <row r="18544" spans="1:8">
      <c r="A18544" t="n">
        <v>178989</v>
      </c>
      <c r="B18544" s="66" t="n">
        <v>54</v>
      </c>
      <c r="C18544" s="7" t="n">
        <v>3</v>
      </c>
    </row>
    <row r="18545" spans="1:8">
      <c r="A18545" t="s">
        <v>4</v>
      </c>
      <c r="B18545" s="4" t="s">
        <v>5</v>
      </c>
      <c r="C18545" s="4" t="s">
        <v>11</v>
      </c>
      <c r="D18545" s="4" t="s">
        <v>11</v>
      </c>
      <c r="E18545" s="4" t="s">
        <v>11</v>
      </c>
    </row>
    <row r="18546" spans="1:8">
      <c r="A18546" t="n">
        <v>178992</v>
      </c>
      <c r="B18546" s="72" t="n">
        <v>61</v>
      </c>
      <c r="C18546" s="7" t="n">
        <v>3</v>
      </c>
      <c r="D18546" s="7" t="n">
        <v>0</v>
      </c>
      <c r="E18546" s="7" t="n">
        <v>1000</v>
      </c>
    </row>
    <row r="18547" spans="1:8">
      <c r="A18547" t="s">
        <v>4</v>
      </c>
      <c r="B18547" s="4" t="s">
        <v>5</v>
      </c>
      <c r="C18547" s="4" t="s">
        <v>7</v>
      </c>
      <c r="D18547" s="4" t="s">
        <v>11</v>
      </c>
      <c r="E18547" s="4" t="s">
        <v>8</v>
      </c>
    </row>
    <row r="18548" spans="1:8">
      <c r="A18548" t="n">
        <v>178999</v>
      </c>
      <c r="B18548" s="38" t="n">
        <v>51</v>
      </c>
      <c r="C18548" s="7" t="n">
        <v>4</v>
      </c>
      <c r="D18548" s="7" t="n">
        <v>3</v>
      </c>
      <c r="E18548" s="7" t="s">
        <v>233</v>
      </c>
    </row>
    <row r="18549" spans="1:8">
      <c r="A18549" t="s">
        <v>4</v>
      </c>
      <c r="B18549" s="4" t="s">
        <v>5</v>
      </c>
      <c r="C18549" s="4" t="s">
        <v>11</v>
      </c>
    </row>
    <row r="18550" spans="1:8">
      <c r="A18550" t="n">
        <v>179012</v>
      </c>
      <c r="B18550" s="29" t="n">
        <v>16</v>
      </c>
      <c r="C18550" s="7" t="n">
        <v>0</v>
      </c>
    </row>
    <row r="18551" spans="1:8">
      <c r="A18551" t="s">
        <v>4</v>
      </c>
      <c r="B18551" s="4" t="s">
        <v>5</v>
      </c>
      <c r="C18551" s="4" t="s">
        <v>11</v>
      </c>
      <c r="D18551" s="4" t="s">
        <v>7</v>
      </c>
      <c r="E18551" s="4" t="s">
        <v>15</v>
      </c>
      <c r="F18551" s="4" t="s">
        <v>55</v>
      </c>
      <c r="G18551" s="4" t="s">
        <v>7</v>
      </c>
      <c r="H18551" s="4" t="s">
        <v>7</v>
      </c>
      <c r="I18551" s="4" t="s">
        <v>7</v>
      </c>
      <c r="J18551" s="4" t="s">
        <v>15</v>
      </c>
      <c r="K18551" s="4" t="s">
        <v>55</v>
      </c>
      <c r="L18551" s="4" t="s">
        <v>7</v>
      </c>
      <c r="M18551" s="4" t="s">
        <v>7</v>
      </c>
    </row>
    <row r="18552" spans="1:8">
      <c r="A18552" t="n">
        <v>179015</v>
      </c>
      <c r="B18552" s="55" t="n">
        <v>26</v>
      </c>
      <c r="C18552" s="7" t="n">
        <v>3</v>
      </c>
      <c r="D18552" s="7" t="n">
        <v>17</v>
      </c>
      <c r="E18552" s="7" t="n">
        <v>64540</v>
      </c>
      <c r="F18552" s="7" t="s">
        <v>1518</v>
      </c>
      <c r="G18552" s="7" t="n">
        <v>2</v>
      </c>
      <c r="H18552" s="7" t="n">
        <v>3</v>
      </c>
      <c r="I18552" s="7" t="n">
        <v>17</v>
      </c>
      <c r="J18552" s="7" t="n">
        <v>64541</v>
      </c>
      <c r="K18552" s="7" t="s">
        <v>1519</v>
      </c>
      <c r="L18552" s="7" t="n">
        <v>2</v>
      </c>
      <c r="M18552" s="7" t="n">
        <v>0</v>
      </c>
    </row>
    <row r="18553" spans="1:8">
      <c r="A18553" t="s">
        <v>4</v>
      </c>
      <c r="B18553" s="4" t="s">
        <v>5</v>
      </c>
    </row>
    <row r="18554" spans="1:8">
      <c r="A18554" t="n">
        <v>179070</v>
      </c>
      <c r="B18554" s="27" t="n">
        <v>28</v>
      </c>
    </row>
    <row r="18555" spans="1:8">
      <c r="A18555" t="s">
        <v>4</v>
      </c>
      <c r="B18555" s="4" t="s">
        <v>5</v>
      </c>
      <c r="C18555" s="4" t="s">
        <v>7</v>
      </c>
      <c r="D18555" s="4" t="s">
        <v>11</v>
      </c>
      <c r="E18555" s="4" t="s">
        <v>13</v>
      </c>
    </row>
    <row r="18556" spans="1:8">
      <c r="A18556" t="n">
        <v>179071</v>
      </c>
      <c r="B18556" s="23" t="n">
        <v>58</v>
      </c>
      <c r="C18556" s="7" t="n">
        <v>0</v>
      </c>
      <c r="D18556" s="7" t="n">
        <v>300</v>
      </c>
      <c r="E18556" s="7" t="n">
        <v>0.300000011920929</v>
      </c>
    </row>
    <row r="18557" spans="1:8">
      <c r="A18557" t="s">
        <v>4</v>
      </c>
      <c r="B18557" s="4" t="s">
        <v>5</v>
      </c>
      <c r="C18557" s="4" t="s">
        <v>7</v>
      </c>
      <c r="D18557" s="4" t="s">
        <v>11</v>
      </c>
    </row>
    <row r="18558" spans="1:8">
      <c r="A18558" t="n">
        <v>179079</v>
      </c>
      <c r="B18558" s="23" t="n">
        <v>58</v>
      </c>
      <c r="C18558" s="7" t="n">
        <v>255</v>
      </c>
      <c r="D18558" s="7" t="n">
        <v>0</v>
      </c>
    </row>
    <row r="18559" spans="1:8">
      <c r="A18559" t="s">
        <v>4</v>
      </c>
      <c r="B18559" s="4" t="s">
        <v>5</v>
      </c>
      <c r="C18559" s="4" t="s">
        <v>7</v>
      </c>
      <c r="D18559" s="4" t="s">
        <v>7</v>
      </c>
      <c r="E18559" s="4" t="s">
        <v>7</v>
      </c>
      <c r="F18559" s="4" t="s">
        <v>13</v>
      </c>
      <c r="G18559" s="4" t="s">
        <v>13</v>
      </c>
      <c r="H18559" s="4" t="s">
        <v>13</v>
      </c>
      <c r="I18559" s="4" t="s">
        <v>13</v>
      </c>
      <c r="J18559" s="4" t="s">
        <v>13</v>
      </c>
    </row>
    <row r="18560" spans="1:8">
      <c r="A18560" t="n">
        <v>179083</v>
      </c>
      <c r="B18560" s="25" t="n">
        <v>76</v>
      </c>
      <c r="C18560" s="7" t="n">
        <v>0</v>
      </c>
      <c r="D18560" s="7" t="n">
        <v>3</v>
      </c>
      <c r="E18560" s="7" t="n">
        <v>0</v>
      </c>
      <c r="F18560" s="7" t="n">
        <v>1</v>
      </c>
      <c r="G18560" s="7" t="n">
        <v>1</v>
      </c>
      <c r="H18560" s="7" t="n">
        <v>1</v>
      </c>
      <c r="I18560" s="7" t="n">
        <v>1</v>
      </c>
      <c r="J18560" s="7" t="n">
        <v>800</v>
      </c>
    </row>
    <row r="18561" spans="1:13">
      <c r="A18561" t="s">
        <v>4</v>
      </c>
      <c r="B18561" s="4" t="s">
        <v>5</v>
      </c>
      <c r="C18561" s="4" t="s">
        <v>7</v>
      </c>
      <c r="D18561" s="4" t="s">
        <v>7</v>
      </c>
    </row>
    <row r="18562" spans="1:13">
      <c r="A18562" t="n">
        <v>179107</v>
      </c>
      <c r="B18562" s="26" t="n">
        <v>77</v>
      </c>
      <c r="C18562" s="7" t="n">
        <v>0</v>
      </c>
      <c r="D18562" s="7" t="n">
        <v>3</v>
      </c>
    </row>
    <row r="18563" spans="1:13">
      <c r="A18563" t="s">
        <v>4</v>
      </c>
      <c r="B18563" s="4" t="s">
        <v>5</v>
      </c>
      <c r="C18563" s="4" t="s">
        <v>11</v>
      </c>
    </row>
    <row r="18564" spans="1:13">
      <c r="A18564" t="n">
        <v>179110</v>
      </c>
      <c r="B18564" s="29" t="n">
        <v>16</v>
      </c>
      <c r="C18564" s="7" t="n">
        <v>1000</v>
      </c>
    </row>
    <row r="18565" spans="1:13">
      <c r="A18565" t="s">
        <v>4</v>
      </c>
      <c r="B18565" s="4" t="s">
        <v>5</v>
      </c>
      <c r="C18565" s="4" t="s">
        <v>7</v>
      </c>
      <c r="D18565" s="4" t="s">
        <v>11</v>
      </c>
      <c r="E18565" s="4" t="s">
        <v>11</v>
      </c>
      <c r="F18565" s="4" t="s">
        <v>7</v>
      </c>
    </row>
    <row r="18566" spans="1:13">
      <c r="A18566" t="n">
        <v>179113</v>
      </c>
      <c r="B18566" s="31" t="n">
        <v>25</v>
      </c>
      <c r="C18566" s="7" t="n">
        <v>1</v>
      </c>
      <c r="D18566" s="7" t="n">
        <v>60</v>
      </c>
      <c r="E18566" s="7" t="n">
        <v>640</v>
      </c>
      <c r="F18566" s="7" t="n">
        <v>2</v>
      </c>
    </row>
    <row r="18567" spans="1:13">
      <c r="A18567" t="s">
        <v>4</v>
      </c>
      <c r="B18567" s="4" t="s">
        <v>5</v>
      </c>
      <c r="C18567" s="4" t="s">
        <v>7</v>
      </c>
      <c r="D18567" s="4" t="s">
        <v>11</v>
      </c>
      <c r="E18567" s="4" t="s">
        <v>8</v>
      </c>
    </row>
    <row r="18568" spans="1:13">
      <c r="A18568" t="n">
        <v>179120</v>
      </c>
      <c r="B18568" s="38" t="n">
        <v>51</v>
      </c>
      <c r="C18568" s="7" t="n">
        <v>4</v>
      </c>
      <c r="D18568" s="7" t="n">
        <v>0</v>
      </c>
      <c r="E18568" s="7" t="s">
        <v>1520</v>
      </c>
    </row>
    <row r="18569" spans="1:13">
      <c r="A18569" t="s">
        <v>4</v>
      </c>
      <c r="B18569" s="4" t="s">
        <v>5</v>
      </c>
      <c r="C18569" s="4" t="s">
        <v>11</v>
      </c>
    </row>
    <row r="18570" spans="1:13">
      <c r="A18570" t="n">
        <v>179134</v>
      </c>
      <c r="B18570" s="29" t="n">
        <v>16</v>
      </c>
      <c r="C18570" s="7" t="n">
        <v>0</v>
      </c>
    </row>
    <row r="18571" spans="1:13">
      <c r="A18571" t="s">
        <v>4</v>
      </c>
      <c r="B18571" s="4" t="s">
        <v>5</v>
      </c>
      <c r="C18571" s="4" t="s">
        <v>11</v>
      </c>
      <c r="D18571" s="4" t="s">
        <v>7</v>
      </c>
      <c r="E18571" s="4" t="s">
        <v>15</v>
      </c>
      <c r="F18571" s="4" t="s">
        <v>55</v>
      </c>
      <c r="G18571" s="4" t="s">
        <v>7</v>
      </c>
      <c r="H18571" s="4" t="s">
        <v>7</v>
      </c>
      <c r="I18571" s="4" t="s">
        <v>7</v>
      </c>
      <c r="J18571" s="4" t="s">
        <v>15</v>
      </c>
      <c r="K18571" s="4" t="s">
        <v>55</v>
      </c>
      <c r="L18571" s="4" t="s">
        <v>7</v>
      </c>
      <c r="M18571" s="4" t="s">
        <v>7</v>
      </c>
    </row>
    <row r="18572" spans="1:13">
      <c r="A18572" t="n">
        <v>179137</v>
      </c>
      <c r="B18572" s="55" t="n">
        <v>26</v>
      </c>
      <c r="C18572" s="7" t="n">
        <v>0</v>
      </c>
      <c r="D18572" s="7" t="n">
        <v>17</v>
      </c>
      <c r="E18572" s="7" t="n">
        <v>64542</v>
      </c>
      <c r="F18572" s="7" t="s">
        <v>1521</v>
      </c>
      <c r="G18572" s="7" t="n">
        <v>2</v>
      </c>
      <c r="H18572" s="7" t="n">
        <v>3</v>
      </c>
      <c r="I18572" s="7" t="n">
        <v>17</v>
      </c>
      <c r="J18572" s="7" t="n">
        <v>64543</v>
      </c>
      <c r="K18572" s="7" t="s">
        <v>1522</v>
      </c>
      <c r="L18572" s="7" t="n">
        <v>2</v>
      </c>
      <c r="M18572" s="7" t="n">
        <v>0</v>
      </c>
    </row>
    <row r="18573" spans="1:13">
      <c r="A18573" t="s">
        <v>4</v>
      </c>
      <c r="B18573" s="4" t="s">
        <v>5</v>
      </c>
    </row>
    <row r="18574" spans="1:13">
      <c r="A18574" t="n">
        <v>179246</v>
      </c>
      <c r="B18574" s="27" t="n">
        <v>28</v>
      </c>
    </row>
    <row r="18575" spans="1:13">
      <c r="A18575" t="s">
        <v>4</v>
      </c>
      <c r="B18575" s="4" t="s">
        <v>5</v>
      </c>
      <c r="C18575" s="4" t="s">
        <v>7</v>
      </c>
      <c r="D18575" s="4" t="s">
        <v>11</v>
      </c>
      <c r="E18575" s="4" t="s">
        <v>11</v>
      </c>
      <c r="F18575" s="4" t="s">
        <v>7</v>
      </c>
    </row>
    <row r="18576" spans="1:13">
      <c r="A18576" t="n">
        <v>179247</v>
      </c>
      <c r="B18576" s="31" t="n">
        <v>25</v>
      </c>
      <c r="C18576" s="7" t="n">
        <v>1</v>
      </c>
      <c r="D18576" s="7" t="n">
        <v>65535</v>
      </c>
      <c r="E18576" s="7" t="n">
        <v>65535</v>
      </c>
      <c r="F18576" s="7" t="n">
        <v>0</v>
      </c>
    </row>
    <row r="18577" spans="1:13">
      <c r="A18577" t="s">
        <v>4</v>
      </c>
      <c r="B18577" s="4" t="s">
        <v>5</v>
      </c>
      <c r="C18577" s="4" t="s">
        <v>7</v>
      </c>
      <c r="D18577" s="4" t="s">
        <v>11</v>
      </c>
      <c r="E18577" s="4" t="s">
        <v>11</v>
      </c>
      <c r="F18577" s="4" t="s">
        <v>7</v>
      </c>
    </row>
    <row r="18578" spans="1:13">
      <c r="A18578" t="n">
        <v>179254</v>
      </c>
      <c r="B18578" s="31" t="n">
        <v>25</v>
      </c>
      <c r="C18578" s="7" t="n">
        <v>1</v>
      </c>
      <c r="D18578" s="7" t="n">
        <v>60</v>
      </c>
      <c r="E18578" s="7" t="n">
        <v>640</v>
      </c>
      <c r="F18578" s="7" t="n">
        <v>1</v>
      </c>
    </row>
    <row r="18579" spans="1:13">
      <c r="A18579" t="s">
        <v>4</v>
      </c>
      <c r="B18579" s="4" t="s">
        <v>5</v>
      </c>
      <c r="C18579" s="4" t="s">
        <v>11</v>
      </c>
      <c r="D18579" s="4" t="s">
        <v>7</v>
      </c>
      <c r="E18579" s="4" t="s">
        <v>7</v>
      </c>
      <c r="F18579" s="4" t="s">
        <v>8</v>
      </c>
    </row>
    <row r="18580" spans="1:13">
      <c r="A18580" t="n">
        <v>179261</v>
      </c>
      <c r="B18580" s="50" t="n">
        <v>20</v>
      </c>
      <c r="C18580" s="7" t="n">
        <v>3</v>
      </c>
      <c r="D18580" s="7" t="n">
        <v>2</v>
      </c>
      <c r="E18580" s="7" t="n">
        <v>10</v>
      </c>
      <c r="F18580" s="7" t="s">
        <v>223</v>
      </c>
    </row>
    <row r="18581" spans="1:13">
      <c r="A18581" t="s">
        <v>4</v>
      </c>
      <c r="B18581" s="4" t="s">
        <v>5</v>
      </c>
      <c r="C18581" s="4" t="s">
        <v>7</v>
      </c>
      <c r="D18581" s="4" t="s">
        <v>11</v>
      </c>
      <c r="E18581" s="4" t="s">
        <v>8</v>
      </c>
    </row>
    <row r="18582" spans="1:13">
      <c r="A18582" t="n">
        <v>179282</v>
      </c>
      <c r="B18582" s="38" t="n">
        <v>51</v>
      </c>
      <c r="C18582" s="7" t="n">
        <v>4</v>
      </c>
      <c r="D18582" s="7" t="n">
        <v>3</v>
      </c>
      <c r="E18582" s="7" t="s">
        <v>1134</v>
      </c>
    </row>
    <row r="18583" spans="1:13">
      <c r="A18583" t="s">
        <v>4</v>
      </c>
      <c r="B18583" s="4" t="s">
        <v>5</v>
      </c>
      <c r="C18583" s="4" t="s">
        <v>11</v>
      </c>
    </row>
    <row r="18584" spans="1:13">
      <c r="A18584" t="n">
        <v>179296</v>
      </c>
      <c r="B18584" s="29" t="n">
        <v>16</v>
      </c>
      <c r="C18584" s="7" t="n">
        <v>0</v>
      </c>
    </row>
    <row r="18585" spans="1:13">
      <c r="A18585" t="s">
        <v>4</v>
      </c>
      <c r="B18585" s="4" t="s">
        <v>5</v>
      </c>
      <c r="C18585" s="4" t="s">
        <v>11</v>
      </c>
      <c r="D18585" s="4" t="s">
        <v>7</v>
      </c>
      <c r="E18585" s="4" t="s">
        <v>15</v>
      </c>
      <c r="F18585" s="4" t="s">
        <v>55</v>
      </c>
      <c r="G18585" s="4" t="s">
        <v>7</v>
      </c>
      <c r="H18585" s="4" t="s">
        <v>7</v>
      </c>
      <c r="I18585" s="4" t="s">
        <v>7</v>
      </c>
      <c r="J18585" s="4" t="s">
        <v>15</v>
      </c>
      <c r="K18585" s="4" t="s">
        <v>55</v>
      </c>
      <c r="L18585" s="4" t="s">
        <v>7</v>
      </c>
      <c r="M18585" s="4" t="s">
        <v>7</v>
      </c>
    </row>
    <row r="18586" spans="1:13">
      <c r="A18586" t="n">
        <v>179299</v>
      </c>
      <c r="B18586" s="55" t="n">
        <v>26</v>
      </c>
      <c r="C18586" s="7" t="n">
        <v>3</v>
      </c>
      <c r="D18586" s="7" t="n">
        <v>17</v>
      </c>
      <c r="E18586" s="7" t="n">
        <v>64544</v>
      </c>
      <c r="F18586" s="7" t="s">
        <v>1523</v>
      </c>
      <c r="G18586" s="7" t="n">
        <v>2</v>
      </c>
      <c r="H18586" s="7" t="n">
        <v>3</v>
      </c>
      <c r="I18586" s="7" t="n">
        <v>17</v>
      </c>
      <c r="J18586" s="7" t="n">
        <v>64545</v>
      </c>
      <c r="K18586" s="7" t="s">
        <v>1524</v>
      </c>
      <c r="L18586" s="7" t="n">
        <v>2</v>
      </c>
      <c r="M18586" s="7" t="n">
        <v>0</v>
      </c>
    </row>
    <row r="18587" spans="1:13">
      <c r="A18587" t="s">
        <v>4</v>
      </c>
      <c r="B18587" s="4" t="s">
        <v>5</v>
      </c>
    </row>
    <row r="18588" spans="1:13">
      <c r="A18588" t="n">
        <v>179487</v>
      </c>
      <c r="B18588" s="27" t="n">
        <v>28</v>
      </c>
    </row>
    <row r="18589" spans="1:13">
      <c r="A18589" t="s">
        <v>4</v>
      </c>
      <c r="B18589" s="4" t="s">
        <v>5</v>
      </c>
      <c r="C18589" s="4" t="s">
        <v>7</v>
      </c>
      <c r="D18589" s="4" t="s">
        <v>11</v>
      </c>
      <c r="E18589" s="4" t="s">
        <v>11</v>
      </c>
      <c r="F18589" s="4" t="s">
        <v>7</v>
      </c>
    </row>
    <row r="18590" spans="1:13">
      <c r="A18590" t="n">
        <v>179488</v>
      </c>
      <c r="B18590" s="31" t="n">
        <v>25</v>
      </c>
      <c r="C18590" s="7" t="n">
        <v>1</v>
      </c>
      <c r="D18590" s="7" t="n">
        <v>60</v>
      </c>
      <c r="E18590" s="7" t="n">
        <v>640</v>
      </c>
      <c r="F18590" s="7" t="n">
        <v>2</v>
      </c>
    </row>
    <row r="18591" spans="1:13">
      <c r="A18591" t="s">
        <v>4</v>
      </c>
      <c r="B18591" s="4" t="s">
        <v>5</v>
      </c>
      <c r="C18591" s="4" t="s">
        <v>7</v>
      </c>
      <c r="D18591" s="4" t="s">
        <v>11</v>
      </c>
      <c r="E18591" s="4" t="s">
        <v>8</v>
      </c>
    </row>
    <row r="18592" spans="1:13">
      <c r="A18592" t="n">
        <v>179495</v>
      </c>
      <c r="B18592" s="38" t="n">
        <v>51</v>
      </c>
      <c r="C18592" s="7" t="n">
        <v>4</v>
      </c>
      <c r="D18592" s="7" t="n">
        <v>0</v>
      </c>
      <c r="E18592" s="7" t="s">
        <v>1285</v>
      </c>
    </row>
    <row r="18593" spans="1:13">
      <c r="A18593" t="s">
        <v>4</v>
      </c>
      <c r="B18593" s="4" t="s">
        <v>5</v>
      </c>
      <c r="C18593" s="4" t="s">
        <v>11</v>
      </c>
    </row>
    <row r="18594" spans="1:13">
      <c r="A18594" t="n">
        <v>179510</v>
      </c>
      <c r="B18594" s="29" t="n">
        <v>16</v>
      </c>
      <c r="C18594" s="7" t="n">
        <v>0</v>
      </c>
    </row>
    <row r="18595" spans="1:13">
      <c r="A18595" t="s">
        <v>4</v>
      </c>
      <c r="B18595" s="4" t="s">
        <v>5</v>
      </c>
      <c r="C18595" s="4" t="s">
        <v>11</v>
      </c>
      <c r="D18595" s="4" t="s">
        <v>7</v>
      </c>
      <c r="E18595" s="4" t="s">
        <v>15</v>
      </c>
      <c r="F18595" s="4" t="s">
        <v>55</v>
      </c>
      <c r="G18595" s="4" t="s">
        <v>7</v>
      </c>
      <c r="H18595" s="4" t="s">
        <v>7</v>
      </c>
    </row>
    <row r="18596" spans="1:13">
      <c r="A18596" t="n">
        <v>179513</v>
      </c>
      <c r="B18596" s="55" t="n">
        <v>26</v>
      </c>
      <c r="C18596" s="7" t="n">
        <v>0</v>
      </c>
      <c r="D18596" s="7" t="n">
        <v>17</v>
      </c>
      <c r="E18596" s="7" t="n">
        <v>64546</v>
      </c>
      <c r="F18596" s="7" t="s">
        <v>1525</v>
      </c>
      <c r="G18596" s="7" t="n">
        <v>2</v>
      </c>
      <c r="H18596" s="7" t="n">
        <v>0</v>
      </c>
    </row>
    <row r="18597" spans="1:13">
      <c r="A18597" t="s">
        <v>4</v>
      </c>
      <c r="B18597" s="4" t="s">
        <v>5</v>
      </c>
    </row>
    <row r="18598" spans="1:13">
      <c r="A18598" t="n">
        <v>179625</v>
      </c>
      <c r="B18598" s="27" t="n">
        <v>28</v>
      </c>
    </row>
    <row r="18599" spans="1:13">
      <c r="A18599" t="s">
        <v>4</v>
      </c>
      <c r="B18599" s="4" t="s">
        <v>5</v>
      </c>
      <c r="C18599" s="4" t="s">
        <v>7</v>
      </c>
      <c r="D18599" s="4" t="s">
        <v>11</v>
      </c>
      <c r="E18599" s="4" t="s">
        <v>11</v>
      </c>
      <c r="F18599" s="4" t="s">
        <v>7</v>
      </c>
    </row>
    <row r="18600" spans="1:13">
      <c r="A18600" t="n">
        <v>179626</v>
      </c>
      <c r="B18600" s="31" t="n">
        <v>25</v>
      </c>
      <c r="C18600" s="7" t="n">
        <v>1</v>
      </c>
      <c r="D18600" s="7" t="n">
        <v>65535</v>
      </c>
      <c r="E18600" s="7" t="n">
        <v>65535</v>
      </c>
      <c r="F18600" s="7" t="n">
        <v>0</v>
      </c>
    </row>
    <row r="18601" spans="1:13">
      <c r="A18601" t="s">
        <v>4</v>
      </c>
      <c r="B18601" s="4" t="s">
        <v>5</v>
      </c>
      <c r="C18601" s="4" t="s">
        <v>11</v>
      </c>
      <c r="D18601" s="4" t="s">
        <v>7</v>
      </c>
    </row>
    <row r="18602" spans="1:13">
      <c r="A18602" t="n">
        <v>179633</v>
      </c>
      <c r="B18602" s="68" t="n">
        <v>89</v>
      </c>
      <c r="C18602" s="7" t="n">
        <v>65533</v>
      </c>
      <c r="D18602" s="7" t="n">
        <v>1</v>
      </c>
    </row>
    <row r="18603" spans="1:13">
      <c r="A18603" t="s">
        <v>4</v>
      </c>
      <c r="B18603" s="4" t="s">
        <v>5</v>
      </c>
      <c r="C18603" s="4" t="s">
        <v>11</v>
      </c>
    </row>
    <row r="18604" spans="1:13">
      <c r="A18604" t="n">
        <v>179637</v>
      </c>
      <c r="B18604" s="29" t="n">
        <v>16</v>
      </c>
      <c r="C18604" s="7" t="n">
        <v>300</v>
      </c>
    </row>
    <row r="18605" spans="1:13">
      <c r="A18605" t="s">
        <v>4</v>
      </c>
      <c r="B18605" s="4" t="s">
        <v>5</v>
      </c>
      <c r="C18605" s="4" t="s">
        <v>7</v>
      </c>
      <c r="D18605" s="4" t="s">
        <v>7</v>
      </c>
      <c r="E18605" s="4" t="s">
        <v>7</v>
      </c>
      <c r="F18605" s="4" t="s">
        <v>13</v>
      </c>
      <c r="G18605" s="4" t="s">
        <v>13</v>
      </c>
      <c r="H18605" s="4" t="s">
        <v>13</v>
      </c>
      <c r="I18605" s="4" t="s">
        <v>13</v>
      </c>
      <c r="J18605" s="4" t="s">
        <v>13</v>
      </c>
    </row>
    <row r="18606" spans="1:13">
      <c r="A18606" t="n">
        <v>179640</v>
      </c>
      <c r="B18606" s="25" t="n">
        <v>76</v>
      </c>
      <c r="C18606" s="7" t="n">
        <v>0</v>
      </c>
      <c r="D18606" s="7" t="n">
        <v>3</v>
      </c>
      <c r="E18606" s="7" t="n">
        <v>0</v>
      </c>
      <c r="F18606" s="7" t="n">
        <v>1</v>
      </c>
      <c r="G18606" s="7" t="n">
        <v>1</v>
      </c>
      <c r="H18606" s="7" t="n">
        <v>1</v>
      </c>
      <c r="I18606" s="7" t="n">
        <v>0</v>
      </c>
      <c r="J18606" s="7" t="n">
        <v>800</v>
      </c>
    </row>
    <row r="18607" spans="1:13">
      <c r="A18607" t="s">
        <v>4</v>
      </c>
      <c r="B18607" s="4" t="s">
        <v>5</v>
      </c>
      <c r="C18607" s="4" t="s">
        <v>7</v>
      </c>
      <c r="D18607" s="4" t="s">
        <v>7</v>
      </c>
    </row>
    <row r="18608" spans="1:13">
      <c r="A18608" t="n">
        <v>179664</v>
      </c>
      <c r="B18608" s="26" t="n">
        <v>77</v>
      </c>
      <c r="C18608" s="7" t="n">
        <v>0</v>
      </c>
      <c r="D18608" s="7" t="n">
        <v>3</v>
      </c>
    </row>
    <row r="18609" spans="1:10">
      <c r="A18609" t="s">
        <v>4</v>
      </c>
      <c r="B18609" s="4" t="s">
        <v>5</v>
      </c>
      <c r="C18609" s="4" t="s">
        <v>7</v>
      </c>
      <c r="D18609" s="4" t="s">
        <v>11</v>
      </c>
      <c r="E18609" s="4" t="s">
        <v>13</v>
      </c>
    </row>
    <row r="18610" spans="1:10">
      <c r="A18610" t="n">
        <v>179667</v>
      </c>
      <c r="B18610" s="23" t="n">
        <v>58</v>
      </c>
      <c r="C18610" s="7" t="n">
        <v>100</v>
      </c>
      <c r="D18610" s="7" t="n">
        <v>300</v>
      </c>
      <c r="E18610" s="7" t="n">
        <v>0.300000011920929</v>
      </c>
    </row>
    <row r="18611" spans="1:10">
      <c r="A18611" t="s">
        <v>4</v>
      </c>
      <c r="B18611" s="4" t="s">
        <v>5</v>
      </c>
      <c r="C18611" s="4" t="s">
        <v>7</v>
      </c>
      <c r="D18611" s="4" t="s">
        <v>11</v>
      </c>
    </row>
    <row r="18612" spans="1:10">
      <c r="A18612" t="n">
        <v>179675</v>
      </c>
      <c r="B18612" s="23" t="n">
        <v>58</v>
      </c>
      <c r="C18612" s="7" t="n">
        <v>255</v>
      </c>
      <c r="D18612" s="7" t="n">
        <v>0</v>
      </c>
    </row>
    <row r="18613" spans="1:10">
      <c r="A18613" t="s">
        <v>4</v>
      </c>
      <c r="B18613" s="4" t="s">
        <v>5</v>
      </c>
      <c r="C18613" s="4" t="s">
        <v>7</v>
      </c>
      <c r="D18613" s="4" t="s">
        <v>11</v>
      </c>
      <c r="E18613" s="4" t="s">
        <v>8</v>
      </c>
    </row>
    <row r="18614" spans="1:10">
      <c r="A18614" t="n">
        <v>179679</v>
      </c>
      <c r="B18614" s="38" t="n">
        <v>51</v>
      </c>
      <c r="C18614" s="7" t="n">
        <v>4</v>
      </c>
      <c r="D18614" s="7" t="n">
        <v>0</v>
      </c>
      <c r="E18614" s="7" t="s">
        <v>304</v>
      </c>
    </row>
    <row r="18615" spans="1:10">
      <c r="A18615" t="s">
        <v>4</v>
      </c>
      <c r="B18615" s="4" t="s">
        <v>5</v>
      </c>
      <c r="C18615" s="4" t="s">
        <v>11</v>
      </c>
    </row>
    <row r="18616" spans="1:10">
      <c r="A18616" t="n">
        <v>179692</v>
      </c>
      <c r="B18616" s="29" t="n">
        <v>16</v>
      </c>
      <c r="C18616" s="7" t="n">
        <v>0</v>
      </c>
    </row>
    <row r="18617" spans="1:10">
      <c r="A18617" t="s">
        <v>4</v>
      </c>
      <c r="B18617" s="4" t="s">
        <v>5</v>
      </c>
      <c r="C18617" s="4" t="s">
        <v>11</v>
      </c>
      <c r="D18617" s="4" t="s">
        <v>7</v>
      </c>
      <c r="E18617" s="4" t="s">
        <v>15</v>
      </c>
      <c r="F18617" s="4" t="s">
        <v>55</v>
      </c>
      <c r="G18617" s="4" t="s">
        <v>7</v>
      </c>
      <c r="H18617" s="4" t="s">
        <v>7</v>
      </c>
      <c r="I18617" s="4" t="s">
        <v>7</v>
      </c>
      <c r="J18617" s="4" t="s">
        <v>15</v>
      </c>
      <c r="K18617" s="4" t="s">
        <v>55</v>
      </c>
      <c r="L18617" s="4" t="s">
        <v>7</v>
      </c>
      <c r="M18617" s="4" t="s">
        <v>7</v>
      </c>
    </row>
    <row r="18618" spans="1:10">
      <c r="A18618" t="n">
        <v>179695</v>
      </c>
      <c r="B18618" s="55" t="n">
        <v>26</v>
      </c>
      <c r="C18618" s="7" t="n">
        <v>0</v>
      </c>
      <c r="D18618" s="7" t="n">
        <v>17</v>
      </c>
      <c r="E18618" s="7" t="n">
        <v>64547</v>
      </c>
      <c r="F18618" s="7" t="s">
        <v>1526</v>
      </c>
      <c r="G18618" s="7" t="n">
        <v>2</v>
      </c>
      <c r="H18618" s="7" t="n">
        <v>3</v>
      </c>
      <c r="I18618" s="7" t="n">
        <v>17</v>
      </c>
      <c r="J18618" s="7" t="n">
        <v>64548</v>
      </c>
      <c r="K18618" s="7" t="s">
        <v>1527</v>
      </c>
      <c r="L18618" s="7" t="n">
        <v>2</v>
      </c>
      <c r="M18618" s="7" t="n">
        <v>0</v>
      </c>
    </row>
    <row r="18619" spans="1:10">
      <c r="A18619" t="s">
        <v>4</v>
      </c>
      <c r="B18619" s="4" t="s">
        <v>5</v>
      </c>
    </row>
    <row r="18620" spans="1:10">
      <c r="A18620" t="n">
        <v>179890</v>
      </c>
      <c r="B18620" s="27" t="n">
        <v>28</v>
      </c>
    </row>
    <row r="18621" spans="1:10">
      <c r="A18621" t="s">
        <v>4</v>
      </c>
      <c r="B18621" s="4" t="s">
        <v>5</v>
      </c>
      <c r="C18621" s="4" t="s">
        <v>7</v>
      </c>
      <c r="D18621" s="4" t="s">
        <v>11</v>
      </c>
      <c r="E18621" s="4" t="s">
        <v>11</v>
      </c>
      <c r="F18621" s="4" t="s">
        <v>7</v>
      </c>
    </row>
    <row r="18622" spans="1:10">
      <c r="A18622" t="n">
        <v>179891</v>
      </c>
      <c r="B18622" s="31" t="n">
        <v>25</v>
      </c>
      <c r="C18622" s="7" t="n">
        <v>1</v>
      </c>
      <c r="D18622" s="7" t="n">
        <v>65535</v>
      </c>
      <c r="E18622" s="7" t="n">
        <v>65535</v>
      </c>
      <c r="F18622" s="7" t="n">
        <v>0</v>
      </c>
    </row>
    <row r="18623" spans="1:10">
      <c r="A18623" t="s">
        <v>4</v>
      </c>
      <c r="B18623" s="4" t="s">
        <v>5</v>
      </c>
      <c r="C18623" s="4" t="s">
        <v>7</v>
      </c>
      <c r="D18623" s="4" t="s">
        <v>11</v>
      </c>
      <c r="E18623" s="4" t="s">
        <v>8</v>
      </c>
    </row>
    <row r="18624" spans="1:10">
      <c r="A18624" t="n">
        <v>179898</v>
      </c>
      <c r="B18624" s="38" t="n">
        <v>51</v>
      </c>
      <c r="C18624" s="7" t="n">
        <v>4</v>
      </c>
      <c r="D18624" s="7" t="n">
        <v>3</v>
      </c>
      <c r="E18624" s="7" t="s">
        <v>313</v>
      </c>
    </row>
    <row r="18625" spans="1:13">
      <c r="A18625" t="s">
        <v>4</v>
      </c>
      <c r="B18625" s="4" t="s">
        <v>5</v>
      </c>
      <c r="C18625" s="4" t="s">
        <v>11</v>
      </c>
    </row>
    <row r="18626" spans="1:13">
      <c r="A18626" t="n">
        <v>179911</v>
      </c>
      <c r="B18626" s="29" t="n">
        <v>16</v>
      </c>
      <c r="C18626" s="7" t="n">
        <v>0</v>
      </c>
    </row>
    <row r="18627" spans="1:13">
      <c r="A18627" t="s">
        <v>4</v>
      </c>
      <c r="B18627" s="4" t="s">
        <v>5</v>
      </c>
      <c r="C18627" s="4" t="s">
        <v>11</v>
      </c>
      <c r="D18627" s="4" t="s">
        <v>7</v>
      </c>
      <c r="E18627" s="4" t="s">
        <v>15</v>
      </c>
      <c r="F18627" s="4" t="s">
        <v>55</v>
      </c>
      <c r="G18627" s="4" t="s">
        <v>7</v>
      </c>
      <c r="H18627" s="4" t="s">
        <v>7</v>
      </c>
      <c r="I18627" s="4" t="s">
        <v>7</v>
      </c>
      <c r="J18627" s="4" t="s">
        <v>15</v>
      </c>
      <c r="K18627" s="4" t="s">
        <v>55</v>
      </c>
      <c r="L18627" s="4" t="s">
        <v>7</v>
      </c>
      <c r="M18627" s="4" t="s">
        <v>7</v>
      </c>
      <c r="N18627" s="4" t="s">
        <v>7</v>
      </c>
      <c r="O18627" s="4" t="s">
        <v>15</v>
      </c>
      <c r="P18627" s="4" t="s">
        <v>55</v>
      </c>
      <c r="Q18627" s="4" t="s">
        <v>7</v>
      </c>
      <c r="R18627" s="4" t="s">
        <v>7</v>
      </c>
    </row>
    <row r="18628" spans="1:13">
      <c r="A18628" t="n">
        <v>179914</v>
      </c>
      <c r="B18628" s="55" t="n">
        <v>26</v>
      </c>
      <c r="C18628" s="7" t="n">
        <v>3</v>
      </c>
      <c r="D18628" s="7" t="n">
        <v>17</v>
      </c>
      <c r="E18628" s="7" t="n">
        <v>64549</v>
      </c>
      <c r="F18628" s="7" t="s">
        <v>1528</v>
      </c>
      <c r="G18628" s="7" t="n">
        <v>2</v>
      </c>
      <c r="H18628" s="7" t="n">
        <v>3</v>
      </c>
      <c r="I18628" s="7" t="n">
        <v>17</v>
      </c>
      <c r="J18628" s="7" t="n">
        <v>64550</v>
      </c>
      <c r="K18628" s="7" t="s">
        <v>1529</v>
      </c>
      <c r="L18628" s="7" t="n">
        <v>2</v>
      </c>
      <c r="M18628" s="7" t="n">
        <v>3</v>
      </c>
      <c r="N18628" s="7" t="n">
        <v>17</v>
      </c>
      <c r="O18628" s="7" t="n">
        <v>64551</v>
      </c>
      <c r="P18628" s="7" t="s">
        <v>1530</v>
      </c>
      <c r="Q18628" s="7" t="n">
        <v>2</v>
      </c>
      <c r="R18628" s="7" t="n">
        <v>0</v>
      </c>
    </row>
    <row r="18629" spans="1:13">
      <c r="A18629" t="s">
        <v>4</v>
      </c>
      <c r="B18629" s="4" t="s">
        <v>5</v>
      </c>
    </row>
    <row r="18630" spans="1:13">
      <c r="A18630" t="n">
        <v>180111</v>
      </c>
      <c r="B18630" s="27" t="n">
        <v>28</v>
      </c>
    </row>
    <row r="18631" spans="1:13">
      <c r="A18631" t="s">
        <v>4</v>
      </c>
      <c r="B18631" s="4" t="s">
        <v>5</v>
      </c>
      <c r="C18631" s="4" t="s">
        <v>11</v>
      </c>
      <c r="D18631" s="4" t="s">
        <v>13</v>
      </c>
      <c r="E18631" s="4" t="s">
        <v>13</v>
      </c>
      <c r="F18631" s="4" t="s">
        <v>13</v>
      </c>
      <c r="G18631" s="4" t="s">
        <v>11</v>
      </c>
      <c r="H18631" s="4" t="s">
        <v>11</v>
      </c>
    </row>
    <row r="18632" spans="1:13">
      <c r="A18632" t="n">
        <v>180112</v>
      </c>
      <c r="B18632" s="37" t="n">
        <v>60</v>
      </c>
      <c r="C18632" s="7" t="n">
        <v>3</v>
      </c>
      <c r="D18632" s="7" t="n">
        <v>0</v>
      </c>
      <c r="E18632" s="7" t="n">
        <v>-10</v>
      </c>
      <c r="F18632" s="7" t="n">
        <v>0</v>
      </c>
      <c r="G18632" s="7" t="n">
        <v>1000</v>
      </c>
      <c r="H18632" s="7" t="n">
        <v>0</v>
      </c>
    </row>
    <row r="18633" spans="1:13">
      <c r="A18633" t="s">
        <v>4</v>
      </c>
      <c r="B18633" s="4" t="s">
        <v>5</v>
      </c>
      <c r="C18633" s="4" t="s">
        <v>7</v>
      </c>
      <c r="D18633" s="4" t="s">
        <v>11</v>
      </c>
      <c r="E18633" s="4" t="s">
        <v>8</v>
      </c>
    </row>
    <row r="18634" spans="1:13">
      <c r="A18634" t="n">
        <v>180131</v>
      </c>
      <c r="B18634" s="38" t="n">
        <v>51</v>
      </c>
      <c r="C18634" s="7" t="n">
        <v>4</v>
      </c>
      <c r="D18634" s="7" t="n">
        <v>3</v>
      </c>
      <c r="E18634" s="7" t="s">
        <v>441</v>
      </c>
    </row>
    <row r="18635" spans="1:13">
      <c r="A18635" t="s">
        <v>4</v>
      </c>
      <c r="B18635" s="4" t="s">
        <v>5</v>
      </c>
      <c r="C18635" s="4" t="s">
        <v>11</v>
      </c>
    </row>
    <row r="18636" spans="1:13">
      <c r="A18636" t="n">
        <v>180145</v>
      </c>
      <c r="B18636" s="29" t="n">
        <v>16</v>
      </c>
      <c r="C18636" s="7" t="n">
        <v>500</v>
      </c>
    </row>
    <row r="18637" spans="1:13">
      <c r="A18637" t="s">
        <v>4</v>
      </c>
      <c r="B18637" s="4" t="s">
        <v>5</v>
      </c>
      <c r="C18637" s="4" t="s">
        <v>11</v>
      </c>
      <c r="D18637" s="4" t="s">
        <v>7</v>
      </c>
      <c r="E18637" s="4" t="s">
        <v>15</v>
      </c>
      <c r="F18637" s="4" t="s">
        <v>55</v>
      </c>
      <c r="G18637" s="4" t="s">
        <v>7</v>
      </c>
      <c r="H18637" s="4" t="s">
        <v>7</v>
      </c>
    </row>
    <row r="18638" spans="1:13">
      <c r="A18638" t="n">
        <v>180148</v>
      </c>
      <c r="B18638" s="55" t="n">
        <v>26</v>
      </c>
      <c r="C18638" s="7" t="n">
        <v>3</v>
      </c>
      <c r="D18638" s="7" t="n">
        <v>17</v>
      </c>
      <c r="E18638" s="7" t="n">
        <v>64552</v>
      </c>
      <c r="F18638" s="7" t="s">
        <v>1531</v>
      </c>
      <c r="G18638" s="7" t="n">
        <v>2</v>
      </c>
      <c r="H18638" s="7" t="n">
        <v>0</v>
      </c>
    </row>
    <row r="18639" spans="1:13">
      <c r="A18639" t="s">
        <v>4</v>
      </c>
      <c r="B18639" s="4" t="s">
        <v>5</v>
      </c>
    </row>
    <row r="18640" spans="1:13">
      <c r="A18640" t="n">
        <v>180233</v>
      </c>
      <c r="B18640" s="27" t="n">
        <v>28</v>
      </c>
    </row>
    <row r="18641" spans="1:18">
      <c r="A18641" t="s">
        <v>4</v>
      </c>
      <c r="B18641" s="4" t="s">
        <v>5</v>
      </c>
      <c r="C18641" s="4" t="s">
        <v>7</v>
      </c>
      <c r="D18641" s="4" t="s">
        <v>11</v>
      </c>
      <c r="E18641" s="4" t="s">
        <v>8</v>
      </c>
    </row>
    <row r="18642" spans="1:18">
      <c r="A18642" t="n">
        <v>180234</v>
      </c>
      <c r="B18642" s="38" t="n">
        <v>51</v>
      </c>
      <c r="C18642" s="7" t="n">
        <v>4</v>
      </c>
      <c r="D18642" s="7" t="n">
        <v>0</v>
      </c>
      <c r="E18642" s="7" t="s">
        <v>147</v>
      </c>
    </row>
    <row r="18643" spans="1:18">
      <c r="A18643" t="s">
        <v>4</v>
      </c>
      <c r="B18643" s="4" t="s">
        <v>5</v>
      </c>
      <c r="C18643" s="4" t="s">
        <v>11</v>
      </c>
    </row>
    <row r="18644" spans="1:18">
      <c r="A18644" t="n">
        <v>180248</v>
      </c>
      <c r="B18644" s="29" t="n">
        <v>16</v>
      </c>
      <c r="C18644" s="7" t="n">
        <v>0</v>
      </c>
    </row>
    <row r="18645" spans="1:18">
      <c r="A18645" t="s">
        <v>4</v>
      </c>
      <c r="B18645" s="4" t="s">
        <v>5</v>
      </c>
      <c r="C18645" s="4" t="s">
        <v>11</v>
      </c>
      <c r="D18645" s="4" t="s">
        <v>7</v>
      </c>
      <c r="E18645" s="4" t="s">
        <v>15</v>
      </c>
      <c r="F18645" s="4" t="s">
        <v>55</v>
      </c>
      <c r="G18645" s="4" t="s">
        <v>7</v>
      </c>
      <c r="H18645" s="4" t="s">
        <v>7</v>
      </c>
    </row>
    <row r="18646" spans="1:18">
      <c r="A18646" t="n">
        <v>180251</v>
      </c>
      <c r="B18646" s="55" t="n">
        <v>26</v>
      </c>
      <c r="C18646" s="7" t="n">
        <v>0</v>
      </c>
      <c r="D18646" s="7" t="n">
        <v>17</v>
      </c>
      <c r="E18646" s="7" t="n">
        <v>64553</v>
      </c>
      <c r="F18646" s="7" t="s">
        <v>1532</v>
      </c>
      <c r="G18646" s="7" t="n">
        <v>2</v>
      </c>
      <c r="H18646" s="7" t="n">
        <v>0</v>
      </c>
    </row>
    <row r="18647" spans="1:18">
      <c r="A18647" t="s">
        <v>4</v>
      </c>
      <c r="B18647" s="4" t="s">
        <v>5</v>
      </c>
    </row>
    <row r="18648" spans="1:18">
      <c r="A18648" t="n">
        <v>180321</v>
      </c>
      <c r="B18648" s="27" t="n">
        <v>28</v>
      </c>
    </row>
    <row r="18649" spans="1:18">
      <c r="A18649" t="s">
        <v>4</v>
      </c>
      <c r="B18649" s="4" t="s">
        <v>5</v>
      </c>
      <c r="C18649" s="4" t="s">
        <v>7</v>
      </c>
      <c r="D18649" s="4" t="s">
        <v>11</v>
      </c>
      <c r="E18649" s="4" t="s">
        <v>11</v>
      </c>
      <c r="F18649" s="4" t="s">
        <v>7</v>
      </c>
    </row>
    <row r="18650" spans="1:18">
      <c r="A18650" t="n">
        <v>180322</v>
      </c>
      <c r="B18650" s="31" t="n">
        <v>25</v>
      </c>
      <c r="C18650" s="7" t="n">
        <v>1</v>
      </c>
      <c r="D18650" s="7" t="n">
        <v>65535</v>
      </c>
      <c r="E18650" s="7" t="n">
        <v>65535</v>
      </c>
      <c r="F18650" s="7" t="n">
        <v>0</v>
      </c>
    </row>
    <row r="18651" spans="1:18">
      <c r="A18651" t="s">
        <v>4</v>
      </c>
      <c r="B18651" s="4" t="s">
        <v>5</v>
      </c>
      <c r="C18651" s="4" t="s">
        <v>7</v>
      </c>
      <c r="D18651" s="4" t="s">
        <v>11</v>
      </c>
      <c r="E18651" s="4" t="s">
        <v>8</v>
      </c>
      <c r="F18651" s="4" t="s">
        <v>8</v>
      </c>
      <c r="G18651" s="4" t="s">
        <v>8</v>
      </c>
      <c r="H18651" s="4" t="s">
        <v>8</v>
      </c>
    </row>
    <row r="18652" spans="1:18">
      <c r="A18652" t="n">
        <v>180329</v>
      </c>
      <c r="B18652" s="38" t="n">
        <v>51</v>
      </c>
      <c r="C18652" s="7" t="n">
        <v>3</v>
      </c>
      <c r="D18652" s="7" t="n">
        <v>3</v>
      </c>
      <c r="E18652" s="7" t="s">
        <v>99</v>
      </c>
      <c r="F18652" s="7" t="s">
        <v>232</v>
      </c>
      <c r="G18652" s="7" t="s">
        <v>78</v>
      </c>
      <c r="H18652" s="7" t="s">
        <v>79</v>
      </c>
    </row>
    <row r="18653" spans="1:18">
      <c r="A18653" t="s">
        <v>4</v>
      </c>
      <c r="B18653" s="4" t="s">
        <v>5</v>
      </c>
      <c r="C18653" s="4" t="s">
        <v>11</v>
      </c>
      <c r="D18653" s="4" t="s">
        <v>7</v>
      </c>
      <c r="E18653" s="4" t="s">
        <v>7</v>
      </c>
      <c r="F18653" s="4" t="s">
        <v>8</v>
      </c>
    </row>
    <row r="18654" spans="1:18">
      <c r="A18654" t="n">
        <v>180342</v>
      </c>
      <c r="B18654" s="50" t="n">
        <v>20</v>
      </c>
      <c r="C18654" s="7" t="n">
        <v>3</v>
      </c>
      <c r="D18654" s="7" t="n">
        <v>2</v>
      </c>
      <c r="E18654" s="7" t="n">
        <v>10</v>
      </c>
      <c r="F18654" s="7" t="s">
        <v>260</v>
      </c>
    </row>
    <row r="18655" spans="1:18">
      <c r="A18655" t="s">
        <v>4</v>
      </c>
      <c r="B18655" s="4" t="s">
        <v>5</v>
      </c>
      <c r="C18655" s="4" t="s">
        <v>11</v>
      </c>
    </row>
    <row r="18656" spans="1:18">
      <c r="A18656" t="n">
        <v>180362</v>
      </c>
      <c r="B18656" s="29" t="n">
        <v>16</v>
      </c>
      <c r="C18656" s="7" t="n">
        <v>1000</v>
      </c>
    </row>
    <row r="18657" spans="1:8">
      <c r="A18657" t="s">
        <v>4</v>
      </c>
      <c r="B18657" s="4" t="s">
        <v>5</v>
      </c>
      <c r="C18657" s="4" t="s">
        <v>7</v>
      </c>
      <c r="D18657" s="4" t="s">
        <v>11</v>
      </c>
      <c r="E18657" s="4" t="s">
        <v>8</v>
      </c>
    </row>
    <row r="18658" spans="1:8">
      <c r="A18658" t="n">
        <v>180365</v>
      </c>
      <c r="B18658" s="38" t="n">
        <v>51</v>
      </c>
      <c r="C18658" s="7" t="n">
        <v>4</v>
      </c>
      <c r="D18658" s="7" t="n">
        <v>3</v>
      </c>
      <c r="E18658" s="7" t="s">
        <v>313</v>
      </c>
    </row>
    <row r="18659" spans="1:8">
      <c r="A18659" t="s">
        <v>4</v>
      </c>
      <c r="B18659" s="4" t="s">
        <v>5</v>
      </c>
      <c r="C18659" s="4" t="s">
        <v>11</v>
      </c>
    </row>
    <row r="18660" spans="1:8">
      <c r="A18660" t="n">
        <v>180378</v>
      </c>
      <c r="B18660" s="29" t="n">
        <v>16</v>
      </c>
      <c r="C18660" s="7" t="n">
        <v>500</v>
      </c>
    </row>
    <row r="18661" spans="1:8">
      <c r="A18661" t="s">
        <v>4</v>
      </c>
      <c r="B18661" s="4" t="s">
        <v>5</v>
      </c>
      <c r="C18661" s="4" t="s">
        <v>11</v>
      </c>
      <c r="D18661" s="4" t="s">
        <v>7</v>
      </c>
      <c r="E18661" s="4" t="s">
        <v>15</v>
      </c>
      <c r="F18661" s="4" t="s">
        <v>55</v>
      </c>
      <c r="G18661" s="4" t="s">
        <v>7</v>
      </c>
      <c r="H18661" s="4" t="s">
        <v>7</v>
      </c>
      <c r="I18661" s="4" t="s">
        <v>7</v>
      </c>
      <c r="J18661" s="4" t="s">
        <v>15</v>
      </c>
      <c r="K18661" s="4" t="s">
        <v>55</v>
      </c>
      <c r="L18661" s="4" t="s">
        <v>7</v>
      </c>
      <c r="M18661" s="4" t="s">
        <v>7</v>
      </c>
    </row>
    <row r="18662" spans="1:8">
      <c r="A18662" t="n">
        <v>180381</v>
      </c>
      <c r="B18662" s="55" t="n">
        <v>26</v>
      </c>
      <c r="C18662" s="7" t="n">
        <v>3</v>
      </c>
      <c r="D18662" s="7" t="n">
        <v>17</v>
      </c>
      <c r="E18662" s="7" t="n">
        <v>64554</v>
      </c>
      <c r="F18662" s="7" t="s">
        <v>1533</v>
      </c>
      <c r="G18662" s="7" t="n">
        <v>2</v>
      </c>
      <c r="H18662" s="7" t="n">
        <v>3</v>
      </c>
      <c r="I18662" s="7" t="n">
        <v>17</v>
      </c>
      <c r="J18662" s="7" t="n">
        <v>64555</v>
      </c>
      <c r="K18662" s="7" t="s">
        <v>1534</v>
      </c>
      <c r="L18662" s="7" t="n">
        <v>2</v>
      </c>
      <c r="M18662" s="7" t="n">
        <v>0</v>
      </c>
    </row>
    <row r="18663" spans="1:8">
      <c r="A18663" t="s">
        <v>4</v>
      </c>
      <c r="B18663" s="4" t="s">
        <v>5</v>
      </c>
    </row>
    <row r="18664" spans="1:8">
      <c r="A18664" t="n">
        <v>180631</v>
      </c>
      <c r="B18664" s="27" t="n">
        <v>28</v>
      </c>
    </row>
    <row r="18665" spans="1:8">
      <c r="A18665" t="s">
        <v>4</v>
      </c>
      <c r="B18665" s="4" t="s">
        <v>5</v>
      </c>
      <c r="C18665" s="4" t="s">
        <v>7</v>
      </c>
      <c r="D18665" s="4" t="s">
        <v>11</v>
      </c>
      <c r="E18665" s="4" t="s">
        <v>8</v>
      </c>
    </row>
    <row r="18666" spans="1:8">
      <c r="A18666" t="n">
        <v>180632</v>
      </c>
      <c r="B18666" s="38" t="n">
        <v>51</v>
      </c>
      <c r="C18666" s="7" t="n">
        <v>4</v>
      </c>
      <c r="D18666" s="7" t="n">
        <v>0</v>
      </c>
      <c r="E18666" s="7" t="s">
        <v>911</v>
      </c>
    </row>
    <row r="18667" spans="1:8">
      <c r="A18667" t="s">
        <v>4</v>
      </c>
      <c r="B18667" s="4" t="s">
        <v>5</v>
      </c>
      <c r="C18667" s="4" t="s">
        <v>11</v>
      </c>
    </row>
    <row r="18668" spans="1:8">
      <c r="A18668" t="n">
        <v>180645</v>
      </c>
      <c r="B18668" s="29" t="n">
        <v>16</v>
      </c>
      <c r="C18668" s="7" t="n">
        <v>0</v>
      </c>
    </row>
    <row r="18669" spans="1:8">
      <c r="A18669" t="s">
        <v>4</v>
      </c>
      <c r="B18669" s="4" t="s">
        <v>5</v>
      </c>
      <c r="C18669" s="4" t="s">
        <v>11</v>
      </c>
      <c r="D18669" s="4" t="s">
        <v>7</v>
      </c>
      <c r="E18669" s="4" t="s">
        <v>15</v>
      </c>
      <c r="F18669" s="4" t="s">
        <v>55</v>
      </c>
      <c r="G18669" s="4" t="s">
        <v>7</v>
      </c>
      <c r="H18669" s="4" t="s">
        <v>7</v>
      </c>
    </row>
    <row r="18670" spans="1:8">
      <c r="A18670" t="n">
        <v>180648</v>
      </c>
      <c r="B18670" s="55" t="n">
        <v>26</v>
      </c>
      <c r="C18670" s="7" t="n">
        <v>0</v>
      </c>
      <c r="D18670" s="7" t="n">
        <v>17</v>
      </c>
      <c r="E18670" s="7" t="n">
        <v>64556</v>
      </c>
      <c r="F18670" s="7" t="s">
        <v>1535</v>
      </c>
      <c r="G18670" s="7" t="n">
        <v>2</v>
      </c>
      <c r="H18670" s="7" t="n">
        <v>0</v>
      </c>
    </row>
    <row r="18671" spans="1:8">
      <c r="A18671" t="s">
        <v>4</v>
      </c>
      <c r="B18671" s="4" t="s">
        <v>5</v>
      </c>
    </row>
    <row r="18672" spans="1:8">
      <c r="A18672" t="n">
        <v>180747</v>
      </c>
      <c r="B18672" s="27" t="n">
        <v>28</v>
      </c>
    </row>
    <row r="18673" spans="1:13">
      <c r="A18673" t="s">
        <v>4</v>
      </c>
      <c r="B18673" s="4" t="s">
        <v>5</v>
      </c>
      <c r="C18673" s="4" t="s">
        <v>11</v>
      </c>
      <c r="D18673" s="4" t="s">
        <v>7</v>
      </c>
    </row>
    <row r="18674" spans="1:13">
      <c r="A18674" t="n">
        <v>180748</v>
      </c>
      <c r="B18674" s="68" t="n">
        <v>89</v>
      </c>
      <c r="C18674" s="7" t="n">
        <v>65533</v>
      </c>
      <c r="D18674" s="7" t="n">
        <v>1</v>
      </c>
    </row>
    <row r="18675" spans="1:13">
      <c r="A18675" t="s">
        <v>4</v>
      </c>
      <c r="B18675" s="4" t="s">
        <v>5</v>
      </c>
      <c r="C18675" s="4" t="s">
        <v>7</v>
      </c>
      <c r="D18675" s="4" t="s">
        <v>11</v>
      </c>
      <c r="E18675" s="4" t="s">
        <v>11</v>
      </c>
      <c r="F18675" s="4" t="s">
        <v>7</v>
      </c>
    </row>
    <row r="18676" spans="1:13">
      <c r="A18676" t="n">
        <v>180752</v>
      </c>
      <c r="B18676" s="31" t="n">
        <v>25</v>
      </c>
      <c r="C18676" s="7" t="n">
        <v>1</v>
      </c>
      <c r="D18676" s="7" t="n">
        <v>65535</v>
      </c>
      <c r="E18676" s="7" t="n">
        <v>65535</v>
      </c>
      <c r="F18676" s="7" t="n">
        <v>0</v>
      </c>
    </row>
    <row r="18677" spans="1:13">
      <c r="A18677" t="s">
        <v>4</v>
      </c>
      <c r="B18677" s="4" t="s">
        <v>5</v>
      </c>
      <c r="C18677" s="4" t="s">
        <v>7</v>
      </c>
      <c r="D18677" s="4" t="s">
        <v>11</v>
      </c>
      <c r="E18677" s="4" t="s">
        <v>13</v>
      </c>
    </row>
    <row r="18678" spans="1:13">
      <c r="A18678" t="n">
        <v>180759</v>
      </c>
      <c r="B18678" s="23" t="n">
        <v>58</v>
      </c>
      <c r="C18678" s="7" t="n">
        <v>101</v>
      </c>
      <c r="D18678" s="7" t="n">
        <v>500</v>
      </c>
      <c r="E18678" s="7" t="n">
        <v>1</v>
      </c>
    </row>
    <row r="18679" spans="1:13">
      <c r="A18679" t="s">
        <v>4</v>
      </c>
      <c r="B18679" s="4" t="s">
        <v>5</v>
      </c>
      <c r="C18679" s="4" t="s">
        <v>7</v>
      </c>
      <c r="D18679" s="4" t="s">
        <v>11</v>
      </c>
    </row>
    <row r="18680" spans="1:13">
      <c r="A18680" t="n">
        <v>180767</v>
      </c>
      <c r="B18680" s="23" t="n">
        <v>58</v>
      </c>
      <c r="C18680" s="7" t="n">
        <v>254</v>
      </c>
      <c r="D18680" s="7" t="n">
        <v>0</v>
      </c>
    </row>
    <row r="18681" spans="1:13">
      <c r="A18681" t="s">
        <v>4</v>
      </c>
      <c r="B18681" s="4" t="s">
        <v>5</v>
      </c>
      <c r="C18681" s="4" t="s">
        <v>7</v>
      </c>
    </row>
    <row r="18682" spans="1:13">
      <c r="A18682" t="n">
        <v>180771</v>
      </c>
      <c r="B18682" s="49" t="n">
        <v>116</v>
      </c>
      <c r="C18682" s="7" t="n">
        <v>0</v>
      </c>
    </row>
    <row r="18683" spans="1:13">
      <c r="A18683" t="s">
        <v>4</v>
      </c>
      <c r="B18683" s="4" t="s">
        <v>5</v>
      </c>
      <c r="C18683" s="4" t="s">
        <v>7</v>
      </c>
      <c r="D18683" s="4" t="s">
        <v>11</v>
      </c>
    </row>
    <row r="18684" spans="1:13">
      <c r="A18684" t="n">
        <v>180773</v>
      </c>
      <c r="B18684" s="49" t="n">
        <v>116</v>
      </c>
      <c r="C18684" s="7" t="n">
        <v>2</v>
      </c>
      <c r="D18684" s="7" t="n">
        <v>1</v>
      </c>
    </row>
    <row r="18685" spans="1:13">
      <c r="A18685" t="s">
        <v>4</v>
      </c>
      <c r="B18685" s="4" t="s">
        <v>5</v>
      </c>
      <c r="C18685" s="4" t="s">
        <v>7</v>
      </c>
      <c r="D18685" s="4" t="s">
        <v>15</v>
      </c>
    </row>
    <row r="18686" spans="1:13">
      <c r="A18686" t="n">
        <v>180777</v>
      </c>
      <c r="B18686" s="49" t="n">
        <v>116</v>
      </c>
      <c r="C18686" s="7" t="n">
        <v>5</v>
      </c>
      <c r="D18686" s="7" t="n">
        <v>1097859072</v>
      </c>
    </row>
    <row r="18687" spans="1:13">
      <c r="A18687" t="s">
        <v>4</v>
      </c>
      <c r="B18687" s="4" t="s">
        <v>5</v>
      </c>
      <c r="C18687" s="4" t="s">
        <v>7</v>
      </c>
      <c r="D18687" s="4" t="s">
        <v>11</v>
      </c>
    </row>
    <row r="18688" spans="1:13">
      <c r="A18688" t="n">
        <v>180783</v>
      </c>
      <c r="B18688" s="49" t="n">
        <v>116</v>
      </c>
      <c r="C18688" s="7" t="n">
        <v>6</v>
      </c>
      <c r="D18688" s="7" t="n">
        <v>1</v>
      </c>
    </row>
    <row r="18689" spans="1:6">
      <c r="A18689" t="s">
        <v>4</v>
      </c>
      <c r="B18689" s="4" t="s">
        <v>5</v>
      </c>
      <c r="C18689" s="4" t="s">
        <v>7</v>
      </c>
      <c r="D18689" s="4" t="s">
        <v>7</v>
      </c>
      <c r="E18689" s="4" t="s">
        <v>13</v>
      </c>
      <c r="F18689" s="4" t="s">
        <v>13</v>
      </c>
      <c r="G18689" s="4" t="s">
        <v>13</v>
      </c>
      <c r="H18689" s="4" t="s">
        <v>11</v>
      </c>
    </row>
    <row r="18690" spans="1:6">
      <c r="A18690" t="n">
        <v>180787</v>
      </c>
      <c r="B18690" s="51" t="n">
        <v>45</v>
      </c>
      <c r="C18690" s="7" t="n">
        <v>2</v>
      </c>
      <c r="D18690" s="7" t="n">
        <v>3</v>
      </c>
      <c r="E18690" s="7" t="n">
        <v>0.5</v>
      </c>
      <c r="F18690" s="7" t="n">
        <v>11.8699998855591</v>
      </c>
      <c r="G18690" s="7" t="n">
        <v>57.8199996948242</v>
      </c>
      <c r="H18690" s="7" t="n">
        <v>0</v>
      </c>
    </row>
    <row r="18691" spans="1:6">
      <c r="A18691" t="s">
        <v>4</v>
      </c>
      <c r="B18691" s="4" t="s">
        <v>5</v>
      </c>
      <c r="C18691" s="4" t="s">
        <v>7</v>
      </c>
      <c r="D18691" s="4" t="s">
        <v>7</v>
      </c>
      <c r="E18691" s="4" t="s">
        <v>13</v>
      </c>
      <c r="F18691" s="4" t="s">
        <v>13</v>
      </c>
      <c r="G18691" s="4" t="s">
        <v>13</v>
      </c>
      <c r="H18691" s="4" t="s">
        <v>11</v>
      </c>
      <c r="I18691" s="4" t="s">
        <v>7</v>
      </c>
    </row>
    <row r="18692" spans="1:6">
      <c r="A18692" t="n">
        <v>180804</v>
      </c>
      <c r="B18692" s="51" t="n">
        <v>45</v>
      </c>
      <c r="C18692" s="7" t="n">
        <v>4</v>
      </c>
      <c r="D18692" s="7" t="n">
        <v>3</v>
      </c>
      <c r="E18692" s="7" t="n">
        <v>3.14000010490417</v>
      </c>
      <c r="F18692" s="7" t="n">
        <v>281.790008544922</v>
      </c>
      <c r="G18692" s="7" t="n">
        <v>2</v>
      </c>
      <c r="H18692" s="7" t="n">
        <v>0</v>
      </c>
      <c r="I18692" s="7" t="n">
        <v>0</v>
      </c>
    </row>
    <row r="18693" spans="1:6">
      <c r="A18693" t="s">
        <v>4</v>
      </c>
      <c r="B18693" s="4" t="s">
        <v>5</v>
      </c>
      <c r="C18693" s="4" t="s">
        <v>7</v>
      </c>
      <c r="D18693" s="4" t="s">
        <v>7</v>
      </c>
      <c r="E18693" s="4" t="s">
        <v>13</v>
      </c>
      <c r="F18693" s="4" t="s">
        <v>11</v>
      </c>
    </row>
    <row r="18694" spans="1:6">
      <c r="A18694" t="n">
        <v>180822</v>
      </c>
      <c r="B18694" s="51" t="n">
        <v>45</v>
      </c>
      <c r="C18694" s="7" t="n">
        <v>5</v>
      </c>
      <c r="D18694" s="7" t="n">
        <v>3</v>
      </c>
      <c r="E18694" s="7" t="n">
        <v>1.60000002384186</v>
      </c>
      <c r="F18694" s="7" t="n">
        <v>0</v>
      </c>
    </row>
    <row r="18695" spans="1:6">
      <c r="A18695" t="s">
        <v>4</v>
      </c>
      <c r="B18695" s="4" t="s">
        <v>5</v>
      </c>
      <c r="C18695" s="4" t="s">
        <v>7</v>
      </c>
      <c r="D18695" s="4" t="s">
        <v>7</v>
      </c>
      <c r="E18695" s="4" t="s">
        <v>13</v>
      </c>
      <c r="F18695" s="4" t="s">
        <v>11</v>
      </c>
    </row>
    <row r="18696" spans="1:6">
      <c r="A18696" t="n">
        <v>180831</v>
      </c>
      <c r="B18696" s="51" t="n">
        <v>45</v>
      </c>
      <c r="C18696" s="7" t="n">
        <v>11</v>
      </c>
      <c r="D18696" s="7" t="n">
        <v>3</v>
      </c>
      <c r="E18696" s="7" t="n">
        <v>35.7000007629395</v>
      </c>
      <c r="F18696" s="7" t="n">
        <v>0</v>
      </c>
    </row>
    <row r="18697" spans="1:6">
      <c r="A18697" t="s">
        <v>4</v>
      </c>
      <c r="B18697" s="4" t="s">
        <v>5</v>
      </c>
      <c r="C18697" s="4" t="s">
        <v>7</v>
      </c>
      <c r="D18697" s="4" t="s">
        <v>7</v>
      </c>
      <c r="E18697" s="4" t="s">
        <v>13</v>
      </c>
      <c r="F18697" s="4" t="s">
        <v>13</v>
      </c>
      <c r="G18697" s="4" t="s">
        <v>13</v>
      </c>
      <c r="H18697" s="4" t="s">
        <v>11</v>
      </c>
    </row>
    <row r="18698" spans="1:6">
      <c r="A18698" t="n">
        <v>180840</v>
      </c>
      <c r="B18698" s="51" t="n">
        <v>45</v>
      </c>
      <c r="C18698" s="7" t="n">
        <v>2</v>
      </c>
      <c r="D18698" s="7" t="n">
        <v>3</v>
      </c>
      <c r="E18698" s="7" t="n">
        <v>0.5</v>
      </c>
      <c r="F18698" s="7" t="n">
        <v>11.3699998855591</v>
      </c>
      <c r="G18698" s="7" t="n">
        <v>57.8199996948242</v>
      </c>
      <c r="H18698" s="7" t="n">
        <v>3500</v>
      </c>
    </row>
    <row r="18699" spans="1:6">
      <c r="A18699" t="s">
        <v>4</v>
      </c>
      <c r="B18699" s="4" t="s">
        <v>5</v>
      </c>
      <c r="C18699" s="4" t="s">
        <v>11</v>
      </c>
      <c r="D18699" s="4" t="s">
        <v>13</v>
      </c>
      <c r="E18699" s="4" t="s">
        <v>13</v>
      </c>
      <c r="F18699" s="4" t="s">
        <v>13</v>
      </c>
      <c r="G18699" s="4" t="s">
        <v>11</v>
      </c>
      <c r="H18699" s="4" t="s">
        <v>11</v>
      </c>
    </row>
    <row r="18700" spans="1:6">
      <c r="A18700" t="n">
        <v>180857</v>
      </c>
      <c r="B18700" s="37" t="n">
        <v>60</v>
      </c>
      <c r="C18700" s="7" t="n">
        <v>0</v>
      </c>
      <c r="D18700" s="7" t="n">
        <v>15</v>
      </c>
      <c r="E18700" s="7" t="n">
        <v>0</v>
      </c>
      <c r="F18700" s="7" t="n">
        <v>0</v>
      </c>
      <c r="G18700" s="7" t="n">
        <v>1000</v>
      </c>
      <c r="H18700" s="7" t="n">
        <v>0</v>
      </c>
    </row>
    <row r="18701" spans="1:6">
      <c r="A18701" t="s">
        <v>4</v>
      </c>
      <c r="B18701" s="4" t="s">
        <v>5</v>
      </c>
      <c r="C18701" s="4" t="s">
        <v>11</v>
      </c>
      <c r="D18701" s="4" t="s">
        <v>13</v>
      </c>
      <c r="E18701" s="4" t="s">
        <v>13</v>
      </c>
      <c r="F18701" s="4" t="s">
        <v>13</v>
      </c>
      <c r="G18701" s="4" t="s">
        <v>11</v>
      </c>
      <c r="H18701" s="4" t="s">
        <v>11</v>
      </c>
    </row>
    <row r="18702" spans="1:6">
      <c r="A18702" t="n">
        <v>180876</v>
      </c>
      <c r="B18702" s="37" t="n">
        <v>60</v>
      </c>
      <c r="C18702" s="7" t="n">
        <v>3</v>
      </c>
      <c r="D18702" s="7" t="n">
        <v>-15</v>
      </c>
      <c r="E18702" s="7" t="n">
        <v>0</v>
      </c>
      <c r="F18702" s="7" t="n">
        <v>0</v>
      </c>
      <c r="G18702" s="7" t="n">
        <v>1000</v>
      </c>
      <c r="H18702" s="7" t="n">
        <v>0</v>
      </c>
    </row>
    <row r="18703" spans="1:6">
      <c r="A18703" t="s">
        <v>4</v>
      </c>
      <c r="B18703" s="4" t="s">
        <v>5</v>
      </c>
      <c r="C18703" s="4" t="s">
        <v>7</v>
      </c>
      <c r="D18703" s="4" t="s">
        <v>11</v>
      </c>
      <c r="E18703" s="4" t="s">
        <v>8</v>
      </c>
      <c r="F18703" s="4" t="s">
        <v>8</v>
      </c>
      <c r="G18703" s="4" t="s">
        <v>8</v>
      </c>
      <c r="H18703" s="4" t="s">
        <v>8</v>
      </c>
    </row>
    <row r="18704" spans="1:6">
      <c r="A18704" t="n">
        <v>180895</v>
      </c>
      <c r="B18704" s="38" t="n">
        <v>51</v>
      </c>
      <c r="C18704" s="7" t="n">
        <v>3</v>
      </c>
      <c r="D18704" s="7" t="n">
        <v>3</v>
      </c>
      <c r="E18704" s="7" t="s">
        <v>295</v>
      </c>
      <c r="F18704" s="7" t="s">
        <v>232</v>
      </c>
      <c r="G18704" s="7" t="s">
        <v>78</v>
      </c>
      <c r="H18704" s="7" t="s">
        <v>79</v>
      </c>
    </row>
    <row r="18705" spans="1:9">
      <c r="A18705" t="s">
        <v>4</v>
      </c>
      <c r="B18705" s="4" t="s">
        <v>5</v>
      </c>
      <c r="C18705" s="4" t="s">
        <v>11</v>
      </c>
    </row>
    <row r="18706" spans="1:9">
      <c r="A18706" t="n">
        <v>180908</v>
      </c>
      <c r="B18706" s="29" t="n">
        <v>16</v>
      </c>
      <c r="C18706" s="7" t="n">
        <v>3500</v>
      </c>
    </row>
    <row r="18707" spans="1:9">
      <c r="A18707" t="s">
        <v>4</v>
      </c>
      <c r="B18707" s="4" t="s">
        <v>5</v>
      </c>
      <c r="C18707" s="4" t="s">
        <v>7</v>
      </c>
      <c r="D18707" s="4" t="s">
        <v>11</v>
      </c>
      <c r="E18707" s="4" t="s">
        <v>8</v>
      </c>
    </row>
    <row r="18708" spans="1:9">
      <c r="A18708" t="n">
        <v>180911</v>
      </c>
      <c r="B18708" s="38" t="n">
        <v>51</v>
      </c>
      <c r="C18708" s="7" t="n">
        <v>4</v>
      </c>
      <c r="D18708" s="7" t="n">
        <v>3</v>
      </c>
      <c r="E18708" s="7" t="s">
        <v>242</v>
      </c>
    </row>
    <row r="18709" spans="1:9">
      <c r="A18709" t="s">
        <v>4</v>
      </c>
      <c r="B18709" s="4" t="s">
        <v>5</v>
      </c>
      <c r="C18709" s="4" t="s">
        <v>11</v>
      </c>
    </row>
    <row r="18710" spans="1:9">
      <c r="A18710" t="n">
        <v>180925</v>
      </c>
      <c r="B18710" s="29" t="n">
        <v>16</v>
      </c>
      <c r="C18710" s="7" t="n">
        <v>0</v>
      </c>
    </row>
    <row r="18711" spans="1:9">
      <c r="A18711" t="s">
        <v>4</v>
      </c>
      <c r="B18711" s="4" t="s">
        <v>5</v>
      </c>
      <c r="C18711" s="4" t="s">
        <v>11</v>
      </c>
      <c r="D18711" s="4" t="s">
        <v>7</v>
      </c>
      <c r="E18711" s="4" t="s">
        <v>15</v>
      </c>
      <c r="F18711" s="4" t="s">
        <v>55</v>
      </c>
      <c r="G18711" s="4" t="s">
        <v>7</v>
      </c>
      <c r="H18711" s="4" t="s">
        <v>7</v>
      </c>
      <c r="I18711" s="4" t="s">
        <v>7</v>
      </c>
      <c r="J18711" s="4" t="s">
        <v>15</v>
      </c>
      <c r="K18711" s="4" t="s">
        <v>55</v>
      </c>
      <c r="L18711" s="4" t="s">
        <v>7</v>
      </c>
      <c r="M18711" s="4" t="s">
        <v>7</v>
      </c>
    </row>
    <row r="18712" spans="1:9">
      <c r="A18712" t="n">
        <v>180928</v>
      </c>
      <c r="B18712" s="55" t="n">
        <v>26</v>
      </c>
      <c r="C18712" s="7" t="n">
        <v>3</v>
      </c>
      <c r="D18712" s="7" t="n">
        <v>17</v>
      </c>
      <c r="E18712" s="7" t="n">
        <v>64557</v>
      </c>
      <c r="F18712" s="7" t="s">
        <v>1536</v>
      </c>
      <c r="G18712" s="7" t="n">
        <v>2</v>
      </c>
      <c r="H18712" s="7" t="n">
        <v>3</v>
      </c>
      <c r="I18712" s="7" t="n">
        <v>17</v>
      </c>
      <c r="J18712" s="7" t="n">
        <v>64558</v>
      </c>
      <c r="K18712" s="7" t="s">
        <v>1537</v>
      </c>
      <c r="L18712" s="7" t="n">
        <v>2</v>
      </c>
      <c r="M18712" s="7" t="n">
        <v>0</v>
      </c>
    </row>
    <row r="18713" spans="1:9">
      <c r="A18713" t="s">
        <v>4</v>
      </c>
      <c r="B18713" s="4" t="s">
        <v>5</v>
      </c>
    </row>
    <row r="18714" spans="1:9">
      <c r="A18714" t="n">
        <v>181156</v>
      </c>
      <c r="B18714" s="27" t="n">
        <v>28</v>
      </c>
    </row>
    <row r="18715" spans="1:9">
      <c r="A18715" t="s">
        <v>4</v>
      </c>
      <c r="B18715" s="4" t="s">
        <v>5</v>
      </c>
      <c r="C18715" s="4" t="s">
        <v>7</v>
      </c>
      <c r="D18715" s="4" t="s">
        <v>11</v>
      </c>
      <c r="E18715" s="4" t="s">
        <v>8</v>
      </c>
    </row>
    <row r="18716" spans="1:9">
      <c r="A18716" t="n">
        <v>181157</v>
      </c>
      <c r="B18716" s="38" t="n">
        <v>51</v>
      </c>
      <c r="C18716" s="7" t="n">
        <v>4</v>
      </c>
      <c r="D18716" s="7" t="n">
        <v>0</v>
      </c>
      <c r="E18716" s="7" t="s">
        <v>1538</v>
      </c>
    </row>
    <row r="18717" spans="1:9">
      <c r="A18717" t="s">
        <v>4</v>
      </c>
      <c r="B18717" s="4" t="s">
        <v>5</v>
      </c>
      <c r="C18717" s="4" t="s">
        <v>11</v>
      </c>
    </row>
    <row r="18718" spans="1:9">
      <c r="A18718" t="n">
        <v>181171</v>
      </c>
      <c r="B18718" s="29" t="n">
        <v>16</v>
      </c>
      <c r="C18718" s="7" t="n">
        <v>0</v>
      </c>
    </row>
    <row r="18719" spans="1:9">
      <c r="A18719" t="s">
        <v>4</v>
      </c>
      <c r="B18719" s="4" t="s">
        <v>5</v>
      </c>
      <c r="C18719" s="4" t="s">
        <v>11</v>
      </c>
      <c r="D18719" s="4" t="s">
        <v>7</v>
      </c>
      <c r="E18719" s="4" t="s">
        <v>15</v>
      </c>
      <c r="F18719" s="4" t="s">
        <v>55</v>
      </c>
      <c r="G18719" s="4" t="s">
        <v>7</v>
      </c>
      <c r="H18719" s="4" t="s">
        <v>7</v>
      </c>
      <c r="I18719" s="4" t="s">
        <v>7</v>
      </c>
      <c r="J18719" s="4" t="s">
        <v>15</v>
      </c>
      <c r="K18719" s="4" t="s">
        <v>55</v>
      </c>
      <c r="L18719" s="4" t="s">
        <v>7</v>
      </c>
      <c r="M18719" s="4" t="s">
        <v>7</v>
      </c>
    </row>
    <row r="18720" spans="1:9">
      <c r="A18720" t="n">
        <v>181174</v>
      </c>
      <c r="B18720" s="55" t="n">
        <v>26</v>
      </c>
      <c r="C18720" s="7" t="n">
        <v>0</v>
      </c>
      <c r="D18720" s="7" t="n">
        <v>17</v>
      </c>
      <c r="E18720" s="7" t="n">
        <v>64559</v>
      </c>
      <c r="F18720" s="7" t="s">
        <v>1539</v>
      </c>
      <c r="G18720" s="7" t="n">
        <v>2</v>
      </c>
      <c r="H18720" s="7" t="n">
        <v>3</v>
      </c>
      <c r="I18720" s="7" t="n">
        <v>17</v>
      </c>
      <c r="J18720" s="7" t="n">
        <v>64560</v>
      </c>
      <c r="K18720" s="7" t="s">
        <v>1540</v>
      </c>
      <c r="L18720" s="7" t="n">
        <v>2</v>
      </c>
      <c r="M18720" s="7" t="n">
        <v>0</v>
      </c>
    </row>
    <row r="18721" spans="1:13">
      <c r="A18721" t="s">
        <v>4</v>
      </c>
      <c r="B18721" s="4" t="s">
        <v>5</v>
      </c>
    </row>
    <row r="18722" spans="1:13">
      <c r="A18722" t="n">
        <v>181379</v>
      </c>
      <c r="B18722" s="27" t="n">
        <v>28</v>
      </c>
    </row>
    <row r="18723" spans="1:13">
      <c r="A18723" t="s">
        <v>4</v>
      </c>
      <c r="B18723" s="4" t="s">
        <v>5</v>
      </c>
      <c r="C18723" s="4" t="s">
        <v>7</v>
      </c>
      <c r="D18723" s="4" t="s">
        <v>11</v>
      </c>
      <c r="E18723" s="4" t="s">
        <v>11</v>
      </c>
      <c r="F18723" s="4" t="s">
        <v>7</v>
      </c>
    </row>
    <row r="18724" spans="1:13">
      <c r="A18724" t="n">
        <v>181380</v>
      </c>
      <c r="B18724" s="31" t="n">
        <v>25</v>
      </c>
      <c r="C18724" s="7" t="n">
        <v>1</v>
      </c>
      <c r="D18724" s="7" t="n">
        <v>65535</v>
      </c>
      <c r="E18724" s="7" t="n">
        <v>65535</v>
      </c>
      <c r="F18724" s="7" t="n">
        <v>0</v>
      </c>
    </row>
    <row r="18725" spans="1:13">
      <c r="A18725" t="s">
        <v>4</v>
      </c>
      <c r="B18725" s="4" t="s">
        <v>5</v>
      </c>
      <c r="C18725" s="4" t="s">
        <v>7</v>
      </c>
      <c r="D18725" s="4" t="s">
        <v>11</v>
      </c>
      <c r="E18725" s="4" t="s">
        <v>8</v>
      </c>
    </row>
    <row r="18726" spans="1:13">
      <c r="A18726" t="n">
        <v>181387</v>
      </c>
      <c r="B18726" s="38" t="n">
        <v>51</v>
      </c>
      <c r="C18726" s="7" t="n">
        <v>4</v>
      </c>
      <c r="D18726" s="7" t="n">
        <v>3</v>
      </c>
      <c r="E18726" s="7" t="s">
        <v>242</v>
      </c>
    </row>
    <row r="18727" spans="1:13">
      <c r="A18727" t="s">
        <v>4</v>
      </c>
      <c r="B18727" s="4" t="s">
        <v>5</v>
      </c>
      <c r="C18727" s="4" t="s">
        <v>11</v>
      </c>
    </row>
    <row r="18728" spans="1:13">
      <c r="A18728" t="n">
        <v>181401</v>
      </c>
      <c r="B18728" s="29" t="n">
        <v>16</v>
      </c>
      <c r="C18728" s="7" t="n">
        <v>0</v>
      </c>
    </row>
    <row r="18729" spans="1:13">
      <c r="A18729" t="s">
        <v>4</v>
      </c>
      <c r="B18729" s="4" t="s">
        <v>5</v>
      </c>
      <c r="C18729" s="4" t="s">
        <v>11</v>
      </c>
      <c r="D18729" s="4" t="s">
        <v>7</v>
      </c>
      <c r="E18729" s="4" t="s">
        <v>15</v>
      </c>
      <c r="F18729" s="4" t="s">
        <v>55</v>
      </c>
      <c r="G18729" s="4" t="s">
        <v>7</v>
      </c>
      <c r="H18729" s="4" t="s">
        <v>7</v>
      </c>
      <c r="I18729" s="4" t="s">
        <v>7</v>
      </c>
      <c r="J18729" s="4" t="s">
        <v>15</v>
      </c>
      <c r="K18729" s="4" t="s">
        <v>55</v>
      </c>
      <c r="L18729" s="4" t="s">
        <v>7</v>
      </c>
      <c r="M18729" s="4" t="s">
        <v>7</v>
      </c>
    </row>
    <row r="18730" spans="1:13">
      <c r="A18730" t="n">
        <v>181404</v>
      </c>
      <c r="B18730" s="55" t="n">
        <v>26</v>
      </c>
      <c r="C18730" s="7" t="n">
        <v>3</v>
      </c>
      <c r="D18730" s="7" t="n">
        <v>17</v>
      </c>
      <c r="E18730" s="7" t="n">
        <v>64561</v>
      </c>
      <c r="F18730" s="7" t="s">
        <v>1541</v>
      </c>
      <c r="G18730" s="7" t="n">
        <v>2</v>
      </c>
      <c r="H18730" s="7" t="n">
        <v>3</v>
      </c>
      <c r="I18730" s="7" t="n">
        <v>17</v>
      </c>
      <c r="J18730" s="7" t="n">
        <v>64562</v>
      </c>
      <c r="K18730" s="7" t="s">
        <v>1542</v>
      </c>
      <c r="L18730" s="7" t="n">
        <v>2</v>
      </c>
      <c r="M18730" s="7" t="n">
        <v>0</v>
      </c>
    </row>
    <row r="18731" spans="1:13">
      <c r="A18731" t="s">
        <v>4</v>
      </c>
      <c r="B18731" s="4" t="s">
        <v>5</v>
      </c>
    </row>
    <row r="18732" spans="1:13">
      <c r="A18732" t="n">
        <v>181629</v>
      </c>
      <c r="B18732" s="27" t="n">
        <v>28</v>
      </c>
    </row>
    <row r="18733" spans="1:13">
      <c r="A18733" t="s">
        <v>4</v>
      </c>
      <c r="B18733" s="4" t="s">
        <v>5</v>
      </c>
      <c r="C18733" s="4" t="s">
        <v>11</v>
      </c>
      <c r="D18733" s="4" t="s">
        <v>13</v>
      </c>
      <c r="E18733" s="4" t="s">
        <v>13</v>
      </c>
      <c r="F18733" s="4" t="s">
        <v>13</v>
      </c>
      <c r="G18733" s="4" t="s">
        <v>11</v>
      </c>
      <c r="H18733" s="4" t="s">
        <v>11</v>
      </c>
    </row>
    <row r="18734" spans="1:13">
      <c r="A18734" t="n">
        <v>181630</v>
      </c>
      <c r="B18734" s="37" t="n">
        <v>60</v>
      </c>
      <c r="C18734" s="7" t="n">
        <v>0</v>
      </c>
      <c r="D18734" s="7" t="n">
        <v>0</v>
      </c>
      <c r="E18734" s="7" t="n">
        <v>0</v>
      </c>
      <c r="F18734" s="7" t="n">
        <v>0</v>
      </c>
      <c r="G18734" s="7" t="n">
        <v>1000</v>
      </c>
      <c r="H18734" s="7" t="n">
        <v>0</v>
      </c>
    </row>
    <row r="18735" spans="1:13">
      <c r="A18735" t="s">
        <v>4</v>
      </c>
      <c r="B18735" s="4" t="s">
        <v>5</v>
      </c>
      <c r="C18735" s="4" t="s">
        <v>7</v>
      </c>
      <c r="D18735" s="4" t="s">
        <v>11</v>
      </c>
      <c r="E18735" s="4" t="s">
        <v>8</v>
      </c>
    </row>
    <row r="18736" spans="1:13">
      <c r="A18736" t="n">
        <v>181649</v>
      </c>
      <c r="B18736" s="38" t="n">
        <v>51</v>
      </c>
      <c r="C18736" s="7" t="n">
        <v>4</v>
      </c>
      <c r="D18736" s="7" t="n">
        <v>0</v>
      </c>
      <c r="E18736" s="7" t="s">
        <v>285</v>
      </c>
    </row>
    <row r="18737" spans="1:13">
      <c r="A18737" t="s">
        <v>4</v>
      </c>
      <c r="B18737" s="4" t="s">
        <v>5</v>
      </c>
      <c r="C18737" s="4" t="s">
        <v>11</v>
      </c>
    </row>
    <row r="18738" spans="1:13">
      <c r="A18738" t="n">
        <v>181662</v>
      </c>
      <c r="B18738" s="29" t="n">
        <v>16</v>
      </c>
      <c r="C18738" s="7" t="n">
        <v>0</v>
      </c>
    </row>
    <row r="18739" spans="1:13">
      <c r="A18739" t="s">
        <v>4</v>
      </c>
      <c r="B18739" s="4" t="s">
        <v>5</v>
      </c>
      <c r="C18739" s="4" t="s">
        <v>11</v>
      </c>
      <c r="D18739" s="4" t="s">
        <v>7</v>
      </c>
      <c r="E18739" s="4" t="s">
        <v>15</v>
      </c>
      <c r="F18739" s="4" t="s">
        <v>55</v>
      </c>
      <c r="G18739" s="4" t="s">
        <v>7</v>
      </c>
      <c r="H18739" s="4" t="s">
        <v>7</v>
      </c>
      <c r="I18739" s="4" t="s">
        <v>7</v>
      </c>
      <c r="J18739" s="4" t="s">
        <v>15</v>
      </c>
      <c r="K18739" s="4" t="s">
        <v>55</v>
      </c>
      <c r="L18739" s="4" t="s">
        <v>7</v>
      </c>
      <c r="M18739" s="4" t="s">
        <v>7</v>
      </c>
    </row>
    <row r="18740" spans="1:13">
      <c r="A18740" t="n">
        <v>181665</v>
      </c>
      <c r="B18740" s="55" t="n">
        <v>26</v>
      </c>
      <c r="C18740" s="7" t="n">
        <v>0</v>
      </c>
      <c r="D18740" s="7" t="n">
        <v>17</v>
      </c>
      <c r="E18740" s="7" t="n">
        <v>64563</v>
      </c>
      <c r="F18740" s="7" t="s">
        <v>1543</v>
      </c>
      <c r="G18740" s="7" t="n">
        <v>2</v>
      </c>
      <c r="H18740" s="7" t="n">
        <v>3</v>
      </c>
      <c r="I18740" s="7" t="n">
        <v>17</v>
      </c>
      <c r="J18740" s="7" t="n">
        <v>64564</v>
      </c>
      <c r="K18740" s="7" t="s">
        <v>1544</v>
      </c>
      <c r="L18740" s="7" t="n">
        <v>2</v>
      </c>
      <c r="M18740" s="7" t="n">
        <v>0</v>
      </c>
    </row>
    <row r="18741" spans="1:13">
      <c r="A18741" t="s">
        <v>4</v>
      </c>
      <c r="B18741" s="4" t="s">
        <v>5</v>
      </c>
    </row>
    <row r="18742" spans="1:13">
      <c r="A18742" t="n">
        <v>181871</v>
      </c>
      <c r="B18742" s="27" t="n">
        <v>28</v>
      </c>
    </row>
    <row r="18743" spans="1:13">
      <c r="A18743" t="s">
        <v>4</v>
      </c>
      <c r="B18743" s="4" t="s">
        <v>5</v>
      </c>
      <c r="C18743" s="4" t="s">
        <v>7</v>
      </c>
      <c r="D18743" s="4" t="s">
        <v>11</v>
      </c>
      <c r="E18743" s="4" t="s">
        <v>11</v>
      </c>
      <c r="F18743" s="4" t="s">
        <v>7</v>
      </c>
    </row>
    <row r="18744" spans="1:13">
      <c r="A18744" t="n">
        <v>181872</v>
      </c>
      <c r="B18744" s="31" t="n">
        <v>25</v>
      </c>
      <c r="C18744" s="7" t="n">
        <v>1</v>
      </c>
      <c r="D18744" s="7" t="n">
        <v>65535</v>
      </c>
      <c r="E18744" s="7" t="n">
        <v>65535</v>
      </c>
      <c r="F18744" s="7" t="n">
        <v>0</v>
      </c>
    </row>
    <row r="18745" spans="1:13">
      <c r="A18745" t="s">
        <v>4</v>
      </c>
      <c r="B18745" s="4" t="s">
        <v>5</v>
      </c>
      <c r="C18745" s="4" t="s">
        <v>11</v>
      </c>
      <c r="D18745" s="4" t="s">
        <v>13</v>
      </c>
      <c r="E18745" s="4" t="s">
        <v>13</v>
      </c>
      <c r="F18745" s="4" t="s">
        <v>13</v>
      </c>
      <c r="G18745" s="4" t="s">
        <v>11</v>
      </c>
      <c r="H18745" s="4" t="s">
        <v>11</v>
      </c>
    </row>
    <row r="18746" spans="1:13">
      <c r="A18746" t="n">
        <v>181879</v>
      </c>
      <c r="B18746" s="37" t="n">
        <v>60</v>
      </c>
      <c r="C18746" s="7" t="n">
        <v>3</v>
      </c>
      <c r="D18746" s="7" t="n">
        <v>0</v>
      </c>
      <c r="E18746" s="7" t="n">
        <v>0</v>
      </c>
      <c r="F18746" s="7" t="n">
        <v>0</v>
      </c>
      <c r="G18746" s="7" t="n">
        <v>1000</v>
      </c>
      <c r="H18746" s="7" t="n">
        <v>0</v>
      </c>
    </row>
    <row r="18747" spans="1:13">
      <c r="A18747" t="s">
        <v>4</v>
      </c>
      <c r="B18747" s="4" t="s">
        <v>5</v>
      </c>
      <c r="C18747" s="4" t="s">
        <v>11</v>
      </c>
    </row>
    <row r="18748" spans="1:13">
      <c r="A18748" t="n">
        <v>181898</v>
      </c>
      <c r="B18748" s="29" t="n">
        <v>16</v>
      </c>
      <c r="C18748" s="7" t="n">
        <v>300</v>
      </c>
    </row>
    <row r="18749" spans="1:13">
      <c r="A18749" t="s">
        <v>4</v>
      </c>
      <c r="B18749" s="4" t="s">
        <v>5</v>
      </c>
      <c r="C18749" s="4" t="s">
        <v>7</v>
      </c>
      <c r="D18749" s="4" t="s">
        <v>11</v>
      </c>
      <c r="E18749" s="4" t="s">
        <v>8</v>
      </c>
    </row>
    <row r="18750" spans="1:13">
      <c r="A18750" t="n">
        <v>181901</v>
      </c>
      <c r="B18750" s="38" t="n">
        <v>51</v>
      </c>
      <c r="C18750" s="7" t="n">
        <v>4</v>
      </c>
      <c r="D18750" s="7" t="n">
        <v>3</v>
      </c>
      <c r="E18750" s="7" t="s">
        <v>242</v>
      </c>
    </row>
    <row r="18751" spans="1:13">
      <c r="A18751" t="s">
        <v>4</v>
      </c>
      <c r="B18751" s="4" t="s">
        <v>5</v>
      </c>
      <c r="C18751" s="4" t="s">
        <v>11</v>
      </c>
    </row>
    <row r="18752" spans="1:13">
      <c r="A18752" t="n">
        <v>181915</v>
      </c>
      <c r="B18752" s="29" t="n">
        <v>16</v>
      </c>
      <c r="C18752" s="7" t="n">
        <v>0</v>
      </c>
    </row>
    <row r="18753" spans="1:13">
      <c r="A18753" t="s">
        <v>4</v>
      </c>
      <c r="B18753" s="4" t="s">
        <v>5</v>
      </c>
      <c r="C18753" s="4" t="s">
        <v>11</v>
      </c>
      <c r="D18753" s="4" t="s">
        <v>7</v>
      </c>
      <c r="E18753" s="4" t="s">
        <v>15</v>
      </c>
      <c r="F18753" s="4" t="s">
        <v>55</v>
      </c>
      <c r="G18753" s="4" t="s">
        <v>7</v>
      </c>
      <c r="H18753" s="4" t="s">
        <v>7</v>
      </c>
    </row>
    <row r="18754" spans="1:13">
      <c r="A18754" t="n">
        <v>181918</v>
      </c>
      <c r="B18754" s="55" t="n">
        <v>26</v>
      </c>
      <c r="C18754" s="7" t="n">
        <v>3</v>
      </c>
      <c r="D18754" s="7" t="n">
        <v>17</v>
      </c>
      <c r="E18754" s="7" t="n">
        <v>64565</v>
      </c>
      <c r="F18754" s="7" t="s">
        <v>1545</v>
      </c>
      <c r="G18754" s="7" t="n">
        <v>2</v>
      </c>
      <c r="H18754" s="7" t="n">
        <v>0</v>
      </c>
    </row>
    <row r="18755" spans="1:13">
      <c r="A18755" t="s">
        <v>4</v>
      </c>
      <c r="B18755" s="4" t="s">
        <v>5</v>
      </c>
    </row>
    <row r="18756" spans="1:13">
      <c r="A18756" t="n">
        <v>181948</v>
      </c>
      <c r="B18756" s="27" t="n">
        <v>28</v>
      </c>
    </row>
    <row r="18757" spans="1:13">
      <c r="A18757" t="s">
        <v>4</v>
      </c>
      <c r="B18757" s="4" t="s">
        <v>5</v>
      </c>
      <c r="C18757" s="4" t="s">
        <v>11</v>
      </c>
    </row>
    <row r="18758" spans="1:13">
      <c r="A18758" t="n">
        <v>181949</v>
      </c>
      <c r="B18758" s="29" t="n">
        <v>16</v>
      </c>
      <c r="C18758" s="7" t="n">
        <v>300</v>
      </c>
    </row>
    <row r="18759" spans="1:13">
      <c r="A18759" t="s">
        <v>4</v>
      </c>
      <c r="B18759" s="4" t="s">
        <v>5</v>
      </c>
      <c r="C18759" s="4" t="s">
        <v>7</v>
      </c>
      <c r="D18759" s="4" t="s">
        <v>11</v>
      </c>
      <c r="E18759" s="4" t="s">
        <v>8</v>
      </c>
    </row>
    <row r="18760" spans="1:13">
      <c r="A18760" t="n">
        <v>181952</v>
      </c>
      <c r="B18760" s="38" t="n">
        <v>51</v>
      </c>
      <c r="C18760" s="7" t="n">
        <v>4</v>
      </c>
      <c r="D18760" s="7" t="n">
        <v>3</v>
      </c>
      <c r="E18760" s="7" t="s">
        <v>1546</v>
      </c>
    </row>
    <row r="18761" spans="1:13">
      <c r="A18761" t="s">
        <v>4</v>
      </c>
      <c r="B18761" s="4" t="s">
        <v>5</v>
      </c>
      <c r="C18761" s="4" t="s">
        <v>11</v>
      </c>
    </row>
    <row r="18762" spans="1:13">
      <c r="A18762" t="n">
        <v>181966</v>
      </c>
      <c r="B18762" s="29" t="n">
        <v>16</v>
      </c>
      <c r="C18762" s="7" t="n">
        <v>0</v>
      </c>
    </row>
    <row r="18763" spans="1:13">
      <c r="A18763" t="s">
        <v>4</v>
      </c>
      <c r="B18763" s="4" t="s">
        <v>5</v>
      </c>
      <c r="C18763" s="4" t="s">
        <v>11</v>
      </c>
      <c r="D18763" s="4" t="s">
        <v>7</v>
      </c>
      <c r="E18763" s="4" t="s">
        <v>15</v>
      </c>
      <c r="F18763" s="4" t="s">
        <v>55</v>
      </c>
      <c r="G18763" s="4" t="s">
        <v>7</v>
      </c>
      <c r="H18763" s="4" t="s">
        <v>7</v>
      </c>
    </row>
    <row r="18764" spans="1:13">
      <c r="A18764" t="n">
        <v>181969</v>
      </c>
      <c r="B18764" s="55" t="n">
        <v>26</v>
      </c>
      <c r="C18764" s="7" t="n">
        <v>3</v>
      </c>
      <c r="D18764" s="7" t="n">
        <v>17</v>
      </c>
      <c r="E18764" s="7" t="n">
        <v>65278</v>
      </c>
      <c r="F18764" s="7" t="s">
        <v>464</v>
      </c>
      <c r="G18764" s="7" t="n">
        <v>2</v>
      </c>
      <c r="H18764" s="7" t="n">
        <v>0</v>
      </c>
    </row>
    <row r="18765" spans="1:13">
      <c r="A18765" t="s">
        <v>4</v>
      </c>
      <c r="B18765" s="4" t="s">
        <v>5</v>
      </c>
    </row>
    <row r="18766" spans="1:13">
      <c r="A18766" t="n">
        <v>181982</v>
      </c>
      <c r="B18766" s="27" t="n">
        <v>28</v>
      </c>
    </row>
    <row r="18767" spans="1:13">
      <c r="A18767" t="s">
        <v>4</v>
      </c>
      <c r="B18767" s="4" t="s">
        <v>5</v>
      </c>
      <c r="C18767" s="4" t="s">
        <v>11</v>
      </c>
      <c r="D18767" s="4" t="s">
        <v>7</v>
      </c>
    </row>
    <row r="18768" spans="1:13">
      <c r="A18768" t="n">
        <v>181983</v>
      </c>
      <c r="B18768" s="68" t="n">
        <v>89</v>
      </c>
      <c r="C18768" s="7" t="n">
        <v>65533</v>
      </c>
      <c r="D18768" s="7" t="n">
        <v>1</v>
      </c>
    </row>
    <row r="18769" spans="1:8">
      <c r="A18769" t="s">
        <v>4</v>
      </c>
      <c r="B18769" s="4" t="s">
        <v>5</v>
      </c>
      <c r="C18769" s="4" t="s">
        <v>11</v>
      </c>
    </row>
    <row r="18770" spans="1:8">
      <c r="A18770" t="n">
        <v>181987</v>
      </c>
      <c r="B18770" s="29" t="n">
        <v>16</v>
      </c>
      <c r="C18770" s="7" t="n">
        <v>300</v>
      </c>
    </row>
    <row r="18771" spans="1:8">
      <c r="A18771" t="s">
        <v>4</v>
      </c>
      <c r="B18771" s="4" t="s">
        <v>5</v>
      </c>
      <c r="C18771" s="4" t="s">
        <v>7</v>
      </c>
      <c r="D18771" s="4" t="s">
        <v>11</v>
      </c>
      <c r="E18771" s="4" t="s">
        <v>7</v>
      </c>
      <c r="F18771" s="4" t="s">
        <v>7</v>
      </c>
      <c r="G18771" s="4" t="s">
        <v>12</v>
      </c>
    </row>
    <row r="18772" spans="1:8">
      <c r="A18772" t="n">
        <v>181990</v>
      </c>
      <c r="B18772" s="10" t="n">
        <v>5</v>
      </c>
      <c r="C18772" s="7" t="n">
        <v>30</v>
      </c>
      <c r="D18772" s="7" t="n">
        <v>10817</v>
      </c>
      <c r="E18772" s="7" t="n">
        <v>8</v>
      </c>
      <c r="F18772" s="7" t="n">
        <v>1</v>
      </c>
      <c r="G18772" s="11" t="n">
        <f t="normal" ca="1">A18822</f>
        <v>0</v>
      </c>
    </row>
    <row r="18773" spans="1:8">
      <c r="A18773" t="s">
        <v>4</v>
      </c>
      <c r="B18773" s="4" t="s">
        <v>5</v>
      </c>
      <c r="C18773" s="4" t="s">
        <v>7</v>
      </c>
      <c r="D18773" s="4" t="s">
        <v>11</v>
      </c>
      <c r="E18773" s="4" t="s">
        <v>8</v>
      </c>
    </row>
    <row r="18774" spans="1:8">
      <c r="A18774" t="n">
        <v>182000</v>
      </c>
      <c r="B18774" s="38" t="n">
        <v>51</v>
      </c>
      <c r="C18774" s="7" t="n">
        <v>4</v>
      </c>
      <c r="D18774" s="7" t="n">
        <v>0</v>
      </c>
      <c r="E18774" s="7" t="s">
        <v>245</v>
      </c>
    </row>
    <row r="18775" spans="1:8">
      <c r="A18775" t="s">
        <v>4</v>
      </c>
      <c r="B18775" s="4" t="s">
        <v>5</v>
      </c>
      <c r="C18775" s="4" t="s">
        <v>11</v>
      </c>
    </row>
    <row r="18776" spans="1:8">
      <c r="A18776" t="n">
        <v>182014</v>
      </c>
      <c r="B18776" s="29" t="n">
        <v>16</v>
      </c>
      <c r="C18776" s="7" t="n">
        <v>0</v>
      </c>
    </row>
    <row r="18777" spans="1:8">
      <c r="A18777" t="s">
        <v>4</v>
      </c>
      <c r="B18777" s="4" t="s">
        <v>5</v>
      </c>
      <c r="C18777" s="4" t="s">
        <v>11</v>
      </c>
      <c r="D18777" s="4" t="s">
        <v>7</v>
      </c>
      <c r="E18777" s="4" t="s">
        <v>15</v>
      </c>
      <c r="F18777" s="4" t="s">
        <v>55</v>
      </c>
      <c r="G18777" s="4" t="s">
        <v>7</v>
      </c>
      <c r="H18777" s="4" t="s">
        <v>7</v>
      </c>
    </row>
    <row r="18778" spans="1:8">
      <c r="A18778" t="n">
        <v>182017</v>
      </c>
      <c r="B18778" s="55" t="n">
        <v>26</v>
      </c>
      <c r="C18778" s="7" t="n">
        <v>0</v>
      </c>
      <c r="D18778" s="7" t="n">
        <v>17</v>
      </c>
      <c r="E18778" s="7" t="n">
        <v>64566</v>
      </c>
      <c r="F18778" s="7" t="s">
        <v>1547</v>
      </c>
      <c r="G18778" s="7" t="n">
        <v>2</v>
      </c>
      <c r="H18778" s="7" t="n">
        <v>0</v>
      </c>
    </row>
    <row r="18779" spans="1:8">
      <c r="A18779" t="s">
        <v>4</v>
      </c>
      <c r="B18779" s="4" t="s">
        <v>5</v>
      </c>
    </row>
    <row r="18780" spans="1:8">
      <c r="A18780" t="n">
        <v>182046</v>
      </c>
      <c r="B18780" s="27" t="n">
        <v>28</v>
      </c>
    </row>
    <row r="18781" spans="1:8">
      <c r="A18781" t="s">
        <v>4</v>
      </c>
      <c r="B18781" s="4" t="s">
        <v>5</v>
      </c>
      <c r="C18781" s="4" t="s">
        <v>7</v>
      </c>
      <c r="D18781" s="4" t="s">
        <v>11</v>
      </c>
      <c r="E18781" s="4" t="s">
        <v>11</v>
      </c>
      <c r="F18781" s="4" t="s">
        <v>7</v>
      </c>
    </row>
    <row r="18782" spans="1:8">
      <c r="A18782" t="n">
        <v>182047</v>
      </c>
      <c r="B18782" s="31" t="n">
        <v>25</v>
      </c>
      <c r="C18782" s="7" t="n">
        <v>1</v>
      </c>
      <c r="D18782" s="7" t="n">
        <v>65535</v>
      </c>
      <c r="E18782" s="7" t="n">
        <v>65535</v>
      </c>
      <c r="F18782" s="7" t="n">
        <v>0</v>
      </c>
    </row>
    <row r="18783" spans="1:8">
      <c r="A18783" t="s">
        <v>4</v>
      </c>
      <c r="B18783" s="4" t="s">
        <v>5</v>
      </c>
      <c r="C18783" s="4" t="s">
        <v>7</v>
      </c>
      <c r="D18783" s="4" t="s">
        <v>11</v>
      </c>
      <c r="E18783" s="4" t="s">
        <v>8</v>
      </c>
    </row>
    <row r="18784" spans="1:8">
      <c r="A18784" t="n">
        <v>182054</v>
      </c>
      <c r="B18784" s="38" t="n">
        <v>51</v>
      </c>
      <c r="C18784" s="7" t="n">
        <v>4</v>
      </c>
      <c r="D18784" s="7" t="n">
        <v>3</v>
      </c>
      <c r="E18784" s="7" t="s">
        <v>417</v>
      </c>
    </row>
    <row r="18785" spans="1:8">
      <c r="A18785" t="s">
        <v>4</v>
      </c>
      <c r="B18785" s="4" t="s">
        <v>5</v>
      </c>
      <c r="C18785" s="4" t="s">
        <v>11</v>
      </c>
    </row>
    <row r="18786" spans="1:8">
      <c r="A18786" t="n">
        <v>182068</v>
      </c>
      <c r="B18786" s="29" t="n">
        <v>16</v>
      </c>
      <c r="C18786" s="7" t="n">
        <v>0</v>
      </c>
    </row>
    <row r="18787" spans="1:8">
      <c r="A18787" t="s">
        <v>4</v>
      </c>
      <c r="B18787" s="4" t="s">
        <v>5</v>
      </c>
      <c r="C18787" s="4" t="s">
        <v>11</v>
      </c>
      <c r="D18787" s="4" t="s">
        <v>7</v>
      </c>
      <c r="E18787" s="4" t="s">
        <v>15</v>
      </c>
      <c r="F18787" s="4" t="s">
        <v>55</v>
      </c>
      <c r="G18787" s="4" t="s">
        <v>7</v>
      </c>
      <c r="H18787" s="4" t="s">
        <v>7</v>
      </c>
      <c r="I18787" s="4" t="s">
        <v>7</v>
      </c>
      <c r="J18787" s="4" t="s">
        <v>15</v>
      </c>
      <c r="K18787" s="4" t="s">
        <v>55</v>
      </c>
      <c r="L18787" s="4" t="s">
        <v>7</v>
      </c>
      <c r="M18787" s="4" t="s">
        <v>7</v>
      </c>
      <c r="N18787" s="4" t="s">
        <v>7</v>
      </c>
      <c r="O18787" s="4" t="s">
        <v>15</v>
      </c>
      <c r="P18787" s="4" t="s">
        <v>55</v>
      </c>
      <c r="Q18787" s="4" t="s">
        <v>7</v>
      </c>
      <c r="R18787" s="4" t="s">
        <v>7</v>
      </c>
    </row>
    <row r="18788" spans="1:8">
      <c r="A18788" t="n">
        <v>182071</v>
      </c>
      <c r="B18788" s="55" t="n">
        <v>26</v>
      </c>
      <c r="C18788" s="7" t="n">
        <v>3</v>
      </c>
      <c r="D18788" s="7" t="n">
        <v>17</v>
      </c>
      <c r="E18788" s="7" t="n">
        <v>64567</v>
      </c>
      <c r="F18788" s="7" t="s">
        <v>1548</v>
      </c>
      <c r="G18788" s="7" t="n">
        <v>2</v>
      </c>
      <c r="H18788" s="7" t="n">
        <v>3</v>
      </c>
      <c r="I18788" s="7" t="n">
        <v>17</v>
      </c>
      <c r="J18788" s="7" t="n">
        <v>64568</v>
      </c>
      <c r="K18788" s="7" t="s">
        <v>1549</v>
      </c>
      <c r="L18788" s="7" t="n">
        <v>2</v>
      </c>
      <c r="M18788" s="7" t="n">
        <v>3</v>
      </c>
      <c r="N18788" s="7" t="n">
        <v>17</v>
      </c>
      <c r="O18788" s="7" t="n">
        <v>64569</v>
      </c>
      <c r="P18788" s="7" t="s">
        <v>1550</v>
      </c>
      <c r="Q18788" s="7" t="n">
        <v>2</v>
      </c>
      <c r="R18788" s="7" t="n">
        <v>0</v>
      </c>
    </row>
    <row r="18789" spans="1:8">
      <c r="A18789" t="s">
        <v>4</v>
      </c>
      <c r="B18789" s="4" t="s">
        <v>5</v>
      </c>
    </row>
    <row r="18790" spans="1:8">
      <c r="A18790" t="n">
        <v>182313</v>
      </c>
      <c r="B18790" s="27" t="n">
        <v>28</v>
      </c>
    </row>
    <row r="18791" spans="1:8">
      <c r="A18791" t="s">
        <v>4</v>
      </c>
      <c r="B18791" s="4" t="s">
        <v>5</v>
      </c>
      <c r="C18791" s="4" t="s">
        <v>11</v>
      </c>
      <c r="D18791" s="4" t="s">
        <v>7</v>
      </c>
      <c r="E18791" s="4" t="s">
        <v>13</v>
      </c>
      <c r="F18791" s="4" t="s">
        <v>11</v>
      </c>
    </row>
    <row r="18792" spans="1:8">
      <c r="A18792" t="n">
        <v>182314</v>
      </c>
      <c r="B18792" s="56" t="n">
        <v>59</v>
      </c>
      <c r="C18792" s="7" t="n">
        <v>0</v>
      </c>
      <c r="D18792" s="7" t="n">
        <v>6</v>
      </c>
      <c r="E18792" s="7" t="n">
        <v>0</v>
      </c>
      <c r="F18792" s="7" t="n">
        <v>0</v>
      </c>
    </row>
    <row r="18793" spans="1:8">
      <c r="A18793" t="s">
        <v>4</v>
      </c>
      <c r="B18793" s="4" t="s">
        <v>5</v>
      </c>
      <c r="C18793" s="4" t="s">
        <v>11</v>
      </c>
    </row>
    <row r="18794" spans="1:8">
      <c r="A18794" t="n">
        <v>182324</v>
      </c>
      <c r="B18794" s="29" t="n">
        <v>16</v>
      </c>
      <c r="C18794" s="7" t="n">
        <v>1000</v>
      </c>
    </row>
    <row r="18795" spans="1:8">
      <c r="A18795" t="s">
        <v>4</v>
      </c>
      <c r="B18795" s="4" t="s">
        <v>5</v>
      </c>
      <c r="C18795" s="4" t="s">
        <v>7</v>
      </c>
      <c r="D18795" s="4" t="s">
        <v>11</v>
      </c>
      <c r="E18795" s="4" t="s">
        <v>8</v>
      </c>
    </row>
    <row r="18796" spans="1:8">
      <c r="A18796" t="n">
        <v>182327</v>
      </c>
      <c r="B18796" s="38" t="n">
        <v>51</v>
      </c>
      <c r="C18796" s="7" t="n">
        <v>4</v>
      </c>
      <c r="D18796" s="7" t="n">
        <v>0</v>
      </c>
      <c r="E18796" s="7" t="s">
        <v>752</v>
      </c>
    </row>
    <row r="18797" spans="1:8">
      <c r="A18797" t="s">
        <v>4</v>
      </c>
      <c r="B18797" s="4" t="s">
        <v>5</v>
      </c>
      <c r="C18797" s="4" t="s">
        <v>11</v>
      </c>
    </row>
    <row r="18798" spans="1:8">
      <c r="A18798" t="n">
        <v>182341</v>
      </c>
      <c r="B18798" s="29" t="n">
        <v>16</v>
      </c>
      <c r="C18798" s="7" t="n">
        <v>0</v>
      </c>
    </row>
    <row r="18799" spans="1:8">
      <c r="A18799" t="s">
        <v>4</v>
      </c>
      <c r="B18799" s="4" t="s">
        <v>5</v>
      </c>
      <c r="C18799" s="4" t="s">
        <v>11</v>
      </c>
      <c r="D18799" s="4" t="s">
        <v>7</v>
      </c>
      <c r="E18799" s="4" t="s">
        <v>15</v>
      </c>
      <c r="F18799" s="4" t="s">
        <v>55</v>
      </c>
      <c r="G18799" s="4" t="s">
        <v>7</v>
      </c>
      <c r="H18799" s="4" t="s">
        <v>7</v>
      </c>
      <c r="I18799" s="4" t="s">
        <v>7</v>
      </c>
      <c r="J18799" s="4" t="s">
        <v>15</v>
      </c>
      <c r="K18799" s="4" t="s">
        <v>55</v>
      </c>
      <c r="L18799" s="4" t="s">
        <v>7</v>
      </c>
      <c r="M18799" s="4" t="s">
        <v>7</v>
      </c>
    </row>
    <row r="18800" spans="1:8">
      <c r="A18800" t="n">
        <v>182344</v>
      </c>
      <c r="B18800" s="55" t="n">
        <v>26</v>
      </c>
      <c r="C18800" s="7" t="n">
        <v>0</v>
      </c>
      <c r="D18800" s="7" t="n">
        <v>17</v>
      </c>
      <c r="E18800" s="7" t="n">
        <v>64570</v>
      </c>
      <c r="F18800" s="7" t="s">
        <v>1551</v>
      </c>
      <c r="G18800" s="7" t="n">
        <v>2</v>
      </c>
      <c r="H18800" s="7" t="n">
        <v>3</v>
      </c>
      <c r="I18800" s="7" t="n">
        <v>17</v>
      </c>
      <c r="J18800" s="7" t="n">
        <v>64571</v>
      </c>
      <c r="K18800" s="7" t="s">
        <v>1552</v>
      </c>
      <c r="L18800" s="7" t="n">
        <v>2</v>
      </c>
      <c r="M18800" s="7" t="n">
        <v>0</v>
      </c>
    </row>
    <row r="18801" spans="1:18">
      <c r="A18801" t="s">
        <v>4</v>
      </c>
      <c r="B18801" s="4" t="s">
        <v>5</v>
      </c>
    </row>
    <row r="18802" spans="1:18">
      <c r="A18802" t="n">
        <v>182563</v>
      </c>
      <c r="B18802" s="27" t="n">
        <v>28</v>
      </c>
    </row>
    <row r="18803" spans="1:18">
      <c r="A18803" t="s">
        <v>4</v>
      </c>
      <c r="B18803" s="4" t="s">
        <v>5</v>
      </c>
      <c r="C18803" s="4" t="s">
        <v>7</v>
      </c>
      <c r="D18803" s="4" t="s">
        <v>11</v>
      </c>
      <c r="E18803" s="4" t="s">
        <v>11</v>
      </c>
      <c r="F18803" s="4" t="s">
        <v>7</v>
      </c>
    </row>
    <row r="18804" spans="1:18">
      <c r="A18804" t="n">
        <v>182564</v>
      </c>
      <c r="B18804" s="31" t="n">
        <v>25</v>
      </c>
      <c r="C18804" s="7" t="n">
        <v>1</v>
      </c>
      <c r="D18804" s="7" t="n">
        <v>65535</v>
      </c>
      <c r="E18804" s="7" t="n">
        <v>65535</v>
      </c>
      <c r="F18804" s="7" t="n">
        <v>0</v>
      </c>
    </row>
    <row r="18805" spans="1:18">
      <c r="A18805" t="s">
        <v>4</v>
      </c>
      <c r="B18805" s="4" t="s">
        <v>5</v>
      </c>
      <c r="C18805" s="4" t="s">
        <v>7</v>
      </c>
      <c r="D18805" s="4" t="s">
        <v>11</v>
      </c>
      <c r="E18805" s="4" t="s">
        <v>8</v>
      </c>
      <c r="F18805" s="4" t="s">
        <v>8</v>
      </c>
      <c r="G18805" s="4" t="s">
        <v>8</v>
      </c>
      <c r="H18805" s="4" t="s">
        <v>8</v>
      </c>
    </row>
    <row r="18806" spans="1:18">
      <c r="A18806" t="n">
        <v>182571</v>
      </c>
      <c r="B18806" s="38" t="n">
        <v>51</v>
      </c>
      <c r="C18806" s="7" t="n">
        <v>3</v>
      </c>
      <c r="D18806" s="7" t="n">
        <v>3</v>
      </c>
      <c r="E18806" s="7" t="s">
        <v>86</v>
      </c>
      <c r="F18806" s="7" t="s">
        <v>232</v>
      </c>
      <c r="G18806" s="7" t="s">
        <v>78</v>
      </c>
      <c r="H18806" s="7" t="s">
        <v>79</v>
      </c>
    </row>
    <row r="18807" spans="1:18">
      <c r="A18807" t="s">
        <v>4</v>
      </c>
      <c r="B18807" s="4" t="s">
        <v>5</v>
      </c>
      <c r="C18807" s="4" t="s">
        <v>11</v>
      </c>
      <c r="D18807" s="4" t="s">
        <v>7</v>
      </c>
      <c r="E18807" s="4" t="s">
        <v>7</v>
      </c>
      <c r="F18807" s="4" t="s">
        <v>8</v>
      </c>
    </row>
    <row r="18808" spans="1:18">
      <c r="A18808" t="n">
        <v>182584</v>
      </c>
      <c r="B18808" s="50" t="n">
        <v>20</v>
      </c>
      <c r="C18808" s="7" t="n">
        <v>3</v>
      </c>
      <c r="D18808" s="7" t="n">
        <v>2</v>
      </c>
      <c r="E18808" s="7" t="n">
        <v>10</v>
      </c>
      <c r="F18808" s="7" t="s">
        <v>223</v>
      </c>
    </row>
    <row r="18809" spans="1:18">
      <c r="A18809" t="s">
        <v>4</v>
      </c>
      <c r="B18809" s="4" t="s">
        <v>5</v>
      </c>
      <c r="C18809" s="4" t="s">
        <v>11</v>
      </c>
    </row>
    <row r="18810" spans="1:18">
      <c r="A18810" t="n">
        <v>182605</v>
      </c>
      <c r="B18810" s="29" t="n">
        <v>16</v>
      </c>
      <c r="C18810" s="7" t="n">
        <v>500</v>
      </c>
    </row>
    <row r="18811" spans="1:18">
      <c r="A18811" t="s">
        <v>4</v>
      </c>
      <c r="B18811" s="4" t="s">
        <v>5</v>
      </c>
      <c r="C18811" s="4" t="s">
        <v>7</v>
      </c>
      <c r="D18811" s="4" t="s">
        <v>11</v>
      </c>
      <c r="E18811" s="4" t="s">
        <v>8</v>
      </c>
    </row>
    <row r="18812" spans="1:18">
      <c r="A18812" t="n">
        <v>182608</v>
      </c>
      <c r="B18812" s="38" t="n">
        <v>51</v>
      </c>
      <c r="C18812" s="7" t="n">
        <v>4</v>
      </c>
      <c r="D18812" s="7" t="n">
        <v>3</v>
      </c>
      <c r="E18812" s="7" t="s">
        <v>288</v>
      </c>
    </row>
    <row r="18813" spans="1:18">
      <c r="A18813" t="s">
        <v>4</v>
      </c>
      <c r="B18813" s="4" t="s">
        <v>5</v>
      </c>
      <c r="C18813" s="4" t="s">
        <v>11</v>
      </c>
    </row>
    <row r="18814" spans="1:18">
      <c r="A18814" t="n">
        <v>182621</v>
      </c>
      <c r="B18814" s="29" t="n">
        <v>16</v>
      </c>
      <c r="C18814" s="7" t="n">
        <v>0</v>
      </c>
    </row>
    <row r="18815" spans="1:18">
      <c r="A18815" t="s">
        <v>4</v>
      </c>
      <c r="B18815" s="4" t="s">
        <v>5</v>
      </c>
      <c r="C18815" s="4" t="s">
        <v>11</v>
      </c>
      <c r="D18815" s="4" t="s">
        <v>7</v>
      </c>
      <c r="E18815" s="4" t="s">
        <v>15</v>
      </c>
      <c r="F18815" s="4" t="s">
        <v>55</v>
      </c>
      <c r="G18815" s="4" t="s">
        <v>7</v>
      </c>
      <c r="H18815" s="4" t="s">
        <v>7</v>
      </c>
    </row>
    <row r="18816" spans="1:18">
      <c r="A18816" t="n">
        <v>182624</v>
      </c>
      <c r="B18816" s="55" t="n">
        <v>26</v>
      </c>
      <c r="C18816" s="7" t="n">
        <v>3</v>
      </c>
      <c r="D18816" s="7" t="n">
        <v>17</v>
      </c>
      <c r="E18816" s="7" t="n">
        <v>64572</v>
      </c>
      <c r="F18816" s="7" t="s">
        <v>1553</v>
      </c>
      <c r="G18816" s="7" t="n">
        <v>2</v>
      </c>
      <c r="H18816" s="7" t="n">
        <v>0</v>
      </c>
    </row>
    <row r="18817" spans="1:8">
      <c r="A18817" t="s">
        <v>4</v>
      </c>
      <c r="B18817" s="4" t="s">
        <v>5</v>
      </c>
    </row>
    <row r="18818" spans="1:8">
      <c r="A18818" t="n">
        <v>182650</v>
      </c>
      <c r="B18818" s="27" t="n">
        <v>28</v>
      </c>
    </row>
    <row r="18819" spans="1:8">
      <c r="A18819" t="s">
        <v>4</v>
      </c>
      <c r="B18819" s="4" t="s">
        <v>5</v>
      </c>
      <c r="C18819" s="4" t="s">
        <v>12</v>
      </c>
    </row>
    <row r="18820" spans="1:8">
      <c r="A18820" t="n">
        <v>182651</v>
      </c>
      <c r="B18820" s="19" t="n">
        <v>3</v>
      </c>
      <c r="C18820" s="11" t="n">
        <f t="normal" ca="1">A18994</f>
        <v>0</v>
      </c>
    </row>
    <row r="18821" spans="1:8">
      <c r="A18821" t="s">
        <v>4</v>
      </c>
      <c r="B18821" s="4" t="s">
        <v>5</v>
      </c>
      <c r="C18821" s="4" t="s">
        <v>7</v>
      </c>
      <c r="D18821" s="4" t="s">
        <v>11</v>
      </c>
      <c r="E18821" s="4" t="s">
        <v>13</v>
      </c>
    </row>
    <row r="18822" spans="1:8">
      <c r="A18822" t="n">
        <v>182656</v>
      </c>
      <c r="B18822" s="23" t="n">
        <v>58</v>
      </c>
      <c r="C18822" s="7" t="n">
        <v>101</v>
      </c>
      <c r="D18822" s="7" t="n">
        <v>800</v>
      </c>
      <c r="E18822" s="7" t="n">
        <v>1</v>
      </c>
    </row>
    <row r="18823" spans="1:8">
      <c r="A18823" t="s">
        <v>4</v>
      </c>
      <c r="B18823" s="4" t="s">
        <v>5</v>
      </c>
      <c r="C18823" s="4" t="s">
        <v>7</v>
      </c>
      <c r="D18823" s="4" t="s">
        <v>11</v>
      </c>
    </row>
    <row r="18824" spans="1:8">
      <c r="A18824" t="n">
        <v>182664</v>
      </c>
      <c r="B18824" s="23" t="n">
        <v>58</v>
      </c>
      <c r="C18824" s="7" t="n">
        <v>254</v>
      </c>
      <c r="D18824" s="7" t="n">
        <v>0</v>
      </c>
    </row>
    <row r="18825" spans="1:8">
      <c r="A18825" t="s">
        <v>4</v>
      </c>
      <c r="B18825" s="4" t="s">
        <v>5</v>
      </c>
      <c r="C18825" s="4" t="s">
        <v>7</v>
      </c>
    </row>
    <row r="18826" spans="1:8">
      <c r="A18826" t="n">
        <v>182668</v>
      </c>
      <c r="B18826" s="49" t="n">
        <v>116</v>
      </c>
      <c r="C18826" s="7" t="n">
        <v>0</v>
      </c>
    </row>
    <row r="18827" spans="1:8">
      <c r="A18827" t="s">
        <v>4</v>
      </c>
      <c r="B18827" s="4" t="s">
        <v>5</v>
      </c>
      <c r="C18827" s="4" t="s">
        <v>7</v>
      </c>
      <c r="D18827" s="4" t="s">
        <v>11</v>
      </c>
    </row>
    <row r="18828" spans="1:8">
      <c r="A18828" t="n">
        <v>182670</v>
      </c>
      <c r="B18828" s="49" t="n">
        <v>116</v>
      </c>
      <c r="C18828" s="7" t="n">
        <v>2</v>
      </c>
      <c r="D18828" s="7" t="n">
        <v>1</v>
      </c>
    </row>
    <row r="18829" spans="1:8">
      <c r="A18829" t="s">
        <v>4</v>
      </c>
      <c r="B18829" s="4" t="s">
        <v>5</v>
      </c>
      <c r="C18829" s="4" t="s">
        <v>7</v>
      </c>
      <c r="D18829" s="4" t="s">
        <v>15</v>
      </c>
    </row>
    <row r="18830" spans="1:8">
      <c r="A18830" t="n">
        <v>182674</v>
      </c>
      <c r="B18830" s="49" t="n">
        <v>116</v>
      </c>
      <c r="C18830" s="7" t="n">
        <v>5</v>
      </c>
      <c r="D18830" s="7" t="n">
        <v>1084227584</v>
      </c>
    </row>
    <row r="18831" spans="1:8">
      <c r="A18831" t="s">
        <v>4</v>
      </c>
      <c r="B18831" s="4" t="s">
        <v>5</v>
      </c>
      <c r="C18831" s="4" t="s">
        <v>7</v>
      </c>
      <c r="D18831" s="4" t="s">
        <v>11</v>
      </c>
    </row>
    <row r="18832" spans="1:8">
      <c r="A18832" t="n">
        <v>182680</v>
      </c>
      <c r="B18832" s="49" t="n">
        <v>116</v>
      </c>
      <c r="C18832" s="7" t="n">
        <v>6</v>
      </c>
      <c r="D18832" s="7" t="n">
        <v>1</v>
      </c>
    </row>
    <row r="18833" spans="1:5">
      <c r="A18833" t="s">
        <v>4</v>
      </c>
      <c r="B18833" s="4" t="s">
        <v>5</v>
      </c>
      <c r="C18833" s="4" t="s">
        <v>7</v>
      </c>
      <c r="D18833" s="4" t="s">
        <v>7</v>
      </c>
      <c r="E18833" s="4" t="s">
        <v>13</v>
      </c>
      <c r="F18833" s="4" t="s">
        <v>13</v>
      </c>
      <c r="G18833" s="4" t="s">
        <v>13</v>
      </c>
      <c r="H18833" s="4" t="s">
        <v>11</v>
      </c>
    </row>
    <row r="18834" spans="1:5">
      <c r="A18834" t="n">
        <v>182684</v>
      </c>
      <c r="B18834" s="51" t="n">
        <v>45</v>
      </c>
      <c r="C18834" s="7" t="n">
        <v>2</v>
      </c>
      <c r="D18834" s="7" t="n">
        <v>3</v>
      </c>
      <c r="E18834" s="7" t="n">
        <v>0.100000001490116</v>
      </c>
      <c r="F18834" s="7" t="n">
        <v>11.4200000762939</v>
      </c>
      <c r="G18834" s="7" t="n">
        <v>58.060001373291</v>
      </c>
      <c r="H18834" s="7" t="n">
        <v>0</v>
      </c>
    </row>
    <row r="18835" spans="1:5">
      <c r="A18835" t="s">
        <v>4</v>
      </c>
      <c r="B18835" s="4" t="s">
        <v>5</v>
      </c>
      <c r="C18835" s="4" t="s">
        <v>7</v>
      </c>
      <c r="D18835" s="4" t="s">
        <v>7</v>
      </c>
      <c r="E18835" s="4" t="s">
        <v>13</v>
      </c>
      <c r="F18835" s="4" t="s">
        <v>13</v>
      </c>
      <c r="G18835" s="4" t="s">
        <v>13</v>
      </c>
      <c r="H18835" s="4" t="s">
        <v>11</v>
      </c>
      <c r="I18835" s="4" t="s">
        <v>7</v>
      </c>
    </row>
    <row r="18836" spans="1:5">
      <c r="A18836" t="n">
        <v>182701</v>
      </c>
      <c r="B18836" s="51" t="n">
        <v>45</v>
      </c>
      <c r="C18836" s="7" t="n">
        <v>4</v>
      </c>
      <c r="D18836" s="7" t="n">
        <v>3</v>
      </c>
      <c r="E18836" s="7" t="n">
        <v>11.3500003814697</v>
      </c>
      <c r="F18836" s="7" t="n">
        <v>204.479995727539</v>
      </c>
      <c r="G18836" s="7" t="n">
        <v>356</v>
      </c>
      <c r="H18836" s="7" t="n">
        <v>0</v>
      </c>
      <c r="I18836" s="7" t="n">
        <v>0</v>
      </c>
    </row>
    <row r="18837" spans="1:5">
      <c r="A18837" t="s">
        <v>4</v>
      </c>
      <c r="B18837" s="4" t="s">
        <v>5</v>
      </c>
      <c r="C18837" s="4" t="s">
        <v>7</v>
      </c>
      <c r="D18837" s="4" t="s">
        <v>7</v>
      </c>
      <c r="E18837" s="4" t="s">
        <v>13</v>
      </c>
      <c r="F18837" s="4" t="s">
        <v>11</v>
      </c>
    </row>
    <row r="18838" spans="1:5">
      <c r="A18838" t="n">
        <v>182719</v>
      </c>
      <c r="B18838" s="51" t="n">
        <v>45</v>
      </c>
      <c r="C18838" s="7" t="n">
        <v>5</v>
      </c>
      <c r="D18838" s="7" t="n">
        <v>3</v>
      </c>
      <c r="E18838" s="7" t="n">
        <v>1.39999997615814</v>
      </c>
      <c r="F18838" s="7" t="n">
        <v>0</v>
      </c>
    </row>
    <row r="18839" spans="1:5">
      <c r="A18839" t="s">
        <v>4</v>
      </c>
      <c r="B18839" s="4" t="s">
        <v>5</v>
      </c>
      <c r="C18839" s="4" t="s">
        <v>7</v>
      </c>
      <c r="D18839" s="4" t="s">
        <v>7</v>
      </c>
      <c r="E18839" s="4" t="s">
        <v>13</v>
      </c>
      <c r="F18839" s="4" t="s">
        <v>11</v>
      </c>
    </row>
    <row r="18840" spans="1:5">
      <c r="A18840" t="n">
        <v>182728</v>
      </c>
      <c r="B18840" s="51" t="n">
        <v>45</v>
      </c>
      <c r="C18840" s="7" t="n">
        <v>5</v>
      </c>
      <c r="D18840" s="7" t="n">
        <v>3</v>
      </c>
      <c r="E18840" s="7" t="n">
        <v>1.29999995231628</v>
      </c>
      <c r="F18840" s="7" t="n">
        <v>2000</v>
      </c>
    </row>
    <row r="18841" spans="1:5">
      <c r="A18841" t="s">
        <v>4</v>
      </c>
      <c r="B18841" s="4" t="s">
        <v>5</v>
      </c>
      <c r="C18841" s="4" t="s">
        <v>7</v>
      </c>
      <c r="D18841" s="4" t="s">
        <v>7</v>
      </c>
      <c r="E18841" s="4" t="s">
        <v>13</v>
      </c>
      <c r="F18841" s="4" t="s">
        <v>11</v>
      </c>
    </row>
    <row r="18842" spans="1:5">
      <c r="A18842" t="n">
        <v>182737</v>
      </c>
      <c r="B18842" s="51" t="n">
        <v>45</v>
      </c>
      <c r="C18842" s="7" t="n">
        <v>11</v>
      </c>
      <c r="D18842" s="7" t="n">
        <v>3</v>
      </c>
      <c r="E18842" s="7" t="n">
        <v>30.5</v>
      </c>
      <c r="F18842" s="7" t="n">
        <v>0</v>
      </c>
    </row>
    <row r="18843" spans="1:5">
      <c r="A18843" t="s">
        <v>4</v>
      </c>
      <c r="B18843" s="4" t="s">
        <v>5</v>
      </c>
      <c r="C18843" s="4" t="s">
        <v>11</v>
      </c>
    </row>
    <row r="18844" spans="1:5">
      <c r="A18844" t="n">
        <v>182746</v>
      </c>
      <c r="B18844" s="29" t="n">
        <v>16</v>
      </c>
      <c r="C18844" s="7" t="n">
        <v>400</v>
      </c>
    </row>
    <row r="18845" spans="1:5">
      <c r="A18845" t="s">
        <v>4</v>
      </c>
      <c r="B18845" s="4" t="s">
        <v>5</v>
      </c>
      <c r="C18845" s="4" t="s">
        <v>7</v>
      </c>
      <c r="D18845" s="4" t="s">
        <v>11</v>
      </c>
      <c r="E18845" s="4" t="s">
        <v>8</v>
      </c>
      <c r="F18845" s="4" t="s">
        <v>8</v>
      </c>
      <c r="G18845" s="4" t="s">
        <v>8</v>
      </c>
      <c r="H18845" s="4" t="s">
        <v>8</v>
      </c>
    </row>
    <row r="18846" spans="1:5">
      <c r="A18846" t="n">
        <v>182749</v>
      </c>
      <c r="B18846" s="38" t="n">
        <v>51</v>
      </c>
      <c r="C18846" s="7" t="n">
        <v>3</v>
      </c>
      <c r="D18846" s="7" t="n">
        <v>3</v>
      </c>
      <c r="E18846" s="7" t="s">
        <v>86</v>
      </c>
      <c r="F18846" s="7" t="s">
        <v>79</v>
      </c>
      <c r="G18846" s="7" t="s">
        <v>78</v>
      </c>
      <c r="H18846" s="7" t="s">
        <v>79</v>
      </c>
    </row>
    <row r="18847" spans="1:5">
      <c r="A18847" t="s">
        <v>4</v>
      </c>
      <c r="B18847" s="4" t="s">
        <v>5</v>
      </c>
      <c r="C18847" s="4" t="s">
        <v>11</v>
      </c>
      <c r="D18847" s="4" t="s">
        <v>7</v>
      </c>
      <c r="E18847" s="4" t="s">
        <v>13</v>
      </c>
      <c r="F18847" s="4" t="s">
        <v>11</v>
      </c>
    </row>
    <row r="18848" spans="1:5">
      <c r="A18848" t="n">
        <v>182762</v>
      </c>
      <c r="B18848" s="56" t="n">
        <v>59</v>
      </c>
      <c r="C18848" s="7" t="n">
        <v>3</v>
      </c>
      <c r="D18848" s="7" t="n">
        <v>9</v>
      </c>
      <c r="E18848" s="7" t="n">
        <v>0.150000005960464</v>
      </c>
      <c r="F18848" s="7" t="n">
        <v>0</v>
      </c>
    </row>
    <row r="18849" spans="1:9">
      <c r="A18849" t="s">
        <v>4</v>
      </c>
      <c r="B18849" s="4" t="s">
        <v>5</v>
      </c>
      <c r="C18849" s="4" t="s">
        <v>11</v>
      </c>
    </row>
    <row r="18850" spans="1:9">
      <c r="A18850" t="n">
        <v>182772</v>
      </c>
      <c r="B18850" s="29" t="n">
        <v>16</v>
      </c>
      <c r="C18850" s="7" t="n">
        <v>1800</v>
      </c>
    </row>
    <row r="18851" spans="1:9">
      <c r="A18851" t="s">
        <v>4</v>
      </c>
      <c r="B18851" s="4" t="s">
        <v>5</v>
      </c>
      <c r="C18851" s="4" t="s">
        <v>7</v>
      </c>
      <c r="D18851" s="4" t="s">
        <v>11</v>
      </c>
      <c r="E18851" s="4" t="s">
        <v>8</v>
      </c>
    </row>
    <row r="18852" spans="1:9">
      <c r="A18852" t="n">
        <v>182775</v>
      </c>
      <c r="B18852" s="38" t="n">
        <v>51</v>
      </c>
      <c r="C18852" s="7" t="n">
        <v>4</v>
      </c>
      <c r="D18852" s="7" t="n">
        <v>3</v>
      </c>
      <c r="E18852" s="7" t="s">
        <v>242</v>
      </c>
    </row>
    <row r="18853" spans="1:9">
      <c r="A18853" t="s">
        <v>4</v>
      </c>
      <c r="B18853" s="4" t="s">
        <v>5</v>
      </c>
      <c r="C18853" s="4" t="s">
        <v>11</v>
      </c>
    </row>
    <row r="18854" spans="1:9">
      <c r="A18854" t="n">
        <v>182789</v>
      </c>
      <c r="B18854" s="29" t="n">
        <v>16</v>
      </c>
      <c r="C18854" s="7" t="n">
        <v>0</v>
      </c>
    </row>
    <row r="18855" spans="1:9">
      <c r="A18855" t="s">
        <v>4</v>
      </c>
      <c r="B18855" s="4" t="s">
        <v>5</v>
      </c>
      <c r="C18855" s="4" t="s">
        <v>11</v>
      </c>
      <c r="D18855" s="4" t="s">
        <v>7</v>
      </c>
      <c r="E18855" s="4" t="s">
        <v>15</v>
      </c>
      <c r="F18855" s="4" t="s">
        <v>55</v>
      </c>
      <c r="G18855" s="4" t="s">
        <v>7</v>
      </c>
      <c r="H18855" s="4" t="s">
        <v>7</v>
      </c>
      <c r="I18855" s="4" t="s">
        <v>7</v>
      </c>
      <c r="J18855" s="4" t="s">
        <v>15</v>
      </c>
      <c r="K18855" s="4" t="s">
        <v>55</v>
      </c>
      <c r="L18855" s="4" t="s">
        <v>7</v>
      </c>
      <c r="M18855" s="4" t="s">
        <v>7</v>
      </c>
    </row>
    <row r="18856" spans="1:9">
      <c r="A18856" t="n">
        <v>182792</v>
      </c>
      <c r="B18856" s="55" t="n">
        <v>26</v>
      </c>
      <c r="C18856" s="7" t="n">
        <v>3</v>
      </c>
      <c r="D18856" s="7" t="n">
        <v>17</v>
      </c>
      <c r="E18856" s="7" t="n">
        <v>64573</v>
      </c>
      <c r="F18856" s="7" t="s">
        <v>1554</v>
      </c>
      <c r="G18856" s="7" t="n">
        <v>2</v>
      </c>
      <c r="H18856" s="7" t="n">
        <v>3</v>
      </c>
      <c r="I18856" s="7" t="n">
        <v>17</v>
      </c>
      <c r="J18856" s="7" t="n">
        <v>64574</v>
      </c>
      <c r="K18856" s="7" t="s">
        <v>1555</v>
      </c>
      <c r="L18856" s="7" t="n">
        <v>2</v>
      </c>
      <c r="M18856" s="7" t="n">
        <v>0</v>
      </c>
    </row>
    <row r="18857" spans="1:9">
      <c r="A18857" t="s">
        <v>4</v>
      </c>
      <c r="B18857" s="4" t="s">
        <v>5</v>
      </c>
    </row>
    <row r="18858" spans="1:9">
      <c r="A18858" t="n">
        <v>182876</v>
      </c>
      <c r="B18858" s="27" t="n">
        <v>28</v>
      </c>
    </row>
    <row r="18859" spans="1:9">
      <c r="A18859" t="s">
        <v>4</v>
      </c>
      <c r="B18859" s="4" t="s">
        <v>5</v>
      </c>
      <c r="C18859" s="4" t="s">
        <v>11</v>
      </c>
      <c r="D18859" s="4" t="s">
        <v>7</v>
      </c>
      <c r="E18859" s="4" t="s">
        <v>7</v>
      </c>
      <c r="F18859" s="4" t="s">
        <v>8</v>
      </c>
    </row>
    <row r="18860" spans="1:9">
      <c r="A18860" t="n">
        <v>182877</v>
      </c>
      <c r="B18860" s="50" t="n">
        <v>20</v>
      </c>
      <c r="C18860" s="7" t="n">
        <v>0</v>
      </c>
      <c r="D18860" s="7" t="n">
        <v>2</v>
      </c>
      <c r="E18860" s="7" t="n">
        <v>10</v>
      </c>
      <c r="F18860" s="7" t="s">
        <v>260</v>
      </c>
    </row>
    <row r="18861" spans="1:9">
      <c r="A18861" t="s">
        <v>4</v>
      </c>
      <c r="B18861" s="4" t="s">
        <v>5</v>
      </c>
      <c r="C18861" s="4" t="s">
        <v>7</v>
      </c>
      <c r="D18861" s="4" t="s">
        <v>11</v>
      </c>
      <c r="E18861" s="4" t="s">
        <v>8</v>
      </c>
    </row>
    <row r="18862" spans="1:9">
      <c r="A18862" t="n">
        <v>182897</v>
      </c>
      <c r="B18862" s="38" t="n">
        <v>51</v>
      </c>
      <c r="C18862" s="7" t="n">
        <v>4</v>
      </c>
      <c r="D18862" s="7" t="n">
        <v>0</v>
      </c>
      <c r="E18862" s="7" t="s">
        <v>242</v>
      </c>
    </row>
    <row r="18863" spans="1:9">
      <c r="A18863" t="s">
        <v>4</v>
      </c>
      <c r="B18863" s="4" t="s">
        <v>5</v>
      </c>
      <c r="C18863" s="4" t="s">
        <v>11</v>
      </c>
    </row>
    <row r="18864" spans="1:9">
      <c r="A18864" t="n">
        <v>182911</v>
      </c>
      <c r="B18864" s="29" t="n">
        <v>16</v>
      </c>
      <c r="C18864" s="7" t="n">
        <v>0</v>
      </c>
    </row>
    <row r="18865" spans="1:13">
      <c r="A18865" t="s">
        <v>4</v>
      </c>
      <c r="B18865" s="4" t="s">
        <v>5</v>
      </c>
      <c r="C18865" s="4" t="s">
        <v>11</v>
      </c>
      <c r="D18865" s="4" t="s">
        <v>7</v>
      </c>
      <c r="E18865" s="4" t="s">
        <v>15</v>
      </c>
      <c r="F18865" s="4" t="s">
        <v>55</v>
      </c>
      <c r="G18865" s="4" t="s">
        <v>7</v>
      </c>
      <c r="H18865" s="4" t="s">
        <v>7</v>
      </c>
      <c r="I18865" s="4" t="s">
        <v>7</v>
      </c>
      <c r="J18865" s="4" t="s">
        <v>15</v>
      </c>
      <c r="K18865" s="4" t="s">
        <v>55</v>
      </c>
      <c r="L18865" s="4" t="s">
        <v>7</v>
      </c>
      <c r="M18865" s="4" t="s">
        <v>7</v>
      </c>
    </row>
    <row r="18866" spans="1:13">
      <c r="A18866" t="n">
        <v>182914</v>
      </c>
      <c r="B18866" s="55" t="n">
        <v>26</v>
      </c>
      <c r="C18866" s="7" t="n">
        <v>0</v>
      </c>
      <c r="D18866" s="7" t="n">
        <v>17</v>
      </c>
      <c r="E18866" s="7" t="n">
        <v>64575</v>
      </c>
      <c r="F18866" s="7" t="s">
        <v>1556</v>
      </c>
      <c r="G18866" s="7" t="n">
        <v>2</v>
      </c>
      <c r="H18866" s="7" t="n">
        <v>3</v>
      </c>
      <c r="I18866" s="7" t="n">
        <v>17</v>
      </c>
      <c r="J18866" s="7" t="n">
        <v>64418</v>
      </c>
      <c r="K18866" s="7" t="s">
        <v>1375</v>
      </c>
      <c r="L18866" s="7" t="n">
        <v>2</v>
      </c>
      <c r="M18866" s="7" t="n">
        <v>0</v>
      </c>
    </row>
    <row r="18867" spans="1:13">
      <c r="A18867" t="s">
        <v>4</v>
      </c>
      <c r="B18867" s="4" t="s">
        <v>5</v>
      </c>
    </row>
    <row r="18868" spans="1:13">
      <c r="A18868" t="n">
        <v>182982</v>
      </c>
      <c r="B18868" s="27" t="n">
        <v>28</v>
      </c>
    </row>
    <row r="18869" spans="1:13">
      <c r="A18869" t="s">
        <v>4</v>
      </c>
      <c r="B18869" s="4" t="s">
        <v>5</v>
      </c>
      <c r="C18869" s="4" t="s">
        <v>7</v>
      </c>
      <c r="D18869" s="4" t="s">
        <v>11</v>
      </c>
      <c r="E18869" s="4" t="s">
        <v>11</v>
      </c>
      <c r="F18869" s="4" t="s">
        <v>7</v>
      </c>
    </row>
    <row r="18870" spans="1:13">
      <c r="A18870" t="n">
        <v>182983</v>
      </c>
      <c r="B18870" s="31" t="n">
        <v>25</v>
      </c>
      <c r="C18870" s="7" t="n">
        <v>1</v>
      </c>
      <c r="D18870" s="7" t="n">
        <v>65535</v>
      </c>
      <c r="E18870" s="7" t="n">
        <v>65535</v>
      </c>
      <c r="F18870" s="7" t="n">
        <v>0</v>
      </c>
    </row>
    <row r="18871" spans="1:13">
      <c r="A18871" t="s">
        <v>4</v>
      </c>
      <c r="B18871" s="4" t="s">
        <v>5</v>
      </c>
      <c r="C18871" s="4" t="s">
        <v>7</v>
      </c>
      <c r="D18871" s="4" t="s">
        <v>11</v>
      </c>
      <c r="E18871" s="4" t="s">
        <v>8</v>
      </c>
    </row>
    <row r="18872" spans="1:13">
      <c r="A18872" t="n">
        <v>182990</v>
      </c>
      <c r="B18872" s="38" t="n">
        <v>51</v>
      </c>
      <c r="C18872" s="7" t="n">
        <v>4</v>
      </c>
      <c r="D18872" s="7" t="n">
        <v>3</v>
      </c>
      <c r="E18872" s="7" t="s">
        <v>1376</v>
      </c>
    </row>
    <row r="18873" spans="1:13">
      <c r="A18873" t="s">
        <v>4</v>
      </c>
      <c r="B18873" s="4" t="s">
        <v>5</v>
      </c>
      <c r="C18873" s="4" t="s">
        <v>11</v>
      </c>
    </row>
    <row r="18874" spans="1:13">
      <c r="A18874" t="n">
        <v>183005</v>
      </c>
      <c r="B18874" s="29" t="n">
        <v>16</v>
      </c>
      <c r="C18874" s="7" t="n">
        <v>0</v>
      </c>
    </row>
    <row r="18875" spans="1:13">
      <c r="A18875" t="s">
        <v>4</v>
      </c>
      <c r="B18875" s="4" t="s">
        <v>5</v>
      </c>
      <c r="C18875" s="4" t="s">
        <v>11</v>
      </c>
      <c r="D18875" s="4" t="s">
        <v>7</v>
      </c>
      <c r="E18875" s="4" t="s">
        <v>15</v>
      </c>
      <c r="F18875" s="4" t="s">
        <v>55</v>
      </c>
      <c r="G18875" s="4" t="s">
        <v>7</v>
      </c>
      <c r="H18875" s="4" t="s">
        <v>7</v>
      </c>
    </row>
    <row r="18876" spans="1:13">
      <c r="A18876" t="n">
        <v>183008</v>
      </c>
      <c r="B18876" s="55" t="n">
        <v>26</v>
      </c>
      <c r="C18876" s="7" t="n">
        <v>3</v>
      </c>
      <c r="D18876" s="7" t="n">
        <v>17</v>
      </c>
      <c r="E18876" s="7" t="n">
        <v>65280</v>
      </c>
      <c r="F18876" s="7" t="s">
        <v>464</v>
      </c>
      <c r="G18876" s="7" t="n">
        <v>2</v>
      </c>
      <c r="H18876" s="7" t="n">
        <v>0</v>
      </c>
    </row>
    <row r="18877" spans="1:13">
      <c r="A18877" t="s">
        <v>4</v>
      </c>
      <c r="B18877" s="4" t="s">
        <v>5</v>
      </c>
    </row>
    <row r="18878" spans="1:13">
      <c r="A18878" t="n">
        <v>183021</v>
      </c>
      <c r="B18878" s="27" t="n">
        <v>28</v>
      </c>
    </row>
    <row r="18879" spans="1:13">
      <c r="A18879" t="s">
        <v>4</v>
      </c>
      <c r="B18879" s="4" t="s">
        <v>5</v>
      </c>
      <c r="C18879" s="4" t="s">
        <v>7</v>
      </c>
      <c r="D18879" s="4" t="s">
        <v>11</v>
      </c>
      <c r="E18879" s="4" t="s">
        <v>8</v>
      </c>
    </row>
    <row r="18880" spans="1:13">
      <c r="A18880" t="n">
        <v>183022</v>
      </c>
      <c r="B18880" s="38" t="n">
        <v>51</v>
      </c>
      <c r="C18880" s="7" t="n">
        <v>4</v>
      </c>
      <c r="D18880" s="7" t="n">
        <v>0</v>
      </c>
      <c r="E18880" s="7" t="s">
        <v>242</v>
      </c>
    </row>
    <row r="18881" spans="1:13">
      <c r="A18881" t="s">
        <v>4</v>
      </c>
      <c r="B18881" s="4" t="s">
        <v>5</v>
      </c>
      <c r="C18881" s="4" t="s">
        <v>11</v>
      </c>
    </row>
    <row r="18882" spans="1:13">
      <c r="A18882" t="n">
        <v>183036</v>
      </c>
      <c r="B18882" s="29" t="n">
        <v>16</v>
      </c>
      <c r="C18882" s="7" t="n">
        <v>0</v>
      </c>
    </row>
    <row r="18883" spans="1:13">
      <c r="A18883" t="s">
        <v>4</v>
      </c>
      <c r="B18883" s="4" t="s">
        <v>5</v>
      </c>
      <c r="C18883" s="4" t="s">
        <v>11</v>
      </c>
      <c r="D18883" s="4" t="s">
        <v>7</v>
      </c>
      <c r="E18883" s="4" t="s">
        <v>15</v>
      </c>
      <c r="F18883" s="4" t="s">
        <v>55</v>
      </c>
      <c r="G18883" s="4" t="s">
        <v>7</v>
      </c>
      <c r="H18883" s="4" t="s">
        <v>7</v>
      </c>
      <c r="I18883" s="4" t="s">
        <v>7</v>
      </c>
      <c r="J18883" s="4" t="s">
        <v>15</v>
      </c>
      <c r="K18883" s="4" t="s">
        <v>55</v>
      </c>
      <c r="L18883" s="4" t="s">
        <v>7</v>
      </c>
      <c r="M18883" s="4" t="s">
        <v>7</v>
      </c>
      <c r="N18883" s="4" t="s">
        <v>7</v>
      </c>
      <c r="O18883" s="4" t="s">
        <v>15</v>
      </c>
      <c r="P18883" s="4" t="s">
        <v>55</v>
      </c>
      <c r="Q18883" s="4" t="s">
        <v>7</v>
      </c>
      <c r="R18883" s="4" t="s">
        <v>7</v>
      </c>
    </row>
    <row r="18884" spans="1:13">
      <c r="A18884" t="n">
        <v>183039</v>
      </c>
      <c r="B18884" s="55" t="n">
        <v>26</v>
      </c>
      <c r="C18884" s="7" t="n">
        <v>0</v>
      </c>
      <c r="D18884" s="7" t="n">
        <v>17</v>
      </c>
      <c r="E18884" s="7" t="n">
        <v>64576</v>
      </c>
      <c r="F18884" s="7" t="s">
        <v>1557</v>
      </c>
      <c r="G18884" s="7" t="n">
        <v>2</v>
      </c>
      <c r="H18884" s="7" t="n">
        <v>3</v>
      </c>
      <c r="I18884" s="7" t="n">
        <v>17</v>
      </c>
      <c r="J18884" s="7" t="n">
        <v>64577</v>
      </c>
      <c r="K18884" s="7" t="s">
        <v>1558</v>
      </c>
      <c r="L18884" s="7" t="n">
        <v>2</v>
      </c>
      <c r="M18884" s="7" t="n">
        <v>3</v>
      </c>
      <c r="N18884" s="7" t="n">
        <v>17</v>
      </c>
      <c r="O18884" s="7" t="n">
        <v>64578</v>
      </c>
      <c r="P18884" s="7" t="s">
        <v>1559</v>
      </c>
      <c r="Q18884" s="7" t="n">
        <v>2</v>
      </c>
      <c r="R18884" s="7" t="n">
        <v>0</v>
      </c>
    </row>
    <row r="18885" spans="1:13">
      <c r="A18885" t="s">
        <v>4</v>
      </c>
      <c r="B18885" s="4" t="s">
        <v>5</v>
      </c>
    </row>
    <row r="18886" spans="1:13">
      <c r="A18886" t="n">
        <v>183341</v>
      </c>
      <c r="B18886" s="27" t="n">
        <v>28</v>
      </c>
    </row>
    <row r="18887" spans="1:13">
      <c r="A18887" t="s">
        <v>4</v>
      </c>
      <c r="B18887" s="4" t="s">
        <v>5</v>
      </c>
      <c r="C18887" s="4" t="s">
        <v>7</v>
      </c>
      <c r="D18887" s="4" t="s">
        <v>11</v>
      </c>
      <c r="E18887" s="4" t="s">
        <v>11</v>
      </c>
      <c r="F18887" s="4" t="s">
        <v>7</v>
      </c>
    </row>
    <row r="18888" spans="1:13">
      <c r="A18888" t="n">
        <v>183342</v>
      </c>
      <c r="B18888" s="31" t="n">
        <v>25</v>
      </c>
      <c r="C18888" s="7" t="n">
        <v>1</v>
      </c>
      <c r="D18888" s="7" t="n">
        <v>65535</v>
      </c>
      <c r="E18888" s="7" t="n">
        <v>65535</v>
      </c>
      <c r="F18888" s="7" t="n">
        <v>0</v>
      </c>
    </row>
    <row r="18889" spans="1:13">
      <c r="A18889" t="s">
        <v>4</v>
      </c>
      <c r="B18889" s="4" t="s">
        <v>5</v>
      </c>
      <c r="C18889" s="4" t="s">
        <v>11</v>
      </c>
      <c r="D18889" s="4" t="s">
        <v>13</v>
      </c>
      <c r="E18889" s="4" t="s">
        <v>13</v>
      </c>
      <c r="F18889" s="4" t="s">
        <v>13</v>
      </c>
      <c r="G18889" s="4" t="s">
        <v>11</v>
      </c>
      <c r="H18889" s="4" t="s">
        <v>11</v>
      </c>
    </row>
    <row r="18890" spans="1:13">
      <c r="A18890" t="n">
        <v>183349</v>
      </c>
      <c r="B18890" s="37" t="n">
        <v>60</v>
      </c>
      <c r="C18890" s="7" t="n">
        <v>3</v>
      </c>
      <c r="D18890" s="7" t="n">
        <v>0</v>
      </c>
      <c r="E18890" s="7" t="n">
        <v>-10</v>
      </c>
      <c r="F18890" s="7" t="n">
        <v>0</v>
      </c>
      <c r="G18890" s="7" t="n">
        <v>1000</v>
      </c>
      <c r="H18890" s="7" t="n">
        <v>0</v>
      </c>
    </row>
    <row r="18891" spans="1:13">
      <c r="A18891" t="s">
        <v>4</v>
      </c>
      <c r="B18891" s="4" t="s">
        <v>5</v>
      </c>
      <c r="C18891" s="4" t="s">
        <v>7</v>
      </c>
      <c r="D18891" s="4" t="s">
        <v>11</v>
      </c>
      <c r="E18891" s="4" t="s">
        <v>8</v>
      </c>
    </row>
    <row r="18892" spans="1:13">
      <c r="A18892" t="n">
        <v>183368</v>
      </c>
      <c r="B18892" s="38" t="n">
        <v>51</v>
      </c>
      <c r="C18892" s="7" t="n">
        <v>4</v>
      </c>
      <c r="D18892" s="7" t="n">
        <v>3</v>
      </c>
      <c r="E18892" s="7" t="s">
        <v>242</v>
      </c>
    </row>
    <row r="18893" spans="1:13">
      <c r="A18893" t="s">
        <v>4</v>
      </c>
      <c r="B18893" s="4" t="s">
        <v>5</v>
      </c>
      <c r="C18893" s="4" t="s">
        <v>11</v>
      </c>
    </row>
    <row r="18894" spans="1:13">
      <c r="A18894" t="n">
        <v>183382</v>
      </c>
      <c r="B18894" s="29" t="n">
        <v>16</v>
      </c>
      <c r="C18894" s="7" t="n">
        <v>500</v>
      </c>
    </row>
    <row r="18895" spans="1:13">
      <c r="A18895" t="s">
        <v>4</v>
      </c>
      <c r="B18895" s="4" t="s">
        <v>5</v>
      </c>
      <c r="C18895" s="4" t="s">
        <v>11</v>
      </c>
      <c r="D18895" s="4" t="s">
        <v>7</v>
      </c>
      <c r="E18895" s="4" t="s">
        <v>15</v>
      </c>
      <c r="F18895" s="4" t="s">
        <v>55</v>
      </c>
      <c r="G18895" s="4" t="s">
        <v>7</v>
      </c>
      <c r="H18895" s="4" t="s">
        <v>7</v>
      </c>
      <c r="I18895" s="4" t="s">
        <v>7</v>
      </c>
      <c r="J18895" s="4" t="s">
        <v>15</v>
      </c>
      <c r="K18895" s="4" t="s">
        <v>55</v>
      </c>
      <c r="L18895" s="4" t="s">
        <v>7</v>
      </c>
      <c r="M18895" s="4" t="s">
        <v>7</v>
      </c>
      <c r="N18895" s="4" t="s">
        <v>7</v>
      </c>
      <c r="O18895" s="4" t="s">
        <v>15</v>
      </c>
      <c r="P18895" s="4" t="s">
        <v>55</v>
      </c>
      <c r="Q18895" s="4" t="s">
        <v>7</v>
      </c>
      <c r="R18895" s="4" t="s">
        <v>7</v>
      </c>
    </row>
    <row r="18896" spans="1:13">
      <c r="A18896" t="n">
        <v>183385</v>
      </c>
      <c r="B18896" s="55" t="n">
        <v>26</v>
      </c>
      <c r="C18896" s="7" t="n">
        <v>3</v>
      </c>
      <c r="D18896" s="7" t="n">
        <v>17</v>
      </c>
      <c r="E18896" s="7" t="n">
        <v>64579</v>
      </c>
      <c r="F18896" s="7" t="s">
        <v>1560</v>
      </c>
      <c r="G18896" s="7" t="n">
        <v>2</v>
      </c>
      <c r="H18896" s="7" t="n">
        <v>3</v>
      </c>
      <c r="I18896" s="7" t="n">
        <v>17</v>
      </c>
      <c r="J18896" s="7" t="n">
        <v>64580</v>
      </c>
      <c r="K18896" s="7" t="s">
        <v>1561</v>
      </c>
      <c r="L18896" s="7" t="n">
        <v>2</v>
      </c>
      <c r="M18896" s="7" t="n">
        <v>3</v>
      </c>
      <c r="N18896" s="7" t="n">
        <v>17</v>
      </c>
      <c r="O18896" s="7" t="n">
        <v>64581</v>
      </c>
      <c r="P18896" s="7" t="s">
        <v>1562</v>
      </c>
      <c r="Q18896" s="7" t="n">
        <v>2</v>
      </c>
      <c r="R18896" s="7" t="n">
        <v>0</v>
      </c>
    </row>
    <row r="18897" spans="1:18">
      <c r="A18897" t="s">
        <v>4</v>
      </c>
      <c r="B18897" s="4" t="s">
        <v>5</v>
      </c>
    </row>
    <row r="18898" spans="1:18">
      <c r="A18898" t="n">
        <v>183598</v>
      </c>
      <c r="B18898" s="27" t="n">
        <v>28</v>
      </c>
    </row>
    <row r="18899" spans="1:18">
      <c r="A18899" t="s">
        <v>4</v>
      </c>
      <c r="B18899" s="4" t="s">
        <v>5</v>
      </c>
      <c r="C18899" s="4" t="s">
        <v>11</v>
      </c>
      <c r="D18899" s="4" t="s">
        <v>13</v>
      </c>
      <c r="E18899" s="4" t="s">
        <v>13</v>
      </c>
      <c r="F18899" s="4" t="s">
        <v>13</v>
      </c>
      <c r="G18899" s="4" t="s">
        <v>11</v>
      </c>
      <c r="H18899" s="4" t="s">
        <v>11</v>
      </c>
    </row>
    <row r="18900" spans="1:18">
      <c r="A18900" t="n">
        <v>183599</v>
      </c>
      <c r="B18900" s="37" t="n">
        <v>60</v>
      </c>
      <c r="C18900" s="7" t="n">
        <v>3</v>
      </c>
      <c r="D18900" s="7" t="n">
        <v>0</v>
      </c>
      <c r="E18900" s="7" t="n">
        <v>0</v>
      </c>
      <c r="F18900" s="7" t="n">
        <v>0</v>
      </c>
      <c r="G18900" s="7" t="n">
        <v>800</v>
      </c>
      <c r="H18900" s="7" t="n">
        <v>0</v>
      </c>
    </row>
    <row r="18901" spans="1:18">
      <c r="A18901" t="s">
        <v>4</v>
      </c>
      <c r="B18901" s="4" t="s">
        <v>5</v>
      </c>
      <c r="C18901" s="4" t="s">
        <v>7</v>
      </c>
      <c r="D18901" s="4" t="s">
        <v>11</v>
      </c>
      <c r="E18901" s="4" t="s">
        <v>8</v>
      </c>
    </row>
    <row r="18902" spans="1:18">
      <c r="A18902" t="n">
        <v>183618</v>
      </c>
      <c r="B18902" s="38" t="n">
        <v>51</v>
      </c>
      <c r="C18902" s="7" t="n">
        <v>4</v>
      </c>
      <c r="D18902" s="7" t="n">
        <v>3</v>
      </c>
      <c r="E18902" s="7" t="s">
        <v>233</v>
      </c>
    </row>
    <row r="18903" spans="1:18">
      <c r="A18903" t="s">
        <v>4</v>
      </c>
      <c r="B18903" s="4" t="s">
        <v>5</v>
      </c>
      <c r="C18903" s="4" t="s">
        <v>11</v>
      </c>
    </row>
    <row r="18904" spans="1:18">
      <c r="A18904" t="n">
        <v>183631</v>
      </c>
      <c r="B18904" s="29" t="n">
        <v>16</v>
      </c>
      <c r="C18904" s="7" t="n">
        <v>500</v>
      </c>
    </row>
    <row r="18905" spans="1:18">
      <c r="A18905" t="s">
        <v>4</v>
      </c>
      <c r="B18905" s="4" t="s">
        <v>5</v>
      </c>
      <c r="C18905" s="4" t="s">
        <v>11</v>
      </c>
      <c r="D18905" s="4" t="s">
        <v>7</v>
      </c>
      <c r="E18905" s="4" t="s">
        <v>15</v>
      </c>
      <c r="F18905" s="4" t="s">
        <v>55</v>
      </c>
      <c r="G18905" s="4" t="s">
        <v>7</v>
      </c>
      <c r="H18905" s="4" t="s">
        <v>7</v>
      </c>
    </row>
    <row r="18906" spans="1:18">
      <c r="A18906" t="n">
        <v>183634</v>
      </c>
      <c r="B18906" s="55" t="n">
        <v>26</v>
      </c>
      <c r="C18906" s="7" t="n">
        <v>3</v>
      </c>
      <c r="D18906" s="7" t="n">
        <v>17</v>
      </c>
      <c r="E18906" s="7" t="n">
        <v>64582</v>
      </c>
      <c r="F18906" s="7" t="s">
        <v>1563</v>
      </c>
      <c r="G18906" s="7" t="n">
        <v>2</v>
      </c>
      <c r="H18906" s="7" t="n">
        <v>0</v>
      </c>
    </row>
    <row r="18907" spans="1:18">
      <c r="A18907" t="s">
        <v>4</v>
      </c>
      <c r="B18907" s="4" t="s">
        <v>5</v>
      </c>
    </row>
    <row r="18908" spans="1:18">
      <c r="A18908" t="n">
        <v>183725</v>
      </c>
      <c r="B18908" s="27" t="n">
        <v>28</v>
      </c>
    </row>
    <row r="18909" spans="1:18">
      <c r="A18909" t="s">
        <v>4</v>
      </c>
      <c r="B18909" s="4" t="s">
        <v>5</v>
      </c>
      <c r="C18909" s="4" t="s">
        <v>11</v>
      </c>
      <c r="D18909" s="4" t="s">
        <v>7</v>
      </c>
    </row>
    <row r="18910" spans="1:18">
      <c r="A18910" t="n">
        <v>183726</v>
      </c>
      <c r="B18910" s="68" t="n">
        <v>89</v>
      </c>
      <c r="C18910" s="7" t="n">
        <v>65533</v>
      </c>
      <c r="D18910" s="7" t="n">
        <v>1</v>
      </c>
    </row>
    <row r="18911" spans="1:18">
      <c r="A18911" t="s">
        <v>4</v>
      </c>
      <c r="B18911" s="4" t="s">
        <v>5</v>
      </c>
      <c r="C18911" s="4" t="s">
        <v>7</v>
      </c>
      <c r="D18911" s="4" t="s">
        <v>11</v>
      </c>
      <c r="E18911" s="4" t="s">
        <v>8</v>
      </c>
      <c r="F18911" s="4" t="s">
        <v>8</v>
      </c>
      <c r="G18911" s="4" t="s">
        <v>8</v>
      </c>
      <c r="H18911" s="4" t="s">
        <v>8</v>
      </c>
    </row>
    <row r="18912" spans="1:18">
      <c r="A18912" t="n">
        <v>183730</v>
      </c>
      <c r="B18912" s="38" t="n">
        <v>51</v>
      </c>
      <c r="C18912" s="7" t="n">
        <v>3</v>
      </c>
      <c r="D18912" s="7" t="n">
        <v>3</v>
      </c>
      <c r="E18912" s="7" t="s">
        <v>86</v>
      </c>
      <c r="F18912" s="7" t="s">
        <v>232</v>
      </c>
      <c r="G18912" s="7" t="s">
        <v>78</v>
      </c>
      <c r="H18912" s="7" t="s">
        <v>79</v>
      </c>
    </row>
    <row r="18913" spans="1:8">
      <c r="A18913" t="s">
        <v>4</v>
      </c>
      <c r="B18913" s="4" t="s">
        <v>5</v>
      </c>
      <c r="C18913" s="4" t="s">
        <v>11</v>
      </c>
      <c r="D18913" s="4" t="s">
        <v>11</v>
      </c>
      <c r="E18913" s="4" t="s">
        <v>13</v>
      </c>
      <c r="F18913" s="4" t="s">
        <v>13</v>
      </c>
      <c r="G18913" s="4" t="s">
        <v>13</v>
      </c>
      <c r="H18913" s="4" t="s">
        <v>13</v>
      </c>
      <c r="I18913" s="4" t="s">
        <v>7</v>
      </c>
      <c r="J18913" s="4" t="s">
        <v>11</v>
      </c>
    </row>
    <row r="18914" spans="1:8">
      <c r="A18914" t="n">
        <v>183743</v>
      </c>
      <c r="B18914" s="53" t="n">
        <v>55</v>
      </c>
      <c r="C18914" s="7" t="n">
        <v>3</v>
      </c>
      <c r="D18914" s="7" t="n">
        <v>65533</v>
      </c>
      <c r="E18914" s="7" t="n">
        <v>0.0700000002980232</v>
      </c>
      <c r="F18914" s="7" t="n">
        <v>10.0100002288818</v>
      </c>
      <c r="G18914" s="7" t="n">
        <v>57.9199981689453</v>
      </c>
      <c r="H18914" s="7" t="n">
        <v>0.600000023841858</v>
      </c>
      <c r="I18914" s="7" t="n">
        <v>1</v>
      </c>
      <c r="J18914" s="7" t="n">
        <v>0</v>
      </c>
    </row>
    <row r="18915" spans="1:8">
      <c r="A18915" t="s">
        <v>4</v>
      </c>
      <c r="B18915" s="4" t="s">
        <v>5</v>
      </c>
      <c r="C18915" s="4" t="s">
        <v>11</v>
      </c>
    </row>
    <row r="18916" spans="1:8">
      <c r="A18916" t="n">
        <v>183767</v>
      </c>
      <c r="B18916" s="29" t="n">
        <v>16</v>
      </c>
      <c r="C18916" s="7" t="n">
        <v>300</v>
      </c>
    </row>
    <row r="18917" spans="1:8">
      <c r="A18917" t="s">
        <v>4</v>
      </c>
      <c r="B18917" s="4" t="s">
        <v>5</v>
      </c>
      <c r="C18917" s="4" t="s">
        <v>11</v>
      </c>
    </row>
    <row r="18918" spans="1:8">
      <c r="A18918" t="n">
        <v>183770</v>
      </c>
      <c r="B18918" s="29" t="n">
        <v>16</v>
      </c>
      <c r="C18918" s="7" t="n">
        <v>500</v>
      </c>
    </row>
    <row r="18919" spans="1:8">
      <c r="A18919" t="s">
        <v>4</v>
      </c>
      <c r="B18919" s="4" t="s">
        <v>5</v>
      </c>
      <c r="C18919" s="4" t="s">
        <v>7</v>
      </c>
      <c r="D18919" s="4" t="s">
        <v>11</v>
      </c>
      <c r="E18919" s="4" t="s">
        <v>13</v>
      </c>
    </row>
    <row r="18920" spans="1:8">
      <c r="A18920" t="n">
        <v>183773</v>
      </c>
      <c r="B18920" s="23" t="n">
        <v>58</v>
      </c>
      <c r="C18920" s="7" t="n">
        <v>101</v>
      </c>
      <c r="D18920" s="7" t="n">
        <v>500</v>
      </c>
      <c r="E18920" s="7" t="n">
        <v>1</v>
      </c>
    </row>
    <row r="18921" spans="1:8">
      <c r="A18921" t="s">
        <v>4</v>
      </c>
      <c r="B18921" s="4" t="s">
        <v>5</v>
      </c>
      <c r="C18921" s="4" t="s">
        <v>7</v>
      </c>
      <c r="D18921" s="4" t="s">
        <v>11</v>
      </c>
    </row>
    <row r="18922" spans="1:8">
      <c r="A18922" t="n">
        <v>183781</v>
      </c>
      <c r="B18922" s="23" t="n">
        <v>58</v>
      </c>
      <c r="C18922" s="7" t="n">
        <v>254</v>
      </c>
      <c r="D18922" s="7" t="n">
        <v>0</v>
      </c>
    </row>
    <row r="18923" spans="1:8">
      <c r="A18923" t="s">
        <v>4</v>
      </c>
      <c r="B18923" s="4" t="s">
        <v>5</v>
      </c>
      <c r="C18923" s="4" t="s">
        <v>11</v>
      </c>
      <c r="D18923" s="4" t="s">
        <v>7</v>
      </c>
    </row>
    <row r="18924" spans="1:8">
      <c r="A18924" t="n">
        <v>183785</v>
      </c>
      <c r="B18924" s="54" t="n">
        <v>56</v>
      </c>
      <c r="C18924" s="7" t="n">
        <v>3</v>
      </c>
      <c r="D18924" s="7" t="n">
        <v>1</v>
      </c>
    </row>
    <row r="18925" spans="1:8">
      <c r="A18925" t="s">
        <v>4</v>
      </c>
      <c r="B18925" s="4" t="s">
        <v>5</v>
      </c>
      <c r="C18925" s="4" t="s">
        <v>11</v>
      </c>
    </row>
    <row r="18926" spans="1:8">
      <c r="A18926" t="n">
        <v>183789</v>
      </c>
      <c r="B18926" s="29" t="n">
        <v>16</v>
      </c>
      <c r="C18926" s="7" t="n">
        <v>0</v>
      </c>
    </row>
    <row r="18927" spans="1:8">
      <c r="A18927" t="s">
        <v>4</v>
      </c>
      <c r="B18927" s="4" t="s">
        <v>5</v>
      </c>
      <c r="C18927" s="4" t="s">
        <v>11</v>
      </c>
      <c r="D18927" s="4" t="s">
        <v>13</v>
      </c>
      <c r="E18927" s="4" t="s">
        <v>13</v>
      </c>
      <c r="F18927" s="4" t="s">
        <v>13</v>
      </c>
      <c r="G18927" s="4" t="s">
        <v>13</v>
      </c>
    </row>
    <row r="18928" spans="1:8">
      <c r="A18928" t="n">
        <v>183792</v>
      </c>
      <c r="B18928" s="36" t="n">
        <v>46</v>
      </c>
      <c r="C18928" s="7" t="n">
        <v>3</v>
      </c>
      <c r="D18928" s="7" t="n">
        <v>0.0700000002980232</v>
      </c>
      <c r="E18928" s="7" t="n">
        <v>10.0100002288818</v>
      </c>
      <c r="F18928" s="7" t="n">
        <v>57.9199981689453</v>
      </c>
      <c r="G18928" s="7" t="n">
        <v>238.5</v>
      </c>
    </row>
    <row r="18929" spans="1:10">
      <c r="A18929" t="s">
        <v>4</v>
      </c>
      <c r="B18929" s="4" t="s">
        <v>5</v>
      </c>
      <c r="C18929" s="4" t="s">
        <v>11</v>
      </c>
      <c r="D18929" s="4" t="s">
        <v>11</v>
      </c>
      <c r="E18929" s="4" t="s">
        <v>11</v>
      </c>
    </row>
    <row r="18930" spans="1:10">
      <c r="A18930" t="n">
        <v>183811</v>
      </c>
      <c r="B18930" s="72" t="n">
        <v>61</v>
      </c>
      <c r="C18930" s="7" t="n">
        <v>3</v>
      </c>
      <c r="D18930" s="7" t="n">
        <v>65533</v>
      </c>
      <c r="E18930" s="7" t="n">
        <v>0</v>
      </c>
    </row>
    <row r="18931" spans="1:10">
      <c r="A18931" t="s">
        <v>4</v>
      </c>
      <c r="B18931" s="4" t="s">
        <v>5</v>
      </c>
      <c r="C18931" s="4" t="s">
        <v>11</v>
      </c>
      <c r="D18931" s="4" t="s">
        <v>11</v>
      </c>
      <c r="E18931" s="4" t="s">
        <v>11</v>
      </c>
    </row>
    <row r="18932" spans="1:10">
      <c r="A18932" t="n">
        <v>183818</v>
      </c>
      <c r="B18932" s="72" t="n">
        <v>61</v>
      </c>
      <c r="C18932" s="7" t="n">
        <v>0</v>
      </c>
      <c r="D18932" s="7" t="n">
        <v>65533</v>
      </c>
      <c r="E18932" s="7" t="n">
        <v>0</v>
      </c>
    </row>
    <row r="18933" spans="1:10">
      <c r="A18933" t="s">
        <v>4</v>
      </c>
      <c r="B18933" s="4" t="s">
        <v>5</v>
      </c>
      <c r="C18933" s="4" t="s">
        <v>7</v>
      </c>
      <c r="D18933" s="4" t="s">
        <v>7</v>
      </c>
      <c r="E18933" s="4" t="s">
        <v>13</v>
      </c>
      <c r="F18933" s="4" t="s">
        <v>13</v>
      </c>
      <c r="G18933" s="4" t="s">
        <v>13</v>
      </c>
      <c r="H18933" s="4" t="s">
        <v>11</v>
      </c>
    </row>
    <row r="18934" spans="1:10">
      <c r="A18934" t="n">
        <v>183825</v>
      </c>
      <c r="B18934" s="51" t="n">
        <v>45</v>
      </c>
      <c r="C18934" s="7" t="n">
        <v>2</v>
      </c>
      <c r="D18934" s="7" t="n">
        <v>3</v>
      </c>
      <c r="E18934" s="7" t="n">
        <v>0.0199999995529652</v>
      </c>
      <c r="F18934" s="7" t="n">
        <v>11.4499998092651</v>
      </c>
      <c r="G18934" s="7" t="n">
        <v>57.7900009155273</v>
      </c>
      <c r="H18934" s="7" t="n">
        <v>0</v>
      </c>
    </row>
    <row r="18935" spans="1:10">
      <c r="A18935" t="s">
        <v>4</v>
      </c>
      <c r="B18935" s="4" t="s">
        <v>5</v>
      </c>
      <c r="C18935" s="4" t="s">
        <v>7</v>
      </c>
      <c r="D18935" s="4" t="s">
        <v>7</v>
      </c>
      <c r="E18935" s="4" t="s">
        <v>13</v>
      </c>
      <c r="F18935" s="4" t="s">
        <v>13</v>
      </c>
      <c r="G18935" s="4" t="s">
        <v>13</v>
      </c>
      <c r="H18935" s="4" t="s">
        <v>11</v>
      </c>
      <c r="I18935" s="4" t="s">
        <v>7</v>
      </c>
    </row>
    <row r="18936" spans="1:10">
      <c r="A18936" t="n">
        <v>183842</v>
      </c>
      <c r="B18936" s="51" t="n">
        <v>45</v>
      </c>
      <c r="C18936" s="7" t="n">
        <v>4</v>
      </c>
      <c r="D18936" s="7" t="n">
        <v>3</v>
      </c>
      <c r="E18936" s="7" t="n">
        <v>18.9200000762939</v>
      </c>
      <c r="F18936" s="7" t="n">
        <v>185.220001220703</v>
      </c>
      <c r="G18936" s="7" t="n">
        <v>6</v>
      </c>
      <c r="H18936" s="7" t="n">
        <v>0</v>
      </c>
      <c r="I18936" s="7" t="n">
        <v>0</v>
      </c>
    </row>
    <row r="18937" spans="1:10">
      <c r="A18937" t="s">
        <v>4</v>
      </c>
      <c r="B18937" s="4" t="s">
        <v>5</v>
      </c>
      <c r="C18937" s="4" t="s">
        <v>7</v>
      </c>
      <c r="D18937" s="4" t="s">
        <v>7</v>
      </c>
      <c r="E18937" s="4" t="s">
        <v>13</v>
      </c>
      <c r="F18937" s="4" t="s">
        <v>11</v>
      </c>
    </row>
    <row r="18938" spans="1:10">
      <c r="A18938" t="n">
        <v>183860</v>
      </c>
      <c r="B18938" s="51" t="n">
        <v>45</v>
      </c>
      <c r="C18938" s="7" t="n">
        <v>5</v>
      </c>
      <c r="D18938" s="7" t="n">
        <v>3</v>
      </c>
      <c r="E18938" s="7" t="n">
        <v>1.10000002384186</v>
      </c>
      <c r="F18938" s="7" t="n">
        <v>0</v>
      </c>
    </row>
    <row r="18939" spans="1:10">
      <c r="A18939" t="s">
        <v>4</v>
      </c>
      <c r="B18939" s="4" t="s">
        <v>5</v>
      </c>
      <c r="C18939" s="4" t="s">
        <v>7</v>
      </c>
      <c r="D18939" s="4" t="s">
        <v>7</v>
      </c>
      <c r="E18939" s="4" t="s">
        <v>13</v>
      </c>
      <c r="F18939" s="4" t="s">
        <v>11</v>
      </c>
    </row>
    <row r="18940" spans="1:10">
      <c r="A18940" t="n">
        <v>183869</v>
      </c>
      <c r="B18940" s="51" t="n">
        <v>45</v>
      </c>
      <c r="C18940" s="7" t="n">
        <v>11</v>
      </c>
      <c r="D18940" s="7" t="n">
        <v>3</v>
      </c>
      <c r="E18940" s="7" t="n">
        <v>32.7999992370605</v>
      </c>
      <c r="F18940" s="7" t="n">
        <v>0</v>
      </c>
    </row>
    <row r="18941" spans="1:10">
      <c r="A18941" t="s">
        <v>4</v>
      </c>
      <c r="B18941" s="4" t="s">
        <v>5</v>
      </c>
      <c r="C18941" s="4" t="s">
        <v>7</v>
      </c>
      <c r="D18941" s="4" t="s">
        <v>7</v>
      </c>
      <c r="E18941" s="4" t="s">
        <v>13</v>
      </c>
      <c r="F18941" s="4" t="s">
        <v>13</v>
      </c>
      <c r="G18941" s="4" t="s">
        <v>13</v>
      </c>
      <c r="H18941" s="4" t="s">
        <v>11</v>
      </c>
    </row>
    <row r="18942" spans="1:10">
      <c r="A18942" t="n">
        <v>183878</v>
      </c>
      <c r="B18942" s="51" t="n">
        <v>45</v>
      </c>
      <c r="C18942" s="7" t="n">
        <v>2</v>
      </c>
      <c r="D18942" s="7" t="n">
        <v>3</v>
      </c>
      <c r="E18942" s="7" t="n">
        <v>-0.150000005960464</v>
      </c>
      <c r="F18942" s="7" t="n">
        <v>11.4499998092651</v>
      </c>
      <c r="G18942" s="7" t="n">
        <v>57.75</v>
      </c>
      <c r="H18942" s="7" t="n">
        <v>2500</v>
      </c>
    </row>
    <row r="18943" spans="1:10">
      <c r="A18943" t="s">
        <v>4</v>
      </c>
      <c r="B18943" s="4" t="s">
        <v>5</v>
      </c>
      <c r="C18943" s="4" t="s">
        <v>7</v>
      </c>
      <c r="D18943" s="4" t="s">
        <v>11</v>
      </c>
      <c r="E18943" s="4" t="s">
        <v>8</v>
      </c>
      <c r="F18943" s="4" t="s">
        <v>8</v>
      </c>
      <c r="G18943" s="4" t="s">
        <v>8</v>
      </c>
      <c r="H18943" s="4" t="s">
        <v>8</v>
      </c>
    </row>
    <row r="18944" spans="1:10">
      <c r="A18944" t="n">
        <v>183895</v>
      </c>
      <c r="B18944" s="38" t="n">
        <v>51</v>
      </c>
      <c r="C18944" s="7" t="n">
        <v>3</v>
      </c>
      <c r="D18944" s="7" t="n">
        <v>3</v>
      </c>
      <c r="E18944" s="7" t="s">
        <v>319</v>
      </c>
      <c r="F18944" s="7" t="s">
        <v>232</v>
      </c>
      <c r="G18944" s="7" t="s">
        <v>67</v>
      </c>
      <c r="H18944" s="7" t="s">
        <v>68</v>
      </c>
    </row>
    <row r="18945" spans="1:9">
      <c r="A18945" t="s">
        <v>4</v>
      </c>
      <c r="B18945" s="4" t="s">
        <v>5</v>
      </c>
      <c r="C18945" s="4" t="s">
        <v>11</v>
      </c>
      <c r="D18945" s="4" t="s">
        <v>7</v>
      </c>
      <c r="E18945" s="4" t="s">
        <v>8</v>
      </c>
      <c r="F18945" s="4" t="s">
        <v>13</v>
      </c>
      <c r="G18945" s="4" t="s">
        <v>13</v>
      </c>
      <c r="H18945" s="4" t="s">
        <v>13</v>
      </c>
    </row>
    <row r="18946" spans="1:9">
      <c r="A18946" t="n">
        <v>183907</v>
      </c>
      <c r="B18946" s="42" t="n">
        <v>48</v>
      </c>
      <c r="C18946" s="7" t="n">
        <v>0</v>
      </c>
      <c r="D18946" s="7" t="n">
        <v>0</v>
      </c>
      <c r="E18946" s="7" t="s">
        <v>389</v>
      </c>
      <c r="F18946" s="7" t="n">
        <v>0</v>
      </c>
      <c r="G18946" s="7" t="n">
        <v>1</v>
      </c>
      <c r="H18946" s="7" t="n">
        <v>0</v>
      </c>
    </row>
    <row r="18947" spans="1:9">
      <c r="A18947" t="s">
        <v>4</v>
      </c>
      <c r="B18947" s="4" t="s">
        <v>5</v>
      </c>
      <c r="C18947" s="4" t="s">
        <v>11</v>
      </c>
      <c r="D18947" s="4" t="s">
        <v>7</v>
      </c>
      <c r="E18947" s="4" t="s">
        <v>8</v>
      </c>
      <c r="F18947" s="4" t="s">
        <v>13</v>
      </c>
      <c r="G18947" s="4" t="s">
        <v>13</v>
      </c>
      <c r="H18947" s="4" t="s">
        <v>13</v>
      </c>
    </row>
    <row r="18948" spans="1:9">
      <c r="A18948" t="n">
        <v>183933</v>
      </c>
      <c r="B18948" s="42" t="n">
        <v>48</v>
      </c>
      <c r="C18948" s="7" t="n">
        <v>3</v>
      </c>
      <c r="D18948" s="7" t="n">
        <v>0</v>
      </c>
      <c r="E18948" s="7" t="s">
        <v>389</v>
      </c>
      <c r="F18948" s="7" t="n">
        <v>0</v>
      </c>
      <c r="G18948" s="7" t="n">
        <v>1</v>
      </c>
      <c r="H18948" s="7" t="n">
        <v>0</v>
      </c>
    </row>
    <row r="18949" spans="1:9">
      <c r="A18949" t="s">
        <v>4</v>
      </c>
      <c r="B18949" s="4" t="s">
        <v>5</v>
      </c>
      <c r="C18949" s="4" t="s">
        <v>11</v>
      </c>
    </row>
    <row r="18950" spans="1:9">
      <c r="A18950" t="n">
        <v>183959</v>
      </c>
      <c r="B18950" s="29" t="n">
        <v>16</v>
      </c>
      <c r="C18950" s="7" t="n">
        <v>500</v>
      </c>
    </row>
    <row r="18951" spans="1:9">
      <c r="A18951" t="s">
        <v>4</v>
      </c>
      <c r="B18951" s="4" t="s">
        <v>5</v>
      </c>
      <c r="C18951" s="4" t="s">
        <v>7</v>
      </c>
      <c r="D18951" s="4" t="s">
        <v>11</v>
      </c>
      <c r="E18951" s="4" t="s">
        <v>13</v>
      </c>
      <c r="F18951" s="4" t="s">
        <v>11</v>
      </c>
      <c r="G18951" s="4" t="s">
        <v>15</v>
      </c>
      <c r="H18951" s="4" t="s">
        <v>15</v>
      </c>
      <c r="I18951" s="4" t="s">
        <v>11</v>
      </c>
      <c r="J18951" s="4" t="s">
        <v>11</v>
      </c>
      <c r="K18951" s="4" t="s">
        <v>15</v>
      </c>
      <c r="L18951" s="4" t="s">
        <v>15</v>
      </c>
      <c r="M18951" s="4" t="s">
        <v>15</v>
      </c>
      <c r="N18951" s="4" t="s">
        <v>15</v>
      </c>
      <c r="O18951" s="4" t="s">
        <v>8</v>
      </c>
    </row>
    <row r="18952" spans="1:9">
      <c r="A18952" t="n">
        <v>183962</v>
      </c>
      <c r="B18952" s="57" t="n">
        <v>50</v>
      </c>
      <c r="C18952" s="7" t="n">
        <v>0</v>
      </c>
      <c r="D18952" s="7" t="n">
        <v>2000</v>
      </c>
      <c r="E18952" s="7" t="n">
        <v>0.699999988079071</v>
      </c>
      <c r="F18952" s="7" t="n">
        <v>250</v>
      </c>
      <c r="G18952" s="7" t="n">
        <v>0</v>
      </c>
      <c r="H18952" s="7" t="n">
        <v>1073741824</v>
      </c>
      <c r="I18952" s="7" t="n">
        <v>0</v>
      </c>
      <c r="J18952" s="7" t="n">
        <v>65533</v>
      </c>
      <c r="K18952" s="7" t="n">
        <v>0</v>
      </c>
      <c r="L18952" s="7" t="n">
        <v>0</v>
      </c>
      <c r="M18952" s="7" t="n">
        <v>0</v>
      </c>
      <c r="N18952" s="7" t="n">
        <v>0</v>
      </c>
      <c r="O18952" s="7" t="s">
        <v>16</v>
      </c>
    </row>
    <row r="18953" spans="1:9">
      <c r="A18953" t="s">
        <v>4</v>
      </c>
      <c r="B18953" s="4" t="s">
        <v>5</v>
      </c>
      <c r="C18953" s="4" t="s">
        <v>7</v>
      </c>
      <c r="D18953" s="4" t="s">
        <v>11</v>
      </c>
    </row>
    <row r="18954" spans="1:9">
      <c r="A18954" t="n">
        <v>184001</v>
      </c>
      <c r="B18954" s="51" t="n">
        <v>45</v>
      </c>
      <c r="C18954" s="7" t="n">
        <v>7</v>
      </c>
      <c r="D18954" s="7" t="n">
        <v>255</v>
      </c>
    </row>
    <row r="18955" spans="1:9">
      <c r="A18955" t="s">
        <v>4</v>
      </c>
      <c r="B18955" s="4" t="s">
        <v>5</v>
      </c>
      <c r="C18955" s="4" t="s">
        <v>7</v>
      </c>
      <c r="D18955" s="4" t="s">
        <v>11</v>
      </c>
      <c r="E18955" s="4" t="s">
        <v>8</v>
      </c>
    </row>
    <row r="18956" spans="1:9">
      <c r="A18956" t="n">
        <v>184005</v>
      </c>
      <c r="B18956" s="38" t="n">
        <v>51</v>
      </c>
      <c r="C18956" s="7" t="n">
        <v>4</v>
      </c>
      <c r="D18956" s="7" t="n">
        <v>0</v>
      </c>
      <c r="E18956" s="7" t="s">
        <v>245</v>
      </c>
    </row>
    <row r="18957" spans="1:9">
      <c r="A18957" t="s">
        <v>4</v>
      </c>
      <c r="B18957" s="4" t="s">
        <v>5</v>
      </c>
      <c r="C18957" s="4" t="s">
        <v>11</v>
      </c>
    </row>
    <row r="18958" spans="1:9">
      <c r="A18958" t="n">
        <v>184019</v>
      </c>
      <c r="B18958" s="29" t="n">
        <v>16</v>
      </c>
      <c r="C18958" s="7" t="n">
        <v>0</v>
      </c>
    </row>
    <row r="18959" spans="1:9">
      <c r="A18959" t="s">
        <v>4</v>
      </c>
      <c r="B18959" s="4" t="s">
        <v>5</v>
      </c>
      <c r="C18959" s="4" t="s">
        <v>11</v>
      </c>
      <c r="D18959" s="4" t="s">
        <v>7</v>
      </c>
      <c r="E18959" s="4" t="s">
        <v>15</v>
      </c>
      <c r="F18959" s="4" t="s">
        <v>55</v>
      </c>
      <c r="G18959" s="4" t="s">
        <v>7</v>
      </c>
      <c r="H18959" s="4" t="s">
        <v>7</v>
      </c>
      <c r="I18959" s="4" t="s">
        <v>7</v>
      </c>
      <c r="J18959" s="4" t="s">
        <v>15</v>
      </c>
      <c r="K18959" s="4" t="s">
        <v>55</v>
      </c>
      <c r="L18959" s="4" t="s">
        <v>7</v>
      </c>
      <c r="M18959" s="4" t="s">
        <v>7</v>
      </c>
    </row>
    <row r="18960" spans="1:9">
      <c r="A18960" t="n">
        <v>184022</v>
      </c>
      <c r="B18960" s="55" t="n">
        <v>26</v>
      </c>
      <c r="C18960" s="7" t="n">
        <v>0</v>
      </c>
      <c r="D18960" s="7" t="n">
        <v>17</v>
      </c>
      <c r="E18960" s="7" t="n">
        <v>64583</v>
      </c>
      <c r="F18960" s="7" t="s">
        <v>1564</v>
      </c>
      <c r="G18960" s="7" t="n">
        <v>2</v>
      </c>
      <c r="H18960" s="7" t="n">
        <v>3</v>
      </c>
      <c r="I18960" s="7" t="n">
        <v>17</v>
      </c>
      <c r="J18960" s="7" t="n">
        <v>64268</v>
      </c>
      <c r="K18960" s="7" t="s">
        <v>1565</v>
      </c>
      <c r="L18960" s="7" t="n">
        <v>2</v>
      </c>
      <c r="M18960" s="7" t="n">
        <v>0</v>
      </c>
    </row>
    <row r="18961" spans="1:15">
      <c r="A18961" t="s">
        <v>4</v>
      </c>
      <c r="B18961" s="4" t="s">
        <v>5</v>
      </c>
    </row>
    <row r="18962" spans="1:15">
      <c r="A18962" t="n">
        <v>184080</v>
      </c>
      <c r="B18962" s="27" t="n">
        <v>28</v>
      </c>
    </row>
    <row r="18963" spans="1:15">
      <c r="A18963" t="s">
        <v>4</v>
      </c>
      <c r="B18963" s="4" t="s">
        <v>5</v>
      </c>
      <c r="C18963" s="4" t="s">
        <v>7</v>
      </c>
      <c r="D18963" s="4" t="s">
        <v>11</v>
      </c>
      <c r="E18963" s="4" t="s">
        <v>11</v>
      </c>
      <c r="F18963" s="4" t="s">
        <v>7</v>
      </c>
    </row>
    <row r="18964" spans="1:15">
      <c r="A18964" t="n">
        <v>184081</v>
      </c>
      <c r="B18964" s="31" t="n">
        <v>25</v>
      </c>
      <c r="C18964" s="7" t="n">
        <v>1</v>
      </c>
      <c r="D18964" s="7" t="n">
        <v>65535</v>
      </c>
      <c r="E18964" s="7" t="n">
        <v>65535</v>
      </c>
      <c r="F18964" s="7" t="n">
        <v>0</v>
      </c>
    </row>
    <row r="18965" spans="1:15">
      <c r="A18965" t="s">
        <v>4</v>
      </c>
      <c r="B18965" s="4" t="s">
        <v>5</v>
      </c>
      <c r="C18965" s="4" t="s">
        <v>11</v>
      </c>
      <c r="D18965" s="4" t="s">
        <v>7</v>
      </c>
      <c r="E18965" s="4" t="s">
        <v>8</v>
      </c>
      <c r="F18965" s="4" t="s">
        <v>13</v>
      </c>
      <c r="G18965" s="4" t="s">
        <v>13</v>
      </c>
      <c r="H18965" s="4" t="s">
        <v>13</v>
      </c>
    </row>
    <row r="18966" spans="1:15">
      <c r="A18966" t="n">
        <v>184088</v>
      </c>
      <c r="B18966" s="42" t="n">
        <v>48</v>
      </c>
      <c r="C18966" s="7" t="n">
        <v>0</v>
      </c>
      <c r="D18966" s="7" t="n">
        <v>0</v>
      </c>
      <c r="E18966" s="7" t="s">
        <v>390</v>
      </c>
      <c r="F18966" s="7" t="n">
        <v>-1</v>
      </c>
      <c r="G18966" s="7" t="n">
        <v>1</v>
      </c>
      <c r="H18966" s="7" t="n">
        <v>0</v>
      </c>
    </row>
    <row r="18967" spans="1:15">
      <c r="A18967" t="s">
        <v>4</v>
      </c>
      <c r="B18967" s="4" t="s">
        <v>5</v>
      </c>
      <c r="C18967" s="4" t="s">
        <v>11</v>
      </c>
      <c r="D18967" s="4" t="s">
        <v>7</v>
      </c>
      <c r="E18967" s="4" t="s">
        <v>8</v>
      </c>
      <c r="F18967" s="4" t="s">
        <v>13</v>
      </c>
      <c r="G18967" s="4" t="s">
        <v>13</v>
      </c>
      <c r="H18967" s="4" t="s">
        <v>13</v>
      </c>
    </row>
    <row r="18968" spans="1:15">
      <c r="A18968" t="n">
        <v>184114</v>
      </c>
      <c r="B18968" s="42" t="n">
        <v>48</v>
      </c>
      <c r="C18968" s="7" t="n">
        <v>3</v>
      </c>
      <c r="D18968" s="7" t="n">
        <v>0</v>
      </c>
      <c r="E18968" s="7" t="s">
        <v>390</v>
      </c>
      <c r="F18968" s="7" t="n">
        <v>-1</v>
      </c>
      <c r="G18968" s="7" t="n">
        <v>1</v>
      </c>
      <c r="H18968" s="7" t="n">
        <v>0</v>
      </c>
    </row>
    <row r="18969" spans="1:15">
      <c r="A18969" t="s">
        <v>4</v>
      </c>
      <c r="B18969" s="4" t="s">
        <v>5</v>
      </c>
      <c r="C18969" s="4" t="s">
        <v>11</v>
      </c>
    </row>
    <row r="18970" spans="1:15">
      <c r="A18970" t="n">
        <v>184140</v>
      </c>
      <c r="B18970" s="29" t="n">
        <v>16</v>
      </c>
      <c r="C18970" s="7" t="n">
        <v>500</v>
      </c>
    </row>
    <row r="18971" spans="1:15">
      <c r="A18971" t="s">
        <v>4</v>
      </c>
      <c r="B18971" s="4" t="s">
        <v>5</v>
      </c>
      <c r="C18971" s="4" t="s">
        <v>7</v>
      </c>
      <c r="D18971" s="4" t="s">
        <v>11</v>
      </c>
      <c r="E18971" s="4" t="s">
        <v>13</v>
      </c>
      <c r="F18971" s="4" t="s">
        <v>11</v>
      </c>
      <c r="G18971" s="4" t="s">
        <v>15</v>
      </c>
      <c r="H18971" s="4" t="s">
        <v>15</v>
      </c>
      <c r="I18971" s="4" t="s">
        <v>11</v>
      </c>
      <c r="J18971" s="4" t="s">
        <v>11</v>
      </c>
      <c r="K18971" s="4" t="s">
        <v>15</v>
      </c>
      <c r="L18971" s="4" t="s">
        <v>15</v>
      </c>
      <c r="M18971" s="4" t="s">
        <v>15</v>
      </c>
      <c r="N18971" s="4" t="s">
        <v>15</v>
      </c>
      <c r="O18971" s="4" t="s">
        <v>8</v>
      </c>
    </row>
    <row r="18972" spans="1:15">
      <c r="A18972" t="n">
        <v>184143</v>
      </c>
      <c r="B18972" s="57" t="n">
        <v>50</v>
      </c>
      <c r="C18972" s="7" t="n">
        <v>0</v>
      </c>
      <c r="D18972" s="7" t="n">
        <v>2000</v>
      </c>
      <c r="E18972" s="7" t="n">
        <v>0.600000023841858</v>
      </c>
      <c r="F18972" s="7" t="n">
        <v>350</v>
      </c>
      <c r="G18972" s="7" t="n">
        <v>0</v>
      </c>
      <c r="H18972" s="7" t="n">
        <v>0</v>
      </c>
      <c r="I18972" s="7" t="n">
        <v>0</v>
      </c>
      <c r="J18972" s="7" t="n">
        <v>65533</v>
      </c>
      <c r="K18972" s="7" t="n">
        <v>0</v>
      </c>
      <c r="L18972" s="7" t="n">
        <v>0</v>
      </c>
      <c r="M18972" s="7" t="n">
        <v>0</v>
      </c>
      <c r="N18972" s="7" t="n">
        <v>0</v>
      </c>
      <c r="O18972" s="7" t="s">
        <v>16</v>
      </c>
    </row>
    <row r="18973" spans="1:15">
      <c r="A18973" t="s">
        <v>4</v>
      </c>
      <c r="B18973" s="4" t="s">
        <v>5</v>
      </c>
      <c r="C18973" s="4" t="s">
        <v>11</v>
      </c>
    </row>
    <row r="18974" spans="1:15">
      <c r="A18974" t="n">
        <v>184182</v>
      </c>
      <c r="B18974" s="29" t="n">
        <v>16</v>
      </c>
      <c r="C18974" s="7" t="n">
        <v>2500</v>
      </c>
    </row>
    <row r="18975" spans="1:15">
      <c r="A18975" t="s">
        <v>4</v>
      </c>
      <c r="B18975" s="4" t="s">
        <v>5</v>
      </c>
      <c r="C18975" s="4" t="s">
        <v>7</v>
      </c>
      <c r="D18975" s="4" t="s">
        <v>11</v>
      </c>
      <c r="E18975" s="4" t="s">
        <v>8</v>
      </c>
    </row>
    <row r="18976" spans="1:15">
      <c r="A18976" t="n">
        <v>184185</v>
      </c>
      <c r="B18976" s="38" t="n">
        <v>51</v>
      </c>
      <c r="C18976" s="7" t="n">
        <v>4</v>
      </c>
      <c r="D18976" s="7" t="n">
        <v>3</v>
      </c>
      <c r="E18976" s="7" t="s">
        <v>1566</v>
      </c>
    </row>
    <row r="18977" spans="1:15">
      <c r="A18977" t="s">
        <v>4</v>
      </c>
      <c r="B18977" s="4" t="s">
        <v>5</v>
      </c>
      <c r="C18977" s="4" t="s">
        <v>11</v>
      </c>
    </row>
    <row r="18978" spans="1:15">
      <c r="A18978" t="n">
        <v>184204</v>
      </c>
      <c r="B18978" s="29" t="n">
        <v>16</v>
      </c>
      <c r="C18978" s="7" t="n">
        <v>0</v>
      </c>
    </row>
    <row r="18979" spans="1:15">
      <c r="A18979" t="s">
        <v>4</v>
      </c>
      <c r="B18979" s="4" t="s">
        <v>5</v>
      </c>
      <c r="C18979" s="4" t="s">
        <v>11</v>
      </c>
      <c r="D18979" s="4" t="s">
        <v>7</v>
      </c>
      <c r="E18979" s="4" t="s">
        <v>15</v>
      </c>
      <c r="F18979" s="4" t="s">
        <v>55</v>
      </c>
      <c r="G18979" s="4" t="s">
        <v>7</v>
      </c>
      <c r="H18979" s="4" t="s">
        <v>7</v>
      </c>
      <c r="I18979" s="4" t="s">
        <v>7</v>
      </c>
      <c r="J18979" s="4" t="s">
        <v>15</v>
      </c>
      <c r="K18979" s="4" t="s">
        <v>55</v>
      </c>
      <c r="L18979" s="4" t="s">
        <v>7</v>
      </c>
      <c r="M18979" s="4" t="s">
        <v>7</v>
      </c>
      <c r="N18979" s="4" t="s">
        <v>7</v>
      </c>
      <c r="O18979" s="4" t="s">
        <v>15</v>
      </c>
      <c r="P18979" s="4" t="s">
        <v>55</v>
      </c>
      <c r="Q18979" s="4" t="s">
        <v>7</v>
      </c>
      <c r="R18979" s="4" t="s">
        <v>7</v>
      </c>
    </row>
    <row r="18980" spans="1:15">
      <c r="A18980" t="n">
        <v>184207</v>
      </c>
      <c r="B18980" s="55" t="n">
        <v>26</v>
      </c>
      <c r="C18980" s="7" t="n">
        <v>3</v>
      </c>
      <c r="D18980" s="7" t="n">
        <v>17</v>
      </c>
      <c r="E18980" s="7" t="n">
        <v>64584</v>
      </c>
      <c r="F18980" s="7" t="s">
        <v>1567</v>
      </c>
      <c r="G18980" s="7" t="n">
        <v>2</v>
      </c>
      <c r="H18980" s="7" t="n">
        <v>3</v>
      </c>
      <c r="I18980" s="7" t="n">
        <v>17</v>
      </c>
      <c r="J18980" s="7" t="n">
        <v>64585</v>
      </c>
      <c r="K18980" s="7" t="s">
        <v>1568</v>
      </c>
      <c r="L18980" s="7" t="n">
        <v>2</v>
      </c>
      <c r="M18980" s="7" t="n">
        <v>3</v>
      </c>
      <c r="N18980" s="7" t="n">
        <v>17</v>
      </c>
      <c r="O18980" s="7" t="n">
        <v>64586</v>
      </c>
      <c r="P18980" s="7" t="s">
        <v>1569</v>
      </c>
      <c r="Q18980" s="7" t="n">
        <v>2</v>
      </c>
      <c r="R18980" s="7" t="n">
        <v>0</v>
      </c>
    </row>
    <row r="18981" spans="1:15">
      <c r="A18981" t="s">
        <v>4</v>
      </c>
      <c r="B18981" s="4" t="s">
        <v>5</v>
      </c>
    </row>
    <row r="18982" spans="1:15">
      <c r="A18982" t="n">
        <v>184490</v>
      </c>
      <c r="B18982" s="27" t="n">
        <v>28</v>
      </c>
    </row>
    <row r="18983" spans="1:15">
      <c r="A18983" t="s">
        <v>4</v>
      </c>
      <c r="B18983" s="4" t="s">
        <v>5</v>
      </c>
      <c r="C18983" s="4" t="s">
        <v>7</v>
      </c>
      <c r="D18983" s="4" t="s">
        <v>11</v>
      </c>
      <c r="E18983" s="4" t="s">
        <v>8</v>
      </c>
    </row>
    <row r="18984" spans="1:15">
      <c r="A18984" t="n">
        <v>184491</v>
      </c>
      <c r="B18984" s="38" t="n">
        <v>51</v>
      </c>
      <c r="C18984" s="7" t="n">
        <v>4</v>
      </c>
      <c r="D18984" s="7" t="n">
        <v>0</v>
      </c>
      <c r="E18984" s="7" t="s">
        <v>1134</v>
      </c>
    </row>
    <row r="18985" spans="1:15">
      <c r="A18985" t="s">
        <v>4</v>
      </c>
      <c r="B18985" s="4" t="s">
        <v>5</v>
      </c>
      <c r="C18985" s="4" t="s">
        <v>11</v>
      </c>
    </row>
    <row r="18986" spans="1:15">
      <c r="A18986" t="n">
        <v>184505</v>
      </c>
      <c r="B18986" s="29" t="n">
        <v>16</v>
      </c>
      <c r="C18986" s="7" t="n">
        <v>0</v>
      </c>
    </row>
    <row r="18987" spans="1:15">
      <c r="A18987" t="s">
        <v>4</v>
      </c>
      <c r="B18987" s="4" t="s">
        <v>5</v>
      </c>
      <c r="C18987" s="4" t="s">
        <v>11</v>
      </c>
      <c r="D18987" s="4" t="s">
        <v>7</v>
      </c>
      <c r="E18987" s="4" t="s">
        <v>15</v>
      </c>
      <c r="F18987" s="4" t="s">
        <v>55</v>
      </c>
      <c r="G18987" s="4" t="s">
        <v>7</v>
      </c>
      <c r="H18987" s="4" t="s">
        <v>7</v>
      </c>
    </row>
    <row r="18988" spans="1:15">
      <c r="A18988" t="n">
        <v>184508</v>
      </c>
      <c r="B18988" s="55" t="n">
        <v>26</v>
      </c>
      <c r="C18988" s="7" t="n">
        <v>0</v>
      </c>
      <c r="D18988" s="7" t="n">
        <v>17</v>
      </c>
      <c r="E18988" s="7" t="n">
        <v>64587</v>
      </c>
      <c r="F18988" s="7" t="s">
        <v>1570</v>
      </c>
      <c r="G18988" s="7" t="n">
        <v>2</v>
      </c>
      <c r="H18988" s="7" t="n">
        <v>0</v>
      </c>
    </row>
    <row r="18989" spans="1:15">
      <c r="A18989" t="s">
        <v>4</v>
      </c>
      <c r="B18989" s="4" t="s">
        <v>5</v>
      </c>
    </row>
    <row r="18990" spans="1:15">
      <c r="A18990" t="n">
        <v>184557</v>
      </c>
      <c r="B18990" s="27" t="n">
        <v>28</v>
      </c>
    </row>
    <row r="18991" spans="1:15">
      <c r="A18991" t="s">
        <v>4</v>
      </c>
      <c r="B18991" s="4" t="s">
        <v>5</v>
      </c>
      <c r="C18991" s="4" t="s">
        <v>7</v>
      </c>
      <c r="D18991" s="4" t="s">
        <v>11</v>
      </c>
      <c r="E18991" s="4" t="s">
        <v>11</v>
      </c>
      <c r="F18991" s="4" t="s">
        <v>7</v>
      </c>
    </row>
    <row r="18992" spans="1:15">
      <c r="A18992" t="n">
        <v>184558</v>
      </c>
      <c r="B18992" s="31" t="n">
        <v>25</v>
      </c>
      <c r="C18992" s="7" t="n">
        <v>1</v>
      </c>
      <c r="D18992" s="7" t="n">
        <v>65535</v>
      </c>
      <c r="E18992" s="7" t="n">
        <v>65535</v>
      </c>
      <c r="F18992" s="7" t="n">
        <v>0</v>
      </c>
    </row>
    <row r="18993" spans="1:18">
      <c r="A18993" t="s">
        <v>4</v>
      </c>
      <c r="B18993" s="4" t="s">
        <v>5</v>
      </c>
      <c r="C18993" s="4" t="s">
        <v>7</v>
      </c>
      <c r="D18993" s="4" t="s">
        <v>11</v>
      </c>
      <c r="E18993" s="4" t="s">
        <v>13</v>
      </c>
    </row>
    <row r="18994" spans="1:18">
      <c r="A18994" t="n">
        <v>184565</v>
      </c>
      <c r="B18994" s="23" t="n">
        <v>58</v>
      </c>
      <c r="C18994" s="7" t="n">
        <v>0</v>
      </c>
      <c r="D18994" s="7" t="n">
        <v>2000</v>
      </c>
      <c r="E18994" s="7" t="n">
        <v>1</v>
      </c>
    </row>
    <row r="18995" spans="1:18">
      <c r="A18995" t="s">
        <v>4</v>
      </c>
      <c r="B18995" s="4" t="s">
        <v>5</v>
      </c>
      <c r="C18995" s="4" t="s">
        <v>7</v>
      </c>
      <c r="D18995" s="4" t="s">
        <v>11</v>
      </c>
    </row>
    <row r="18996" spans="1:18">
      <c r="A18996" t="n">
        <v>184573</v>
      </c>
      <c r="B18996" s="23" t="n">
        <v>58</v>
      </c>
      <c r="C18996" s="7" t="n">
        <v>255</v>
      </c>
      <c r="D18996" s="7" t="n">
        <v>0</v>
      </c>
    </row>
    <row r="18997" spans="1:18">
      <c r="A18997" t="s">
        <v>4</v>
      </c>
      <c r="B18997" s="4" t="s">
        <v>5</v>
      </c>
      <c r="C18997" s="4" t="s">
        <v>11</v>
      </c>
    </row>
    <row r="18998" spans="1:18">
      <c r="A18998" t="n">
        <v>184577</v>
      </c>
      <c r="B18998" s="29" t="n">
        <v>16</v>
      </c>
      <c r="C18998" s="7" t="n">
        <v>1000</v>
      </c>
    </row>
    <row r="18999" spans="1:18">
      <c r="A18999" t="s">
        <v>4</v>
      </c>
      <c r="B18999" s="4" t="s">
        <v>5</v>
      </c>
      <c r="C18999" s="4" t="s">
        <v>7</v>
      </c>
    </row>
    <row r="19000" spans="1:18">
      <c r="A19000" t="n">
        <v>184580</v>
      </c>
      <c r="B19000" s="28" t="n">
        <v>78</v>
      </c>
      <c r="C19000" s="7" t="n">
        <v>255</v>
      </c>
    </row>
    <row r="19001" spans="1:18">
      <c r="A19001" t="s">
        <v>4</v>
      </c>
      <c r="B19001" s="4" t="s">
        <v>5</v>
      </c>
      <c r="C19001" s="4" t="s">
        <v>7</v>
      </c>
      <c r="D19001" s="4" t="s">
        <v>11</v>
      </c>
      <c r="E19001" s="4" t="s">
        <v>7</v>
      </c>
    </row>
    <row r="19002" spans="1:18">
      <c r="A19002" t="n">
        <v>184582</v>
      </c>
      <c r="B19002" s="40" t="n">
        <v>36</v>
      </c>
      <c r="C19002" s="7" t="n">
        <v>9</v>
      </c>
      <c r="D19002" s="7" t="n">
        <v>0</v>
      </c>
      <c r="E19002" s="7" t="n">
        <v>0</v>
      </c>
    </row>
    <row r="19003" spans="1:18">
      <c r="A19003" t="s">
        <v>4</v>
      </c>
      <c r="B19003" s="4" t="s">
        <v>5</v>
      </c>
      <c r="C19003" s="4" t="s">
        <v>7</v>
      </c>
      <c r="D19003" s="4" t="s">
        <v>11</v>
      </c>
      <c r="E19003" s="4" t="s">
        <v>7</v>
      </c>
    </row>
    <row r="19004" spans="1:18">
      <c r="A19004" t="n">
        <v>184587</v>
      </c>
      <c r="B19004" s="40" t="n">
        <v>36</v>
      </c>
      <c r="C19004" s="7" t="n">
        <v>9</v>
      </c>
      <c r="D19004" s="7" t="n">
        <v>3</v>
      </c>
      <c r="E19004" s="7" t="n">
        <v>0</v>
      </c>
    </row>
    <row r="19005" spans="1:18">
      <c r="A19005" t="s">
        <v>4</v>
      </c>
      <c r="B19005" s="4" t="s">
        <v>5</v>
      </c>
      <c r="C19005" s="4" t="s">
        <v>11</v>
      </c>
    </row>
    <row r="19006" spans="1:18">
      <c r="A19006" t="n">
        <v>184592</v>
      </c>
      <c r="B19006" s="43" t="n">
        <v>12</v>
      </c>
      <c r="C19006" s="7" t="n">
        <v>10311</v>
      </c>
    </row>
    <row r="19007" spans="1:18">
      <c r="A19007" t="s">
        <v>4</v>
      </c>
      <c r="B19007" s="4" t="s">
        <v>5</v>
      </c>
      <c r="C19007" s="4" t="s">
        <v>7</v>
      </c>
      <c r="D19007" s="4" t="s">
        <v>11</v>
      </c>
      <c r="E19007" s="4" t="s">
        <v>11</v>
      </c>
    </row>
    <row r="19008" spans="1:18">
      <c r="A19008" t="n">
        <v>184595</v>
      </c>
      <c r="B19008" s="59" t="n">
        <v>135</v>
      </c>
      <c r="C19008" s="7" t="n">
        <v>0</v>
      </c>
      <c r="D19008" s="7" t="n">
        <v>105</v>
      </c>
      <c r="E19008" s="7" t="n">
        <v>64</v>
      </c>
    </row>
    <row r="19009" spans="1:5">
      <c r="A19009" t="s">
        <v>4</v>
      </c>
      <c r="B19009" s="4" t="s">
        <v>5</v>
      </c>
      <c r="C19009" s="4" t="s">
        <v>7</v>
      </c>
      <c r="D19009" s="4" t="s">
        <v>8</v>
      </c>
    </row>
    <row r="19010" spans="1:5">
      <c r="A19010" t="n">
        <v>184601</v>
      </c>
      <c r="B19010" s="6" t="n">
        <v>2</v>
      </c>
      <c r="C19010" s="7" t="n">
        <v>11</v>
      </c>
      <c r="D19010" s="7" t="s">
        <v>37</v>
      </c>
    </row>
    <row r="19011" spans="1:5">
      <c r="A19011" t="s">
        <v>4</v>
      </c>
      <c r="B19011" s="4" t="s">
        <v>5</v>
      </c>
      <c r="C19011" s="4" t="s">
        <v>11</v>
      </c>
      <c r="D19011" s="4" t="s">
        <v>13</v>
      </c>
      <c r="E19011" s="4" t="s">
        <v>13</v>
      </c>
      <c r="F19011" s="4" t="s">
        <v>13</v>
      </c>
      <c r="G19011" s="4" t="s">
        <v>13</v>
      </c>
    </row>
    <row r="19012" spans="1:5">
      <c r="A19012" t="n">
        <v>184625</v>
      </c>
      <c r="B19012" s="36" t="n">
        <v>46</v>
      </c>
      <c r="C19012" s="7" t="n">
        <v>61456</v>
      </c>
      <c r="D19012" s="7" t="n">
        <v>-0.579999983310699</v>
      </c>
      <c r="E19012" s="7" t="n">
        <v>10.0100002288818</v>
      </c>
      <c r="F19012" s="7" t="n">
        <v>57.8300018310547</v>
      </c>
      <c r="G19012" s="7" t="n">
        <v>220.699996948242</v>
      </c>
    </row>
    <row r="19013" spans="1:5">
      <c r="A19013" t="s">
        <v>4</v>
      </c>
      <c r="B19013" s="4" t="s">
        <v>5</v>
      </c>
      <c r="C19013" s="4" t="s">
        <v>7</v>
      </c>
      <c r="D19013" s="4" t="s">
        <v>7</v>
      </c>
      <c r="E19013" s="4" t="s">
        <v>13</v>
      </c>
      <c r="F19013" s="4" t="s">
        <v>13</v>
      </c>
      <c r="G19013" s="4" t="s">
        <v>13</v>
      </c>
      <c r="H19013" s="4" t="s">
        <v>11</v>
      </c>
      <c r="I19013" s="4" t="s">
        <v>7</v>
      </c>
    </row>
    <row r="19014" spans="1:5">
      <c r="A19014" t="n">
        <v>184644</v>
      </c>
      <c r="B19014" s="51" t="n">
        <v>45</v>
      </c>
      <c r="C19014" s="7" t="n">
        <v>4</v>
      </c>
      <c r="D19014" s="7" t="n">
        <v>3</v>
      </c>
      <c r="E19014" s="7" t="n">
        <v>7.01999998092651</v>
      </c>
      <c r="F19014" s="7" t="n">
        <v>198.089996337891</v>
      </c>
      <c r="G19014" s="7" t="n">
        <v>0</v>
      </c>
      <c r="H19014" s="7" t="n">
        <v>0</v>
      </c>
      <c r="I19014" s="7" t="n">
        <v>0</v>
      </c>
    </row>
    <row r="19015" spans="1:5">
      <c r="A19015" t="s">
        <v>4</v>
      </c>
      <c r="B19015" s="4" t="s">
        <v>5</v>
      </c>
      <c r="C19015" s="4" t="s">
        <v>7</v>
      </c>
      <c r="D19015" s="4" t="s">
        <v>8</v>
      </c>
    </row>
    <row r="19016" spans="1:5">
      <c r="A19016" t="n">
        <v>184662</v>
      </c>
      <c r="B19016" s="6" t="n">
        <v>2</v>
      </c>
      <c r="C19016" s="7" t="n">
        <v>10</v>
      </c>
      <c r="D19016" s="7" t="s">
        <v>119</v>
      </c>
    </row>
    <row r="19017" spans="1:5">
      <c r="A19017" t="s">
        <v>4</v>
      </c>
      <c r="B19017" s="4" t="s">
        <v>5</v>
      </c>
      <c r="C19017" s="4" t="s">
        <v>11</v>
      </c>
    </row>
    <row r="19018" spans="1:5">
      <c r="A19018" t="n">
        <v>184677</v>
      </c>
      <c r="B19018" s="29" t="n">
        <v>16</v>
      </c>
      <c r="C19018" s="7" t="n">
        <v>0</v>
      </c>
    </row>
    <row r="19019" spans="1:5">
      <c r="A19019" t="s">
        <v>4</v>
      </c>
      <c r="B19019" s="4" t="s">
        <v>5</v>
      </c>
      <c r="C19019" s="4" t="s">
        <v>7</v>
      </c>
      <c r="D19019" s="4" t="s">
        <v>11</v>
      </c>
    </row>
    <row r="19020" spans="1:5">
      <c r="A19020" t="n">
        <v>184680</v>
      </c>
      <c r="B19020" s="23" t="n">
        <v>58</v>
      </c>
      <c r="C19020" s="7" t="n">
        <v>105</v>
      </c>
      <c r="D19020" s="7" t="n">
        <v>300</v>
      </c>
    </row>
    <row r="19021" spans="1:5">
      <c r="A19021" t="s">
        <v>4</v>
      </c>
      <c r="B19021" s="4" t="s">
        <v>5</v>
      </c>
      <c r="C19021" s="4" t="s">
        <v>13</v>
      </c>
      <c r="D19021" s="4" t="s">
        <v>11</v>
      </c>
    </row>
    <row r="19022" spans="1:5">
      <c r="A19022" t="n">
        <v>184684</v>
      </c>
      <c r="B19022" s="46" t="n">
        <v>103</v>
      </c>
      <c r="C19022" s="7" t="n">
        <v>1</v>
      </c>
      <c r="D19022" s="7" t="n">
        <v>300</v>
      </c>
    </row>
    <row r="19023" spans="1:5">
      <c r="A19023" t="s">
        <v>4</v>
      </c>
      <c r="B19023" s="4" t="s">
        <v>5</v>
      </c>
      <c r="C19023" s="4" t="s">
        <v>7</v>
      </c>
      <c r="D19023" s="4" t="s">
        <v>11</v>
      </c>
    </row>
    <row r="19024" spans="1:5">
      <c r="A19024" t="n">
        <v>184691</v>
      </c>
      <c r="B19024" s="48" t="n">
        <v>72</v>
      </c>
      <c r="C19024" s="7" t="n">
        <v>4</v>
      </c>
      <c r="D19024" s="7" t="n">
        <v>0</v>
      </c>
    </row>
    <row r="19025" spans="1:9">
      <c r="A19025" t="s">
        <v>4</v>
      </c>
      <c r="B19025" s="4" t="s">
        <v>5</v>
      </c>
      <c r="C19025" s="4" t="s">
        <v>15</v>
      </c>
    </row>
    <row r="19026" spans="1:9">
      <c r="A19026" t="n">
        <v>184695</v>
      </c>
      <c r="B19026" s="61" t="n">
        <v>15</v>
      </c>
      <c r="C19026" s="7" t="n">
        <v>1073741824</v>
      </c>
    </row>
    <row r="19027" spans="1:9">
      <c r="A19027" t="s">
        <v>4</v>
      </c>
      <c r="B19027" s="4" t="s">
        <v>5</v>
      </c>
      <c r="C19027" s="4" t="s">
        <v>7</v>
      </c>
    </row>
    <row r="19028" spans="1:9">
      <c r="A19028" t="n">
        <v>184700</v>
      </c>
      <c r="B19028" s="47" t="n">
        <v>64</v>
      </c>
      <c r="C19028" s="7" t="n">
        <v>3</v>
      </c>
    </row>
    <row r="19029" spans="1:9">
      <c r="A19029" t="s">
        <v>4</v>
      </c>
      <c r="B19029" s="4" t="s">
        <v>5</v>
      </c>
      <c r="C19029" s="4" t="s">
        <v>7</v>
      </c>
    </row>
    <row r="19030" spans="1:9">
      <c r="A19030" t="n">
        <v>184702</v>
      </c>
      <c r="B19030" s="45" t="n">
        <v>74</v>
      </c>
      <c r="C19030" s="7" t="n">
        <v>67</v>
      </c>
    </row>
    <row r="19031" spans="1:9">
      <c r="A19031" t="s">
        <v>4</v>
      </c>
      <c r="B19031" s="4" t="s">
        <v>5</v>
      </c>
      <c r="C19031" s="4" t="s">
        <v>7</v>
      </c>
      <c r="D19031" s="4" t="s">
        <v>7</v>
      </c>
      <c r="E19031" s="4" t="s">
        <v>11</v>
      </c>
    </row>
    <row r="19032" spans="1:9">
      <c r="A19032" t="n">
        <v>184704</v>
      </c>
      <c r="B19032" s="51" t="n">
        <v>45</v>
      </c>
      <c r="C19032" s="7" t="n">
        <v>8</v>
      </c>
      <c r="D19032" s="7" t="n">
        <v>1</v>
      </c>
      <c r="E19032" s="7" t="n">
        <v>0</v>
      </c>
    </row>
    <row r="19033" spans="1:9">
      <c r="A19033" t="s">
        <v>4</v>
      </c>
      <c r="B19033" s="4" t="s">
        <v>5</v>
      </c>
      <c r="C19033" s="4" t="s">
        <v>11</v>
      </c>
    </row>
    <row r="19034" spans="1:9">
      <c r="A19034" t="n">
        <v>184709</v>
      </c>
      <c r="B19034" s="12" t="n">
        <v>13</v>
      </c>
      <c r="C19034" s="7" t="n">
        <v>6409</v>
      </c>
    </row>
    <row r="19035" spans="1:9">
      <c r="A19035" t="s">
        <v>4</v>
      </c>
      <c r="B19035" s="4" t="s">
        <v>5</v>
      </c>
      <c r="C19035" s="4" t="s">
        <v>11</v>
      </c>
    </row>
    <row r="19036" spans="1:9">
      <c r="A19036" t="n">
        <v>184712</v>
      </c>
      <c r="B19036" s="12" t="n">
        <v>13</v>
      </c>
      <c r="C19036" s="7" t="n">
        <v>6408</v>
      </c>
    </row>
    <row r="19037" spans="1:9">
      <c r="A19037" t="s">
        <v>4</v>
      </c>
      <c r="B19037" s="4" t="s">
        <v>5</v>
      </c>
      <c r="C19037" s="4" t="s">
        <v>11</v>
      </c>
    </row>
    <row r="19038" spans="1:9">
      <c r="A19038" t="n">
        <v>184715</v>
      </c>
      <c r="B19038" s="43" t="n">
        <v>12</v>
      </c>
      <c r="C19038" s="7" t="n">
        <v>6464</v>
      </c>
    </row>
    <row r="19039" spans="1:9">
      <c r="A19039" t="s">
        <v>4</v>
      </c>
      <c r="B19039" s="4" t="s">
        <v>5</v>
      </c>
      <c r="C19039" s="4" t="s">
        <v>11</v>
      </c>
    </row>
    <row r="19040" spans="1:9">
      <c r="A19040" t="n">
        <v>184718</v>
      </c>
      <c r="B19040" s="12" t="n">
        <v>13</v>
      </c>
      <c r="C19040" s="7" t="n">
        <v>6465</v>
      </c>
    </row>
    <row r="19041" spans="1:5">
      <c r="A19041" t="s">
        <v>4</v>
      </c>
      <c r="B19041" s="4" t="s">
        <v>5</v>
      </c>
      <c r="C19041" s="4" t="s">
        <v>11</v>
      </c>
    </row>
    <row r="19042" spans="1:5">
      <c r="A19042" t="n">
        <v>184721</v>
      </c>
      <c r="B19042" s="12" t="n">
        <v>13</v>
      </c>
      <c r="C19042" s="7" t="n">
        <v>6466</v>
      </c>
    </row>
    <row r="19043" spans="1:5">
      <c r="A19043" t="s">
        <v>4</v>
      </c>
      <c r="B19043" s="4" t="s">
        <v>5</v>
      </c>
      <c r="C19043" s="4" t="s">
        <v>11</v>
      </c>
    </row>
    <row r="19044" spans="1:5">
      <c r="A19044" t="n">
        <v>184724</v>
      </c>
      <c r="B19044" s="12" t="n">
        <v>13</v>
      </c>
      <c r="C19044" s="7" t="n">
        <v>6467</v>
      </c>
    </row>
    <row r="19045" spans="1:5">
      <c r="A19045" t="s">
        <v>4</v>
      </c>
      <c r="B19045" s="4" t="s">
        <v>5</v>
      </c>
      <c r="C19045" s="4" t="s">
        <v>11</v>
      </c>
    </row>
    <row r="19046" spans="1:5">
      <c r="A19046" t="n">
        <v>184727</v>
      </c>
      <c r="B19046" s="12" t="n">
        <v>13</v>
      </c>
      <c r="C19046" s="7" t="n">
        <v>6468</v>
      </c>
    </row>
    <row r="19047" spans="1:5">
      <c r="A19047" t="s">
        <v>4</v>
      </c>
      <c r="B19047" s="4" t="s">
        <v>5</v>
      </c>
      <c r="C19047" s="4" t="s">
        <v>11</v>
      </c>
    </row>
    <row r="19048" spans="1:5">
      <c r="A19048" t="n">
        <v>184730</v>
      </c>
      <c r="B19048" s="12" t="n">
        <v>13</v>
      </c>
      <c r="C19048" s="7" t="n">
        <v>6469</v>
      </c>
    </row>
    <row r="19049" spans="1:5">
      <c r="A19049" t="s">
        <v>4</v>
      </c>
      <c r="B19049" s="4" t="s">
        <v>5</v>
      </c>
      <c r="C19049" s="4" t="s">
        <v>11</v>
      </c>
    </row>
    <row r="19050" spans="1:5">
      <c r="A19050" t="n">
        <v>184733</v>
      </c>
      <c r="B19050" s="12" t="n">
        <v>13</v>
      </c>
      <c r="C19050" s="7" t="n">
        <v>6470</v>
      </c>
    </row>
    <row r="19051" spans="1:5">
      <c r="A19051" t="s">
        <v>4</v>
      </c>
      <c r="B19051" s="4" t="s">
        <v>5</v>
      </c>
      <c r="C19051" s="4" t="s">
        <v>11</v>
      </c>
    </row>
    <row r="19052" spans="1:5">
      <c r="A19052" t="n">
        <v>184736</v>
      </c>
      <c r="B19052" s="12" t="n">
        <v>13</v>
      </c>
      <c r="C19052" s="7" t="n">
        <v>6471</v>
      </c>
    </row>
    <row r="19053" spans="1:5">
      <c r="A19053" t="s">
        <v>4</v>
      </c>
      <c r="B19053" s="4" t="s">
        <v>5</v>
      </c>
      <c r="C19053" s="4" t="s">
        <v>7</v>
      </c>
    </row>
    <row r="19054" spans="1:5">
      <c r="A19054" t="n">
        <v>184739</v>
      </c>
      <c r="B19054" s="45" t="n">
        <v>74</v>
      </c>
      <c r="C19054" s="7" t="n">
        <v>18</v>
      </c>
    </row>
    <row r="19055" spans="1:5">
      <c r="A19055" t="s">
        <v>4</v>
      </c>
      <c r="B19055" s="4" t="s">
        <v>5</v>
      </c>
      <c r="C19055" s="4" t="s">
        <v>7</v>
      </c>
    </row>
    <row r="19056" spans="1:5">
      <c r="A19056" t="n">
        <v>184741</v>
      </c>
      <c r="B19056" s="45" t="n">
        <v>74</v>
      </c>
      <c r="C19056" s="7" t="n">
        <v>45</v>
      </c>
    </row>
    <row r="19057" spans="1:3">
      <c r="A19057" t="s">
        <v>4</v>
      </c>
      <c r="B19057" s="4" t="s">
        <v>5</v>
      </c>
      <c r="C19057" s="4" t="s">
        <v>11</v>
      </c>
    </row>
    <row r="19058" spans="1:3">
      <c r="A19058" t="n">
        <v>184743</v>
      </c>
      <c r="B19058" s="29" t="n">
        <v>16</v>
      </c>
      <c r="C19058" s="7" t="n">
        <v>0</v>
      </c>
    </row>
    <row r="19059" spans="1:3">
      <c r="A19059" t="s">
        <v>4</v>
      </c>
      <c r="B19059" s="4" t="s">
        <v>5</v>
      </c>
      <c r="C19059" s="4" t="s">
        <v>7</v>
      </c>
      <c r="D19059" s="4" t="s">
        <v>7</v>
      </c>
      <c r="E19059" s="4" t="s">
        <v>7</v>
      </c>
      <c r="F19059" s="4" t="s">
        <v>7</v>
      </c>
    </row>
    <row r="19060" spans="1:3">
      <c r="A19060" t="n">
        <v>184746</v>
      </c>
      <c r="B19060" s="9" t="n">
        <v>14</v>
      </c>
      <c r="C19060" s="7" t="n">
        <v>0</v>
      </c>
      <c r="D19060" s="7" t="n">
        <v>8</v>
      </c>
      <c r="E19060" s="7" t="n">
        <v>0</v>
      </c>
      <c r="F19060" s="7" t="n">
        <v>0</v>
      </c>
    </row>
    <row r="19061" spans="1:3">
      <c r="A19061" t="s">
        <v>4</v>
      </c>
      <c r="B19061" s="4" t="s">
        <v>5</v>
      </c>
      <c r="C19061" s="4" t="s">
        <v>7</v>
      </c>
      <c r="D19061" s="4" t="s">
        <v>8</v>
      </c>
    </row>
    <row r="19062" spans="1:3">
      <c r="A19062" t="n">
        <v>184751</v>
      </c>
      <c r="B19062" s="6" t="n">
        <v>2</v>
      </c>
      <c r="C19062" s="7" t="n">
        <v>11</v>
      </c>
      <c r="D19062" s="7" t="s">
        <v>14</v>
      </c>
    </row>
    <row r="19063" spans="1:3">
      <c r="A19063" t="s">
        <v>4</v>
      </c>
      <c r="B19063" s="4" t="s">
        <v>5</v>
      </c>
      <c r="C19063" s="4" t="s">
        <v>11</v>
      </c>
    </row>
    <row r="19064" spans="1:3">
      <c r="A19064" t="n">
        <v>184765</v>
      </c>
      <c r="B19064" s="29" t="n">
        <v>16</v>
      </c>
      <c r="C19064" s="7" t="n">
        <v>0</v>
      </c>
    </row>
    <row r="19065" spans="1:3">
      <c r="A19065" t="s">
        <v>4</v>
      </c>
      <c r="B19065" s="4" t="s">
        <v>5</v>
      </c>
      <c r="C19065" s="4" t="s">
        <v>7</v>
      </c>
      <c r="D19065" s="4" t="s">
        <v>8</v>
      </c>
    </row>
    <row r="19066" spans="1:3">
      <c r="A19066" t="n">
        <v>184768</v>
      </c>
      <c r="B19066" s="6" t="n">
        <v>2</v>
      </c>
      <c r="C19066" s="7" t="n">
        <v>11</v>
      </c>
      <c r="D19066" s="7" t="s">
        <v>120</v>
      </c>
    </row>
    <row r="19067" spans="1:3">
      <c r="A19067" t="s">
        <v>4</v>
      </c>
      <c r="B19067" s="4" t="s">
        <v>5</v>
      </c>
      <c r="C19067" s="4" t="s">
        <v>11</v>
      </c>
    </row>
    <row r="19068" spans="1:3">
      <c r="A19068" t="n">
        <v>184777</v>
      </c>
      <c r="B19068" s="29" t="n">
        <v>16</v>
      </c>
      <c r="C19068" s="7" t="n">
        <v>0</v>
      </c>
    </row>
    <row r="19069" spans="1:3">
      <c r="A19069" t="s">
        <v>4</v>
      </c>
      <c r="B19069" s="4" t="s">
        <v>5</v>
      </c>
      <c r="C19069" s="4" t="s">
        <v>15</v>
      </c>
    </row>
    <row r="19070" spans="1:3">
      <c r="A19070" t="n">
        <v>184780</v>
      </c>
      <c r="B19070" s="61" t="n">
        <v>15</v>
      </c>
      <c r="C19070" s="7" t="n">
        <v>2048</v>
      </c>
    </row>
    <row r="19071" spans="1:3">
      <c r="A19071" t="s">
        <v>4</v>
      </c>
      <c r="B19071" s="4" t="s">
        <v>5</v>
      </c>
      <c r="C19071" s="4" t="s">
        <v>7</v>
      </c>
      <c r="D19071" s="4" t="s">
        <v>8</v>
      </c>
    </row>
    <row r="19072" spans="1:3">
      <c r="A19072" t="n">
        <v>184785</v>
      </c>
      <c r="B19072" s="6" t="n">
        <v>2</v>
      </c>
      <c r="C19072" s="7" t="n">
        <v>10</v>
      </c>
      <c r="D19072" s="7" t="s">
        <v>52</v>
      </c>
    </row>
    <row r="19073" spans="1:6">
      <c r="A19073" t="s">
        <v>4</v>
      </c>
      <c r="B19073" s="4" t="s">
        <v>5</v>
      </c>
      <c r="C19073" s="4" t="s">
        <v>11</v>
      </c>
    </row>
    <row r="19074" spans="1:6">
      <c r="A19074" t="n">
        <v>184803</v>
      </c>
      <c r="B19074" s="29" t="n">
        <v>16</v>
      </c>
      <c r="C19074" s="7" t="n">
        <v>0</v>
      </c>
    </row>
    <row r="19075" spans="1:6">
      <c r="A19075" t="s">
        <v>4</v>
      </c>
      <c r="B19075" s="4" t="s">
        <v>5</v>
      </c>
      <c r="C19075" s="4" t="s">
        <v>7</v>
      </c>
      <c r="D19075" s="4" t="s">
        <v>8</v>
      </c>
    </row>
    <row r="19076" spans="1:6">
      <c r="A19076" t="n">
        <v>184806</v>
      </c>
      <c r="B19076" s="6" t="n">
        <v>2</v>
      </c>
      <c r="C19076" s="7" t="n">
        <v>10</v>
      </c>
      <c r="D19076" s="7" t="s">
        <v>53</v>
      </c>
    </row>
    <row r="19077" spans="1:6">
      <c r="A19077" t="s">
        <v>4</v>
      </c>
      <c r="B19077" s="4" t="s">
        <v>5</v>
      </c>
      <c r="C19077" s="4" t="s">
        <v>11</v>
      </c>
    </row>
    <row r="19078" spans="1:6">
      <c r="A19078" t="n">
        <v>184825</v>
      </c>
      <c r="B19078" s="29" t="n">
        <v>16</v>
      </c>
      <c r="C19078" s="7" t="n">
        <v>0</v>
      </c>
    </row>
    <row r="19079" spans="1:6">
      <c r="A19079" t="s">
        <v>4</v>
      </c>
      <c r="B19079" s="4" t="s">
        <v>5</v>
      </c>
      <c r="C19079" s="4" t="s">
        <v>7</v>
      </c>
      <c r="D19079" s="4" t="s">
        <v>11</v>
      </c>
      <c r="E19079" s="4" t="s">
        <v>13</v>
      </c>
    </row>
    <row r="19080" spans="1:6">
      <c r="A19080" t="n">
        <v>184828</v>
      </c>
      <c r="B19080" s="23" t="n">
        <v>58</v>
      </c>
      <c r="C19080" s="7" t="n">
        <v>100</v>
      </c>
      <c r="D19080" s="7" t="n">
        <v>300</v>
      </c>
      <c r="E19080" s="7" t="n">
        <v>1</v>
      </c>
    </row>
    <row r="19081" spans="1:6">
      <c r="A19081" t="s">
        <v>4</v>
      </c>
      <c r="B19081" s="4" t="s">
        <v>5</v>
      </c>
      <c r="C19081" s="4" t="s">
        <v>7</v>
      </c>
      <c r="D19081" s="4" t="s">
        <v>11</v>
      </c>
    </row>
    <row r="19082" spans="1:6">
      <c r="A19082" t="n">
        <v>184836</v>
      </c>
      <c r="B19082" s="23" t="n">
        <v>58</v>
      </c>
      <c r="C19082" s="7" t="n">
        <v>255</v>
      </c>
      <c r="D19082" s="7" t="n">
        <v>0</v>
      </c>
    </row>
    <row r="19083" spans="1:6">
      <c r="A19083" t="s">
        <v>4</v>
      </c>
      <c r="B19083" s="4" t="s">
        <v>5</v>
      </c>
      <c r="C19083" s="4" t="s">
        <v>7</v>
      </c>
    </row>
    <row r="19084" spans="1:6">
      <c r="A19084" t="n">
        <v>184840</v>
      </c>
      <c r="B19084" s="30" t="n">
        <v>23</v>
      </c>
      <c r="C19084" s="7" t="n">
        <v>0</v>
      </c>
    </row>
    <row r="19085" spans="1:6">
      <c r="A19085" t="s">
        <v>4</v>
      </c>
      <c r="B19085" s="4" t="s">
        <v>5</v>
      </c>
    </row>
    <row r="19086" spans="1:6">
      <c r="A19086" t="n">
        <v>184842</v>
      </c>
      <c r="B19086" s="5" t="n">
        <v>1</v>
      </c>
    </row>
    <row r="19087" spans="1:6" s="3" customFormat="1" customHeight="0">
      <c r="A19087" s="3" t="s">
        <v>2</v>
      </c>
      <c r="B19087" s="3" t="s">
        <v>1571</v>
      </c>
    </row>
    <row r="19088" spans="1:6">
      <c r="A19088" t="s">
        <v>4</v>
      </c>
      <c r="B19088" s="4" t="s">
        <v>5</v>
      </c>
      <c r="C19088" s="4" t="s">
        <v>7</v>
      </c>
      <c r="D19088" s="4" t="s">
        <v>7</v>
      </c>
      <c r="E19088" s="4" t="s">
        <v>7</v>
      </c>
      <c r="F19088" s="4" t="s">
        <v>7</v>
      </c>
    </row>
    <row r="19089" spans="1:6">
      <c r="A19089" t="n">
        <v>184844</v>
      </c>
      <c r="B19089" s="9" t="n">
        <v>14</v>
      </c>
      <c r="C19089" s="7" t="n">
        <v>2</v>
      </c>
      <c r="D19089" s="7" t="n">
        <v>0</v>
      </c>
      <c r="E19089" s="7" t="n">
        <v>0</v>
      </c>
      <c r="F19089" s="7" t="n">
        <v>0</v>
      </c>
    </row>
    <row r="19090" spans="1:6">
      <c r="A19090" t="s">
        <v>4</v>
      </c>
      <c r="B19090" s="4" t="s">
        <v>5</v>
      </c>
      <c r="C19090" s="4" t="s">
        <v>7</v>
      </c>
      <c r="D19090" s="20" t="s">
        <v>35</v>
      </c>
      <c r="E19090" s="4" t="s">
        <v>5</v>
      </c>
      <c r="F19090" s="4" t="s">
        <v>7</v>
      </c>
      <c r="G19090" s="4" t="s">
        <v>11</v>
      </c>
      <c r="H19090" s="20" t="s">
        <v>36</v>
      </c>
      <c r="I19090" s="4" t="s">
        <v>7</v>
      </c>
      <c r="J19090" s="4" t="s">
        <v>15</v>
      </c>
      <c r="K19090" s="4" t="s">
        <v>7</v>
      </c>
      <c r="L19090" s="4" t="s">
        <v>7</v>
      </c>
      <c r="M19090" s="20" t="s">
        <v>35</v>
      </c>
      <c r="N19090" s="4" t="s">
        <v>5</v>
      </c>
      <c r="O19090" s="4" t="s">
        <v>7</v>
      </c>
      <c r="P19090" s="4" t="s">
        <v>11</v>
      </c>
      <c r="Q19090" s="20" t="s">
        <v>36</v>
      </c>
      <c r="R19090" s="4" t="s">
        <v>7</v>
      </c>
      <c r="S19090" s="4" t="s">
        <v>15</v>
      </c>
      <c r="T19090" s="4" t="s">
        <v>7</v>
      </c>
      <c r="U19090" s="4" t="s">
        <v>7</v>
      </c>
      <c r="V19090" s="4" t="s">
        <v>7</v>
      </c>
      <c r="W19090" s="4" t="s">
        <v>12</v>
      </c>
    </row>
    <row r="19091" spans="1:6">
      <c r="A19091" t="n">
        <v>184849</v>
      </c>
      <c r="B19091" s="10" t="n">
        <v>5</v>
      </c>
      <c r="C19091" s="7" t="n">
        <v>28</v>
      </c>
      <c r="D19091" s="20" t="s">
        <v>3</v>
      </c>
      <c r="E19091" s="8" t="n">
        <v>162</v>
      </c>
      <c r="F19091" s="7" t="n">
        <v>3</v>
      </c>
      <c r="G19091" s="7" t="n">
        <v>33158</v>
      </c>
      <c r="H19091" s="20" t="s">
        <v>3</v>
      </c>
      <c r="I19091" s="7" t="n">
        <v>0</v>
      </c>
      <c r="J19091" s="7" t="n">
        <v>1</v>
      </c>
      <c r="K19091" s="7" t="n">
        <v>2</v>
      </c>
      <c r="L19091" s="7" t="n">
        <v>28</v>
      </c>
      <c r="M19091" s="20" t="s">
        <v>3</v>
      </c>
      <c r="N19091" s="8" t="n">
        <v>162</v>
      </c>
      <c r="O19091" s="7" t="n">
        <v>3</v>
      </c>
      <c r="P19091" s="7" t="n">
        <v>33158</v>
      </c>
      <c r="Q19091" s="20" t="s">
        <v>3</v>
      </c>
      <c r="R19091" s="7" t="n">
        <v>0</v>
      </c>
      <c r="S19091" s="7" t="n">
        <v>2</v>
      </c>
      <c r="T19091" s="7" t="n">
        <v>2</v>
      </c>
      <c r="U19091" s="7" t="n">
        <v>11</v>
      </c>
      <c r="V19091" s="7" t="n">
        <v>1</v>
      </c>
      <c r="W19091" s="11" t="n">
        <f t="normal" ca="1">A19095</f>
        <v>0</v>
      </c>
    </row>
    <row r="19092" spans="1:6">
      <c r="A19092" t="s">
        <v>4</v>
      </c>
      <c r="B19092" s="4" t="s">
        <v>5</v>
      </c>
      <c r="C19092" s="4" t="s">
        <v>7</v>
      </c>
      <c r="D19092" s="4" t="s">
        <v>11</v>
      </c>
      <c r="E19092" s="4" t="s">
        <v>13</v>
      </c>
    </row>
    <row r="19093" spans="1:6">
      <c r="A19093" t="n">
        <v>184878</v>
      </c>
      <c r="B19093" s="23" t="n">
        <v>58</v>
      </c>
      <c r="C19093" s="7" t="n">
        <v>0</v>
      </c>
      <c r="D19093" s="7" t="n">
        <v>0</v>
      </c>
      <c r="E19093" s="7" t="n">
        <v>1</v>
      </c>
    </row>
    <row r="19094" spans="1:6">
      <c r="A19094" t="s">
        <v>4</v>
      </c>
      <c r="B19094" s="4" t="s">
        <v>5</v>
      </c>
      <c r="C19094" s="4" t="s">
        <v>7</v>
      </c>
      <c r="D19094" s="20" t="s">
        <v>35</v>
      </c>
      <c r="E19094" s="4" t="s">
        <v>5</v>
      </c>
      <c r="F19094" s="4" t="s">
        <v>7</v>
      </c>
      <c r="G19094" s="4" t="s">
        <v>11</v>
      </c>
      <c r="H19094" s="20" t="s">
        <v>36</v>
      </c>
      <c r="I19094" s="4" t="s">
        <v>7</v>
      </c>
      <c r="J19094" s="4" t="s">
        <v>15</v>
      </c>
      <c r="K19094" s="4" t="s">
        <v>7</v>
      </c>
      <c r="L19094" s="4" t="s">
        <v>7</v>
      </c>
      <c r="M19094" s="20" t="s">
        <v>35</v>
      </c>
      <c r="N19094" s="4" t="s">
        <v>5</v>
      </c>
      <c r="O19094" s="4" t="s">
        <v>7</v>
      </c>
      <c r="P19094" s="4" t="s">
        <v>11</v>
      </c>
      <c r="Q19094" s="20" t="s">
        <v>36</v>
      </c>
      <c r="R19094" s="4" t="s">
        <v>7</v>
      </c>
      <c r="S19094" s="4" t="s">
        <v>15</v>
      </c>
      <c r="T19094" s="4" t="s">
        <v>7</v>
      </c>
      <c r="U19094" s="4" t="s">
        <v>7</v>
      </c>
      <c r="V19094" s="4" t="s">
        <v>7</v>
      </c>
      <c r="W19094" s="4" t="s">
        <v>12</v>
      </c>
    </row>
    <row r="19095" spans="1:6">
      <c r="A19095" t="n">
        <v>184886</v>
      </c>
      <c r="B19095" s="10" t="n">
        <v>5</v>
      </c>
      <c r="C19095" s="7" t="n">
        <v>28</v>
      </c>
      <c r="D19095" s="20" t="s">
        <v>3</v>
      </c>
      <c r="E19095" s="8" t="n">
        <v>162</v>
      </c>
      <c r="F19095" s="7" t="n">
        <v>3</v>
      </c>
      <c r="G19095" s="7" t="n">
        <v>33158</v>
      </c>
      <c r="H19095" s="20" t="s">
        <v>3</v>
      </c>
      <c r="I19095" s="7" t="n">
        <v>0</v>
      </c>
      <c r="J19095" s="7" t="n">
        <v>1</v>
      </c>
      <c r="K19095" s="7" t="n">
        <v>3</v>
      </c>
      <c r="L19095" s="7" t="n">
        <v>28</v>
      </c>
      <c r="M19095" s="20" t="s">
        <v>3</v>
      </c>
      <c r="N19095" s="8" t="n">
        <v>162</v>
      </c>
      <c r="O19095" s="7" t="n">
        <v>3</v>
      </c>
      <c r="P19095" s="7" t="n">
        <v>33158</v>
      </c>
      <c r="Q19095" s="20" t="s">
        <v>3</v>
      </c>
      <c r="R19095" s="7" t="n">
        <v>0</v>
      </c>
      <c r="S19095" s="7" t="n">
        <v>2</v>
      </c>
      <c r="T19095" s="7" t="n">
        <v>3</v>
      </c>
      <c r="U19095" s="7" t="n">
        <v>9</v>
      </c>
      <c r="V19095" s="7" t="n">
        <v>1</v>
      </c>
      <c r="W19095" s="11" t="n">
        <f t="normal" ca="1">A19105</f>
        <v>0</v>
      </c>
    </row>
    <row r="19096" spans="1:6">
      <c r="A19096" t="s">
        <v>4</v>
      </c>
      <c r="B19096" s="4" t="s">
        <v>5</v>
      </c>
      <c r="C19096" s="4" t="s">
        <v>7</v>
      </c>
      <c r="D19096" s="20" t="s">
        <v>35</v>
      </c>
      <c r="E19096" s="4" t="s">
        <v>5</v>
      </c>
      <c r="F19096" s="4" t="s">
        <v>11</v>
      </c>
      <c r="G19096" s="4" t="s">
        <v>7</v>
      </c>
      <c r="H19096" s="4" t="s">
        <v>7</v>
      </c>
      <c r="I19096" s="4" t="s">
        <v>8</v>
      </c>
      <c r="J19096" s="20" t="s">
        <v>36</v>
      </c>
      <c r="K19096" s="4" t="s">
        <v>7</v>
      </c>
      <c r="L19096" s="4" t="s">
        <v>7</v>
      </c>
      <c r="M19096" s="20" t="s">
        <v>35</v>
      </c>
      <c r="N19096" s="4" t="s">
        <v>5</v>
      </c>
      <c r="O19096" s="4" t="s">
        <v>7</v>
      </c>
      <c r="P19096" s="20" t="s">
        <v>36</v>
      </c>
      <c r="Q19096" s="4" t="s">
        <v>7</v>
      </c>
      <c r="R19096" s="4" t="s">
        <v>15</v>
      </c>
      <c r="S19096" s="4" t="s">
        <v>7</v>
      </c>
      <c r="T19096" s="4" t="s">
        <v>7</v>
      </c>
      <c r="U19096" s="4" t="s">
        <v>7</v>
      </c>
      <c r="V19096" s="20" t="s">
        <v>35</v>
      </c>
      <c r="W19096" s="4" t="s">
        <v>5</v>
      </c>
      <c r="X19096" s="4" t="s">
        <v>7</v>
      </c>
      <c r="Y19096" s="20" t="s">
        <v>36</v>
      </c>
      <c r="Z19096" s="4" t="s">
        <v>7</v>
      </c>
      <c r="AA19096" s="4" t="s">
        <v>15</v>
      </c>
      <c r="AB19096" s="4" t="s">
        <v>7</v>
      </c>
      <c r="AC19096" s="4" t="s">
        <v>7</v>
      </c>
      <c r="AD19096" s="4" t="s">
        <v>7</v>
      </c>
      <c r="AE19096" s="4" t="s">
        <v>12</v>
      </c>
    </row>
    <row r="19097" spans="1:6">
      <c r="A19097" t="n">
        <v>184915</v>
      </c>
      <c r="B19097" s="10" t="n">
        <v>5</v>
      </c>
      <c r="C19097" s="7" t="n">
        <v>28</v>
      </c>
      <c r="D19097" s="20" t="s">
        <v>3</v>
      </c>
      <c r="E19097" s="41" t="n">
        <v>47</v>
      </c>
      <c r="F19097" s="7" t="n">
        <v>61456</v>
      </c>
      <c r="G19097" s="7" t="n">
        <v>2</v>
      </c>
      <c r="H19097" s="7" t="n">
        <v>0</v>
      </c>
      <c r="I19097" s="7" t="s">
        <v>105</v>
      </c>
      <c r="J19097" s="20" t="s">
        <v>3</v>
      </c>
      <c r="K19097" s="7" t="n">
        <v>8</v>
      </c>
      <c r="L19097" s="7" t="n">
        <v>28</v>
      </c>
      <c r="M19097" s="20" t="s">
        <v>3</v>
      </c>
      <c r="N19097" s="45" t="n">
        <v>74</v>
      </c>
      <c r="O19097" s="7" t="n">
        <v>65</v>
      </c>
      <c r="P19097" s="20" t="s">
        <v>3</v>
      </c>
      <c r="Q19097" s="7" t="n">
        <v>0</v>
      </c>
      <c r="R19097" s="7" t="n">
        <v>1</v>
      </c>
      <c r="S19097" s="7" t="n">
        <v>3</v>
      </c>
      <c r="T19097" s="7" t="n">
        <v>9</v>
      </c>
      <c r="U19097" s="7" t="n">
        <v>28</v>
      </c>
      <c r="V19097" s="20" t="s">
        <v>3</v>
      </c>
      <c r="W19097" s="45" t="n">
        <v>74</v>
      </c>
      <c r="X19097" s="7" t="n">
        <v>65</v>
      </c>
      <c r="Y19097" s="20" t="s">
        <v>3</v>
      </c>
      <c r="Z19097" s="7" t="n">
        <v>0</v>
      </c>
      <c r="AA19097" s="7" t="n">
        <v>2</v>
      </c>
      <c r="AB19097" s="7" t="n">
        <v>3</v>
      </c>
      <c r="AC19097" s="7" t="n">
        <v>9</v>
      </c>
      <c r="AD19097" s="7" t="n">
        <v>1</v>
      </c>
      <c r="AE19097" s="11" t="n">
        <f t="normal" ca="1">A19101</f>
        <v>0</v>
      </c>
    </row>
    <row r="19098" spans="1:6">
      <c r="A19098" t="s">
        <v>4</v>
      </c>
      <c r="B19098" s="4" t="s">
        <v>5</v>
      </c>
      <c r="C19098" s="4" t="s">
        <v>11</v>
      </c>
      <c r="D19098" s="4" t="s">
        <v>7</v>
      </c>
      <c r="E19098" s="4" t="s">
        <v>7</v>
      </c>
      <c r="F19098" s="4" t="s">
        <v>8</v>
      </c>
    </row>
    <row r="19099" spans="1:6">
      <c r="A19099" t="n">
        <v>184963</v>
      </c>
      <c r="B19099" s="41" t="n">
        <v>47</v>
      </c>
      <c r="C19099" s="7" t="n">
        <v>61456</v>
      </c>
      <c r="D19099" s="7" t="n">
        <v>0</v>
      </c>
      <c r="E19099" s="7" t="n">
        <v>0</v>
      </c>
      <c r="F19099" s="7" t="s">
        <v>106</v>
      </c>
    </row>
    <row r="19100" spans="1:6">
      <c r="A19100" t="s">
        <v>4</v>
      </c>
      <c r="B19100" s="4" t="s">
        <v>5</v>
      </c>
      <c r="C19100" s="4" t="s">
        <v>7</v>
      </c>
      <c r="D19100" s="4" t="s">
        <v>11</v>
      </c>
      <c r="E19100" s="4" t="s">
        <v>13</v>
      </c>
    </row>
    <row r="19101" spans="1:6">
      <c r="A19101" t="n">
        <v>184976</v>
      </c>
      <c r="B19101" s="23" t="n">
        <v>58</v>
      </c>
      <c r="C19101" s="7" t="n">
        <v>0</v>
      </c>
      <c r="D19101" s="7" t="n">
        <v>300</v>
      </c>
      <c r="E19101" s="7" t="n">
        <v>1</v>
      </c>
    </row>
    <row r="19102" spans="1:6">
      <c r="A19102" t="s">
        <v>4</v>
      </c>
      <c r="B19102" s="4" t="s">
        <v>5</v>
      </c>
      <c r="C19102" s="4" t="s">
        <v>7</v>
      </c>
      <c r="D19102" s="4" t="s">
        <v>11</v>
      </c>
    </row>
    <row r="19103" spans="1:6">
      <c r="A19103" t="n">
        <v>184984</v>
      </c>
      <c r="B19103" s="23" t="n">
        <v>58</v>
      </c>
      <c r="C19103" s="7" t="n">
        <v>255</v>
      </c>
      <c r="D19103" s="7" t="n">
        <v>0</v>
      </c>
    </row>
    <row r="19104" spans="1:6">
      <c r="A19104" t="s">
        <v>4</v>
      </c>
      <c r="B19104" s="4" t="s">
        <v>5</v>
      </c>
      <c r="C19104" s="4" t="s">
        <v>7</v>
      </c>
      <c r="D19104" s="4" t="s">
        <v>7</v>
      </c>
      <c r="E19104" s="4" t="s">
        <v>7</v>
      </c>
      <c r="F19104" s="4" t="s">
        <v>7</v>
      </c>
    </row>
    <row r="19105" spans="1:31">
      <c r="A19105" t="n">
        <v>184988</v>
      </c>
      <c r="B19105" s="9" t="n">
        <v>14</v>
      </c>
      <c r="C19105" s="7" t="n">
        <v>0</v>
      </c>
      <c r="D19105" s="7" t="n">
        <v>0</v>
      </c>
      <c r="E19105" s="7" t="n">
        <v>0</v>
      </c>
      <c r="F19105" s="7" t="n">
        <v>64</v>
      </c>
    </row>
    <row r="19106" spans="1:31">
      <c r="A19106" t="s">
        <v>4</v>
      </c>
      <c r="B19106" s="4" t="s">
        <v>5</v>
      </c>
      <c r="C19106" s="4" t="s">
        <v>7</v>
      </c>
      <c r="D19106" s="4" t="s">
        <v>11</v>
      </c>
    </row>
    <row r="19107" spans="1:31">
      <c r="A19107" t="n">
        <v>184993</v>
      </c>
      <c r="B19107" s="22" t="n">
        <v>22</v>
      </c>
      <c r="C19107" s="7" t="n">
        <v>0</v>
      </c>
      <c r="D19107" s="7" t="n">
        <v>33158</v>
      </c>
    </row>
    <row r="19108" spans="1:31">
      <c r="A19108" t="s">
        <v>4</v>
      </c>
      <c r="B19108" s="4" t="s">
        <v>5</v>
      </c>
      <c r="C19108" s="4" t="s">
        <v>7</v>
      </c>
      <c r="D19108" s="4" t="s">
        <v>11</v>
      </c>
    </row>
    <row r="19109" spans="1:31">
      <c r="A19109" t="n">
        <v>184997</v>
      </c>
      <c r="B19109" s="23" t="n">
        <v>58</v>
      </c>
      <c r="C19109" s="7" t="n">
        <v>5</v>
      </c>
      <c r="D19109" s="7" t="n">
        <v>300</v>
      </c>
    </row>
    <row r="19110" spans="1:31">
      <c r="A19110" t="s">
        <v>4</v>
      </c>
      <c r="B19110" s="4" t="s">
        <v>5</v>
      </c>
      <c r="C19110" s="4" t="s">
        <v>13</v>
      </c>
      <c r="D19110" s="4" t="s">
        <v>11</v>
      </c>
    </row>
    <row r="19111" spans="1:31">
      <c r="A19111" t="n">
        <v>185001</v>
      </c>
      <c r="B19111" s="46" t="n">
        <v>103</v>
      </c>
      <c r="C19111" s="7" t="n">
        <v>0</v>
      </c>
      <c r="D19111" s="7" t="n">
        <v>300</v>
      </c>
    </row>
    <row r="19112" spans="1:31">
      <c r="A19112" t="s">
        <v>4</v>
      </c>
      <c r="B19112" s="4" t="s">
        <v>5</v>
      </c>
      <c r="C19112" s="4" t="s">
        <v>7</v>
      </c>
    </row>
    <row r="19113" spans="1:31">
      <c r="A19113" t="n">
        <v>185008</v>
      </c>
      <c r="B19113" s="47" t="n">
        <v>64</v>
      </c>
      <c r="C19113" s="7" t="n">
        <v>7</v>
      </c>
    </row>
    <row r="19114" spans="1:31">
      <c r="A19114" t="s">
        <v>4</v>
      </c>
      <c r="B19114" s="4" t="s">
        <v>5</v>
      </c>
      <c r="C19114" s="4" t="s">
        <v>7</v>
      </c>
      <c r="D19114" s="4" t="s">
        <v>11</v>
      </c>
    </row>
    <row r="19115" spans="1:31">
      <c r="A19115" t="n">
        <v>185010</v>
      </c>
      <c r="B19115" s="48" t="n">
        <v>72</v>
      </c>
      <c r="C19115" s="7" t="n">
        <v>5</v>
      </c>
      <c r="D19115" s="7" t="n">
        <v>0</v>
      </c>
    </row>
    <row r="19116" spans="1:31">
      <c r="A19116" t="s">
        <v>4</v>
      </c>
      <c r="B19116" s="4" t="s">
        <v>5</v>
      </c>
      <c r="C19116" s="4" t="s">
        <v>7</v>
      </c>
      <c r="D19116" s="20" t="s">
        <v>35</v>
      </c>
      <c r="E19116" s="4" t="s">
        <v>5</v>
      </c>
      <c r="F19116" s="4" t="s">
        <v>7</v>
      </c>
      <c r="G19116" s="4" t="s">
        <v>11</v>
      </c>
      <c r="H19116" s="20" t="s">
        <v>36</v>
      </c>
      <c r="I19116" s="4" t="s">
        <v>7</v>
      </c>
      <c r="J19116" s="4" t="s">
        <v>15</v>
      </c>
      <c r="K19116" s="4" t="s">
        <v>7</v>
      </c>
      <c r="L19116" s="4" t="s">
        <v>7</v>
      </c>
      <c r="M19116" s="4" t="s">
        <v>12</v>
      </c>
    </row>
    <row r="19117" spans="1:31">
      <c r="A19117" t="n">
        <v>185014</v>
      </c>
      <c r="B19117" s="10" t="n">
        <v>5</v>
      </c>
      <c r="C19117" s="7" t="n">
        <v>28</v>
      </c>
      <c r="D19117" s="20" t="s">
        <v>3</v>
      </c>
      <c r="E19117" s="8" t="n">
        <v>162</v>
      </c>
      <c r="F19117" s="7" t="n">
        <v>4</v>
      </c>
      <c r="G19117" s="7" t="n">
        <v>33158</v>
      </c>
      <c r="H19117" s="20" t="s">
        <v>3</v>
      </c>
      <c r="I19117" s="7" t="n">
        <v>0</v>
      </c>
      <c r="J19117" s="7" t="n">
        <v>1</v>
      </c>
      <c r="K19117" s="7" t="n">
        <v>2</v>
      </c>
      <c r="L19117" s="7" t="n">
        <v>1</v>
      </c>
      <c r="M19117" s="11" t="n">
        <f t="normal" ca="1">A19123</f>
        <v>0</v>
      </c>
    </row>
    <row r="19118" spans="1:31">
      <c r="A19118" t="s">
        <v>4</v>
      </c>
      <c r="B19118" s="4" t="s">
        <v>5</v>
      </c>
      <c r="C19118" s="4" t="s">
        <v>7</v>
      </c>
      <c r="D19118" s="4" t="s">
        <v>8</v>
      </c>
    </row>
    <row r="19119" spans="1:31">
      <c r="A19119" t="n">
        <v>185031</v>
      </c>
      <c r="B19119" s="6" t="n">
        <v>2</v>
      </c>
      <c r="C19119" s="7" t="n">
        <v>10</v>
      </c>
      <c r="D19119" s="7" t="s">
        <v>107</v>
      </c>
    </row>
    <row r="19120" spans="1:31">
      <c r="A19120" t="s">
        <v>4</v>
      </c>
      <c r="B19120" s="4" t="s">
        <v>5</v>
      </c>
      <c r="C19120" s="4" t="s">
        <v>11</v>
      </c>
    </row>
    <row r="19121" spans="1:13">
      <c r="A19121" t="n">
        <v>185048</v>
      </c>
      <c r="B19121" s="29" t="n">
        <v>16</v>
      </c>
      <c r="C19121" s="7" t="n">
        <v>0</v>
      </c>
    </row>
    <row r="19122" spans="1:13">
      <c r="A19122" t="s">
        <v>4</v>
      </c>
      <c r="B19122" s="4" t="s">
        <v>5</v>
      </c>
      <c r="C19122" s="4" t="s">
        <v>11</v>
      </c>
      <c r="D19122" s="4" t="s">
        <v>7</v>
      </c>
      <c r="E19122" s="4" t="s">
        <v>7</v>
      </c>
      <c r="F19122" s="4" t="s">
        <v>8</v>
      </c>
    </row>
    <row r="19123" spans="1:13">
      <c r="A19123" t="n">
        <v>185051</v>
      </c>
      <c r="B19123" s="50" t="n">
        <v>20</v>
      </c>
      <c r="C19123" s="7" t="n">
        <v>0</v>
      </c>
      <c r="D19123" s="7" t="n">
        <v>3</v>
      </c>
      <c r="E19123" s="7" t="n">
        <v>10</v>
      </c>
      <c r="F19123" s="7" t="s">
        <v>108</v>
      </c>
    </row>
    <row r="19124" spans="1:13">
      <c r="A19124" t="s">
        <v>4</v>
      </c>
      <c r="B19124" s="4" t="s">
        <v>5</v>
      </c>
      <c r="C19124" s="4" t="s">
        <v>11</v>
      </c>
    </row>
    <row r="19125" spans="1:13">
      <c r="A19125" t="n">
        <v>185069</v>
      </c>
      <c r="B19125" s="29" t="n">
        <v>16</v>
      </c>
      <c r="C19125" s="7" t="n">
        <v>0</v>
      </c>
    </row>
    <row r="19126" spans="1:13">
      <c r="A19126" t="s">
        <v>4</v>
      </c>
      <c r="B19126" s="4" t="s">
        <v>5</v>
      </c>
      <c r="C19126" s="4" t="s">
        <v>11</v>
      </c>
      <c r="D19126" s="4" t="s">
        <v>7</v>
      </c>
      <c r="E19126" s="4" t="s">
        <v>7</v>
      </c>
      <c r="F19126" s="4" t="s">
        <v>8</v>
      </c>
    </row>
    <row r="19127" spans="1:13">
      <c r="A19127" t="n">
        <v>185072</v>
      </c>
      <c r="B19127" s="50" t="n">
        <v>20</v>
      </c>
      <c r="C19127" s="7" t="n">
        <v>5</v>
      </c>
      <c r="D19127" s="7" t="n">
        <v>3</v>
      </c>
      <c r="E19127" s="7" t="n">
        <v>10</v>
      </c>
      <c r="F19127" s="7" t="s">
        <v>108</v>
      </c>
    </row>
    <row r="19128" spans="1:13">
      <c r="A19128" t="s">
        <v>4</v>
      </c>
      <c r="B19128" s="4" t="s">
        <v>5</v>
      </c>
      <c r="C19128" s="4" t="s">
        <v>11</v>
      </c>
    </row>
    <row r="19129" spans="1:13">
      <c r="A19129" t="n">
        <v>185090</v>
      </c>
      <c r="B19129" s="29" t="n">
        <v>16</v>
      </c>
      <c r="C19129" s="7" t="n">
        <v>0</v>
      </c>
    </row>
    <row r="19130" spans="1:13">
      <c r="A19130" t="s">
        <v>4</v>
      </c>
      <c r="B19130" s="4" t="s">
        <v>5</v>
      </c>
      <c r="C19130" s="4" t="s">
        <v>7</v>
      </c>
      <c r="D19130" s="4" t="s">
        <v>11</v>
      </c>
      <c r="E19130" s="4" t="s">
        <v>7</v>
      </c>
      <c r="F19130" s="4" t="s">
        <v>8</v>
      </c>
      <c r="G19130" s="4" t="s">
        <v>8</v>
      </c>
      <c r="H19130" s="4" t="s">
        <v>8</v>
      </c>
      <c r="I19130" s="4" t="s">
        <v>8</v>
      </c>
      <c r="J19130" s="4" t="s">
        <v>8</v>
      </c>
      <c r="K19130" s="4" t="s">
        <v>8</v>
      </c>
      <c r="L19130" s="4" t="s">
        <v>8</v>
      </c>
      <c r="M19130" s="4" t="s">
        <v>8</v>
      </c>
      <c r="N19130" s="4" t="s">
        <v>8</v>
      </c>
      <c r="O19130" s="4" t="s">
        <v>8</v>
      </c>
      <c r="P19130" s="4" t="s">
        <v>8</v>
      </c>
      <c r="Q19130" s="4" t="s">
        <v>8</v>
      </c>
      <c r="R19130" s="4" t="s">
        <v>8</v>
      </c>
      <c r="S19130" s="4" t="s">
        <v>8</v>
      </c>
      <c r="T19130" s="4" t="s">
        <v>8</v>
      </c>
      <c r="U19130" s="4" t="s">
        <v>8</v>
      </c>
    </row>
    <row r="19131" spans="1:13">
      <c r="A19131" t="n">
        <v>185093</v>
      </c>
      <c r="B19131" s="40" t="n">
        <v>36</v>
      </c>
      <c r="C19131" s="7" t="n">
        <v>8</v>
      </c>
      <c r="D19131" s="7" t="n">
        <v>0</v>
      </c>
      <c r="E19131" s="7" t="n">
        <v>0</v>
      </c>
      <c r="F19131" s="7" t="s">
        <v>479</v>
      </c>
      <c r="G19131" s="7" t="s">
        <v>1572</v>
      </c>
      <c r="H19131" s="7" t="s">
        <v>16</v>
      </c>
      <c r="I19131" s="7" t="s">
        <v>16</v>
      </c>
      <c r="J19131" s="7" t="s">
        <v>16</v>
      </c>
      <c r="K19131" s="7" t="s">
        <v>16</v>
      </c>
      <c r="L19131" s="7" t="s">
        <v>16</v>
      </c>
      <c r="M19131" s="7" t="s">
        <v>16</v>
      </c>
      <c r="N19131" s="7" t="s">
        <v>16</v>
      </c>
      <c r="O19131" s="7" t="s">
        <v>16</v>
      </c>
      <c r="P19131" s="7" t="s">
        <v>16</v>
      </c>
      <c r="Q19131" s="7" t="s">
        <v>16</v>
      </c>
      <c r="R19131" s="7" t="s">
        <v>16</v>
      </c>
      <c r="S19131" s="7" t="s">
        <v>16</v>
      </c>
      <c r="T19131" s="7" t="s">
        <v>16</v>
      </c>
      <c r="U19131" s="7" t="s">
        <v>16</v>
      </c>
    </row>
    <row r="19132" spans="1:13">
      <c r="A19132" t="s">
        <v>4</v>
      </c>
      <c r="B19132" s="4" t="s">
        <v>5</v>
      </c>
      <c r="C19132" s="4" t="s">
        <v>7</v>
      </c>
      <c r="D19132" s="4" t="s">
        <v>11</v>
      </c>
      <c r="E19132" s="4" t="s">
        <v>7</v>
      </c>
      <c r="F19132" s="4" t="s">
        <v>8</v>
      </c>
      <c r="G19132" s="4" t="s">
        <v>8</v>
      </c>
      <c r="H19132" s="4" t="s">
        <v>8</v>
      </c>
      <c r="I19132" s="4" t="s">
        <v>8</v>
      </c>
      <c r="J19132" s="4" t="s">
        <v>8</v>
      </c>
      <c r="K19132" s="4" t="s">
        <v>8</v>
      </c>
      <c r="L19132" s="4" t="s">
        <v>8</v>
      </c>
      <c r="M19132" s="4" t="s">
        <v>8</v>
      </c>
      <c r="N19132" s="4" t="s">
        <v>8</v>
      </c>
      <c r="O19132" s="4" t="s">
        <v>8</v>
      </c>
      <c r="P19132" s="4" t="s">
        <v>8</v>
      </c>
      <c r="Q19132" s="4" t="s">
        <v>8</v>
      </c>
      <c r="R19132" s="4" t="s">
        <v>8</v>
      </c>
      <c r="S19132" s="4" t="s">
        <v>8</v>
      </c>
      <c r="T19132" s="4" t="s">
        <v>8</v>
      </c>
      <c r="U19132" s="4" t="s">
        <v>8</v>
      </c>
    </row>
    <row r="19133" spans="1:13">
      <c r="A19133" t="n">
        <v>185132</v>
      </c>
      <c r="B19133" s="40" t="n">
        <v>36</v>
      </c>
      <c r="C19133" s="7" t="n">
        <v>8</v>
      </c>
      <c r="D19133" s="7" t="n">
        <v>5</v>
      </c>
      <c r="E19133" s="7" t="n">
        <v>0</v>
      </c>
      <c r="F19133" s="7" t="s">
        <v>479</v>
      </c>
      <c r="G19133" s="7" t="s">
        <v>1572</v>
      </c>
      <c r="H19133" s="7" t="s">
        <v>16</v>
      </c>
      <c r="I19133" s="7" t="s">
        <v>16</v>
      </c>
      <c r="J19133" s="7" t="s">
        <v>16</v>
      </c>
      <c r="K19133" s="7" t="s">
        <v>16</v>
      </c>
      <c r="L19133" s="7" t="s">
        <v>16</v>
      </c>
      <c r="M19133" s="7" t="s">
        <v>16</v>
      </c>
      <c r="N19133" s="7" t="s">
        <v>16</v>
      </c>
      <c r="O19133" s="7" t="s">
        <v>16</v>
      </c>
      <c r="P19133" s="7" t="s">
        <v>16</v>
      </c>
      <c r="Q19133" s="7" t="s">
        <v>16</v>
      </c>
      <c r="R19133" s="7" t="s">
        <v>16</v>
      </c>
      <c r="S19133" s="7" t="s">
        <v>16</v>
      </c>
      <c r="T19133" s="7" t="s">
        <v>16</v>
      </c>
      <c r="U19133" s="7" t="s">
        <v>16</v>
      </c>
    </row>
    <row r="19134" spans="1:13">
      <c r="A19134" t="s">
        <v>4</v>
      </c>
      <c r="B19134" s="4" t="s">
        <v>5</v>
      </c>
      <c r="C19134" s="4" t="s">
        <v>7</v>
      </c>
    </row>
    <row r="19135" spans="1:13">
      <c r="A19135" t="n">
        <v>185171</v>
      </c>
      <c r="B19135" s="49" t="n">
        <v>116</v>
      </c>
      <c r="C19135" s="7" t="n">
        <v>0</v>
      </c>
    </row>
    <row r="19136" spans="1:13">
      <c r="A19136" t="s">
        <v>4</v>
      </c>
      <c r="B19136" s="4" t="s">
        <v>5</v>
      </c>
      <c r="C19136" s="4" t="s">
        <v>7</v>
      </c>
      <c r="D19136" s="4" t="s">
        <v>11</v>
      </c>
    </row>
    <row r="19137" spans="1:21">
      <c r="A19137" t="n">
        <v>185173</v>
      </c>
      <c r="B19137" s="49" t="n">
        <v>116</v>
      </c>
      <c r="C19137" s="7" t="n">
        <v>2</v>
      </c>
      <c r="D19137" s="7" t="n">
        <v>1</v>
      </c>
    </row>
    <row r="19138" spans="1:21">
      <c r="A19138" t="s">
        <v>4</v>
      </c>
      <c r="B19138" s="4" t="s">
        <v>5</v>
      </c>
      <c r="C19138" s="4" t="s">
        <v>7</v>
      </c>
      <c r="D19138" s="4" t="s">
        <v>15</v>
      </c>
    </row>
    <row r="19139" spans="1:21">
      <c r="A19139" t="n">
        <v>185177</v>
      </c>
      <c r="B19139" s="49" t="n">
        <v>116</v>
      </c>
      <c r="C19139" s="7" t="n">
        <v>5</v>
      </c>
      <c r="D19139" s="7" t="n">
        <v>1088421888</v>
      </c>
    </row>
    <row r="19140" spans="1:21">
      <c r="A19140" t="s">
        <v>4</v>
      </c>
      <c r="B19140" s="4" t="s">
        <v>5</v>
      </c>
      <c r="C19140" s="4" t="s">
        <v>7</v>
      </c>
      <c r="D19140" s="4" t="s">
        <v>11</v>
      </c>
    </row>
    <row r="19141" spans="1:21">
      <c r="A19141" t="n">
        <v>185183</v>
      </c>
      <c r="B19141" s="49" t="n">
        <v>116</v>
      </c>
      <c r="C19141" s="7" t="n">
        <v>6</v>
      </c>
      <c r="D19141" s="7" t="n">
        <v>1</v>
      </c>
    </row>
    <row r="19142" spans="1:21">
      <c r="A19142" t="s">
        <v>4</v>
      </c>
      <c r="B19142" s="4" t="s">
        <v>5</v>
      </c>
      <c r="C19142" s="4" t="s">
        <v>11</v>
      </c>
      <c r="D19142" s="4" t="s">
        <v>13</v>
      </c>
      <c r="E19142" s="4" t="s">
        <v>13</v>
      </c>
      <c r="F19142" s="4" t="s">
        <v>13</v>
      </c>
      <c r="G19142" s="4" t="s">
        <v>13</v>
      </c>
    </row>
    <row r="19143" spans="1:21">
      <c r="A19143" t="n">
        <v>185187</v>
      </c>
      <c r="B19143" s="36" t="n">
        <v>46</v>
      </c>
      <c r="C19143" s="7" t="n">
        <v>0</v>
      </c>
      <c r="D19143" s="7" t="n">
        <v>-19.1900005340576</v>
      </c>
      <c r="E19143" s="7" t="n">
        <v>10.0100002288818</v>
      </c>
      <c r="F19143" s="7" t="n">
        <v>58.2900009155273</v>
      </c>
      <c r="G19143" s="7" t="n">
        <v>290.700012207031</v>
      </c>
    </row>
    <row r="19144" spans="1:21">
      <c r="A19144" t="s">
        <v>4</v>
      </c>
      <c r="B19144" s="4" t="s">
        <v>5</v>
      </c>
      <c r="C19144" s="4" t="s">
        <v>11</v>
      </c>
      <c r="D19144" s="4" t="s">
        <v>11</v>
      </c>
      <c r="E19144" s="4" t="s">
        <v>11</v>
      </c>
      <c r="F19144" s="4" t="s">
        <v>15</v>
      </c>
      <c r="G19144" s="4" t="s">
        <v>15</v>
      </c>
      <c r="H19144" s="4" t="s">
        <v>15</v>
      </c>
    </row>
    <row r="19145" spans="1:21">
      <c r="A19145" t="n">
        <v>185206</v>
      </c>
      <c r="B19145" s="72" t="n">
        <v>61</v>
      </c>
      <c r="C19145" s="7" t="n">
        <v>5</v>
      </c>
      <c r="D19145" s="7" t="n">
        <v>65535</v>
      </c>
      <c r="E19145" s="7" t="n">
        <v>0</v>
      </c>
      <c r="F19145" s="7" t="n">
        <v>-1046415933</v>
      </c>
      <c r="G19145" s="7" t="n">
        <v>1093538939</v>
      </c>
      <c r="H19145" s="7" t="n">
        <v>1114366280</v>
      </c>
    </row>
    <row r="19146" spans="1:21">
      <c r="A19146" t="s">
        <v>4</v>
      </c>
      <c r="B19146" s="4" t="s">
        <v>5</v>
      </c>
      <c r="C19146" s="4" t="s">
        <v>7</v>
      </c>
      <c r="D19146" s="4" t="s">
        <v>7</v>
      </c>
      <c r="E19146" s="4" t="s">
        <v>13</v>
      </c>
      <c r="F19146" s="4" t="s">
        <v>13</v>
      </c>
      <c r="G19146" s="4" t="s">
        <v>13</v>
      </c>
      <c r="H19146" s="4" t="s">
        <v>11</v>
      </c>
    </row>
    <row r="19147" spans="1:21">
      <c r="A19147" t="n">
        <v>185225</v>
      </c>
      <c r="B19147" s="51" t="n">
        <v>45</v>
      </c>
      <c r="C19147" s="7" t="n">
        <v>2</v>
      </c>
      <c r="D19147" s="7" t="n">
        <v>3</v>
      </c>
      <c r="E19147" s="7" t="n">
        <v>-19.5400009155273</v>
      </c>
      <c r="F19147" s="7" t="n">
        <v>11.25</v>
      </c>
      <c r="G19147" s="7" t="n">
        <v>58.4300003051758</v>
      </c>
      <c r="H19147" s="7" t="n">
        <v>0</v>
      </c>
    </row>
    <row r="19148" spans="1:21">
      <c r="A19148" t="s">
        <v>4</v>
      </c>
      <c r="B19148" s="4" t="s">
        <v>5</v>
      </c>
      <c r="C19148" s="4" t="s">
        <v>7</v>
      </c>
      <c r="D19148" s="4" t="s">
        <v>7</v>
      </c>
      <c r="E19148" s="4" t="s">
        <v>13</v>
      </c>
      <c r="F19148" s="4" t="s">
        <v>13</v>
      </c>
      <c r="G19148" s="4" t="s">
        <v>13</v>
      </c>
      <c r="H19148" s="4" t="s">
        <v>11</v>
      </c>
      <c r="I19148" s="4" t="s">
        <v>7</v>
      </c>
    </row>
    <row r="19149" spans="1:21">
      <c r="A19149" t="n">
        <v>185242</v>
      </c>
      <c r="B19149" s="51" t="n">
        <v>45</v>
      </c>
      <c r="C19149" s="7" t="n">
        <v>4</v>
      </c>
      <c r="D19149" s="7" t="n">
        <v>3</v>
      </c>
      <c r="E19149" s="7" t="n">
        <v>19.6599998474121</v>
      </c>
      <c r="F19149" s="7" t="n">
        <v>65.1699981689453</v>
      </c>
      <c r="G19149" s="7" t="n">
        <v>0</v>
      </c>
      <c r="H19149" s="7" t="n">
        <v>0</v>
      </c>
      <c r="I19149" s="7" t="n">
        <v>0</v>
      </c>
    </row>
    <row r="19150" spans="1:21">
      <c r="A19150" t="s">
        <v>4</v>
      </c>
      <c r="B19150" s="4" t="s">
        <v>5</v>
      </c>
      <c r="C19150" s="4" t="s">
        <v>7</v>
      </c>
      <c r="D19150" s="4" t="s">
        <v>7</v>
      </c>
      <c r="E19150" s="4" t="s">
        <v>13</v>
      </c>
      <c r="F19150" s="4" t="s">
        <v>11</v>
      </c>
    </row>
    <row r="19151" spans="1:21">
      <c r="A19151" t="n">
        <v>185260</v>
      </c>
      <c r="B19151" s="51" t="n">
        <v>45</v>
      </c>
      <c r="C19151" s="7" t="n">
        <v>5</v>
      </c>
      <c r="D19151" s="7" t="n">
        <v>3</v>
      </c>
      <c r="E19151" s="7" t="n">
        <v>1.5</v>
      </c>
      <c r="F19151" s="7" t="n">
        <v>0</v>
      </c>
    </row>
    <row r="19152" spans="1:21">
      <c r="A19152" t="s">
        <v>4</v>
      </c>
      <c r="B19152" s="4" t="s">
        <v>5</v>
      </c>
      <c r="C19152" s="4" t="s">
        <v>7</v>
      </c>
      <c r="D19152" s="4" t="s">
        <v>7</v>
      </c>
      <c r="E19152" s="4" t="s">
        <v>13</v>
      </c>
      <c r="F19152" s="4" t="s">
        <v>11</v>
      </c>
    </row>
    <row r="19153" spans="1:9">
      <c r="A19153" t="n">
        <v>185269</v>
      </c>
      <c r="B19153" s="51" t="n">
        <v>45</v>
      </c>
      <c r="C19153" s="7" t="n">
        <v>5</v>
      </c>
      <c r="D19153" s="7" t="n">
        <v>3</v>
      </c>
      <c r="E19153" s="7" t="n">
        <v>1.20000004768372</v>
      </c>
      <c r="F19153" s="7" t="n">
        <v>3000</v>
      </c>
    </row>
    <row r="19154" spans="1:9">
      <c r="A19154" t="s">
        <v>4</v>
      </c>
      <c r="B19154" s="4" t="s">
        <v>5</v>
      </c>
      <c r="C19154" s="4" t="s">
        <v>7</v>
      </c>
      <c r="D19154" s="4" t="s">
        <v>7</v>
      </c>
      <c r="E19154" s="4" t="s">
        <v>13</v>
      </c>
      <c r="F19154" s="4" t="s">
        <v>11</v>
      </c>
    </row>
    <row r="19155" spans="1:9">
      <c r="A19155" t="n">
        <v>185278</v>
      </c>
      <c r="B19155" s="51" t="n">
        <v>45</v>
      </c>
      <c r="C19155" s="7" t="n">
        <v>11</v>
      </c>
      <c r="D19155" s="7" t="n">
        <v>3</v>
      </c>
      <c r="E19155" s="7" t="n">
        <v>38</v>
      </c>
      <c r="F19155" s="7" t="n">
        <v>0</v>
      </c>
    </row>
    <row r="19156" spans="1:9">
      <c r="A19156" t="s">
        <v>4</v>
      </c>
      <c r="B19156" s="4" t="s">
        <v>5</v>
      </c>
      <c r="C19156" s="4" t="s">
        <v>11</v>
      </c>
    </row>
    <row r="19157" spans="1:9">
      <c r="A19157" t="n">
        <v>185287</v>
      </c>
      <c r="B19157" s="29" t="n">
        <v>16</v>
      </c>
      <c r="C19157" s="7" t="n">
        <v>0</v>
      </c>
    </row>
    <row r="19158" spans="1:9">
      <c r="A19158" t="s">
        <v>4</v>
      </c>
      <c r="B19158" s="4" t="s">
        <v>5</v>
      </c>
      <c r="C19158" s="4" t="s">
        <v>11</v>
      </c>
      <c r="D19158" s="4" t="s">
        <v>11</v>
      </c>
      <c r="E19158" s="4" t="s">
        <v>11</v>
      </c>
    </row>
    <row r="19159" spans="1:9">
      <c r="A19159" t="n">
        <v>185290</v>
      </c>
      <c r="B19159" s="72" t="n">
        <v>61</v>
      </c>
      <c r="C19159" s="7" t="n">
        <v>0</v>
      </c>
      <c r="D19159" s="7" t="n">
        <v>5</v>
      </c>
      <c r="E19159" s="7" t="n">
        <v>0</v>
      </c>
    </row>
    <row r="19160" spans="1:9">
      <c r="A19160" t="s">
        <v>4</v>
      </c>
      <c r="B19160" s="4" t="s">
        <v>5</v>
      </c>
      <c r="C19160" s="4" t="s">
        <v>11</v>
      </c>
      <c r="D19160" s="4" t="s">
        <v>7</v>
      </c>
      <c r="E19160" s="4" t="s">
        <v>8</v>
      </c>
      <c r="F19160" s="4" t="s">
        <v>13</v>
      </c>
      <c r="G19160" s="4" t="s">
        <v>13</v>
      </c>
      <c r="H19160" s="4" t="s">
        <v>13</v>
      </c>
    </row>
    <row r="19161" spans="1:9">
      <c r="A19161" t="n">
        <v>185297</v>
      </c>
      <c r="B19161" s="42" t="n">
        <v>48</v>
      </c>
      <c r="C19161" s="7" t="n">
        <v>0</v>
      </c>
      <c r="D19161" s="7" t="n">
        <v>0</v>
      </c>
      <c r="E19161" s="7" t="s">
        <v>275</v>
      </c>
      <c r="F19161" s="7" t="n">
        <v>0</v>
      </c>
      <c r="G19161" s="7" t="n">
        <v>1</v>
      </c>
      <c r="H19161" s="7" t="n">
        <v>0</v>
      </c>
    </row>
    <row r="19162" spans="1:9">
      <c r="A19162" t="s">
        <v>4</v>
      </c>
      <c r="B19162" s="4" t="s">
        <v>5</v>
      </c>
      <c r="C19162" s="4" t="s">
        <v>7</v>
      </c>
      <c r="D19162" s="4" t="s">
        <v>11</v>
      </c>
      <c r="E19162" s="4" t="s">
        <v>13</v>
      </c>
    </row>
    <row r="19163" spans="1:9">
      <c r="A19163" t="n">
        <v>185322</v>
      </c>
      <c r="B19163" s="23" t="n">
        <v>58</v>
      </c>
      <c r="C19163" s="7" t="n">
        <v>100</v>
      </c>
      <c r="D19163" s="7" t="n">
        <v>1000</v>
      </c>
      <c r="E19163" s="7" t="n">
        <v>1</v>
      </c>
    </row>
    <row r="19164" spans="1:9">
      <c r="A19164" t="s">
        <v>4</v>
      </c>
      <c r="B19164" s="4" t="s">
        <v>5</v>
      </c>
      <c r="C19164" s="4" t="s">
        <v>7</v>
      </c>
      <c r="D19164" s="4" t="s">
        <v>11</v>
      </c>
    </row>
    <row r="19165" spans="1:9">
      <c r="A19165" t="n">
        <v>185330</v>
      </c>
      <c r="B19165" s="23" t="n">
        <v>58</v>
      </c>
      <c r="C19165" s="7" t="n">
        <v>255</v>
      </c>
      <c r="D19165" s="7" t="n">
        <v>0</v>
      </c>
    </row>
    <row r="19166" spans="1:9">
      <c r="A19166" t="s">
        <v>4</v>
      </c>
      <c r="B19166" s="4" t="s">
        <v>5</v>
      </c>
      <c r="C19166" s="4" t="s">
        <v>7</v>
      </c>
      <c r="D19166" s="4" t="s">
        <v>11</v>
      </c>
      <c r="E19166" s="4" t="s">
        <v>7</v>
      </c>
      <c r="F19166" s="4" t="s">
        <v>12</v>
      </c>
    </row>
    <row r="19167" spans="1:9">
      <c r="A19167" t="n">
        <v>185334</v>
      </c>
      <c r="B19167" s="10" t="n">
        <v>5</v>
      </c>
      <c r="C19167" s="7" t="n">
        <v>30</v>
      </c>
      <c r="D19167" s="7" t="n">
        <v>10829</v>
      </c>
      <c r="E19167" s="7" t="n">
        <v>1</v>
      </c>
      <c r="F19167" s="11" t="n">
        <f t="normal" ca="1">A19181</f>
        <v>0</v>
      </c>
    </row>
    <row r="19168" spans="1:9">
      <c r="A19168" t="s">
        <v>4</v>
      </c>
      <c r="B19168" s="4" t="s">
        <v>5</v>
      </c>
      <c r="C19168" s="4" t="s">
        <v>7</v>
      </c>
      <c r="D19168" s="4" t="s">
        <v>11</v>
      </c>
      <c r="E19168" s="4" t="s">
        <v>8</v>
      </c>
    </row>
    <row r="19169" spans="1:8">
      <c r="A19169" t="n">
        <v>185343</v>
      </c>
      <c r="B19169" s="38" t="n">
        <v>51</v>
      </c>
      <c r="C19169" s="7" t="n">
        <v>4</v>
      </c>
      <c r="D19169" s="7" t="n">
        <v>0</v>
      </c>
      <c r="E19169" s="7" t="s">
        <v>430</v>
      </c>
    </row>
    <row r="19170" spans="1:8">
      <c r="A19170" t="s">
        <v>4</v>
      </c>
      <c r="B19170" s="4" t="s">
        <v>5</v>
      </c>
      <c r="C19170" s="4" t="s">
        <v>11</v>
      </c>
    </row>
    <row r="19171" spans="1:8">
      <c r="A19171" t="n">
        <v>185356</v>
      </c>
      <c r="B19171" s="29" t="n">
        <v>16</v>
      </c>
      <c r="C19171" s="7" t="n">
        <v>0</v>
      </c>
    </row>
    <row r="19172" spans="1:8">
      <c r="A19172" t="s">
        <v>4</v>
      </c>
      <c r="B19172" s="4" t="s">
        <v>5</v>
      </c>
      <c r="C19172" s="4" t="s">
        <v>11</v>
      </c>
      <c r="D19172" s="4" t="s">
        <v>7</v>
      </c>
      <c r="E19172" s="4" t="s">
        <v>15</v>
      </c>
      <c r="F19172" s="4" t="s">
        <v>55</v>
      </c>
      <c r="G19172" s="4" t="s">
        <v>7</v>
      </c>
      <c r="H19172" s="4" t="s">
        <v>7</v>
      </c>
    </row>
    <row r="19173" spans="1:8">
      <c r="A19173" t="n">
        <v>185359</v>
      </c>
      <c r="B19173" s="55" t="n">
        <v>26</v>
      </c>
      <c r="C19173" s="7" t="n">
        <v>0</v>
      </c>
      <c r="D19173" s="7" t="n">
        <v>17</v>
      </c>
      <c r="E19173" s="7" t="n">
        <v>64588</v>
      </c>
      <c r="F19173" s="7" t="s">
        <v>1573</v>
      </c>
      <c r="G19173" s="7" t="n">
        <v>2</v>
      </c>
      <c r="H19173" s="7" t="n">
        <v>0</v>
      </c>
    </row>
    <row r="19174" spans="1:8">
      <c r="A19174" t="s">
        <v>4</v>
      </c>
      <c r="B19174" s="4" t="s">
        <v>5</v>
      </c>
    </row>
    <row r="19175" spans="1:8">
      <c r="A19175" t="n">
        <v>185400</v>
      </c>
      <c r="B19175" s="27" t="n">
        <v>28</v>
      </c>
    </row>
    <row r="19176" spans="1:8">
      <c r="A19176" t="s">
        <v>4</v>
      </c>
      <c r="B19176" s="4" t="s">
        <v>5</v>
      </c>
      <c r="C19176" s="4" t="s">
        <v>7</v>
      </c>
      <c r="D19176" s="4" t="s">
        <v>11</v>
      </c>
      <c r="E19176" s="4" t="s">
        <v>11</v>
      </c>
      <c r="F19176" s="4" t="s">
        <v>7</v>
      </c>
    </row>
    <row r="19177" spans="1:8">
      <c r="A19177" t="n">
        <v>185401</v>
      </c>
      <c r="B19177" s="31" t="n">
        <v>25</v>
      </c>
      <c r="C19177" s="7" t="n">
        <v>1</v>
      </c>
      <c r="D19177" s="7" t="n">
        <v>65535</v>
      </c>
      <c r="E19177" s="7" t="n">
        <v>65535</v>
      </c>
      <c r="F19177" s="7" t="n">
        <v>0</v>
      </c>
    </row>
    <row r="19178" spans="1:8">
      <c r="A19178" t="s">
        <v>4</v>
      </c>
      <c r="B19178" s="4" t="s">
        <v>5</v>
      </c>
      <c r="C19178" s="4" t="s">
        <v>12</v>
      </c>
    </row>
    <row r="19179" spans="1:8">
      <c r="A19179" t="n">
        <v>185408</v>
      </c>
      <c r="B19179" s="19" t="n">
        <v>3</v>
      </c>
      <c r="C19179" s="11" t="n">
        <f t="normal" ca="1">A19191</f>
        <v>0</v>
      </c>
    </row>
    <row r="19180" spans="1:8">
      <c r="A19180" t="s">
        <v>4</v>
      </c>
      <c r="B19180" s="4" t="s">
        <v>5</v>
      </c>
      <c r="C19180" s="4" t="s">
        <v>7</v>
      </c>
      <c r="D19180" s="4" t="s">
        <v>11</v>
      </c>
      <c r="E19180" s="4" t="s">
        <v>8</v>
      </c>
    </row>
    <row r="19181" spans="1:8">
      <c r="A19181" t="n">
        <v>185413</v>
      </c>
      <c r="B19181" s="38" t="n">
        <v>51</v>
      </c>
      <c r="C19181" s="7" t="n">
        <v>4</v>
      </c>
      <c r="D19181" s="7" t="n">
        <v>0</v>
      </c>
      <c r="E19181" s="7" t="s">
        <v>430</v>
      </c>
    </row>
    <row r="19182" spans="1:8">
      <c r="A19182" t="s">
        <v>4</v>
      </c>
      <c r="B19182" s="4" t="s">
        <v>5</v>
      </c>
      <c r="C19182" s="4" t="s">
        <v>11</v>
      </c>
    </row>
    <row r="19183" spans="1:8">
      <c r="A19183" t="n">
        <v>185426</v>
      </c>
      <c r="B19183" s="29" t="n">
        <v>16</v>
      </c>
      <c r="C19183" s="7" t="n">
        <v>0</v>
      </c>
    </row>
    <row r="19184" spans="1:8">
      <c r="A19184" t="s">
        <v>4</v>
      </c>
      <c r="B19184" s="4" t="s">
        <v>5</v>
      </c>
      <c r="C19184" s="4" t="s">
        <v>11</v>
      </c>
      <c r="D19184" s="4" t="s">
        <v>7</v>
      </c>
      <c r="E19184" s="4" t="s">
        <v>15</v>
      </c>
      <c r="F19184" s="4" t="s">
        <v>55</v>
      </c>
      <c r="G19184" s="4" t="s">
        <v>7</v>
      </c>
      <c r="H19184" s="4" t="s">
        <v>7</v>
      </c>
    </row>
    <row r="19185" spans="1:8">
      <c r="A19185" t="n">
        <v>185429</v>
      </c>
      <c r="B19185" s="55" t="n">
        <v>26</v>
      </c>
      <c r="C19185" s="7" t="n">
        <v>0</v>
      </c>
      <c r="D19185" s="7" t="n">
        <v>17</v>
      </c>
      <c r="E19185" s="7" t="n">
        <v>64588</v>
      </c>
      <c r="F19185" s="7" t="s">
        <v>1573</v>
      </c>
      <c r="G19185" s="7" t="n">
        <v>2</v>
      </c>
      <c r="H19185" s="7" t="n">
        <v>0</v>
      </c>
    </row>
    <row r="19186" spans="1:8">
      <c r="A19186" t="s">
        <v>4</v>
      </c>
      <c r="B19186" s="4" t="s">
        <v>5</v>
      </c>
    </row>
    <row r="19187" spans="1:8">
      <c r="A19187" t="n">
        <v>185470</v>
      </c>
      <c r="B19187" s="27" t="n">
        <v>28</v>
      </c>
    </row>
    <row r="19188" spans="1:8">
      <c r="A19188" t="s">
        <v>4</v>
      </c>
      <c r="B19188" s="4" t="s">
        <v>5</v>
      </c>
      <c r="C19188" s="4" t="s">
        <v>7</v>
      </c>
      <c r="D19188" s="4" t="s">
        <v>11</v>
      </c>
      <c r="E19188" s="4" t="s">
        <v>11</v>
      </c>
      <c r="F19188" s="4" t="s">
        <v>7</v>
      </c>
    </row>
    <row r="19189" spans="1:8">
      <c r="A19189" t="n">
        <v>185471</v>
      </c>
      <c r="B19189" s="31" t="n">
        <v>25</v>
      </c>
      <c r="C19189" s="7" t="n">
        <v>1</v>
      </c>
      <c r="D19189" s="7" t="n">
        <v>65535</v>
      </c>
      <c r="E19189" s="7" t="n">
        <v>65535</v>
      </c>
      <c r="F19189" s="7" t="n">
        <v>0</v>
      </c>
    </row>
    <row r="19190" spans="1:8">
      <c r="A19190" t="s">
        <v>4</v>
      </c>
      <c r="B19190" s="4" t="s">
        <v>5</v>
      </c>
      <c r="C19190" s="4" t="s">
        <v>7</v>
      </c>
      <c r="D19190" s="4" t="s">
        <v>11</v>
      </c>
      <c r="E19190" s="4" t="s">
        <v>8</v>
      </c>
      <c r="F19190" s="4" t="s">
        <v>8</v>
      </c>
      <c r="G19190" s="4" t="s">
        <v>8</v>
      </c>
      <c r="H19190" s="4" t="s">
        <v>8</v>
      </c>
    </row>
    <row r="19191" spans="1:8">
      <c r="A19191" t="n">
        <v>185478</v>
      </c>
      <c r="B19191" s="38" t="n">
        <v>51</v>
      </c>
      <c r="C19191" s="7" t="n">
        <v>3</v>
      </c>
      <c r="D19191" s="7" t="n">
        <v>5</v>
      </c>
      <c r="E19191" s="7" t="s">
        <v>154</v>
      </c>
      <c r="F19191" s="7" t="s">
        <v>218</v>
      </c>
      <c r="G19191" s="7" t="s">
        <v>78</v>
      </c>
      <c r="H19191" s="7" t="s">
        <v>79</v>
      </c>
    </row>
    <row r="19192" spans="1:8">
      <c r="A19192" t="s">
        <v>4</v>
      </c>
      <c r="B19192" s="4" t="s">
        <v>5</v>
      </c>
      <c r="C19192" s="4" t="s">
        <v>11</v>
      </c>
      <c r="D19192" s="4" t="s">
        <v>7</v>
      </c>
      <c r="E19192" s="4" t="s">
        <v>13</v>
      </c>
      <c r="F19192" s="4" t="s">
        <v>11</v>
      </c>
    </row>
    <row r="19193" spans="1:8">
      <c r="A19193" t="n">
        <v>185491</v>
      </c>
      <c r="B19193" s="56" t="n">
        <v>59</v>
      </c>
      <c r="C19193" s="7" t="n">
        <v>5</v>
      </c>
      <c r="D19193" s="7" t="n">
        <v>13</v>
      </c>
      <c r="E19193" s="7" t="n">
        <v>0.150000005960464</v>
      </c>
      <c r="F19193" s="7" t="n">
        <v>0</v>
      </c>
    </row>
    <row r="19194" spans="1:8">
      <c r="A19194" t="s">
        <v>4</v>
      </c>
      <c r="B19194" s="4" t="s">
        <v>5</v>
      </c>
      <c r="C19194" s="4" t="s">
        <v>11</v>
      </c>
    </row>
    <row r="19195" spans="1:8">
      <c r="A19195" t="n">
        <v>185501</v>
      </c>
      <c r="B19195" s="29" t="n">
        <v>16</v>
      </c>
      <c r="C19195" s="7" t="n">
        <v>1000</v>
      </c>
    </row>
    <row r="19196" spans="1:8">
      <c r="A19196" t="s">
        <v>4</v>
      </c>
      <c r="B19196" s="4" t="s">
        <v>5</v>
      </c>
      <c r="C19196" s="4" t="s">
        <v>11</v>
      </c>
      <c r="D19196" s="4" t="s">
        <v>11</v>
      </c>
      <c r="E19196" s="4" t="s">
        <v>11</v>
      </c>
      <c r="F19196" s="4" t="s">
        <v>15</v>
      </c>
      <c r="G19196" s="4" t="s">
        <v>15</v>
      </c>
      <c r="H19196" s="4" t="s">
        <v>15</v>
      </c>
    </row>
    <row r="19197" spans="1:8">
      <c r="A19197" t="n">
        <v>185504</v>
      </c>
      <c r="B19197" s="72" t="n">
        <v>61</v>
      </c>
      <c r="C19197" s="7" t="n">
        <v>5</v>
      </c>
      <c r="D19197" s="7" t="n">
        <v>65535</v>
      </c>
      <c r="E19197" s="7" t="n">
        <v>1000</v>
      </c>
      <c r="F19197" s="7" t="n">
        <v>-1046914007</v>
      </c>
      <c r="G19197" s="7" t="n">
        <v>1094251971</v>
      </c>
      <c r="H19197" s="7" t="n">
        <v>1114190643</v>
      </c>
    </row>
    <row r="19198" spans="1:8">
      <c r="A19198" t="s">
        <v>4</v>
      </c>
      <c r="B19198" s="4" t="s">
        <v>5</v>
      </c>
      <c r="C19198" s="4" t="s">
        <v>11</v>
      </c>
      <c r="D19198" s="4" t="s">
        <v>13</v>
      </c>
      <c r="E19198" s="4" t="s">
        <v>13</v>
      </c>
      <c r="F19198" s="4" t="s">
        <v>7</v>
      </c>
    </row>
    <row r="19199" spans="1:8">
      <c r="A19199" t="n">
        <v>185523</v>
      </c>
      <c r="B19199" s="65" t="n">
        <v>52</v>
      </c>
      <c r="C19199" s="7" t="n">
        <v>5</v>
      </c>
      <c r="D19199" s="7" t="n">
        <v>48.7000007629395</v>
      </c>
      <c r="E19199" s="7" t="n">
        <v>5</v>
      </c>
      <c r="F19199" s="7" t="n">
        <v>1</v>
      </c>
    </row>
    <row r="19200" spans="1:8">
      <c r="A19200" t="s">
        <v>4</v>
      </c>
      <c r="B19200" s="4" t="s">
        <v>5</v>
      </c>
      <c r="C19200" s="4" t="s">
        <v>11</v>
      </c>
    </row>
    <row r="19201" spans="1:8">
      <c r="A19201" t="n">
        <v>185535</v>
      </c>
      <c r="B19201" s="29" t="n">
        <v>16</v>
      </c>
      <c r="C19201" s="7" t="n">
        <v>100</v>
      </c>
    </row>
    <row r="19202" spans="1:8">
      <c r="A19202" t="s">
        <v>4</v>
      </c>
      <c r="B19202" s="4" t="s">
        <v>5</v>
      </c>
      <c r="C19202" s="4" t="s">
        <v>7</v>
      </c>
      <c r="D19202" s="4" t="s">
        <v>11</v>
      </c>
      <c r="E19202" s="4" t="s">
        <v>13</v>
      </c>
    </row>
    <row r="19203" spans="1:8">
      <c r="A19203" t="n">
        <v>185538</v>
      </c>
      <c r="B19203" s="23" t="n">
        <v>58</v>
      </c>
      <c r="C19203" s="7" t="n">
        <v>101</v>
      </c>
      <c r="D19203" s="7" t="n">
        <v>300</v>
      </c>
      <c r="E19203" s="7" t="n">
        <v>1</v>
      </c>
    </row>
    <row r="19204" spans="1:8">
      <c r="A19204" t="s">
        <v>4</v>
      </c>
      <c r="B19204" s="4" t="s">
        <v>5</v>
      </c>
      <c r="C19204" s="4" t="s">
        <v>7</v>
      </c>
      <c r="D19204" s="4" t="s">
        <v>11</v>
      </c>
    </row>
    <row r="19205" spans="1:8">
      <c r="A19205" t="n">
        <v>185546</v>
      </c>
      <c r="B19205" s="23" t="n">
        <v>58</v>
      </c>
      <c r="C19205" s="7" t="n">
        <v>254</v>
      </c>
      <c r="D19205" s="7" t="n">
        <v>0</v>
      </c>
    </row>
    <row r="19206" spans="1:8">
      <c r="A19206" t="s">
        <v>4</v>
      </c>
      <c r="B19206" s="4" t="s">
        <v>5</v>
      </c>
      <c r="C19206" s="4" t="s">
        <v>11</v>
      </c>
      <c r="D19206" s="4" t="s">
        <v>7</v>
      </c>
      <c r="E19206" s="4" t="s">
        <v>8</v>
      </c>
      <c r="F19206" s="4" t="s">
        <v>13</v>
      </c>
      <c r="G19206" s="4" t="s">
        <v>13</v>
      </c>
      <c r="H19206" s="4" t="s">
        <v>13</v>
      </c>
    </row>
    <row r="19207" spans="1:8">
      <c r="A19207" t="n">
        <v>185550</v>
      </c>
      <c r="B19207" s="42" t="n">
        <v>48</v>
      </c>
      <c r="C19207" s="7" t="n">
        <v>5</v>
      </c>
      <c r="D19207" s="7" t="n">
        <v>0</v>
      </c>
      <c r="E19207" s="7" t="s">
        <v>1574</v>
      </c>
      <c r="F19207" s="7" t="n">
        <v>-1</v>
      </c>
      <c r="G19207" s="7" t="n">
        <v>1</v>
      </c>
      <c r="H19207" s="7" t="n">
        <v>0</v>
      </c>
    </row>
    <row r="19208" spans="1:8">
      <c r="A19208" t="s">
        <v>4</v>
      </c>
      <c r="B19208" s="4" t="s">
        <v>5</v>
      </c>
      <c r="C19208" s="4" t="s">
        <v>11</v>
      </c>
      <c r="D19208" s="4" t="s">
        <v>7</v>
      </c>
      <c r="E19208" s="4" t="s">
        <v>8</v>
      </c>
      <c r="F19208" s="4" t="s">
        <v>13</v>
      </c>
      <c r="G19208" s="4" t="s">
        <v>13</v>
      </c>
      <c r="H19208" s="4" t="s">
        <v>13</v>
      </c>
    </row>
    <row r="19209" spans="1:8">
      <c r="A19209" t="n">
        <v>185582</v>
      </c>
      <c r="B19209" s="42" t="n">
        <v>48</v>
      </c>
      <c r="C19209" s="7" t="n">
        <v>5</v>
      </c>
      <c r="D19209" s="7" t="n">
        <v>0</v>
      </c>
      <c r="E19209" s="7" t="s">
        <v>1392</v>
      </c>
      <c r="F19209" s="7" t="n">
        <v>-1</v>
      </c>
      <c r="G19209" s="7" t="n">
        <v>1</v>
      </c>
      <c r="H19209" s="7" t="n">
        <v>0</v>
      </c>
    </row>
    <row r="19210" spans="1:8">
      <c r="A19210" t="s">
        <v>4</v>
      </c>
      <c r="B19210" s="4" t="s">
        <v>5</v>
      </c>
      <c r="C19210" s="4" t="s">
        <v>7</v>
      </c>
      <c r="D19210" s="4" t="s">
        <v>11</v>
      </c>
      <c r="E19210" s="4" t="s">
        <v>13</v>
      </c>
      <c r="F19210" s="4" t="s">
        <v>11</v>
      </c>
      <c r="G19210" s="4" t="s">
        <v>15</v>
      </c>
      <c r="H19210" s="4" t="s">
        <v>15</v>
      </c>
      <c r="I19210" s="4" t="s">
        <v>11</v>
      </c>
      <c r="J19210" s="4" t="s">
        <v>11</v>
      </c>
      <c r="K19210" s="4" t="s">
        <v>15</v>
      </c>
      <c r="L19210" s="4" t="s">
        <v>15</v>
      </c>
      <c r="M19210" s="4" t="s">
        <v>15</v>
      </c>
      <c r="N19210" s="4" t="s">
        <v>15</v>
      </c>
      <c r="O19210" s="4" t="s">
        <v>8</v>
      </c>
    </row>
    <row r="19211" spans="1:8">
      <c r="A19211" t="n">
        <v>185609</v>
      </c>
      <c r="B19211" s="57" t="n">
        <v>50</v>
      </c>
      <c r="C19211" s="7" t="n">
        <v>0</v>
      </c>
      <c r="D19211" s="7" t="n">
        <v>2000</v>
      </c>
      <c r="E19211" s="7" t="n">
        <v>0.5</v>
      </c>
      <c r="F19211" s="7" t="n">
        <v>100</v>
      </c>
      <c r="G19211" s="7" t="n">
        <v>0</v>
      </c>
      <c r="H19211" s="7" t="n">
        <v>0</v>
      </c>
      <c r="I19211" s="7" t="n">
        <v>0</v>
      </c>
      <c r="J19211" s="7" t="n">
        <v>65533</v>
      </c>
      <c r="K19211" s="7" t="n">
        <v>0</v>
      </c>
      <c r="L19211" s="7" t="n">
        <v>0</v>
      </c>
      <c r="M19211" s="7" t="n">
        <v>0</v>
      </c>
      <c r="N19211" s="7" t="n">
        <v>0</v>
      </c>
      <c r="O19211" s="7" t="s">
        <v>16</v>
      </c>
    </row>
    <row r="19212" spans="1:8">
      <c r="A19212" t="s">
        <v>4</v>
      </c>
      <c r="B19212" s="4" t="s">
        <v>5</v>
      </c>
      <c r="C19212" s="4" t="s">
        <v>11</v>
      </c>
    </row>
    <row r="19213" spans="1:8">
      <c r="A19213" t="n">
        <v>185648</v>
      </c>
      <c r="B19213" s="66" t="n">
        <v>54</v>
      </c>
      <c r="C19213" s="7" t="n">
        <v>5</v>
      </c>
    </row>
    <row r="19214" spans="1:8">
      <c r="A19214" t="s">
        <v>4</v>
      </c>
      <c r="B19214" s="4" t="s">
        <v>5</v>
      </c>
      <c r="C19214" s="4" t="s">
        <v>7</v>
      </c>
      <c r="D19214" s="4" t="s">
        <v>11</v>
      </c>
    </row>
    <row r="19215" spans="1:8">
      <c r="A19215" t="n">
        <v>185651</v>
      </c>
      <c r="B19215" s="23" t="n">
        <v>58</v>
      </c>
      <c r="C19215" s="7" t="n">
        <v>255</v>
      </c>
      <c r="D19215" s="7" t="n">
        <v>0</v>
      </c>
    </row>
    <row r="19216" spans="1:8">
      <c r="A19216" t="s">
        <v>4</v>
      </c>
      <c r="B19216" s="4" t="s">
        <v>5</v>
      </c>
      <c r="C19216" s="4" t="s">
        <v>7</v>
      </c>
      <c r="D19216" s="4" t="s">
        <v>11</v>
      </c>
      <c r="E19216" s="4" t="s">
        <v>8</v>
      </c>
    </row>
    <row r="19217" spans="1:15">
      <c r="A19217" t="n">
        <v>185655</v>
      </c>
      <c r="B19217" s="38" t="n">
        <v>51</v>
      </c>
      <c r="C19217" s="7" t="n">
        <v>4</v>
      </c>
      <c r="D19217" s="7" t="n">
        <v>5</v>
      </c>
      <c r="E19217" s="7" t="s">
        <v>430</v>
      </c>
    </row>
    <row r="19218" spans="1:15">
      <c r="A19218" t="s">
        <v>4</v>
      </c>
      <c r="B19218" s="4" t="s">
        <v>5</v>
      </c>
      <c r="C19218" s="4" t="s">
        <v>11</v>
      </c>
    </row>
    <row r="19219" spans="1:15">
      <c r="A19219" t="n">
        <v>185668</v>
      </c>
      <c r="B19219" s="29" t="n">
        <v>16</v>
      </c>
      <c r="C19219" s="7" t="n">
        <v>0</v>
      </c>
    </row>
    <row r="19220" spans="1:15">
      <c r="A19220" t="s">
        <v>4</v>
      </c>
      <c r="B19220" s="4" t="s">
        <v>5</v>
      </c>
      <c r="C19220" s="4" t="s">
        <v>11</v>
      </c>
      <c r="D19220" s="4" t="s">
        <v>7</v>
      </c>
      <c r="E19220" s="4" t="s">
        <v>15</v>
      </c>
      <c r="F19220" s="4" t="s">
        <v>55</v>
      </c>
      <c r="G19220" s="4" t="s">
        <v>7</v>
      </c>
      <c r="H19220" s="4" t="s">
        <v>7</v>
      </c>
      <c r="I19220" s="4" t="s">
        <v>7</v>
      </c>
      <c r="J19220" s="4" t="s">
        <v>15</v>
      </c>
      <c r="K19220" s="4" t="s">
        <v>55</v>
      </c>
      <c r="L19220" s="4" t="s">
        <v>7</v>
      </c>
      <c r="M19220" s="4" t="s">
        <v>7</v>
      </c>
      <c r="N19220" s="4" t="s">
        <v>7</v>
      </c>
      <c r="O19220" s="4" t="s">
        <v>15</v>
      </c>
      <c r="P19220" s="4" t="s">
        <v>55</v>
      </c>
      <c r="Q19220" s="4" t="s">
        <v>7</v>
      </c>
      <c r="R19220" s="4" t="s">
        <v>7</v>
      </c>
    </row>
    <row r="19221" spans="1:15">
      <c r="A19221" t="n">
        <v>185671</v>
      </c>
      <c r="B19221" s="55" t="n">
        <v>26</v>
      </c>
      <c r="C19221" s="7" t="n">
        <v>5</v>
      </c>
      <c r="D19221" s="7" t="n">
        <v>17</v>
      </c>
      <c r="E19221" s="7" t="n">
        <v>64589</v>
      </c>
      <c r="F19221" s="7" t="s">
        <v>1575</v>
      </c>
      <c r="G19221" s="7" t="n">
        <v>2</v>
      </c>
      <c r="H19221" s="7" t="n">
        <v>3</v>
      </c>
      <c r="I19221" s="7" t="n">
        <v>17</v>
      </c>
      <c r="J19221" s="7" t="n">
        <v>64590</v>
      </c>
      <c r="K19221" s="7" t="s">
        <v>1576</v>
      </c>
      <c r="L19221" s="7" t="n">
        <v>2</v>
      </c>
      <c r="M19221" s="7" t="n">
        <v>3</v>
      </c>
      <c r="N19221" s="7" t="n">
        <v>17</v>
      </c>
      <c r="O19221" s="7" t="n">
        <v>64591</v>
      </c>
      <c r="P19221" s="7" t="s">
        <v>1577</v>
      </c>
      <c r="Q19221" s="7" t="n">
        <v>2</v>
      </c>
      <c r="R19221" s="7" t="n">
        <v>0</v>
      </c>
    </row>
    <row r="19222" spans="1:15">
      <c r="A19222" t="s">
        <v>4</v>
      </c>
      <c r="B19222" s="4" t="s">
        <v>5</v>
      </c>
    </row>
    <row r="19223" spans="1:15">
      <c r="A19223" t="n">
        <v>185916</v>
      </c>
      <c r="B19223" s="27" t="n">
        <v>28</v>
      </c>
    </row>
    <row r="19224" spans="1:15">
      <c r="A19224" t="s">
        <v>4</v>
      </c>
      <c r="B19224" s="4" t="s">
        <v>5</v>
      </c>
      <c r="C19224" s="4" t="s">
        <v>7</v>
      </c>
      <c r="D19224" s="4" t="s">
        <v>11</v>
      </c>
      <c r="E19224" s="4" t="s">
        <v>8</v>
      </c>
    </row>
    <row r="19225" spans="1:15">
      <c r="A19225" t="n">
        <v>185917</v>
      </c>
      <c r="B19225" s="38" t="n">
        <v>51</v>
      </c>
      <c r="C19225" s="7" t="n">
        <v>4</v>
      </c>
      <c r="D19225" s="7" t="n">
        <v>0</v>
      </c>
      <c r="E19225" s="7" t="s">
        <v>179</v>
      </c>
    </row>
    <row r="19226" spans="1:15">
      <c r="A19226" t="s">
        <v>4</v>
      </c>
      <c r="B19226" s="4" t="s">
        <v>5</v>
      </c>
      <c r="C19226" s="4" t="s">
        <v>11</v>
      </c>
    </row>
    <row r="19227" spans="1:15">
      <c r="A19227" t="n">
        <v>185931</v>
      </c>
      <c r="B19227" s="29" t="n">
        <v>16</v>
      </c>
      <c r="C19227" s="7" t="n">
        <v>0</v>
      </c>
    </row>
    <row r="19228" spans="1:15">
      <c r="A19228" t="s">
        <v>4</v>
      </c>
      <c r="B19228" s="4" t="s">
        <v>5</v>
      </c>
      <c r="C19228" s="4" t="s">
        <v>11</v>
      </c>
      <c r="D19228" s="4" t="s">
        <v>7</v>
      </c>
      <c r="E19228" s="4" t="s">
        <v>15</v>
      </c>
      <c r="F19228" s="4" t="s">
        <v>55</v>
      </c>
      <c r="G19228" s="4" t="s">
        <v>7</v>
      </c>
      <c r="H19228" s="4" t="s">
        <v>7</v>
      </c>
      <c r="I19228" s="4" t="s">
        <v>7</v>
      </c>
      <c r="J19228" s="4" t="s">
        <v>15</v>
      </c>
      <c r="K19228" s="4" t="s">
        <v>55</v>
      </c>
      <c r="L19228" s="4" t="s">
        <v>7</v>
      </c>
      <c r="M19228" s="4" t="s">
        <v>7</v>
      </c>
    </row>
    <row r="19229" spans="1:15">
      <c r="A19229" t="n">
        <v>185934</v>
      </c>
      <c r="B19229" s="55" t="n">
        <v>26</v>
      </c>
      <c r="C19229" s="7" t="n">
        <v>0</v>
      </c>
      <c r="D19229" s="7" t="n">
        <v>17</v>
      </c>
      <c r="E19229" s="7" t="n">
        <v>64592</v>
      </c>
      <c r="F19229" s="7" t="s">
        <v>1578</v>
      </c>
      <c r="G19229" s="7" t="n">
        <v>2</v>
      </c>
      <c r="H19229" s="7" t="n">
        <v>3</v>
      </c>
      <c r="I19229" s="7" t="n">
        <v>17</v>
      </c>
      <c r="J19229" s="7" t="n">
        <v>64593</v>
      </c>
      <c r="K19229" s="7" t="s">
        <v>1579</v>
      </c>
      <c r="L19229" s="7" t="n">
        <v>2</v>
      </c>
      <c r="M19229" s="7" t="n">
        <v>0</v>
      </c>
    </row>
    <row r="19230" spans="1:15">
      <c r="A19230" t="s">
        <v>4</v>
      </c>
      <c r="B19230" s="4" t="s">
        <v>5</v>
      </c>
    </row>
    <row r="19231" spans="1:15">
      <c r="A19231" t="n">
        <v>186021</v>
      </c>
      <c r="B19231" s="27" t="n">
        <v>28</v>
      </c>
    </row>
    <row r="19232" spans="1:15">
      <c r="A19232" t="s">
        <v>4</v>
      </c>
      <c r="B19232" s="4" t="s">
        <v>5</v>
      </c>
      <c r="C19232" s="4" t="s">
        <v>7</v>
      </c>
      <c r="D19232" s="4" t="s">
        <v>11</v>
      </c>
      <c r="E19232" s="4" t="s">
        <v>11</v>
      </c>
      <c r="F19232" s="4" t="s">
        <v>7</v>
      </c>
    </row>
    <row r="19233" spans="1:18">
      <c r="A19233" t="n">
        <v>186022</v>
      </c>
      <c r="B19233" s="31" t="n">
        <v>25</v>
      </c>
      <c r="C19233" s="7" t="n">
        <v>1</v>
      </c>
      <c r="D19233" s="7" t="n">
        <v>65535</v>
      </c>
      <c r="E19233" s="7" t="n">
        <v>65535</v>
      </c>
      <c r="F19233" s="7" t="n">
        <v>0</v>
      </c>
    </row>
    <row r="19234" spans="1:18">
      <c r="A19234" t="s">
        <v>4</v>
      </c>
      <c r="B19234" s="4" t="s">
        <v>5</v>
      </c>
      <c r="C19234" s="4" t="s">
        <v>7</v>
      </c>
      <c r="D19234" s="4" t="s">
        <v>11</v>
      </c>
      <c r="E19234" s="4" t="s">
        <v>8</v>
      </c>
      <c r="F19234" s="4" t="s">
        <v>8</v>
      </c>
      <c r="G19234" s="4" t="s">
        <v>8</v>
      </c>
      <c r="H19234" s="4" t="s">
        <v>8</v>
      </c>
    </row>
    <row r="19235" spans="1:18">
      <c r="A19235" t="n">
        <v>186029</v>
      </c>
      <c r="B19235" s="38" t="n">
        <v>51</v>
      </c>
      <c r="C19235" s="7" t="n">
        <v>3</v>
      </c>
      <c r="D19235" s="7" t="n">
        <v>5</v>
      </c>
      <c r="E19235" s="7" t="s">
        <v>154</v>
      </c>
      <c r="F19235" s="7" t="s">
        <v>155</v>
      </c>
      <c r="G19235" s="7" t="s">
        <v>78</v>
      </c>
      <c r="H19235" s="7" t="s">
        <v>79</v>
      </c>
    </row>
    <row r="19236" spans="1:18">
      <c r="A19236" t="s">
        <v>4</v>
      </c>
      <c r="B19236" s="4" t="s">
        <v>5</v>
      </c>
      <c r="C19236" s="4" t="s">
        <v>11</v>
      </c>
      <c r="D19236" s="4" t="s">
        <v>7</v>
      </c>
      <c r="E19236" s="4" t="s">
        <v>13</v>
      </c>
      <c r="F19236" s="4" t="s">
        <v>11</v>
      </c>
    </row>
    <row r="19237" spans="1:18">
      <c r="A19237" t="n">
        <v>186042</v>
      </c>
      <c r="B19237" s="56" t="n">
        <v>59</v>
      </c>
      <c r="C19237" s="7" t="n">
        <v>5</v>
      </c>
      <c r="D19237" s="7" t="n">
        <v>1</v>
      </c>
      <c r="E19237" s="7" t="n">
        <v>0.150000005960464</v>
      </c>
      <c r="F19237" s="7" t="n">
        <v>0</v>
      </c>
    </row>
    <row r="19238" spans="1:18">
      <c r="A19238" t="s">
        <v>4</v>
      </c>
      <c r="B19238" s="4" t="s">
        <v>5</v>
      </c>
      <c r="C19238" s="4" t="s">
        <v>11</v>
      </c>
    </row>
    <row r="19239" spans="1:18">
      <c r="A19239" t="n">
        <v>186052</v>
      </c>
      <c r="B19239" s="29" t="n">
        <v>16</v>
      </c>
      <c r="C19239" s="7" t="n">
        <v>1000</v>
      </c>
    </row>
    <row r="19240" spans="1:18">
      <c r="A19240" t="s">
        <v>4</v>
      </c>
      <c r="B19240" s="4" t="s">
        <v>5</v>
      </c>
      <c r="C19240" s="4" t="s">
        <v>11</v>
      </c>
      <c r="D19240" s="4" t="s">
        <v>7</v>
      </c>
      <c r="E19240" s="4" t="s">
        <v>13</v>
      </c>
      <c r="F19240" s="4" t="s">
        <v>11</v>
      </c>
    </row>
    <row r="19241" spans="1:18">
      <c r="A19241" t="n">
        <v>186055</v>
      </c>
      <c r="B19241" s="56" t="n">
        <v>59</v>
      </c>
      <c r="C19241" s="7" t="n">
        <v>5</v>
      </c>
      <c r="D19241" s="7" t="n">
        <v>15</v>
      </c>
      <c r="E19241" s="7" t="n">
        <v>0.150000005960464</v>
      </c>
      <c r="F19241" s="7" t="n">
        <v>0</v>
      </c>
    </row>
    <row r="19242" spans="1:18">
      <c r="A19242" t="s">
        <v>4</v>
      </c>
      <c r="B19242" s="4" t="s">
        <v>5</v>
      </c>
      <c r="C19242" s="4" t="s">
        <v>11</v>
      </c>
      <c r="D19242" s="4" t="s">
        <v>7</v>
      </c>
      <c r="E19242" s="4" t="s">
        <v>7</v>
      </c>
      <c r="F19242" s="4" t="s">
        <v>8</v>
      </c>
    </row>
    <row r="19243" spans="1:18">
      <c r="A19243" t="n">
        <v>186065</v>
      </c>
      <c r="B19243" s="50" t="n">
        <v>20</v>
      </c>
      <c r="C19243" s="7" t="n">
        <v>5</v>
      </c>
      <c r="D19243" s="7" t="n">
        <v>2</v>
      </c>
      <c r="E19243" s="7" t="n">
        <v>10</v>
      </c>
      <c r="F19243" s="7" t="s">
        <v>260</v>
      </c>
    </row>
    <row r="19244" spans="1:18">
      <c r="A19244" t="s">
        <v>4</v>
      </c>
      <c r="B19244" s="4" t="s">
        <v>5</v>
      </c>
      <c r="C19244" s="4" t="s">
        <v>7</v>
      </c>
      <c r="D19244" s="4" t="s">
        <v>11</v>
      </c>
      <c r="E19244" s="4" t="s">
        <v>8</v>
      </c>
    </row>
    <row r="19245" spans="1:18">
      <c r="A19245" t="n">
        <v>186085</v>
      </c>
      <c r="B19245" s="38" t="n">
        <v>51</v>
      </c>
      <c r="C19245" s="7" t="n">
        <v>4</v>
      </c>
      <c r="D19245" s="7" t="n">
        <v>5</v>
      </c>
      <c r="E19245" s="7" t="s">
        <v>658</v>
      </c>
    </row>
    <row r="19246" spans="1:18">
      <c r="A19246" t="s">
        <v>4</v>
      </c>
      <c r="B19246" s="4" t="s">
        <v>5</v>
      </c>
      <c r="C19246" s="4" t="s">
        <v>11</v>
      </c>
    </row>
    <row r="19247" spans="1:18">
      <c r="A19247" t="n">
        <v>186099</v>
      </c>
      <c r="B19247" s="29" t="n">
        <v>16</v>
      </c>
      <c r="C19247" s="7" t="n">
        <v>0</v>
      </c>
    </row>
    <row r="19248" spans="1:18">
      <c r="A19248" t="s">
        <v>4</v>
      </c>
      <c r="B19248" s="4" t="s">
        <v>5</v>
      </c>
      <c r="C19248" s="4" t="s">
        <v>11</v>
      </c>
      <c r="D19248" s="4" t="s">
        <v>7</v>
      </c>
      <c r="E19248" s="4" t="s">
        <v>15</v>
      </c>
      <c r="F19248" s="4" t="s">
        <v>55</v>
      </c>
      <c r="G19248" s="4" t="s">
        <v>7</v>
      </c>
      <c r="H19248" s="4" t="s">
        <v>7</v>
      </c>
      <c r="I19248" s="4" t="s">
        <v>7</v>
      </c>
      <c r="J19248" s="4" t="s">
        <v>15</v>
      </c>
      <c r="K19248" s="4" t="s">
        <v>55</v>
      </c>
      <c r="L19248" s="4" t="s">
        <v>7</v>
      </c>
      <c r="M19248" s="4" t="s">
        <v>7</v>
      </c>
    </row>
    <row r="19249" spans="1:13">
      <c r="A19249" t="n">
        <v>186102</v>
      </c>
      <c r="B19249" s="55" t="n">
        <v>26</v>
      </c>
      <c r="C19249" s="7" t="n">
        <v>5</v>
      </c>
      <c r="D19249" s="7" t="n">
        <v>17</v>
      </c>
      <c r="E19249" s="7" t="n">
        <v>64594</v>
      </c>
      <c r="F19249" s="7" t="s">
        <v>1580</v>
      </c>
      <c r="G19249" s="7" t="n">
        <v>2</v>
      </c>
      <c r="H19249" s="7" t="n">
        <v>3</v>
      </c>
      <c r="I19249" s="7" t="n">
        <v>17</v>
      </c>
      <c r="J19249" s="7" t="n">
        <v>64595</v>
      </c>
      <c r="K19249" s="7" t="s">
        <v>1581</v>
      </c>
      <c r="L19249" s="7" t="n">
        <v>2</v>
      </c>
      <c r="M19249" s="7" t="n">
        <v>0</v>
      </c>
    </row>
    <row r="19250" spans="1:13">
      <c r="A19250" t="s">
        <v>4</v>
      </c>
      <c r="B19250" s="4" t="s">
        <v>5</v>
      </c>
    </row>
    <row r="19251" spans="1:13">
      <c r="A19251" t="n">
        <v>186339</v>
      </c>
      <c r="B19251" s="27" t="n">
        <v>28</v>
      </c>
    </row>
    <row r="19252" spans="1:13">
      <c r="A19252" t="s">
        <v>4</v>
      </c>
      <c r="B19252" s="4" t="s">
        <v>5</v>
      </c>
      <c r="C19252" s="4" t="s">
        <v>7</v>
      </c>
      <c r="D19252" s="4" t="s">
        <v>11</v>
      </c>
      <c r="E19252" s="4" t="s">
        <v>8</v>
      </c>
    </row>
    <row r="19253" spans="1:13">
      <c r="A19253" t="n">
        <v>186340</v>
      </c>
      <c r="B19253" s="38" t="n">
        <v>51</v>
      </c>
      <c r="C19253" s="7" t="n">
        <v>4</v>
      </c>
      <c r="D19253" s="7" t="n">
        <v>0</v>
      </c>
      <c r="E19253" s="7" t="s">
        <v>240</v>
      </c>
    </row>
    <row r="19254" spans="1:13">
      <c r="A19254" t="s">
        <v>4</v>
      </c>
      <c r="B19254" s="4" t="s">
        <v>5</v>
      </c>
      <c r="C19254" s="4" t="s">
        <v>11</v>
      </c>
    </row>
    <row r="19255" spans="1:13">
      <c r="A19255" t="n">
        <v>186354</v>
      </c>
      <c r="B19255" s="29" t="n">
        <v>16</v>
      </c>
      <c r="C19255" s="7" t="n">
        <v>0</v>
      </c>
    </row>
    <row r="19256" spans="1:13">
      <c r="A19256" t="s">
        <v>4</v>
      </c>
      <c r="B19256" s="4" t="s">
        <v>5</v>
      </c>
      <c r="C19256" s="4" t="s">
        <v>11</v>
      </c>
      <c r="D19256" s="4" t="s">
        <v>7</v>
      </c>
      <c r="E19256" s="4" t="s">
        <v>15</v>
      </c>
      <c r="F19256" s="4" t="s">
        <v>55</v>
      </c>
      <c r="G19256" s="4" t="s">
        <v>7</v>
      </c>
      <c r="H19256" s="4" t="s">
        <v>7</v>
      </c>
    </row>
    <row r="19257" spans="1:13">
      <c r="A19257" t="n">
        <v>186357</v>
      </c>
      <c r="B19257" s="55" t="n">
        <v>26</v>
      </c>
      <c r="C19257" s="7" t="n">
        <v>0</v>
      </c>
      <c r="D19257" s="7" t="n">
        <v>17</v>
      </c>
      <c r="E19257" s="7" t="n">
        <v>64596</v>
      </c>
      <c r="F19257" s="7" t="s">
        <v>1582</v>
      </c>
      <c r="G19257" s="7" t="n">
        <v>2</v>
      </c>
      <c r="H19257" s="7" t="n">
        <v>0</v>
      </c>
    </row>
    <row r="19258" spans="1:13">
      <c r="A19258" t="s">
        <v>4</v>
      </c>
      <c r="B19258" s="4" t="s">
        <v>5</v>
      </c>
    </row>
    <row r="19259" spans="1:13">
      <c r="A19259" t="n">
        <v>186405</v>
      </c>
      <c r="B19259" s="27" t="n">
        <v>28</v>
      </c>
    </row>
    <row r="19260" spans="1:13">
      <c r="A19260" t="s">
        <v>4</v>
      </c>
      <c r="B19260" s="4" t="s">
        <v>5</v>
      </c>
      <c r="C19260" s="4" t="s">
        <v>11</v>
      </c>
      <c r="D19260" s="4" t="s">
        <v>7</v>
      </c>
      <c r="E19260" s="4" t="s">
        <v>13</v>
      </c>
      <c r="F19260" s="4" t="s">
        <v>11</v>
      </c>
    </row>
    <row r="19261" spans="1:13">
      <c r="A19261" t="n">
        <v>186406</v>
      </c>
      <c r="B19261" s="56" t="n">
        <v>59</v>
      </c>
      <c r="C19261" s="7" t="n">
        <v>5</v>
      </c>
      <c r="D19261" s="7" t="n">
        <v>255</v>
      </c>
      <c r="E19261" s="7" t="n">
        <v>0</v>
      </c>
      <c r="F19261" s="7" t="n">
        <v>0</v>
      </c>
    </row>
    <row r="19262" spans="1:13">
      <c r="A19262" t="s">
        <v>4</v>
      </c>
      <c r="B19262" s="4" t="s">
        <v>5</v>
      </c>
      <c r="C19262" s="4" t="s">
        <v>7</v>
      </c>
      <c r="D19262" s="4" t="s">
        <v>11</v>
      </c>
      <c r="E19262" s="4" t="s">
        <v>8</v>
      </c>
      <c r="F19262" s="4" t="s">
        <v>8</v>
      </c>
      <c r="G19262" s="4" t="s">
        <v>8</v>
      </c>
      <c r="H19262" s="4" t="s">
        <v>8</v>
      </c>
    </row>
    <row r="19263" spans="1:13">
      <c r="A19263" t="n">
        <v>186416</v>
      </c>
      <c r="B19263" s="38" t="n">
        <v>51</v>
      </c>
      <c r="C19263" s="7" t="n">
        <v>3</v>
      </c>
      <c r="D19263" s="7" t="n">
        <v>5</v>
      </c>
      <c r="E19263" s="7" t="s">
        <v>99</v>
      </c>
      <c r="F19263" s="7" t="s">
        <v>218</v>
      </c>
      <c r="G19263" s="7" t="s">
        <v>16</v>
      </c>
      <c r="H19263" s="7" t="s">
        <v>79</v>
      </c>
    </row>
    <row r="19264" spans="1:13">
      <c r="A19264" t="s">
        <v>4</v>
      </c>
      <c r="B19264" s="4" t="s">
        <v>5</v>
      </c>
      <c r="C19264" s="4" t="s">
        <v>11</v>
      </c>
    </row>
    <row r="19265" spans="1:13">
      <c r="A19265" t="n">
        <v>186427</v>
      </c>
      <c r="B19265" s="29" t="n">
        <v>16</v>
      </c>
      <c r="C19265" s="7" t="n">
        <v>500</v>
      </c>
    </row>
    <row r="19266" spans="1:13">
      <c r="A19266" t="s">
        <v>4</v>
      </c>
      <c r="B19266" s="4" t="s">
        <v>5</v>
      </c>
      <c r="C19266" s="4" t="s">
        <v>7</v>
      </c>
      <c r="D19266" s="4" t="s">
        <v>11</v>
      </c>
      <c r="E19266" s="4" t="s">
        <v>7</v>
      </c>
      <c r="F19266" s="4" t="s">
        <v>12</v>
      </c>
    </row>
    <row r="19267" spans="1:13">
      <c r="A19267" t="n">
        <v>186430</v>
      </c>
      <c r="B19267" s="10" t="n">
        <v>5</v>
      </c>
      <c r="C19267" s="7" t="n">
        <v>30</v>
      </c>
      <c r="D19267" s="7" t="n">
        <v>10829</v>
      </c>
      <c r="E19267" s="7" t="n">
        <v>1</v>
      </c>
      <c r="F19267" s="11" t="n">
        <f t="normal" ca="1">A19281</f>
        <v>0</v>
      </c>
    </row>
    <row r="19268" spans="1:13">
      <c r="A19268" t="s">
        <v>4</v>
      </c>
      <c r="B19268" s="4" t="s">
        <v>5</v>
      </c>
      <c r="C19268" s="4" t="s">
        <v>7</v>
      </c>
      <c r="D19268" s="4" t="s">
        <v>11</v>
      </c>
      <c r="E19268" s="4" t="s">
        <v>8</v>
      </c>
    </row>
    <row r="19269" spans="1:13">
      <c r="A19269" t="n">
        <v>186439</v>
      </c>
      <c r="B19269" s="38" t="n">
        <v>51</v>
      </c>
      <c r="C19269" s="7" t="n">
        <v>4</v>
      </c>
      <c r="D19269" s="7" t="n">
        <v>0</v>
      </c>
      <c r="E19269" s="7" t="s">
        <v>450</v>
      </c>
    </row>
    <row r="19270" spans="1:13">
      <c r="A19270" t="s">
        <v>4</v>
      </c>
      <c r="B19270" s="4" t="s">
        <v>5</v>
      </c>
      <c r="C19270" s="4" t="s">
        <v>11</v>
      </c>
    </row>
    <row r="19271" spans="1:13">
      <c r="A19271" t="n">
        <v>186453</v>
      </c>
      <c r="B19271" s="29" t="n">
        <v>16</v>
      </c>
      <c r="C19271" s="7" t="n">
        <v>0</v>
      </c>
    </row>
    <row r="19272" spans="1:13">
      <c r="A19272" t="s">
        <v>4</v>
      </c>
      <c r="B19272" s="4" t="s">
        <v>5</v>
      </c>
      <c r="C19272" s="4" t="s">
        <v>11</v>
      </c>
      <c r="D19272" s="4" t="s">
        <v>7</v>
      </c>
      <c r="E19272" s="4" t="s">
        <v>15</v>
      </c>
      <c r="F19272" s="4" t="s">
        <v>55</v>
      </c>
      <c r="G19272" s="4" t="s">
        <v>7</v>
      </c>
      <c r="H19272" s="4" t="s">
        <v>7</v>
      </c>
    </row>
    <row r="19273" spans="1:13">
      <c r="A19273" t="n">
        <v>186456</v>
      </c>
      <c r="B19273" s="55" t="n">
        <v>26</v>
      </c>
      <c r="C19273" s="7" t="n">
        <v>0</v>
      </c>
      <c r="D19273" s="7" t="n">
        <v>17</v>
      </c>
      <c r="E19273" s="7" t="n">
        <v>64597</v>
      </c>
      <c r="F19273" s="7" t="s">
        <v>1583</v>
      </c>
      <c r="G19273" s="7" t="n">
        <v>2</v>
      </c>
      <c r="H19273" s="7" t="n">
        <v>0</v>
      </c>
    </row>
    <row r="19274" spans="1:13">
      <c r="A19274" t="s">
        <v>4</v>
      </c>
      <c r="B19274" s="4" t="s">
        <v>5</v>
      </c>
    </row>
    <row r="19275" spans="1:13">
      <c r="A19275" t="n">
        <v>186501</v>
      </c>
      <c r="B19275" s="27" t="n">
        <v>28</v>
      </c>
    </row>
    <row r="19276" spans="1:13">
      <c r="A19276" t="s">
        <v>4</v>
      </c>
      <c r="B19276" s="4" t="s">
        <v>5</v>
      </c>
      <c r="C19276" s="4" t="s">
        <v>7</v>
      </c>
      <c r="D19276" s="4" t="s">
        <v>11</v>
      </c>
      <c r="E19276" s="4" t="s">
        <v>11</v>
      </c>
      <c r="F19276" s="4" t="s">
        <v>7</v>
      </c>
    </row>
    <row r="19277" spans="1:13">
      <c r="A19277" t="n">
        <v>186502</v>
      </c>
      <c r="B19277" s="31" t="n">
        <v>25</v>
      </c>
      <c r="C19277" s="7" t="n">
        <v>1</v>
      </c>
      <c r="D19277" s="7" t="n">
        <v>65535</v>
      </c>
      <c r="E19277" s="7" t="n">
        <v>65535</v>
      </c>
      <c r="F19277" s="7" t="n">
        <v>0</v>
      </c>
    </row>
    <row r="19278" spans="1:13">
      <c r="A19278" t="s">
        <v>4</v>
      </c>
      <c r="B19278" s="4" t="s">
        <v>5</v>
      </c>
      <c r="C19278" s="4" t="s">
        <v>12</v>
      </c>
    </row>
    <row r="19279" spans="1:13">
      <c r="A19279" t="n">
        <v>186509</v>
      </c>
      <c r="B19279" s="19" t="n">
        <v>3</v>
      </c>
      <c r="C19279" s="11" t="n">
        <f t="normal" ca="1">A19291</f>
        <v>0</v>
      </c>
    </row>
    <row r="19280" spans="1:13">
      <c r="A19280" t="s">
        <v>4</v>
      </c>
      <c r="B19280" s="4" t="s">
        <v>5</v>
      </c>
      <c r="C19280" s="4" t="s">
        <v>7</v>
      </c>
      <c r="D19280" s="4" t="s">
        <v>11</v>
      </c>
      <c r="E19280" s="4" t="s">
        <v>8</v>
      </c>
    </row>
    <row r="19281" spans="1:8">
      <c r="A19281" t="n">
        <v>186514</v>
      </c>
      <c r="B19281" s="38" t="n">
        <v>51</v>
      </c>
      <c r="C19281" s="7" t="n">
        <v>4</v>
      </c>
      <c r="D19281" s="7" t="n">
        <v>0</v>
      </c>
      <c r="E19281" s="7" t="s">
        <v>450</v>
      </c>
    </row>
    <row r="19282" spans="1:8">
      <c r="A19282" t="s">
        <v>4</v>
      </c>
      <c r="B19282" s="4" t="s">
        <v>5</v>
      </c>
      <c r="C19282" s="4" t="s">
        <v>11</v>
      </c>
    </row>
    <row r="19283" spans="1:8">
      <c r="A19283" t="n">
        <v>186528</v>
      </c>
      <c r="B19283" s="29" t="n">
        <v>16</v>
      </c>
      <c r="C19283" s="7" t="n">
        <v>0</v>
      </c>
    </row>
    <row r="19284" spans="1:8">
      <c r="A19284" t="s">
        <v>4</v>
      </c>
      <c r="B19284" s="4" t="s">
        <v>5</v>
      </c>
      <c r="C19284" s="4" t="s">
        <v>11</v>
      </c>
      <c r="D19284" s="4" t="s">
        <v>7</v>
      </c>
      <c r="E19284" s="4" t="s">
        <v>15</v>
      </c>
      <c r="F19284" s="4" t="s">
        <v>55</v>
      </c>
      <c r="G19284" s="4" t="s">
        <v>7</v>
      </c>
      <c r="H19284" s="4" t="s">
        <v>7</v>
      </c>
    </row>
    <row r="19285" spans="1:8">
      <c r="A19285" t="n">
        <v>186531</v>
      </c>
      <c r="B19285" s="55" t="n">
        <v>26</v>
      </c>
      <c r="C19285" s="7" t="n">
        <v>0</v>
      </c>
      <c r="D19285" s="7" t="n">
        <v>17</v>
      </c>
      <c r="E19285" s="7" t="n">
        <v>64598</v>
      </c>
      <c r="F19285" s="7" t="s">
        <v>1584</v>
      </c>
      <c r="G19285" s="7" t="n">
        <v>2</v>
      </c>
      <c r="H19285" s="7" t="n">
        <v>0</v>
      </c>
    </row>
    <row r="19286" spans="1:8">
      <c r="A19286" t="s">
        <v>4</v>
      </c>
      <c r="B19286" s="4" t="s">
        <v>5</v>
      </c>
    </row>
    <row r="19287" spans="1:8">
      <c r="A19287" t="n">
        <v>186582</v>
      </c>
      <c r="B19287" s="27" t="n">
        <v>28</v>
      </c>
    </row>
    <row r="19288" spans="1:8">
      <c r="A19288" t="s">
        <v>4</v>
      </c>
      <c r="B19288" s="4" t="s">
        <v>5</v>
      </c>
      <c r="C19288" s="4" t="s">
        <v>7</v>
      </c>
      <c r="D19288" s="4" t="s">
        <v>11</v>
      </c>
      <c r="E19288" s="4" t="s">
        <v>11</v>
      </c>
      <c r="F19288" s="4" t="s">
        <v>7</v>
      </c>
    </row>
    <row r="19289" spans="1:8">
      <c r="A19289" t="n">
        <v>186583</v>
      </c>
      <c r="B19289" s="31" t="n">
        <v>25</v>
      </c>
      <c r="C19289" s="7" t="n">
        <v>1</v>
      </c>
      <c r="D19289" s="7" t="n">
        <v>65535</v>
      </c>
      <c r="E19289" s="7" t="n">
        <v>65535</v>
      </c>
      <c r="F19289" s="7" t="n">
        <v>0</v>
      </c>
    </row>
    <row r="19290" spans="1:8">
      <c r="A19290" t="s">
        <v>4</v>
      </c>
      <c r="B19290" s="4" t="s">
        <v>5</v>
      </c>
      <c r="C19290" s="4" t="s">
        <v>7</v>
      </c>
      <c r="D19290" s="4" t="s">
        <v>11</v>
      </c>
      <c r="E19290" s="4" t="s">
        <v>8</v>
      </c>
    </row>
    <row r="19291" spans="1:8">
      <c r="A19291" t="n">
        <v>186590</v>
      </c>
      <c r="B19291" s="38" t="n">
        <v>51</v>
      </c>
      <c r="C19291" s="7" t="n">
        <v>4</v>
      </c>
      <c r="D19291" s="7" t="n">
        <v>5</v>
      </c>
      <c r="E19291" s="7" t="s">
        <v>192</v>
      </c>
    </row>
    <row r="19292" spans="1:8">
      <c r="A19292" t="s">
        <v>4</v>
      </c>
      <c r="B19292" s="4" t="s">
        <v>5</v>
      </c>
      <c r="C19292" s="4" t="s">
        <v>11</v>
      </c>
    </row>
    <row r="19293" spans="1:8">
      <c r="A19293" t="n">
        <v>186603</v>
      </c>
      <c r="B19293" s="29" t="n">
        <v>16</v>
      </c>
      <c r="C19293" s="7" t="n">
        <v>0</v>
      </c>
    </row>
    <row r="19294" spans="1:8">
      <c r="A19294" t="s">
        <v>4</v>
      </c>
      <c r="B19294" s="4" t="s">
        <v>5</v>
      </c>
      <c r="C19294" s="4" t="s">
        <v>11</v>
      </c>
      <c r="D19294" s="4" t="s">
        <v>7</v>
      </c>
      <c r="E19294" s="4" t="s">
        <v>15</v>
      </c>
      <c r="F19294" s="4" t="s">
        <v>55</v>
      </c>
      <c r="G19294" s="4" t="s">
        <v>7</v>
      </c>
      <c r="H19294" s="4" t="s">
        <v>7</v>
      </c>
      <c r="I19294" s="4" t="s">
        <v>7</v>
      </c>
      <c r="J19294" s="4" t="s">
        <v>15</v>
      </c>
      <c r="K19294" s="4" t="s">
        <v>55</v>
      </c>
      <c r="L19294" s="4" t="s">
        <v>7</v>
      </c>
      <c r="M19294" s="4" t="s">
        <v>7</v>
      </c>
      <c r="N19294" s="4" t="s">
        <v>7</v>
      </c>
      <c r="O19294" s="4" t="s">
        <v>15</v>
      </c>
      <c r="P19294" s="4" t="s">
        <v>55</v>
      </c>
      <c r="Q19294" s="4" t="s">
        <v>7</v>
      </c>
      <c r="R19294" s="4" t="s">
        <v>7</v>
      </c>
    </row>
    <row r="19295" spans="1:8">
      <c r="A19295" t="n">
        <v>186606</v>
      </c>
      <c r="B19295" s="55" t="n">
        <v>26</v>
      </c>
      <c r="C19295" s="7" t="n">
        <v>5</v>
      </c>
      <c r="D19295" s="7" t="n">
        <v>17</v>
      </c>
      <c r="E19295" s="7" t="n">
        <v>64599</v>
      </c>
      <c r="F19295" s="7" t="s">
        <v>1585</v>
      </c>
      <c r="G19295" s="7" t="n">
        <v>2</v>
      </c>
      <c r="H19295" s="7" t="n">
        <v>3</v>
      </c>
      <c r="I19295" s="7" t="n">
        <v>17</v>
      </c>
      <c r="J19295" s="7" t="n">
        <v>64600</v>
      </c>
      <c r="K19295" s="7" t="s">
        <v>1586</v>
      </c>
      <c r="L19295" s="7" t="n">
        <v>2</v>
      </c>
      <c r="M19295" s="7" t="n">
        <v>3</v>
      </c>
      <c r="N19295" s="7" t="n">
        <v>17</v>
      </c>
      <c r="O19295" s="7" t="n">
        <v>64601</v>
      </c>
      <c r="P19295" s="7" t="s">
        <v>1587</v>
      </c>
      <c r="Q19295" s="7" t="n">
        <v>2</v>
      </c>
      <c r="R19295" s="7" t="n">
        <v>0</v>
      </c>
    </row>
    <row r="19296" spans="1:8">
      <c r="A19296" t="s">
        <v>4</v>
      </c>
      <c r="B19296" s="4" t="s">
        <v>5</v>
      </c>
    </row>
    <row r="19297" spans="1:18">
      <c r="A19297" t="n">
        <v>186869</v>
      </c>
      <c r="B19297" s="27" t="n">
        <v>28</v>
      </c>
    </row>
    <row r="19298" spans="1:18">
      <c r="A19298" t="s">
        <v>4</v>
      </c>
      <c r="B19298" s="4" t="s">
        <v>5</v>
      </c>
      <c r="C19298" s="4" t="s">
        <v>7</v>
      </c>
      <c r="D19298" s="4" t="s">
        <v>11</v>
      </c>
      <c r="E19298" s="4" t="s">
        <v>8</v>
      </c>
    </row>
    <row r="19299" spans="1:18">
      <c r="A19299" t="n">
        <v>186870</v>
      </c>
      <c r="B19299" s="38" t="n">
        <v>51</v>
      </c>
      <c r="C19299" s="7" t="n">
        <v>4</v>
      </c>
      <c r="D19299" s="7" t="n">
        <v>0</v>
      </c>
      <c r="E19299" s="7" t="s">
        <v>304</v>
      </c>
    </row>
    <row r="19300" spans="1:18">
      <c r="A19300" t="s">
        <v>4</v>
      </c>
      <c r="B19300" s="4" t="s">
        <v>5</v>
      </c>
      <c r="C19300" s="4" t="s">
        <v>11</v>
      </c>
    </row>
    <row r="19301" spans="1:18">
      <c r="A19301" t="n">
        <v>186883</v>
      </c>
      <c r="B19301" s="29" t="n">
        <v>16</v>
      </c>
      <c r="C19301" s="7" t="n">
        <v>0</v>
      </c>
    </row>
    <row r="19302" spans="1:18">
      <c r="A19302" t="s">
        <v>4</v>
      </c>
      <c r="B19302" s="4" t="s">
        <v>5</v>
      </c>
      <c r="C19302" s="4" t="s">
        <v>11</v>
      </c>
      <c r="D19302" s="4" t="s">
        <v>7</v>
      </c>
      <c r="E19302" s="4" t="s">
        <v>15</v>
      </c>
      <c r="F19302" s="4" t="s">
        <v>55</v>
      </c>
      <c r="G19302" s="4" t="s">
        <v>7</v>
      </c>
      <c r="H19302" s="4" t="s">
        <v>7</v>
      </c>
      <c r="I19302" s="4" t="s">
        <v>7</v>
      </c>
      <c r="J19302" s="4" t="s">
        <v>15</v>
      </c>
      <c r="K19302" s="4" t="s">
        <v>55</v>
      </c>
      <c r="L19302" s="4" t="s">
        <v>7</v>
      </c>
      <c r="M19302" s="4" t="s">
        <v>7</v>
      </c>
      <c r="N19302" s="4" t="s">
        <v>7</v>
      </c>
      <c r="O19302" s="4" t="s">
        <v>15</v>
      </c>
      <c r="P19302" s="4" t="s">
        <v>55</v>
      </c>
      <c r="Q19302" s="4" t="s">
        <v>7</v>
      </c>
      <c r="R19302" s="4" t="s">
        <v>7</v>
      </c>
    </row>
    <row r="19303" spans="1:18">
      <c r="A19303" t="n">
        <v>186886</v>
      </c>
      <c r="B19303" s="55" t="n">
        <v>26</v>
      </c>
      <c r="C19303" s="7" t="n">
        <v>0</v>
      </c>
      <c r="D19303" s="7" t="n">
        <v>17</v>
      </c>
      <c r="E19303" s="7" t="n">
        <v>64602</v>
      </c>
      <c r="F19303" s="7" t="s">
        <v>1588</v>
      </c>
      <c r="G19303" s="7" t="n">
        <v>2</v>
      </c>
      <c r="H19303" s="7" t="n">
        <v>3</v>
      </c>
      <c r="I19303" s="7" t="n">
        <v>17</v>
      </c>
      <c r="J19303" s="7" t="n">
        <v>64603</v>
      </c>
      <c r="K19303" s="7" t="s">
        <v>1589</v>
      </c>
      <c r="L19303" s="7" t="n">
        <v>2</v>
      </c>
      <c r="M19303" s="7" t="n">
        <v>3</v>
      </c>
      <c r="N19303" s="7" t="n">
        <v>17</v>
      </c>
      <c r="O19303" s="7" t="n">
        <v>64604</v>
      </c>
      <c r="P19303" s="7" t="s">
        <v>1590</v>
      </c>
      <c r="Q19303" s="7" t="n">
        <v>2</v>
      </c>
      <c r="R19303" s="7" t="n">
        <v>0</v>
      </c>
    </row>
    <row r="19304" spans="1:18">
      <c r="A19304" t="s">
        <v>4</v>
      </c>
      <c r="B19304" s="4" t="s">
        <v>5</v>
      </c>
    </row>
    <row r="19305" spans="1:18">
      <c r="A19305" t="n">
        <v>187101</v>
      </c>
      <c r="B19305" s="27" t="n">
        <v>28</v>
      </c>
    </row>
    <row r="19306" spans="1:18">
      <c r="A19306" t="s">
        <v>4</v>
      </c>
      <c r="B19306" s="4" t="s">
        <v>5</v>
      </c>
      <c r="C19306" s="4" t="s">
        <v>7</v>
      </c>
      <c r="D19306" s="4" t="s">
        <v>11</v>
      </c>
      <c r="E19306" s="4" t="s">
        <v>11</v>
      </c>
      <c r="F19306" s="4" t="s">
        <v>7</v>
      </c>
    </row>
    <row r="19307" spans="1:18">
      <c r="A19307" t="n">
        <v>187102</v>
      </c>
      <c r="B19307" s="31" t="n">
        <v>25</v>
      </c>
      <c r="C19307" s="7" t="n">
        <v>1</v>
      </c>
      <c r="D19307" s="7" t="n">
        <v>65535</v>
      </c>
      <c r="E19307" s="7" t="n">
        <v>65535</v>
      </c>
      <c r="F19307" s="7" t="n">
        <v>0</v>
      </c>
    </row>
    <row r="19308" spans="1:18">
      <c r="A19308" t="s">
        <v>4</v>
      </c>
      <c r="B19308" s="4" t="s">
        <v>5</v>
      </c>
      <c r="C19308" s="4" t="s">
        <v>7</v>
      </c>
      <c r="D19308" s="4" t="s">
        <v>11</v>
      </c>
      <c r="E19308" s="4" t="s">
        <v>8</v>
      </c>
    </row>
    <row r="19309" spans="1:18">
      <c r="A19309" t="n">
        <v>187109</v>
      </c>
      <c r="B19309" s="38" t="n">
        <v>51</v>
      </c>
      <c r="C19309" s="7" t="n">
        <v>4</v>
      </c>
      <c r="D19309" s="7" t="n">
        <v>5</v>
      </c>
      <c r="E19309" s="7" t="s">
        <v>192</v>
      </c>
    </row>
    <row r="19310" spans="1:18">
      <c r="A19310" t="s">
        <v>4</v>
      </c>
      <c r="B19310" s="4" t="s">
        <v>5</v>
      </c>
      <c r="C19310" s="4" t="s">
        <v>11</v>
      </c>
    </row>
    <row r="19311" spans="1:18">
      <c r="A19311" t="n">
        <v>187122</v>
      </c>
      <c r="B19311" s="29" t="n">
        <v>16</v>
      </c>
      <c r="C19311" s="7" t="n">
        <v>0</v>
      </c>
    </row>
    <row r="19312" spans="1:18">
      <c r="A19312" t="s">
        <v>4</v>
      </c>
      <c r="B19312" s="4" t="s">
        <v>5</v>
      </c>
      <c r="C19312" s="4" t="s">
        <v>11</v>
      </c>
      <c r="D19312" s="4" t="s">
        <v>7</v>
      </c>
      <c r="E19312" s="4" t="s">
        <v>15</v>
      </c>
      <c r="F19312" s="4" t="s">
        <v>55</v>
      </c>
      <c r="G19312" s="4" t="s">
        <v>7</v>
      </c>
      <c r="H19312" s="4" t="s">
        <v>7</v>
      </c>
    </row>
    <row r="19313" spans="1:18">
      <c r="A19313" t="n">
        <v>187125</v>
      </c>
      <c r="B19313" s="55" t="n">
        <v>26</v>
      </c>
      <c r="C19313" s="7" t="n">
        <v>5</v>
      </c>
      <c r="D19313" s="7" t="n">
        <v>17</v>
      </c>
      <c r="E19313" s="7" t="n">
        <v>64605</v>
      </c>
      <c r="F19313" s="7" t="s">
        <v>1591</v>
      </c>
      <c r="G19313" s="7" t="n">
        <v>2</v>
      </c>
      <c r="H19313" s="7" t="n">
        <v>0</v>
      </c>
    </row>
    <row r="19314" spans="1:18">
      <c r="A19314" t="s">
        <v>4</v>
      </c>
      <c r="B19314" s="4" t="s">
        <v>5</v>
      </c>
    </row>
    <row r="19315" spans="1:18">
      <c r="A19315" t="n">
        <v>187255</v>
      </c>
      <c r="B19315" s="27" t="n">
        <v>28</v>
      </c>
    </row>
    <row r="19316" spans="1:18">
      <c r="A19316" t="s">
        <v>4</v>
      </c>
      <c r="B19316" s="4" t="s">
        <v>5</v>
      </c>
      <c r="C19316" s="4" t="s">
        <v>11</v>
      </c>
      <c r="D19316" s="4" t="s">
        <v>7</v>
      </c>
    </row>
    <row r="19317" spans="1:18">
      <c r="A19317" t="n">
        <v>187256</v>
      </c>
      <c r="B19317" s="68" t="n">
        <v>89</v>
      </c>
      <c r="C19317" s="7" t="n">
        <v>65533</v>
      </c>
      <c r="D19317" s="7" t="n">
        <v>1</v>
      </c>
    </row>
    <row r="19318" spans="1:18">
      <c r="A19318" t="s">
        <v>4</v>
      </c>
      <c r="B19318" s="4" t="s">
        <v>5</v>
      </c>
      <c r="C19318" s="4" t="s">
        <v>11</v>
      </c>
      <c r="D19318" s="4" t="s">
        <v>13</v>
      </c>
      <c r="E19318" s="4" t="s">
        <v>13</v>
      </c>
      <c r="F19318" s="4" t="s">
        <v>13</v>
      </c>
      <c r="G19318" s="4" t="s">
        <v>11</v>
      </c>
      <c r="H19318" s="4" t="s">
        <v>11</v>
      </c>
    </row>
    <row r="19319" spans="1:18">
      <c r="A19319" t="n">
        <v>187260</v>
      </c>
      <c r="B19319" s="37" t="n">
        <v>60</v>
      </c>
      <c r="C19319" s="7" t="n">
        <v>5</v>
      </c>
      <c r="D19319" s="7" t="n">
        <v>0</v>
      </c>
      <c r="E19319" s="7" t="n">
        <v>-10</v>
      </c>
      <c r="F19319" s="7" t="n">
        <v>0</v>
      </c>
      <c r="G19319" s="7" t="n">
        <v>1000</v>
      </c>
      <c r="H19319" s="7" t="n">
        <v>0</v>
      </c>
    </row>
    <row r="19320" spans="1:18">
      <c r="A19320" t="s">
        <v>4</v>
      </c>
      <c r="B19320" s="4" t="s">
        <v>5</v>
      </c>
      <c r="C19320" s="4" t="s">
        <v>7</v>
      </c>
      <c r="D19320" s="4" t="s">
        <v>11</v>
      </c>
      <c r="E19320" s="4" t="s">
        <v>8</v>
      </c>
    </row>
    <row r="19321" spans="1:18">
      <c r="A19321" t="n">
        <v>187279</v>
      </c>
      <c r="B19321" s="38" t="n">
        <v>51</v>
      </c>
      <c r="C19321" s="7" t="n">
        <v>4</v>
      </c>
      <c r="D19321" s="7" t="n">
        <v>5</v>
      </c>
      <c r="E19321" s="7" t="s">
        <v>1376</v>
      </c>
    </row>
    <row r="19322" spans="1:18">
      <c r="A19322" t="s">
        <v>4</v>
      </c>
      <c r="B19322" s="4" t="s">
        <v>5</v>
      </c>
      <c r="C19322" s="4" t="s">
        <v>11</v>
      </c>
    </row>
    <row r="19323" spans="1:18">
      <c r="A19323" t="n">
        <v>187294</v>
      </c>
      <c r="B19323" s="29" t="n">
        <v>16</v>
      </c>
      <c r="C19323" s="7" t="n">
        <v>0</v>
      </c>
    </row>
    <row r="19324" spans="1:18">
      <c r="A19324" t="s">
        <v>4</v>
      </c>
      <c r="B19324" s="4" t="s">
        <v>5</v>
      </c>
      <c r="C19324" s="4" t="s">
        <v>11</v>
      </c>
      <c r="D19324" s="4" t="s">
        <v>7</v>
      </c>
      <c r="E19324" s="4" t="s">
        <v>15</v>
      </c>
      <c r="F19324" s="4" t="s">
        <v>55</v>
      </c>
      <c r="G19324" s="4" t="s">
        <v>7</v>
      </c>
      <c r="H19324" s="4" t="s">
        <v>7</v>
      </c>
    </row>
    <row r="19325" spans="1:18">
      <c r="A19325" t="n">
        <v>187297</v>
      </c>
      <c r="B19325" s="55" t="n">
        <v>26</v>
      </c>
      <c r="C19325" s="7" t="n">
        <v>5</v>
      </c>
      <c r="D19325" s="7" t="n">
        <v>17</v>
      </c>
      <c r="E19325" s="7" t="n">
        <v>64606</v>
      </c>
      <c r="F19325" s="7" t="s">
        <v>464</v>
      </c>
      <c r="G19325" s="7" t="n">
        <v>2</v>
      </c>
      <c r="H19325" s="7" t="n">
        <v>0</v>
      </c>
    </row>
    <row r="19326" spans="1:18">
      <c r="A19326" t="s">
        <v>4</v>
      </c>
      <c r="B19326" s="4" t="s">
        <v>5</v>
      </c>
    </row>
    <row r="19327" spans="1:18">
      <c r="A19327" t="n">
        <v>187310</v>
      </c>
      <c r="B19327" s="27" t="n">
        <v>28</v>
      </c>
    </row>
    <row r="19328" spans="1:18">
      <c r="A19328" t="s">
        <v>4</v>
      </c>
      <c r="B19328" s="4" t="s">
        <v>5</v>
      </c>
      <c r="C19328" s="4" t="s">
        <v>11</v>
      </c>
      <c r="D19328" s="4" t="s">
        <v>7</v>
      </c>
    </row>
    <row r="19329" spans="1:8">
      <c r="A19329" t="n">
        <v>187311</v>
      </c>
      <c r="B19329" s="68" t="n">
        <v>89</v>
      </c>
      <c r="C19329" s="7" t="n">
        <v>65533</v>
      </c>
      <c r="D19329" s="7" t="n">
        <v>1</v>
      </c>
    </row>
    <row r="19330" spans="1:8">
      <c r="A19330" t="s">
        <v>4</v>
      </c>
      <c r="B19330" s="4" t="s">
        <v>5</v>
      </c>
      <c r="C19330" s="4" t="s">
        <v>11</v>
      </c>
    </row>
    <row r="19331" spans="1:8">
      <c r="A19331" t="n">
        <v>187315</v>
      </c>
      <c r="B19331" s="29" t="n">
        <v>16</v>
      </c>
      <c r="C19331" s="7" t="n">
        <v>300</v>
      </c>
    </row>
    <row r="19332" spans="1:8">
      <c r="A19332" t="s">
        <v>4</v>
      </c>
      <c r="B19332" s="4" t="s">
        <v>5</v>
      </c>
      <c r="C19332" s="4" t="s">
        <v>7</v>
      </c>
      <c r="D19332" s="4" t="s">
        <v>11</v>
      </c>
      <c r="E19332" s="4" t="s">
        <v>7</v>
      </c>
      <c r="F19332" s="4" t="s">
        <v>7</v>
      </c>
      <c r="G19332" s="4" t="s">
        <v>12</v>
      </c>
    </row>
    <row r="19333" spans="1:8">
      <c r="A19333" t="n">
        <v>187318</v>
      </c>
      <c r="B19333" s="10" t="n">
        <v>5</v>
      </c>
      <c r="C19333" s="7" t="n">
        <v>30</v>
      </c>
      <c r="D19333" s="7" t="n">
        <v>10829</v>
      </c>
      <c r="E19333" s="7" t="n">
        <v>8</v>
      </c>
      <c r="F19333" s="7" t="n">
        <v>1</v>
      </c>
      <c r="G19333" s="11" t="n">
        <f t="normal" ca="1">A19399</f>
        <v>0</v>
      </c>
    </row>
    <row r="19334" spans="1:8">
      <c r="A19334" t="s">
        <v>4</v>
      </c>
      <c r="B19334" s="4" t="s">
        <v>5</v>
      </c>
      <c r="C19334" s="4" t="s">
        <v>7</v>
      </c>
      <c r="D19334" s="4" t="s">
        <v>11</v>
      </c>
      <c r="E19334" s="4" t="s">
        <v>8</v>
      </c>
    </row>
    <row r="19335" spans="1:8">
      <c r="A19335" t="n">
        <v>187328</v>
      </c>
      <c r="B19335" s="38" t="n">
        <v>51</v>
      </c>
      <c r="C19335" s="7" t="n">
        <v>4</v>
      </c>
      <c r="D19335" s="7" t="n">
        <v>0</v>
      </c>
      <c r="E19335" s="7" t="s">
        <v>245</v>
      </c>
    </row>
    <row r="19336" spans="1:8">
      <c r="A19336" t="s">
        <v>4</v>
      </c>
      <c r="B19336" s="4" t="s">
        <v>5</v>
      </c>
      <c r="C19336" s="4" t="s">
        <v>11</v>
      </c>
    </row>
    <row r="19337" spans="1:8">
      <c r="A19337" t="n">
        <v>187342</v>
      </c>
      <c r="B19337" s="29" t="n">
        <v>16</v>
      </c>
      <c r="C19337" s="7" t="n">
        <v>0</v>
      </c>
    </row>
    <row r="19338" spans="1:8">
      <c r="A19338" t="s">
        <v>4</v>
      </c>
      <c r="B19338" s="4" t="s">
        <v>5</v>
      </c>
      <c r="C19338" s="4" t="s">
        <v>11</v>
      </c>
      <c r="D19338" s="4" t="s">
        <v>7</v>
      </c>
      <c r="E19338" s="4" t="s">
        <v>15</v>
      </c>
      <c r="F19338" s="4" t="s">
        <v>55</v>
      </c>
      <c r="G19338" s="4" t="s">
        <v>7</v>
      </c>
      <c r="H19338" s="4" t="s">
        <v>7</v>
      </c>
    </row>
    <row r="19339" spans="1:8">
      <c r="A19339" t="n">
        <v>187345</v>
      </c>
      <c r="B19339" s="55" t="n">
        <v>26</v>
      </c>
      <c r="C19339" s="7" t="n">
        <v>0</v>
      </c>
      <c r="D19339" s="7" t="n">
        <v>17</v>
      </c>
      <c r="E19339" s="7" t="n">
        <v>64607</v>
      </c>
      <c r="F19339" s="7" t="s">
        <v>1592</v>
      </c>
      <c r="G19339" s="7" t="n">
        <v>2</v>
      </c>
      <c r="H19339" s="7" t="n">
        <v>0</v>
      </c>
    </row>
    <row r="19340" spans="1:8">
      <c r="A19340" t="s">
        <v>4</v>
      </c>
      <c r="B19340" s="4" t="s">
        <v>5</v>
      </c>
    </row>
    <row r="19341" spans="1:8">
      <c r="A19341" t="n">
        <v>187380</v>
      </c>
      <c r="B19341" s="27" t="n">
        <v>28</v>
      </c>
    </row>
    <row r="19342" spans="1:8">
      <c r="A19342" t="s">
        <v>4</v>
      </c>
      <c r="B19342" s="4" t="s">
        <v>5</v>
      </c>
      <c r="C19342" s="4" t="s">
        <v>7</v>
      </c>
      <c r="D19342" s="4" t="s">
        <v>11</v>
      </c>
      <c r="E19342" s="4" t="s">
        <v>11</v>
      </c>
      <c r="F19342" s="4" t="s">
        <v>7</v>
      </c>
    </row>
    <row r="19343" spans="1:8">
      <c r="A19343" t="n">
        <v>187381</v>
      </c>
      <c r="B19343" s="31" t="n">
        <v>25</v>
      </c>
      <c r="C19343" s="7" t="n">
        <v>1</v>
      </c>
      <c r="D19343" s="7" t="n">
        <v>65535</v>
      </c>
      <c r="E19343" s="7" t="n">
        <v>65535</v>
      </c>
      <c r="F19343" s="7" t="n">
        <v>0</v>
      </c>
    </row>
    <row r="19344" spans="1:8">
      <c r="A19344" t="s">
        <v>4</v>
      </c>
      <c r="B19344" s="4" t="s">
        <v>5</v>
      </c>
      <c r="C19344" s="4" t="s">
        <v>11</v>
      </c>
      <c r="D19344" s="4" t="s">
        <v>13</v>
      </c>
      <c r="E19344" s="4" t="s">
        <v>13</v>
      </c>
      <c r="F19344" s="4" t="s">
        <v>13</v>
      </c>
      <c r="G19344" s="4" t="s">
        <v>11</v>
      </c>
      <c r="H19344" s="4" t="s">
        <v>11</v>
      </c>
    </row>
    <row r="19345" spans="1:8">
      <c r="A19345" t="n">
        <v>187388</v>
      </c>
      <c r="B19345" s="37" t="n">
        <v>60</v>
      </c>
      <c r="C19345" s="7" t="n">
        <v>5</v>
      </c>
      <c r="D19345" s="7" t="n">
        <v>0</v>
      </c>
      <c r="E19345" s="7" t="n">
        <v>0</v>
      </c>
      <c r="F19345" s="7" t="n">
        <v>0</v>
      </c>
      <c r="G19345" s="7" t="n">
        <v>1000</v>
      </c>
      <c r="H19345" s="7" t="n">
        <v>0</v>
      </c>
    </row>
    <row r="19346" spans="1:8">
      <c r="A19346" t="s">
        <v>4</v>
      </c>
      <c r="B19346" s="4" t="s">
        <v>5</v>
      </c>
      <c r="C19346" s="4" t="s">
        <v>7</v>
      </c>
      <c r="D19346" s="4" t="s">
        <v>11</v>
      </c>
      <c r="E19346" s="4" t="s">
        <v>8</v>
      </c>
    </row>
    <row r="19347" spans="1:8">
      <c r="A19347" t="n">
        <v>187407</v>
      </c>
      <c r="B19347" s="38" t="n">
        <v>51</v>
      </c>
      <c r="C19347" s="7" t="n">
        <v>4</v>
      </c>
      <c r="D19347" s="7" t="n">
        <v>5</v>
      </c>
      <c r="E19347" s="7" t="s">
        <v>192</v>
      </c>
    </row>
    <row r="19348" spans="1:8">
      <c r="A19348" t="s">
        <v>4</v>
      </c>
      <c r="B19348" s="4" t="s">
        <v>5</v>
      </c>
      <c r="C19348" s="4" t="s">
        <v>11</v>
      </c>
    </row>
    <row r="19349" spans="1:8">
      <c r="A19349" t="n">
        <v>187420</v>
      </c>
      <c r="B19349" s="29" t="n">
        <v>16</v>
      </c>
      <c r="C19349" s="7" t="n">
        <v>500</v>
      </c>
    </row>
    <row r="19350" spans="1:8">
      <c r="A19350" t="s">
        <v>4</v>
      </c>
      <c r="B19350" s="4" t="s">
        <v>5</v>
      </c>
      <c r="C19350" s="4" t="s">
        <v>11</v>
      </c>
      <c r="D19350" s="4" t="s">
        <v>7</v>
      </c>
      <c r="E19350" s="4" t="s">
        <v>15</v>
      </c>
      <c r="F19350" s="4" t="s">
        <v>55</v>
      </c>
      <c r="G19350" s="4" t="s">
        <v>7</v>
      </c>
      <c r="H19350" s="4" t="s">
        <v>7</v>
      </c>
      <c r="I19350" s="4" t="s">
        <v>7</v>
      </c>
      <c r="J19350" s="4" t="s">
        <v>15</v>
      </c>
      <c r="K19350" s="4" t="s">
        <v>55</v>
      </c>
      <c r="L19350" s="4" t="s">
        <v>7</v>
      </c>
      <c r="M19350" s="4" t="s">
        <v>7</v>
      </c>
      <c r="N19350" s="4" t="s">
        <v>7</v>
      </c>
      <c r="O19350" s="4" t="s">
        <v>15</v>
      </c>
      <c r="P19350" s="4" t="s">
        <v>55</v>
      </c>
      <c r="Q19350" s="4" t="s">
        <v>7</v>
      </c>
      <c r="R19350" s="4" t="s">
        <v>7</v>
      </c>
      <c r="S19350" s="4" t="s">
        <v>7</v>
      </c>
      <c r="T19350" s="4" t="s">
        <v>15</v>
      </c>
      <c r="U19350" s="4" t="s">
        <v>55</v>
      </c>
      <c r="V19350" s="4" t="s">
        <v>7</v>
      </c>
      <c r="W19350" s="4" t="s">
        <v>7</v>
      </c>
    </row>
    <row r="19351" spans="1:8">
      <c r="A19351" t="n">
        <v>187423</v>
      </c>
      <c r="B19351" s="55" t="n">
        <v>26</v>
      </c>
      <c r="C19351" s="7" t="n">
        <v>5</v>
      </c>
      <c r="D19351" s="7" t="n">
        <v>17</v>
      </c>
      <c r="E19351" s="7" t="n">
        <v>64608</v>
      </c>
      <c r="F19351" s="7" t="s">
        <v>1593</v>
      </c>
      <c r="G19351" s="7" t="n">
        <v>2</v>
      </c>
      <c r="H19351" s="7" t="n">
        <v>3</v>
      </c>
      <c r="I19351" s="7" t="n">
        <v>17</v>
      </c>
      <c r="J19351" s="7" t="n">
        <v>64609</v>
      </c>
      <c r="K19351" s="7" t="s">
        <v>1594</v>
      </c>
      <c r="L19351" s="7" t="n">
        <v>2</v>
      </c>
      <c r="M19351" s="7" t="n">
        <v>3</v>
      </c>
      <c r="N19351" s="7" t="n">
        <v>17</v>
      </c>
      <c r="O19351" s="7" t="n">
        <v>64610</v>
      </c>
      <c r="P19351" s="7" t="s">
        <v>1595</v>
      </c>
      <c r="Q19351" s="7" t="n">
        <v>2</v>
      </c>
      <c r="R19351" s="7" t="n">
        <v>3</v>
      </c>
      <c r="S19351" s="7" t="n">
        <v>17</v>
      </c>
      <c r="T19351" s="7" t="n">
        <v>64611</v>
      </c>
      <c r="U19351" s="7" t="s">
        <v>1596</v>
      </c>
      <c r="V19351" s="7" t="n">
        <v>2</v>
      </c>
      <c r="W19351" s="7" t="n">
        <v>0</v>
      </c>
    </row>
    <row r="19352" spans="1:8">
      <c r="A19352" t="s">
        <v>4</v>
      </c>
      <c r="B19352" s="4" t="s">
        <v>5</v>
      </c>
    </row>
    <row r="19353" spans="1:8">
      <c r="A19353" t="n">
        <v>187730</v>
      </c>
      <c r="B19353" s="27" t="n">
        <v>28</v>
      </c>
    </row>
    <row r="19354" spans="1:8">
      <c r="A19354" t="s">
        <v>4</v>
      </c>
      <c r="B19354" s="4" t="s">
        <v>5</v>
      </c>
      <c r="C19354" s="4" t="s">
        <v>7</v>
      </c>
      <c r="D19354" s="4" t="s">
        <v>11</v>
      </c>
      <c r="E19354" s="4" t="s">
        <v>8</v>
      </c>
    </row>
    <row r="19355" spans="1:8">
      <c r="A19355" t="n">
        <v>187731</v>
      </c>
      <c r="B19355" s="38" t="n">
        <v>51</v>
      </c>
      <c r="C19355" s="7" t="n">
        <v>4</v>
      </c>
      <c r="D19355" s="7" t="n">
        <v>0</v>
      </c>
      <c r="E19355" s="7" t="s">
        <v>1080</v>
      </c>
    </row>
    <row r="19356" spans="1:8">
      <c r="A19356" t="s">
        <v>4</v>
      </c>
      <c r="B19356" s="4" t="s">
        <v>5</v>
      </c>
      <c r="C19356" s="4" t="s">
        <v>11</v>
      </c>
    </row>
    <row r="19357" spans="1:8">
      <c r="A19357" t="n">
        <v>187744</v>
      </c>
      <c r="B19357" s="29" t="n">
        <v>16</v>
      </c>
      <c r="C19357" s="7" t="n">
        <v>0</v>
      </c>
    </row>
    <row r="19358" spans="1:8">
      <c r="A19358" t="s">
        <v>4</v>
      </c>
      <c r="B19358" s="4" t="s">
        <v>5</v>
      </c>
      <c r="C19358" s="4" t="s">
        <v>11</v>
      </c>
      <c r="D19358" s="4" t="s">
        <v>7</v>
      </c>
      <c r="E19358" s="4" t="s">
        <v>15</v>
      </c>
      <c r="F19358" s="4" t="s">
        <v>55</v>
      </c>
      <c r="G19358" s="4" t="s">
        <v>7</v>
      </c>
      <c r="H19358" s="4" t="s">
        <v>7</v>
      </c>
      <c r="I19358" s="4" t="s">
        <v>7</v>
      </c>
      <c r="J19358" s="4" t="s">
        <v>15</v>
      </c>
      <c r="K19358" s="4" t="s">
        <v>55</v>
      </c>
      <c r="L19358" s="4" t="s">
        <v>7</v>
      </c>
      <c r="M19358" s="4" t="s">
        <v>7</v>
      </c>
    </row>
    <row r="19359" spans="1:8">
      <c r="A19359" t="n">
        <v>187747</v>
      </c>
      <c r="B19359" s="55" t="n">
        <v>26</v>
      </c>
      <c r="C19359" s="7" t="n">
        <v>0</v>
      </c>
      <c r="D19359" s="7" t="n">
        <v>17</v>
      </c>
      <c r="E19359" s="7" t="n">
        <v>64612</v>
      </c>
      <c r="F19359" s="7" t="s">
        <v>1597</v>
      </c>
      <c r="G19359" s="7" t="n">
        <v>2</v>
      </c>
      <c r="H19359" s="7" t="n">
        <v>3</v>
      </c>
      <c r="I19359" s="7" t="n">
        <v>17</v>
      </c>
      <c r="J19359" s="7" t="n">
        <v>64613</v>
      </c>
      <c r="K19359" s="7" t="s">
        <v>1598</v>
      </c>
      <c r="L19359" s="7" t="n">
        <v>2</v>
      </c>
      <c r="M19359" s="7" t="n">
        <v>0</v>
      </c>
    </row>
    <row r="19360" spans="1:8">
      <c r="A19360" t="s">
        <v>4</v>
      </c>
      <c r="B19360" s="4" t="s">
        <v>5</v>
      </c>
    </row>
    <row r="19361" spans="1:23">
      <c r="A19361" t="n">
        <v>187928</v>
      </c>
      <c r="B19361" s="27" t="n">
        <v>28</v>
      </c>
    </row>
    <row r="19362" spans="1:23">
      <c r="A19362" t="s">
        <v>4</v>
      </c>
      <c r="B19362" s="4" t="s">
        <v>5</v>
      </c>
      <c r="C19362" s="4" t="s">
        <v>7</v>
      </c>
      <c r="D19362" s="4" t="s">
        <v>11</v>
      </c>
      <c r="E19362" s="4" t="s">
        <v>11</v>
      </c>
      <c r="F19362" s="4" t="s">
        <v>7</v>
      </c>
    </row>
    <row r="19363" spans="1:23">
      <c r="A19363" t="n">
        <v>187929</v>
      </c>
      <c r="B19363" s="31" t="n">
        <v>25</v>
      </c>
      <c r="C19363" s="7" t="n">
        <v>1</v>
      </c>
      <c r="D19363" s="7" t="n">
        <v>65535</v>
      </c>
      <c r="E19363" s="7" t="n">
        <v>65535</v>
      </c>
      <c r="F19363" s="7" t="n">
        <v>0</v>
      </c>
    </row>
    <row r="19364" spans="1:23">
      <c r="A19364" t="s">
        <v>4</v>
      </c>
      <c r="B19364" s="4" t="s">
        <v>5</v>
      </c>
      <c r="C19364" s="4" t="s">
        <v>7</v>
      </c>
      <c r="D19364" s="4" t="s">
        <v>11</v>
      </c>
      <c r="E19364" s="4" t="s">
        <v>8</v>
      </c>
    </row>
    <row r="19365" spans="1:23">
      <c r="A19365" t="n">
        <v>187936</v>
      </c>
      <c r="B19365" s="38" t="n">
        <v>51</v>
      </c>
      <c r="C19365" s="7" t="n">
        <v>4</v>
      </c>
      <c r="D19365" s="7" t="n">
        <v>5</v>
      </c>
      <c r="E19365" s="7" t="s">
        <v>192</v>
      </c>
    </row>
    <row r="19366" spans="1:23">
      <c r="A19366" t="s">
        <v>4</v>
      </c>
      <c r="B19366" s="4" t="s">
        <v>5</v>
      </c>
      <c r="C19366" s="4" t="s">
        <v>11</v>
      </c>
    </row>
    <row r="19367" spans="1:23">
      <c r="A19367" t="n">
        <v>187949</v>
      </c>
      <c r="B19367" s="29" t="n">
        <v>16</v>
      </c>
      <c r="C19367" s="7" t="n">
        <v>0</v>
      </c>
    </row>
    <row r="19368" spans="1:23">
      <c r="A19368" t="s">
        <v>4</v>
      </c>
      <c r="B19368" s="4" t="s">
        <v>5</v>
      </c>
      <c r="C19368" s="4" t="s">
        <v>11</v>
      </c>
      <c r="D19368" s="4" t="s">
        <v>7</v>
      </c>
      <c r="E19368" s="4" t="s">
        <v>15</v>
      </c>
      <c r="F19368" s="4" t="s">
        <v>55</v>
      </c>
      <c r="G19368" s="4" t="s">
        <v>7</v>
      </c>
      <c r="H19368" s="4" t="s">
        <v>7</v>
      </c>
      <c r="I19368" s="4" t="s">
        <v>7</v>
      </c>
      <c r="J19368" s="4" t="s">
        <v>15</v>
      </c>
      <c r="K19368" s="4" t="s">
        <v>55</v>
      </c>
      <c r="L19368" s="4" t="s">
        <v>7</v>
      </c>
      <c r="M19368" s="4" t="s">
        <v>7</v>
      </c>
      <c r="N19368" s="4" t="s">
        <v>7</v>
      </c>
      <c r="O19368" s="4" t="s">
        <v>15</v>
      </c>
      <c r="P19368" s="4" t="s">
        <v>55</v>
      </c>
      <c r="Q19368" s="4" t="s">
        <v>7</v>
      </c>
      <c r="R19368" s="4" t="s">
        <v>7</v>
      </c>
    </row>
    <row r="19369" spans="1:23">
      <c r="A19369" t="n">
        <v>187952</v>
      </c>
      <c r="B19369" s="55" t="n">
        <v>26</v>
      </c>
      <c r="C19369" s="7" t="n">
        <v>5</v>
      </c>
      <c r="D19369" s="7" t="n">
        <v>17</v>
      </c>
      <c r="E19369" s="7" t="n">
        <v>64614</v>
      </c>
      <c r="F19369" s="7" t="s">
        <v>1599</v>
      </c>
      <c r="G19369" s="7" t="n">
        <v>2</v>
      </c>
      <c r="H19369" s="7" t="n">
        <v>3</v>
      </c>
      <c r="I19369" s="7" t="n">
        <v>17</v>
      </c>
      <c r="J19369" s="7" t="n">
        <v>64615</v>
      </c>
      <c r="K19369" s="7" t="s">
        <v>1600</v>
      </c>
      <c r="L19369" s="7" t="n">
        <v>2</v>
      </c>
      <c r="M19369" s="7" t="n">
        <v>3</v>
      </c>
      <c r="N19369" s="7" t="n">
        <v>17</v>
      </c>
      <c r="O19369" s="7" t="n">
        <v>64616</v>
      </c>
      <c r="P19369" s="7" t="s">
        <v>1601</v>
      </c>
      <c r="Q19369" s="7" t="n">
        <v>2</v>
      </c>
      <c r="R19369" s="7" t="n">
        <v>0</v>
      </c>
    </row>
    <row r="19370" spans="1:23">
      <c r="A19370" t="s">
        <v>4</v>
      </c>
      <c r="B19370" s="4" t="s">
        <v>5</v>
      </c>
    </row>
    <row r="19371" spans="1:23">
      <c r="A19371" t="n">
        <v>188274</v>
      </c>
      <c r="B19371" s="27" t="n">
        <v>28</v>
      </c>
    </row>
    <row r="19372" spans="1:23">
      <c r="A19372" t="s">
        <v>4</v>
      </c>
      <c r="B19372" s="4" t="s">
        <v>5</v>
      </c>
      <c r="C19372" s="4" t="s">
        <v>7</v>
      </c>
      <c r="D19372" s="4" t="s">
        <v>11</v>
      </c>
      <c r="E19372" s="4" t="s">
        <v>8</v>
      </c>
    </row>
    <row r="19373" spans="1:23">
      <c r="A19373" t="n">
        <v>188275</v>
      </c>
      <c r="B19373" s="38" t="n">
        <v>51</v>
      </c>
      <c r="C19373" s="7" t="n">
        <v>4</v>
      </c>
      <c r="D19373" s="7" t="n">
        <v>0</v>
      </c>
      <c r="E19373" s="7" t="s">
        <v>179</v>
      </c>
    </row>
    <row r="19374" spans="1:23">
      <c r="A19374" t="s">
        <v>4</v>
      </c>
      <c r="B19374" s="4" t="s">
        <v>5</v>
      </c>
      <c r="C19374" s="4" t="s">
        <v>11</v>
      </c>
    </row>
    <row r="19375" spans="1:23">
      <c r="A19375" t="n">
        <v>188289</v>
      </c>
      <c r="B19375" s="29" t="n">
        <v>16</v>
      </c>
      <c r="C19375" s="7" t="n">
        <v>0</v>
      </c>
    </row>
    <row r="19376" spans="1:23">
      <c r="A19376" t="s">
        <v>4</v>
      </c>
      <c r="B19376" s="4" t="s">
        <v>5</v>
      </c>
      <c r="C19376" s="4" t="s">
        <v>11</v>
      </c>
      <c r="D19376" s="4" t="s">
        <v>7</v>
      </c>
      <c r="E19376" s="4" t="s">
        <v>15</v>
      </c>
      <c r="F19376" s="4" t="s">
        <v>55</v>
      </c>
      <c r="G19376" s="4" t="s">
        <v>7</v>
      </c>
      <c r="H19376" s="4" t="s">
        <v>7</v>
      </c>
      <c r="I19376" s="4" t="s">
        <v>7</v>
      </c>
      <c r="J19376" s="4" t="s">
        <v>15</v>
      </c>
      <c r="K19376" s="4" t="s">
        <v>55</v>
      </c>
      <c r="L19376" s="4" t="s">
        <v>7</v>
      </c>
      <c r="M19376" s="4" t="s">
        <v>7</v>
      </c>
    </row>
    <row r="19377" spans="1:18">
      <c r="A19377" t="n">
        <v>188292</v>
      </c>
      <c r="B19377" s="55" t="n">
        <v>26</v>
      </c>
      <c r="C19377" s="7" t="n">
        <v>0</v>
      </c>
      <c r="D19377" s="7" t="n">
        <v>17</v>
      </c>
      <c r="E19377" s="7" t="n">
        <v>64617</v>
      </c>
      <c r="F19377" s="7" t="s">
        <v>1602</v>
      </c>
      <c r="G19377" s="7" t="n">
        <v>2</v>
      </c>
      <c r="H19377" s="7" t="n">
        <v>3</v>
      </c>
      <c r="I19377" s="7" t="n">
        <v>17</v>
      </c>
      <c r="J19377" s="7" t="n">
        <v>64618</v>
      </c>
      <c r="K19377" s="7" t="s">
        <v>1603</v>
      </c>
      <c r="L19377" s="7" t="n">
        <v>2</v>
      </c>
      <c r="M19377" s="7" t="n">
        <v>0</v>
      </c>
    </row>
    <row r="19378" spans="1:18">
      <c r="A19378" t="s">
        <v>4</v>
      </c>
      <c r="B19378" s="4" t="s">
        <v>5</v>
      </c>
    </row>
    <row r="19379" spans="1:18">
      <c r="A19379" t="n">
        <v>188428</v>
      </c>
      <c r="B19379" s="27" t="n">
        <v>28</v>
      </c>
    </row>
    <row r="19380" spans="1:18">
      <c r="A19380" t="s">
        <v>4</v>
      </c>
      <c r="B19380" s="4" t="s">
        <v>5</v>
      </c>
      <c r="C19380" s="4" t="s">
        <v>7</v>
      </c>
      <c r="D19380" s="4" t="s">
        <v>11</v>
      </c>
      <c r="E19380" s="4" t="s">
        <v>11</v>
      </c>
      <c r="F19380" s="4" t="s">
        <v>7</v>
      </c>
    </row>
    <row r="19381" spans="1:18">
      <c r="A19381" t="n">
        <v>188429</v>
      </c>
      <c r="B19381" s="31" t="n">
        <v>25</v>
      </c>
      <c r="C19381" s="7" t="n">
        <v>1</v>
      </c>
      <c r="D19381" s="7" t="n">
        <v>65535</v>
      </c>
      <c r="E19381" s="7" t="n">
        <v>65535</v>
      </c>
      <c r="F19381" s="7" t="n">
        <v>0</v>
      </c>
    </row>
    <row r="19382" spans="1:18">
      <c r="A19382" t="s">
        <v>4</v>
      </c>
      <c r="B19382" s="4" t="s">
        <v>5</v>
      </c>
      <c r="C19382" s="4" t="s">
        <v>7</v>
      </c>
      <c r="D19382" s="4" t="s">
        <v>11</v>
      </c>
      <c r="E19382" s="4" t="s">
        <v>8</v>
      </c>
      <c r="F19382" s="4" t="s">
        <v>8</v>
      </c>
      <c r="G19382" s="4" t="s">
        <v>8</v>
      </c>
      <c r="H19382" s="4" t="s">
        <v>8</v>
      </c>
    </row>
    <row r="19383" spans="1:18">
      <c r="A19383" t="n">
        <v>188436</v>
      </c>
      <c r="B19383" s="38" t="n">
        <v>51</v>
      </c>
      <c r="C19383" s="7" t="n">
        <v>3</v>
      </c>
      <c r="D19383" s="7" t="n">
        <v>5</v>
      </c>
      <c r="E19383" s="7" t="s">
        <v>86</v>
      </c>
      <c r="F19383" s="7" t="s">
        <v>79</v>
      </c>
      <c r="G19383" s="7" t="s">
        <v>78</v>
      </c>
      <c r="H19383" s="7" t="s">
        <v>79</v>
      </c>
    </row>
    <row r="19384" spans="1:18">
      <c r="A19384" t="s">
        <v>4</v>
      </c>
      <c r="B19384" s="4" t="s">
        <v>5</v>
      </c>
      <c r="C19384" s="4" t="s">
        <v>11</v>
      </c>
      <c r="D19384" s="4" t="s">
        <v>7</v>
      </c>
      <c r="E19384" s="4" t="s">
        <v>7</v>
      </c>
      <c r="F19384" s="4" t="s">
        <v>8</v>
      </c>
    </row>
    <row r="19385" spans="1:18">
      <c r="A19385" t="n">
        <v>188449</v>
      </c>
      <c r="B19385" s="50" t="n">
        <v>20</v>
      </c>
      <c r="C19385" s="7" t="n">
        <v>5</v>
      </c>
      <c r="D19385" s="7" t="n">
        <v>2</v>
      </c>
      <c r="E19385" s="7" t="n">
        <v>10</v>
      </c>
      <c r="F19385" s="7" t="s">
        <v>223</v>
      </c>
    </row>
    <row r="19386" spans="1:18">
      <c r="A19386" t="s">
        <v>4</v>
      </c>
      <c r="B19386" s="4" t="s">
        <v>5</v>
      </c>
      <c r="C19386" s="4" t="s">
        <v>11</v>
      </c>
    </row>
    <row r="19387" spans="1:18">
      <c r="A19387" t="n">
        <v>188470</v>
      </c>
      <c r="B19387" s="29" t="n">
        <v>16</v>
      </c>
      <c r="C19387" s="7" t="n">
        <v>500</v>
      </c>
    </row>
    <row r="19388" spans="1:18">
      <c r="A19388" t="s">
        <v>4</v>
      </c>
      <c r="B19388" s="4" t="s">
        <v>5</v>
      </c>
      <c r="C19388" s="4" t="s">
        <v>7</v>
      </c>
      <c r="D19388" s="4" t="s">
        <v>11</v>
      </c>
      <c r="E19388" s="4" t="s">
        <v>8</v>
      </c>
    </row>
    <row r="19389" spans="1:18">
      <c r="A19389" t="n">
        <v>188473</v>
      </c>
      <c r="B19389" s="38" t="n">
        <v>51</v>
      </c>
      <c r="C19389" s="7" t="n">
        <v>4</v>
      </c>
      <c r="D19389" s="7" t="n">
        <v>5</v>
      </c>
      <c r="E19389" s="7" t="s">
        <v>313</v>
      </c>
    </row>
    <row r="19390" spans="1:18">
      <c r="A19390" t="s">
        <v>4</v>
      </c>
      <c r="B19390" s="4" t="s">
        <v>5</v>
      </c>
      <c r="C19390" s="4" t="s">
        <v>11</v>
      </c>
    </row>
    <row r="19391" spans="1:18">
      <c r="A19391" t="n">
        <v>188486</v>
      </c>
      <c r="B19391" s="29" t="n">
        <v>16</v>
      </c>
      <c r="C19391" s="7" t="n">
        <v>0</v>
      </c>
    </row>
    <row r="19392" spans="1:18">
      <c r="A19392" t="s">
        <v>4</v>
      </c>
      <c r="B19392" s="4" t="s">
        <v>5</v>
      </c>
      <c r="C19392" s="4" t="s">
        <v>11</v>
      </c>
      <c r="D19392" s="4" t="s">
        <v>7</v>
      </c>
      <c r="E19392" s="4" t="s">
        <v>15</v>
      </c>
      <c r="F19392" s="4" t="s">
        <v>55</v>
      </c>
      <c r="G19392" s="4" t="s">
        <v>7</v>
      </c>
      <c r="H19392" s="4" t="s">
        <v>7</v>
      </c>
    </row>
    <row r="19393" spans="1:13">
      <c r="A19393" t="n">
        <v>188489</v>
      </c>
      <c r="B19393" s="55" t="n">
        <v>26</v>
      </c>
      <c r="C19393" s="7" t="n">
        <v>5</v>
      </c>
      <c r="D19393" s="7" t="n">
        <v>17</v>
      </c>
      <c r="E19393" s="7" t="n">
        <v>64619</v>
      </c>
      <c r="F19393" s="7" t="s">
        <v>1604</v>
      </c>
      <c r="G19393" s="7" t="n">
        <v>2</v>
      </c>
      <c r="H19393" s="7" t="n">
        <v>0</v>
      </c>
    </row>
    <row r="19394" spans="1:13">
      <c r="A19394" t="s">
        <v>4</v>
      </c>
      <c r="B19394" s="4" t="s">
        <v>5</v>
      </c>
    </row>
    <row r="19395" spans="1:13">
      <c r="A19395" t="n">
        <v>188509</v>
      </c>
      <c r="B19395" s="27" t="n">
        <v>28</v>
      </c>
    </row>
    <row r="19396" spans="1:13">
      <c r="A19396" t="s">
        <v>4</v>
      </c>
      <c r="B19396" s="4" t="s">
        <v>5</v>
      </c>
      <c r="C19396" s="4" t="s">
        <v>12</v>
      </c>
    </row>
    <row r="19397" spans="1:13">
      <c r="A19397" t="n">
        <v>188510</v>
      </c>
      <c r="B19397" s="19" t="n">
        <v>3</v>
      </c>
      <c r="C19397" s="11" t="n">
        <f t="normal" ca="1">A19609</f>
        <v>0</v>
      </c>
    </row>
    <row r="19398" spans="1:13">
      <c r="A19398" t="s">
        <v>4</v>
      </c>
      <c r="B19398" s="4" t="s">
        <v>5</v>
      </c>
      <c r="C19398" s="4" t="s">
        <v>7</v>
      </c>
      <c r="D19398" s="4" t="s">
        <v>11</v>
      </c>
      <c r="E19398" s="4" t="s">
        <v>13</v>
      </c>
    </row>
    <row r="19399" spans="1:13">
      <c r="A19399" t="n">
        <v>188515</v>
      </c>
      <c r="B19399" s="23" t="n">
        <v>58</v>
      </c>
      <c r="C19399" s="7" t="n">
        <v>101</v>
      </c>
      <c r="D19399" s="7" t="n">
        <v>800</v>
      </c>
      <c r="E19399" s="7" t="n">
        <v>1</v>
      </c>
    </row>
    <row r="19400" spans="1:13">
      <c r="A19400" t="s">
        <v>4</v>
      </c>
      <c r="B19400" s="4" t="s">
        <v>5</v>
      </c>
      <c r="C19400" s="4" t="s">
        <v>7</v>
      </c>
      <c r="D19400" s="4" t="s">
        <v>11</v>
      </c>
    </row>
    <row r="19401" spans="1:13">
      <c r="A19401" t="n">
        <v>188523</v>
      </c>
      <c r="B19401" s="23" t="n">
        <v>58</v>
      </c>
      <c r="C19401" s="7" t="n">
        <v>254</v>
      </c>
      <c r="D19401" s="7" t="n">
        <v>0</v>
      </c>
    </row>
    <row r="19402" spans="1:13">
      <c r="A19402" t="s">
        <v>4</v>
      </c>
      <c r="B19402" s="4" t="s">
        <v>5</v>
      </c>
      <c r="C19402" s="4" t="s">
        <v>7</v>
      </c>
      <c r="D19402" s="4" t="s">
        <v>7</v>
      </c>
      <c r="E19402" s="4" t="s">
        <v>13</v>
      </c>
      <c r="F19402" s="4" t="s">
        <v>13</v>
      </c>
      <c r="G19402" s="4" t="s">
        <v>13</v>
      </c>
      <c r="H19402" s="4" t="s">
        <v>11</v>
      </c>
    </row>
    <row r="19403" spans="1:13">
      <c r="A19403" t="n">
        <v>188527</v>
      </c>
      <c r="B19403" s="51" t="n">
        <v>45</v>
      </c>
      <c r="C19403" s="7" t="n">
        <v>2</v>
      </c>
      <c r="D19403" s="7" t="n">
        <v>3</v>
      </c>
      <c r="E19403" s="7" t="n">
        <v>-19.6399993896484</v>
      </c>
      <c r="F19403" s="7" t="n">
        <v>11.289999961853</v>
      </c>
      <c r="G19403" s="7" t="n">
        <v>58.3300018310547</v>
      </c>
      <c r="H19403" s="7" t="n">
        <v>0</v>
      </c>
    </row>
    <row r="19404" spans="1:13">
      <c r="A19404" t="s">
        <v>4</v>
      </c>
      <c r="B19404" s="4" t="s">
        <v>5</v>
      </c>
      <c r="C19404" s="4" t="s">
        <v>7</v>
      </c>
      <c r="D19404" s="4" t="s">
        <v>7</v>
      </c>
      <c r="E19404" s="4" t="s">
        <v>13</v>
      </c>
      <c r="F19404" s="4" t="s">
        <v>13</v>
      </c>
      <c r="G19404" s="4" t="s">
        <v>13</v>
      </c>
      <c r="H19404" s="4" t="s">
        <v>11</v>
      </c>
      <c r="I19404" s="4" t="s">
        <v>7</v>
      </c>
    </row>
    <row r="19405" spans="1:13">
      <c r="A19405" t="n">
        <v>188544</v>
      </c>
      <c r="B19405" s="51" t="n">
        <v>45</v>
      </c>
      <c r="C19405" s="7" t="n">
        <v>4</v>
      </c>
      <c r="D19405" s="7" t="n">
        <v>3</v>
      </c>
      <c r="E19405" s="7" t="n">
        <v>19.75</v>
      </c>
      <c r="F19405" s="7" t="n">
        <v>70.5999984741211</v>
      </c>
      <c r="G19405" s="7" t="n">
        <v>8</v>
      </c>
      <c r="H19405" s="7" t="n">
        <v>0</v>
      </c>
      <c r="I19405" s="7" t="n">
        <v>0</v>
      </c>
    </row>
    <row r="19406" spans="1:13">
      <c r="A19406" t="s">
        <v>4</v>
      </c>
      <c r="B19406" s="4" t="s">
        <v>5</v>
      </c>
      <c r="C19406" s="4" t="s">
        <v>7</v>
      </c>
      <c r="D19406" s="4" t="s">
        <v>7</v>
      </c>
      <c r="E19406" s="4" t="s">
        <v>13</v>
      </c>
      <c r="F19406" s="4" t="s">
        <v>11</v>
      </c>
    </row>
    <row r="19407" spans="1:13">
      <c r="A19407" t="n">
        <v>188562</v>
      </c>
      <c r="B19407" s="51" t="n">
        <v>45</v>
      </c>
      <c r="C19407" s="7" t="n">
        <v>5</v>
      </c>
      <c r="D19407" s="7" t="n">
        <v>3</v>
      </c>
      <c r="E19407" s="7" t="n">
        <v>1.25</v>
      </c>
      <c r="F19407" s="7" t="n">
        <v>0</v>
      </c>
    </row>
    <row r="19408" spans="1:13">
      <c r="A19408" t="s">
        <v>4</v>
      </c>
      <c r="B19408" s="4" t="s">
        <v>5</v>
      </c>
      <c r="C19408" s="4" t="s">
        <v>7</v>
      </c>
      <c r="D19408" s="4" t="s">
        <v>7</v>
      </c>
      <c r="E19408" s="4" t="s">
        <v>13</v>
      </c>
      <c r="F19408" s="4" t="s">
        <v>11</v>
      </c>
    </row>
    <row r="19409" spans="1:9">
      <c r="A19409" t="n">
        <v>188571</v>
      </c>
      <c r="B19409" s="51" t="n">
        <v>45</v>
      </c>
      <c r="C19409" s="7" t="n">
        <v>11</v>
      </c>
      <c r="D19409" s="7" t="n">
        <v>3</v>
      </c>
      <c r="E19409" s="7" t="n">
        <v>38</v>
      </c>
      <c r="F19409" s="7" t="n">
        <v>0</v>
      </c>
    </row>
    <row r="19410" spans="1:9">
      <c r="A19410" t="s">
        <v>4</v>
      </c>
      <c r="B19410" s="4" t="s">
        <v>5</v>
      </c>
      <c r="C19410" s="4" t="s">
        <v>7</v>
      </c>
      <c r="D19410" s="4" t="s">
        <v>7</v>
      </c>
      <c r="E19410" s="4" t="s">
        <v>13</v>
      </c>
      <c r="F19410" s="4" t="s">
        <v>11</v>
      </c>
    </row>
    <row r="19411" spans="1:9">
      <c r="A19411" t="n">
        <v>188580</v>
      </c>
      <c r="B19411" s="51" t="n">
        <v>45</v>
      </c>
      <c r="C19411" s="7" t="n">
        <v>5</v>
      </c>
      <c r="D19411" s="7" t="n">
        <v>3</v>
      </c>
      <c r="E19411" s="7" t="n">
        <v>1.14999997615814</v>
      </c>
      <c r="F19411" s="7" t="n">
        <v>3000</v>
      </c>
    </row>
    <row r="19412" spans="1:9">
      <c r="A19412" t="s">
        <v>4</v>
      </c>
      <c r="B19412" s="4" t="s">
        <v>5</v>
      </c>
      <c r="C19412" s="4" t="s">
        <v>7</v>
      </c>
      <c r="D19412" s="4" t="s">
        <v>11</v>
      </c>
      <c r="E19412" s="4" t="s">
        <v>8</v>
      </c>
      <c r="F19412" s="4" t="s">
        <v>8</v>
      </c>
      <c r="G19412" s="4" t="s">
        <v>8</v>
      </c>
      <c r="H19412" s="4" t="s">
        <v>8</v>
      </c>
    </row>
    <row r="19413" spans="1:9">
      <c r="A19413" t="n">
        <v>188589</v>
      </c>
      <c r="B19413" s="38" t="n">
        <v>51</v>
      </c>
      <c r="C19413" s="7" t="n">
        <v>3</v>
      </c>
      <c r="D19413" s="7" t="n">
        <v>5</v>
      </c>
      <c r="E19413" s="7" t="s">
        <v>99</v>
      </c>
      <c r="F19413" s="7" t="s">
        <v>218</v>
      </c>
      <c r="G19413" s="7" t="s">
        <v>78</v>
      </c>
      <c r="H19413" s="7" t="s">
        <v>79</v>
      </c>
    </row>
    <row r="19414" spans="1:9">
      <c r="A19414" t="s">
        <v>4</v>
      </c>
      <c r="B19414" s="4" t="s">
        <v>5</v>
      </c>
      <c r="C19414" s="4" t="s">
        <v>7</v>
      </c>
      <c r="D19414" s="4" t="s">
        <v>11</v>
      </c>
    </row>
    <row r="19415" spans="1:9">
      <c r="A19415" t="n">
        <v>188602</v>
      </c>
      <c r="B19415" s="23" t="n">
        <v>58</v>
      </c>
      <c r="C19415" s="7" t="n">
        <v>255</v>
      </c>
      <c r="D19415" s="7" t="n">
        <v>0</v>
      </c>
    </row>
    <row r="19416" spans="1:9">
      <c r="A19416" t="s">
        <v>4</v>
      </c>
      <c r="B19416" s="4" t="s">
        <v>5</v>
      </c>
      <c r="C19416" s="4" t="s">
        <v>11</v>
      </c>
      <c r="D19416" s="4" t="s">
        <v>7</v>
      </c>
      <c r="E19416" s="4" t="s">
        <v>13</v>
      </c>
      <c r="F19416" s="4" t="s">
        <v>11</v>
      </c>
    </row>
    <row r="19417" spans="1:9">
      <c r="A19417" t="n">
        <v>188606</v>
      </c>
      <c r="B19417" s="56" t="n">
        <v>59</v>
      </c>
      <c r="C19417" s="7" t="n">
        <v>5</v>
      </c>
      <c r="D19417" s="7" t="n">
        <v>9</v>
      </c>
      <c r="E19417" s="7" t="n">
        <v>0.150000005960464</v>
      </c>
      <c r="F19417" s="7" t="n">
        <v>0</v>
      </c>
    </row>
    <row r="19418" spans="1:9">
      <c r="A19418" t="s">
        <v>4</v>
      </c>
      <c r="B19418" s="4" t="s">
        <v>5</v>
      </c>
      <c r="C19418" s="4" t="s">
        <v>11</v>
      </c>
    </row>
    <row r="19419" spans="1:9">
      <c r="A19419" t="n">
        <v>188616</v>
      </c>
      <c r="B19419" s="29" t="n">
        <v>16</v>
      </c>
      <c r="C19419" s="7" t="n">
        <v>1500</v>
      </c>
    </row>
    <row r="19420" spans="1:9">
      <c r="A19420" t="s">
        <v>4</v>
      </c>
      <c r="B19420" s="4" t="s">
        <v>5</v>
      </c>
      <c r="C19420" s="4" t="s">
        <v>11</v>
      </c>
      <c r="D19420" s="4" t="s">
        <v>13</v>
      </c>
      <c r="E19420" s="4" t="s">
        <v>13</v>
      </c>
      <c r="F19420" s="4" t="s">
        <v>13</v>
      </c>
      <c r="G19420" s="4" t="s">
        <v>11</v>
      </c>
      <c r="H19420" s="4" t="s">
        <v>11</v>
      </c>
    </row>
    <row r="19421" spans="1:9">
      <c r="A19421" t="n">
        <v>188619</v>
      </c>
      <c r="B19421" s="37" t="n">
        <v>60</v>
      </c>
      <c r="C19421" s="7" t="n">
        <v>5</v>
      </c>
      <c r="D19421" s="7" t="n">
        <v>0</v>
      </c>
      <c r="E19421" s="7" t="n">
        <v>0</v>
      </c>
      <c r="F19421" s="7" t="n">
        <v>0</v>
      </c>
      <c r="G19421" s="7" t="n">
        <v>800</v>
      </c>
      <c r="H19421" s="7" t="n">
        <v>0</v>
      </c>
    </row>
    <row r="19422" spans="1:9">
      <c r="A19422" t="s">
        <v>4</v>
      </c>
      <c r="B19422" s="4" t="s">
        <v>5</v>
      </c>
      <c r="C19422" s="4" t="s">
        <v>7</v>
      </c>
      <c r="D19422" s="4" t="s">
        <v>11</v>
      </c>
      <c r="E19422" s="4" t="s">
        <v>8</v>
      </c>
    </row>
    <row r="19423" spans="1:9">
      <c r="A19423" t="n">
        <v>188638</v>
      </c>
      <c r="B19423" s="38" t="n">
        <v>51</v>
      </c>
      <c r="C19423" s="7" t="n">
        <v>4</v>
      </c>
      <c r="D19423" s="7" t="n">
        <v>5</v>
      </c>
      <c r="E19423" s="7" t="s">
        <v>219</v>
      </c>
    </row>
    <row r="19424" spans="1:9">
      <c r="A19424" t="s">
        <v>4</v>
      </c>
      <c r="B19424" s="4" t="s">
        <v>5</v>
      </c>
      <c r="C19424" s="4" t="s">
        <v>11</v>
      </c>
    </row>
    <row r="19425" spans="1:8">
      <c r="A19425" t="n">
        <v>188651</v>
      </c>
      <c r="B19425" s="29" t="n">
        <v>16</v>
      </c>
      <c r="C19425" s="7" t="n">
        <v>300</v>
      </c>
    </row>
    <row r="19426" spans="1:8">
      <c r="A19426" t="s">
        <v>4</v>
      </c>
      <c r="B19426" s="4" t="s">
        <v>5</v>
      </c>
      <c r="C19426" s="4" t="s">
        <v>11</v>
      </c>
      <c r="D19426" s="4" t="s">
        <v>7</v>
      </c>
      <c r="E19426" s="4" t="s">
        <v>15</v>
      </c>
      <c r="F19426" s="4" t="s">
        <v>55</v>
      </c>
      <c r="G19426" s="4" t="s">
        <v>7</v>
      </c>
      <c r="H19426" s="4" t="s">
        <v>7</v>
      </c>
      <c r="I19426" s="4" t="s">
        <v>7</v>
      </c>
      <c r="J19426" s="4" t="s">
        <v>15</v>
      </c>
      <c r="K19426" s="4" t="s">
        <v>55</v>
      </c>
      <c r="L19426" s="4" t="s">
        <v>7</v>
      </c>
      <c r="M19426" s="4" t="s">
        <v>7</v>
      </c>
      <c r="N19426" s="4" t="s">
        <v>7</v>
      </c>
      <c r="O19426" s="4" t="s">
        <v>15</v>
      </c>
      <c r="P19426" s="4" t="s">
        <v>55</v>
      </c>
      <c r="Q19426" s="4" t="s">
        <v>7</v>
      </c>
      <c r="R19426" s="4" t="s">
        <v>7</v>
      </c>
      <c r="S19426" s="4" t="s">
        <v>7</v>
      </c>
      <c r="T19426" s="4" t="s">
        <v>15</v>
      </c>
      <c r="U19426" s="4" t="s">
        <v>55</v>
      </c>
      <c r="V19426" s="4" t="s">
        <v>7</v>
      </c>
      <c r="W19426" s="4" t="s">
        <v>7</v>
      </c>
    </row>
    <row r="19427" spans="1:8">
      <c r="A19427" t="n">
        <v>188654</v>
      </c>
      <c r="B19427" s="55" t="n">
        <v>26</v>
      </c>
      <c r="C19427" s="7" t="n">
        <v>5</v>
      </c>
      <c r="D19427" s="7" t="n">
        <v>17</v>
      </c>
      <c r="E19427" s="7" t="n">
        <v>64620</v>
      </c>
      <c r="F19427" s="7" t="s">
        <v>1605</v>
      </c>
      <c r="G19427" s="7" t="n">
        <v>2</v>
      </c>
      <c r="H19427" s="7" t="n">
        <v>3</v>
      </c>
      <c r="I19427" s="7" t="n">
        <v>17</v>
      </c>
      <c r="J19427" s="7" t="n">
        <v>64621</v>
      </c>
      <c r="K19427" s="7" t="s">
        <v>1606</v>
      </c>
      <c r="L19427" s="7" t="n">
        <v>2</v>
      </c>
      <c r="M19427" s="7" t="n">
        <v>3</v>
      </c>
      <c r="N19427" s="7" t="n">
        <v>17</v>
      </c>
      <c r="O19427" s="7" t="n">
        <v>64622</v>
      </c>
      <c r="P19427" s="7" t="s">
        <v>1607</v>
      </c>
      <c r="Q19427" s="7" t="n">
        <v>2</v>
      </c>
      <c r="R19427" s="7" t="n">
        <v>3</v>
      </c>
      <c r="S19427" s="7" t="n">
        <v>17</v>
      </c>
      <c r="T19427" s="7" t="n">
        <v>64623</v>
      </c>
      <c r="U19427" s="7" t="s">
        <v>1608</v>
      </c>
      <c r="V19427" s="7" t="n">
        <v>2</v>
      </c>
      <c r="W19427" s="7" t="n">
        <v>0</v>
      </c>
    </row>
    <row r="19428" spans="1:8">
      <c r="A19428" t="s">
        <v>4</v>
      </c>
      <c r="B19428" s="4" t="s">
        <v>5</v>
      </c>
    </row>
    <row r="19429" spans="1:8">
      <c r="A19429" t="n">
        <v>188991</v>
      </c>
      <c r="B19429" s="27" t="n">
        <v>28</v>
      </c>
    </row>
    <row r="19430" spans="1:8">
      <c r="A19430" t="s">
        <v>4</v>
      </c>
      <c r="B19430" s="4" t="s">
        <v>5</v>
      </c>
      <c r="C19430" s="4" t="s">
        <v>11</v>
      </c>
      <c r="D19430" s="4" t="s">
        <v>7</v>
      </c>
      <c r="E19430" s="4" t="s">
        <v>7</v>
      </c>
      <c r="F19430" s="4" t="s">
        <v>8</v>
      </c>
    </row>
    <row r="19431" spans="1:8">
      <c r="A19431" t="n">
        <v>188992</v>
      </c>
      <c r="B19431" s="50" t="n">
        <v>20</v>
      </c>
      <c r="C19431" s="7" t="n">
        <v>0</v>
      </c>
      <c r="D19431" s="7" t="n">
        <v>2</v>
      </c>
      <c r="E19431" s="7" t="n">
        <v>10</v>
      </c>
      <c r="F19431" s="7" t="s">
        <v>260</v>
      </c>
    </row>
    <row r="19432" spans="1:8">
      <c r="A19432" t="s">
        <v>4</v>
      </c>
      <c r="B19432" s="4" t="s">
        <v>5</v>
      </c>
      <c r="C19432" s="4" t="s">
        <v>7</v>
      </c>
      <c r="D19432" s="4" t="s">
        <v>11</v>
      </c>
      <c r="E19432" s="4" t="s">
        <v>8</v>
      </c>
    </row>
    <row r="19433" spans="1:8">
      <c r="A19433" t="n">
        <v>189012</v>
      </c>
      <c r="B19433" s="38" t="n">
        <v>51</v>
      </c>
      <c r="C19433" s="7" t="n">
        <v>4</v>
      </c>
      <c r="D19433" s="7" t="n">
        <v>0</v>
      </c>
      <c r="E19433" s="7" t="s">
        <v>242</v>
      </c>
    </row>
    <row r="19434" spans="1:8">
      <c r="A19434" t="s">
        <v>4</v>
      </c>
      <c r="B19434" s="4" t="s">
        <v>5</v>
      </c>
      <c r="C19434" s="4" t="s">
        <v>11</v>
      </c>
    </row>
    <row r="19435" spans="1:8">
      <c r="A19435" t="n">
        <v>189026</v>
      </c>
      <c r="B19435" s="29" t="n">
        <v>16</v>
      </c>
      <c r="C19435" s="7" t="n">
        <v>0</v>
      </c>
    </row>
    <row r="19436" spans="1:8">
      <c r="A19436" t="s">
        <v>4</v>
      </c>
      <c r="B19436" s="4" t="s">
        <v>5</v>
      </c>
      <c r="C19436" s="4" t="s">
        <v>11</v>
      </c>
      <c r="D19436" s="4" t="s">
        <v>7</v>
      </c>
      <c r="E19436" s="4" t="s">
        <v>15</v>
      </c>
      <c r="F19436" s="4" t="s">
        <v>55</v>
      </c>
      <c r="G19436" s="4" t="s">
        <v>7</v>
      </c>
      <c r="H19436" s="4" t="s">
        <v>7</v>
      </c>
      <c r="I19436" s="4" t="s">
        <v>7</v>
      </c>
      <c r="J19436" s="4" t="s">
        <v>15</v>
      </c>
      <c r="K19436" s="4" t="s">
        <v>55</v>
      </c>
      <c r="L19436" s="4" t="s">
        <v>7</v>
      </c>
      <c r="M19436" s="4" t="s">
        <v>7</v>
      </c>
    </row>
    <row r="19437" spans="1:8">
      <c r="A19437" t="n">
        <v>189029</v>
      </c>
      <c r="B19437" s="55" t="n">
        <v>26</v>
      </c>
      <c r="C19437" s="7" t="n">
        <v>0</v>
      </c>
      <c r="D19437" s="7" t="n">
        <v>17</v>
      </c>
      <c r="E19437" s="7" t="n">
        <v>64624</v>
      </c>
      <c r="F19437" s="7" t="s">
        <v>1609</v>
      </c>
      <c r="G19437" s="7" t="n">
        <v>2</v>
      </c>
      <c r="H19437" s="7" t="n">
        <v>3</v>
      </c>
      <c r="I19437" s="7" t="n">
        <v>17</v>
      </c>
      <c r="J19437" s="7" t="n">
        <v>64418</v>
      </c>
      <c r="K19437" s="7" t="s">
        <v>1375</v>
      </c>
      <c r="L19437" s="7" t="n">
        <v>2</v>
      </c>
      <c r="M19437" s="7" t="n">
        <v>0</v>
      </c>
    </row>
    <row r="19438" spans="1:8">
      <c r="A19438" t="s">
        <v>4</v>
      </c>
      <c r="B19438" s="4" t="s">
        <v>5</v>
      </c>
    </row>
    <row r="19439" spans="1:8">
      <c r="A19439" t="n">
        <v>189096</v>
      </c>
      <c r="B19439" s="27" t="n">
        <v>28</v>
      </c>
    </row>
    <row r="19440" spans="1:8">
      <c r="A19440" t="s">
        <v>4</v>
      </c>
      <c r="B19440" s="4" t="s">
        <v>5</v>
      </c>
      <c r="C19440" s="4" t="s">
        <v>7</v>
      </c>
      <c r="D19440" s="4" t="s">
        <v>11</v>
      </c>
      <c r="E19440" s="4" t="s">
        <v>11</v>
      </c>
      <c r="F19440" s="4" t="s">
        <v>7</v>
      </c>
    </row>
    <row r="19441" spans="1:23">
      <c r="A19441" t="n">
        <v>189097</v>
      </c>
      <c r="B19441" s="31" t="n">
        <v>25</v>
      </c>
      <c r="C19441" s="7" t="n">
        <v>1</v>
      </c>
      <c r="D19441" s="7" t="n">
        <v>65535</v>
      </c>
      <c r="E19441" s="7" t="n">
        <v>65535</v>
      </c>
      <c r="F19441" s="7" t="n">
        <v>0</v>
      </c>
    </row>
    <row r="19442" spans="1:23">
      <c r="A19442" t="s">
        <v>4</v>
      </c>
      <c r="B19442" s="4" t="s">
        <v>5</v>
      </c>
      <c r="C19442" s="4" t="s">
        <v>7</v>
      </c>
      <c r="D19442" s="4" t="s">
        <v>11</v>
      </c>
      <c r="E19442" s="4" t="s">
        <v>8</v>
      </c>
    </row>
    <row r="19443" spans="1:23">
      <c r="A19443" t="n">
        <v>189104</v>
      </c>
      <c r="B19443" s="38" t="n">
        <v>51</v>
      </c>
      <c r="C19443" s="7" t="n">
        <v>4</v>
      </c>
      <c r="D19443" s="7" t="n">
        <v>5</v>
      </c>
      <c r="E19443" s="7" t="s">
        <v>1376</v>
      </c>
    </row>
    <row r="19444" spans="1:23">
      <c r="A19444" t="s">
        <v>4</v>
      </c>
      <c r="B19444" s="4" t="s">
        <v>5</v>
      </c>
      <c r="C19444" s="4" t="s">
        <v>11</v>
      </c>
    </row>
    <row r="19445" spans="1:23">
      <c r="A19445" t="n">
        <v>189119</v>
      </c>
      <c r="B19445" s="29" t="n">
        <v>16</v>
      </c>
      <c r="C19445" s="7" t="n">
        <v>0</v>
      </c>
    </row>
    <row r="19446" spans="1:23">
      <c r="A19446" t="s">
        <v>4</v>
      </c>
      <c r="B19446" s="4" t="s">
        <v>5</v>
      </c>
      <c r="C19446" s="4" t="s">
        <v>11</v>
      </c>
      <c r="D19446" s="4" t="s">
        <v>7</v>
      </c>
      <c r="E19446" s="4" t="s">
        <v>15</v>
      </c>
      <c r="F19446" s="4" t="s">
        <v>55</v>
      </c>
      <c r="G19446" s="4" t="s">
        <v>7</v>
      </c>
      <c r="H19446" s="4" t="s">
        <v>7</v>
      </c>
    </row>
    <row r="19447" spans="1:23">
      <c r="A19447" t="n">
        <v>189122</v>
      </c>
      <c r="B19447" s="55" t="n">
        <v>26</v>
      </c>
      <c r="C19447" s="7" t="n">
        <v>5</v>
      </c>
      <c r="D19447" s="7" t="n">
        <v>17</v>
      </c>
      <c r="E19447" s="7" t="n">
        <v>65314</v>
      </c>
      <c r="F19447" s="7" t="s">
        <v>464</v>
      </c>
      <c r="G19447" s="7" t="n">
        <v>2</v>
      </c>
      <c r="H19447" s="7" t="n">
        <v>0</v>
      </c>
    </row>
    <row r="19448" spans="1:23">
      <c r="A19448" t="s">
        <v>4</v>
      </c>
      <c r="B19448" s="4" t="s">
        <v>5</v>
      </c>
    </row>
    <row r="19449" spans="1:23">
      <c r="A19449" t="n">
        <v>189135</v>
      </c>
      <c r="B19449" s="27" t="n">
        <v>28</v>
      </c>
    </row>
    <row r="19450" spans="1:23">
      <c r="A19450" t="s">
        <v>4</v>
      </c>
      <c r="B19450" s="4" t="s">
        <v>5</v>
      </c>
      <c r="C19450" s="4" t="s">
        <v>7</v>
      </c>
      <c r="D19450" s="4" t="s">
        <v>11</v>
      </c>
      <c r="E19450" s="4" t="s">
        <v>8</v>
      </c>
    </row>
    <row r="19451" spans="1:23">
      <c r="A19451" t="n">
        <v>189136</v>
      </c>
      <c r="B19451" s="38" t="n">
        <v>51</v>
      </c>
      <c r="C19451" s="7" t="n">
        <v>4</v>
      </c>
      <c r="D19451" s="7" t="n">
        <v>0</v>
      </c>
      <c r="E19451" s="7" t="s">
        <v>242</v>
      </c>
    </row>
    <row r="19452" spans="1:23">
      <c r="A19452" t="s">
        <v>4</v>
      </c>
      <c r="B19452" s="4" t="s">
        <v>5</v>
      </c>
      <c r="C19452" s="4" t="s">
        <v>11</v>
      </c>
    </row>
    <row r="19453" spans="1:23">
      <c r="A19453" t="n">
        <v>189150</v>
      </c>
      <c r="B19453" s="29" t="n">
        <v>16</v>
      </c>
      <c r="C19453" s="7" t="n">
        <v>0</v>
      </c>
    </row>
    <row r="19454" spans="1:23">
      <c r="A19454" t="s">
        <v>4</v>
      </c>
      <c r="B19454" s="4" t="s">
        <v>5</v>
      </c>
      <c r="C19454" s="4" t="s">
        <v>11</v>
      </c>
      <c r="D19454" s="4" t="s">
        <v>7</v>
      </c>
      <c r="E19454" s="4" t="s">
        <v>15</v>
      </c>
      <c r="F19454" s="4" t="s">
        <v>55</v>
      </c>
      <c r="G19454" s="4" t="s">
        <v>7</v>
      </c>
      <c r="H19454" s="4" t="s">
        <v>7</v>
      </c>
      <c r="I19454" s="4" t="s">
        <v>7</v>
      </c>
      <c r="J19454" s="4" t="s">
        <v>15</v>
      </c>
      <c r="K19454" s="4" t="s">
        <v>55</v>
      </c>
      <c r="L19454" s="4" t="s">
        <v>7</v>
      </c>
      <c r="M19454" s="4" t="s">
        <v>7</v>
      </c>
      <c r="N19454" s="4" t="s">
        <v>7</v>
      </c>
      <c r="O19454" s="4" t="s">
        <v>15</v>
      </c>
      <c r="P19454" s="4" t="s">
        <v>55</v>
      </c>
      <c r="Q19454" s="4" t="s">
        <v>7</v>
      </c>
      <c r="R19454" s="4" t="s">
        <v>7</v>
      </c>
    </row>
    <row r="19455" spans="1:23">
      <c r="A19455" t="n">
        <v>189153</v>
      </c>
      <c r="B19455" s="55" t="n">
        <v>26</v>
      </c>
      <c r="C19455" s="7" t="n">
        <v>0</v>
      </c>
      <c r="D19455" s="7" t="n">
        <v>17</v>
      </c>
      <c r="E19455" s="7" t="n">
        <v>64625</v>
      </c>
      <c r="F19455" s="7" t="s">
        <v>1610</v>
      </c>
      <c r="G19455" s="7" t="n">
        <v>2</v>
      </c>
      <c r="H19455" s="7" t="n">
        <v>3</v>
      </c>
      <c r="I19455" s="7" t="n">
        <v>17</v>
      </c>
      <c r="J19455" s="7" t="n">
        <v>64626</v>
      </c>
      <c r="K19455" s="7" t="s">
        <v>1611</v>
      </c>
      <c r="L19455" s="7" t="n">
        <v>2</v>
      </c>
      <c r="M19455" s="7" t="n">
        <v>3</v>
      </c>
      <c r="N19455" s="7" t="n">
        <v>17</v>
      </c>
      <c r="O19455" s="7" t="n">
        <v>64627</v>
      </c>
      <c r="P19455" s="7" t="s">
        <v>1612</v>
      </c>
      <c r="Q19455" s="7" t="n">
        <v>2</v>
      </c>
      <c r="R19455" s="7" t="n">
        <v>0</v>
      </c>
    </row>
    <row r="19456" spans="1:23">
      <c r="A19456" t="s">
        <v>4</v>
      </c>
      <c r="B19456" s="4" t="s">
        <v>5</v>
      </c>
    </row>
    <row r="19457" spans="1:18">
      <c r="A19457" t="n">
        <v>189506</v>
      </c>
      <c r="B19457" s="27" t="n">
        <v>28</v>
      </c>
    </row>
    <row r="19458" spans="1:18">
      <c r="A19458" t="s">
        <v>4</v>
      </c>
      <c r="B19458" s="4" t="s">
        <v>5</v>
      </c>
      <c r="C19458" s="4" t="s">
        <v>7</v>
      </c>
      <c r="D19458" s="4" t="s">
        <v>11</v>
      </c>
      <c r="E19458" s="4" t="s">
        <v>11</v>
      </c>
      <c r="F19458" s="4" t="s">
        <v>7</v>
      </c>
    </row>
    <row r="19459" spans="1:18">
      <c r="A19459" t="n">
        <v>189507</v>
      </c>
      <c r="B19459" s="31" t="n">
        <v>25</v>
      </c>
      <c r="C19459" s="7" t="n">
        <v>1</v>
      </c>
      <c r="D19459" s="7" t="n">
        <v>65535</v>
      </c>
      <c r="E19459" s="7" t="n">
        <v>65535</v>
      </c>
      <c r="F19459" s="7" t="n">
        <v>0</v>
      </c>
    </row>
    <row r="19460" spans="1:18">
      <c r="A19460" t="s">
        <v>4</v>
      </c>
      <c r="B19460" s="4" t="s">
        <v>5</v>
      </c>
      <c r="C19460" s="4" t="s">
        <v>11</v>
      </c>
      <c r="D19460" s="4" t="s">
        <v>13</v>
      </c>
      <c r="E19460" s="4" t="s">
        <v>13</v>
      </c>
      <c r="F19460" s="4" t="s">
        <v>13</v>
      </c>
      <c r="G19460" s="4" t="s">
        <v>11</v>
      </c>
      <c r="H19460" s="4" t="s">
        <v>11</v>
      </c>
    </row>
    <row r="19461" spans="1:18">
      <c r="A19461" t="n">
        <v>189514</v>
      </c>
      <c r="B19461" s="37" t="n">
        <v>60</v>
      </c>
      <c r="C19461" s="7" t="n">
        <v>5</v>
      </c>
      <c r="D19461" s="7" t="n">
        <v>0</v>
      </c>
      <c r="E19461" s="7" t="n">
        <v>-15</v>
      </c>
      <c r="F19461" s="7" t="n">
        <v>0</v>
      </c>
      <c r="G19461" s="7" t="n">
        <v>1000</v>
      </c>
      <c r="H19461" s="7" t="n">
        <v>0</v>
      </c>
    </row>
    <row r="19462" spans="1:18">
      <c r="A19462" t="s">
        <v>4</v>
      </c>
      <c r="B19462" s="4" t="s">
        <v>5</v>
      </c>
      <c r="C19462" s="4" t="s">
        <v>7</v>
      </c>
      <c r="D19462" s="4" t="s">
        <v>11</v>
      </c>
      <c r="E19462" s="4" t="s">
        <v>8</v>
      </c>
    </row>
    <row r="19463" spans="1:18">
      <c r="A19463" t="n">
        <v>189533</v>
      </c>
      <c r="B19463" s="38" t="n">
        <v>51</v>
      </c>
      <c r="C19463" s="7" t="n">
        <v>4</v>
      </c>
      <c r="D19463" s="7" t="n">
        <v>5</v>
      </c>
      <c r="E19463" s="7" t="s">
        <v>658</v>
      </c>
    </row>
    <row r="19464" spans="1:18">
      <c r="A19464" t="s">
        <v>4</v>
      </c>
      <c r="B19464" s="4" t="s">
        <v>5</v>
      </c>
      <c r="C19464" s="4" t="s">
        <v>11</v>
      </c>
    </row>
    <row r="19465" spans="1:18">
      <c r="A19465" t="n">
        <v>189547</v>
      </c>
      <c r="B19465" s="29" t="n">
        <v>16</v>
      </c>
      <c r="C19465" s="7" t="n">
        <v>500</v>
      </c>
    </row>
    <row r="19466" spans="1:18">
      <c r="A19466" t="s">
        <v>4</v>
      </c>
      <c r="B19466" s="4" t="s">
        <v>5</v>
      </c>
      <c r="C19466" s="4" t="s">
        <v>11</v>
      </c>
      <c r="D19466" s="4" t="s">
        <v>7</v>
      </c>
      <c r="E19466" s="4" t="s">
        <v>15</v>
      </c>
      <c r="F19466" s="4" t="s">
        <v>55</v>
      </c>
      <c r="G19466" s="4" t="s">
        <v>7</v>
      </c>
      <c r="H19466" s="4" t="s">
        <v>7</v>
      </c>
      <c r="I19466" s="4" t="s">
        <v>7</v>
      </c>
      <c r="J19466" s="4" t="s">
        <v>15</v>
      </c>
      <c r="K19466" s="4" t="s">
        <v>55</v>
      </c>
      <c r="L19466" s="4" t="s">
        <v>7</v>
      </c>
      <c r="M19466" s="4" t="s">
        <v>7</v>
      </c>
      <c r="N19466" s="4" t="s">
        <v>7</v>
      </c>
      <c r="O19466" s="4" t="s">
        <v>15</v>
      </c>
      <c r="P19466" s="4" t="s">
        <v>55</v>
      </c>
      <c r="Q19466" s="4" t="s">
        <v>7</v>
      </c>
      <c r="R19466" s="4" t="s">
        <v>7</v>
      </c>
      <c r="S19466" s="4" t="s">
        <v>7</v>
      </c>
      <c r="T19466" s="4" t="s">
        <v>15</v>
      </c>
      <c r="U19466" s="4" t="s">
        <v>55</v>
      </c>
      <c r="V19466" s="4" t="s">
        <v>7</v>
      </c>
      <c r="W19466" s="4" t="s">
        <v>7</v>
      </c>
      <c r="X19466" s="4" t="s">
        <v>7</v>
      </c>
      <c r="Y19466" s="4" t="s">
        <v>15</v>
      </c>
      <c r="Z19466" s="4" t="s">
        <v>55</v>
      </c>
      <c r="AA19466" s="4" t="s">
        <v>7</v>
      </c>
      <c r="AB19466" s="4" t="s">
        <v>7</v>
      </c>
      <c r="AC19466" s="4" t="s">
        <v>7</v>
      </c>
      <c r="AD19466" s="4" t="s">
        <v>15</v>
      </c>
      <c r="AE19466" s="4" t="s">
        <v>55</v>
      </c>
      <c r="AF19466" s="4" t="s">
        <v>7</v>
      </c>
      <c r="AG19466" s="4" t="s">
        <v>7</v>
      </c>
    </row>
    <row r="19467" spans="1:18">
      <c r="A19467" t="n">
        <v>189550</v>
      </c>
      <c r="B19467" s="55" t="n">
        <v>26</v>
      </c>
      <c r="C19467" s="7" t="n">
        <v>5</v>
      </c>
      <c r="D19467" s="7" t="n">
        <v>17</v>
      </c>
      <c r="E19467" s="7" t="n">
        <v>64628</v>
      </c>
      <c r="F19467" s="7" t="s">
        <v>1560</v>
      </c>
      <c r="G19467" s="7" t="n">
        <v>2</v>
      </c>
      <c r="H19467" s="7" t="n">
        <v>3</v>
      </c>
      <c r="I19467" s="7" t="n">
        <v>17</v>
      </c>
      <c r="J19467" s="7" t="n">
        <v>64629</v>
      </c>
      <c r="K19467" s="7" t="s">
        <v>1613</v>
      </c>
      <c r="L19467" s="7" t="n">
        <v>2</v>
      </c>
      <c r="M19467" s="7" t="n">
        <v>3</v>
      </c>
      <c r="N19467" s="7" t="n">
        <v>17</v>
      </c>
      <c r="O19467" s="7" t="n">
        <v>64630</v>
      </c>
      <c r="P19467" s="7" t="s">
        <v>1614</v>
      </c>
      <c r="Q19467" s="7" t="n">
        <v>2</v>
      </c>
      <c r="R19467" s="7" t="n">
        <v>3</v>
      </c>
      <c r="S19467" s="7" t="n">
        <v>17</v>
      </c>
      <c r="T19467" s="7" t="n">
        <v>64631</v>
      </c>
      <c r="U19467" s="7" t="s">
        <v>1615</v>
      </c>
      <c r="V19467" s="7" t="n">
        <v>2</v>
      </c>
      <c r="W19467" s="7" t="n">
        <v>3</v>
      </c>
      <c r="X19467" s="7" t="n">
        <v>17</v>
      </c>
      <c r="Y19467" s="7" t="n">
        <v>64632</v>
      </c>
      <c r="Z19467" s="7" t="s">
        <v>1616</v>
      </c>
      <c r="AA19467" s="7" t="n">
        <v>2</v>
      </c>
      <c r="AB19467" s="7" t="n">
        <v>3</v>
      </c>
      <c r="AC19467" s="7" t="n">
        <v>17</v>
      </c>
      <c r="AD19467" s="7" t="n">
        <v>64633</v>
      </c>
      <c r="AE19467" s="7" t="s">
        <v>1617</v>
      </c>
      <c r="AF19467" s="7" t="n">
        <v>2</v>
      </c>
      <c r="AG19467" s="7" t="n">
        <v>0</v>
      </c>
    </row>
    <row r="19468" spans="1:18">
      <c r="A19468" t="s">
        <v>4</v>
      </c>
      <c r="B19468" s="4" t="s">
        <v>5</v>
      </c>
    </row>
    <row r="19469" spans="1:18">
      <c r="A19469" t="n">
        <v>190094</v>
      </c>
      <c r="B19469" s="27" t="n">
        <v>28</v>
      </c>
    </row>
    <row r="19470" spans="1:18">
      <c r="A19470" t="s">
        <v>4</v>
      </c>
      <c r="B19470" s="4" t="s">
        <v>5</v>
      </c>
      <c r="C19470" s="4" t="s">
        <v>11</v>
      </c>
      <c r="D19470" s="4" t="s">
        <v>7</v>
      </c>
    </row>
    <row r="19471" spans="1:18">
      <c r="A19471" t="n">
        <v>190095</v>
      </c>
      <c r="B19471" s="68" t="n">
        <v>89</v>
      </c>
      <c r="C19471" s="7" t="n">
        <v>65533</v>
      </c>
      <c r="D19471" s="7" t="n">
        <v>1</v>
      </c>
    </row>
    <row r="19472" spans="1:18">
      <c r="A19472" t="s">
        <v>4</v>
      </c>
      <c r="B19472" s="4" t="s">
        <v>5</v>
      </c>
      <c r="C19472" s="4" t="s">
        <v>11</v>
      </c>
      <c r="D19472" s="4" t="s">
        <v>13</v>
      </c>
      <c r="E19472" s="4" t="s">
        <v>13</v>
      </c>
      <c r="F19472" s="4" t="s">
        <v>13</v>
      </c>
      <c r="G19472" s="4" t="s">
        <v>11</v>
      </c>
      <c r="H19472" s="4" t="s">
        <v>11</v>
      </c>
    </row>
    <row r="19473" spans="1:33">
      <c r="A19473" t="n">
        <v>190099</v>
      </c>
      <c r="B19473" s="37" t="n">
        <v>60</v>
      </c>
      <c r="C19473" s="7" t="n">
        <v>5</v>
      </c>
      <c r="D19473" s="7" t="n">
        <v>0</v>
      </c>
      <c r="E19473" s="7" t="n">
        <v>0</v>
      </c>
      <c r="F19473" s="7" t="n">
        <v>0</v>
      </c>
      <c r="G19473" s="7" t="n">
        <v>1000</v>
      </c>
      <c r="H19473" s="7" t="n">
        <v>0</v>
      </c>
    </row>
    <row r="19474" spans="1:33">
      <c r="A19474" t="s">
        <v>4</v>
      </c>
      <c r="B19474" s="4" t="s">
        <v>5</v>
      </c>
      <c r="C19474" s="4" t="s">
        <v>7</v>
      </c>
      <c r="D19474" s="4" t="s">
        <v>11</v>
      </c>
      <c r="E19474" s="4" t="s">
        <v>8</v>
      </c>
      <c r="F19474" s="4" t="s">
        <v>8</v>
      </c>
      <c r="G19474" s="4" t="s">
        <v>8</v>
      </c>
      <c r="H19474" s="4" t="s">
        <v>8</v>
      </c>
    </row>
    <row r="19475" spans="1:33">
      <c r="A19475" t="n">
        <v>190118</v>
      </c>
      <c r="B19475" s="38" t="n">
        <v>51</v>
      </c>
      <c r="C19475" s="7" t="n">
        <v>3</v>
      </c>
      <c r="D19475" s="7" t="n">
        <v>5</v>
      </c>
      <c r="E19475" s="7" t="s">
        <v>371</v>
      </c>
      <c r="F19475" s="7" t="s">
        <v>218</v>
      </c>
      <c r="G19475" s="7" t="s">
        <v>78</v>
      </c>
      <c r="H19475" s="7" t="s">
        <v>79</v>
      </c>
    </row>
    <row r="19476" spans="1:33">
      <c r="A19476" t="s">
        <v>4</v>
      </c>
      <c r="B19476" s="4" t="s">
        <v>5</v>
      </c>
      <c r="C19476" s="4" t="s">
        <v>11</v>
      </c>
    </row>
    <row r="19477" spans="1:33">
      <c r="A19477" t="n">
        <v>190131</v>
      </c>
      <c r="B19477" s="29" t="n">
        <v>16</v>
      </c>
      <c r="C19477" s="7" t="n">
        <v>500</v>
      </c>
    </row>
    <row r="19478" spans="1:33">
      <c r="A19478" t="s">
        <v>4</v>
      </c>
      <c r="B19478" s="4" t="s">
        <v>5</v>
      </c>
      <c r="C19478" s="4" t="s">
        <v>7</v>
      </c>
      <c r="D19478" s="4" t="s">
        <v>11</v>
      </c>
      <c r="E19478" s="4" t="s">
        <v>13</v>
      </c>
    </row>
    <row r="19479" spans="1:33">
      <c r="A19479" t="n">
        <v>190134</v>
      </c>
      <c r="B19479" s="23" t="n">
        <v>58</v>
      </c>
      <c r="C19479" s="7" t="n">
        <v>0</v>
      </c>
      <c r="D19479" s="7" t="n">
        <v>1000</v>
      </c>
      <c r="E19479" s="7" t="n">
        <v>1</v>
      </c>
    </row>
    <row r="19480" spans="1:33">
      <c r="A19480" t="s">
        <v>4</v>
      </c>
      <c r="B19480" s="4" t="s">
        <v>5</v>
      </c>
      <c r="C19480" s="4" t="s">
        <v>7</v>
      </c>
      <c r="D19480" s="4" t="s">
        <v>11</v>
      </c>
    </row>
    <row r="19481" spans="1:33">
      <c r="A19481" t="n">
        <v>190142</v>
      </c>
      <c r="B19481" s="23" t="n">
        <v>58</v>
      </c>
      <c r="C19481" s="7" t="n">
        <v>255</v>
      </c>
      <c r="D19481" s="7" t="n">
        <v>0</v>
      </c>
    </row>
    <row r="19482" spans="1:33">
      <c r="A19482" t="s">
        <v>4</v>
      </c>
      <c r="B19482" s="4" t="s">
        <v>5</v>
      </c>
      <c r="C19482" s="4" t="s">
        <v>11</v>
      </c>
      <c r="D19482" s="4" t="s">
        <v>7</v>
      </c>
      <c r="E19482" s="4" t="s">
        <v>8</v>
      </c>
      <c r="F19482" s="4" t="s">
        <v>13</v>
      </c>
      <c r="G19482" s="4" t="s">
        <v>13</v>
      </c>
      <c r="H19482" s="4" t="s">
        <v>13</v>
      </c>
    </row>
    <row r="19483" spans="1:33">
      <c r="A19483" t="n">
        <v>190146</v>
      </c>
      <c r="B19483" s="42" t="n">
        <v>48</v>
      </c>
      <c r="C19483" s="7" t="n">
        <v>5</v>
      </c>
      <c r="D19483" s="7" t="n">
        <v>0</v>
      </c>
      <c r="E19483" s="7" t="s">
        <v>106</v>
      </c>
      <c r="F19483" s="7" t="n">
        <v>0</v>
      </c>
      <c r="G19483" s="7" t="n">
        <v>1</v>
      </c>
      <c r="H19483" s="7" t="n">
        <v>0</v>
      </c>
    </row>
    <row r="19484" spans="1:33">
      <c r="A19484" t="s">
        <v>4</v>
      </c>
      <c r="B19484" s="4" t="s">
        <v>5</v>
      </c>
      <c r="C19484" s="4" t="s">
        <v>11</v>
      </c>
      <c r="D19484" s="4" t="s">
        <v>7</v>
      </c>
      <c r="E19484" s="4" t="s">
        <v>8</v>
      </c>
      <c r="F19484" s="4" t="s">
        <v>13</v>
      </c>
      <c r="G19484" s="4" t="s">
        <v>13</v>
      </c>
      <c r="H19484" s="4" t="s">
        <v>13</v>
      </c>
    </row>
    <row r="19485" spans="1:33">
      <c r="A19485" t="n">
        <v>190170</v>
      </c>
      <c r="B19485" s="42" t="n">
        <v>48</v>
      </c>
      <c r="C19485" s="7" t="n">
        <v>0</v>
      </c>
      <c r="D19485" s="7" t="n">
        <v>0</v>
      </c>
      <c r="E19485" s="7" t="s">
        <v>106</v>
      </c>
      <c r="F19485" s="7" t="n">
        <v>0</v>
      </c>
      <c r="G19485" s="7" t="n">
        <v>1</v>
      </c>
      <c r="H19485" s="7" t="n">
        <v>0</v>
      </c>
    </row>
    <row r="19486" spans="1:33">
      <c r="A19486" t="s">
        <v>4</v>
      </c>
      <c r="B19486" s="4" t="s">
        <v>5</v>
      </c>
      <c r="C19486" s="4" t="s">
        <v>11</v>
      </c>
      <c r="D19486" s="4" t="s">
        <v>13</v>
      </c>
      <c r="E19486" s="4" t="s">
        <v>13</v>
      </c>
      <c r="F19486" s="4" t="s">
        <v>13</v>
      </c>
      <c r="G19486" s="4" t="s">
        <v>13</v>
      </c>
    </row>
    <row r="19487" spans="1:33">
      <c r="A19487" t="n">
        <v>190194</v>
      </c>
      <c r="B19487" s="36" t="n">
        <v>46</v>
      </c>
      <c r="C19487" s="7" t="n">
        <v>0</v>
      </c>
      <c r="D19487" s="7" t="n">
        <v>-19.0400009155273</v>
      </c>
      <c r="E19487" s="7" t="n">
        <v>10.0100002288818</v>
      </c>
      <c r="F19487" s="7" t="n">
        <v>58.2200012207031</v>
      </c>
      <c r="G19487" s="7" t="n">
        <v>296.399993896484</v>
      </c>
    </row>
    <row r="19488" spans="1:33">
      <c r="A19488" t="s">
        <v>4</v>
      </c>
      <c r="B19488" s="4" t="s">
        <v>5</v>
      </c>
      <c r="C19488" s="4" t="s">
        <v>11</v>
      </c>
      <c r="D19488" s="4" t="s">
        <v>13</v>
      </c>
      <c r="E19488" s="4" t="s">
        <v>13</v>
      </c>
      <c r="F19488" s="4" t="s">
        <v>13</v>
      </c>
      <c r="G19488" s="4" t="s">
        <v>13</v>
      </c>
    </row>
    <row r="19489" spans="1:8">
      <c r="A19489" t="n">
        <v>190213</v>
      </c>
      <c r="B19489" s="36" t="n">
        <v>46</v>
      </c>
      <c r="C19489" s="7" t="n">
        <v>5</v>
      </c>
      <c r="D19489" s="7" t="n">
        <v>-19.4099998474121</v>
      </c>
      <c r="E19489" s="7" t="n">
        <v>10.0100002288818</v>
      </c>
      <c r="F19489" s="7" t="n">
        <v>58.3699989318848</v>
      </c>
      <c r="G19489" s="7" t="n">
        <v>114.599998474121</v>
      </c>
    </row>
    <row r="19490" spans="1:8">
      <c r="A19490" t="s">
        <v>4</v>
      </c>
      <c r="B19490" s="4" t="s">
        <v>5</v>
      </c>
      <c r="C19490" s="4" t="s">
        <v>11</v>
      </c>
    </row>
    <row r="19491" spans="1:8">
      <c r="A19491" t="n">
        <v>190232</v>
      </c>
      <c r="B19491" s="29" t="n">
        <v>16</v>
      </c>
      <c r="C19491" s="7" t="n">
        <v>0</v>
      </c>
    </row>
    <row r="19492" spans="1:8">
      <c r="A19492" t="s">
        <v>4</v>
      </c>
      <c r="B19492" s="4" t="s">
        <v>5</v>
      </c>
      <c r="C19492" s="4" t="s">
        <v>11</v>
      </c>
      <c r="D19492" s="4" t="s">
        <v>11</v>
      </c>
      <c r="E19492" s="4" t="s">
        <v>11</v>
      </c>
    </row>
    <row r="19493" spans="1:8">
      <c r="A19493" t="n">
        <v>190235</v>
      </c>
      <c r="B19493" s="72" t="n">
        <v>61</v>
      </c>
      <c r="C19493" s="7" t="n">
        <v>0</v>
      </c>
      <c r="D19493" s="7" t="n">
        <v>65533</v>
      </c>
      <c r="E19493" s="7" t="n">
        <v>0</v>
      </c>
    </row>
    <row r="19494" spans="1:8">
      <c r="A19494" t="s">
        <v>4</v>
      </c>
      <c r="B19494" s="4" t="s">
        <v>5</v>
      </c>
      <c r="C19494" s="4" t="s">
        <v>11</v>
      </c>
      <c r="D19494" s="4" t="s">
        <v>11</v>
      </c>
      <c r="E19494" s="4" t="s">
        <v>11</v>
      </c>
    </row>
    <row r="19495" spans="1:8">
      <c r="A19495" t="n">
        <v>190242</v>
      </c>
      <c r="B19495" s="72" t="n">
        <v>61</v>
      </c>
      <c r="C19495" s="7" t="n">
        <v>5</v>
      </c>
      <c r="D19495" s="7" t="n">
        <v>65533</v>
      </c>
      <c r="E19495" s="7" t="n">
        <v>0</v>
      </c>
    </row>
    <row r="19496" spans="1:8">
      <c r="A19496" t="s">
        <v>4</v>
      </c>
      <c r="B19496" s="4" t="s">
        <v>5</v>
      </c>
      <c r="C19496" s="4" t="s">
        <v>7</v>
      </c>
      <c r="D19496" s="4" t="s">
        <v>7</v>
      </c>
      <c r="E19496" s="4" t="s">
        <v>13</v>
      </c>
      <c r="F19496" s="4" t="s">
        <v>13</v>
      </c>
      <c r="G19496" s="4" t="s">
        <v>13</v>
      </c>
      <c r="H19496" s="4" t="s">
        <v>11</v>
      </c>
    </row>
    <row r="19497" spans="1:8">
      <c r="A19497" t="n">
        <v>190249</v>
      </c>
      <c r="B19497" s="51" t="n">
        <v>45</v>
      </c>
      <c r="C19497" s="7" t="n">
        <v>2</v>
      </c>
      <c r="D19497" s="7" t="n">
        <v>3</v>
      </c>
      <c r="E19497" s="7" t="n">
        <v>-19.3999996185303</v>
      </c>
      <c r="F19497" s="7" t="n">
        <v>11.210000038147</v>
      </c>
      <c r="G19497" s="7" t="n">
        <v>58.3499984741211</v>
      </c>
      <c r="H19497" s="7" t="n">
        <v>0</v>
      </c>
    </row>
    <row r="19498" spans="1:8">
      <c r="A19498" t="s">
        <v>4</v>
      </c>
      <c r="B19498" s="4" t="s">
        <v>5</v>
      </c>
      <c r="C19498" s="4" t="s">
        <v>7</v>
      </c>
      <c r="D19498" s="4" t="s">
        <v>7</v>
      </c>
      <c r="E19498" s="4" t="s">
        <v>13</v>
      </c>
      <c r="F19498" s="4" t="s">
        <v>13</v>
      </c>
      <c r="G19498" s="4" t="s">
        <v>13</v>
      </c>
      <c r="H19498" s="4" t="s">
        <v>11</v>
      </c>
    </row>
    <row r="19499" spans="1:8">
      <c r="A19499" t="n">
        <v>190266</v>
      </c>
      <c r="B19499" s="51" t="n">
        <v>45</v>
      </c>
      <c r="C19499" s="7" t="n">
        <v>2</v>
      </c>
      <c r="D19499" s="7" t="n">
        <v>3</v>
      </c>
      <c r="E19499" s="7" t="n">
        <v>-19.3999996185303</v>
      </c>
      <c r="F19499" s="7" t="n">
        <v>11.3599996566772</v>
      </c>
      <c r="G19499" s="7" t="n">
        <v>58.3499984741211</v>
      </c>
      <c r="H19499" s="7" t="n">
        <v>1200</v>
      </c>
    </row>
    <row r="19500" spans="1:8">
      <c r="A19500" t="s">
        <v>4</v>
      </c>
      <c r="B19500" s="4" t="s">
        <v>5</v>
      </c>
      <c r="C19500" s="4" t="s">
        <v>7</v>
      </c>
      <c r="D19500" s="4" t="s">
        <v>7</v>
      </c>
      <c r="E19500" s="4" t="s">
        <v>13</v>
      </c>
      <c r="F19500" s="4" t="s">
        <v>13</v>
      </c>
      <c r="G19500" s="4" t="s">
        <v>13</v>
      </c>
      <c r="H19500" s="4" t="s">
        <v>11</v>
      </c>
      <c r="I19500" s="4" t="s">
        <v>7</v>
      </c>
    </row>
    <row r="19501" spans="1:8">
      <c r="A19501" t="n">
        <v>190283</v>
      </c>
      <c r="B19501" s="51" t="n">
        <v>45</v>
      </c>
      <c r="C19501" s="7" t="n">
        <v>4</v>
      </c>
      <c r="D19501" s="7" t="n">
        <v>3</v>
      </c>
      <c r="E19501" s="7" t="n">
        <v>6.73999977111816</v>
      </c>
      <c r="F19501" s="7" t="n">
        <v>85.0100021362305</v>
      </c>
      <c r="G19501" s="7" t="n">
        <v>360</v>
      </c>
      <c r="H19501" s="7" t="n">
        <v>0</v>
      </c>
      <c r="I19501" s="7" t="n">
        <v>0</v>
      </c>
    </row>
    <row r="19502" spans="1:8">
      <c r="A19502" t="s">
        <v>4</v>
      </c>
      <c r="B19502" s="4" t="s">
        <v>5</v>
      </c>
      <c r="C19502" s="4" t="s">
        <v>7</v>
      </c>
      <c r="D19502" s="4" t="s">
        <v>7</v>
      </c>
      <c r="E19502" s="4" t="s">
        <v>13</v>
      </c>
      <c r="F19502" s="4" t="s">
        <v>11</v>
      </c>
    </row>
    <row r="19503" spans="1:8">
      <c r="A19503" t="n">
        <v>190301</v>
      </c>
      <c r="B19503" s="51" t="n">
        <v>45</v>
      </c>
      <c r="C19503" s="7" t="n">
        <v>5</v>
      </c>
      <c r="D19503" s="7" t="n">
        <v>3</v>
      </c>
      <c r="E19503" s="7" t="n">
        <v>1.39999997615814</v>
      </c>
      <c r="F19503" s="7" t="n">
        <v>0</v>
      </c>
    </row>
    <row r="19504" spans="1:8">
      <c r="A19504" t="s">
        <v>4</v>
      </c>
      <c r="B19504" s="4" t="s">
        <v>5</v>
      </c>
      <c r="C19504" s="4" t="s">
        <v>7</v>
      </c>
      <c r="D19504" s="4" t="s">
        <v>7</v>
      </c>
      <c r="E19504" s="4" t="s">
        <v>13</v>
      </c>
      <c r="F19504" s="4" t="s">
        <v>11</v>
      </c>
    </row>
    <row r="19505" spans="1:9">
      <c r="A19505" t="n">
        <v>190310</v>
      </c>
      <c r="B19505" s="51" t="n">
        <v>45</v>
      </c>
      <c r="C19505" s="7" t="n">
        <v>11</v>
      </c>
      <c r="D19505" s="7" t="n">
        <v>3</v>
      </c>
      <c r="E19505" s="7" t="n">
        <v>31.2000007629395</v>
      </c>
      <c r="F19505" s="7" t="n">
        <v>0</v>
      </c>
    </row>
    <row r="19506" spans="1:9">
      <c r="A19506" t="s">
        <v>4</v>
      </c>
      <c r="B19506" s="4" t="s">
        <v>5</v>
      </c>
      <c r="C19506" s="4" t="s">
        <v>7</v>
      </c>
      <c r="D19506" s="4" t="s">
        <v>11</v>
      </c>
      <c r="E19506" s="4" t="s">
        <v>8</v>
      </c>
      <c r="F19506" s="4" t="s">
        <v>8</v>
      </c>
      <c r="G19506" s="4" t="s">
        <v>8</v>
      </c>
      <c r="H19506" s="4" t="s">
        <v>8</v>
      </c>
    </row>
    <row r="19507" spans="1:9">
      <c r="A19507" t="n">
        <v>190319</v>
      </c>
      <c r="B19507" s="38" t="n">
        <v>51</v>
      </c>
      <c r="C19507" s="7" t="n">
        <v>3</v>
      </c>
      <c r="D19507" s="7" t="n">
        <v>5</v>
      </c>
      <c r="E19507" s="7" t="s">
        <v>372</v>
      </c>
      <c r="F19507" s="7" t="s">
        <v>218</v>
      </c>
      <c r="G19507" s="7" t="s">
        <v>16</v>
      </c>
      <c r="H19507" s="7" t="s">
        <v>16</v>
      </c>
    </row>
    <row r="19508" spans="1:9">
      <c r="A19508" t="s">
        <v>4</v>
      </c>
      <c r="B19508" s="4" t="s">
        <v>5</v>
      </c>
      <c r="C19508" s="4" t="s">
        <v>7</v>
      </c>
      <c r="D19508" s="4" t="s">
        <v>11</v>
      </c>
      <c r="E19508" s="4" t="s">
        <v>11</v>
      </c>
      <c r="F19508" s="4" t="s">
        <v>15</v>
      </c>
    </row>
    <row r="19509" spans="1:9">
      <c r="A19509" t="n">
        <v>190329</v>
      </c>
      <c r="B19509" s="76" t="n">
        <v>84</v>
      </c>
      <c r="C19509" s="7" t="n">
        <v>0</v>
      </c>
      <c r="D19509" s="7" t="n">
        <v>0</v>
      </c>
      <c r="E19509" s="7" t="n">
        <v>0</v>
      </c>
      <c r="F19509" s="7" t="n">
        <v>1045220557</v>
      </c>
    </row>
    <row r="19510" spans="1:9">
      <c r="A19510" t="s">
        <v>4</v>
      </c>
      <c r="B19510" s="4" t="s">
        <v>5</v>
      </c>
      <c r="C19510" s="4" t="s">
        <v>11</v>
      </c>
      <c r="D19510" s="4" t="s">
        <v>7</v>
      </c>
      <c r="E19510" s="4" t="s">
        <v>8</v>
      </c>
      <c r="F19510" s="4" t="s">
        <v>13</v>
      </c>
      <c r="G19510" s="4" t="s">
        <v>13</v>
      </c>
      <c r="H19510" s="4" t="s">
        <v>13</v>
      </c>
    </row>
    <row r="19511" spans="1:9">
      <c r="A19511" t="n">
        <v>190339</v>
      </c>
      <c r="B19511" s="42" t="n">
        <v>48</v>
      </c>
      <c r="C19511" s="7" t="n">
        <v>5</v>
      </c>
      <c r="D19511" s="7" t="n">
        <v>0</v>
      </c>
      <c r="E19511" s="7" t="s">
        <v>1572</v>
      </c>
      <c r="F19511" s="7" t="n">
        <v>0</v>
      </c>
      <c r="G19511" s="7" t="n">
        <v>1</v>
      </c>
      <c r="H19511" s="7" t="n">
        <v>0</v>
      </c>
    </row>
    <row r="19512" spans="1:9">
      <c r="A19512" t="s">
        <v>4</v>
      </c>
      <c r="B19512" s="4" t="s">
        <v>5</v>
      </c>
      <c r="C19512" s="4" t="s">
        <v>11</v>
      </c>
    </row>
    <row r="19513" spans="1:9">
      <c r="A19513" t="n">
        <v>190365</v>
      </c>
      <c r="B19513" s="29" t="n">
        <v>16</v>
      </c>
      <c r="C19513" s="7" t="n">
        <v>300</v>
      </c>
    </row>
    <row r="19514" spans="1:9">
      <c r="A19514" t="s">
        <v>4</v>
      </c>
      <c r="B19514" s="4" t="s">
        <v>5</v>
      </c>
      <c r="C19514" s="4" t="s">
        <v>11</v>
      </c>
      <c r="D19514" s="4" t="s">
        <v>7</v>
      </c>
      <c r="E19514" s="4" t="s">
        <v>8</v>
      </c>
      <c r="F19514" s="4" t="s">
        <v>13</v>
      </c>
      <c r="G19514" s="4" t="s">
        <v>13</v>
      </c>
      <c r="H19514" s="4" t="s">
        <v>13</v>
      </c>
    </row>
    <row r="19515" spans="1:9">
      <c r="A19515" t="n">
        <v>190368</v>
      </c>
      <c r="B19515" s="42" t="n">
        <v>48</v>
      </c>
      <c r="C19515" s="7" t="n">
        <v>0</v>
      </c>
      <c r="D19515" s="7" t="n">
        <v>0</v>
      </c>
      <c r="E19515" s="7" t="s">
        <v>1572</v>
      </c>
      <c r="F19515" s="7" t="n">
        <v>0</v>
      </c>
      <c r="G19515" s="7" t="n">
        <v>1</v>
      </c>
      <c r="H19515" s="7" t="n">
        <v>0</v>
      </c>
    </row>
    <row r="19516" spans="1:9">
      <c r="A19516" t="s">
        <v>4</v>
      </c>
      <c r="B19516" s="4" t="s">
        <v>5</v>
      </c>
      <c r="C19516" s="4" t="s">
        <v>7</v>
      </c>
      <c r="D19516" s="4" t="s">
        <v>11</v>
      </c>
      <c r="E19516" s="4" t="s">
        <v>8</v>
      </c>
      <c r="F19516" s="4" t="s">
        <v>8</v>
      </c>
      <c r="G19516" s="4" t="s">
        <v>8</v>
      </c>
      <c r="H19516" s="4" t="s">
        <v>8</v>
      </c>
    </row>
    <row r="19517" spans="1:9">
      <c r="A19517" t="n">
        <v>190394</v>
      </c>
      <c r="B19517" s="38" t="n">
        <v>51</v>
      </c>
      <c r="C19517" s="7" t="n">
        <v>3</v>
      </c>
      <c r="D19517" s="7" t="n">
        <v>5</v>
      </c>
      <c r="E19517" s="7" t="s">
        <v>372</v>
      </c>
      <c r="F19517" s="7" t="s">
        <v>218</v>
      </c>
      <c r="G19517" s="7" t="s">
        <v>16</v>
      </c>
      <c r="H19517" s="7" t="s">
        <v>16</v>
      </c>
    </row>
    <row r="19518" spans="1:9">
      <c r="A19518" t="s">
        <v>4</v>
      </c>
      <c r="B19518" s="4" t="s">
        <v>5</v>
      </c>
      <c r="C19518" s="4" t="s">
        <v>7</v>
      </c>
      <c r="D19518" s="4" t="s">
        <v>7</v>
      </c>
      <c r="E19518" s="4" t="s">
        <v>13</v>
      </c>
      <c r="F19518" s="4" t="s">
        <v>13</v>
      </c>
      <c r="G19518" s="4" t="s">
        <v>13</v>
      </c>
      <c r="H19518" s="4" t="s">
        <v>11</v>
      </c>
    </row>
    <row r="19519" spans="1:9">
      <c r="A19519" t="n">
        <v>190404</v>
      </c>
      <c r="B19519" s="51" t="n">
        <v>45</v>
      </c>
      <c r="C19519" s="7" t="n">
        <v>2</v>
      </c>
      <c r="D19519" s="7" t="n">
        <v>3</v>
      </c>
      <c r="E19519" s="7" t="n">
        <v>-19.0900001525879</v>
      </c>
      <c r="F19519" s="7" t="n">
        <v>11.4700002670288</v>
      </c>
      <c r="G19519" s="7" t="n">
        <v>58.2700004577637</v>
      </c>
      <c r="H19519" s="7" t="n">
        <v>2000</v>
      </c>
    </row>
    <row r="19520" spans="1:9">
      <c r="A19520" t="s">
        <v>4</v>
      </c>
      <c r="B19520" s="4" t="s">
        <v>5</v>
      </c>
      <c r="C19520" s="4" t="s">
        <v>7</v>
      </c>
      <c r="D19520" s="4" t="s">
        <v>7</v>
      </c>
      <c r="E19520" s="4" t="s">
        <v>13</v>
      </c>
      <c r="F19520" s="4" t="s">
        <v>13</v>
      </c>
      <c r="G19520" s="4" t="s">
        <v>13</v>
      </c>
      <c r="H19520" s="4" t="s">
        <v>11</v>
      </c>
      <c r="I19520" s="4" t="s">
        <v>7</v>
      </c>
    </row>
    <row r="19521" spans="1:9">
      <c r="A19521" t="n">
        <v>190421</v>
      </c>
      <c r="B19521" s="51" t="n">
        <v>45</v>
      </c>
      <c r="C19521" s="7" t="n">
        <v>4</v>
      </c>
      <c r="D19521" s="7" t="n">
        <v>3</v>
      </c>
      <c r="E19521" s="7" t="n">
        <v>26.8799991607666</v>
      </c>
      <c r="F19521" s="7" t="n">
        <v>99.5500030517578</v>
      </c>
      <c r="G19521" s="7" t="n">
        <v>356</v>
      </c>
      <c r="H19521" s="7" t="n">
        <v>2000</v>
      </c>
      <c r="I19521" s="7" t="n">
        <v>1</v>
      </c>
    </row>
    <row r="19522" spans="1:9">
      <c r="A19522" t="s">
        <v>4</v>
      </c>
      <c r="B19522" s="4" t="s">
        <v>5</v>
      </c>
      <c r="C19522" s="4" t="s">
        <v>7</v>
      </c>
      <c r="D19522" s="4" t="s">
        <v>7</v>
      </c>
      <c r="E19522" s="4" t="s">
        <v>13</v>
      </c>
      <c r="F19522" s="4" t="s">
        <v>11</v>
      </c>
    </row>
    <row r="19523" spans="1:9">
      <c r="A19523" t="n">
        <v>190439</v>
      </c>
      <c r="B19523" s="51" t="n">
        <v>45</v>
      </c>
      <c r="C19523" s="7" t="n">
        <v>5</v>
      </c>
      <c r="D19523" s="7" t="n">
        <v>3</v>
      </c>
      <c r="E19523" s="7" t="n">
        <v>0.899999976158142</v>
      </c>
      <c r="F19523" s="7" t="n">
        <v>2000</v>
      </c>
    </row>
    <row r="19524" spans="1:9">
      <c r="A19524" t="s">
        <v>4</v>
      </c>
      <c r="B19524" s="4" t="s">
        <v>5</v>
      </c>
      <c r="C19524" s="4" t="s">
        <v>7</v>
      </c>
      <c r="D19524" s="4" t="s">
        <v>7</v>
      </c>
      <c r="E19524" s="4" t="s">
        <v>13</v>
      </c>
      <c r="F19524" s="4" t="s">
        <v>11</v>
      </c>
    </row>
    <row r="19525" spans="1:9">
      <c r="A19525" t="n">
        <v>190448</v>
      </c>
      <c r="B19525" s="51" t="n">
        <v>45</v>
      </c>
      <c r="C19525" s="7" t="n">
        <v>11</v>
      </c>
      <c r="D19525" s="7" t="n">
        <v>3</v>
      </c>
      <c r="E19525" s="7" t="n">
        <v>31.2000007629395</v>
      </c>
      <c r="F19525" s="7" t="n">
        <v>2000</v>
      </c>
    </row>
    <row r="19526" spans="1:9">
      <c r="A19526" t="s">
        <v>4</v>
      </c>
      <c r="B19526" s="4" t="s">
        <v>5</v>
      </c>
      <c r="C19526" s="4" t="s">
        <v>7</v>
      </c>
      <c r="D19526" s="4" t="s">
        <v>11</v>
      </c>
      <c r="E19526" s="4" t="s">
        <v>13</v>
      </c>
    </row>
    <row r="19527" spans="1:9">
      <c r="A19527" t="n">
        <v>190457</v>
      </c>
      <c r="B19527" s="23" t="n">
        <v>58</v>
      </c>
      <c r="C19527" s="7" t="n">
        <v>100</v>
      </c>
      <c r="D19527" s="7" t="n">
        <v>1000</v>
      </c>
      <c r="E19527" s="7" t="n">
        <v>1</v>
      </c>
    </row>
    <row r="19528" spans="1:9">
      <c r="A19528" t="s">
        <v>4</v>
      </c>
      <c r="B19528" s="4" t="s">
        <v>5</v>
      </c>
      <c r="C19528" s="4" t="s">
        <v>11</v>
      </c>
    </row>
    <row r="19529" spans="1:9">
      <c r="A19529" t="n">
        <v>190465</v>
      </c>
      <c r="B19529" s="29" t="n">
        <v>16</v>
      </c>
      <c r="C19529" s="7" t="n">
        <v>800</v>
      </c>
    </row>
    <row r="19530" spans="1:9">
      <c r="A19530" t="s">
        <v>4</v>
      </c>
      <c r="B19530" s="4" t="s">
        <v>5</v>
      </c>
      <c r="C19530" s="4" t="s">
        <v>7</v>
      </c>
      <c r="D19530" s="4" t="s">
        <v>11</v>
      </c>
      <c r="E19530" s="4" t="s">
        <v>13</v>
      </c>
      <c r="F19530" s="4" t="s">
        <v>11</v>
      </c>
      <c r="G19530" s="4" t="s">
        <v>15</v>
      </c>
      <c r="H19530" s="4" t="s">
        <v>15</v>
      </c>
      <c r="I19530" s="4" t="s">
        <v>11</v>
      </c>
      <c r="J19530" s="4" t="s">
        <v>11</v>
      </c>
      <c r="K19530" s="4" t="s">
        <v>15</v>
      </c>
      <c r="L19530" s="4" t="s">
        <v>15</v>
      </c>
      <c r="M19530" s="4" t="s">
        <v>15</v>
      </c>
      <c r="N19530" s="4" t="s">
        <v>15</v>
      </c>
      <c r="O19530" s="4" t="s">
        <v>8</v>
      </c>
    </row>
    <row r="19531" spans="1:9">
      <c r="A19531" t="n">
        <v>190468</v>
      </c>
      <c r="B19531" s="57" t="n">
        <v>50</v>
      </c>
      <c r="C19531" s="7" t="n">
        <v>0</v>
      </c>
      <c r="D19531" s="7" t="n">
        <v>2004</v>
      </c>
      <c r="E19531" s="7" t="n">
        <v>0.699999988079071</v>
      </c>
      <c r="F19531" s="7" t="n">
        <v>300</v>
      </c>
      <c r="G19531" s="7" t="n">
        <v>0</v>
      </c>
      <c r="H19531" s="7" t="n">
        <v>1073741824</v>
      </c>
      <c r="I19531" s="7" t="n">
        <v>0</v>
      </c>
      <c r="J19531" s="7" t="n">
        <v>65533</v>
      </c>
      <c r="K19531" s="7" t="n">
        <v>0</v>
      </c>
      <c r="L19531" s="7" t="n">
        <v>0</v>
      </c>
      <c r="M19531" s="7" t="n">
        <v>0</v>
      </c>
      <c r="N19531" s="7" t="n">
        <v>0</v>
      </c>
      <c r="O19531" s="7" t="s">
        <v>16</v>
      </c>
    </row>
    <row r="19532" spans="1:9">
      <c r="A19532" t="s">
        <v>4</v>
      </c>
      <c r="B19532" s="4" t="s">
        <v>5</v>
      </c>
      <c r="C19532" s="4" t="s">
        <v>11</v>
      </c>
    </row>
    <row r="19533" spans="1:9">
      <c r="A19533" t="n">
        <v>190507</v>
      </c>
      <c r="B19533" s="29" t="n">
        <v>16</v>
      </c>
      <c r="C19533" s="7" t="n">
        <v>1700</v>
      </c>
    </row>
    <row r="19534" spans="1:9">
      <c r="A19534" t="s">
        <v>4</v>
      </c>
      <c r="B19534" s="4" t="s">
        <v>5</v>
      </c>
      <c r="C19534" s="4" t="s">
        <v>7</v>
      </c>
      <c r="D19534" s="4" t="s">
        <v>11</v>
      </c>
      <c r="E19534" s="4" t="s">
        <v>11</v>
      </c>
      <c r="F19534" s="4" t="s">
        <v>15</v>
      </c>
    </row>
    <row r="19535" spans="1:9">
      <c r="A19535" t="n">
        <v>190510</v>
      </c>
      <c r="B19535" s="76" t="n">
        <v>84</v>
      </c>
      <c r="C19535" s="7" t="n">
        <v>1</v>
      </c>
      <c r="D19535" s="7" t="n">
        <v>0</v>
      </c>
      <c r="E19535" s="7" t="n">
        <v>500</v>
      </c>
      <c r="F19535" s="7" t="n">
        <v>0</v>
      </c>
    </row>
    <row r="19536" spans="1:9">
      <c r="A19536" t="s">
        <v>4</v>
      </c>
      <c r="B19536" s="4" t="s">
        <v>5</v>
      </c>
      <c r="C19536" s="4" t="s">
        <v>11</v>
      </c>
    </row>
    <row r="19537" spans="1:15">
      <c r="A19537" t="n">
        <v>190520</v>
      </c>
      <c r="B19537" s="29" t="n">
        <v>16</v>
      </c>
      <c r="C19537" s="7" t="n">
        <v>500</v>
      </c>
    </row>
    <row r="19538" spans="1:15">
      <c r="A19538" t="s">
        <v>4</v>
      </c>
      <c r="B19538" s="4" t="s">
        <v>5</v>
      </c>
      <c r="C19538" s="4" t="s">
        <v>7</v>
      </c>
      <c r="D19538" s="4" t="s">
        <v>11</v>
      </c>
      <c r="E19538" s="4" t="s">
        <v>8</v>
      </c>
      <c r="F19538" s="4" t="s">
        <v>8</v>
      </c>
      <c r="G19538" s="4" t="s">
        <v>8</v>
      </c>
      <c r="H19538" s="4" t="s">
        <v>8</v>
      </c>
    </row>
    <row r="19539" spans="1:15">
      <c r="A19539" t="n">
        <v>190523</v>
      </c>
      <c r="B19539" s="38" t="n">
        <v>51</v>
      </c>
      <c r="C19539" s="7" t="n">
        <v>3</v>
      </c>
      <c r="D19539" s="7" t="n">
        <v>5</v>
      </c>
      <c r="E19539" s="7" t="s">
        <v>372</v>
      </c>
      <c r="F19539" s="7" t="s">
        <v>218</v>
      </c>
      <c r="G19539" s="7" t="s">
        <v>16</v>
      </c>
      <c r="H19539" s="7" t="s">
        <v>16</v>
      </c>
    </row>
    <row r="19540" spans="1:15">
      <c r="A19540" t="s">
        <v>4</v>
      </c>
      <c r="B19540" s="4" t="s">
        <v>5</v>
      </c>
      <c r="C19540" s="4" t="s">
        <v>7</v>
      </c>
      <c r="D19540" s="4" t="s">
        <v>11</v>
      </c>
    </row>
    <row r="19541" spans="1:15">
      <c r="A19541" t="n">
        <v>190533</v>
      </c>
      <c r="B19541" s="23" t="n">
        <v>58</v>
      </c>
      <c r="C19541" s="7" t="n">
        <v>255</v>
      </c>
      <c r="D19541" s="7" t="n">
        <v>0</v>
      </c>
    </row>
    <row r="19542" spans="1:15">
      <c r="A19542" t="s">
        <v>4</v>
      </c>
      <c r="B19542" s="4" t="s">
        <v>5</v>
      </c>
      <c r="C19542" s="4" t="s">
        <v>7</v>
      </c>
      <c r="D19542" s="4" t="s">
        <v>11</v>
      </c>
      <c r="E19542" s="4" t="s">
        <v>8</v>
      </c>
    </row>
    <row r="19543" spans="1:15">
      <c r="A19543" t="n">
        <v>190537</v>
      </c>
      <c r="B19543" s="38" t="n">
        <v>51</v>
      </c>
      <c r="C19543" s="7" t="n">
        <v>4</v>
      </c>
      <c r="D19543" s="7" t="n">
        <v>0</v>
      </c>
      <c r="E19543" s="7" t="s">
        <v>245</v>
      </c>
    </row>
    <row r="19544" spans="1:15">
      <c r="A19544" t="s">
        <v>4</v>
      </c>
      <c r="B19544" s="4" t="s">
        <v>5</v>
      </c>
      <c r="C19544" s="4" t="s">
        <v>11</v>
      </c>
    </row>
    <row r="19545" spans="1:15">
      <c r="A19545" t="n">
        <v>190551</v>
      </c>
      <c r="B19545" s="29" t="n">
        <v>16</v>
      </c>
      <c r="C19545" s="7" t="n">
        <v>0</v>
      </c>
    </row>
    <row r="19546" spans="1:15">
      <c r="A19546" t="s">
        <v>4</v>
      </c>
      <c r="B19546" s="4" t="s">
        <v>5</v>
      </c>
      <c r="C19546" s="4" t="s">
        <v>11</v>
      </c>
      <c r="D19546" s="4" t="s">
        <v>7</v>
      </c>
      <c r="E19546" s="4" t="s">
        <v>15</v>
      </c>
      <c r="F19546" s="4" t="s">
        <v>55</v>
      </c>
      <c r="G19546" s="4" t="s">
        <v>7</v>
      </c>
      <c r="H19546" s="4" t="s">
        <v>7</v>
      </c>
    </row>
    <row r="19547" spans="1:15">
      <c r="A19547" t="n">
        <v>190554</v>
      </c>
      <c r="B19547" s="55" t="n">
        <v>26</v>
      </c>
      <c r="C19547" s="7" t="n">
        <v>0</v>
      </c>
      <c r="D19547" s="7" t="n">
        <v>17</v>
      </c>
      <c r="E19547" s="7" t="n">
        <v>64268</v>
      </c>
      <c r="F19547" s="7" t="s">
        <v>1618</v>
      </c>
      <c r="G19547" s="7" t="n">
        <v>2</v>
      </c>
      <c r="H19547" s="7" t="n">
        <v>0</v>
      </c>
    </row>
    <row r="19548" spans="1:15">
      <c r="A19548" t="s">
        <v>4</v>
      </c>
      <c r="B19548" s="4" t="s">
        <v>5</v>
      </c>
    </row>
    <row r="19549" spans="1:15">
      <c r="A19549" t="n">
        <v>190573</v>
      </c>
      <c r="B19549" s="27" t="n">
        <v>28</v>
      </c>
    </row>
    <row r="19550" spans="1:15">
      <c r="A19550" t="s">
        <v>4</v>
      </c>
      <c r="B19550" s="4" t="s">
        <v>5</v>
      </c>
      <c r="C19550" s="4" t="s">
        <v>7</v>
      </c>
      <c r="D19550" s="4" t="s">
        <v>11</v>
      </c>
      <c r="E19550" s="4" t="s">
        <v>11</v>
      </c>
      <c r="F19550" s="4" t="s">
        <v>7</v>
      </c>
    </row>
    <row r="19551" spans="1:15">
      <c r="A19551" t="n">
        <v>190574</v>
      </c>
      <c r="B19551" s="31" t="n">
        <v>25</v>
      </c>
      <c r="C19551" s="7" t="n">
        <v>1</v>
      </c>
      <c r="D19551" s="7" t="n">
        <v>65535</v>
      </c>
      <c r="E19551" s="7" t="n">
        <v>65535</v>
      </c>
      <c r="F19551" s="7" t="n">
        <v>0</v>
      </c>
    </row>
    <row r="19552" spans="1:15">
      <c r="A19552" t="s">
        <v>4</v>
      </c>
      <c r="B19552" s="4" t="s">
        <v>5</v>
      </c>
      <c r="C19552" s="4" t="s">
        <v>7</v>
      </c>
      <c r="D19552" s="4" t="s">
        <v>11</v>
      </c>
      <c r="E19552" s="4" t="s">
        <v>8</v>
      </c>
    </row>
    <row r="19553" spans="1:8">
      <c r="A19553" t="n">
        <v>190581</v>
      </c>
      <c r="B19553" s="38" t="n">
        <v>51</v>
      </c>
      <c r="C19553" s="7" t="n">
        <v>4</v>
      </c>
      <c r="D19553" s="7" t="n">
        <v>5</v>
      </c>
      <c r="E19553" s="7" t="s">
        <v>379</v>
      </c>
    </row>
    <row r="19554" spans="1:8">
      <c r="A19554" t="s">
        <v>4</v>
      </c>
      <c r="B19554" s="4" t="s">
        <v>5</v>
      </c>
      <c r="C19554" s="4" t="s">
        <v>11</v>
      </c>
    </row>
    <row r="19555" spans="1:8">
      <c r="A19555" t="n">
        <v>190595</v>
      </c>
      <c r="B19555" s="29" t="n">
        <v>16</v>
      </c>
      <c r="C19555" s="7" t="n">
        <v>0</v>
      </c>
    </row>
    <row r="19556" spans="1:8">
      <c r="A19556" t="s">
        <v>4</v>
      </c>
      <c r="B19556" s="4" t="s">
        <v>5</v>
      </c>
      <c r="C19556" s="4" t="s">
        <v>11</v>
      </c>
      <c r="D19556" s="4" t="s">
        <v>7</v>
      </c>
      <c r="E19556" s="4" t="s">
        <v>15</v>
      </c>
      <c r="F19556" s="4" t="s">
        <v>55</v>
      </c>
      <c r="G19556" s="4" t="s">
        <v>7</v>
      </c>
      <c r="H19556" s="4" t="s">
        <v>7</v>
      </c>
      <c r="I19556" s="4" t="s">
        <v>7</v>
      </c>
      <c r="J19556" s="4" t="s">
        <v>15</v>
      </c>
      <c r="K19556" s="4" t="s">
        <v>55</v>
      </c>
      <c r="L19556" s="4" t="s">
        <v>7</v>
      </c>
      <c r="M19556" s="4" t="s">
        <v>7</v>
      </c>
      <c r="N19556" s="4" t="s">
        <v>7</v>
      </c>
      <c r="O19556" s="4" t="s">
        <v>15</v>
      </c>
      <c r="P19556" s="4" t="s">
        <v>55</v>
      </c>
      <c r="Q19556" s="4" t="s">
        <v>7</v>
      </c>
      <c r="R19556" s="4" t="s">
        <v>7</v>
      </c>
      <c r="S19556" s="4" t="s">
        <v>7</v>
      </c>
      <c r="T19556" s="4" t="s">
        <v>15</v>
      </c>
      <c r="U19556" s="4" t="s">
        <v>55</v>
      </c>
      <c r="V19556" s="4" t="s">
        <v>7</v>
      </c>
      <c r="W19556" s="4" t="s">
        <v>7</v>
      </c>
    </row>
    <row r="19557" spans="1:8">
      <c r="A19557" t="n">
        <v>190598</v>
      </c>
      <c r="B19557" s="55" t="n">
        <v>26</v>
      </c>
      <c r="C19557" s="7" t="n">
        <v>5</v>
      </c>
      <c r="D19557" s="7" t="n">
        <v>17</v>
      </c>
      <c r="E19557" s="7" t="n">
        <v>64634</v>
      </c>
      <c r="F19557" s="7" t="s">
        <v>1619</v>
      </c>
      <c r="G19557" s="7" t="n">
        <v>2</v>
      </c>
      <c r="H19557" s="7" t="n">
        <v>3</v>
      </c>
      <c r="I19557" s="7" t="n">
        <v>17</v>
      </c>
      <c r="J19557" s="7" t="n">
        <v>64635</v>
      </c>
      <c r="K19557" s="7" t="s">
        <v>1620</v>
      </c>
      <c r="L19557" s="7" t="n">
        <v>2</v>
      </c>
      <c r="M19557" s="7" t="n">
        <v>3</v>
      </c>
      <c r="N19557" s="7" t="n">
        <v>17</v>
      </c>
      <c r="O19557" s="7" t="n">
        <v>64636</v>
      </c>
      <c r="P19557" s="7" t="s">
        <v>1621</v>
      </c>
      <c r="Q19557" s="7" t="n">
        <v>2</v>
      </c>
      <c r="R19557" s="7" t="n">
        <v>3</v>
      </c>
      <c r="S19557" s="7" t="n">
        <v>17</v>
      </c>
      <c r="T19557" s="7" t="n">
        <v>64637</v>
      </c>
      <c r="U19557" s="7" t="s">
        <v>1622</v>
      </c>
      <c r="V19557" s="7" t="n">
        <v>2</v>
      </c>
      <c r="W19557" s="7" t="n">
        <v>0</v>
      </c>
    </row>
    <row r="19558" spans="1:8">
      <c r="A19558" t="s">
        <v>4</v>
      </c>
      <c r="B19558" s="4" t="s">
        <v>5</v>
      </c>
    </row>
    <row r="19559" spans="1:8">
      <c r="A19559" t="n">
        <v>191027</v>
      </c>
      <c r="B19559" s="27" t="n">
        <v>28</v>
      </c>
    </row>
    <row r="19560" spans="1:8">
      <c r="A19560" t="s">
        <v>4</v>
      </c>
      <c r="B19560" s="4" t="s">
        <v>5</v>
      </c>
      <c r="C19560" s="4" t="s">
        <v>11</v>
      </c>
      <c r="D19560" s="4" t="s">
        <v>7</v>
      </c>
    </row>
    <row r="19561" spans="1:8">
      <c r="A19561" t="n">
        <v>191028</v>
      </c>
      <c r="B19561" s="68" t="n">
        <v>89</v>
      </c>
      <c r="C19561" s="7" t="n">
        <v>65533</v>
      </c>
      <c r="D19561" s="7" t="n">
        <v>1</v>
      </c>
    </row>
    <row r="19562" spans="1:8">
      <c r="A19562" t="s">
        <v>4</v>
      </c>
      <c r="B19562" s="4" t="s">
        <v>5</v>
      </c>
      <c r="C19562" s="4" t="s">
        <v>7</v>
      </c>
      <c r="D19562" s="4" t="s">
        <v>11</v>
      </c>
      <c r="E19562" s="4" t="s">
        <v>13</v>
      </c>
    </row>
    <row r="19563" spans="1:8">
      <c r="A19563" t="n">
        <v>191032</v>
      </c>
      <c r="B19563" s="23" t="n">
        <v>58</v>
      </c>
      <c r="C19563" s="7" t="n">
        <v>101</v>
      </c>
      <c r="D19563" s="7" t="n">
        <v>500</v>
      </c>
      <c r="E19563" s="7" t="n">
        <v>1</v>
      </c>
    </row>
    <row r="19564" spans="1:8">
      <c r="A19564" t="s">
        <v>4</v>
      </c>
      <c r="B19564" s="4" t="s">
        <v>5</v>
      </c>
      <c r="C19564" s="4" t="s">
        <v>7</v>
      </c>
      <c r="D19564" s="4" t="s">
        <v>11</v>
      </c>
    </row>
    <row r="19565" spans="1:8">
      <c r="A19565" t="n">
        <v>191040</v>
      </c>
      <c r="B19565" s="23" t="n">
        <v>58</v>
      </c>
      <c r="C19565" s="7" t="n">
        <v>254</v>
      </c>
      <c r="D19565" s="7" t="n">
        <v>0</v>
      </c>
    </row>
    <row r="19566" spans="1:8">
      <c r="A19566" t="s">
        <v>4</v>
      </c>
      <c r="B19566" s="4" t="s">
        <v>5</v>
      </c>
      <c r="C19566" s="4" t="s">
        <v>7</v>
      </c>
      <c r="D19566" s="4" t="s">
        <v>7</v>
      </c>
      <c r="E19566" s="4" t="s">
        <v>13</v>
      </c>
      <c r="F19566" s="4" t="s">
        <v>13</v>
      </c>
      <c r="G19566" s="4" t="s">
        <v>13</v>
      </c>
      <c r="H19566" s="4" t="s">
        <v>11</v>
      </c>
    </row>
    <row r="19567" spans="1:8">
      <c r="A19567" t="n">
        <v>191044</v>
      </c>
      <c r="B19567" s="51" t="n">
        <v>45</v>
      </c>
      <c r="C19567" s="7" t="n">
        <v>2</v>
      </c>
      <c r="D19567" s="7" t="n">
        <v>3</v>
      </c>
      <c r="E19567" s="7" t="n">
        <v>-18.7199993133545</v>
      </c>
      <c r="F19567" s="7" t="n">
        <v>11.4700002670288</v>
      </c>
      <c r="G19567" s="7" t="n">
        <v>58.2900009155273</v>
      </c>
      <c r="H19567" s="7" t="n">
        <v>0</v>
      </c>
    </row>
    <row r="19568" spans="1:8">
      <c r="A19568" t="s">
        <v>4</v>
      </c>
      <c r="B19568" s="4" t="s">
        <v>5</v>
      </c>
      <c r="C19568" s="4" t="s">
        <v>7</v>
      </c>
      <c r="D19568" s="4" t="s">
        <v>7</v>
      </c>
      <c r="E19568" s="4" t="s">
        <v>13</v>
      </c>
      <c r="F19568" s="4" t="s">
        <v>13</v>
      </c>
      <c r="G19568" s="4" t="s">
        <v>13</v>
      </c>
      <c r="H19568" s="4" t="s">
        <v>11</v>
      </c>
      <c r="I19568" s="4" t="s">
        <v>7</v>
      </c>
    </row>
    <row r="19569" spans="1:23">
      <c r="A19569" t="n">
        <v>191061</v>
      </c>
      <c r="B19569" s="51" t="n">
        <v>45</v>
      </c>
      <c r="C19569" s="7" t="n">
        <v>4</v>
      </c>
      <c r="D19569" s="7" t="n">
        <v>3</v>
      </c>
      <c r="E19569" s="7" t="n">
        <v>0.509999990463257</v>
      </c>
      <c r="F19569" s="7" t="n">
        <v>266.470001220703</v>
      </c>
      <c r="G19569" s="7" t="n">
        <v>356</v>
      </c>
      <c r="H19569" s="7" t="n">
        <v>0</v>
      </c>
      <c r="I19569" s="7" t="n">
        <v>0</v>
      </c>
    </row>
    <row r="19570" spans="1:23">
      <c r="A19570" t="s">
        <v>4</v>
      </c>
      <c r="B19570" s="4" t="s">
        <v>5</v>
      </c>
      <c r="C19570" s="4" t="s">
        <v>7</v>
      </c>
      <c r="D19570" s="4" t="s">
        <v>7</v>
      </c>
      <c r="E19570" s="4" t="s">
        <v>13</v>
      </c>
      <c r="F19570" s="4" t="s">
        <v>11</v>
      </c>
    </row>
    <row r="19571" spans="1:23">
      <c r="A19571" t="n">
        <v>191079</v>
      </c>
      <c r="B19571" s="51" t="n">
        <v>45</v>
      </c>
      <c r="C19571" s="7" t="n">
        <v>5</v>
      </c>
      <c r="D19571" s="7" t="n">
        <v>3</v>
      </c>
      <c r="E19571" s="7" t="n">
        <v>1.79999995231628</v>
      </c>
      <c r="F19571" s="7" t="n">
        <v>0</v>
      </c>
    </row>
    <row r="19572" spans="1:23">
      <c r="A19572" t="s">
        <v>4</v>
      </c>
      <c r="B19572" s="4" t="s">
        <v>5</v>
      </c>
      <c r="C19572" s="4" t="s">
        <v>7</v>
      </c>
      <c r="D19572" s="4" t="s">
        <v>7</v>
      </c>
      <c r="E19572" s="4" t="s">
        <v>13</v>
      </c>
      <c r="F19572" s="4" t="s">
        <v>11</v>
      </c>
    </row>
    <row r="19573" spans="1:23">
      <c r="A19573" t="n">
        <v>191088</v>
      </c>
      <c r="B19573" s="51" t="n">
        <v>45</v>
      </c>
      <c r="C19573" s="7" t="n">
        <v>5</v>
      </c>
      <c r="D19573" s="7" t="n">
        <v>3</v>
      </c>
      <c r="E19573" s="7" t="n">
        <v>1.5</v>
      </c>
      <c r="F19573" s="7" t="n">
        <v>3000</v>
      </c>
    </row>
    <row r="19574" spans="1:23">
      <c r="A19574" t="s">
        <v>4</v>
      </c>
      <c r="B19574" s="4" t="s">
        <v>5</v>
      </c>
      <c r="C19574" s="4" t="s">
        <v>7</v>
      </c>
      <c r="D19574" s="4" t="s">
        <v>7</v>
      </c>
      <c r="E19574" s="4" t="s">
        <v>13</v>
      </c>
      <c r="F19574" s="4" t="s">
        <v>11</v>
      </c>
    </row>
    <row r="19575" spans="1:23">
      <c r="A19575" t="n">
        <v>191097</v>
      </c>
      <c r="B19575" s="51" t="n">
        <v>45</v>
      </c>
      <c r="C19575" s="7" t="n">
        <v>11</v>
      </c>
      <c r="D19575" s="7" t="n">
        <v>3</v>
      </c>
      <c r="E19575" s="7" t="n">
        <v>31.2000007629395</v>
      </c>
      <c r="F19575" s="7" t="n">
        <v>0</v>
      </c>
    </row>
    <row r="19576" spans="1:23">
      <c r="A19576" t="s">
        <v>4</v>
      </c>
      <c r="B19576" s="4" t="s">
        <v>5</v>
      </c>
      <c r="C19576" s="4" t="s">
        <v>11</v>
      </c>
      <c r="D19576" s="4" t="s">
        <v>13</v>
      </c>
      <c r="E19576" s="4" t="s">
        <v>13</v>
      </c>
      <c r="F19576" s="4" t="s">
        <v>13</v>
      </c>
      <c r="G19576" s="4" t="s">
        <v>13</v>
      </c>
    </row>
    <row r="19577" spans="1:23">
      <c r="A19577" t="n">
        <v>191106</v>
      </c>
      <c r="B19577" s="36" t="n">
        <v>46</v>
      </c>
      <c r="C19577" s="7" t="n">
        <v>5</v>
      </c>
      <c r="D19577" s="7" t="n">
        <v>-19.4200000762939</v>
      </c>
      <c r="E19577" s="7" t="n">
        <v>10.0100002288818</v>
      </c>
      <c r="F19577" s="7" t="n">
        <v>58.3899993896484</v>
      </c>
      <c r="G19577" s="7" t="n">
        <v>114.599998474121</v>
      </c>
    </row>
    <row r="19578" spans="1:23">
      <c r="A19578" t="s">
        <v>4</v>
      </c>
      <c r="B19578" s="4" t="s">
        <v>5</v>
      </c>
      <c r="C19578" s="4" t="s">
        <v>7</v>
      </c>
      <c r="D19578" s="4" t="s">
        <v>11</v>
      </c>
      <c r="E19578" s="4" t="s">
        <v>8</v>
      </c>
      <c r="F19578" s="4" t="s">
        <v>8</v>
      </c>
      <c r="G19578" s="4" t="s">
        <v>8</v>
      </c>
      <c r="H19578" s="4" t="s">
        <v>8</v>
      </c>
    </row>
    <row r="19579" spans="1:23">
      <c r="A19579" t="n">
        <v>191125</v>
      </c>
      <c r="B19579" s="38" t="n">
        <v>51</v>
      </c>
      <c r="C19579" s="7" t="n">
        <v>3</v>
      </c>
      <c r="D19579" s="7" t="n">
        <v>5</v>
      </c>
      <c r="E19579" s="7" t="s">
        <v>155</v>
      </c>
      <c r="F19579" s="7" t="s">
        <v>99</v>
      </c>
      <c r="G19579" s="7" t="s">
        <v>16</v>
      </c>
      <c r="H19579" s="7" t="s">
        <v>16</v>
      </c>
    </row>
    <row r="19580" spans="1:23">
      <c r="A19580" t="s">
        <v>4</v>
      </c>
      <c r="B19580" s="4" t="s">
        <v>5</v>
      </c>
      <c r="C19580" s="4" t="s">
        <v>7</v>
      </c>
      <c r="D19580" s="4" t="s">
        <v>11</v>
      </c>
    </row>
    <row r="19581" spans="1:23">
      <c r="A19581" t="n">
        <v>191135</v>
      </c>
      <c r="B19581" s="23" t="n">
        <v>58</v>
      </c>
      <c r="C19581" s="7" t="n">
        <v>255</v>
      </c>
      <c r="D19581" s="7" t="n">
        <v>0</v>
      </c>
    </row>
    <row r="19582" spans="1:23">
      <c r="A19582" t="s">
        <v>4</v>
      </c>
      <c r="B19582" s="4" t="s">
        <v>5</v>
      </c>
      <c r="C19582" s="4" t="s">
        <v>7</v>
      </c>
      <c r="D19582" s="4" t="s">
        <v>11</v>
      </c>
      <c r="E19582" s="4" t="s">
        <v>8</v>
      </c>
      <c r="F19582" s="4" t="s">
        <v>8</v>
      </c>
      <c r="G19582" s="4" t="s">
        <v>8</v>
      </c>
      <c r="H19582" s="4" t="s">
        <v>8</v>
      </c>
    </row>
    <row r="19583" spans="1:23">
      <c r="A19583" t="n">
        <v>191139</v>
      </c>
      <c r="B19583" s="38" t="n">
        <v>51</v>
      </c>
      <c r="C19583" s="7" t="n">
        <v>3</v>
      </c>
      <c r="D19583" s="7" t="n">
        <v>5</v>
      </c>
      <c r="E19583" s="7" t="s">
        <v>99</v>
      </c>
      <c r="F19583" s="7" t="s">
        <v>99</v>
      </c>
      <c r="G19583" s="7" t="s">
        <v>16</v>
      </c>
      <c r="H19583" s="7" t="s">
        <v>16</v>
      </c>
    </row>
    <row r="19584" spans="1:23">
      <c r="A19584" t="s">
        <v>4</v>
      </c>
      <c r="B19584" s="4" t="s">
        <v>5</v>
      </c>
      <c r="C19584" s="4" t="s">
        <v>11</v>
      </c>
      <c r="D19584" s="4" t="s">
        <v>13</v>
      </c>
      <c r="E19584" s="4" t="s">
        <v>13</v>
      </c>
      <c r="F19584" s="4" t="s">
        <v>13</v>
      </c>
      <c r="G19584" s="4" t="s">
        <v>11</v>
      </c>
      <c r="H19584" s="4" t="s">
        <v>11</v>
      </c>
    </row>
    <row r="19585" spans="1:9">
      <c r="A19585" t="n">
        <v>191149</v>
      </c>
      <c r="B19585" s="37" t="n">
        <v>60</v>
      </c>
      <c r="C19585" s="7" t="n">
        <v>0</v>
      </c>
      <c r="D19585" s="7" t="n">
        <v>0</v>
      </c>
      <c r="E19585" s="7" t="n">
        <v>-10</v>
      </c>
      <c r="F19585" s="7" t="n">
        <v>0</v>
      </c>
      <c r="G19585" s="7" t="n">
        <v>800</v>
      </c>
      <c r="H19585" s="7" t="n">
        <v>0</v>
      </c>
    </row>
    <row r="19586" spans="1:9">
      <c r="A19586" t="s">
        <v>4</v>
      </c>
      <c r="B19586" s="4" t="s">
        <v>5</v>
      </c>
      <c r="C19586" s="4" t="s">
        <v>11</v>
      </c>
    </row>
    <row r="19587" spans="1:9">
      <c r="A19587" t="n">
        <v>191168</v>
      </c>
      <c r="B19587" s="29" t="n">
        <v>16</v>
      </c>
      <c r="C19587" s="7" t="n">
        <v>500</v>
      </c>
    </row>
    <row r="19588" spans="1:9">
      <c r="A19588" t="s">
        <v>4</v>
      </c>
      <c r="B19588" s="4" t="s">
        <v>5</v>
      </c>
      <c r="C19588" s="4" t="s">
        <v>7</v>
      </c>
      <c r="D19588" s="4" t="s">
        <v>11</v>
      </c>
      <c r="E19588" s="4" t="s">
        <v>8</v>
      </c>
    </row>
    <row r="19589" spans="1:9">
      <c r="A19589" t="n">
        <v>191171</v>
      </c>
      <c r="B19589" s="38" t="n">
        <v>51</v>
      </c>
      <c r="C19589" s="7" t="n">
        <v>4</v>
      </c>
      <c r="D19589" s="7" t="n">
        <v>0</v>
      </c>
      <c r="E19589" s="7" t="s">
        <v>752</v>
      </c>
    </row>
    <row r="19590" spans="1:9">
      <c r="A19590" t="s">
        <v>4</v>
      </c>
      <c r="B19590" s="4" t="s">
        <v>5</v>
      </c>
      <c r="C19590" s="4" t="s">
        <v>11</v>
      </c>
    </row>
    <row r="19591" spans="1:9">
      <c r="A19591" t="n">
        <v>191185</v>
      </c>
      <c r="B19591" s="29" t="n">
        <v>16</v>
      </c>
      <c r="C19591" s="7" t="n">
        <v>0</v>
      </c>
    </row>
    <row r="19592" spans="1:9">
      <c r="A19592" t="s">
        <v>4</v>
      </c>
      <c r="B19592" s="4" t="s">
        <v>5</v>
      </c>
      <c r="C19592" s="4" t="s">
        <v>11</v>
      </c>
      <c r="D19592" s="4" t="s">
        <v>7</v>
      </c>
      <c r="E19592" s="4" t="s">
        <v>15</v>
      </c>
      <c r="F19592" s="4" t="s">
        <v>55</v>
      </c>
      <c r="G19592" s="4" t="s">
        <v>7</v>
      </c>
      <c r="H19592" s="4" t="s">
        <v>7</v>
      </c>
      <c r="I19592" s="4" t="s">
        <v>7</v>
      </c>
      <c r="J19592" s="4" t="s">
        <v>15</v>
      </c>
      <c r="K19592" s="4" t="s">
        <v>55</v>
      </c>
      <c r="L19592" s="4" t="s">
        <v>7</v>
      </c>
      <c r="M19592" s="4" t="s">
        <v>7</v>
      </c>
      <c r="N19592" s="4" t="s">
        <v>7</v>
      </c>
      <c r="O19592" s="4" t="s">
        <v>15</v>
      </c>
      <c r="P19592" s="4" t="s">
        <v>55</v>
      </c>
      <c r="Q19592" s="4" t="s">
        <v>7</v>
      </c>
      <c r="R19592" s="4" t="s">
        <v>7</v>
      </c>
    </row>
    <row r="19593" spans="1:9">
      <c r="A19593" t="n">
        <v>191188</v>
      </c>
      <c r="B19593" s="55" t="n">
        <v>26</v>
      </c>
      <c r="C19593" s="7" t="n">
        <v>0</v>
      </c>
      <c r="D19593" s="7" t="n">
        <v>17</v>
      </c>
      <c r="E19593" s="7" t="n">
        <v>64638</v>
      </c>
      <c r="F19593" s="7" t="s">
        <v>1623</v>
      </c>
      <c r="G19593" s="7" t="n">
        <v>2</v>
      </c>
      <c r="H19593" s="7" t="n">
        <v>3</v>
      </c>
      <c r="I19593" s="7" t="n">
        <v>17</v>
      </c>
      <c r="J19593" s="7" t="n">
        <v>64639</v>
      </c>
      <c r="K19593" s="7" t="s">
        <v>1624</v>
      </c>
      <c r="L19593" s="7" t="n">
        <v>2</v>
      </c>
      <c r="M19593" s="7" t="n">
        <v>3</v>
      </c>
      <c r="N19593" s="7" t="n">
        <v>17</v>
      </c>
      <c r="O19593" s="7" t="n">
        <v>64640</v>
      </c>
      <c r="P19593" s="7" t="s">
        <v>1625</v>
      </c>
      <c r="Q19593" s="7" t="n">
        <v>2</v>
      </c>
      <c r="R19593" s="7" t="n">
        <v>0</v>
      </c>
    </row>
    <row r="19594" spans="1:9">
      <c r="A19594" t="s">
        <v>4</v>
      </c>
      <c r="B19594" s="4" t="s">
        <v>5</v>
      </c>
    </row>
    <row r="19595" spans="1:9">
      <c r="A19595" t="n">
        <v>191323</v>
      </c>
      <c r="B19595" s="27" t="n">
        <v>28</v>
      </c>
    </row>
    <row r="19596" spans="1:9">
      <c r="A19596" t="s">
        <v>4</v>
      </c>
      <c r="B19596" s="4" t="s">
        <v>5</v>
      </c>
      <c r="C19596" s="4" t="s">
        <v>7</v>
      </c>
      <c r="D19596" s="4" t="s">
        <v>11</v>
      </c>
      <c r="E19596" s="4" t="s">
        <v>11</v>
      </c>
      <c r="F19596" s="4" t="s">
        <v>7</v>
      </c>
    </row>
    <row r="19597" spans="1:9">
      <c r="A19597" t="n">
        <v>191324</v>
      </c>
      <c r="B19597" s="31" t="n">
        <v>25</v>
      </c>
      <c r="C19597" s="7" t="n">
        <v>1</v>
      </c>
      <c r="D19597" s="7" t="n">
        <v>65535</v>
      </c>
      <c r="E19597" s="7" t="n">
        <v>65535</v>
      </c>
      <c r="F19597" s="7" t="n">
        <v>0</v>
      </c>
    </row>
    <row r="19598" spans="1:9">
      <c r="A19598" t="s">
        <v>4</v>
      </c>
      <c r="B19598" s="4" t="s">
        <v>5</v>
      </c>
      <c r="C19598" s="4" t="s">
        <v>7</v>
      </c>
      <c r="D19598" s="4" t="s">
        <v>11</v>
      </c>
      <c r="E19598" s="4" t="s">
        <v>8</v>
      </c>
    </row>
    <row r="19599" spans="1:9">
      <c r="A19599" t="n">
        <v>191331</v>
      </c>
      <c r="B19599" s="38" t="n">
        <v>51</v>
      </c>
      <c r="C19599" s="7" t="n">
        <v>4</v>
      </c>
      <c r="D19599" s="7" t="n">
        <v>5</v>
      </c>
      <c r="E19599" s="7" t="s">
        <v>1626</v>
      </c>
    </row>
    <row r="19600" spans="1:9">
      <c r="A19600" t="s">
        <v>4</v>
      </c>
      <c r="B19600" s="4" t="s">
        <v>5</v>
      </c>
      <c r="C19600" s="4" t="s">
        <v>11</v>
      </c>
    </row>
    <row r="19601" spans="1:18">
      <c r="A19601" t="n">
        <v>191350</v>
      </c>
      <c r="B19601" s="29" t="n">
        <v>16</v>
      </c>
      <c r="C19601" s="7" t="n">
        <v>0</v>
      </c>
    </row>
    <row r="19602" spans="1:18">
      <c r="A19602" t="s">
        <v>4</v>
      </c>
      <c r="B19602" s="4" t="s">
        <v>5</v>
      </c>
      <c r="C19602" s="4" t="s">
        <v>11</v>
      </c>
      <c r="D19602" s="4" t="s">
        <v>7</v>
      </c>
      <c r="E19602" s="4" t="s">
        <v>15</v>
      </c>
      <c r="F19602" s="4" t="s">
        <v>55</v>
      </c>
      <c r="G19602" s="4" t="s">
        <v>7</v>
      </c>
      <c r="H19602" s="4" t="s">
        <v>7</v>
      </c>
    </row>
    <row r="19603" spans="1:18">
      <c r="A19603" t="n">
        <v>191353</v>
      </c>
      <c r="B19603" s="55" t="n">
        <v>26</v>
      </c>
      <c r="C19603" s="7" t="n">
        <v>5</v>
      </c>
      <c r="D19603" s="7" t="n">
        <v>17</v>
      </c>
      <c r="E19603" s="7" t="n">
        <v>64641</v>
      </c>
      <c r="F19603" s="7" t="s">
        <v>1627</v>
      </c>
      <c r="G19603" s="7" t="n">
        <v>2</v>
      </c>
      <c r="H19603" s="7" t="n">
        <v>0</v>
      </c>
    </row>
    <row r="19604" spans="1:18">
      <c r="A19604" t="s">
        <v>4</v>
      </c>
      <c r="B19604" s="4" t="s">
        <v>5</v>
      </c>
    </row>
    <row r="19605" spans="1:18">
      <c r="A19605" t="n">
        <v>191375</v>
      </c>
      <c r="B19605" s="27" t="n">
        <v>28</v>
      </c>
    </row>
    <row r="19606" spans="1:18">
      <c r="A19606" t="s">
        <v>4</v>
      </c>
      <c r="B19606" s="4" t="s">
        <v>5</v>
      </c>
      <c r="C19606" s="4" t="s">
        <v>11</v>
      </c>
      <c r="D19606" s="4" t="s">
        <v>7</v>
      </c>
    </row>
    <row r="19607" spans="1:18">
      <c r="A19607" t="n">
        <v>191376</v>
      </c>
      <c r="B19607" s="68" t="n">
        <v>89</v>
      </c>
      <c r="C19607" s="7" t="n">
        <v>65533</v>
      </c>
      <c r="D19607" s="7" t="n">
        <v>1</v>
      </c>
    </row>
    <row r="19608" spans="1:18">
      <c r="A19608" t="s">
        <v>4</v>
      </c>
      <c r="B19608" s="4" t="s">
        <v>5</v>
      </c>
      <c r="C19608" s="4" t="s">
        <v>7</v>
      </c>
      <c r="D19608" s="4" t="s">
        <v>11</v>
      </c>
      <c r="E19608" s="4" t="s">
        <v>13</v>
      </c>
    </row>
    <row r="19609" spans="1:18">
      <c r="A19609" t="n">
        <v>191380</v>
      </c>
      <c r="B19609" s="23" t="n">
        <v>58</v>
      </c>
      <c r="C19609" s="7" t="n">
        <v>0</v>
      </c>
      <c r="D19609" s="7" t="n">
        <v>2000</v>
      </c>
      <c r="E19609" s="7" t="n">
        <v>1</v>
      </c>
    </row>
    <row r="19610" spans="1:18">
      <c r="A19610" t="s">
        <v>4</v>
      </c>
      <c r="B19610" s="4" t="s">
        <v>5</v>
      </c>
      <c r="C19610" s="4" t="s">
        <v>7</v>
      </c>
      <c r="D19610" s="4" t="s">
        <v>11</v>
      </c>
    </row>
    <row r="19611" spans="1:18">
      <c r="A19611" t="n">
        <v>191388</v>
      </c>
      <c r="B19611" s="23" t="n">
        <v>58</v>
      </c>
      <c r="C19611" s="7" t="n">
        <v>255</v>
      </c>
      <c r="D19611" s="7" t="n">
        <v>0</v>
      </c>
    </row>
    <row r="19612" spans="1:18">
      <c r="A19612" t="s">
        <v>4</v>
      </c>
      <c r="B19612" s="4" t="s">
        <v>5</v>
      </c>
      <c r="C19612" s="4" t="s">
        <v>11</v>
      </c>
    </row>
    <row r="19613" spans="1:18">
      <c r="A19613" t="n">
        <v>191392</v>
      </c>
      <c r="B19613" s="29" t="n">
        <v>16</v>
      </c>
      <c r="C19613" s="7" t="n">
        <v>1000</v>
      </c>
    </row>
    <row r="19614" spans="1:18">
      <c r="A19614" t="s">
        <v>4</v>
      </c>
      <c r="B19614" s="4" t="s">
        <v>5</v>
      </c>
      <c r="C19614" s="4" t="s">
        <v>7</v>
      </c>
      <c r="D19614" s="4" t="s">
        <v>11</v>
      </c>
      <c r="E19614" s="4" t="s">
        <v>7</v>
      </c>
    </row>
    <row r="19615" spans="1:18">
      <c r="A19615" t="n">
        <v>191395</v>
      </c>
      <c r="B19615" s="40" t="n">
        <v>36</v>
      </c>
      <c r="C19615" s="7" t="n">
        <v>9</v>
      </c>
      <c r="D19615" s="7" t="n">
        <v>0</v>
      </c>
      <c r="E19615" s="7" t="n">
        <v>0</v>
      </c>
    </row>
    <row r="19616" spans="1:18">
      <c r="A19616" t="s">
        <v>4</v>
      </c>
      <c r="B19616" s="4" t="s">
        <v>5</v>
      </c>
      <c r="C19616" s="4" t="s">
        <v>7</v>
      </c>
      <c r="D19616" s="4" t="s">
        <v>11</v>
      </c>
      <c r="E19616" s="4" t="s">
        <v>7</v>
      </c>
    </row>
    <row r="19617" spans="1:8">
      <c r="A19617" t="n">
        <v>191400</v>
      </c>
      <c r="B19617" s="40" t="n">
        <v>36</v>
      </c>
      <c r="C19617" s="7" t="n">
        <v>9</v>
      </c>
      <c r="D19617" s="7" t="n">
        <v>5</v>
      </c>
      <c r="E19617" s="7" t="n">
        <v>0</v>
      </c>
    </row>
    <row r="19618" spans="1:8">
      <c r="A19618" t="s">
        <v>4</v>
      </c>
      <c r="B19618" s="4" t="s">
        <v>5</v>
      </c>
      <c r="C19618" s="4" t="s">
        <v>7</v>
      </c>
      <c r="D19618" s="4" t="s">
        <v>11</v>
      </c>
      <c r="E19618" s="4" t="s">
        <v>8</v>
      </c>
      <c r="F19618" s="4" t="s">
        <v>8</v>
      </c>
      <c r="G19618" s="4" t="s">
        <v>8</v>
      </c>
      <c r="H19618" s="4" t="s">
        <v>8</v>
      </c>
    </row>
    <row r="19619" spans="1:8">
      <c r="A19619" t="n">
        <v>191405</v>
      </c>
      <c r="B19619" s="38" t="n">
        <v>51</v>
      </c>
      <c r="C19619" s="7" t="n">
        <v>3</v>
      </c>
      <c r="D19619" s="7" t="n">
        <v>5</v>
      </c>
      <c r="E19619" s="7" t="s">
        <v>101</v>
      </c>
      <c r="F19619" s="7" t="s">
        <v>87</v>
      </c>
      <c r="G19619" s="7" t="s">
        <v>16</v>
      </c>
      <c r="H19619" s="7" t="s">
        <v>79</v>
      </c>
    </row>
    <row r="19620" spans="1:8">
      <c r="A19620" t="s">
        <v>4</v>
      </c>
      <c r="B19620" s="4" t="s">
        <v>5</v>
      </c>
      <c r="C19620" s="4" t="s">
        <v>7</v>
      </c>
      <c r="D19620" s="4" t="s">
        <v>11</v>
      </c>
      <c r="E19620" s="4" t="s">
        <v>8</v>
      </c>
      <c r="F19620" s="4" t="s">
        <v>8</v>
      </c>
      <c r="G19620" s="4" t="s">
        <v>8</v>
      </c>
      <c r="H19620" s="4" t="s">
        <v>8</v>
      </c>
    </row>
    <row r="19621" spans="1:8">
      <c r="A19621" t="n">
        <v>191432</v>
      </c>
      <c r="B19621" s="38" t="n">
        <v>51</v>
      </c>
      <c r="C19621" s="7" t="n">
        <v>3</v>
      </c>
      <c r="D19621" s="7" t="n">
        <v>0</v>
      </c>
      <c r="E19621" s="7" t="s">
        <v>101</v>
      </c>
      <c r="F19621" s="7" t="s">
        <v>87</v>
      </c>
      <c r="G19621" s="7" t="s">
        <v>78</v>
      </c>
      <c r="H19621" s="7" t="s">
        <v>79</v>
      </c>
    </row>
    <row r="19622" spans="1:8">
      <c r="A19622" t="s">
        <v>4</v>
      </c>
      <c r="B19622" s="4" t="s">
        <v>5</v>
      </c>
      <c r="C19622" s="4" t="s">
        <v>11</v>
      </c>
    </row>
    <row r="19623" spans="1:8">
      <c r="A19623" t="n">
        <v>191461</v>
      </c>
      <c r="B19623" s="43" t="n">
        <v>12</v>
      </c>
      <c r="C19623" s="7" t="n">
        <v>10312</v>
      </c>
    </row>
    <row r="19624" spans="1:8">
      <c r="A19624" t="s">
        <v>4</v>
      </c>
      <c r="B19624" s="4" t="s">
        <v>5</v>
      </c>
      <c r="C19624" s="4" t="s">
        <v>7</v>
      </c>
      <c r="D19624" s="4" t="s">
        <v>8</v>
      </c>
    </row>
    <row r="19625" spans="1:8">
      <c r="A19625" t="n">
        <v>191464</v>
      </c>
      <c r="B19625" s="6" t="n">
        <v>2</v>
      </c>
      <c r="C19625" s="7" t="n">
        <v>11</v>
      </c>
      <c r="D19625" s="7" t="s">
        <v>37</v>
      </c>
    </row>
    <row r="19626" spans="1:8">
      <c r="A19626" t="s">
        <v>4</v>
      </c>
      <c r="B19626" s="4" t="s">
        <v>5</v>
      </c>
      <c r="C19626" s="4" t="s">
        <v>11</v>
      </c>
      <c r="D19626" s="4" t="s">
        <v>13</v>
      </c>
      <c r="E19626" s="4" t="s">
        <v>13</v>
      </c>
      <c r="F19626" s="4" t="s">
        <v>13</v>
      </c>
      <c r="G19626" s="4" t="s">
        <v>13</v>
      </c>
    </row>
    <row r="19627" spans="1:8">
      <c r="A19627" t="n">
        <v>191488</v>
      </c>
      <c r="B19627" s="36" t="n">
        <v>46</v>
      </c>
      <c r="C19627" s="7" t="n">
        <v>61456</v>
      </c>
      <c r="D19627" s="7" t="n">
        <v>-19.2800006866455</v>
      </c>
      <c r="E19627" s="7" t="n">
        <v>10.0100002288818</v>
      </c>
      <c r="F19627" s="7" t="n">
        <v>57.8699989318848</v>
      </c>
      <c r="G19627" s="7" t="n">
        <v>86.5</v>
      </c>
    </row>
    <row r="19628" spans="1:8">
      <c r="A19628" t="s">
        <v>4</v>
      </c>
      <c r="B19628" s="4" t="s">
        <v>5</v>
      </c>
      <c r="C19628" s="4" t="s">
        <v>7</v>
      </c>
      <c r="D19628" s="4" t="s">
        <v>7</v>
      </c>
      <c r="E19628" s="4" t="s">
        <v>13</v>
      </c>
      <c r="F19628" s="4" t="s">
        <v>13</v>
      </c>
      <c r="G19628" s="4" t="s">
        <v>13</v>
      </c>
      <c r="H19628" s="4" t="s">
        <v>11</v>
      </c>
      <c r="I19628" s="4" t="s">
        <v>7</v>
      </c>
    </row>
    <row r="19629" spans="1:8">
      <c r="A19629" t="n">
        <v>191507</v>
      </c>
      <c r="B19629" s="51" t="n">
        <v>45</v>
      </c>
      <c r="C19629" s="7" t="n">
        <v>4</v>
      </c>
      <c r="D19629" s="7" t="n">
        <v>3</v>
      </c>
      <c r="E19629" s="7" t="n">
        <v>7</v>
      </c>
      <c r="F19629" s="7" t="n">
        <v>111.430000305176</v>
      </c>
      <c r="G19629" s="7" t="n">
        <v>0</v>
      </c>
      <c r="H19629" s="7" t="n">
        <v>0</v>
      </c>
      <c r="I19629" s="7" t="n">
        <v>0</v>
      </c>
    </row>
    <row r="19630" spans="1:8">
      <c r="A19630" t="s">
        <v>4</v>
      </c>
      <c r="B19630" s="4" t="s">
        <v>5</v>
      </c>
      <c r="C19630" s="4" t="s">
        <v>7</v>
      </c>
      <c r="D19630" s="4" t="s">
        <v>8</v>
      </c>
    </row>
    <row r="19631" spans="1:8">
      <c r="A19631" t="n">
        <v>191525</v>
      </c>
      <c r="B19631" s="6" t="n">
        <v>2</v>
      </c>
      <c r="C19631" s="7" t="n">
        <v>10</v>
      </c>
      <c r="D19631" s="7" t="s">
        <v>119</v>
      </c>
    </row>
    <row r="19632" spans="1:8">
      <c r="A19632" t="s">
        <v>4</v>
      </c>
      <c r="B19632" s="4" t="s">
        <v>5</v>
      </c>
      <c r="C19632" s="4" t="s">
        <v>11</v>
      </c>
    </row>
    <row r="19633" spans="1:9">
      <c r="A19633" t="n">
        <v>191540</v>
      </c>
      <c r="B19633" s="29" t="n">
        <v>16</v>
      </c>
      <c r="C19633" s="7" t="n">
        <v>0</v>
      </c>
    </row>
    <row r="19634" spans="1:9">
      <c r="A19634" t="s">
        <v>4</v>
      </c>
      <c r="B19634" s="4" t="s">
        <v>5</v>
      </c>
      <c r="C19634" s="4" t="s">
        <v>7</v>
      </c>
      <c r="D19634" s="4" t="s">
        <v>11</v>
      </c>
    </row>
    <row r="19635" spans="1:9">
      <c r="A19635" t="n">
        <v>191543</v>
      </c>
      <c r="B19635" s="23" t="n">
        <v>58</v>
      </c>
      <c r="C19635" s="7" t="n">
        <v>105</v>
      </c>
      <c r="D19635" s="7" t="n">
        <v>300</v>
      </c>
    </row>
    <row r="19636" spans="1:9">
      <c r="A19636" t="s">
        <v>4</v>
      </c>
      <c r="B19636" s="4" t="s">
        <v>5</v>
      </c>
      <c r="C19636" s="4" t="s">
        <v>13</v>
      </c>
      <c r="D19636" s="4" t="s">
        <v>11</v>
      </c>
    </row>
    <row r="19637" spans="1:9">
      <c r="A19637" t="n">
        <v>191547</v>
      </c>
      <c r="B19637" s="46" t="n">
        <v>103</v>
      </c>
      <c r="C19637" s="7" t="n">
        <v>1</v>
      </c>
      <c r="D19637" s="7" t="n">
        <v>300</v>
      </c>
    </row>
    <row r="19638" spans="1:9">
      <c r="A19638" t="s">
        <v>4</v>
      </c>
      <c r="B19638" s="4" t="s">
        <v>5</v>
      </c>
      <c r="C19638" s="4" t="s">
        <v>7</v>
      </c>
      <c r="D19638" s="4" t="s">
        <v>11</v>
      </c>
    </row>
    <row r="19639" spans="1:9">
      <c r="A19639" t="n">
        <v>191554</v>
      </c>
      <c r="B19639" s="48" t="n">
        <v>72</v>
      </c>
      <c r="C19639" s="7" t="n">
        <v>4</v>
      </c>
      <c r="D19639" s="7" t="n">
        <v>0</v>
      </c>
    </row>
    <row r="19640" spans="1:9">
      <c r="A19640" t="s">
        <v>4</v>
      </c>
      <c r="B19640" s="4" t="s">
        <v>5</v>
      </c>
      <c r="C19640" s="4" t="s">
        <v>15</v>
      </c>
    </row>
    <row r="19641" spans="1:9">
      <c r="A19641" t="n">
        <v>191558</v>
      </c>
      <c r="B19641" s="61" t="n">
        <v>15</v>
      </c>
      <c r="C19641" s="7" t="n">
        <v>1073741824</v>
      </c>
    </row>
    <row r="19642" spans="1:9">
      <c r="A19642" t="s">
        <v>4</v>
      </c>
      <c r="B19642" s="4" t="s">
        <v>5</v>
      </c>
      <c r="C19642" s="4" t="s">
        <v>7</v>
      </c>
    </row>
    <row r="19643" spans="1:9">
      <c r="A19643" t="n">
        <v>191563</v>
      </c>
      <c r="B19643" s="47" t="n">
        <v>64</v>
      </c>
      <c r="C19643" s="7" t="n">
        <v>3</v>
      </c>
    </row>
    <row r="19644" spans="1:9">
      <c r="A19644" t="s">
        <v>4</v>
      </c>
      <c r="B19644" s="4" t="s">
        <v>5</v>
      </c>
      <c r="C19644" s="4" t="s">
        <v>7</v>
      </c>
    </row>
    <row r="19645" spans="1:9">
      <c r="A19645" t="n">
        <v>191565</v>
      </c>
      <c r="B19645" s="45" t="n">
        <v>74</v>
      </c>
      <c r="C19645" s="7" t="n">
        <v>67</v>
      </c>
    </row>
    <row r="19646" spans="1:9">
      <c r="A19646" t="s">
        <v>4</v>
      </c>
      <c r="B19646" s="4" t="s">
        <v>5</v>
      </c>
      <c r="C19646" s="4" t="s">
        <v>7</v>
      </c>
      <c r="D19646" s="4" t="s">
        <v>7</v>
      </c>
      <c r="E19646" s="4" t="s">
        <v>11</v>
      </c>
    </row>
    <row r="19647" spans="1:9">
      <c r="A19647" t="n">
        <v>191567</v>
      </c>
      <c r="B19647" s="51" t="n">
        <v>45</v>
      </c>
      <c r="C19647" s="7" t="n">
        <v>8</v>
      </c>
      <c r="D19647" s="7" t="n">
        <v>1</v>
      </c>
      <c r="E19647" s="7" t="n">
        <v>0</v>
      </c>
    </row>
    <row r="19648" spans="1:9">
      <c r="A19648" t="s">
        <v>4</v>
      </c>
      <c r="B19648" s="4" t="s">
        <v>5</v>
      </c>
      <c r="C19648" s="4" t="s">
        <v>11</v>
      </c>
    </row>
    <row r="19649" spans="1:5">
      <c r="A19649" t="n">
        <v>191572</v>
      </c>
      <c r="B19649" s="12" t="n">
        <v>13</v>
      </c>
      <c r="C19649" s="7" t="n">
        <v>6409</v>
      </c>
    </row>
    <row r="19650" spans="1:5">
      <c r="A19650" t="s">
        <v>4</v>
      </c>
      <c r="B19650" s="4" t="s">
        <v>5</v>
      </c>
      <c r="C19650" s="4" t="s">
        <v>11</v>
      </c>
    </row>
    <row r="19651" spans="1:5">
      <c r="A19651" t="n">
        <v>191575</v>
      </c>
      <c r="B19651" s="12" t="n">
        <v>13</v>
      </c>
      <c r="C19651" s="7" t="n">
        <v>6408</v>
      </c>
    </row>
    <row r="19652" spans="1:5">
      <c r="A19652" t="s">
        <v>4</v>
      </c>
      <c r="B19652" s="4" t="s">
        <v>5</v>
      </c>
      <c r="C19652" s="4" t="s">
        <v>11</v>
      </c>
    </row>
    <row r="19653" spans="1:5">
      <c r="A19653" t="n">
        <v>191578</v>
      </c>
      <c r="B19653" s="43" t="n">
        <v>12</v>
      </c>
      <c r="C19653" s="7" t="n">
        <v>6464</v>
      </c>
    </row>
    <row r="19654" spans="1:5">
      <c r="A19654" t="s">
        <v>4</v>
      </c>
      <c r="B19654" s="4" t="s">
        <v>5</v>
      </c>
      <c r="C19654" s="4" t="s">
        <v>11</v>
      </c>
    </row>
    <row r="19655" spans="1:5">
      <c r="A19655" t="n">
        <v>191581</v>
      </c>
      <c r="B19655" s="12" t="n">
        <v>13</v>
      </c>
      <c r="C19655" s="7" t="n">
        <v>6465</v>
      </c>
    </row>
    <row r="19656" spans="1:5">
      <c r="A19656" t="s">
        <v>4</v>
      </c>
      <c r="B19656" s="4" t="s">
        <v>5</v>
      </c>
      <c r="C19656" s="4" t="s">
        <v>11</v>
      </c>
    </row>
    <row r="19657" spans="1:5">
      <c r="A19657" t="n">
        <v>191584</v>
      </c>
      <c r="B19657" s="12" t="n">
        <v>13</v>
      </c>
      <c r="C19657" s="7" t="n">
        <v>6466</v>
      </c>
    </row>
    <row r="19658" spans="1:5">
      <c r="A19658" t="s">
        <v>4</v>
      </c>
      <c r="B19658" s="4" t="s">
        <v>5</v>
      </c>
      <c r="C19658" s="4" t="s">
        <v>11</v>
      </c>
    </row>
    <row r="19659" spans="1:5">
      <c r="A19659" t="n">
        <v>191587</v>
      </c>
      <c r="B19659" s="12" t="n">
        <v>13</v>
      </c>
      <c r="C19659" s="7" t="n">
        <v>6467</v>
      </c>
    </row>
    <row r="19660" spans="1:5">
      <c r="A19660" t="s">
        <v>4</v>
      </c>
      <c r="B19660" s="4" t="s">
        <v>5</v>
      </c>
      <c r="C19660" s="4" t="s">
        <v>11</v>
      </c>
    </row>
    <row r="19661" spans="1:5">
      <c r="A19661" t="n">
        <v>191590</v>
      </c>
      <c r="B19661" s="12" t="n">
        <v>13</v>
      </c>
      <c r="C19661" s="7" t="n">
        <v>6468</v>
      </c>
    </row>
    <row r="19662" spans="1:5">
      <c r="A19662" t="s">
        <v>4</v>
      </c>
      <c r="B19662" s="4" t="s">
        <v>5</v>
      </c>
      <c r="C19662" s="4" t="s">
        <v>11</v>
      </c>
    </row>
    <row r="19663" spans="1:5">
      <c r="A19663" t="n">
        <v>191593</v>
      </c>
      <c r="B19663" s="12" t="n">
        <v>13</v>
      </c>
      <c r="C19663" s="7" t="n">
        <v>6469</v>
      </c>
    </row>
    <row r="19664" spans="1:5">
      <c r="A19664" t="s">
        <v>4</v>
      </c>
      <c r="B19664" s="4" t="s">
        <v>5</v>
      </c>
      <c r="C19664" s="4" t="s">
        <v>11</v>
      </c>
    </row>
    <row r="19665" spans="1:3">
      <c r="A19665" t="n">
        <v>191596</v>
      </c>
      <c r="B19665" s="12" t="n">
        <v>13</v>
      </c>
      <c r="C19665" s="7" t="n">
        <v>6470</v>
      </c>
    </row>
    <row r="19666" spans="1:3">
      <c r="A19666" t="s">
        <v>4</v>
      </c>
      <c r="B19666" s="4" t="s">
        <v>5</v>
      </c>
      <c r="C19666" s="4" t="s">
        <v>11</v>
      </c>
    </row>
    <row r="19667" spans="1:3">
      <c r="A19667" t="n">
        <v>191599</v>
      </c>
      <c r="B19667" s="12" t="n">
        <v>13</v>
      </c>
      <c r="C19667" s="7" t="n">
        <v>6471</v>
      </c>
    </row>
    <row r="19668" spans="1:3">
      <c r="A19668" t="s">
        <v>4</v>
      </c>
      <c r="B19668" s="4" t="s">
        <v>5</v>
      </c>
      <c r="C19668" s="4" t="s">
        <v>7</v>
      </c>
    </row>
    <row r="19669" spans="1:3">
      <c r="A19669" t="n">
        <v>191602</v>
      </c>
      <c r="B19669" s="45" t="n">
        <v>74</v>
      </c>
      <c r="C19669" s="7" t="n">
        <v>18</v>
      </c>
    </row>
    <row r="19670" spans="1:3">
      <c r="A19670" t="s">
        <v>4</v>
      </c>
      <c r="B19670" s="4" t="s">
        <v>5</v>
      </c>
      <c r="C19670" s="4" t="s">
        <v>7</v>
      </c>
    </row>
    <row r="19671" spans="1:3">
      <c r="A19671" t="n">
        <v>191604</v>
      </c>
      <c r="B19671" s="45" t="n">
        <v>74</v>
      </c>
      <c r="C19671" s="7" t="n">
        <v>45</v>
      </c>
    </row>
    <row r="19672" spans="1:3">
      <c r="A19672" t="s">
        <v>4</v>
      </c>
      <c r="B19672" s="4" t="s">
        <v>5</v>
      </c>
      <c r="C19672" s="4" t="s">
        <v>11</v>
      </c>
    </row>
    <row r="19673" spans="1:3">
      <c r="A19673" t="n">
        <v>191606</v>
      </c>
      <c r="B19673" s="29" t="n">
        <v>16</v>
      </c>
      <c r="C19673" s="7" t="n">
        <v>0</v>
      </c>
    </row>
    <row r="19674" spans="1:3">
      <c r="A19674" t="s">
        <v>4</v>
      </c>
      <c r="B19674" s="4" t="s">
        <v>5</v>
      </c>
      <c r="C19674" s="4" t="s">
        <v>7</v>
      </c>
      <c r="D19674" s="4" t="s">
        <v>7</v>
      </c>
      <c r="E19674" s="4" t="s">
        <v>7</v>
      </c>
      <c r="F19674" s="4" t="s">
        <v>7</v>
      </c>
    </row>
    <row r="19675" spans="1:3">
      <c r="A19675" t="n">
        <v>191609</v>
      </c>
      <c r="B19675" s="9" t="n">
        <v>14</v>
      </c>
      <c r="C19675" s="7" t="n">
        <v>0</v>
      </c>
      <c r="D19675" s="7" t="n">
        <v>8</v>
      </c>
      <c r="E19675" s="7" t="n">
        <v>0</v>
      </c>
      <c r="F19675" s="7" t="n">
        <v>0</v>
      </c>
    </row>
    <row r="19676" spans="1:3">
      <c r="A19676" t="s">
        <v>4</v>
      </c>
      <c r="B19676" s="4" t="s">
        <v>5</v>
      </c>
      <c r="C19676" s="4" t="s">
        <v>7</v>
      </c>
      <c r="D19676" s="4" t="s">
        <v>8</v>
      </c>
    </row>
    <row r="19677" spans="1:3">
      <c r="A19677" t="n">
        <v>191614</v>
      </c>
      <c r="B19677" s="6" t="n">
        <v>2</v>
      </c>
      <c r="C19677" s="7" t="n">
        <v>11</v>
      </c>
      <c r="D19677" s="7" t="s">
        <v>14</v>
      </c>
    </row>
    <row r="19678" spans="1:3">
      <c r="A19678" t="s">
        <v>4</v>
      </c>
      <c r="B19678" s="4" t="s">
        <v>5</v>
      </c>
      <c r="C19678" s="4" t="s">
        <v>11</v>
      </c>
    </row>
    <row r="19679" spans="1:3">
      <c r="A19679" t="n">
        <v>191628</v>
      </c>
      <c r="B19679" s="29" t="n">
        <v>16</v>
      </c>
      <c r="C19679" s="7" t="n">
        <v>0</v>
      </c>
    </row>
    <row r="19680" spans="1:3">
      <c r="A19680" t="s">
        <v>4</v>
      </c>
      <c r="B19680" s="4" t="s">
        <v>5</v>
      </c>
      <c r="C19680" s="4" t="s">
        <v>7</v>
      </c>
      <c r="D19680" s="4" t="s">
        <v>8</v>
      </c>
    </row>
    <row r="19681" spans="1:6">
      <c r="A19681" t="n">
        <v>191631</v>
      </c>
      <c r="B19681" s="6" t="n">
        <v>2</v>
      </c>
      <c r="C19681" s="7" t="n">
        <v>11</v>
      </c>
      <c r="D19681" s="7" t="s">
        <v>120</v>
      </c>
    </row>
    <row r="19682" spans="1:6">
      <c r="A19682" t="s">
        <v>4</v>
      </c>
      <c r="B19682" s="4" t="s">
        <v>5</v>
      </c>
      <c r="C19682" s="4" t="s">
        <v>11</v>
      </c>
    </row>
    <row r="19683" spans="1:6">
      <c r="A19683" t="n">
        <v>191640</v>
      </c>
      <c r="B19683" s="29" t="n">
        <v>16</v>
      </c>
      <c r="C19683" s="7" t="n">
        <v>0</v>
      </c>
    </row>
    <row r="19684" spans="1:6">
      <c r="A19684" t="s">
        <v>4</v>
      </c>
      <c r="B19684" s="4" t="s">
        <v>5</v>
      </c>
      <c r="C19684" s="4" t="s">
        <v>15</v>
      </c>
    </row>
    <row r="19685" spans="1:6">
      <c r="A19685" t="n">
        <v>191643</v>
      </c>
      <c r="B19685" s="61" t="n">
        <v>15</v>
      </c>
      <c r="C19685" s="7" t="n">
        <v>2048</v>
      </c>
    </row>
    <row r="19686" spans="1:6">
      <c r="A19686" t="s">
        <v>4</v>
      </c>
      <c r="B19686" s="4" t="s">
        <v>5</v>
      </c>
      <c r="C19686" s="4" t="s">
        <v>7</v>
      </c>
      <c r="D19686" s="4" t="s">
        <v>8</v>
      </c>
    </row>
    <row r="19687" spans="1:6">
      <c r="A19687" t="n">
        <v>191648</v>
      </c>
      <c r="B19687" s="6" t="n">
        <v>2</v>
      </c>
      <c r="C19687" s="7" t="n">
        <v>10</v>
      </c>
      <c r="D19687" s="7" t="s">
        <v>52</v>
      </c>
    </row>
    <row r="19688" spans="1:6">
      <c r="A19688" t="s">
        <v>4</v>
      </c>
      <c r="B19688" s="4" t="s">
        <v>5</v>
      </c>
      <c r="C19688" s="4" t="s">
        <v>11</v>
      </c>
    </row>
    <row r="19689" spans="1:6">
      <c r="A19689" t="n">
        <v>191666</v>
      </c>
      <c r="B19689" s="29" t="n">
        <v>16</v>
      </c>
      <c r="C19689" s="7" t="n">
        <v>0</v>
      </c>
    </row>
    <row r="19690" spans="1:6">
      <c r="A19690" t="s">
        <v>4</v>
      </c>
      <c r="B19690" s="4" t="s">
        <v>5</v>
      </c>
      <c r="C19690" s="4" t="s">
        <v>7</v>
      </c>
      <c r="D19690" s="4" t="s">
        <v>8</v>
      </c>
    </row>
    <row r="19691" spans="1:6">
      <c r="A19691" t="n">
        <v>191669</v>
      </c>
      <c r="B19691" s="6" t="n">
        <v>2</v>
      </c>
      <c r="C19691" s="7" t="n">
        <v>10</v>
      </c>
      <c r="D19691" s="7" t="s">
        <v>53</v>
      </c>
    </row>
    <row r="19692" spans="1:6">
      <c r="A19692" t="s">
        <v>4</v>
      </c>
      <c r="B19692" s="4" t="s">
        <v>5</v>
      </c>
      <c r="C19692" s="4" t="s">
        <v>11</v>
      </c>
    </row>
    <row r="19693" spans="1:6">
      <c r="A19693" t="n">
        <v>191688</v>
      </c>
      <c r="B19693" s="29" t="n">
        <v>16</v>
      </c>
      <c r="C19693" s="7" t="n">
        <v>0</v>
      </c>
    </row>
    <row r="19694" spans="1:6">
      <c r="A19694" t="s">
        <v>4</v>
      </c>
      <c r="B19694" s="4" t="s">
        <v>5</v>
      </c>
      <c r="C19694" s="4" t="s">
        <v>7</v>
      </c>
      <c r="D19694" s="4" t="s">
        <v>11</v>
      </c>
      <c r="E19694" s="4" t="s">
        <v>13</v>
      </c>
    </row>
    <row r="19695" spans="1:6">
      <c r="A19695" t="n">
        <v>191691</v>
      </c>
      <c r="B19695" s="23" t="n">
        <v>58</v>
      </c>
      <c r="C19695" s="7" t="n">
        <v>100</v>
      </c>
      <c r="D19695" s="7" t="n">
        <v>300</v>
      </c>
      <c r="E19695" s="7" t="n">
        <v>1</v>
      </c>
    </row>
    <row r="19696" spans="1:6">
      <c r="A19696" t="s">
        <v>4</v>
      </c>
      <c r="B19696" s="4" t="s">
        <v>5</v>
      </c>
      <c r="C19696" s="4" t="s">
        <v>7</v>
      </c>
      <c r="D19696" s="4" t="s">
        <v>11</v>
      </c>
    </row>
    <row r="19697" spans="1:5">
      <c r="A19697" t="n">
        <v>191699</v>
      </c>
      <c r="B19697" s="23" t="n">
        <v>58</v>
      </c>
      <c r="C19697" s="7" t="n">
        <v>255</v>
      </c>
      <c r="D19697" s="7" t="n">
        <v>0</v>
      </c>
    </row>
    <row r="19698" spans="1:5">
      <c r="A19698" t="s">
        <v>4</v>
      </c>
      <c r="B19698" s="4" t="s">
        <v>5</v>
      </c>
      <c r="C19698" s="4" t="s">
        <v>7</v>
      </c>
    </row>
    <row r="19699" spans="1:5">
      <c r="A19699" t="n">
        <v>191703</v>
      </c>
      <c r="B19699" s="30" t="n">
        <v>23</v>
      </c>
      <c r="C19699" s="7" t="n">
        <v>0</v>
      </c>
    </row>
    <row r="19700" spans="1:5">
      <c r="A19700" t="s">
        <v>4</v>
      </c>
      <c r="B19700" s="4" t="s">
        <v>5</v>
      </c>
    </row>
    <row r="19701" spans="1:5">
      <c r="A19701" t="n">
        <v>191705</v>
      </c>
      <c r="B19701" s="5" t="n">
        <v>1</v>
      </c>
    </row>
    <row r="19702" spans="1:5" s="3" customFormat="1" customHeight="0">
      <c r="A19702" s="3" t="s">
        <v>2</v>
      </c>
      <c r="B19702" s="3" t="s">
        <v>1628</v>
      </c>
    </row>
    <row r="19703" spans="1:5">
      <c r="A19703" t="s">
        <v>4</v>
      </c>
      <c r="B19703" s="4" t="s">
        <v>5</v>
      </c>
      <c r="C19703" s="4" t="s">
        <v>7</v>
      </c>
      <c r="D19703" s="4" t="s">
        <v>7</v>
      </c>
      <c r="E19703" s="4" t="s">
        <v>7</v>
      </c>
      <c r="F19703" s="4" t="s">
        <v>7</v>
      </c>
    </row>
    <row r="19704" spans="1:5">
      <c r="A19704" t="n">
        <v>191708</v>
      </c>
      <c r="B19704" s="9" t="n">
        <v>14</v>
      </c>
      <c r="C19704" s="7" t="n">
        <v>2</v>
      </c>
      <c r="D19704" s="7" t="n">
        <v>0</v>
      </c>
      <c r="E19704" s="7" t="n">
        <v>0</v>
      </c>
      <c r="F19704" s="7" t="n">
        <v>0</v>
      </c>
    </row>
    <row r="19705" spans="1:5">
      <c r="A19705" t="s">
        <v>4</v>
      </c>
      <c r="B19705" s="4" t="s">
        <v>5</v>
      </c>
      <c r="C19705" s="4" t="s">
        <v>7</v>
      </c>
      <c r="D19705" s="20" t="s">
        <v>35</v>
      </c>
      <c r="E19705" s="4" t="s">
        <v>5</v>
      </c>
      <c r="F19705" s="4" t="s">
        <v>7</v>
      </c>
      <c r="G19705" s="4" t="s">
        <v>11</v>
      </c>
      <c r="H19705" s="20" t="s">
        <v>36</v>
      </c>
      <c r="I19705" s="4" t="s">
        <v>7</v>
      </c>
      <c r="J19705" s="4" t="s">
        <v>15</v>
      </c>
      <c r="K19705" s="4" t="s">
        <v>7</v>
      </c>
      <c r="L19705" s="4" t="s">
        <v>7</v>
      </c>
      <c r="M19705" s="20" t="s">
        <v>35</v>
      </c>
      <c r="N19705" s="4" t="s">
        <v>5</v>
      </c>
      <c r="O19705" s="4" t="s">
        <v>7</v>
      </c>
      <c r="P19705" s="4" t="s">
        <v>11</v>
      </c>
      <c r="Q19705" s="20" t="s">
        <v>36</v>
      </c>
      <c r="R19705" s="4" t="s">
        <v>7</v>
      </c>
      <c r="S19705" s="4" t="s">
        <v>15</v>
      </c>
      <c r="T19705" s="4" t="s">
        <v>7</v>
      </c>
      <c r="U19705" s="4" t="s">
        <v>7</v>
      </c>
      <c r="V19705" s="4" t="s">
        <v>7</v>
      </c>
      <c r="W19705" s="4" t="s">
        <v>12</v>
      </c>
    </row>
    <row r="19706" spans="1:5">
      <c r="A19706" t="n">
        <v>191713</v>
      </c>
      <c r="B19706" s="10" t="n">
        <v>5</v>
      </c>
      <c r="C19706" s="7" t="n">
        <v>28</v>
      </c>
      <c r="D19706" s="20" t="s">
        <v>3</v>
      </c>
      <c r="E19706" s="8" t="n">
        <v>162</v>
      </c>
      <c r="F19706" s="7" t="n">
        <v>3</v>
      </c>
      <c r="G19706" s="7" t="n">
        <v>33159</v>
      </c>
      <c r="H19706" s="20" t="s">
        <v>3</v>
      </c>
      <c r="I19706" s="7" t="n">
        <v>0</v>
      </c>
      <c r="J19706" s="7" t="n">
        <v>1</v>
      </c>
      <c r="K19706" s="7" t="n">
        <v>2</v>
      </c>
      <c r="L19706" s="7" t="n">
        <v>28</v>
      </c>
      <c r="M19706" s="20" t="s">
        <v>3</v>
      </c>
      <c r="N19706" s="8" t="n">
        <v>162</v>
      </c>
      <c r="O19706" s="7" t="n">
        <v>3</v>
      </c>
      <c r="P19706" s="7" t="n">
        <v>33159</v>
      </c>
      <c r="Q19706" s="20" t="s">
        <v>3</v>
      </c>
      <c r="R19706" s="7" t="n">
        <v>0</v>
      </c>
      <c r="S19706" s="7" t="n">
        <v>2</v>
      </c>
      <c r="T19706" s="7" t="n">
        <v>2</v>
      </c>
      <c r="U19706" s="7" t="n">
        <v>11</v>
      </c>
      <c r="V19706" s="7" t="n">
        <v>1</v>
      </c>
      <c r="W19706" s="11" t="n">
        <f t="normal" ca="1">A19710</f>
        <v>0</v>
      </c>
    </row>
    <row r="19707" spans="1:5">
      <c r="A19707" t="s">
        <v>4</v>
      </c>
      <c r="B19707" s="4" t="s">
        <v>5</v>
      </c>
      <c r="C19707" s="4" t="s">
        <v>7</v>
      </c>
      <c r="D19707" s="4" t="s">
        <v>11</v>
      </c>
      <c r="E19707" s="4" t="s">
        <v>13</v>
      </c>
    </row>
    <row r="19708" spans="1:5">
      <c r="A19708" t="n">
        <v>191742</v>
      </c>
      <c r="B19708" s="23" t="n">
        <v>58</v>
      </c>
      <c r="C19708" s="7" t="n">
        <v>0</v>
      </c>
      <c r="D19708" s="7" t="n">
        <v>0</v>
      </c>
      <c r="E19708" s="7" t="n">
        <v>1</v>
      </c>
    </row>
    <row r="19709" spans="1:5">
      <c r="A19709" t="s">
        <v>4</v>
      </c>
      <c r="B19709" s="4" t="s">
        <v>5</v>
      </c>
      <c r="C19709" s="4" t="s">
        <v>7</v>
      </c>
      <c r="D19709" s="20" t="s">
        <v>35</v>
      </c>
      <c r="E19709" s="4" t="s">
        <v>5</v>
      </c>
      <c r="F19709" s="4" t="s">
        <v>7</v>
      </c>
      <c r="G19709" s="4" t="s">
        <v>11</v>
      </c>
      <c r="H19709" s="20" t="s">
        <v>36</v>
      </c>
      <c r="I19709" s="4" t="s">
        <v>7</v>
      </c>
      <c r="J19709" s="4" t="s">
        <v>15</v>
      </c>
      <c r="K19709" s="4" t="s">
        <v>7</v>
      </c>
      <c r="L19709" s="4" t="s">
        <v>7</v>
      </c>
      <c r="M19709" s="20" t="s">
        <v>35</v>
      </c>
      <c r="N19709" s="4" t="s">
        <v>5</v>
      </c>
      <c r="O19709" s="4" t="s">
        <v>7</v>
      </c>
      <c r="P19709" s="4" t="s">
        <v>11</v>
      </c>
      <c r="Q19709" s="20" t="s">
        <v>36</v>
      </c>
      <c r="R19709" s="4" t="s">
        <v>7</v>
      </c>
      <c r="S19709" s="4" t="s">
        <v>15</v>
      </c>
      <c r="T19709" s="4" t="s">
        <v>7</v>
      </c>
      <c r="U19709" s="4" t="s">
        <v>7</v>
      </c>
      <c r="V19709" s="4" t="s">
        <v>7</v>
      </c>
      <c r="W19709" s="4" t="s">
        <v>12</v>
      </c>
    </row>
    <row r="19710" spans="1:5">
      <c r="A19710" t="n">
        <v>191750</v>
      </c>
      <c r="B19710" s="10" t="n">
        <v>5</v>
      </c>
      <c r="C19710" s="7" t="n">
        <v>28</v>
      </c>
      <c r="D19710" s="20" t="s">
        <v>3</v>
      </c>
      <c r="E19710" s="8" t="n">
        <v>162</v>
      </c>
      <c r="F19710" s="7" t="n">
        <v>3</v>
      </c>
      <c r="G19710" s="7" t="n">
        <v>33159</v>
      </c>
      <c r="H19710" s="20" t="s">
        <v>3</v>
      </c>
      <c r="I19710" s="7" t="n">
        <v>0</v>
      </c>
      <c r="J19710" s="7" t="n">
        <v>1</v>
      </c>
      <c r="K19710" s="7" t="n">
        <v>3</v>
      </c>
      <c r="L19710" s="7" t="n">
        <v>28</v>
      </c>
      <c r="M19710" s="20" t="s">
        <v>3</v>
      </c>
      <c r="N19710" s="8" t="n">
        <v>162</v>
      </c>
      <c r="O19710" s="7" t="n">
        <v>3</v>
      </c>
      <c r="P19710" s="7" t="n">
        <v>33159</v>
      </c>
      <c r="Q19710" s="20" t="s">
        <v>3</v>
      </c>
      <c r="R19710" s="7" t="n">
        <v>0</v>
      </c>
      <c r="S19710" s="7" t="n">
        <v>2</v>
      </c>
      <c r="T19710" s="7" t="n">
        <v>3</v>
      </c>
      <c r="U19710" s="7" t="n">
        <v>9</v>
      </c>
      <c r="V19710" s="7" t="n">
        <v>1</v>
      </c>
      <c r="W19710" s="11" t="n">
        <f t="normal" ca="1">A19720</f>
        <v>0</v>
      </c>
    </row>
    <row r="19711" spans="1:5">
      <c r="A19711" t="s">
        <v>4</v>
      </c>
      <c r="B19711" s="4" t="s">
        <v>5</v>
      </c>
      <c r="C19711" s="4" t="s">
        <v>7</v>
      </c>
      <c r="D19711" s="20" t="s">
        <v>35</v>
      </c>
      <c r="E19711" s="4" t="s">
        <v>5</v>
      </c>
      <c r="F19711" s="4" t="s">
        <v>11</v>
      </c>
      <c r="G19711" s="4" t="s">
        <v>7</v>
      </c>
      <c r="H19711" s="4" t="s">
        <v>7</v>
      </c>
      <c r="I19711" s="4" t="s">
        <v>8</v>
      </c>
      <c r="J19711" s="20" t="s">
        <v>36</v>
      </c>
      <c r="K19711" s="4" t="s">
        <v>7</v>
      </c>
      <c r="L19711" s="4" t="s">
        <v>7</v>
      </c>
      <c r="M19711" s="20" t="s">
        <v>35</v>
      </c>
      <c r="N19711" s="4" t="s">
        <v>5</v>
      </c>
      <c r="O19711" s="4" t="s">
        <v>7</v>
      </c>
      <c r="P19711" s="20" t="s">
        <v>36</v>
      </c>
      <c r="Q19711" s="4" t="s">
        <v>7</v>
      </c>
      <c r="R19711" s="4" t="s">
        <v>15</v>
      </c>
      <c r="S19711" s="4" t="s">
        <v>7</v>
      </c>
      <c r="T19711" s="4" t="s">
        <v>7</v>
      </c>
      <c r="U19711" s="4" t="s">
        <v>7</v>
      </c>
      <c r="V19711" s="20" t="s">
        <v>35</v>
      </c>
      <c r="W19711" s="4" t="s">
        <v>5</v>
      </c>
      <c r="X19711" s="4" t="s">
        <v>7</v>
      </c>
      <c r="Y19711" s="20" t="s">
        <v>36</v>
      </c>
      <c r="Z19711" s="4" t="s">
        <v>7</v>
      </c>
      <c r="AA19711" s="4" t="s">
        <v>15</v>
      </c>
      <c r="AB19711" s="4" t="s">
        <v>7</v>
      </c>
      <c r="AC19711" s="4" t="s">
        <v>7</v>
      </c>
      <c r="AD19711" s="4" t="s">
        <v>7</v>
      </c>
      <c r="AE19711" s="4" t="s">
        <v>12</v>
      </c>
    </row>
    <row r="19712" spans="1:5">
      <c r="A19712" t="n">
        <v>191779</v>
      </c>
      <c r="B19712" s="10" t="n">
        <v>5</v>
      </c>
      <c r="C19712" s="7" t="n">
        <v>28</v>
      </c>
      <c r="D19712" s="20" t="s">
        <v>3</v>
      </c>
      <c r="E19712" s="41" t="n">
        <v>47</v>
      </c>
      <c r="F19712" s="7" t="n">
        <v>61456</v>
      </c>
      <c r="G19712" s="7" t="n">
        <v>2</v>
      </c>
      <c r="H19712" s="7" t="n">
        <v>0</v>
      </c>
      <c r="I19712" s="7" t="s">
        <v>105</v>
      </c>
      <c r="J19712" s="20" t="s">
        <v>3</v>
      </c>
      <c r="K19712" s="7" t="n">
        <v>8</v>
      </c>
      <c r="L19712" s="7" t="n">
        <v>28</v>
      </c>
      <c r="M19712" s="20" t="s">
        <v>3</v>
      </c>
      <c r="N19712" s="45" t="n">
        <v>74</v>
      </c>
      <c r="O19712" s="7" t="n">
        <v>65</v>
      </c>
      <c r="P19712" s="20" t="s">
        <v>3</v>
      </c>
      <c r="Q19712" s="7" t="n">
        <v>0</v>
      </c>
      <c r="R19712" s="7" t="n">
        <v>1</v>
      </c>
      <c r="S19712" s="7" t="n">
        <v>3</v>
      </c>
      <c r="T19712" s="7" t="n">
        <v>9</v>
      </c>
      <c r="U19712" s="7" t="n">
        <v>28</v>
      </c>
      <c r="V19712" s="20" t="s">
        <v>3</v>
      </c>
      <c r="W19712" s="45" t="n">
        <v>74</v>
      </c>
      <c r="X19712" s="7" t="n">
        <v>65</v>
      </c>
      <c r="Y19712" s="20" t="s">
        <v>3</v>
      </c>
      <c r="Z19712" s="7" t="n">
        <v>0</v>
      </c>
      <c r="AA19712" s="7" t="n">
        <v>2</v>
      </c>
      <c r="AB19712" s="7" t="n">
        <v>3</v>
      </c>
      <c r="AC19712" s="7" t="n">
        <v>9</v>
      </c>
      <c r="AD19712" s="7" t="n">
        <v>1</v>
      </c>
      <c r="AE19712" s="11" t="n">
        <f t="normal" ca="1">A19716</f>
        <v>0</v>
      </c>
    </row>
    <row r="19713" spans="1:31">
      <c r="A19713" t="s">
        <v>4</v>
      </c>
      <c r="B19713" s="4" t="s">
        <v>5</v>
      </c>
      <c r="C19713" s="4" t="s">
        <v>11</v>
      </c>
      <c r="D19713" s="4" t="s">
        <v>7</v>
      </c>
      <c r="E19713" s="4" t="s">
        <v>7</v>
      </c>
      <c r="F19713" s="4" t="s">
        <v>8</v>
      </c>
    </row>
    <row r="19714" spans="1:31">
      <c r="A19714" t="n">
        <v>191827</v>
      </c>
      <c r="B19714" s="41" t="n">
        <v>47</v>
      </c>
      <c r="C19714" s="7" t="n">
        <v>61456</v>
      </c>
      <c r="D19714" s="7" t="n">
        <v>0</v>
      </c>
      <c r="E19714" s="7" t="n">
        <v>0</v>
      </c>
      <c r="F19714" s="7" t="s">
        <v>106</v>
      </c>
    </row>
    <row r="19715" spans="1:31">
      <c r="A19715" t="s">
        <v>4</v>
      </c>
      <c r="B19715" s="4" t="s">
        <v>5</v>
      </c>
      <c r="C19715" s="4" t="s">
        <v>7</v>
      </c>
      <c r="D19715" s="4" t="s">
        <v>11</v>
      </c>
      <c r="E19715" s="4" t="s">
        <v>13</v>
      </c>
    </row>
    <row r="19716" spans="1:31">
      <c r="A19716" t="n">
        <v>191840</v>
      </c>
      <c r="B19716" s="23" t="n">
        <v>58</v>
      </c>
      <c r="C19716" s="7" t="n">
        <v>0</v>
      </c>
      <c r="D19716" s="7" t="n">
        <v>300</v>
      </c>
      <c r="E19716" s="7" t="n">
        <v>1</v>
      </c>
    </row>
    <row r="19717" spans="1:31">
      <c r="A19717" t="s">
        <v>4</v>
      </c>
      <c r="B19717" s="4" t="s">
        <v>5</v>
      </c>
      <c r="C19717" s="4" t="s">
        <v>7</v>
      </c>
      <c r="D19717" s="4" t="s">
        <v>11</v>
      </c>
    </row>
    <row r="19718" spans="1:31">
      <c r="A19718" t="n">
        <v>191848</v>
      </c>
      <c r="B19718" s="23" t="n">
        <v>58</v>
      </c>
      <c r="C19718" s="7" t="n">
        <v>255</v>
      </c>
      <c r="D19718" s="7" t="n">
        <v>0</v>
      </c>
    </row>
    <row r="19719" spans="1:31">
      <c r="A19719" t="s">
        <v>4</v>
      </c>
      <c r="B19719" s="4" t="s">
        <v>5</v>
      </c>
      <c r="C19719" s="4" t="s">
        <v>7</v>
      </c>
      <c r="D19719" s="4" t="s">
        <v>7</v>
      </c>
      <c r="E19719" s="4" t="s">
        <v>7</v>
      </c>
      <c r="F19719" s="4" t="s">
        <v>7</v>
      </c>
    </row>
    <row r="19720" spans="1:31">
      <c r="A19720" t="n">
        <v>191852</v>
      </c>
      <c r="B19720" s="9" t="n">
        <v>14</v>
      </c>
      <c r="C19720" s="7" t="n">
        <v>0</v>
      </c>
      <c r="D19720" s="7" t="n">
        <v>0</v>
      </c>
      <c r="E19720" s="7" t="n">
        <v>0</v>
      </c>
      <c r="F19720" s="7" t="n">
        <v>64</v>
      </c>
    </row>
    <row r="19721" spans="1:31">
      <c r="A19721" t="s">
        <v>4</v>
      </c>
      <c r="B19721" s="4" t="s">
        <v>5</v>
      </c>
      <c r="C19721" s="4" t="s">
        <v>7</v>
      </c>
      <c r="D19721" s="4" t="s">
        <v>11</v>
      </c>
    </row>
    <row r="19722" spans="1:31">
      <c r="A19722" t="n">
        <v>191857</v>
      </c>
      <c r="B19722" s="22" t="n">
        <v>22</v>
      </c>
      <c r="C19722" s="7" t="n">
        <v>0</v>
      </c>
      <c r="D19722" s="7" t="n">
        <v>33159</v>
      </c>
    </row>
    <row r="19723" spans="1:31">
      <c r="A19723" t="s">
        <v>4</v>
      </c>
      <c r="B19723" s="4" t="s">
        <v>5</v>
      </c>
      <c r="C19723" s="4" t="s">
        <v>7</v>
      </c>
      <c r="D19723" s="4" t="s">
        <v>11</v>
      </c>
    </row>
    <row r="19724" spans="1:31">
      <c r="A19724" t="n">
        <v>191861</v>
      </c>
      <c r="B19724" s="23" t="n">
        <v>58</v>
      </c>
      <c r="C19724" s="7" t="n">
        <v>5</v>
      </c>
      <c r="D19724" s="7" t="n">
        <v>300</v>
      </c>
    </row>
    <row r="19725" spans="1:31">
      <c r="A19725" t="s">
        <v>4</v>
      </c>
      <c r="B19725" s="4" t="s">
        <v>5</v>
      </c>
      <c r="C19725" s="4" t="s">
        <v>13</v>
      </c>
      <c r="D19725" s="4" t="s">
        <v>11</v>
      </c>
    </row>
    <row r="19726" spans="1:31">
      <c r="A19726" t="n">
        <v>191865</v>
      </c>
      <c r="B19726" s="46" t="n">
        <v>103</v>
      </c>
      <c r="C19726" s="7" t="n">
        <v>0</v>
      </c>
      <c r="D19726" s="7" t="n">
        <v>300</v>
      </c>
    </row>
    <row r="19727" spans="1:31">
      <c r="A19727" t="s">
        <v>4</v>
      </c>
      <c r="B19727" s="4" t="s">
        <v>5</v>
      </c>
      <c r="C19727" s="4" t="s">
        <v>7</v>
      </c>
    </row>
    <row r="19728" spans="1:31">
      <c r="A19728" t="n">
        <v>191872</v>
      </c>
      <c r="B19728" s="47" t="n">
        <v>64</v>
      </c>
      <c r="C19728" s="7" t="n">
        <v>7</v>
      </c>
    </row>
    <row r="19729" spans="1:6">
      <c r="A19729" t="s">
        <v>4</v>
      </c>
      <c r="B19729" s="4" t="s">
        <v>5</v>
      </c>
      <c r="C19729" s="4" t="s">
        <v>7</v>
      </c>
      <c r="D19729" s="4" t="s">
        <v>11</v>
      </c>
    </row>
    <row r="19730" spans="1:6">
      <c r="A19730" t="n">
        <v>191874</v>
      </c>
      <c r="B19730" s="48" t="n">
        <v>72</v>
      </c>
      <c r="C19730" s="7" t="n">
        <v>5</v>
      </c>
      <c r="D19730" s="7" t="n">
        <v>0</v>
      </c>
    </row>
    <row r="19731" spans="1:6">
      <c r="A19731" t="s">
        <v>4</v>
      </c>
      <c r="B19731" s="4" t="s">
        <v>5</v>
      </c>
      <c r="C19731" s="4" t="s">
        <v>7</v>
      </c>
      <c r="D19731" s="20" t="s">
        <v>35</v>
      </c>
      <c r="E19731" s="4" t="s">
        <v>5</v>
      </c>
      <c r="F19731" s="4" t="s">
        <v>7</v>
      </c>
      <c r="G19731" s="4" t="s">
        <v>11</v>
      </c>
      <c r="H19731" s="20" t="s">
        <v>36</v>
      </c>
      <c r="I19731" s="4" t="s">
        <v>7</v>
      </c>
      <c r="J19731" s="4" t="s">
        <v>15</v>
      </c>
      <c r="K19731" s="4" t="s">
        <v>7</v>
      </c>
      <c r="L19731" s="4" t="s">
        <v>7</v>
      </c>
      <c r="M19731" s="4" t="s">
        <v>12</v>
      </c>
    </row>
    <row r="19732" spans="1:6">
      <c r="A19732" t="n">
        <v>191878</v>
      </c>
      <c r="B19732" s="10" t="n">
        <v>5</v>
      </c>
      <c r="C19732" s="7" t="n">
        <v>28</v>
      </c>
      <c r="D19732" s="20" t="s">
        <v>3</v>
      </c>
      <c r="E19732" s="8" t="n">
        <v>162</v>
      </c>
      <c r="F19732" s="7" t="n">
        <v>4</v>
      </c>
      <c r="G19732" s="7" t="n">
        <v>33159</v>
      </c>
      <c r="H19732" s="20" t="s">
        <v>3</v>
      </c>
      <c r="I19732" s="7" t="n">
        <v>0</v>
      </c>
      <c r="J19732" s="7" t="n">
        <v>1</v>
      </c>
      <c r="K19732" s="7" t="n">
        <v>2</v>
      </c>
      <c r="L19732" s="7" t="n">
        <v>1</v>
      </c>
      <c r="M19732" s="11" t="n">
        <f t="normal" ca="1">A19738</f>
        <v>0</v>
      </c>
    </row>
    <row r="19733" spans="1:6">
      <c r="A19733" t="s">
        <v>4</v>
      </c>
      <c r="B19733" s="4" t="s">
        <v>5</v>
      </c>
      <c r="C19733" s="4" t="s">
        <v>7</v>
      </c>
      <c r="D19733" s="4" t="s">
        <v>8</v>
      </c>
    </row>
    <row r="19734" spans="1:6">
      <c r="A19734" t="n">
        <v>191895</v>
      </c>
      <c r="B19734" s="6" t="n">
        <v>2</v>
      </c>
      <c r="C19734" s="7" t="n">
        <v>10</v>
      </c>
      <c r="D19734" s="7" t="s">
        <v>107</v>
      </c>
    </row>
    <row r="19735" spans="1:6">
      <c r="A19735" t="s">
        <v>4</v>
      </c>
      <c r="B19735" s="4" t="s">
        <v>5</v>
      </c>
      <c r="C19735" s="4" t="s">
        <v>11</v>
      </c>
    </row>
    <row r="19736" spans="1:6">
      <c r="A19736" t="n">
        <v>191912</v>
      </c>
      <c r="B19736" s="29" t="n">
        <v>16</v>
      </c>
      <c r="C19736" s="7" t="n">
        <v>0</v>
      </c>
    </row>
    <row r="19737" spans="1:6">
      <c r="A19737" t="s">
        <v>4</v>
      </c>
      <c r="B19737" s="4" t="s">
        <v>5</v>
      </c>
      <c r="C19737" s="4" t="s">
        <v>11</v>
      </c>
      <c r="D19737" s="4" t="s">
        <v>7</v>
      </c>
      <c r="E19737" s="4" t="s">
        <v>7</v>
      </c>
      <c r="F19737" s="4" t="s">
        <v>8</v>
      </c>
    </row>
    <row r="19738" spans="1:6">
      <c r="A19738" t="n">
        <v>191915</v>
      </c>
      <c r="B19738" s="50" t="n">
        <v>20</v>
      </c>
      <c r="C19738" s="7" t="n">
        <v>0</v>
      </c>
      <c r="D19738" s="7" t="n">
        <v>3</v>
      </c>
      <c r="E19738" s="7" t="n">
        <v>10</v>
      </c>
      <c r="F19738" s="7" t="s">
        <v>108</v>
      </c>
    </row>
    <row r="19739" spans="1:6">
      <c r="A19739" t="s">
        <v>4</v>
      </c>
      <c r="B19739" s="4" t="s">
        <v>5</v>
      </c>
      <c r="C19739" s="4" t="s">
        <v>11</v>
      </c>
    </row>
    <row r="19740" spans="1:6">
      <c r="A19740" t="n">
        <v>191933</v>
      </c>
      <c r="B19740" s="29" t="n">
        <v>16</v>
      </c>
      <c r="C19740" s="7" t="n">
        <v>0</v>
      </c>
    </row>
    <row r="19741" spans="1:6">
      <c r="A19741" t="s">
        <v>4</v>
      </c>
      <c r="B19741" s="4" t="s">
        <v>5</v>
      </c>
      <c r="C19741" s="4" t="s">
        <v>11</v>
      </c>
      <c r="D19741" s="4" t="s">
        <v>7</v>
      </c>
      <c r="E19741" s="4" t="s">
        <v>7</v>
      </c>
      <c r="F19741" s="4" t="s">
        <v>8</v>
      </c>
    </row>
    <row r="19742" spans="1:6">
      <c r="A19742" t="n">
        <v>191936</v>
      </c>
      <c r="B19742" s="50" t="n">
        <v>20</v>
      </c>
      <c r="C19742" s="7" t="n">
        <v>7</v>
      </c>
      <c r="D19742" s="7" t="n">
        <v>3</v>
      </c>
      <c r="E19742" s="7" t="n">
        <v>10</v>
      </c>
      <c r="F19742" s="7" t="s">
        <v>108</v>
      </c>
    </row>
    <row r="19743" spans="1:6">
      <c r="A19743" t="s">
        <v>4</v>
      </c>
      <c r="B19743" s="4" t="s">
        <v>5</v>
      </c>
      <c r="C19743" s="4" t="s">
        <v>11</v>
      </c>
    </row>
    <row r="19744" spans="1:6">
      <c r="A19744" t="n">
        <v>191954</v>
      </c>
      <c r="B19744" s="29" t="n">
        <v>16</v>
      </c>
      <c r="C19744" s="7" t="n">
        <v>0</v>
      </c>
    </row>
    <row r="19745" spans="1:13">
      <c r="A19745" t="s">
        <v>4</v>
      </c>
      <c r="B19745" s="4" t="s">
        <v>5</v>
      </c>
      <c r="C19745" s="4" t="s">
        <v>7</v>
      </c>
      <c r="D19745" s="4" t="s">
        <v>11</v>
      </c>
      <c r="E19745" s="4" t="s">
        <v>7</v>
      </c>
      <c r="F19745" s="4" t="s">
        <v>8</v>
      </c>
      <c r="G19745" s="4" t="s">
        <v>8</v>
      </c>
      <c r="H19745" s="4" t="s">
        <v>8</v>
      </c>
      <c r="I19745" s="4" t="s">
        <v>8</v>
      </c>
      <c r="J19745" s="4" t="s">
        <v>8</v>
      </c>
      <c r="K19745" s="4" t="s">
        <v>8</v>
      </c>
      <c r="L19745" s="4" t="s">
        <v>8</v>
      </c>
      <c r="M19745" s="4" t="s">
        <v>8</v>
      </c>
      <c r="N19745" s="4" t="s">
        <v>8</v>
      </c>
      <c r="O19745" s="4" t="s">
        <v>8</v>
      </c>
      <c r="P19745" s="4" t="s">
        <v>8</v>
      </c>
      <c r="Q19745" s="4" t="s">
        <v>8</v>
      </c>
      <c r="R19745" s="4" t="s">
        <v>8</v>
      </c>
      <c r="S19745" s="4" t="s">
        <v>8</v>
      </c>
      <c r="T19745" s="4" t="s">
        <v>8</v>
      </c>
      <c r="U19745" s="4" t="s">
        <v>8</v>
      </c>
    </row>
    <row r="19746" spans="1:13">
      <c r="A19746" t="n">
        <v>191957</v>
      </c>
      <c r="B19746" s="40" t="n">
        <v>36</v>
      </c>
      <c r="C19746" s="7" t="n">
        <v>8</v>
      </c>
      <c r="D19746" s="7" t="n">
        <v>0</v>
      </c>
      <c r="E19746" s="7" t="n">
        <v>0</v>
      </c>
      <c r="F19746" s="7" t="s">
        <v>1629</v>
      </c>
      <c r="G19746" s="7" t="s">
        <v>1630</v>
      </c>
      <c r="H19746" s="7" t="s">
        <v>853</v>
      </c>
      <c r="I19746" s="7" t="s">
        <v>16</v>
      </c>
      <c r="J19746" s="7" t="s">
        <v>16</v>
      </c>
      <c r="K19746" s="7" t="s">
        <v>16</v>
      </c>
      <c r="L19746" s="7" t="s">
        <v>16</v>
      </c>
      <c r="M19746" s="7" t="s">
        <v>16</v>
      </c>
      <c r="N19746" s="7" t="s">
        <v>16</v>
      </c>
      <c r="O19746" s="7" t="s">
        <v>16</v>
      </c>
      <c r="P19746" s="7" t="s">
        <v>16</v>
      </c>
      <c r="Q19746" s="7" t="s">
        <v>16</v>
      </c>
      <c r="R19746" s="7" t="s">
        <v>16</v>
      </c>
      <c r="S19746" s="7" t="s">
        <v>16</v>
      </c>
      <c r="T19746" s="7" t="s">
        <v>16</v>
      </c>
      <c r="U19746" s="7" t="s">
        <v>16</v>
      </c>
    </row>
    <row r="19747" spans="1:13">
      <c r="A19747" t="s">
        <v>4</v>
      </c>
      <c r="B19747" s="4" t="s">
        <v>5</v>
      </c>
      <c r="C19747" s="4" t="s">
        <v>7</v>
      </c>
      <c r="D19747" s="4" t="s">
        <v>11</v>
      </c>
      <c r="E19747" s="4" t="s">
        <v>7</v>
      </c>
      <c r="F19747" s="4" t="s">
        <v>8</v>
      </c>
      <c r="G19747" s="4" t="s">
        <v>8</v>
      </c>
      <c r="H19747" s="4" t="s">
        <v>8</v>
      </c>
      <c r="I19747" s="4" t="s">
        <v>8</v>
      </c>
      <c r="J19747" s="4" t="s">
        <v>8</v>
      </c>
      <c r="K19747" s="4" t="s">
        <v>8</v>
      </c>
      <c r="L19747" s="4" t="s">
        <v>8</v>
      </c>
      <c r="M19747" s="4" t="s">
        <v>8</v>
      </c>
      <c r="N19747" s="4" t="s">
        <v>8</v>
      </c>
      <c r="O19747" s="4" t="s">
        <v>8</v>
      </c>
      <c r="P19747" s="4" t="s">
        <v>8</v>
      </c>
      <c r="Q19747" s="4" t="s">
        <v>8</v>
      </c>
      <c r="R19747" s="4" t="s">
        <v>8</v>
      </c>
      <c r="S19747" s="4" t="s">
        <v>8</v>
      </c>
      <c r="T19747" s="4" t="s">
        <v>8</v>
      </c>
      <c r="U19747" s="4" t="s">
        <v>8</v>
      </c>
    </row>
    <row r="19748" spans="1:13">
      <c r="A19748" t="n">
        <v>192005</v>
      </c>
      <c r="B19748" s="40" t="n">
        <v>36</v>
      </c>
      <c r="C19748" s="7" t="n">
        <v>8</v>
      </c>
      <c r="D19748" s="7" t="n">
        <v>7</v>
      </c>
      <c r="E19748" s="7" t="n">
        <v>0</v>
      </c>
      <c r="F19748" s="7" t="s">
        <v>91</v>
      </c>
      <c r="G19748" s="7" t="s">
        <v>1629</v>
      </c>
      <c r="H19748" s="7" t="s">
        <v>1630</v>
      </c>
      <c r="I19748" s="7" t="s">
        <v>16</v>
      </c>
      <c r="J19748" s="7" t="s">
        <v>16</v>
      </c>
      <c r="K19748" s="7" t="s">
        <v>16</v>
      </c>
      <c r="L19748" s="7" t="s">
        <v>16</v>
      </c>
      <c r="M19748" s="7" t="s">
        <v>16</v>
      </c>
      <c r="N19748" s="7" t="s">
        <v>16</v>
      </c>
      <c r="O19748" s="7" t="s">
        <v>16</v>
      </c>
      <c r="P19748" s="7" t="s">
        <v>16</v>
      </c>
      <c r="Q19748" s="7" t="s">
        <v>16</v>
      </c>
      <c r="R19748" s="7" t="s">
        <v>16</v>
      </c>
      <c r="S19748" s="7" t="s">
        <v>16</v>
      </c>
      <c r="T19748" s="7" t="s">
        <v>16</v>
      </c>
      <c r="U19748" s="7" t="s">
        <v>16</v>
      </c>
    </row>
    <row r="19749" spans="1:13">
      <c r="A19749" t="s">
        <v>4</v>
      </c>
      <c r="B19749" s="4" t="s">
        <v>5</v>
      </c>
      <c r="C19749" s="4" t="s">
        <v>7</v>
      </c>
    </row>
    <row r="19750" spans="1:13">
      <c r="A19750" t="n">
        <v>192058</v>
      </c>
      <c r="B19750" s="49" t="n">
        <v>116</v>
      </c>
      <c r="C19750" s="7" t="n">
        <v>0</v>
      </c>
    </row>
    <row r="19751" spans="1:13">
      <c r="A19751" t="s">
        <v>4</v>
      </c>
      <c r="B19751" s="4" t="s">
        <v>5</v>
      </c>
      <c r="C19751" s="4" t="s">
        <v>7</v>
      </c>
      <c r="D19751" s="4" t="s">
        <v>11</v>
      </c>
    </row>
    <row r="19752" spans="1:13">
      <c r="A19752" t="n">
        <v>192060</v>
      </c>
      <c r="B19752" s="49" t="n">
        <v>116</v>
      </c>
      <c r="C19752" s="7" t="n">
        <v>2</v>
      </c>
      <c r="D19752" s="7" t="n">
        <v>1</v>
      </c>
    </row>
    <row r="19753" spans="1:13">
      <c r="A19753" t="s">
        <v>4</v>
      </c>
      <c r="B19753" s="4" t="s">
        <v>5</v>
      </c>
      <c r="C19753" s="4" t="s">
        <v>7</v>
      </c>
      <c r="D19753" s="4" t="s">
        <v>15</v>
      </c>
    </row>
    <row r="19754" spans="1:13">
      <c r="A19754" t="n">
        <v>192064</v>
      </c>
      <c r="B19754" s="49" t="n">
        <v>116</v>
      </c>
      <c r="C19754" s="7" t="n">
        <v>5</v>
      </c>
      <c r="D19754" s="7" t="n">
        <v>1088421888</v>
      </c>
    </row>
    <row r="19755" spans="1:13">
      <c r="A19755" t="s">
        <v>4</v>
      </c>
      <c r="B19755" s="4" t="s">
        <v>5</v>
      </c>
      <c r="C19755" s="4" t="s">
        <v>7</v>
      </c>
      <c r="D19755" s="4" t="s">
        <v>11</v>
      </c>
    </row>
    <row r="19756" spans="1:13">
      <c r="A19756" t="n">
        <v>192070</v>
      </c>
      <c r="B19756" s="49" t="n">
        <v>116</v>
      </c>
      <c r="C19756" s="7" t="n">
        <v>6</v>
      </c>
      <c r="D19756" s="7" t="n">
        <v>1</v>
      </c>
    </row>
    <row r="19757" spans="1:13">
      <c r="A19757" t="s">
        <v>4</v>
      </c>
      <c r="B19757" s="4" t="s">
        <v>5</v>
      </c>
      <c r="C19757" s="4" t="s">
        <v>11</v>
      </c>
      <c r="D19757" s="4" t="s">
        <v>13</v>
      </c>
      <c r="E19757" s="4" t="s">
        <v>13</v>
      </c>
      <c r="F19757" s="4" t="s">
        <v>13</v>
      </c>
      <c r="G19757" s="4" t="s">
        <v>13</v>
      </c>
    </row>
    <row r="19758" spans="1:13">
      <c r="A19758" t="n">
        <v>192074</v>
      </c>
      <c r="B19758" s="36" t="n">
        <v>46</v>
      </c>
      <c r="C19758" s="7" t="n">
        <v>0</v>
      </c>
      <c r="D19758" s="7" t="n">
        <v>-18.0799999237061</v>
      </c>
      <c r="E19758" s="7" t="n">
        <v>10.0100002288818</v>
      </c>
      <c r="F19758" s="7" t="n">
        <v>49.9900016784668</v>
      </c>
      <c r="G19758" s="7" t="n">
        <v>283.700012207031</v>
      </c>
    </row>
    <row r="19759" spans="1:13">
      <c r="A19759" t="s">
        <v>4</v>
      </c>
      <c r="B19759" s="4" t="s">
        <v>5</v>
      </c>
      <c r="C19759" s="4" t="s">
        <v>11</v>
      </c>
      <c r="D19759" s="4" t="s">
        <v>13</v>
      </c>
      <c r="E19759" s="4" t="s">
        <v>13</v>
      </c>
      <c r="F19759" s="4" t="s">
        <v>13</v>
      </c>
      <c r="G19759" s="4" t="s">
        <v>11</v>
      </c>
      <c r="H19759" s="4" t="s">
        <v>11</v>
      </c>
    </row>
    <row r="19760" spans="1:13">
      <c r="A19760" t="n">
        <v>192093</v>
      </c>
      <c r="B19760" s="37" t="n">
        <v>60</v>
      </c>
      <c r="C19760" s="7" t="n">
        <v>7</v>
      </c>
      <c r="D19760" s="7" t="n">
        <v>0</v>
      </c>
      <c r="E19760" s="7" t="n">
        <v>-20</v>
      </c>
      <c r="F19760" s="7" t="n">
        <v>0</v>
      </c>
      <c r="G19760" s="7" t="n">
        <v>0</v>
      </c>
      <c r="H19760" s="7" t="n">
        <v>0</v>
      </c>
    </row>
    <row r="19761" spans="1:21">
      <c r="A19761" t="s">
        <v>4</v>
      </c>
      <c r="B19761" s="4" t="s">
        <v>5</v>
      </c>
      <c r="C19761" s="4" t="s">
        <v>11</v>
      </c>
    </row>
    <row r="19762" spans="1:21">
      <c r="A19762" t="n">
        <v>192112</v>
      </c>
      <c r="B19762" s="29" t="n">
        <v>16</v>
      </c>
      <c r="C19762" s="7" t="n">
        <v>0</v>
      </c>
    </row>
    <row r="19763" spans="1:21">
      <c r="A19763" t="s">
        <v>4</v>
      </c>
      <c r="B19763" s="4" t="s">
        <v>5</v>
      </c>
      <c r="C19763" s="4" t="s">
        <v>11</v>
      </c>
      <c r="D19763" s="4" t="s">
        <v>11</v>
      </c>
      <c r="E19763" s="4" t="s">
        <v>11</v>
      </c>
    </row>
    <row r="19764" spans="1:21">
      <c r="A19764" t="n">
        <v>192115</v>
      </c>
      <c r="B19764" s="72" t="n">
        <v>61</v>
      </c>
      <c r="C19764" s="7" t="n">
        <v>0</v>
      </c>
      <c r="D19764" s="7" t="n">
        <v>7</v>
      </c>
      <c r="E19764" s="7" t="n">
        <v>0</v>
      </c>
    </row>
    <row r="19765" spans="1:21">
      <c r="A19765" t="s">
        <v>4</v>
      </c>
      <c r="B19765" s="4" t="s">
        <v>5</v>
      </c>
      <c r="C19765" s="4" t="s">
        <v>7</v>
      </c>
      <c r="D19765" s="4" t="s">
        <v>7</v>
      </c>
      <c r="E19765" s="4" t="s">
        <v>13</v>
      </c>
      <c r="F19765" s="4" t="s">
        <v>13</v>
      </c>
      <c r="G19765" s="4" t="s">
        <v>13</v>
      </c>
      <c r="H19765" s="4" t="s">
        <v>11</v>
      </c>
    </row>
    <row r="19766" spans="1:21">
      <c r="A19766" t="n">
        <v>192122</v>
      </c>
      <c r="B19766" s="51" t="n">
        <v>45</v>
      </c>
      <c r="C19766" s="7" t="n">
        <v>2</v>
      </c>
      <c r="D19766" s="7" t="n">
        <v>3</v>
      </c>
      <c r="E19766" s="7" t="n">
        <v>-18.5200004577637</v>
      </c>
      <c r="F19766" s="7" t="n">
        <v>11.289999961853</v>
      </c>
      <c r="G19766" s="7" t="n">
        <v>50.2900009155273</v>
      </c>
      <c r="H19766" s="7" t="n">
        <v>0</v>
      </c>
    </row>
    <row r="19767" spans="1:21">
      <c r="A19767" t="s">
        <v>4</v>
      </c>
      <c r="B19767" s="4" t="s">
        <v>5</v>
      </c>
      <c r="C19767" s="4" t="s">
        <v>7</v>
      </c>
      <c r="D19767" s="4" t="s">
        <v>7</v>
      </c>
      <c r="E19767" s="4" t="s">
        <v>13</v>
      </c>
      <c r="F19767" s="4" t="s">
        <v>13</v>
      </c>
      <c r="G19767" s="4" t="s">
        <v>13</v>
      </c>
      <c r="H19767" s="4" t="s">
        <v>11</v>
      </c>
      <c r="I19767" s="4" t="s">
        <v>7</v>
      </c>
    </row>
    <row r="19768" spans="1:21">
      <c r="A19768" t="n">
        <v>192139</v>
      </c>
      <c r="B19768" s="51" t="n">
        <v>45</v>
      </c>
      <c r="C19768" s="7" t="n">
        <v>4</v>
      </c>
      <c r="D19768" s="7" t="n">
        <v>3</v>
      </c>
      <c r="E19768" s="7" t="n">
        <v>16.0799999237061</v>
      </c>
      <c r="F19768" s="7" t="n">
        <v>154.460006713867</v>
      </c>
      <c r="G19768" s="7" t="n">
        <v>0</v>
      </c>
      <c r="H19768" s="7" t="n">
        <v>0</v>
      </c>
      <c r="I19768" s="7" t="n">
        <v>0</v>
      </c>
    </row>
    <row r="19769" spans="1:21">
      <c r="A19769" t="s">
        <v>4</v>
      </c>
      <c r="B19769" s="4" t="s">
        <v>5</v>
      </c>
      <c r="C19769" s="4" t="s">
        <v>7</v>
      </c>
      <c r="D19769" s="4" t="s">
        <v>7</v>
      </c>
      <c r="E19769" s="4" t="s">
        <v>13</v>
      </c>
      <c r="F19769" s="4" t="s">
        <v>11</v>
      </c>
    </row>
    <row r="19770" spans="1:21">
      <c r="A19770" t="n">
        <v>192157</v>
      </c>
      <c r="B19770" s="51" t="n">
        <v>45</v>
      </c>
      <c r="C19770" s="7" t="n">
        <v>5</v>
      </c>
      <c r="D19770" s="7" t="n">
        <v>3</v>
      </c>
      <c r="E19770" s="7" t="n">
        <v>1.89999997615814</v>
      </c>
      <c r="F19770" s="7" t="n">
        <v>0</v>
      </c>
    </row>
    <row r="19771" spans="1:21">
      <c r="A19771" t="s">
        <v>4</v>
      </c>
      <c r="B19771" s="4" t="s">
        <v>5</v>
      </c>
      <c r="C19771" s="4" t="s">
        <v>7</v>
      </c>
      <c r="D19771" s="4" t="s">
        <v>7</v>
      </c>
      <c r="E19771" s="4" t="s">
        <v>13</v>
      </c>
      <c r="F19771" s="4" t="s">
        <v>11</v>
      </c>
    </row>
    <row r="19772" spans="1:21">
      <c r="A19772" t="n">
        <v>192166</v>
      </c>
      <c r="B19772" s="51" t="n">
        <v>45</v>
      </c>
      <c r="C19772" s="7" t="n">
        <v>11</v>
      </c>
      <c r="D19772" s="7" t="n">
        <v>3</v>
      </c>
      <c r="E19772" s="7" t="n">
        <v>34</v>
      </c>
      <c r="F19772" s="7" t="n">
        <v>0</v>
      </c>
    </row>
    <row r="19773" spans="1:21">
      <c r="A19773" t="s">
        <v>4</v>
      </c>
      <c r="B19773" s="4" t="s">
        <v>5</v>
      </c>
      <c r="C19773" s="4" t="s">
        <v>7</v>
      </c>
      <c r="D19773" s="4" t="s">
        <v>7</v>
      </c>
      <c r="E19773" s="4" t="s">
        <v>13</v>
      </c>
      <c r="F19773" s="4" t="s">
        <v>11</v>
      </c>
    </row>
    <row r="19774" spans="1:21">
      <c r="A19774" t="n">
        <v>192175</v>
      </c>
      <c r="B19774" s="51" t="n">
        <v>45</v>
      </c>
      <c r="C19774" s="7" t="n">
        <v>5</v>
      </c>
      <c r="D19774" s="7" t="n">
        <v>3</v>
      </c>
      <c r="E19774" s="7" t="n">
        <v>1.70000004768372</v>
      </c>
      <c r="F19774" s="7" t="n">
        <v>3000</v>
      </c>
    </row>
    <row r="19775" spans="1:21">
      <c r="A19775" t="s">
        <v>4</v>
      </c>
      <c r="B19775" s="4" t="s">
        <v>5</v>
      </c>
      <c r="C19775" s="4" t="s">
        <v>11</v>
      </c>
      <c r="D19775" s="4" t="s">
        <v>7</v>
      </c>
      <c r="E19775" s="4" t="s">
        <v>8</v>
      </c>
      <c r="F19775" s="4" t="s">
        <v>13</v>
      </c>
      <c r="G19775" s="4" t="s">
        <v>13</v>
      </c>
      <c r="H19775" s="4" t="s">
        <v>13</v>
      </c>
    </row>
    <row r="19776" spans="1:21">
      <c r="A19776" t="n">
        <v>192184</v>
      </c>
      <c r="B19776" s="42" t="n">
        <v>48</v>
      </c>
      <c r="C19776" s="7" t="n">
        <v>0</v>
      </c>
      <c r="D19776" s="7" t="n">
        <v>0</v>
      </c>
      <c r="E19776" s="7" t="s">
        <v>275</v>
      </c>
      <c r="F19776" s="7" t="n">
        <v>0</v>
      </c>
      <c r="G19776" s="7" t="n">
        <v>1</v>
      </c>
      <c r="H19776" s="7" t="n">
        <v>0</v>
      </c>
    </row>
    <row r="19777" spans="1:9">
      <c r="A19777" t="s">
        <v>4</v>
      </c>
      <c r="B19777" s="4" t="s">
        <v>5</v>
      </c>
      <c r="C19777" s="4" t="s">
        <v>11</v>
      </c>
      <c r="D19777" s="4" t="s">
        <v>7</v>
      </c>
      <c r="E19777" s="4" t="s">
        <v>8</v>
      </c>
      <c r="F19777" s="4" t="s">
        <v>13</v>
      </c>
      <c r="G19777" s="4" t="s">
        <v>13</v>
      </c>
      <c r="H19777" s="4" t="s">
        <v>13</v>
      </c>
    </row>
    <row r="19778" spans="1:9">
      <c r="A19778" t="n">
        <v>192209</v>
      </c>
      <c r="B19778" s="42" t="n">
        <v>48</v>
      </c>
      <c r="C19778" s="7" t="n">
        <v>7</v>
      </c>
      <c r="D19778" s="7" t="n">
        <v>0</v>
      </c>
      <c r="E19778" s="7" t="s">
        <v>91</v>
      </c>
      <c r="F19778" s="7" t="n">
        <v>0</v>
      </c>
      <c r="G19778" s="7" t="n">
        <v>1</v>
      </c>
      <c r="H19778" s="7" t="n">
        <v>1.40129846432482e-45</v>
      </c>
    </row>
    <row r="19779" spans="1:9">
      <c r="A19779" t="s">
        <v>4</v>
      </c>
      <c r="B19779" s="4" t="s">
        <v>5</v>
      </c>
      <c r="C19779" s="4" t="s">
        <v>7</v>
      </c>
      <c r="D19779" s="4" t="s">
        <v>11</v>
      </c>
      <c r="E19779" s="4" t="s">
        <v>13</v>
      </c>
    </row>
    <row r="19780" spans="1:9">
      <c r="A19780" t="n">
        <v>192240</v>
      </c>
      <c r="B19780" s="23" t="n">
        <v>58</v>
      </c>
      <c r="C19780" s="7" t="n">
        <v>100</v>
      </c>
      <c r="D19780" s="7" t="n">
        <v>1000</v>
      </c>
      <c r="E19780" s="7" t="n">
        <v>1</v>
      </c>
    </row>
    <row r="19781" spans="1:9">
      <c r="A19781" t="s">
        <v>4</v>
      </c>
      <c r="B19781" s="4" t="s">
        <v>5</v>
      </c>
      <c r="C19781" s="4" t="s">
        <v>7</v>
      </c>
      <c r="D19781" s="4" t="s">
        <v>11</v>
      </c>
    </row>
    <row r="19782" spans="1:9">
      <c r="A19782" t="n">
        <v>192248</v>
      </c>
      <c r="B19782" s="23" t="n">
        <v>58</v>
      </c>
      <c r="C19782" s="7" t="n">
        <v>255</v>
      </c>
      <c r="D19782" s="7" t="n">
        <v>0</v>
      </c>
    </row>
    <row r="19783" spans="1:9">
      <c r="A19783" t="s">
        <v>4</v>
      </c>
      <c r="B19783" s="4" t="s">
        <v>5</v>
      </c>
      <c r="C19783" s="4" t="s">
        <v>11</v>
      </c>
    </row>
    <row r="19784" spans="1:9">
      <c r="A19784" t="n">
        <v>192252</v>
      </c>
      <c r="B19784" s="29" t="n">
        <v>16</v>
      </c>
      <c r="C19784" s="7" t="n">
        <v>1000</v>
      </c>
    </row>
    <row r="19785" spans="1:9">
      <c r="A19785" t="s">
        <v>4</v>
      </c>
      <c r="B19785" s="4" t="s">
        <v>5</v>
      </c>
      <c r="C19785" s="4" t="s">
        <v>7</v>
      </c>
      <c r="D19785" s="4" t="s">
        <v>11</v>
      </c>
      <c r="E19785" s="4" t="s">
        <v>8</v>
      </c>
    </row>
    <row r="19786" spans="1:9">
      <c r="A19786" t="n">
        <v>192255</v>
      </c>
      <c r="B19786" s="38" t="n">
        <v>51</v>
      </c>
      <c r="C19786" s="7" t="n">
        <v>4</v>
      </c>
      <c r="D19786" s="7" t="n">
        <v>7</v>
      </c>
      <c r="E19786" s="7" t="s">
        <v>113</v>
      </c>
    </row>
    <row r="19787" spans="1:9">
      <c r="A19787" t="s">
        <v>4</v>
      </c>
      <c r="B19787" s="4" t="s">
        <v>5</v>
      </c>
      <c r="C19787" s="4" t="s">
        <v>11</v>
      </c>
    </row>
    <row r="19788" spans="1:9">
      <c r="A19788" t="n">
        <v>192270</v>
      </c>
      <c r="B19788" s="29" t="n">
        <v>16</v>
      </c>
      <c r="C19788" s="7" t="n">
        <v>0</v>
      </c>
    </row>
    <row r="19789" spans="1:9">
      <c r="A19789" t="s">
        <v>4</v>
      </c>
      <c r="B19789" s="4" t="s">
        <v>5</v>
      </c>
      <c r="C19789" s="4" t="s">
        <v>11</v>
      </c>
      <c r="D19789" s="4" t="s">
        <v>7</v>
      </c>
      <c r="E19789" s="4" t="s">
        <v>15</v>
      </c>
      <c r="F19789" s="4" t="s">
        <v>55</v>
      </c>
      <c r="G19789" s="4" t="s">
        <v>7</v>
      </c>
      <c r="H19789" s="4" t="s">
        <v>7</v>
      </c>
    </row>
    <row r="19790" spans="1:9">
      <c r="A19790" t="n">
        <v>192273</v>
      </c>
      <c r="B19790" s="55" t="n">
        <v>26</v>
      </c>
      <c r="C19790" s="7" t="n">
        <v>7</v>
      </c>
      <c r="D19790" s="7" t="n">
        <v>17</v>
      </c>
      <c r="E19790" s="7" t="n">
        <v>64642</v>
      </c>
      <c r="F19790" s="7" t="s">
        <v>446</v>
      </c>
      <c r="G19790" s="7" t="n">
        <v>2</v>
      </c>
      <c r="H19790" s="7" t="n">
        <v>0</v>
      </c>
    </row>
    <row r="19791" spans="1:9">
      <c r="A19791" t="s">
        <v>4</v>
      </c>
      <c r="B19791" s="4" t="s">
        <v>5</v>
      </c>
    </row>
    <row r="19792" spans="1:9">
      <c r="A19792" t="n">
        <v>192289</v>
      </c>
      <c r="B19792" s="27" t="n">
        <v>28</v>
      </c>
    </row>
    <row r="19793" spans="1:8">
      <c r="A19793" t="s">
        <v>4</v>
      </c>
      <c r="B19793" s="4" t="s">
        <v>5</v>
      </c>
      <c r="C19793" s="4" t="s">
        <v>7</v>
      </c>
      <c r="D19793" s="4" t="s">
        <v>11</v>
      </c>
      <c r="E19793" s="4" t="s">
        <v>8</v>
      </c>
    </row>
    <row r="19794" spans="1:8">
      <c r="A19794" t="n">
        <v>192290</v>
      </c>
      <c r="B19794" s="38" t="n">
        <v>51</v>
      </c>
      <c r="C19794" s="7" t="n">
        <v>4</v>
      </c>
      <c r="D19794" s="7" t="n">
        <v>0</v>
      </c>
      <c r="E19794" s="7" t="s">
        <v>304</v>
      </c>
    </row>
    <row r="19795" spans="1:8">
      <c r="A19795" t="s">
        <v>4</v>
      </c>
      <c r="B19795" s="4" t="s">
        <v>5</v>
      </c>
      <c r="C19795" s="4" t="s">
        <v>11</v>
      </c>
    </row>
    <row r="19796" spans="1:8">
      <c r="A19796" t="n">
        <v>192303</v>
      </c>
      <c r="B19796" s="29" t="n">
        <v>16</v>
      </c>
      <c r="C19796" s="7" t="n">
        <v>0</v>
      </c>
    </row>
    <row r="19797" spans="1:8">
      <c r="A19797" t="s">
        <v>4</v>
      </c>
      <c r="B19797" s="4" t="s">
        <v>5</v>
      </c>
      <c r="C19797" s="4" t="s">
        <v>11</v>
      </c>
      <c r="D19797" s="4" t="s">
        <v>7</v>
      </c>
      <c r="E19797" s="4" t="s">
        <v>15</v>
      </c>
      <c r="F19797" s="4" t="s">
        <v>55</v>
      </c>
      <c r="G19797" s="4" t="s">
        <v>7</v>
      </c>
      <c r="H19797" s="4" t="s">
        <v>7</v>
      </c>
    </row>
    <row r="19798" spans="1:8">
      <c r="A19798" t="n">
        <v>192306</v>
      </c>
      <c r="B19798" s="55" t="n">
        <v>26</v>
      </c>
      <c r="C19798" s="7" t="n">
        <v>0</v>
      </c>
      <c r="D19798" s="7" t="n">
        <v>17</v>
      </c>
      <c r="E19798" s="7" t="n">
        <v>64643</v>
      </c>
      <c r="F19798" s="7" t="s">
        <v>1631</v>
      </c>
      <c r="G19798" s="7" t="n">
        <v>2</v>
      </c>
      <c r="H19798" s="7" t="n">
        <v>0</v>
      </c>
    </row>
    <row r="19799" spans="1:8">
      <c r="A19799" t="s">
        <v>4</v>
      </c>
      <c r="B19799" s="4" t="s">
        <v>5</v>
      </c>
    </row>
    <row r="19800" spans="1:8">
      <c r="A19800" t="n">
        <v>192355</v>
      </c>
      <c r="B19800" s="27" t="n">
        <v>28</v>
      </c>
    </row>
    <row r="19801" spans="1:8">
      <c r="A19801" t="s">
        <v>4</v>
      </c>
      <c r="B19801" s="4" t="s">
        <v>5</v>
      </c>
      <c r="C19801" s="4" t="s">
        <v>7</v>
      </c>
      <c r="D19801" s="4" t="s">
        <v>11</v>
      </c>
      <c r="E19801" s="4" t="s">
        <v>11</v>
      </c>
      <c r="F19801" s="4" t="s">
        <v>7</v>
      </c>
    </row>
    <row r="19802" spans="1:8">
      <c r="A19802" t="n">
        <v>192356</v>
      </c>
      <c r="B19802" s="31" t="n">
        <v>25</v>
      </c>
      <c r="C19802" s="7" t="n">
        <v>1</v>
      </c>
      <c r="D19802" s="7" t="n">
        <v>65535</v>
      </c>
      <c r="E19802" s="7" t="n">
        <v>65535</v>
      </c>
      <c r="F19802" s="7" t="n">
        <v>0</v>
      </c>
    </row>
    <row r="19803" spans="1:8">
      <c r="A19803" t="s">
        <v>4</v>
      </c>
      <c r="B19803" s="4" t="s">
        <v>5</v>
      </c>
      <c r="C19803" s="4" t="s">
        <v>7</v>
      </c>
      <c r="D19803" s="4" t="s">
        <v>11</v>
      </c>
      <c r="E19803" s="4" t="s">
        <v>8</v>
      </c>
      <c r="F19803" s="4" t="s">
        <v>8</v>
      </c>
      <c r="G19803" s="4" t="s">
        <v>8</v>
      </c>
      <c r="H19803" s="4" t="s">
        <v>8</v>
      </c>
    </row>
    <row r="19804" spans="1:8">
      <c r="A19804" t="n">
        <v>192363</v>
      </c>
      <c r="B19804" s="38" t="n">
        <v>51</v>
      </c>
      <c r="C19804" s="7" t="n">
        <v>3</v>
      </c>
      <c r="D19804" s="7" t="n">
        <v>7</v>
      </c>
      <c r="E19804" s="7" t="s">
        <v>154</v>
      </c>
      <c r="F19804" s="7" t="s">
        <v>218</v>
      </c>
      <c r="G19804" s="7" t="s">
        <v>78</v>
      </c>
      <c r="H19804" s="7" t="s">
        <v>79</v>
      </c>
    </row>
    <row r="19805" spans="1:8">
      <c r="A19805" t="s">
        <v>4</v>
      </c>
      <c r="B19805" s="4" t="s">
        <v>5</v>
      </c>
      <c r="C19805" s="4" t="s">
        <v>11</v>
      </c>
      <c r="D19805" s="4" t="s">
        <v>13</v>
      </c>
      <c r="E19805" s="4" t="s">
        <v>13</v>
      </c>
      <c r="F19805" s="4" t="s">
        <v>13</v>
      </c>
      <c r="G19805" s="4" t="s">
        <v>11</v>
      </c>
      <c r="H19805" s="4" t="s">
        <v>11</v>
      </c>
    </row>
    <row r="19806" spans="1:8">
      <c r="A19806" t="n">
        <v>192376</v>
      </c>
      <c r="B19806" s="37" t="n">
        <v>60</v>
      </c>
      <c r="C19806" s="7" t="n">
        <v>7</v>
      </c>
      <c r="D19806" s="7" t="n">
        <v>0</v>
      </c>
      <c r="E19806" s="7" t="n">
        <v>0</v>
      </c>
      <c r="F19806" s="7" t="n">
        <v>0</v>
      </c>
      <c r="G19806" s="7" t="n">
        <v>1000</v>
      </c>
      <c r="H19806" s="7" t="n">
        <v>0</v>
      </c>
    </row>
    <row r="19807" spans="1:8">
      <c r="A19807" t="s">
        <v>4</v>
      </c>
      <c r="B19807" s="4" t="s">
        <v>5</v>
      </c>
      <c r="C19807" s="4" t="s">
        <v>11</v>
      </c>
      <c r="D19807" s="4" t="s">
        <v>7</v>
      </c>
      <c r="E19807" s="4" t="s">
        <v>13</v>
      </c>
      <c r="F19807" s="4" t="s">
        <v>11</v>
      </c>
    </row>
    <row r="19808" spans="1:8">
      <c r="A19808" t="n">
        <v>192395</v>
      </c>
      <c r="B19808" s="56" t="n">
        <v>59</v>
      </c>
      <c r="C19808" s="7" t="n">
        <v>7</v>
      </c>
      <c r="D19808" s="7" t="n">
        <v>13</v>
      </c>
      <c r="E19808" s="7" t="n">
        <v>0.150000005960464</v>
      </c>
      <c r="F19808" s="7" t="n">
        <v>0</v>
      </c>
    </row>
    <row r="19809" spans="1:8">
      <c r="A19809" t="s">
        <v>4</v>
      </c>
      <c r="B19809" s="4" t="s">
        <v>5</v>
      </c>
      <c r="C19809" s="4" t="s">
        <v>11</v>
      </c>
    </row>
    <row r="19810" spans="1:8">
      <c r="A19810" t="n">
        <v>192405</v>
      </c>
      <c r="B19810" s="29" t="n">
        <v>16</v>
      </c>
      <c r="C19810" s="7" t="n">
        <v>1000</v>
      </c>
    </row>
    <row r="19811" spans="1:8">
      <c r="A19811" t="s">
        <v>4</v>
      </c>
      <c r="B19811" s="4" t="s">
        <v>5</v>
      </c>
      <c r="C19811" s="4" t="s">
        <v>11</v>
      </c>
      <c r="D19811" s="4" t="s">
        <v>11</v>
      </c>
      <c r="E19811" s="4" t="s">
        <v>11</v>
      </c>
    </row>
    <row r="19812" spans="1:8">
      <c r="A19812" t="n">
        <v>192408</v>
      </c>
      <c r="B19812" s="72" t="n">
        <v>61</v>
      </c>
      <c r="C19812" s="7" t="n">
        <v>7</v>
      </c>
      <c r="D19812" s="7" t="n">
        <v>0</v>
      </c>
      <c r="E19812" s="7" t="n">
        <v>1000</v>
      </c>
    </row>
    <row r="19813" spans="1:8">
      <c r="A19813" t="s">
        <v>4</v>
      </c>
      <c r="B19813" s="4" t="s">
        <v>5</v>
      </c>
      <c r="C19813" s="4" t="s">
        <v>11</v>
      </c>
      <c r="D19813" s="4" t="s">
        <v>13</v>
      </c>
      <c r="E19813" s="4" t="s">
        <v>13</v>
      </c>
      <c r="F19813" s="4" t="s">
        <v>7</v>
      </c>
    </row>
    <row r="19814" spans="1:8">
      <c r="A19814" t="n">
        <v>192415</v>
      </c>
      <c r="B19814" s="65" t="n">
        <v>52</v>
      </c>
      <c r="C19814" s="7" t="n">
        <v>7</v>
      </c>
      <c r="D19814" s="7" t="n">
        <v>100.300003051758</v>
      </c>
      <c r="E19814" s="7" t="n">
        <v>5</v>
      </c>
      <c r="F19814" s="7" t="n">
        <v>0</v>
      </c>
    </row>
    <row r="19815" spans="1:8">
      <c r="A19815" t="s">
        <v>4</v>
      </c>
      <c r="B19815" s="4" t="s">
        <v>5</v>
      </c>
      <c r="C19815" s="4" t="s">
        <v>11</v>
      </c>
    </row>
    <row r="19816" spans="1:8">
      <c r="A19816" t="n">
        <v>192427</v>
      </c>
      <c r="B19816" s="66" t="n">
        <v>54</v>
      </c>
      <c r="C19816" s="7" t="n">
        <v>7</v>
      </c>
    </row>
    <row r="19817" spans="1:8">
      <c r="A19817" t="s">
        <v>4</v>
      </c>
      <c r="B19817" s="4" t="s">
        <v>5</v>
      </c>
      <c r="C19817" s="4" t="s">
        <v>7</v>
      </c>
      <c r="D19817" s="4" t="s">
        <v>11</v>
      </c>
    </row>
    <row r="19818" spans="1:8">
      <c r="A19818" t="n">
        <v>192430</v>
      </c>
      <c r="B19818" s="51" t="n">
        <v>45</v>
      </c>
      <c r="C19818" s="7" t="n">
        <v>7</v>
      </c>
      <c r="D19818" s="7" t="n">
        <v>255</v>
      </c>
    </row>
    <row r="19819" spans="1:8">
      <c r="A19819" t="s">
        <v>4</v>
      </c>
      <c r="B19819" s="4" t="s">
        <v>5</v>
      </c>
      <c r="C19819" s="4" t="s">
        <v>11</v>
      </c>
      <c r="D19819" s="4" t="s">
        <v>7</v>
      </c>
      <c r="E19819" s="4" t="s">
        <v>7</v>
      </c>
      <c r="F19819" s="4" t="s">
        <v>8</v>
      </c>
    </row>
    <row r="19820" spans="1:8">
      <c r="A19820" t="n">
        <v>192434</v>
      </c>
      <c r="B19820" s="50" t="n">
        <v>20</v>
      </c>
      <c r="C19820" s="7" t="n">
        <v>7</v>
      </c>
      <c r="D19820" s="7" t="n">
        <v>2</v>
      </c>
      <c r="E19820" s="7" t="n">
        <v>10</v>
      </c>
      <c r="F19820" s="7" t="s">
        <v>223</v>
      </c>
    </row>
    <row r="19821" spans="1:8">
      <c r="A19821" t="s">
        <v>4</v>
      </c>
      <c r="B19821" s="4" t="s">
        <v>5</v>
      </c>
      <c r="C19821" s="4" t="s">
        <v>7</v>
      </c>
      <c r="D19821" s="4" t="s">
        <v>11</v>
      </c>
      <c r="E19821" s="4" t="s">
        <v>8</v>
      </c>
    </row>
    <row r="19822" spans="1:8">
      <c r="A19822" t="n">
        <v>192455</v>
      </c>
      <c r="B19822" s="38" t="n">
        <v>51</v>
      </c>
      <c r="C19822" s="7" t="n">
        <v>4</v>
      </c>
      <c r="D19822" s="7" t="n">
        <v>7</v>
      </c>
      <c r="E19822" s="7" t="s">
        <v>167</v>
      </c>
    </row>
    <row r="19823" spans="1:8">
      <c r="A19823" t="s">
        <v>4</v>
      </c>
      <c r="B19823" s="4" t="s">
        <v>5</v>
      </c>
      <c r="C19823" s="4" t="s">
        <v>11</v>
      </c>
    </row>
    <row r="19824" spans="1:8">
      <c r="A19824" t="n">
        <v>192469</v>
      </c>
      <c r="B19824" s="29" t="n">
        <v>16</v>
      </c>
      <c r="C19824" s="7" t="n">
        <v>0</v>
      </c>
    </row>
    <row r="19825" spans="1:6">
      <c r="A19825" t="s">
        <v>4</v>
      </c>
      <c r="B19825" s="4" t="s">
        <v>5</v>
      </c>
      <c r="C19825" s="4" t="s">
        <v>11</v>
      </c>
      <c r="D19825" s="4" t="s">
        <v>7</v>
      </c>
      <c r="E19825" s="4" t="s">
        <v>15</v>
      </c>
      <c r="F19825" s="4" t="s">
        <v>55</v>
      </c>
      <c r="G19825" s="4" t="s">
        <v>7</v>
      </c>
      <c r="H19825" s="4" t="s">
        <v>7</v>
      </c>
      <c r="I19825" s="4" t="s">
        <v>7</v>
      </c>
      <c r="J19825" s="4" t="s">
        <v>15</v>
      </c>
      <c r="K19825" s="4" t="s">
        <v>55</v>
      </c>
      <c r="L19825" s="4" t="s">
        <v>7</v>
      </c>
      <c r="M19825" s="4" t="s">
        <v>7</v>
      </c>
    </row>
    <row r="19826" spans="1:6">
      <c r="A19826" t="n">
        <v>192472</v>
      </c>
      <c r="B19826" s="55" t="n">
        <v>26</v>
      </c>
      <c r="C19826" s="7" t="n">
        <v>7</v>
      </c>
      <c r="D19826" s="7" t="n">
        <v>17</v>
      </c>
      <c r="E19826" s="7" t="n">
        <v>64644</v>
      </c>
      <c r="F19826" s="7" t="s">
        <v>1632</v>
      </c>
      <c r="G19826" s="7" t="n">
        <v>2</v>
      </c>
      <c r="H19826" s="7" t="n">
        <v>3</v>
      </c>
      <c r="I19826" s="7" t="n">
        <v>17</v>
      </c>
      <c r="J19826" s="7" t="n">
        <v>64645</v>
      </c>
      <c r="K19826" s="7" t="s">
        <v>1633</v>
      </c>
      <c r="L19826" s="7" t="n">
        <v>2</v>
      </c>
      <c r="M19826" s="7" t="n">
        <v>0</v>
      </c>
    </row>
    <row r="19827" spans="1:6">
      <c r="A19827" t="s">
        <v>4</v>
      </c>
      <c r="B19827" s="4" t="s">
        <v>5</v>
      </c>
    </row>
    <row r="19828" spans="1:6">
      <c r="A19828" t="n">
        <v>192628</v>
      </c>
      <c r="B19828" s="27" t="n">
        <v>28</v>
      </c>
    </row>
    <row r="19829" spans="1:6">
      <c r="A19829" t="s">
        <v>4</v>
      </c>
      <c r="B19829" s="4" t="s">
        <v>5</v>
      </c>
      <c r="C19829" s="4" t="s">
        <v>7</v>
      </c>
      <c r="D19829" s="4" t="s">
        <v>11</v>
      </c>
      <c r="E19829" s="4" t="s">
        <v>8</v>
      </c>
    </row>
    <row r="19830" spans="1:6">
      <c r="A19830" t="n">
        <v>192629</v>
      </c>
      <c r="B19830" s="38" t="n">
        <v>51</v>
      </c>
      <c r="C19830" s="7" t="n">
        <v>4</v>
      </c>
      <c r="D19830" s="7" t="n">
        <v>0</v>
      </c>
      <c r="E19830" s="7" t="s">
        <v>179</v>
      </c>
    </row>
    <row r="19831" spans="1:6">
      <c r="A19831" t="s">
        <v>4</v>
      </c>
      <c r="B19831" s="4" t="s">
        <v>5</v>
      </c>
      <c r="C19831" s="4" t="s">
        <v>11</v>
      </c>
    </row>
    <row r="19832" spans="1:6">
      <c r="A19832" t="n">
        <v>192643</v>
      </c>
      <c r="B19832" s="29" t="n">
        <v>16</v>
      </c>
      <c r="C19832" s="7" t="n">
        <v>0</v>
      </c>
    </row>
    <row r="19833" spans="1:6">
      <c r="A19833" t="s">
        <v>4</v>
      </c>
      <c r="B19833" s="4" t="s">
        <v>5</v>
      </c>
      <c r="C19833" s="4" t="s">
        <v>11</v>
      </c>
      <c r="D19833" s="4" t="s">
        <v>7</v>
      </c>
      <c r="E19833" s="4" t="s">
        <v>15</v>
      </c>
      <c r="F19833" s="4" t="s">
        <v>55</v>
      </c>
      <c r="G19833" s="4" t="s">
        <v>7</v>
      </c>
      <c r="H19833" s="4" t="s">
        <v>7</v>
      </c>
      <c r="I19833" s="4" t="s">
        <v>7</v>
      </c>
      <c r="J19833" s="4" t="s">
        <v>15</v>
      </c>
      <c r="K19833" s="4" t="s">
        <v>55</v>
      </c>
      <c r="L19833" s="4" t="s">
        <v>7</v>
      </c>
      <c r="M19833" s="4" t="s">
        <v>7</v>
      </c>
    </row>
    <row r="19834" spans="1:6">
      <c r="A19834" t="n">
        <v>192646</v>
      </c>
      <c r="B19834" s="55" t="n">
        <v>26</v>
      </c>
      <c r="C19834" s="7" t="n">
        <v>0</v>
      </c>
      <c r="D19834" s="7" t="n">
        <v>17</v>
      </c>
      <c r="E19834" s="7" t="n">
        <v>64646</v>
      </c>
      <c r="F19834" s="7" t="s">
        <v>1634</v>
      </c>
      <c r="G19834" s="7" t="n">
        <v>2</v>
      </c>
      <c r="H19834" s="7" t="n">
        <v>3</v>
      </c>
      <c r="I19834" s="7" t="n">
        <v>17</v>
      </c>
      <c r="J19834" s="7" t="n">
        <v>64647</v>
      </c>
      <c r="K19834" s="7" t="s">
        <v>1635</v>
      </c>
      <c r="L19834" s="7" t="n">
        <v>2</v>
      </c>
      <c r="M19834" s="7" t="n">
        <v>0</v>
      </c>
    </row>
    <row r="19835" spans="1:6">
      <c r="A19835" t="s">
        <v>4</v>
      </c>
      <c r="B19835" s="4" t="s">
        <v>5</v>
      </c>
    </row>
    <row r="19836" spans="1:6">
      <c r="A19836" t="n">
        <v>192798</v>
      </c>
      <c r="B19836" s="27" t="n">
        <v>28</v>
      </c>
    </row>
    <row r="19837" spans="1:6">
      <c r="A19837" t="s">
        <v>4</v>
      </c>
      <c r="B19837" s="4" t="s">
        <v>5</v>
      </c>
      <c r="C19837" s="4" t="s">
        <v>7</v>
      </c>
      <c r="D19837" s="4" t="s">
        <v>11</v>
      </c>
      <c r="E19837" s="4" t="s">
        <v>11</v>
      </c>
      <c r="F19837" s="4" t="s">
        <v>7</v>
      </c>
    </row>
    <row r="19838" spans="1:6">
      <c r="A19838" t="n">
        <v>192799</v>
      </c>
      <c r="B19838" s="31" t="n">
        <v>25</v>
      </c>
      <c r="C19838" s="7" t="n">
        <v>1</v>
      </c>
      <c r="D19838" s="7" t="n">
        <v>65535</v>
      </c>
      <c r="E19838" s="7" t="n">
        <v>65535</v>
      </c>
      <c r="F19838" s="7" t="n">
        <v>0</v>
      </c>
    </row>
    <row r="19839" spans="1:6">
      <c r="A19839" t="s">
        <v>4</v>
      </c>
      <c r="B19839" s="4" t="s">
        <v>5</v>
      </c>
      <c r="C19839" s="4" t="s">
        <v>7</v>
      </c>
      <c r="D19839" s="4" t="s">
        <v>11</v>
      </c>
      <c r="E19839" s="4" t="s">
        <v>8</v>
      </c>
    </row>
    <row r="19840" spans="1:6">
      <c r="A19840" t="n">
        <v>192806</v>
      </c>
      <c r="B19840" s="38" t="n">
        <v>51</v>
      </c>
      <c r="C19840" s="7" t="n">
        <v>4</v>
      </c>
      <c r="D19840" s="7" t="n">
        <v>7</v>
      </c>
      <c r="E19840" s="7" t="s">
        <v>304</v>
      </c>
    </row>
    <row r="19841" spans="1:13">
      <c r="A19841" t="s">
        <v>4</v>
      </c>
      <c r="B19841" s="4" t="s">
        <v>5</v>
      </c>
      <c r="C19841" s="4" t="s">
        <v>11</v>
      </c>
    </row>
    <row r="19842" spans="1:13">
      <c r="A19842" t="n">
        <v>192819</v>
      </c>
      <c r="B19842" s="29" t="n">
        <v>16</v>
      </c>
      <c r="C19842" s="7" t="n">
        <v>0</v>
      </c>
    </row>
    <row r="19843" spans="1:13">
      <c r="A19843" t="s">
        <v>4</v>
      </c>
      <c r="B19843" s="4" t="s">
        <v>5</v>
      </c>
      <c r="C19843" s="4" t="s">
        <v>11</v>
      </c>
      <c r="D19843" s="4" t="s">
        <v>7</v>
      </c>
      <c r="E19843" s="4" t="s">
        <v>15</v>
      </c>
      <c r="F19843" s="4" t="s">
        <v>55</v>
      </c>
      <c r="G19843" s="4" t="s">
        <v>7</v>
      </c>
      <c r="H19843" s="4" t="s">
        <v>7</v>
      </c>
      <c r="I19843" s="4" t="s">
        <v>7</v>
      </c>
      <c r="J19843" s="4" t="s">
        <v>15</v>
      </c>
      <c r="K19843" s="4" t="s">
        <v>55</v>
      </c>
      <c r="L19843" s="4" t="s">
        <v>7</v>
      </c>
      <c r="M19843" s="4" t="s">
        <v>7</v>
      </c>
      <c r="N19843" s="4" t="s">
        <v>7</v>
      </c>
      <c r="O19843" s="4" t="s">
        <v>15</v>
      </c>
      <c r="P19843" s="4" t="s">
        <v>55</v>
      </c>
      <c r="Q19843" s="4" t="s">
        <v>7</v>
      </c>
      <c r="R19843" s="4" t="s">
        <v>7</v>
      </c>
    </row>
    <row r="19844" spans="1:13">
      <c r="A19844" t="n">
        <v>192822</v>
      </c>
      <c r="B19844" s="55" t="n">
        <v>26</v>
      </c>
      <c r="C19844" s="7" t="n">
        <v>7</v>
      </c>
      <c r="D19844" s="7" t="n">
        <v>17</v>
      </c>
      <c r="E19844" s="7" t="n">
        <v>64648</v>
      </c>
      <c r="F19844" s="7" t="s">
        <v>1636</v>
      </c>
      <c r="G19844" s="7" t="n">
        <v>2</v>
      </c>
      <c r="H19844" s="7" t="n">
        <v>3</v>
      </c>
      <c r="I19844" s="7" t="n">
        <v>17</v>
      </c>
      <c r="J19844" s="7" t="n">
        <v>64649</v>
      </c>
      <c r="K19844" s="7" t="s">
        <v>1637</v>
      </c>
      <c r="L19844" s="7" t="n">
        <v>2</v>
      </c>
      <c r="M19844" s="7" t="n">
        <v>3</v>
      </c>
      <c r="N19844" s="7" t="n">
        <v>17</v>
      </c>
      <c r="O19844" s="7" t="n">
        <v>64650</v>
      </c>
      <c r="P19844" s="7" t="s">
        <v>1638</v>
      </c>
      <c r="Q19844" s="7" t="n">
        <v>2</v>
      </c>
      <c r="R19844" s="7" t="n">
        <v>0</v>
      </c>
    </row>
    <row r="19845" spans="1:13">
      <c r="A19845" t="s">
        <v>4</v>
      </c>
      <c r="B19845" s="4" t="s">
        <v>5</v>
      </c>
    </row>
    <row r="19846" spans="1:13">
      <c r="A19846" t="n">
        <v>192974</v>
      </c>
      <c r="B19846" s="27" t="n">
        <v>28</v>
      </c>
    </row>
    <row r="19847" spans="1:13">
      <c r="A19847" t="s">
        <v>4</v>
      </c>
      <c r="B19847" s="4" t="s">
        <v>5</v>
      </c>
      <c r="C19847" s="4" t="s">
        <v>7</v>
      </c>
      <c r="D19847" s="4" t="s">
        <v>11</v>
      </c>
      <c r="E19847" s="4" t="s">
        <v>8</v>
      </c>
    </row>
    <row r="19848" spans="1:13">
      <c r="A19848" t="n">
        <v>192975</v>
      </c>
      <c r="B19848" s="38" t="n">
        <v>51</v>
      </c>
      <c r="C19848" s="7" t="n">
        <v>4</v>
      </c>
      <c r="D19848" s="7" t="n">
        <v>0</v>
      </c>
      <c r="E19848" s="7" t="s">
        <v>238</v>
      </c>
    </row>
    <row r="19849" spans="1:13">
      <c r="A19849" t="s">
        <v>4</v>
      </c>
      <c r="B19849" s="4" t="s">
        <v>5</v>
      </c>
      <c r="C19849" s="4" t="s">
        <v>11</v>
      </c>
    </row>
    <row r="19850" spans="1:13">
      <c r="A19850" t="n">
        <v>192989</v>
      </c>
      <c r="B19850" s="29" t="n">
        <v>16</v>
      </c>
      <c r="C19850" s="7" t="n">
        <v>0</v>
      </c>
    </row>
    <row r="19851" spans="1:13">
      <c r="A19851" t="s">
        <v>4</v>
      </c>
      <c r="B19851" s="4" t="s">
        <v>5</v>
      </c>
      <c r="C19851" s="4" t="s">
        <v>11</v>
      </c>
      <c r="D19851" s="4" t="s">
        <v>7</v>
      </c>
      <c r="E19851" s="4" t="s">
        <v>15</v>
      </c>
      <c r="F19851" s="4" t="s">
        <v>55</v>
      </c>
      <c r="G19851" s="4" t="s">
        <v>7</v>
      </c>
      <c r="H19851" s="4" t="s">
        <v>7</v>
      </c>
    </row>
    <row r="19852" spans="1:13">
      <c r="A19852" t="n">
        <v>192992</v>
      </c>
      <c r="B19852" s="55" t="n">
        <v>26</v>
      </c>
      <c r="C19852" s="7" t="n">
        <v>0</v>
      </c>
      <c r="D19852" s="7" t="n">
        <v>17</v>
      </c>
      <c r="E19852" s="7" t="n">
        <v>65282</v>
      </c>
      <c r="F19852" s="7" t="s">
        <v>1639</v>
      </c>
      <c r="G19852" s="7" t="n">
        <v>2</v>
      </c>
      <c r="H19852" s="7" t="n">
        <v>0</v>
      </c>
    </row>
    <row r="19853" spans="1:13">
      <c r="A19853" t="s">
        <v>4</v>
      </c>
      <c r="B19853" s="4" t="s">
        <v>5</v>
      </c>
    </row>
    <row r="19854" spans="1:13">
      <c r="A19854" t="n">
        <v>193015</v>
      </c>
      <c r="B19854" s="27" t="n">
        <v>28</v>
      </c>
    </row>
    <row r="19855" spans="1:13">
      <c r="A19855" t="s">
        <v>4</v>
      </c>
      <c r="B19855" s="4" t="s">
        <v>5</v>
      </c>
      <c r="C19855" s="4" t="s">
        <v>7</v>
      </c>
      <c r="D19855" s="4" t="s">
        <v>11</v>
      </c>
      <c r="E19855" s="4" t="s">
        <v>11</v>
      </c>
      <c r="F19855" s="4" t="s">
        <v>7</v>
      </c>
    </row>
    <row r="19856" spans="1:13">
      <c r="A19856" t="n">
        <v>193016</v>
      </c>
      <c r="B19856" s="31" t="n">
        <v>25</v>
      </c>
      <c r="C19856" s="7" t="n">
        <v>1</v>
      </c>
      <c r="D19856" s="7" t="n">
        <v>65535</v>
      </c>
      <c r="E19856" s="7" t="n">
        <v>65535</v>
      </c>
      <c r="F19856" s="7" t="n">
        <v>0</v>
      </c>
    </row>
    <row r="19857" spans="1:18">
      <c r="A19857" t="s">
        <v>4</v>
      </c>
      <c r="B19857" s="4" t="s">
        <v>5</v>
      </c>
      <c r="C19857" s="4" t="s">
        <v>11</v>
      </c>
    </row>
    <row r="19858" spans="1:18">
      <c r="A19858" t="n">
        <v>193023</v>
      </c>
      <c r="B19858" s="29" t="n">
        <v>16</v>
      </c>
      <c r="C19858" s="7" t="n">
        <v>300</v>
      </c>
    </row>
    <row r="19859" spans="1:18">
      <c r="A19859" t="s">
        <v>4</v>
      </c>
      <c r="B19859" s="4" t="s">
        <v>5</v>
      </c>
      <c r="C19859" s="4" t="s">
        <v>7</v>
      </c>
      <c r="D19859" s="4" t="s">
        <v>11</v>
      </c>
      <c r="E19859" s="4" t="s">
        <v>8</v>
      </c>
      <c r="F19859" s="4" t="s">
        <v>8</v>
      </c>
      <c r="G19859" s="4" t="s">
        <v>8</v>
      </c>
      <c r="H19859" s="4" t="s">
        <v>8</v>
      </c>
    </row>
    <row r="19860" spans="1:18">
      <c r="A19860" t="n">
        <v>193026</v>
      </c>
      <c r="B19860" s="38" t="n">
        <v>51</v>
      </c>
      <c r="C19860" s="7" t="n">
        <v>3</v>
      </c>
      <c r="D19860" s="7" t="n">
        <v>7</v>
      </c>
      <c r="E19860" s="7" t="s">
        <v>154</v>
      </c>
      <c r="F19860" s="7" t="s">
        <v>79</v>
      </c>
      <c r="G19860" s="7" t="s">
        <v>78</v>
      </c>
      <c r="H19860" s="7" t="s">
        <v>79</v>
      </c>
    </row>
    <row r="19861" spans="1:18">
      <c r="A19861" t="s">
        <v>4</v>
      </c>
      <c r="B19861" s="4" t="s">
        <v>5</v>
      </c>
      <c r="C19861" s="4" t="s">
        <v>7</v>
      </c>
      <c r="D19861" s="4" t="s">
        <v>7</v>
      </c>
      <c r="E19861" s="4" t="s">
        <v>13</v>
      </c>
      <c r="F19861" s="4" t="s">
        <v>13</v>
      </c>
      <c r="G19861" s="4" t="s">
        <v>13</v>
      </c>
      <c r="H19861" s="4" t="s">
        <v>11</v>
      </c>
    </row>
    <row r="19862" spans="1:18">
      <c r="A19862" t="n">
        <v>193039</v>
      </c>
      <c r="B19862" s="51" t="n">
        <v>45</v>
      </c>
      <c r="C19862" s="7" t="n">
        <v>2</v>
      </c>
      <c r="D19862" s="7" t="n">
        <v>3</v>
      </c>
      <c r="E19862" s="7" t="n">
        <v>-18.6700000762939</v>
      </c>
      <c r="F19862" s="7" t="n">
        <v>11.4200000762939</v>
      </c>
      <c r="G19862" s="7" t="n">
        <v>50.1300010681152</v>
      </c>
      <c r="H19862" s="7" t="n">
        <v>2000</v>
      </c>
    </row>
    <row r="19863" spans="1:18">
      <c r="A19863" t="s">
        <v>4</v>
      </c>
      <c r="B19863" s="4" t="s">
        <v>5</v>
      </c>
      <c r="C19863" s="4" t="s">
        <v>7</v>
      </c>
      <c r="D19863" s="4" t="s">
        <v>7</v>
      </c>
      <c r="E19863" s="4" t="s">
        <v>13</v>
      </c>
      <c r="F19863" s="4" t="s">
        <v>13</v>
      </c>
      <c r="G19863" s="4" t="s">
        <v>13</v>
      </c>
      <c r="H19863" s="4" t="s">
        <v>11</v>
      </c>
      <c r="I19863" s="4" t="s">
        <v>7</v>
      </c>
    </row>
    <row r="19864" spans="1:18">
      <c r="A19864" t="n">
        <v>193056</v>
      </c>
      <c r="B19864" s="51" t="n">
        <v>45</v>
      </c>
      <c r="C19864" s="7" t="n">
        <v>4</v>
      </c>
      <c r="D19864" s="7" t="n">
        <v>3</v>
      </c>
      <c r="E19864" s="7" t="n">
        <v>20.8400001525879</v>
      </c>
      <c r="F19864" s="7" t="n">
        <v>148.660003662109</v>
      </c>
      <c r="G19864" s="7" t="n">
        <v>0</v>
      </c>
      <c r="H19864" s="7" t="n">
        <v>2000</v>
      </c>
      <c r="I19864" s="7" t="n">
        <v>1</v>
      </c>
    </row>
    <row r="19865" spans="1:18">
      <c r="A19865" t="s">
        <v>4</v>
      </c>
      <c r="B19865" s="4" t="s">
        <v>5</v>
      </c>
      <c r="C19865" s="4" t="s">
        <v>7</v>
      </c>
      <c r="D19865" s="4" t="s">
        <v>7</v>
      </c>
      <c r="E19865" s="4" t="s">
        <v>13</v>
      </c>
      <c r="F19865" s="4" t="s">
        <v>11</v>
      </c>
    </row>
    <row r="19866" spans="1:18">
      <c r="A19866" t="n">
        <v>193074</v>
      </c>
      <c r="B19866" s="51" t="n">
        <v>45</v>
      </c>
      <c r="C19866" s="7" t="n">
        <v>5</v>
      </c>
      <c r="D19866" s="7" t="n">
        <v>3</v>
      </c>
      <c r="E19866" s="7" t="n">
        <v>1.29999995231628</v>
      </c>
      <c r="F19866" s="7" t="n">
        <v>2000</v>
      </c>
    </row>
    <row r="19867" spans="1:18">
      <c r="A19867" t="s">
        <v>4</v>
      </c>
      <c r="B19867" s="4" t="s">
        <v>5</v>
      </c>
      <c r="C19867" s="4" t="s">
        <v>7</v>
      </c>
      <c r="D19867" s="4" t="s">
        <v>7</v>
      </c>
      <c r="E19867" s="4" t="s">
        <v>13</v>
      </c>
      <c r="F19867" s="4" t="s">
        <v>11</v>
      </c>
    </row>
    <row r="19868" spans="1:18">
      <c r="A19868" t="n">
        <v>193083</v>
      </c>
      <c r="B19868" s="51" t="n">
        <v>45</v>
      </c>
      <c r="C19868" s="7" t="n">
        <v>11</v>
      </c>
      <c r="D19868" s="7" t="n">
        <v>3</v>
      </c>
      <c r="E19868" s="7" t="n">
        <v>34</v>
      </c>
      <c r="F19868" s="7" t="n">
        <v>2000</v>
      </c>
    </row>
    <row r="19869" spans="1:18">
      <c r="A19869" t="s">
        <v>4</v>
      </c>
      <c r="B19869" s="4" t="s">
        <v>5</v>
      </c>
      <c r="C19869" s="4" t="s">
        <v>11</v>
      </c>
      <c r="D19869" s="4" t="s">
        <v>11</v>
      </c>
      <c r="E19869" s="4" t="s">
        <v>13</v>
      </c>
      <c r="F19869" s="4" t="s">
        <v>13</v>
      </c>
      <c r="G19869" s="4" t="s">
        <v>13</v>
      </c>
      <c r="H19869" s="4" t="s">
        <v>13</v>
      </c>
      <c r="I19869" s="4" t="s">
        <v>7</v>
      </c>
      <c r="J19869" s="4" t="s">
        <v>11</v>
      </c>
    </row>
    <row r="19870" spans="1:18">
      <c r="A19870" t="n">
        <v>193092</v>
      </c>
      <c r="B19870" s="53" t="n">
        <v>55</v>
      </c>
      <c r="C19870" s="7" t="n">
        <v>0</v>
      </c>
      <c r="D19870" s="7" t="n">
        <v>65533</v>
      </c>
      <c r="E19870" s="7" t="n">
        <v>-18.4699993133545</v>
      </c>
      <c r="F19870" s="7" t="n">
        <v>10.0100002288818</v>
      </c>
      <c r="G19870" s="7" t="n">
        <v>50.1100006103516</v>
      </c>
      <c r="H19870" s="7" t="n">
        <v>0.400000005960464</v>
      </c>
      <c r="I19870" s="7" t="n">
        <v>1</v>
      </c>
      <c r="J19870" s="7" t="n">
        <v>0</v>
      </c>
    </row>
    <row r="19871" spans="1:18">
      <c r="A19871" t="s">
        <v>4</v>
      </c>
      <c r="B19871" s="4" t="s">
        <v>5</v>
      </c>
      <c r="C19871" s="4" t="s">
        <v>11</v>
      </c>
      <c r="D19871" s="4" t="s">
        <v>7</v>
      </c>
    </row>
    <row r="19872" spans="1:18">
      <c r="A19872" t="n">
        <v>193116</v>
      </c>
      <c r="B19872" s="54" t="n">
        <v>56</v>
      </c>
      <c r="C19872" s="7" t="n">
        <v>0</v>
      </c>
      <c r="D19872" s="7" t="n">
        <v>0</v>
      </c>
    </row>
    <row r="19873" spans="1:10">
      <c r="A19873" t="s">
        <v>4</v>
      </c>
      <c r="B19873" s="4" t="s">
        <v>5</v>
      </c>
      <c r="C19873" s="4" t="s">
        <v>11</v>
      </c>
    </row>
    <row r="19874" spans="1:10">
      <c r="A19874" t="n">
        <v>193120</v>
      </c>
      <c r="B19874" s="29" t="n">
        <v>16</v>
      </c>
      <c r="C19874" s="7" t="n">
        <v>500</v>
      </c>
    </row>
    <row r="19875" spans="1:10">
      <c r="A19875" t="s">
        <v>4</v>
      </c>
      <c r="B19875" s="4" t="s">
        <v>5</v>
      </c>
      <c r="C19875" s="4" t="s">
        <v>11</v>
      </c>
      <c r="D19875" s="4" t="s">
        <v>7</v>
      </c>
      <c r="E19875" s="4" t="s">
        <v>8</v>
      </c>
      <c r="F19875" s="4" t="s">
        <v>13</v>
      </c>
      <c r="G19875" s="4" t="s">
        <v>13</v>
      </c>
      <c r="H19875" s="4" t="s">
        <v>13</v>
      </c>
    </row>
    <row r="19876" spans="1:10">
      <c r="A19876" t="n">
        <v>193123</v>
      </c>
      <c r="B19876" s="42" t="n">
        <v>48</v>
      </c>
      <c r="C19876" s="7" t="n">
        <v>0</v>
      </c>
      <c r="D19876" s="7" t="n">
        <v>0</v>
      </c>
      <c r="E19876" s="7" t="s">
        <v>853</v>
      </c>
      <c r="F19876" s="7" t="n">
        <v>-1</v>
      </c>
      <c r="G19876" s="7" t="n">
        <v>1</v>
      </c>
      <c r="H19876" s="7" t="n">
        <v>0</v>
      </c>
    </row>
    <row r="19877" spans="1:10">
      <c r="A19877" t="s">
        <v>4</v>
      </c>
      <c r="B19877" s="4" t="s">
        <v>5</v>
      </c>
      <c r="C19877" s="4" t="s">
        <v>11</v>
      </c>
    </row>
    <row r="19878" spans="1:10">
      <c r="A19878" t="n">
        <v>193149</v>
      </c>
      <c r="B19878" s="29" t="n">
        <v>16</v>
      </c>
      <c r="C19878" s="7" t="n">
        <v>300</v>
      </c>
    </row>
    <row r="19879" spans="1:10">
      <c r="A19879" t="s">
        <v>4</v>
      </c>
      <c r="B19879" s="4" t="s">
        <v>5</v>
      </c>
      <c r="C19879" s="4" t="s">
        <v>7</v>
      </c>
      <c r="D19879" s="4" t="s">
        <v>11</v>
      </c>
      <c r="E19879" s="4" t="s">
        <v>13</v>
      </c>
      <c r="F19879" s="4" t="s">
        <v>11</v>
      </c>
      <c r="G19879" s="4" t="s">
        <v>15</v>
      </c>
      <c r="H19879" s="4" t="s">
        <v>15</v>
      </c>
      <c r="I19879" s="4" t="s">
        <v>11</v>
      </c>
      <c r="J19879" s="4" t="s">
        <v>11</v>
      </c>
      <c r="K19879" s="4" t="s">
        <v>15</v>
      </c>
      <c r="L19879" s="4" t="s">
        <v>15</v>
      </c>
      <c r="M19879" s="4" t="s">
        <v>15</v>
      </c>
      <c r="N19879" s="4" t="s">
        <v>15</v>
      </c>
      <c r="O19879" s="4" t="s">
        <v>8</v>
      </c>
    </row>
    <row r="19880" spans="1:10">
      <c r="A19880" t="n">
        <v>193152</v>
      </c>
      <c r="B19880" s="57" t="n">
        <v>50</v>
      </c>
      <c r="C19880" s="7" t="n">
        <v>0</v>
      </c>
      <c r="D19880" s="7" t="n">
        <v>2000</v>
      </c>
      <c r="E19880" s="7" t="n">
        <v>0.600000023841858</v>
      </c>
      <c r="F19880" s="7" t="n">
        <v>300</v>
      </c>
      <c r="G19880" s="7" t="n">
        <v>0</v>
      </c>
      <c r="H19880" s="7" t="n">
        <v>1077936128</v>
      </c>
      <c r="I19880" s="7" t="n">
        <v>0</v>
      </c>
      <c r="J19880" s="7" t="n">
        <v>65533</v>
      </c>
      <c r="K19880" s="7" t="n">
        <v>0</v>
      </c>
      <c r="L19880" s="7" t="n">
        <v>0</v>
      </c>
      <c r="M19880" s="7" t="n">
        <v>0</v>
      </c>
      <c r="N19880" s="7" t="n">
        <v>0</v>
      </c>
      <c r="O19880" s="7" t="s">
        <v>16</v>
      </c>
    </row>
    <row r="19881" spans="1:10">
      <c r="A19881" t="s">
        <v>4</v>
      </c>
      <c r="B19881" s="4" t="s">
        <v>5</v>
      </c>
      <c r="C19881" s="4" t="s">
        <v>7</v>
      </c>
      <c r="D19881" s="4" t="s">
        <v>11</v>
      </c>
      <c r="E19881" s="4" t="s">
        <v>8</v>
      </c>
      <c r="F19881" s="4" t="s">
        <v>8</v>
      </c>
      <c r="G19881" s="4" t="s">
        <v>8</v>
      </c>
      <c r="H19881" s="4" t="s">
        <v>8</v>
      </c>
    </row>
    <row r="19882" spans="1:10">
      <c r="A19882" t="n">
        <v>193191</v>
      </c>
      <c r="B19882" s="38" t="n">
        <v>51</v>
      </c>
      <c r="C19882" s="7" t="n">
        <v>3</v>
      </c>
      <c r="D19882" s="7" t="n">
        <v>7</v>
      </c>
      <c r="E19882" s="7" t="s">
        <v>319</v>
      </c>
      <c r="F19882" s="7" t="s">
        <v>99</v>
      </c>
      <c r="G19882" s="7" t="s">
        <v>78</v>
      </c>
      <c r="H19882" s="7" t="s">
        <v>79</v>
      </c>
    </row>
    <row r="19883" spans="1:10">
      <c r="A19883" t="s">
        <v>4</v>
      </c>
      <c r="B19883" s="4" t="s">
        <v>5</v>
      </c>
      <c r="C19883" s="4" t="s">
        <v>11</v>
      </c>
    </row>
    <row r="19884" spans="1:10">
      <c r="A19884" t="n">
        <v>193204</v>
      </c>
      <c r="B19884" s="29" t="n">
        <v>16</v>
      </c>
      <c r="C19884" s="7" t="n">
        <v>1500</v>
      </c>
    </row>
    <row r="19885" spans="1:10">
      <c r="A19885" t="s">
        <v>4</v>
      </c>
      <c r="B19885" s="4" t="s">
        <v>5</v>
      </c>
      <c r="C19885" s="4" t="s">
        <v>7</v>
      </c>
      <c r="D19885" s="4" t="s">
        <v>11</v>
      </c>
      <c r="E19885" s="4" t="s">
        <v>8</v>
      </c>
      <c r="F19885" s="4" t="s">
        <v>8</v>
      </c>
      <c r="G19885" s="4" t="s">
        <v>8</v>
      </c>
      <c r="H19885" s="4" t="s">
        <v>8</v>
      </c>
    </row>
    <row r="19886" spans="1:10">
      <c r="A19886" t="n">
        <v>193207</v>
      </c>
      <c r="B19886" s="38" t="n">
        <v>51</v>
      </c>
      <c r="C19886" s="7" t="n">
        <v>3</v>
      </c>
      <c r="D19886" s="7" t="n">
        <v>7</v>
      </c>
      <c r="E19886" s="7" t="s">
        <v>232</v>
      </c>
      <c r="F19886" s="7" t="s">
        <v>99</v>
      </c>
      <c r="G19886" s="7" t="s">
        <v>78</v>
      </c>
      <c r="H19886" s="7" t="s">
        <v>79</v>
      </c>
    </row>
    <row r="19887" spans="1:10">
      <c r="A19887" t="s">
        <v>4</v>
      </c>
      <c r="B19887" s="4" t="s">
        <v>5</v>
      </c>
      <c r="C19887" s="4" t="s">
        <v>7</v>
      </c>
      <c r="D19887" s="4" t="s">
        <v>11</v>
      </c>
      <c r="E19887" s="4" t="s">
        <v>13</v>
      </c>
      <c r="F19887" s="4" t="s">
        <v>11</v>
      </c>
      <c r="G19887" s="4" t="s">
        <v>15</v>
      </c>
      <c r="H19887" s="4" t="s">
        <v>15</v>
      </c>
      <c r="I19887" s="4" t="s">
        <v>11</v>
      </c>
      <c r="J19887" s="4" t="s">
        <v>11</v>
      </c>
      <c r="K19887" s="4" t="s">
        <v>15</v>
      </c>
      <c r="L19887" s="4" t="s">
        <v>15</v>
      </c>
      <c r="M19887" s="4" t="s">
        <v>15</v>
      </c>
      <c r="N19887" s="4" t="s">
        <v>15</v>
      </c>
      <c r="O19887" s="4" t="s">
        <v>8</v>
      </c>
    </row>
    <row r="19888" spans="1:10">
      <c r="A19888" t="n">
        <v>193220</v>
      </c>
      <c r="B19888" s="57" t="n">
        <v>50</v>
      </c>
      <c r="C19888" s="7" t="n">
        <v>0</v>
      </c>
      <c r="D19888" s="7" t="n">
        <v>2000</v>
      </c>
      <c r="E19888" s="7" t="n">
        <v>0.300000011920929</v>
      </c>
      <c r="F19888" s="7" t="n">
        <v>300</v>
      </c>
      <c r="G19888" s="7" t="n">
        <v>0</v>
      </c>
      <c r="H19888" s="7" t="n">
        <v>1077936128</v>
      </c>
      <c r="I19888" s="7" t="n">
        <v>0</v>
      </c>
      <c r="J19888" s="7" t="n">
        <v>65533</v>
      </c>
      <c r="K19888" s="7" t="n">
        <v>0</v>
      </c>
      <c r="L19888" s="7" t="n">
        <v>0</v>
      </c>
      <c r="M19888" s="7" t="n">
        <v>0</v>
      </c>
      <c r="N19888" s="7" t="n">
        <v>0</v>
      </c>
      <c r="O19888" s="7" t="s">
        <v>16</v>
      </c>
    </row>
    <row r="19889" spans="1:15">
      <c r="A19889" t="s">
        <v>4</v>
      </c>
      <c r="B19889" s="4" t="s">
        <v>5</v>
      </c>
      <c r="C19889" s="4" t="s">
        <v>11</v>
      </c>
    </row>
    <row r="19890" spans="1:15">
      <c r="A19890" t="n">
        <v>193259</v>
      </c>
      <c r="B19890" s="29" t="n">
        <v>16</v>
      </c>
      <c r="C19890" s="7" t="n">
        <v>500</v>
      </c>
    </row>
    <row r="19891" spans="1:15">
      <c r="A19891" t="s">
        <v>4</v>
      </c>
      <c r="B19891" s="4" t="s">
        <v>5</v>
      </c>
      <c r="C19891" s="4" t="s">
        <v>7</v>
      </c>
      <c r="D19891" s="4" t="s">
        <v>11</v>
      </c>
      <c r="E19891" s="4" t="s">
        <v>8</v>
      </c>
    </row>
    <row r="19892" spans="1:15">
      <c r="A19892" t="n">
        <v>193262</v>
      </c>
      <c r="B19892" s="38" t="n">
        <v>51</v>
      </c>
      <c r="C19892" s="7" t="n">
        <v>4</v>
      </c>
      <c r="D19892" s="7" t="n">
        <v>0</v>
      </c>
      <c r="E19892" s="7" t="s">
        <v>179</v>
      </c>
    </row>
    <row r="19893" spans="1:15">
      <c r="A19893" t="s">
        <v>4</v>
      </c>
      <c r="B19893" s="4" t="s">
        <v>5</v>
      </c>
      <c r="C19893" s="4" t="s">
        <v>11</v>
      </c>
    </row>
    <row r="19894" spans="1:15">
      <c r="A19894" t="n">
        <v>193276</v>
      </c>
      <c r="B19894" s="29" t="n">
        <v>16</v>
      </c>
      <c r="C19894" s="7" t="n">
        <v>0</v>
      </c>
    </row>
    <row r="19895" spans="1:15">
      <c r="A19895" t="s">
        <v>4</v>
      </c>
      <c r="B19895" s="4" t="s">
        <v>5</v>
      </c>
      <c r="C19895" s="4" t="s">
        <v>11</v>
      </c>
      <c r="D19895" s="4" t="s">
        <v>7</v>
      </c>
      <c r="E19895" s="4" t="s">
        <v>15</v>
      </c>
      <c r="F19895" s="4" t="s">
        <v>55</v>
      </c>
      <c r="G19895" s="4" t="s">
        <v>7</v>
      </c>
      <c r="H19895" s="4" t="s">
        <v>7</v>
      </c>
      <c r="I19895" s="4" t="s">
        <v>7</v>
      </c>
      <c r="J19895" s="4" t="s">
        <v>15</v>
      </c>
      <c r="K19895" s="4" t="s">
        <v>55</v>
      </c>
      <c r="L19895" s="4" t="s">
        <v>7</v>
      </c>
      <c r="M19895" s="4" t="s">
        <v>7</v>
      </c>
    </row>
    <row r="19896" spans="1:15">
      <c r="A19896" t="n">
        <v>193279</v>
      </c>
      <c r="B19896" s="55" t="n">
        <v>26</v>
      </c>
      <c r="C19896" s="7" t="n">
        <v>0</v>
      </c>
      <c r="D19896" s="7" t="n">
        <v>17</v>
      </c>
      <c r="E19896" s="7" t="n">
        <v>64651</v>
      </c>
      <c r="F19896" s="7" t="s">
        <v>1640</v>
      </c>
      <c r="G19896" s="7" t="n">
        <v>2</v>
      </c>
      <c r="H19896" s="7" t="n">
        <v>3</v>
      </c>
      <c r="I19896" s="7" t="n">
        <v>17</v>
      </c>
      <c r="J19896" s="7" t="n">
        <v>64652</v>
      </c>
      <c r="K19896" s="7" t="s">
        <v>1641</v>
      </c>
      <c r="L19896" s="7" t="n">
        <v>2</v>
      </c>
      <c r="M19896" s="7" t="n">
        <v>0</v>
      </c>
    </row>
    <row r="19897" spans="1:15">
      <c r="A19897" t="s">
        <v>4</v>
      </c>
      <c r="B19897" s="4" t="s">
        <v>5</v>
      </c>
    </row>
    <row r="19898" spans="1:15">
      <c r="A19898" t="n">
        <v>193521</v>
      </c>
      <c r="B19898" s="27" t="n">
        <v>28</v>
      </c>
    </row>
    <row r="19899" spans="1:15">
      <c r="A19899" t="s">
        <v>4</v>
      </c>
      <c r="B19899" s="4" t="s">
        <v>5</v>
      </c>
      <c r="C19899" s="4" t="s">
        <v>7</v>
      </c>
      <c r="D19899" s="4" t="s">
        <v>11</v>
      </c>
      <c r="E19899" s="4" t="s">
        <v>11</v>
      </c>
      <c r="F19899" s="4" t="s">
        <v>7</v>
      </c>
    </row>
    <row r="19900" spans="1:15">
      <c r="A19900" t="n">
        <v>193522</v>
      </c>
      <c r="B19900" s="31" t="n">
        <v>25</v>
      </c>
      <c r="C19900" s="7" t="n">
        <v>1</v>
      </c>
      <c r="D19900" s="7" t="n">
        <v>65535</v>
      </c>
      <c r="E19900" s="7" t="n">
        <v>65535</v>
      </c>
      <c r="F19900" s="7" t="n">
        <v>0</v>
      </c>
    </row>
    <row r="19901" spans="1:15">
      <c r="A19901" t="s">
        <v>4</v>
      </c>
      <c r="B19901" s="4" t="s">
        <v>5</v>
      </c>
      <c r="C19901" s="4" t="s">
        <v>11</v>
      </c>
      <c r="D19901" s="4" t="s">
        <v>7</v>
      </c>
      <c r="E19901" s="4" t="s">
        <v>7</v>
      </c>
      <c r="F19901" s="4" t="s">
        <v>8</v>
      </c>
    </row>
    <row r="19902" spans="1:15">
      <c r="A19902" t="n">
        <v>193529</v>
      </c>
      <c r="B19902" s="50" t="n">
        <v>20</v>
      </c>
      <c r="C19902" s="7" t="n">
        <v>7</v>
      </c>
      <c r="D19902" s="7" t="n">
        <v>2</v>
      </c>
      <c r="E19902" s="7" t="n">
        <v>10</v>
      </c>
      <c r="F19902" s="7" t="s">
        <v>260</v>
      </c>
    </row>
    <row r="19903" spans="1:15">
      <c r="A19903" t="s">
        <v>4</v>
      </c>
      <c r="B19903" s="4" t="s">
        <v>5</v>
      </c>
      <c r="C19903" s="4" t="s">
        <v>7</v>
      </c>
      <c r="D19903" s="4" t="s">
        <v>11</v>
      </c>
      <c r="E19903" s="4" t="s">
        <v>8</v>
      </c>
    </row>
    <row r="19904" spans="1:15">
      <c r="A19904" t="n">
        <v>193549</v>
      </c>
      <c r="B19904" s="38" t="n">
        <v>51</v>
      </c>
      <c r="C19904" s="7" t="n">
        <v>4</v>
      </c>
      <c r="D19904" s="7" t="n">
        <v>7</v>
      </c>
      <c r="E19904" s="7" t="s">
        <v>167</v>
      </c>
    </row>
    <row r="19905" spans="1:13">
      <c r="A19905" t="s">
        <v>4</v>
      </c>
      <c r="B19905" s="4" t="s">
        <v>5</v>
      </c>
      <c r="C19905" s="4" t="s">
        <v>11</v>
      </c>
    </row>
    <row r="19906" spans="1:13">
      <c r="A19906" t="n">
        <v>193563</v>
      </c>
      <c r="B19906" s="29" t="n">
        <v>16</v>
      </c>
      <c r="C19906" s="7" t="n">
        <v>0</v>
      </c>
    </row>
    <row r="19907" spans="1:13">
      <c r="A19907" t="s">
        <v>4</v>
      </c>
      <c r="B19907" s="4" t="s">
        <v>5</v>
      </c>
      <c r="C19907" s="4" t="s">
        <v>11</v>
      </c>
      <c r="D19907" s="4" t="s">
        <v>7</v>
      </c>
      <c r="E19907" s="4" t="s">
        <v>15</v>
      </c>
      <c r="F19907" s="4" t="s">
        <v>55</v>
      </c>
      <c r="G19907" s="4" t="s">
        <v>7</v>
      </c>
      <c r="H19907" s="4" t="s">
        <v>7</v>
      </c>
      <c r="I19907" s="4" t="s">
        <v>7</v>
      </c>
      <c r="J19907" s="4" t="s">
        <v>15</v>
      </c>
      <c r="K19907" s="4" t="s">
        <v>55</v>
      </c>
      <c r="L19907" s="4" t="s">
        <v>7</v>
      </c>
      <c r="M19907" s="4" t="s">
        <v>7</v>
      </c>
      <c r="N19907" s="4" t="s">
        <v>7</v>
      </c>
      <c r="O19907" s="4" t="s">
        <v>15</v>
      </c>
      <c r="P19907" s="4" t="s">
        <v>55</v>
      </c>
      <c r="Q19907" s="4" t="s">
        <v>7</v>
      </c>
      <c r="R19907" s="4" t="s">
        <v>7</v>
      </c>
    </row>
    <row r="19908" spans="1:13">
      <c r="A19908" t="n">
        <v>193566</v>
      </c>
      <c r="B19908" s="55" t="n">
        <v>26</v>
      </c>
      <c r="C19908" s="7" t="n">
        <v>7</v>
      </c>
      <c r="D19908" s="7" t="n">
        <v>17</v>
      </c>
      <c r="E19908" s="7" t="n">
        <v>64653</v>
      </c>
      <c r="F19908" s="7" t="s">
        <v>1642</v>
      </c>
      <c r="G19908" s="7" t="n">
        <v>2</v>
      </c>
      <c r="H19908" s="7" t="n">
        <v>3</v>
      </c>
      <c r="I19908" s="7" t="n">
        <v>17</v>
      </c>
      <c r="J19908" s="7" t="n">
        <v>64654</v>
      </c>
      <c r="K19908" s="7" t="s">
        <v>1643</v>
      </c>
      <c r="L19908" s="7" t="n">
        <v>2</v>
      </c>
      <c r="M19908" s="7" t="n">
        <v>3</v>
      </c>
      <c r="N19908" s="7" t="n">
        <v>17</v>
      </c>
      <c r="O19908" s="7" t="n">
        <v>64655</v>
      </c>
      <c r="P19908" s="7" t="s">
        <v>1644</v>
      </c>
      <c r="Q19908" s="7" t="n">
        <v>2</v>
      </c>
      <c r="R19908" s="7" t="n">
        <v>0</v>
      </c>
    </row>
    <row r="19909" spans="1:13">
      <c r="A19909" t="s">
        <v>4</v>
      </c>
      <c r="B19909" s="4" t="s">
        <v>5</v>
      </c>
    </row>
    <row r="19910" spans="1:13">
      <c r="A19910" t="n">
        <v>193699</v>
      </c>
      <c r="B19910" s="27" t="n">
        <v>28</v>
      </c>
    </row>
    <row r="19911" spans="1:13">
      <c r="A19911" t="s">
        <v>4</v>
      </c>
      <c r="B19911" s="4" t="s">
        <v>5</v>
      </c>
      <c r="C19911" s="4" t="s">
        <v>7</v>
      </c>
      <c r="D19911" s="4" t="s">
        <v>11</v>
      </c>
      <c r="E19911" s="4" t="s">
        <v>8</v>
      </c>
    </row>
    <row r="19912" spans="1:13">
      <c r="A19912" t="n">
        <v>193700</v>
      </c>
      <c r="B19912" s="38" t="n">
        <v>51</v>
      </c>
      <c r="C19912" s="7" t="n">
        <v>4</v>
      </c>
      <c r="D19912" s="7" t="n">
        <v>0</v>
      </c>
      <c r="E19912" s="7" t="s">
        <v>147</v>
      </c>
    </row>
    <row r="19913" spans="1:13">
      <c r="A19913" t="s">
        <v>4</v>
      </c>
      <c r="B19913" s="4" t="s">
        <v>5</v>
      </c>
      <c r="C19913" s="4" t="s">
        <v>11</v>
      </c>
    </row>
    <row r="19914" spans="1:13">
      <c r="A19914" t="n">
        <v>193714</v>
      </c>
      <c r="B19914" s="29" t="n">
        <v>16</v>
      </c>
      <c r="C19914" s="7" t="n">
        <v>0</v>
      </c>
    </row>
    <row r="19915" spans="1:13">
      <c r="A19915" t="s">
        <v>4</v>
      </c>
      <c r="B19915" s="4" t="s">
        <v>5</v>
      </c>
      <c r="C19915" s="4" t="s">
        <v>11</v>
      </c>
      <c r="D19915" s="4" t="s">
        <v>7</v>
      </c>
      <c r="E19915" s="4" t="s">
        <v>15</v>
      </c>
      <c r="F19915" s="4" t="s">
        <v>55</v>
      </c>
      <c r="G19915" s="4" t="s">
        <v>7</v>
      </c>
      <c r="H19915" s="4" t="s">
        <v>7</v>
      </c>
      <c r="I19915" s="4" t="s">
        <v>7</v>
      </c>
      <c r="J19915" s="4" t="s">
        <v>15</v>
      </c>
      <c r="K19915" s="4" t="s">
        <v>55</v>
      </c>
      <c r="L19915" s="4" t="s">
        <v>7</v>
      </c>
      <c r="M19915" s="4" t="s">
        <v>7</v>
      </c>
    </row>
    <row r="19916" spans="1:13">
      <c r="A19916" t="n">
        <v>193717</v>
      </c>
      <c r="B19916" s="55" t="n">
        <v>26</v>
      </c>
      <c r="C19916" s="7" t="n">
        <v>0</v>
      </c>
      <c r="D19916" s="7" t="n">
        <v>17</v>
      </c>
      <c r="E19916" s="7" t="n">
        <v>64656</v>
      </c>
      <c r="F19916" s="7" t="s">
        <v>1645</v>
      </c>
      <c r="G19916" s="7" t="n">
        <v>2</v>
      </c>
      <c r="H19916" s="7" t="n">
        <v>3</v>
      </c>
      <c r="I19916" s="7" t="n">
        <v>17</v>
      </c>
      <c r="J19916" s="7" t="n">
        <v>65283</v>
      </c>
      <c r="K19916" s="7" t="s">
        <v>1646</v>
      </c>
      <c r="L19916" s="7" t="n">
        <v>2</v>
      </c>
      <c r="M19916" s="7" t="n">
        <v>0</v>
      </c>
    </row>
    <row r="19917" spans="1:13">
      <c r="A19917" t="s">
        <v>4</v>
      </c>
      <c r="B19917" s="4" t="s">
        <v>5</v>
      </c>
    </row>
    <row r="19918" spans="1:13">
      <c r="A19918" t="n">
        <v>193802</v>
      </c>
      <c r="B19918" s="27" t="n">
        <v>28</v>
      </c>
    </row>
    <row r="19919" spans="1:13">
      <c r="A19919" t="s">
        <v>4</v>
      </c>
      <c r="B19919" s="4" t="s">
        <v>5</v>
      </c>
      <c r="C19919" s="4" t="s">
        <v>7</v>
      </c>
      <c r="D19919" s="4" t="s">
        <v>11</v>
      </c>
      <c r="E19919" s="4" t="s">
        <v>11</v>
      </c>
      <c r="F19919" s="4" t="s">
        <v>7</v>
      </c>
    </row>
    <row r="19920" spans="1:13">
      <c r="A19920" t="n">
        <v>193803</v>
      </c>
      <c r="B19920" s="31" t="n">
        <v>25</v>
      </c>
      <c r="C19920" s="7" t="n">
        <v>1</v>
      </c>
      <c r="D19920" s="7" t="n">
        <v>65535</v>
      </c>
      <c r="E19920" s="7" t="n">
        <v>65535</v>
      </c>
      <c r="F19920" s="7" t="n">
        <v>0</v>
      </c>
    </row>
    <row r="19921" spans="1:18">
      <c r="A19921" t="s">
        <v>4</v>
      </c>
      <c r="B19921" s="4" t="s">
        <v>5</v>
      </c>
      <c r="C19921" s="4" t="s">
        <v>11</v>
      </c>
    </row>
    <row r="19922" spans="1:18">
      <c r="A19922" t="n">
        <v>193810</v>
      </c>
      <c r="B19922" s="29" t="n">
        <v>16</v>
      </c>
      <c r="C19922" s="7" t="n">
        <v>300</v>
      </c>
    </row>
    <row r="19923" spans="1:18">
      <c r="A19923" t="s">
        <v>4</v>
      </c>
      <c r="B19923" s="4" t="s">
        <v>5</v>
      </c>
      <c r="C19923" s="4" t="s">
        <v>11</v>
      </c>
      <c r="D19923" s="4" t="s">
        <v>13</v>
      </c>
      <c r="E19923" s="4" t="s">
        <v>13</v>
      </c>
      <c r="F19923" s="4" t="s">
        <v>13</v>
      </c>
      <c r="G19923" s="4" t="s">
        <v>11</v>
      </c>
      <c r="H19923" s="4" t="s">
        <v>11</v>
      </c>
    </row>
    <row r="19924" spans="1:18">
      <c r="A19924" t="n">
        <v>193813</v>
      </c>
      <c r="B19924" s="37" t="n">
        <v>60</v>
      </c>
      <c r="C19924" s="7" t="n">
        <v>7</v>
      </c>
      <c r="D19924" s="7" t="n">
        <v>0</v>
      </c>
      <c r="E19924" s="7" t="n">
        <v>-10</v>
      </c>
      <c r="F19924" s="7" t="n">
        <v>0</v>
      </c>
      <c r="G19924" s="7" t="n">
        <v>1000</v>
      </c>
      <c r="H19924" s="7" t="n">
        <v>0</v>
      </c>
    </row>
    <row r="19925" spans="1:18">
      <c r="A19925" t="s">
        <v>4</v>
      </c>
      <c r="B19925" s="4" t="s">
        <v>5</v>
      </c>
      <c r="C19925" s="4" t="s">
        <v>7</v>
      </c>
      <c r="D19925" s="4" t="s">
        <v>11</v>
      </c>
      <c r="E19925" s="4" t="s">
        <v>8</v>
      </c>
    </row>
    <row r="19926" spans="1:18">
      <c r="A19926" t="n">
        <v>193832</v>
      </c>
      <c r="B19926" s="38" t="n">
        <v>51</v>
      </c>
      <c r="C19926" s="7" t="n">
        <v>4</v>
      </c>
      <c r="D19926" s="7" t="n">
        <v>7</v>
      </c>
      <c r="E19926" s="7" t="s">
        <v>110</v>
      </c>
    </row>
    <row r="19927" spans="1:18">
      <c r="A19927" t="s">
        <v>4</v>
      </c>
      <c r="B19927" s="4" t="s">
        <v>5</v>
      </c>
      <c r="C19927" s="4" t="s">
        <v>11</v>
      </c>
    </row>
    <row r="19928" spans="1:18">
      <c r="A19928" t="n">
        <v>193847</v>
      </c>
      <c r="B19928" s="29" t="n">
        <v>16</v>
      </c>
      <c r="C19928" s="7" t="n">
        <v>0</v>
      </c>
    </row>
    <row r="19929" spans="1:18">
      <c r="A19929" t="s">
        <v>4</v>
      </c>
      <c r="B19929" s="4" t="s">
        <v>5</v>
      </c>
      <c r="C19929" s="4" t="s">
        <v>11</v>
      </c>
      <c r="D19929" s="4" t="s">
        <v>7</v>
      </c>
      <c r="E19929" s="4" t="s">
        <v>15</v>
      </c>
      <c r="F19929" s="4" t="s">
        <v>55</v>
      </c>
      <c r="G19929" s="4" t="s">
        <v>7</v>
      </c>
      <c r="H19929" s="4" t="s">
        <v>7</v>
      </c>
    </row>
    <row r="19930" spans="1:18">
      <c r="A19930" t="n">
        <v>193850</v>
      </c>
      <c r="B19930" s="55" t="n">
        <v>26</v>
      </c>
      <c r="C19930" s="7" t="n">
        <v>7</v>
      </c>
      <c r="D19930" s="7" t="n">
        <v>17</v>
      </c>
      <c r="E19930" s="7" t="n">
        <v>65284</v>
      </c>
      <c r="F19930" s="7" t="s">
        <v>464</v>
      </c>
      <c r="G19930" s="7" t="n">
        <v>2</v>
      </c>
      <c r="H19930" s="7" t="n">
        <v>0</v>
      </c>
    </row>
    <row r="19931" spans="1:18">
      <c r="A19931" t="s">
        <v>4</v>
      </c>
      <c r="B19931" s="4" t="s">
        <v>5</v>
      </c>
    </row>
    <row r="19932" spans="1:18">
      <c r="A19932" t="n">
        <v>193863</v>
      </c>
      <c r="B19932" s="27" t="n">
        <v>28</v>
      </c>
    </row>
    <row r="19933" spans="1:18">
      <c r="A19933" t="s">
        <v>4</v>
      </c>
      <c r="B19933" s="4" t="s">
        <v>5</v>
      </c>
      <c r="C19933" s="4" t="s">
        <v>11</v>
      </c>
      <c r="D19933" s="4" t="s">
        <v>7</v>
      </c>
    </row>
    <row r="19934" spans="1:18">
      <c r="A19934" t="n">
        <v>193864</v>
      </c>
      <c r="B19934" s="68" t="n">
        <v>89</v>
      </c>
      <c r="C19934" s="7" t="n">
        <v>65533</v>
      </c>
      <c r="D19934" s="7" t="n">
        <v>1</v>
      </c>
    </row>
    <row r="19935" spans="1:18">
      <c r="A19935" t="s">
        <v>4</v>
      </c>
      <c r="B19935" s="4" t="s">
        <v>5</v>
      </c>
      <c r="C19935" s="4" t="s">
        <v>11</v>
      </c>
    </row>
    <row r="19936" spans="1:18">
      <c r="A19936" t="n">
        <v>193868</v>
      </c>
      <c r="B19936" s="29" t="n">
        <v>16</v>
      </c>
      <c r="C19936" s="7" t="n">
        <v>300</v>
      </c>
    </row>
    <row r="19937" spans="1:8">
      <c r="A19937" t="s">
        <v>4</v>
      </c>
      <c r="B19937" s="4" t="s">
        <v>5</v>
      </c>
      <c r="C19937" s="4" t="s">
        <v>7</v>
      </c>
      <c r="D19937" s="4" t="s">
        <v>11</v>
      </c>
      <c r="E19937" s="4" t="s">
        <v>7</v>
      </c>
      <c r="F19937" s="4" t="s">
        <v>7</v>
      </c>
      <c r="G19937" s="4" t="s">
        <v>12</v>
      </c>
    </row>
    <row r="19938" spans="1:8">
      <c r="A19938" t="n">
        <v>193871</v>
      </c>
      <c r="B19938" s="10" t="n">
        <v>5</v>
      </c>
      <c r="C19938" s="7" t="n">
        <v>30</v>
      </c>
      <c r="D19938" s="7" t="n">
        <v>10841</v>
      </c>
      <c r="E19938" s="7" t="n">
        <v>8</v>
      </c>
      <c r="F19938" s="7" t="n">
        <v>1</v>
      </c>
      <c r="G19938" s="11" t="n">
        <f t="normal" ca="1">A20050</f>
        <v>0</v>
      </c>
    </row>
    <row r="19939" spans="1:8">
      <c r="A19939" t="s">
        <v>4</v>
      </c>
      <c r="B19939" s="4" t="s">
        <v>5</v>
      </c>
      <c r="C19939" s="4" t="s">
        <v>7</v>
      </c>
      <c r="D19939" s="4" t="s">
        <v>11</v>
      </c>
      <c r="E19939" s="4" t="s">
        <v>8</v>
      </c>
    </row>
    <row r="19940" spans="1:8">
      <c r="A19940" t="n">
        <v>193881</v>
      </c>
      <c r="B19940" s="38" t="n">
        <v>51</v>
      </c>
      <c r="C19940" s="7" t="n">
        <v>4</v>
      </c>
      <c r="D19940" s="7" t="n">
        <v>0</v>
      </c>
      <c r="E19940" s="7" t="s">
        <v>245</v>
      </c>
    </row>
    <row r="19941" spans="1:8">
      <c r="A19941" t="s">
        <v>4</v>
      </c>
      <c r="B19941" s="4" t="s">
        <v>5</v>
      </c>
      <c r="C19941" s="4" t="s">
        <v>11</v>
      </c>
    </row>
    <row r="19942" spans="1:8">
      <c r="A19942" t="n">
        <v>193895</v>
      </c>
      <c r="B19942" s="29" t="n">
        <v>16</v>
      </c>
      <c r="C19942" s="7" t="n">
        <v>0</v>
      </c>
    </row>
    <row r="19943" spans="1:8">
      <c r="A19943" t="s">
        <v>4</v>
      </c>
      <c r="B19943" s="4" t="s">
        <v>5</v>
      </c>
      <c r="C19943" s="4" t="s">
        <v>11</v>
      </c>
      <c r="D19943" s="4" t="s">
        <v>7</v>
      </c>
      <c r="E19943" s="4" t="s">
        <v>15</v>
      </c>
      <c r="F19943" s="4" t="s">
        <v>55</v>
      </c>
      <c r="G19943" s="4" t="s">
        <v>7</v>
      </c>
      <c r="H19943" s="4" t="s">
        <v>7</v>
      </c>
    </row>
    <row r="19944" spans="1:8">
      <c r="A19944" t="n">
        <v>193898</v>
      </c>
      <c r="B19944" s="55" t="n">
        <v>26</v>
      </c>
      <c r="C19944" s="7" t="n">
        <v>0</v>
      </c>
      <c r="D19944" s="7" t="n">
        <v>17</v>
      </c>
      <c r="E19944" s="7" t="n">
        <v>64566</v>
      </c>
      <c r="F19944" s="7" t="s">
        <v>1547</v>
      </c>
      <c r="G19944" s="7" t="n">
        <v>2</v>
      </c>
      <c r="H19944" s="7" t="n">
        <v>0</v>
      </c>
    </row>
    <row r="19945" spans="1:8">
      <c r="A19945" t="s">
        <v>4</v>
      </c>
      <c r="B19945" s="4" t="s">
        <v>5</v>
      </c>
    </row>
    <row r="19946" spans="1:8">
      <c r="A19946" t="n">
        <v>193927</v>
      </c>
      <c r="B19946" s="27" t="n">
        <v>28</v>
      </c>
    </row>
    <row r="19947" spans="1:8">
      <c r="A19947" t="s">
        <v>4</v>
      </c>
      <c r="B19947" s="4" t="s">
        <v>5</v>
      </c>
      <c r="C19947" s="4" t="s">
        <v>7</v>
      </c>
      <c r="D19947" s="4" t="s">
        <v>11</v>
      </c>
      <c r="E19947" s="4" t="s">
        <v>11</v>
      </c>
      <c r="F19947" s="4" t="s">
        <v>7</v>
      </c>
    </row>
    <row r="19948" spans="1:8">
      <c r="A19948" t="n">
        <v>193928</v>
      </c>
      <c r="B19948" s="31" t="n">
        <v>25</v>
      </c>
      <c r="C19948" s="7" t="n">
        <v>1</v>
      </c>
      <c r="D19948" s="7" t="n">
        <v>65535</v>
      </c>
      <c r="E19948" s="7" t="n">
        <v>65535</v>
      </c>
      <c r="F19948" s="7" t="n">
        <v>0</v>
      </c>
    </row>
    <row r="19949" spans="1:8">
      <c r="A19949" t="s">
        <v>4</v>
      </c>
      <c r="B19949" s="4" t="s">
        <v>5</v>
      </c>
      <c r="C19949" s="4" t="s">
        <v>11</v>
      </c>
      <c r="D19949" s="4" t="s">
        <v>13</v>
      </c>
      <c r="E19949" s="4" t="s">
        <v>13</v>
      </c>
      <c r="F19949" s="4" t="s">
        <v>13</v>
      </c>
      <c r="G19949" s="4" t="s">
        <v>11</v>
      </c>
      <c r="H19949" s="4" t="s">
        <v>11</v>
      </c>
    </row>
    <row r="19950" spans="1:8">
      <c r="A19950" t="n">
        <v>193935</v>
      </c>
      <c r="B19950" s="37" t="n">
        <v>60</v>
      </c>
      <c r="C19950" s="7" t="n">
        <v>7</v>
      </c>
      <c r="D19950" s="7" t="n">
        <v>0</v>
      </c>
      <c r="E19950" s="7" t="n">
        <v>0</v>
      </c>
      <c r="F19950" s="7" t="n">
        <v>0</v>
      </c>
      <c r="G19950" s="7" t="n">
        <v>1000</v>
      </c>
      <c r="H19950" s="7" t="n">
        <v>0</v>
      </c>
    </row>
    <row r="19951" spans="1:8">
      <c r="A19951" t="s">
        <v>4</v>
      </c>
      <c r="B19951" s="4" t="s">
        <v>5</v>
      </c>
      <c r="C19951" s="4" t="s">
        <v>7</v>
      </c>
      <c r="D19951" s="4" t="s">
        <v>11</v>
      </c>
      <c r="E19951" s="4" t="s">
        <v>8</v>
      </c>
    </row>
    <row r="19952" spans="1:8">
      <c r="A19952" t="n">
        <v>193954</v>
      </c>
      <c r="B19952" s="38" t="n">
        <v>51</v>
      </c>
      <c r="C19952" s="7" t="n">
        <v>4</v>
      </c>
      <c r="D19952" s="7" t="n">
        <v>7</v>
      </c>
      <c r="E19952" s="7" t="s">
        <v>173</v>
      </c>
    </row>
    <row r="19953" spans="1:8">
      <c r="A19953" t="s">
        <v>4</v>
      </c>
      <c r="B19953" s="4" t="s">
        <v>5</v>
      </c>
      <c r="C19953" s="4" t="s">
        <v>11</v>
      </c>
    </row>
    <row r="19954" spans="1:8">
      <c r="A19954" t="n">
        <v>193967</v>
      </c>
      <c r="B19954" s="29" t="n">
        <v>16</v>
      </c>
      <c r="C19954" s="7" t="n">
        <v>500</v>
      </c>
    </row>
    <row r="19955" spans="1:8">
      <c r="A19955" t="s">
        <v>4</v>
      </c>
      <c r="B19955" s="4" t="s">
        <v>5</v>
      </c>
      <c r="C19955" s="4" t="s">
        <v>11</v>
      </c>
      <c r="D19955" s="4" t="s">
        <v>7</v>
      </c>
      <c r="E19955" s="4" t="s">
        <v>15</v>
      </c>
      <c r="F19955" s="4" t="s">
        <v>55</v>
      </c>
      <c r="G19955" s="4" t="s">
        <v>7</v>
      </c>
      <c r="H19955" s="4" t="s">
        <v>7</v>
      </c>
    </row>
    <row r="19956" spans="1:8">
      <c r="A19956" t="n">
        <v>193970</v>
      </c>
      <c r="B19956" s="55" t="n">
        <v>26</v>
      </c>
      <c r="C19956" s="7" t="n">
        <v>7</v>
      </c>
      <c r="D19956" s="7" t="n">
        <v>17</v>
      </c>
      <c r="E19956" s="7" t="n">
        <v>64657</v>
      </c>
      <c r="F19956" s="7" t="s">
        <v>1647</v>
      </c>
      <c r="G19956" s="7" t="n">
        <v>2</v>
      </c>
      <c r="H19956" s="7" t="n">
        <v>0</v>
      </c>
    </row>
    <row r="19957" spans="1:8">
      <c r="A19957" t="s">
        <v>4</v>
      </c>
      <c r="B19957" s="4" t="s">
        <v>5</v>
      </c>
    </row>
    <row r="19958" spans="1:8">
      <c r="A19958" t="n">
        <v>193988</v>
      </c>
      <c r="B19958" s="27" t="n">
        <v>28</v>
      </c>
    </row>
    <row r="19959" spans="1:8">
      <c r="A19959" t="s">
        <v>4</v>
      </c>
      <c r="B19959" s="4" t="s">
        <v>5</v>
      </c>
      <c r="C19959" s="4" t="s">
        <v>11</v>
      </c>
      <c r="D19959" s="4" t="s">
        <v>7</v>
      </c>
    </row>
    <row r="19960" spans="1:8">
      <c r="A19960" t="n">
        <v>193989</v>
      </c>
      <c r="B19960" s="68" t="n">
        <v>89</v>
      </c>
      <c r="C19960" s="7" t="n">
        <v>65533</v>
      </c>
      <c r="D19960" s="7" t="n">
        <v>1</v>
      </c>
    </row>
    <row r="19961" spans="1:8">
      <c r="A19961" t="s">
        <v>4</v>
      </c>
      <c r="B19961" s="4" t="s">
        <v>5</v>
      </c>
      <c r="C19961" s="4" t="s">
        <v>11</v>
      </c>
      <c r="D19961" s="4" t="s">
        <v>11</v>
      </c>
      <c r="E19961" s="4" t="s">
        <v>11</v>
      </c>
    </row>
    <row r="19962" spans="1:8">
      <c r="A19962" t="n">
        <v>193993</v>
      </c>
      <c r="B19962" s="72" t="n">
        <v>61</v>
      </c>
      <c r="C19962" s="7" t="n">
        <v>7</v>
      </c>
      <c r="D19962" s="7" t="n">
        <v>65533</v>
      </c>
      <c r="E19962" s="7" t="n">
        <v>1000</v>
      </c>
    </row>
    <row r="19963" spans="1:8">
      <c r="A19963" t="s">
        <v>4</v>
      </c>
      <c r="B19963" s="4" t="s">
        <v>5</v>
      </c>
      <c r="C19963" s="4" t="s">
        <v>11</v>
      </c>
      <c r="D19963" s="4" t="s">
        <v>13</v>
      </c>
      <c r="E19963" s="4" t="s">
        <v>13</v>
      </c>
      <c r="F19963" s="4" t="s">
        <v>13</v>
      </c>
      <c r="G19963" s="4" t="s">
        <v>11</v>
      </c>
      <c r="H19963" s="4" t="s">
        <v>11</v>
      </c>
    </row>
    <row r="19964" spans="1:8">
      <c r="A19964" t="n">
        <v>194000</v>
      </c>
      <c r="B19964" s="37" t="n">
        <v>60</v>
      </c>
      <c r="C19964" s="7" t="n">
        <v>7</v>
      </c>
      <c r="D19964" s="7" t="n">
        <v>0</v>
      </c>
      <c r="E19964" s="7" t="n">
        <v>-20</v>
      </c>
      <c r="F19964" s="7" t="n">
        <v>0</v>
      </c>
      <c r="G19964" s="7" t="n">
        <v>800</v>
      </c>
      <c r="H19964" s="7" t="n">
        <v>0</v>
      </c>
    </row>
    <row r="19965" spans="1:8">
      <c r="A19965" t="s">
        <v>4</v>
      </c>
      <c r="B19965" s="4" t="s">
        <v>5</v>
      </c>
      <c r="C19965" s="4" t="s">
        <v>11</v>
      </c>
      <c r="D19965" s="4" t="s">
        <v>13</v>
      </c>
      <c r="E19965" s="4" t="s">
        <v>13</v>
      </c>
      <c r="F19965" s="4" t="s">
        <v>7</v>
      </c>
    </row>
    <row r="19966" spans="1:8">
      <c r="A19966" t="n">
        <v>194019</v>
      </c>
      <c r="B19966" s="65" t="n">
        <v>52</v>
      </c>
      <c r="C19966" s="7" t="n">
        <v>7</v>
      </c>
      <c r="D19966" s="7" t="n">
        <v>0</v>
      </c>
      <c r="E19966" s="7" t="n">
        <v>5</v>
      </c>
      <c r="F19966" s="7" t="n">
        <v>0</v>
      </c>
    </row>
    <row r="19967" spans="1:8">
      <c r="A19967" t="s">
        <v>4</v>
      </c>
      <c r="B19967" s="4" t="s">
        <v>5</v>
      </c>
      <c r="C19967" s="4" t="s">
        <v>11</v>
      </c>
    </row>
    <row r="19968" spans="1:8">
      <c r="A19968" t="n">
        <v>194031</v>
      </c>
      <c r="B19968" s="66" t="n">
        <v>54</v>
      </c>
      <c r="C19968" s="7" t="n">
        <v>7</v>
      </c>
    </row>
    <row r="19969" spans="1:8">
      <c r="A19969" t="s">
        <v>4</v>
      </c>
      <c r="B19969" s="4" t="s">
        <v>5</v>
      </c>
      <c r="C19969" s="4" t="s">
        <v>7</v>
      </c>
      <c r="D19969" s="4" t="s">
        <v>11</v>
      </c>
      <c r="E19969" s="4" t="s">
        <v>8</v>
      </c>
    </row>
    <row r="19970" spans="1:8">
      <c r="A19970" t="n">
        <v>194034</v>
      </c>
      <c r="B19970" s="38" t="n">
        <v>51</v>
      </c>
      <c r="C19970" s="7" t="n">
        <v>4</v>
      </c>
      <c r="D19970" s="7" t="n">
        <v>7</v>
      </c>
      <c r="E19970" s="7" t="s">
        <v>167</v>
      </c>
    </row>
    <row r="19971" spans="1:8">
      <c r="A19971" t="s">
        <v>4</v>
      </c>
      <c r="B19971" s="4" t="s">
        <v>5</v>
      </c>
      <c r="C19971" s="4" t="s">
        <v>11</v>
      </c>
    </row>
    <row r="19972" spans="1:8">
      <c r="A19972" t="n">
        <v>194048</v>
      </c>
      <c r="B19972" s="29" t="n">
        <v>16</v>
      </c>
      <c r="C19972" s="7" t="n">
        <v>0</v>
      </c>
    </row>
    <row r="19973" spans="1:8">
      <c r="A19973" t="s">
        <v>4</v>
      </c>
      <c r="B19973" s="4" t="s">
        <v>5</v>
      </c>
      <c r="C19973" s="4" t="s">
        <v>11</v>
      </c>
      <c r="D19973" s="4" t="s">
        <v>7</v>
      </c>
      <c r="E19973" s="4" t="s">
        <v>15</v>
      </c>
      <c r="F19973" s="4" t="s">
        <v>55</v>
      </c>
      <c r="G19973" s="4" t="s">
        <v>7</v>
      </c>
      <c r="H19973" s="4" t="s">
        <v>7</v>
      </c>
    </row>
    <row r="19974" spans="1:8">
      <c r="A19974" t="n">
        <v>194051</v>
      </c>
      <c r="B19974" s="55" t="n">
        <v>26</v>
      </c>
      <c r="C19974" s="7" t="n">
        <v>7</v>
      </c>
      <c r="D19974" s="7" t="n">
        <v>17</v>
      </c>
      <c r="E19974" s="7" t="n">
        <v>64658</v>
      </c>
      <c r="F19974" s="7" t="s">
        <v>1648</v>
      </c>
      <c r="G19974" s="7" t="n">
        <v>2</v>
      </c>
      <c r="H19974" s="7" t="n">
        <v>0</v>
      </c>
    </row>
    <row r="19975" spans="1:8">
      <c r="A19975" t="s">
        <v>4</v>
      </c>
      <c r="B19975" s="4" t="s">
        <v>5</v>
      </c>
    </row>
    <row r="19976" spans="1:8">
      <c r="A19976" t="n">
        <v>194115</v>
      </c>
      <c r="B19976" s="27" t="n">
        <v>28</v>
      </c>
    </row>
    <row r="19977" spans="1:8">
      <c r="A19977" t="s">
        <v>4</v>
      </c>
      <c r="B19977" s="4" t="s">
        <v>5</v>
      </c>
      <c r="C19977" s="4" t="s">
        <v>11</v>
      </c>
      <c r="D19977" s="4" t="s">
        <v>7</v>
      </c>
    </row>
    <row r="19978" spans="1:8">
      <c r="A19978" t="n">
        <v>194116</v>
      </c>
      <c r="B19978" s="68" t="n">
        <v>89</v>
      </c>
      <c r="C19978" s="7" t="n">
        <v>65533</v>
      </c>
      <c r="D19978" s="7" t="n">
        <v>1</v>
      </c>
    </row>
    <row r="19979" spans="1:8">
      <c r="A19979" t="s">
        <v>4</v>
      </c>
      <c r="B19979" s="4" t="s">
        <v>5</v>
      </c>
      <c r="C19979" s="4" t="s">
        <v>11</v>
      </c>
      <c r="D19979" s="4" t="s">
        <v>13</v>
      </c>
      <c r="E19979" s="4" t="s">
        <v>13</v>
      </c>
      <c r="F19979" s="4" t="s">
        <v>7</v>
      </c>
    </row>
    <row r="19980" spans="1:8">
      <c r="A19980" t="n">
        <v>194120</v>
      </c>
      <c r="B19980" s="65" t="n">
        <v>52</v>
      </c>
      <c r="C19980" s="7" t="n">
        <v>7</v>
      </c>
      <c r="D19980" s="7" t="n">
        <v>100.300003051758</v>
      </c>
      <c r="E19980" s="7" t="n">
        <v>5</v>
      </c>
      <c r="F19980" s="7" t="n">
        <v>0</v>
      </c>
    </row>
    <row r="19981" spans="1:8">
      <c r="A19981" t="s">
        <v>4</v>
      </c>
      <c r="B19981" s="4" t="s">
        <v>5</v>
      </c>
      <c r="C19981" s="4" t="s">
        <v>11</v>
      </c>
      <c r="D19981" s="4" t="s">
        <v>13</v>
      </c>
      <c r="E19981" s="4" t="s">
        <v>13</v>
      </c>
      <c r="F19981" s="4" t="s">
        <v>13</v>
      </c>
      <c r="G19981" s="4" t="s">
        <v>11</v>
      </c>
      <c r="H19981" s="4" t="s">
        <v>11</v>
      </c>
    </row>
    <row r="19982" spans="1:8">
      <c r="A19982" t="n">
        <v>194132</v>
      </c>
      <c r="B19982" s="37" t="n">
        <v>60</v>
      </c>
      <c r="C19982" s="7" t="n">
        <v>7</v>
      </c>
      <c r="D19982" s="7" t="n">
        <v>0</v>
      </c>
      <c r="E19982" s="7" t="n">
        <v>0</v>
      </c>
      <c r="F19982" s="7" t="n">
        <v>0</v>
      </c>
      <c r="G19982" s="7" t="n">
        <v>800</v>
      </c>
      <c r="H19982" s="7" t="n">
        <v>0</v>
      </c>
    </row>
    <row r="19983" spans="1:8">
      <c r="A19983" t="s">
        <v>4</v>
      </c>
      <c r="B19983" s="4" t="s">
        <v>5</v>
      </c>
      <c r="C19983" s="4" t="s">
        <v>11</v>
      </c>
    </row>
    <row r="19984" spans="1:8">
      <c r="A19984" t="n">
        <v>194151</v>
      </c>
      <c r="B19984" s="66" t="n">
        <v>54</v>
      </c>
      <c r="C19984" s="7" t="n">
        <v>7</v>
      </c>
    </row>
    <row r="19985" spans="1:8">
      <c r="A19985" t="s">
        <v>4</v>
      </c>
      <c r="B19985" s="4" t="s">
        <v>5</v>
      </c>
      <c r="C19985" s="4" t="s">
        <v>7</v>
      </c>
      <c r="D19985" s="4" t="s">
        <v>11</v>
      </c>
      <c r="E19985" s="4" t="s">
        <v>8</v>
      </c>
      <c r="F19985" s="4" t="s">
        <v>8</v>
      </c>
      <c r="G19985" s="4" t="s">
        <v>8</v>
      </c>
      <c r="H19985" s="4" t="s">
        <v>8</v>
      </c>
    </row>
    <row r="19986" spans="1:8">
      <c r="A19986" t="n">
        <v>194154</v>
      </c>
      <c r="B19986" s="38" t="n">
        <v>51</v>
      </c>
      <c r="C19986" s="7" t="n">
        <v>3</v>
      </c>
      <c r="D19986" s="7" t="n">
        <v>7</v>
      </c>
      <c r="E19986" s="7" t="s">
        <v>232</v>
      </c>
      <c r="F19986" s="7" t="s">
        <v>99</v>
      </c>
      <c r="G19986" s="7" t="s">
        <v>78</v>
      </c>
      <c r="H19986" s="7" t="s">
        <v>79</v>
      </c>
    </row>
    <row r="19987" spans="1:8">
      <c r="A19987" t="s">
        <v>4</v>
      </c>
      <c r="B19987" s="4" t="s">
        <v>5</v>
      </c>
      <c r="C19987" s="4" t="s">
        <v>11</v>
      </c>
      <c r="D19987" s="4" t="s">
        <v>13</v>
      </c>
      <c r="E19987" s="4" t="s">
        <v>13</v>
      </c>
      <c r="F19987" s="4" t="s">
        <v>13</v>
      </c>
      <c r="G19987" s="4" t="s">
        <v>11</v>
      </c>
      <c r="H19987" s="4" t="s">
        <v>11</v>
      </c>
    </row>
    <row r="19988" spans="1:8">
      <c r="A19988" t="n">
        <v>194167</v>
      </c>
      <c r="B19988" s="37" t="n">
        <v>60</v>
      </c>
      <c r="C19988" s="7" t="n">
        <v>7</v>
      </c>
      <c r="D19988" s="7" t="n">
        <v>0</v>
      </c>
      <c r="E19988" s="7" t="n">
        <v>15</v>
      </c>
      <c r="F19988" s="7" t="n">
        <v>0</v>
      </c>
      <c r="G19988" s="7" t="n">
        <v>800</v>
      </c>
      <c r="H19988" s="7" t="n">
        <v>0</v>
      </c>
    </row>
    <row r="19989" spans="1:8">
      <c r="A19989" t="s">
        <v>4</v>
      </c>
      <c r="B19989" s="4" t="s">
        <v>5</v>
      </c>
      <c r="C19989" s="4" t="s">
        <v>11</v>
      </c>
    </row>
    <row r="19990" spans="1:8">
      <c r="A19990" t="n">
        <v>194186</v>
      </c>
      <c r="B19990" s="29" t="n">
        <v>16</v>
      </c>
      <c r="C19990" s="7" t="n">
        <v>500</v>
      </c>
    </row>
    <row r="19991" spans="1:8">
      <c r="A19991" t="s">
        <v>4</v>
      </c>
      <c r="B19991" s="4" t="s">
        <v>5</v>
      </c>
      <c r="C19991" s="4" t="s">
        <v>7</v>
      </c>
      <c r="D19991" s="4" t="s">
        <v>11</v>
      </c>
      <c r="E19991" s="4" t="s">
        <v>13</v>
      </c>
    </row>
    <row r="19992" spans="1:8">
      <c r="A19992" t="n">
        <v>194189</v>
      </c>
      <c r="B19992" s="23" t="n">
        <v>58</v>
      </c>
      <c r="C19992" s="7" t="n">
        <v>0</v>
      </c>
      <c r="D19992" s="7" t="n">
        <v>300</v>
      </c>
      <c r="E19992" s="7" t="n">
        <v>0.300000011920929</v>
      </c>
    </row>
    <row r="19993" spans="1:8">
      <c r="A19993" t="s">
        <v>4</v>
      </c>
      <c r="B19993" s="4" t="s">
        <v>5</v>
      </c>
      <c r="C19993" s="4" t="s">
        <v>7</v>
      </c>
      <c r="D19993" s="4" t="s">
        <v>11</v>
      </c>
    </row>
    <row r="19994" spans="1:8">
      <c r="A19994" t="n">
        <v>194197</v>
      </c>
      <c r="B19994" s="23" t="n">
        <v>58</v>
      </c>
      <c r="C19994" s="7" t="n">
        <v>255</v>
      </c>
      <c r="D19994" s="7" t="n">
        <v>0</v>
      </c>
    </row>
    <row r="19995" spans="1:8">
      <c r="A19995" t="s">
        <v>4</v>
      </c>
      <c r="B19995" s="4" t="s">
        <v>5</v>
      </c>
      <c r="C19995" s="4" t="s">
        <v>7</v>
      </c>
      <c r="D19995" s="4" t="s">
        <v>11</v>
      </c>
      <c r="E19995" s="4" t="s">
        <v>11</v>
      </c>
      <c r="F19995" s="4" t="s">
        <v>11</v>
      </c>
      <c r="G19995" s="4" t="s">
        <v>11</v>
      </c>
      <c r="H19995" s="4" t="s">
        <v>7</v>
      </c>
    </row>
    <row r="19996" spans="1:8">
      <c r="A19996" t="n">
        <v>194201</v>
      </c>
      <c r="B19996" s="31" t="n">
        <v>25</v>
      </c>
      <c r="C19996" s="7" t="n">
        <v>5</v>
      </c>
      <c r="D19996" s="7" t="n">
        <v>65535</v>
      </c>
      <c r="E19996" s="7" t="n">
        <v>500</v>
      </c>
      <c r="F19996" s="7" t="n">
        <v>800</v>
      </c>
      <c r="G19996" s="7" t="n">
        <v>140</v>
      </c>
      <c r="H19996" s="7" t="n">
        <v>0</v>
      </c>
    </row>
    <row r="19997" spans="1:8">
      <c r="A19997" t="s">
        <v>4</v>
      </c>
      <c r="B19997" s="4" t="s">
        <v>5</v>
      </c>
      <c r="C19997" s="4" t="s">
        <v>7</v>
      </c>
      <c r="D19997" s="4" t="s">
        <v>11</v>
      </c>
      <c r="E19997" s="4" t="s">
        <v>13</v>
      </c>
      <c r="F19997" s="4" t="s">
        <v>11</v>
      </c>
      <c r="G19997" s="4" t="s">
        <v>15</v>
      </c>
      <c r="H19997" s="4" t="s">
        <v>15</v>
      </c>
      <c r="I19997" s="4" t="s">
        <v>11</v>
      </c>
      <c r="J19997" s="4" t="s">
        <v>11</v>
      </c>
      <c r="K19997" s="4" t="s">
        <v>15</v>
      </c>
      <c r="L19997" s="4" t="s">
        <v>15</v>
      </c>
      <c r="M19997" s="4" t="s">
        <v>15</v>
      </c>
      <c r="N19997" s="4" t="s">
        <v>15</v>
      </c>
      <c r="O19997" s="4" t="s">
        <v>8</v>
      </c>
    </row>
    <row r="19998" spans="1:8">
      <c r="A19998" t="n">
        <v>194212</v>
      </c>
      <c r="B19998" s="57" t="n">
        <v>50</v>
      </c>
      <c r="C19998" s="7" t="n">
        <v>0</v>
      </c>
      <c r="D19998" s="7" t="n">
        <v>12010</v>
      </c>
      <c r="E19998" s="7" t="n">
        <v>1</v>
      </c>
      <c r="F19998" s="7" t="n">
        <v>0</v>
      </c>
      <c r="G19998" s="7" t="n">
        <v>0</v>
      </c>
      <c r="H19998" s="7" t="n">
        <v>0</v>
      </c>
      <c r="I19998" s="7" t="n">
        <v>0</v>
      </c>
      <c r="J19998" s="7" t="n">
        <v>65533</v>
      </c>
      <c r="K19998" s="7" t="n">
        <v>0</v>
      </c>
      <c r="L19998" s="7" t="n">
        <v>0</v>
      </c>
      <c r="M19998" s="7" t="n">
        <v>0</v>
      </c>
      <c r="N19998" s="7" t="n">
        <v>0</v>
      </c>
      <c r="O19998" s="7" t="s">
        <v>16</v>
      </c>
    </row>
    <row r="19999" spans="1:8">
      <c r="A19999" t="s">
        <v>4</v>
      </c>
      <c r="B19999" s="4" t="s">
        <v>5</v>
      </c>
      <c r="C19999" s="4" t="s">
        <v>11</v>
      </c>
      <c r="D19999" s="4" t="s">
        <v>7</v>
      </c>
      <c r="E19999" s="4" t="s">
        <v>7</v>
      </c>
      <c r="F19999" s="4" t="s">
        <v>55</v>
      </c>
      <c r="G19999" s="4" t="s">
        <v>7</v>
      </c>
      <c r="H19999" s="4" t="s">
        <v>7</v>
      </c>
      <c r="I19999" s="4" t="s">
        <v>7</v>
      </c>
    </row>
    <row r="20000" spans="1:8">
      <c r="A20000" t="n">
        <v>194251</v>
      </c>
      <c r="B20000" s="32" t="n">
        <v>24</v>
      </c>
      <c r="C20000" s="7" t="n">
        <v>65533</v>
      </c>
      <c r="D20000" s="7" t="n">
        <v>11</v>
      </c>
      <c r="E20000" s="7" t="n">
        <v>6</v>
      </c>
      <c r="F20000" s="7" t="s">
        <v>1649</v>
      </c>
      <c r="G20000" s="7" t="n">
        <v>8</v>
      </c>
      <c r="H20000" s="7" t="n">
        <v>2</v>
      </c>
      <c r="I20000" s="7" t="n">
        <v>0</v>
      </c>
    </row>
    <row r="20001" spans="1:15">
      <c r="A20001" t="s">
        <v>4</v>
      </c>
      <c r="B20001" s="4" t="s">
        <v>5</v>
      </c>
    </row>
    <row r="20002" spans="1:15">
      <c r="A20002" t="n">
        <v>194292</v>
      </c>
      <c r="B20002" s="27" t="n">
        <v>28</v>
      </c>
    </row>
    <row r="20003" spans="1:15">
      <c r="A20003" t="s">
        <v>4</v>
      </c>
      <c r="B20003" s="4" t="s">
        <v>5</v>
      </c>
      <c r="C20003" s="4" t="s">
        <v>7</v>
      </c>
    </row>
    <row r="20004" spans="1:15">
      <c r="A20004" t="n">
        <v>194293</v>
      </c>
      <c r="B20004" s="33" t="n">
        <v>27</v>
      </c>
      <c r="C20004" s="7" t="n">
        <v>0</v>
      </c>
    </row>
    <row r="20005" spans="1:15">
      <c r="A20005" t="s">
        <v>4</v>
      </c>
      <c r="B20005" s="4" t="s">
        <v>5</v>
      </c>
      <c r="C20005" s="4" t="s">
        <v>7</v>
      </c>
    </row>
    <row r="20006" spans="1:15">
      <c r="A20006" t="n">
        <v>194295</v>
      </c>
      <c r="B20006" s="33" t="n">
        <v>27</v>
      </c>
      <c r="C20006" s="7" t="n">
        <v>1</v>
      </c>
    </row>
    <row r="20007" spans="1:15">
      <c r="A20007" t="s">
        <v>4</v>
      </c>
      <c r="B20007" s="4" t="s">
        <v>5</v>
      </c>
      <c r="C20007" s="4" t="s">
        <v>7</v>
      </c>
      <c r="D20007" s="4" t="s">
        <v>11</v>
      </c>
      <c r="E20007" s="4" t="s">
        <v>11</v>
      </c>
      <c r="F20007" s="4" t="s">
        <v>11</v>
      </c>
      <c r="G20007" s="4" t="s">
        <v>11</v>
      </c>
      <c r="H20007" s="4" t="s">
        <v>7</v>
      </c>
    </row>
    <row r="20008" spans="1:15">
      <c r="A20008" t="n">
        <v>194297</v>
      </c>
      <c r="B20008" s="31" t="n">
        <v>25</v>
      </c>
      <c r="C20008" s="7" t="n">
        <v>5</v>
      </c>
      <c r="D20008" s="7" t="n">
        <v>65535</v>
      </c>
      <c r="E20008" s="7" t="n">
        <v>65535</v>
      </c>
      <c r="F20008" s="7" t="n">
        <v>65535</v>
      </c>
      <c r="G20008" s="7" t="n">
        <v>65535</v>
      </c>
      <c r="H20008" s="7" t="n">
        <v>0</v>
      </c>
    </row>
    <row r="20009" spans="1:15">
      <c r="A20009" t="s">
        <v>4</v>
      </c>
      <c r="B20009" s="4" t="s">
        <v>5</v>
      </c>
      <c r="C20009" s="4" t="s">
        <v>7</v>
      </c>
      <c r="D20009" s="4" t="s">
        <v>11</v>
      </c>
      <c r="E20009" s="4" t="s">
        <v>13</v>
      </c>
    </row>
    <row r="20010" spans="1:15">
      <c r="A20010" t="n">
        <v>194308</v>
      </c>
      <c r="B20010" s="23" t="n">
        <v>58</v>
      </c>
      <c r="C20010" s="7" t="n">
        <v>100</v>
      </c>
      <c r="D20010" s="7" t="n">
        <v>300</v>
      </c>
      <c r="E20010" s="7" t="n">
        <v>0.300000011920929</v>
      </c>
    </row>
    <row r="20011" spans="1:15">
      <c r="A20011" t="s">
        <v>4</v>
      </c>
      <c r="B20011" s="4" t="s">
        <v>5</v>
      </c>
      <c r="C20011" s="4" t="s">
        <v>7</v>
      </c>
      <c r="D20011" s="4" t="s">
        <v>11</v>
      </c>
    </row>
    <row r="20012" spans="1:15">
      <c r="A20012" t="n">
        <v>194316</v>
      </c>
      <c r="B20012" s="23" t="n">
        <v>58</v>
      </c>
      <c r="C20012" s="7" t="n">
        <v>255</v>
      </c>
      <c r="D20012" s="7" t="n">
        <v>0</v>
      </c>
    </row>
    <row r="20013" spans="1:15">
      <c r="A20013" t="s">
        <v>4</v>
      </c>
      <c r="B20013" s="4" t="s">
        <v>5</v>
      </c>
      <c r="C20013" s="4" t="s">
        <v>11</v>
      </c>
    </row>
    <row r="20014" spans="1:15">
      <c r="A20014" t="n">
        <v>194320</v>
      </c>
      <c r="B20014" s="29" t="n">
        <v>16</v>
      </c>
      <c r="C20014" s="7" t="n">
        <v>300</v>
      </c>
    </row>
    <row r="20015" spans="1:15">
      <c r="A20015" t="s">
        <v>4</v>
      </c>
      <c r="B20015" s="4" t="s">
        <v>5</v>
      </c>
      <c r="C20015" s="4" t="s">
        <v>7</v>
      </c>
      <c r="D20015" s="4" t="s">
        <v>11</v>
      </c>
      <c r="E20015" s="4" t="s">
        <v>8</v>
      </c>
    </row>
    <row r="20016" spans="1:15">
      <c r="A20016" t="n">
        <v>194323</v>
      </c>
      <c r="B20016" s="38" t="n">
        <v>51</v>
      </c>
      <c r="C20016" s="7" t="n">
        <v>4</v>
      </c>
      <c r="D20016" s="7" t="n">
        <v>0</v>
      </c>
      <c r="E20016" s="7" t="s">
        <v>245</v>
      </c>
    </row>
    <row r="20017" spans="1:8">
      <c r="A20017" t="s">
        <v>4</v>
      </c>
      <c r="B20017" s="4" t="s">
        <v>5</v>
      </c>
      <c r="C20017" s="4" t="s">
        <v>11</v>
      </c>
    </row>
    <row r="20018" spans="1:8">
      <c r="A20018" t="n">
        <v>194337</v>
      </c>
      <c r="B20018" s="29" t="n">
        <v>16</v>
      </c>
      <c r="C20018" s="7" t="n">
        <v>0</v>
      </c>
    </row>
    <row r="20019" spans="1:8">
      <c r="A20019" t="s">
        <v>4</v>
      </c>
      <c r="B20019" s="4" t="s">
        <v>5</v>
      </c>
      <c r="C20019" s="4" t="s">
        <v>11</v>
      </c>
      <c r="D20019" s="4" t="s">
        <v>7</v>
      </c>
      <c r="E20019" s="4" t="s">
        <v>15</v>
      </c>
      <c r="F20019" s="4" t="s">
        <v>55</v>
      </c>
      <c r="G20019" s="4" t="s">
        <v>7</v>
      </c>
      <c r="H20019" s="4" t="s">
        <v>7</v>
      </c>
    </row>
    <row r="20020" spans="1:8">
      <c r="A20020" t="n">
        <v>194340</v>
      </c>
      <c r="B20020" s="55" t="n">
        <v>26</v>
      </c>
      <c r="C20020" s="7" t="n">
        <v>0</v>
      </c>
      <c r="D20020" s="7" t="n">
        <v>17</v>
      </c>
      <c r="E20020" s="7" t="n">
        <v>64659</v>
      </c>
      <c r="F20020" s="7" t="s">
        <v>1650</v>
      </c>
      <c r="G20020" s="7" t="n">
        <v>2</v>
      </c>
      <c r="H20020" s="7" t="n">
        <v>0</v>
      </c>
    </row>
    <row r="20021" spans="1:8">
      <c r="A20021" t="s">
        <v>4</v>
      </c>
      <c r="B20021" s="4" t="s">
        <v>5</v>
      </c>
    </row>
    <row r="20022" spans="1:8">
      <c r="A20022" t="n">
        <v>194378</v>
      </c>
      <c r="B20022" s="27" t="n">
        <v>28</v>
      </c>
    </row>
    <row r="20023" spans="1:8">
      <c r="A20023" t="s">
        <v>4</v>
      </c>
      <c r="B20023" s="4" t="s">
        <v>5</v>
      </c>
      <c r="C20023" s="4" t="s">
        <v>7</v>
      </c>
      <c r="D20023" s="4" t="s">
        <v>11</v>
      </c>
      <c r="E20023" s="4" t="s">
        <v>11</v>
      </c>
      <c r="F20023" s="4" t="s">
        <v>7</v>
      </c>
    </row>
    <row r="20024" spans="1:8">
      <c r="A20024" t="n">
        <v>194379</v>
      </c>
      <c r="B20024" s="31" t="n">
        <v>25</v>
      </c>
      <c r="C20024" s="7" t="n">
        <v>1</v>
      </c>
      <c r="D20024" s="7" t="n">
        <v>65535</v>
      </c>
      <c r="E20024" s="7" t="n">
        <v>65535</v>
      </c>
      <c r="F20024" s="7" t="n">
        <v>0</v>
      </c>
    </row>
    <row r="20025" spans="1:8">
      <c r="A20025" t="s">
        <v>4</v>
      </c>
      <c r="B20025" s="4" t="s">
        <v>5</v>
      </c>
      <c r="C20025" s="4" t="s">
        <v>7</v>
      </c>
      <c r="D20025" s="4" t="s">
        <v>11</v>
      </c>
      <c r="E20025" s="4" t="s">
        <v>8</v>
      </c>
    </row>
    <row r="20026" spans="1:8">
      <c r="A20026" t="n">
        <v>194386</v>
      </c>
      <c r="B20026" s="38" t="n">
        <v>51</v>
      </c>
      <c r="C20026" s="7" t="n">
        <v>4</v>
      </c>
      <c r="D20026" s="7" t="n">
        <v>7</v>
      </c>
      <c r="E20026" s="7" t="s">
        <v>167</v>
      </c>
    </row>
    <row r="20027" spans="1:8">
      <c r="A20027" t="s">
        <v>4</v>
      </c>
      <c r="B20027" s="4" t="s">
        <v>5</v>
      </c>
      <c r="C20027" s="4" t="s">
        <v>11</v>
      </c>
    </row>
    <row r="20028" spans="1:8">
      <c r="A20028" t="n">
        <v>194400</v>
      </c>
      <c r="B20028" s="29" t="n">
        <v>16</v>
      </c>
      <c r="C20028" s="7" t="n">
        <v>0</v>
      </c>
    </row>
    <row r="20029" spans="1:8">
      <c r="A20029" t="s">
        <v>4</v>
      </c>
      <c r="B20029" s="4" t="s">
        <v>5</v>
      </c>
      <c r="C20029" s="4" t="s">
        <v>11</v>
      </c>
      <c r="D20029" s="4" t="s">
        <v>7</v>
      </c>
      <c r="E20029" s="4" t="s">
        <v>15</v>
      </c>
      <c r="F20029" s="4" t="s">
        <v>55</v>
      </c>
      <c r="G20029" s="4" t="s">
        <v>7</v>
      </c>
      <c r="H20029" s="4" t="s">
        <v>7</v>
      </c>
      <c r="I20029" s="4" t="s">
        <v>7</v>
      </c>
      <c r="J20029" s="4" t="s">
        <v>15</v>
      </c>
      <c r="K20029" s="4" t="s">
        <v>55</v>
      </c>
      <c r="L20029" s="4" t="s">
        <v>7</v>
      </c>
      <c r="M20029" s="4" t="s">
        <v>7</v>
      </c>
      <c r="N20029" s="4" t="s">
        <v>7</v>
      </c>
      <c r="O20029" s="4" t="s">
        <v>15</v>
      </c>
      <c r="P20029" s="4" t="s">
        <v>55</v>
      </c>
      <c r="Q20029" s="4" t="s">
        <v>7</v>
      </c>
      <c r="R20029" s="4" t="s">
        <v>7</v>
      </c>
      <c r="S20029" s="4" t="s">
        <v>7</v>
      </c>
      <c r="T20029" s="4" t="s">
        <v>15</v>
      </c>
      <c r="U20029" s="4" t="s">
        <v>55</v>
      </c>
      <c r="V20029" s="4" t="s">
        <v>7</v>
      </c>
      <c r="W20029" s="4" t="s">
        <v>7</v>
      </c>
    </row>
    <row r="20030" spans="1:8">
      <c r="A20030" t="n">
        <v>194403</v>
      </c>
      <c r="B20030" s="55" t="n">
        <v>26</v>
      </c>
      <c r="C20030" s="7" t="n">
        <v>7</v>
      </c>
      <c r="D20030" s="7" t="n">
        <v>17</v>
      </c>
      <c r="E20030" s="7" t="n">
        <v>64660</v>
      </c>
      <c r="F20030" s="7" t="s">
        <v>1651</v>
      </c>
      <c r="G20030" s="7" t="n">
        <v>2</v>
      </c>
      <c r="H20030" s="7" t="n">
        <v>3</v>
      </c>
      <c r="I20030" s="7" t="n">
        <v>17</v>
      </c>
      <c r="J20030" s="7" t="n">
        <v>64661</v>
      </c>
      <c r="K20030" s="7" t="s">
        <v>1652</v>
      </c>
      <c r="L20030" s="7" t="n">
        <v>2</v>
      </c>
      <c r="M20030" s="7" t="n">
        <v>3</v>
      </c>
      <c r="N20030" s="7" t="n">
        <v>17</v>
      </c>
      <c r="O20030" s="7" t="n">
        <v>64662</v>
      </c>
      <c r="P20030" s="7" t="s">
        <v>1653</v>
      </c>
      <c r="Q20030" s="7" t="n">
        <v>2</v>
      </c>
      <c r="R20030" s="7" t="n">
        <v>3</v>
      </c>
      <c r="S20030" s="7" t="n">
        <v>17</v>
      </c>
      <c r="T20030" s="7" t="n">
        <v>64663</v>
      </c>
      <c r="U20030" s="7" t="s">
        <v>1654</v>
      </c>
      <c r="V20030" s="7" t="n">
        <v>2</v>
      </c>
      <c r="W20030" s="7" t="n">
        <v>0</v>
      </c>
    </row>
    <row r="20031" spans="1:8">
      <c r="A20031" t="s">
        <v>4</v>
      </c>
      <c r="B20031" s="4" t="s">
        <v>5</v>
      </c>
    </row>
    <row r="20032" spans="1:8">
      <c r="A20032" t="n">
        <v>194706</v>
      </c>
      <c r="B20032" s="27" t="n">
        <v>28</v>
      </c>
    </row>
    <row r="20033" spans="1:23">
      <c r="A20033" t="s">
        <v>4</v>
      </c>
      <c r="B20033" s="4" t="s">
        <v>5</v>
      </c>
      <c r="C20033" s="4" t="s">
        <v>11</v>
      </c>
      <c r="D20033" s="4" t="s">
        <v>7</v>
      </c>
      <c r="E20033" s="4" t="s">
        <v>7</v>
      </c>
      <c r="F20033" s="4" t="s">
        <v>8</v>
      </c>
    </row>
    <row r="20034" spans="1:23">
      <c r="A20034" t="n">
        <v>194707</v>
      </c>
      <c r="B20034" s="50" t="n">
        <v>20</v>
      </c>
      <c r="C20034" s="7" t="n">
        <v>0</v>
      </c>
      <c r="D20034" s="7" t="n">
        <v>2</v>
      </c>
      <c r="E20034" s="7" t="n">
        <v>10</v>
      </c>
      <c r="F20034" s="7" t="s">
        <v>223</v>
      </c>
    </row>
    <row r="20035" spans="1:23">
      <c r="A20035" t="s">
        <v>4</v>
      </c>
      <c r="B20035" s="4" t="s">
        <v>5</v>
      </c>
      <c r="C20035" s="4" t="s">
        <v>11</v>
      </c>
    </row>
    <row r="20036" spans="1:23">
      <c r="A20036" t="n">
        <v>194728</v>
      </c>
      <c r="B20036" s="29" t="n">
        <v>16</v>
      </c>
      <c r="C20036" s="7" t="n">
        <v>400</v>
      </c>
    </row>
    <row r="20037" spans="1:23">
      <c r="A20037" t="s">
        <v>4</v>
      </c>
      <c r="B20037" s="4" t="s">
        <v>5</v>
      </c>
      <c r="C20037" s="4" t="s">
        <v>7</v>
      </c>
      <c r="D20037" s="4" t="s">
        <v>11</v>
      </c>
      <c r="E20037" s="4" t="s">
        <v>8</v>
      </c>
    </row>
    <row r="20038" spans="1:23">
      <c r="A20038" t="n">
        <v>194731</v>
      </c>
      <c r="B20038" s="38" t="n">
        <v>51</v>
      </c>
      <c r="C20038" s="7" t="n">
        <v>4</v>
      </c>
      <c r="D20038" s="7" t="n">
        <v>0</v>
      </c>
      <c r="E20038" s="7" t="s">
        <v>179</v>
      </c>
    </row>
    <row r="20039" spans="1:23">
      <c r="A20039" t="s">
        <v>4</v>
      </c>
      <c r="B20039" s="4" t="s">
        <v>5</v>
      </c>
      <c r="C20039" s="4" t="s">
        <v>11</v>
      </c>
    </row>
    <row r="20040" spans="1:23">
      <c r="A20040" t="n">
        <v>194745</v>
      </c>
      <c r="B20040" s="29" t="n">
        <v>16</v>
      </c>
      <c r="C20040" s="7" t="n">
        <v>0</v>
      </c>
    </row>
    <row r="20041" spans="1:23">
      <c r="A20041" t="s">
        <v>4</v>
      </c>
      <c r="B20041" s="4" t="s">
        <v>5</v>
      </c>
      <c r="C20041" s="4" t="s">
        <v>11</v>
      </c>
      <c r="D20041" s="4" t="s">
        <v>7</v>
      </c>
      <c r="E20041" s="4" t="s">
        <v>15</v>
      </c>
      <c r="F20041" s="4" t="s">
        <v>55</v>
      </c>
      <c r="G20041" s="4" t="s">
        <v>7</v>
      </c>
      <c r="H20041" s="4" t="s">
        <v>7</v>
      </c>
      <c r="I20041" s="4" t="s">
        <v>7</v>
      </c>
      <c r="J20041" s="4" t="s">
        <v>15</v>
      </c>
      <c r="K20041" s="4" t="s">
        <v>55</v>
      </c>
      <c r="L20041" s="4" t="s">
        <v>7</v>
      </c>
      <c r="M20041" s="4" t="s">
        <v>7</v>
      </c>
    </row>
    <row r="20042" spans="1:23">
      <c r="A20042" t="n">
        <v>194748</v>
      </c>
      <c r="B20042" s="55" t="n">
        <v>26</v>
      </c>
      <c r="C20042" s="7" t="n">
        <v>0</v>
      </c>
      <c r="D20042" s="7" t="n">
        <v>17</v>
      </c>
      <c r="E20042" s="7" t="n">
        <v>64664</v>
      </c>
      <c r="F20042" s="7" t="s">
        <v>1655</v>
      </c>
      <c r="G20042" s="7" t="n">
        <v>2</v>
      </c>
      <c r="H20042" s="7" t="n">
        <v>3</v>
      </c>
      <c r="I20042" s="7" t="n">
        <v>17</v>
      </c>
      <c r="J20042" s="7" t="n">
        <v>64665</v>
      </c>
      <c r="K20042" s="7" t="s">
        <v>1656</v>
      </c>
      <c r="L20042" s="7" t="n">
        <v>2</v>
      </c>
      <c r="M20042" s="7" t="n">
        <v>0</v>
      </c>
    </row>
    <row r="20043" spans="1:23">
      <c r="A20043" t="s">
        <v>4</v>
      </c>
      <c r="B20043" s="4" t="s">
        <v>5</v>
      </c>
    </row>
    <row r="20044" spans="1:23">
      <c r="A20044" t="n">
        <v>194857</v>
      </c>
      <c r="B20044" s="27" t="n">
        <v>28</v>
      </c>
    </row>
    <row r="20045" spans="1:23">
      <c r="A20045" t="s">
        <v>4</v>
      </c>
      <c r="B20045" s="4" t="s">
        <v>5</v>
      </c>
      <c r="C20045" s="4" t="s">
        <v>7</v>
      </c>
      <c r="D20045" s="4" t="s">
        <v>11</v>
      </c>
      <c r="E20045" s="4" t="s">
        <v>11</v>
      </c>
      <c r="F20045" s="4" t="s">
        <v>7</v>
      </c>
    </row>
    <row r="20046" spans="1:23">
      <c r="A20046" t="n">
        <v>194858</v>
      </c>
      <c r="B20046" s="31" t="n">
        <v>25</v>
      </c>
      <c r="C20046" s="7" t="n">
        <v>1</v>
      </c>
      <c r="D20046" s="7" t="n">
        <v>65535</v>
      </c>
      <c r="E20046" s="7" t="n">
        <v>65535</v>
      </c>
      <c r="F20046" s="7" t="n">
        <v>0</v>
      </c>
    </row>
    <row r="20047" spans="1:23">
      <c r="A20047" t="s">
        <v>4</v>
      </c>
      <c r="B20047" s="4" t="s">
        <v>5</v>
      </c>
      <c r="C20047" s="4" t="s">
        <v>12</v>
      </c>
    </row>
    <row r="20048" spans="1:23">
      <c r="A20048" t="n">
        <v>194865</v>
      </c>
      <c r="B20048" s="19" t="n">
        <v>3</v>
      </c>
      <c r="C20048" s="11" t="n">
        <f t="normal" ca="1">A20258</f>
        <v>0</v>
      </c>
    </row>
    <row r="20049" spans="1:13">
      <c r="A20049" t="s">
        <v>4</v>
      </c>
      <c r="B20049" s="4" t="s">
        <v>5</v>
      </c>
      <c r="C20049" s="4" t="s">
        <v>11</v>
      </c>
      <c r="D20049" s="4" t="s">
        <v>7</v>
      </c>
      <c r="E20049" s="4" t="s">
        <v>13</v>
      </c>
      <c r="F20049" s="4" t="s">
        <v>11</v>
      </c>
    </row>
    <row r="20050" spans="1:13">
      <c r="A20050" t="n">
        <v>194870</v>
      </c>
      <c r="B20050" s="56" t="n">
        <v>59</v>
      </c>
      <c r="C20050" s="7" t="n">
        <v>7</v>
      </c>
      <c r="D20050" s="7" t="n">
        <v>9</v>
      </c>
      <c r="E20050" s="7" t="n">
        <v>0.150000005960464</v>
      </c>
      <c r="F20050" s="7" t="n">
        <v>0</v>
      </c>
    </row>
    <row r="20051" spans="1:13">
      <c r="A20051" t="s">
        <v>4</v>
      </c>
      <c r="B20051" s="4" t="s">
        <v>5</v>
      </c>
      <c r="C20051" s="4" t="s">
        <v>11</v>
      </c>
    </row>
    <row r="20052" spans="1:13">
      <c r="A20052" t="n">
        <v>194880</v>
      </c>
      <c r="B20052" s="29" t="n">
        <v>16</v>
      </c>
      <c r="C20052" s="7" t="n">
        <v>1800</v>
      </c>
    </row>
    <row r="20053" spans="1:13">
      <c r="A20053" t="s">
        <v>4</v>
      </c>
      <c r="B20053" s="4" t="s">
        <v>5</v>
      </c>
      <c r="C20053" s="4" t="s">
        <v>7</v>
      </c>
      <c r="D20053" s="4" t="s">
        <v>11</v>
      </c>
      <c r="E20053" s="4" t="s">
        <v>13</v>
      </c>
    </row>
    <row r="20054" spans="1:13">
      <c r="A20054" t="n">
        <v>194883</v>
      </c>
      <c r="B20054" s="23" t="n">
        <v>58</v>
      </c>
      <c r="C20054" s="7" t="n">
        <v>101</v>
      </c>
      <c r="D20054" s="7" t="n">
        <v>1500</v>
      </c>
      <c r="E20054" s="7" t="n">
        <v>1</v>
      </c>
    </row>
    <row r="20055" spans="1:13">
      <c r="A20055" t="s">
        <v>4</v>
      </c>
      <c r="B20055" s="4" t="s">
        <v>5</v>
      </c>
      <c r="C20055" s="4" t="s">
        <v>7</v>
      </c>
      <c r="D20055" s="4" t="s">
        <v>11</v>
      </c>
    </row>
    <row r="20056" spans="1:13">
      <c r="A20056" t="n">
        <v>194891</v>
      </c>
      <c r="B20056" s="23" t="n">
        <v>58</v>
      </c>
      <c r="C20056" s="7" t="n">
        <v>254</v>
      </c>
      <c r="D20056" s="7" t="n">
        <v>0</v>
      </c>
    </row>
    <row r="20057" spans="1:13">
      <c r="A20057" t="s">
        <v>4</v>
      </c>
      <c r="B20057" s="4" t="s">
        <v>5</v>
      </c>
      <c r="C20057" s="4" t="s">
        <v>11</v>
      </c>
      <c r="D20057" s="4" t="s">
        <v>13</v>
      </c>
      <c r="E20057" s="4" t="s">
        <v>13</v>
      </c>
      <c r="F20057" s="4" t="s">
        <v>13</v>
      </c>
      <c r="G20057" s="4" t="s">
        <v>13</v>
      </c>
    </row>
    <row r="20058" spans="1:13">
      <c r="A20058" t="n">
        <v>194895</v>
      </c>
      <c r="B20058" s="36" t="n">
        <v>46</v>
      </c>
      <c r="C20058" s="7" t="n">
        <v>0</v>
      </c>
      <c r="D20058" s="7" t="n">
        <v>-18.4699993133545</v>
      </c>
      <c r="E20058" s="7" t="n">
        <v>10.0100002288818</v>
      </c>
      <c r="F20058" s="7" t="n">
        <v>50.1100006103516</v>
      </c>
      <c r="G20058" s="7" t="n">
        <v>283.700012207031</v>
      </c>
    </row>
    <row r="20059" spans="1:13">
      <c r="A20059" t="s">
        <v>4</v>
      </c>
      <c r="B20059" s="4" t="s">
        <v>5</v>
      </c>
      <c r="C20059" s="4" t="s">
        <v>11</v>
      </c>
      <c r="D20059" s="4" t="s">
        <v>13</v>
      </c>
      <c r="E20059" s="4" t="s">
        <v>13</v>
      </c>
      <c r="F20059" s="4" t="s">
        <v>13</v>
      </c>
      <c r="G20059" s="4" t="s">
        <v>13</v>
      </c>
    </row>
    <row r="20060" spans="1:13">
      <c r="A20060" t="n">
        <v>194914</v>
      </c>
      <c r="B20060" s="36" t="n">
        <v>46</v>
      </c>
      <c r="C20060" s="7" t="n">
        <v>7</v>
      </c>
      <c r="D20060" s="7" t="n">
        <v>-18.8600006103516</v>
      </c>
      <c r="E20060" s="7" t="n">
        <v>10.0100002288818</v>
      </c>
      <c r="F20060" s="7" t="n">
        <v>50.2099990844727</v>
      </c>
      <c r="G20060" s="7" t="n">
        <v>103.099998474121</v>
      </c>
    </row>
    <row r="20061" spans="1:13">
      <c r="A20061" t="s">
        <v>4</v>
      </c>
      <c r="B20061" s="4" t="s">
        <v>5</v>
      </c>
      <c r="C20061" s="4" t="s">
        <v>11</v>
      </c>
      <c r="D20061" s="4" t="s">
        <v>7</v>
      </c>
      <c r="E20061" s="4" t="s">
        <v>8</v>
      </c>
      <c r="F20061" s="4" t="s">
        <v>13</v>
      </c>
      <c r="G20061" s="4" t="s">
        <v>13</v>
      </c>
      <c r="H20061" s="4" t="s">
        <v>13</v>
      </c>
    </row>
    <row r="20062" spans="1:13">
      <c r="A20062" t="n">
        <v>194933</v>
      </c>
      <c r="B20062" s="42" t="n">
        <v>48</v>
      </c>
      <c r="C20062" s="7" t="n">
        <v>7</v>
      </c>
      <c r="D20062" s="7" t="n">
        <v>0</v>
      </c>
      <c r="E20062" s="7" t="s">
        <v>1629</v>
      </c>
      <c r="F20062" s="7" t="n">
        <v>-1</v>
      </c>
      <c r="G20062" s="7" t="n">
        <v>1</v>
      </c>
      <c r="H20062" s="7" t="n">
        <v>0</v>
      </c>
    </row>
    <row r="20063" spans="1:13">
      <c r="A20063" t="s">
        <v>4</v>
      </c>
      <c r="B20063" s="4" t="s">
        <v>5</v>
      </c>
      <c r="C20063" s="4" t="s">
        <v>11</v>
      </c>
      <c r="D20063" s="4" t="s">
        <v>7</v>
      </c>
      <c r="E20063" s="4" t="s">
        <v>8</v>
      </c>
      <c r="F20063" s="4" t="s">
        <v>13</v>
      </c>
      <c r="G20063" s="4" t="s">
        <v>13</v>
      </c>
      <c r="H20063" s="4" t="s">
        <v>13</v>
      </c>
    </row>
    <row r="20064" spans="1:13">
      <c r="A20064" t="n">
        <v>194959</v>
      </c>
      <c r="B20064" s="42" t="n">
        <v>48</v>
      </c>
      <c r="C20064" s="7" t="n">
        <v>0</v>
      </c>
      <c r="D20064" s="7" t="n">
        <v>0</v>
      </c>
      <c r="E20064" s="7" t="s">
        <v>1629</v>
      </c>
      <c r="F20064" s="7" t="n">
        <v>-1</v>
      </c>
      <c r="G20064" s="7" t="n">
        <v>1</v>
      </c>
      <c r="H20064" s="7" t="n">
        <v>0</v>
      </c>
    </row>
    <row r="20065" spans="1:8">
      <c r="A20065" t="s">
        <v>4</v>
      </c>
      <c r="B20065" s="4" t="s">
        <v>5</v>
      </c>
      <c r="C20065" s="4" t="s">
        <v>7</v>
      </c>
      <c r="D20065" s="4" t="s">
        <v>11</v>
      </c>
      <c r="E20065" s="4" t="s">
        <v>8</v>
      </c>
      <c r="F20065" s="4" t="s">
        <v>8</v>
      </c>
      <c r="G20065" s="4" t="s">
        <v>8</v>
      </c>
      <c r="H20065" s="4" t="s">
        <v>8</v>
      </c>
    </row>
    <row r="20066" spans="1:8">
      <c r="A20066" t="n">
        <v>194985</v>
      </c>
      <c r="B20066" s="38" t="n">
        <v>51</v>
      </c>
      <c r="C20066" s="7" t="n">
        <v>3</v>
      </c>
      <c r="D20066" s="7" t="n">
        <v>7</v>
      </c>
      <c r="E20066" s="7" t="s">
        <v>319</v>
      </c>
      <c r="F20066" s="7" t="s">
        <v>79</v>
      </c>
      <c r="G20066" s="7" t="s">
        <v>78</v>
      </c>
      <c r="H20066" s="7" t="s">
        <v>79</v>
      </c>
    </row>
    <row r="20067" spans="1:8">
      <c r="A20067" t="s">
        <v>4</v>
      </c>
      <c r="B20067" s="4" t="s">
        <v>5</v>
      </c>
      <c r="C20067" s="4" t="s">
        <v>7</v>
      </c>
      <c r="D20067" s="4" t="s">
        <v>7</v>
      </c>
      <c r="E20067" s="4" t="s">
        <v>13</v>
      </c>
      <c r="F20067" s="4" t="s">
        <v>13</v>
      </c>
      <c r="G20067" s="4" t="s">
        <v>13</v>
      </c>
      <c r="H20067" s="4" t="s">
        <v>11</v>
      </c>
    </row>
    <row r="20068" spans="1:8">
      <c r="A20068" t="n">
        <v>194998</v>
      </c>
      <c r="B20068" s="51" t="n">
        <v>45</v>
      </c>
      <c r="C20068" s="7" t="n">
        <v>2</v>
      </c>
      <c r="D20068" s="7" t="n">
        <v>3</v>
      </c>
      <c r="E20068" s="7" t="n">
        <v>-18.8700008392334</v>
      </c>
      <c r="F20068" s="7" t="n">
        <v>11.3599996566772</v>
      </c>
      <c r="G20068" s="7" t="n">
        <v>50.3499984741211</v>
      </c>
      <c r="H20068" s="7" t="n">
        <v>0</v>
      </c>
    </row>
    <row r="20069" spans="1:8">
      <c r="A20069" t="s">
        <v>4</v>
      </c>
      <c r="B20069" s="4" t="s">
        <v>5</v>
      </c>
      <c r="C20069" s="4" t="s">
        <v>7</v>
      </c>
      <c r="D20069" s="4" t="s">
        <v>7</v>
      </c>
      <c r="E20069" s="4" t="s">
        <v>13</v>
      </c>
      <c r="F20069" s="4" t="s">
        <v>13</v>
      </c>
      <c r="G20069" s="4" t="s">
        <v>13</v>
      </c>
      <c r="H20069" s="4" t="s">
        <v>11</v>
      </c>
    </row>
    <row r="20070" spans="1:8">
      <c r="A20070" t="n">
        <v>195015</v>
      </c>
      <c r="B20070" s="51" t="n">
        <v>45</v>
      </c>
      <c r="C20070" s="7" t="n">
        <v>2</v>
      </c>
      <c r="D20070" s="7" t="n">
        <v>3</v>
      </c>
      <c r="E20070" s="7" t="n">
        <v>-18.6399993896484</v>
      </c>
      <c r="F20070" s="7" t="n">
        <v>11.3599996566772</v>
      </c>
      <c r="G20070" s="7" t="n">
        <v>50.189998626709</v>
      </c>
      <c r="H20070" s="7" t="n">
        <v>2000</v>
      </c>
    </row>
    <row r="20071" spans="1:8">
      <c r="A20071" t="s">
        <v>4</v>
      </c>
      <c r="B20071" s="4" t="s">
        <v>5</v>
      </c>
      <c r="C20071" s="4" t="s">
        <v>7</v>
      </c>
      <c r="D20071" s="4" t="s">
        <v>7</v>
      </c>
      <c r="E20071" s="4" t="s">
        <v>13</v>
      </c>
      <c r="F20071" s="4" t="s">
        <v>13</v>
      </c>
      <c r="G20071" s="4" t="s">
        <v>13</v>
      </c>
      <c r="H20071" s="4" t="s">
        <v>11</v>
      </c>
      <c r="I20071" s="4" t="s">
        <v>7</v>
      </c>
    </row>
    <row r="20072" spans="1:8">
      <c r="A20072" t="n">
        <v>195032</v>
      </c>
      <c r="B20072" s="51" t="n">
        <v>45</v>
      </c>
      <c r="C20072" s="7" t="n">
        <v>4</v>
      </c>
      <c r="D20072" s="7" t="n">
        <v>3</v>
      </c>
      <c r="E20072" s="7" t="n">
        <v>356.179992675781</v>
      </c>
      <c r="F20072" s="7" t="n">
        <v>327.730010986328</v>
      </c>
      <c r="G20072" s="7" t="n">
        <v>8</v>
      </c>
      <c r="H20072" s="7" t="n">
        <v>0</v>
      </c>
      <c r="I20072" s="7" t="n">
        <v>0</v>
      </c>
    </row>
    <row r="20073" spans="1:8">
      <c r="A20073" t="s">
        <v>4</v>
      </c>
      <c r="B20073" s="4" t="s">
        <v>5</v>
      </c>
      <c r="C20073" s="4" t="s">
        <v>7</v>
      </c>
      <c r="D20073" s="4" t="s">
        <v>7</v>
      </c>
      <c r="E20073" s="4" t="s">
        <v>13</v>
      </c>
      <c r="F20073" s="4" t="s">
        <v>11</v>
      </c>
    </row>
    <row r="20074" spans="1:8">
      <c r="A20074" t="n">
        <v>195050</v>
      </c>
      <c r="B20074" s="51" t="n">
        <v>45</v>
      </c>
      <c r="C20074" s="7" t="n">
        <v>5</v>
      </c>
      <c r="D20074" s="7" t="n">
        <v>3</v>
      </c>
      <c r="E20074" s="7" t="n">
        <v>1.20000004768372</v>
      </c>
      <c r="F20074" s="7" t="n">
        <v>0</v>
      </c>
    </row>
    <row r="20075" spans="1:8">
      <c r="A20075" t="s">
        <v>4</v>
      </c>
      <c r="B20075" s="4" t="s">
        <v>5</v>
      </c>
      <c r="C20075" s="4" t="s">
        <v>7</v>
      </c>
      <c r="D20075" s="4" t="s">
        <v>7</v>
      </c>
      <c r="E20075" s="4" t="s">
        <v>13</v>
      </c>
      <c r="F20075" s="4" t="s">
        <v>11</v>
      </c>
    </row>
    <row r="20076" spans="1:8">
      <c r="A20076" t="n">
        <v>195059</v>
      </c>
      <c r="B20076" s="51" t="n">
        <v>45</v>
      </c>
      <c r="C20076" s="7" t="n">
        <v>11</v>
      </c>
      <c r="D20076" s="7" t="n">
        <v>3</v>
      </c>
      <c r="E20076" s="7" t="n">
        <v>32.2999992370605</v>
      </c>
      <c r="F20076" s="7" t="n">
        <v>0</v>
      </c>
    </row>
    <row r="20077" spans="1:8">
      <c r="A20077" t="s">
        <v>4</v>
      </c>
      <c r="B20077" s="4" t="s">
        <v>5</v>
      </c>
      <c r="C20077" s="4" t="s">
        <v>11</v>
      </c>
    </row>
    <row r="20078" spans="1:8">
      <c r="A20078" t="n">
        <v>195068</v>
      </c>
      <c r="B20078" s="29" t="n">
        <v>16</v>
      </c>
      <c r="C20078" s="7" t="n">
        <v>500</v>
      </c>
    </row>
    <row r="20079" spans="1:8">
      <c r="A20079" t="s">
        <v>4</v>
      </c>
      <c r="B20079" s="4" t="s">
        <v>5</v>
      </c>
      <c r="C20079" s="4" t="s">
        <v>7</v>
      </c>
      <c r="D20079" s="4" t="s">
        <v>11</v>
      </c>
      <c r="E20079" s="4" t="s">
        <v>8</v>
      </c>
      <c r="F20079" s="4" t="s">
        <v>8</v>
      </c>
      <c r="G20079" s="4" t="s">
        <v>8</v>
      </c>
      <c r="H20079" s="4" t="s">
        <v>8</v>
      </c>
    </row>
    <row r="20080" spans="1:8">
      <c r="A20080" t="n">
        <v>195071</v>
      </c>
      <c r="B20080" s="38" t="n">
        <v>51</v>
      </c>
      <c r="C20080" s="7" t="n">
        <v>3</v>
      </c>
      <c r="D20080" s="7" t="n">
        <v>0</v>
      </c>
      <c r="E20080" s="7" t="s">
        <v>154</v>
      </c>
      <c r="F20080" s="7" t="s">
        <v>218</v>
      </c>
      <c r="G20080" s="7" t="s">
        <v>78</v>
      </c>
      <c r="H20080" s="7" t="s">
        <v>79</v>
      </c>
    </row>
    <row r="20081" spans="1:9">
      <c r="A20081" t="s">
        <v>4</v>
      </c>
      <c r="B20081" s="4" t="s">
        <v>5</v>
      </c>
      <c r="C20081" s="4" t="s">
        <v>7</v>
      </c>
      <c r="D20081" s="4" t="s">
        <v>11</v>
      </c>
      <c r="E20081" s="4" t="s">
        <v>13</v>
      </c>
      <c r="F20081" s="4" t="s">
        <v>11</v>
      </c>
      <c r="G20081" s="4" t="s">
        <v>15</v>
      </c>
      <c r="H20081" s="4" t="s">
        <v>15</v>
      </c>
      <c r="I20081" s="4" t="s">
        <v>11</v>
      </c>
      <c r="J20081" s="4" t="s">
        <v>11</v>
      </c>
      <c r="K20081" s="4" t="s">
        <v>15</v>
      </c>
      <c r="L20081" s="4" t="s">
        <v>15</v>
      </c>
      <c r="M20081" s="4" t="s">
        <v>15</v>
      </c>
      <c r="N20081" s="4" t="s">
        <v>15</v>
      </c>
      <c r="O20081" s="4" t="s">
        <v>8</v>
      </c>
    </row>
    <row r="20082" spans="1:9">
      <c r="A20082" t="n">
        <v>195084</v>
      </c>
      <c r="B20082" s="57" t="n">
        <v>50</v>
      </c>
      <c r="C20082" s="7" t="n">
        <v>0</v>
      </c>
      <c r="D20082" s="7" t="n">
        <v>2004</v>
      </c>
      <c r="E20082" s="7" t="n">
        <v>0.5</v>
      </c>
      <c r="F20082" s="7" t="n">
        <v>300</v>
      </c>
      <c r="G20082" s="7" t="n">
        <v>0</v>
      </c>
      <c r="H20082" s="7" t="n">
        <v>1073741824</v>
      </c>
      <c r="I20082" s="7" t="n">
        <v>0</v>
      </c>
      <c r="J20082" s="7" t="n">
        <v>65533</v>
      </c>
      <c r="K20082" s="7" t="n">
        <v>0</v>
      </c>
      <c r="L20082" s="7" t="n">
        <v>0</v>
      </c>
      <c r="M20082" s="7" t="n">
        <v>0</v>
      </c>
      <c r="N20082" s="7" t="n">
        <v>0</v>
      </c>
      <c r="O20082" s="7" t="s">
        <v>16</v>
      </c>
    </row>
    <row r="20083" spans="1:9">
      <c r="A20083" t="s">
        <v>4</v>
      </c>
      <c r="B20083" s="4" t="s">
        <v>5</v>
      </c>
      <c r="C20083" s="4" t="s">
        <v>11</v>
      </c>
    </row>
    <row r="20084" spans="1:9">
      <c r="A20084" t="n">
        <v>195123</v>
      </c>
      <c r="B20084" s="29" t="n">
        <v>16</v>
      </c>
      <c r="C20084" s="7" t="n">
        <v>2500</v>
      </c>
    </row>
    <row r="20085" spans="1:9">
      <c r="A20085" t="s">
        <v>4</v>
      </c>
      <c r="B20085" s="4" t="s">
        <v>5</v>
      </c>
      <c r="C20085" s="4" t="s">
        <v>7</v>
      </c>
      <c r="D20085" s="4" t="s">
        <v>11</v>
      </c>
      <c r="E20085" s="4" t="s">
        <v>13</v>
      </c>
    </row>
    <row r="20086" spans="1:9">
      <c r="A20086" t="n">
        <v>195126</v>
      </c>
      <c r="B20086" s="23" t="n">
        <v>58</v>
      </c>
      <c r="C20086" s="7" t="n">
        <v>101</v>
      </c>
      <c r="D20086" s="7" t="n">
        <v>800</v>
      </c>
      <c r="E20086" s="7" t="n">
        <v>1</v>
      </c>
    </row>
    <row r="20087" spans="1:9">
      <c r="A20087" t="s">
        <v>4</v>
      </c>
      <c r="B20087" s="4" t="s">
        <v>5</v>
      </c>
      <c r="C20087" s="4" t="s">
        <v>7</v>
      </c>
      <c r="D20087" s="4" t="s">
        <v>11</v>
      </c>
    </row>
    <row r="20088" spans="1:9">
      <c r="A20088" t="n">
        <v>195134</v>
      </c>
      <c r="B20088" s="23" t="n">
        <v>58</v>
      </c>
      <c r="C20088" s="7" t="n">
        <v>254</v>
      </c>
      <c r="D20088" s="7" t="n">
        <v>0</v>
      </c>
    </row>
    <row r="20089" spans="1:9">
      <c r="A20089" t="s">
        <v>4</v>
      </c>
      <c r="B20089" s="4" t="s">
        <v>5</v>
      </c>
      <c r="C20089" s="4" t="s">
        <v>11</v>
      </c>
      <c r="D20089" s="4" t="s">
        <v>13</v>
      </c>
      <c r="E20089" s="4" t="s">
        <v>13</v>
      </c>
      <c r="F20089" s="4" t="s">
        <v>13</v>
      </c>
      <c r="G20089" s="4" t="s">
        <v>13</v>
      </c>
    </row>
    <row r="20090" spans="1:9">
      <c r="A20090" t="n">
        <v>195138</v>
      </c>
      <c r="B20090" s="36" t="n">
        <v>46</v>
      </c>
      <c r="C20090" s="7" t="n">
        <v>7</v>
      </c>
      <c r="D20090" s="7" t="n">
        <v>-18.8500003814697</v>
      </c>
      <c r="E20090" s="7" t="n">
        <v>10.0100002288818</v>
      </c>
      <c r="F20090" s="7" t="n">
        <v>50.2000007629395</v>
      </c>
      <c r="G20090" s="7" t="n">
        <v>103.099998474121</v>
      </c>
    </row>
    <row r="20091" spans="1:9">
      <c r="A20091" t="s">
        <v>4</v>
      </c>
      <c r="B20091" s="4" t="s">
        <v>5</v>
      </c>
      <c r="C20091" s="4" t="s">
        <v>7</v>
      </c>
      <c r="D20091" s="4" t="s">
        <v>7</v>
      </c>
      <c r="E20091" s="4" t="s">
        <v>13</v>
      </c>
      <c r="F20091" s="4" t="s">
        <v>13</v>
      </c>
      <c r="G20091" s="4" t="s">
        <v>13</v>
      </c>
      <c r="H20091" s="4" t="s">
        <v>11</v>
      </c>
    </row>
    <row r="20092" spans="1:9">
      <c r="A20092" t="n">
        <v>195157</v>
      </c>
      <c r="B20092" s="51" t="n">
        <v>45</v>
      </c>
      <c r="C20092" s="7" t="n">
        <v>2</v>
      </c>
      <c r="D20092" s="7" t="n">
        <v>3</v>
      </c>
      <c r="E20092" s="7" t="n">
        <v>-18.5799999237061</v>
      </c>
      <c r="F20092" s="7" t="n">
        <v>11.3599996566772</v>
      </c>
      <c r="G20092" s="7" t="n">
        <v>50.1599998474121</v>
      </c>
      <c r="H20092" s="7" t="n">
        <v>0</v>
      </c>
    </row>
    <row r="20093" spans="1:9">
      <c r="A20093" t="s">
        <v>4</v>
      </c>
      <c r="B20093" s="4" t="s">
        <v>5</v>
      </c>
      <c r="C20093" s="4" t="s">
        <v>7</v>
      </c>
      <c r="D20093" s="4" t="s">
        <v>7</v>
      </c>
      <c r="E20093" s="4" t="s">
        <v>13</v>
      </c>
      <c r="F20093" s="4" t="s">
        <v>13</v>
      </c>
      <c r="G20093" s="4" t="s">
        <v>13</v>
      </c>
      <c r="H20093" s="4" t="s">
        <v>11</v>
      </c>
      <c r="I20093" s="4" t="s">
        <v>7</v>
      </c>
    </row>
    <row r="20094" spans="1:9">
      <c r="A20094" t="n">
        <v>195174</v>
      </c>
      <c r="B20094" s="51" t="n">
        <v>45</v>
      </c>
      <c r="C20094" s="7" t="n">
        <v>4</v>
      </c>
      <c r="D20094" s="7" t="n">
        <v>3</v>
      </c>
      <c r="E20094" s="7" t="n">
        <v>30.7000007629395</v>
      </c>
      <c r="F20094" s="7" t="n">
        <v>39</v>
      </c>
      <c r="G20094" s="7" t="n">
        <v>8</v>
      </c>
      <c r="H20094" s="7" t="n">
        <v>0</v>
      </c>
      <c r="I20094" s="7" t="n">
        <v>0</v>
      </c>
    </row>
    <row r="20095" spans="1:9">
      <c r="A20095" t="s">
        <v>4</v>
      </c>
      <c r="B20095" s="4" t="s">
        <v>5</v>
      </c>
      <c r="C20095" s="4" t="s">
        <v>7</v>
      </c>
      <c r="D20095" s="4" t="s">
        <v>7</v>
      </c>
      <c r="E20095" s="4" t="s">
        <v>13</v>
      </c>
      <c r="F20095" s="4" t="s">
        <v>11</v>
      </c>
    </row>
    <row r="20096" spans="1:9">
      <c r="A20096" t="n">
        <v>195192</v>
      </c>
      <c r="B20096" s="51" t="n">
        <v>45</v>
      </c>
      <c r="C20096" s="7" t="n">
        <v>5</v>
      </c>
      <c r="D20096" s="7" t="n">
        <v>3</v>
      </c>
      <c r="E20096" s="7" t="n">
        <v>1.20000004768372</v>
      </c>
      <c r="F20096" s="7" t="n">
        <v>0</v>
      </c>
    </row>
    <row r="20097" spans="1:15">
      <c r="A20097" t="s">
        <v>4</v>
      </c>
      <c r="B20097" s="4" t="s">
        <v>5</v>
      </c>
      <c r="C20097" s="4" t="s">
        <v>7</v>
      </c>
      <c r="D20097" s="4" t="s">
        <v>7</v>
      </c>
      <c r="E20097" s="4" t="s">
        <v>13</v>
      </c>
      <c r="F20097" s="4" t="s">
        <v>11</v>
      </c>
    </row>
    <row r="20098" spans="1:15">
      <c r="A20098" t="n">
        <v>195201</v>
      </c>
      <c r="B20098" s="51" t="n">
        <v>45</v>
      </c>
      <c r="C20098" s="7" t="n">
        <v>11</v>
      </c>
      <c r="D20098" s="7" t="n">
        <v>3</v>
      </c>
      <c r="E20098" s="7" t="n">
        <v>32.2999992370605</v>
      </c>
      <c r="F20098" s="7" t="n">
        <v>0</v>
      </c>
    </row>
    <row r="20099" spans="1:15">
      <c r="A20099" t="s">
        <v>4</v>
      </c>
      <c r="B20099" s="4" t="s">
        <v>5</v>
      </c>
      <c r="C20099" s="4" t="s">
        <v>7</v>
      </c>
      <c r="D20099" s="4" t="s">
        <v>7</v>
      </c>
      <c r="E20099" s="4" t="s">
        <v>13</v>
      </c>
      <c r="F20099" s="4" t="s">
        <v>11</v>
      </c>
    </row>
    <row r="20100" spans="1:15">
      <c r="A20100" t="n">
        <v>195210</v>
      </c>
      <c r="B20100" s="51" t="n">
        <v>45</v>
      </c>
      <c r="C20100" s="7" t="n">
        <v>11</v>
      </c>
      <c r="D20100" s="7" t="n">
        <v>3</v>
      </c>
      <c r="E20100" s="7" t="n">
        <v>32.2999992370605</v>
      </c>
      <c r="F20100" s="7" t="n">
        <v>0</v>
      </c>
    </row>
    <row r="20101" spans="1:15">
      <c r="A20101" t="s">
        <v>4</v>
      </c>
      <c r="B20101" s="4" t="s">
        <v>5</v>
      </c>
      <c r="C20101" s="4" t="s">
        <v>7</v>
      </c>
      <c r="D20101" s="4" t="s">
        <v>11</v>
      </c>
    </row>
    <row r="20102" spans="1:15">
      <c r="A20102" t="n">
        <v>195219</v>
      </c>
      <c r="B20102" s="23" t="n">
        <v>58</v>
      </c>
      <c r="C20102" s="7" t="n">
        <v>255</v>
      </c>
      <c r="D20102" s="7" t="n">
        <v>0</v>
      </c>
    </row>
    <row r="20103" spans="1:15">
      <c r="A20103" t="s">
        <v>4</v>
      </c>
      <c r="B20103" s="4" t="s">
        <v>5</v>
      </c>
      <c r="C20103" s="4" t="s">
        <v>7</v>
      </c>
      <c r="D20103" s="4" t="s">
        <v>11</v>
      </c>
      <c r="E20103" s="4" t="s">
        <v>8</v>
      </c>
      <c r="F20103" s="4" t="s">
        <v>8</v>
      </c>
      <c r="G20103" s="4" t="s">
        <v>8</v>
      </c>
      <c r="H20103" s="4" t="s">
        <v>8</v>
      </c>
    </row>
    <row r="20104" spans="1:15">
      <c r="A20104" t="n">
        <v>195223</v>
      </c>
      <c r="B20104" s="38" t="n">
        <v>51</v>
      </c>
      <c r="C20104" s="7" t="n">
        <v>3</v>
      </c>
      <c r="D20104" s="7" t="n">
        <v>0</v>
      </c>
      <c r="E20104" s="7" t="s">
        <v>154</v>
      </c>
      <c r="F20104" s="7" t="s">
        <v>218</v>
      </c>
      <c r="G20104" s="7" t="s">
        <v>78</v>
      </c>
      <c r="H20104" s="7" t="s">
        <v>79</v>
      </c>
    </row>
    <row r="20105" spans="1:15">
      <c r="A20105" t="s">
        <v>4</v>
      </c>
      <c r="B20105" s="4" t="s">
        <v>5</v>
      </c>
      <c r="C20105" s="4" t="s">
        <v>7</v>
      </c>
      <c r="D20105" s="4" t="s">
        <v>11</v>
      </c>
      <c r="E20105" s="4" t="s">
        <v>8</v>
      </c>
    </row>
    <row r="20106" spans="1:15">
      <c r="A20106" t="n">
        <v>195236</v>
      </c>
      <c r="B20106" s="38" t="n">
        <v>51</v>
      </c>
      <c r="C20106" s="7" t="n">
        <v>4</v>
      </c>
      <c r="D20106" s="7" t="n">
        <v>0</v>
      </c>
      <c r="E20106" s="7" t="s">
        <v>245</v>
      </c>
    </row>
    <row r="20107" spans="1:15">
      <c r="A20107" t="s">
        <v>4</v>
      </c>
      <c r="B20107" s="4" t="s">
        <v>5</v>
      </c>
      <c r="C20107" s="4" t="s">
        <v>11</v>
      </c>
    </row>
    <row r="20108" spans="1:15">
      <c r="A20108" t="n">
        <v>195250</v>
      </c>
      <c r="B20108" s="29" t="n">
        <v>16</v>
      </c>
      <c r="C20108" s="7" t="n">
        <v>0</v>
      </c>
    </row>
    <row r="20109" spans="1:15">
      <c r="A20109" t="s">
        <v>4</v>
      </c>
      <c r="B20109" s="4" t="s">
        <v>5</v>
      </c>
      <c r="C20109" s="4" t="s">
        <v>11</v>
      </c>
      <c r="D20109" s="4" t="s">
        <v>7</v>
      </c>
      <c r="E20109" s="4" t="s">
        <v>15</v>
      </c>
      <c r="F20109" s="4" t="s">
        <v>55</v>
      </c>
      <c r="G20109" s="4" t="s">
        <v>7</v>
      </c>
      <c r="H20109" s="4" t="s">
        <v>7</v>
      </c>
    </row>
    <row r="20110" spans="1:15">
      <c r="A20110" t="n">
        <v>195253</v>
      </c>
      <c r="B20110" s="55" t="n">
        <v>26</v>
      </c>
      <c r="C20110" s="7" t="n">
        <v>0</v>
      </c>
      <c r="D20110" s="7" t="n">
        <v>17</v>
      </c>
      <c r="E20110" s="7" t="n">
        <v>64666</v>
      </c>
      <c r="F20110" s="7" t="s">
        <v>1657</v>
      </c>
      <c r="G20110" s="7" t="n">
        <v>2</v>
      </c>
      <c r="H20110" s="7" t="n">
        <v>0</v>
      </c>
    </row>
    <row r="20111" spans="1:15">
      <c r="A20111" t="s">
        <v>4</v>
      </c>
      <c r="B20111" s="4" t="s">
        <v>5</v>
      </c>
    </row>
    <row r="20112" spans="1:15">
      <c r="A20112" t="n">
        <v>195287</v>
      </c>
      <c r="B20112" s="27" t="n">
        <v>28</v>
      </c>
    </row>
    <row r="20113" spans="1:8">
      <c r="A20113" t="s">
        <v>4</v>
      </c>
      <c r="B20113" s="4" t="s">
        <v>5</v>
      </c>
      <c r="C20113" s="4" t="s">
        <v>7</v>
      </c>
      <c r="D20113" s="4" t="s">
        <v>11</v>
      </c>
      <c r="E20113" s="4" t="s">
        <v>11</v>
      </c>
      <c r="F20113" s="4" t="s">
        <v>7</v>
      </c>
    </row>
    <row r="20114" spans="1:8">
      <c r="A20114" t="n">
        <v>195288</v>
      </c>
      <c r="B20114" s="31" t="n">
        <v>25</v>
      </c>
      <c r="C20114" s="7" t="n">
        <v>1</v>
      </c>
      <c r="D20114" s="7" t="n">
        <v>65535</v>
      </c>
      <c r="E20114" s="7" t="n">
        <v>65535</v>
      </c>
      <c r="F20114" s="7" t="n">
        <v>0</v>
      </c>
    </row>
    <row r="20115" spans="1:8">
      <c r="A20115" t="s">
        <v>4</v>
      </c>
      <c r="B20115" s="4" t="s">
        <v>5</v>
      </c>
      <c r="C20115" s="4" t="s">
        <v>11</v>
      </c>
    </row>
    <row r="20116" spans="1:8">
      <c r="A20116" t="n">
        <v>195295</v>
      </c>
      <c r="B20116" s="29" t="n">
        <v>16</v>
      </c>
      <c r="C20116" s="7" t="n">
        <v>300</v>
      </c>
    </row>
    <row r="20117" spans="1:8">
      <c r="A20117" t="s">
        <v>4</v>
      </c>
      <c r="B20117" s="4" t="s">
        <v>5</v>
      </c>
      <c r="C20117" s="4" t="s">
        <v>7</v>
      </c>
      <c r="D20117" s="4" t="s">
        <v>11</v>
      </c>
      <c r="E20117" s="4" t="s">
        <v>8</v>
      </c>
    </row>
    <row r="20118" spans="1:8">
      <c r="A20118" t="n">
        <v>195298</v>
      </c>
      <c r="B20118" s="38" t="n">
        <v>51</v>
      </c>
      <c r="C20118" s="7" t="n">
        <v>4</v>
      </c>
      <c r="D20118" s="7" t="n">
        <v>7</v>
      </c>
      <c r="E20118" s="7" t="s">
        <v>709</v>
      </c>
    </row>
    <row r="20119" spans="1:8">
      <c r="A20119" t="s">
        <v>4</v>
      </c>
      <c r="B20119" s="4" t="s">
        <v>5</v>
      </c>
      <c r="C20119" s="4" t="s">
        <v>11</v>
      </c>
    </row>
    <row r="20120" spans="1:8">
      <c r="A20120" t="n">
        <v>195312</v>
      </c>
      <c r="B20120" s="29" t="n">
        <v>16</v>
      </c>
      <c r="C20120" s="7" t="n">
        <v>0</v>
      </c>
    </row>
    <row r="20121" spans="1:8">
      <c r="A20121" t="s">
        <v>4</v>
      </c>
      <c r="B20121" s="4" t="s">
        <v>5</v>
      </c>
      <c r="C20121" s="4" t="s">
        <v>11</v>
      </c>
      <c r="D20121" s="4" t="s">
        <v>7</v>
      </c>
      <c r="E20121" s="4" t="s">
        <v>15</v>
      </c>
      <c r="F20121" s="4" t="s">
        <v>55</v>
      </c>
      <c r="G20121" s="4" t="s">
        <v>7</v>
      </c>
      <c r="H20121" s="4" t="s">
        <v>7</v>
      </c>
      <c r="I20121" s="4" t="s">
        <v>7</v>
      </c>
      <c r="J20121" s="4" t="s">
        <v>15</v>
      </c>
      <c r="K20121" s="4" t="s">
        <v>55</v>
      </c>
      <c r="L20121" s="4" t="s">
        <v>7</v>
      </c>
      <c r="M20121" s="4" t="s">
        <v>7</v>
      </c>
    </row>
    <row r="20122" spans="1:8">
      <c r="A20122" t="n">
        <v>195315</v>
      </c>
      <c r="B20122" s="55" t="n">
        <v>26</v>
      </c>
      <c r="C20122" s="7" t="n">
        <v>7</v>
      </c>
      <c r="D20122" s="7" t="n">
        <v>17</v>
      </c>
      <c r="E20122" s="7" t="n">
        <v>64667</v>
      </c>
      <c r="F20122" s="7" t="s">
        <v>1658</v>
      </c>
      <c r="G20122" s="7" t="n">
        <v>2</v>
      </c>
      <c r="H20122" s="7" t="n">
        <v>3</v>
      </c>
      <c r="I20122" s="7" t="n">
        <v>17</v>
      </c>
      <c r="J20122" s="7" t="n">
        <v>64668</v>
      </c>
      <c r="K20122" s="7" t="s">
        <v>1659</v>
      </c>
      <c r="L20122" s="7" t="n">
        <v>2</v>
      </c>
      <c r="M20122" s="7" t="n">
        <v>0</v>
      </c>
    </row>
    <row r="20123" spans="1:8">
      <c r="A20123" t="s">
        <v>4</v>
      </c>
      <c r="B20123" s="4" t="s">
        <v>5</v>
      </c>
    </row>
    <row r="20124" spans="1:8">
      <c r="A20124" t="n">
        <v>195431</v>
      </c>
      <c r="B20124" s="27" t="n">
        <v>28</v>
      </c>
    </row>
    <row r="20125" spans="1:8">
      <c r="A20125" t="s">
        <v>4</v>
      </c>
      <c r="B20125" s="4" t="s">
        <v>5</v>
      </c>
      <c r="C20125" s="4" t="s">
        <v>7</v>
      </c>
      <c r="D20125" s="4" t="s">
        <v>11</v>
      </c>
      <c r="E20125" s="4" t="s">
        <v>8</v>
      </c>
    </row>
    <row r="20126" spans="1:8">
      <c r="A20126" t="n">
        <v>195432</v>
      </c>
      <c r="B20126" s="38" t="n">
        <v>51</v>
      </c>
      <c r="C20126" s="7" t="n">
        <v>4</v>
      </c>
      <c r="D20126" s="7" t="n">
        <v>0</v>
      </c>
      <c r="E20126" s="7" t="s">
        <v>909</v>
      </c>
    </row>
    <row r="20127" spans="1:8">
      <c r="A20127" t="s">
        <v>4</v>
      </c>
      <c r="B20127" s="4" t="s">
        <v>5</v>
      </c>
      <c r="C20127" s="4" t="s">
        <v>11</v>
      </c>
    </row>
    <row r="20128" spans="1:8">
      <c r="A20128" t="n">
        <v>195446</v>
      </c>
      <c r="B20128" s="29" t="n">
        <v>16</v>
      </c>
      <c r="C20128" s="7" t="n">
        <v>0</v>
      </c>
    </row>
    <row r="20129" spans="1:13">
      <c r="A20129" t="s">
        <v>4</v>
      </c>
      <c r="B20129" s="4" t="s">
        <v>5</v>
      </c>
      <c r="C20129" s="4" t="s">
        <v>11</v>
      </c>
      <c r="D20129" s="4" t="s">
        <v>7</v>
      </c>
      <c r="E20129" s="4" t="s">
        <v>15</v>
      </c>
      <c r="F20129" s="4" t="s">
        <v>55</v>
      </c>
      <c r="G20129" s="4" t="s">
        <v>7</v>
      </c>
      <c r="H20129" s="4" t="s">
        <v>7</v>
      </c>
    </row>
    <row r="20130" spans="1:13">
      <c r="A20130" t="n">
        <v>195449</v>
      </c>
      <c r="B20130" s="55" t="n">
        <v>26</v>
      </c>
      <c r="C20130" s="7" t="n">
        <v>0</v>
      </c>
      <c r="D20130" s="7" t="n">
        <v>17</v>
      </c>
      <c r="E20130" s="7" t="n">
        <v>65286</v>
      </c>
      <c r="F20130" s="7" t="s">
        <v>1618</v>
      </c>
      <c r="G20130" s="7" t="n">
        <v>2</v>
      </c>
      <c r="H20130" s="7" t="n">
        <v>0</v>
      </c>
    </row>
    <row r="20131" spans="1:13">
      <c r="A20131" t="s">
        <v>4</v>
      </c>
      <c r="B20131" s="4" t="s">
        <v>5</v>
      </c>
    </row>
    <row r="20132" spans="1:13">
      <c r="A20132" t="n">
        <v>195468</v>
      </c>
      <c r="B20132" s="27" t="n">
        <v>28</v>
      </c>
    </row>
    <row r="20133" spans="1:13">
      <c r="A20133" t="s">
        <v>4</v>
      </c>
      <c r="B20133" s="4" t="s">
        <v>5</v>
      </c>
      <c r="C20133" s="4" t="s">
        <v>7</v>
      </c>
      <c r="D20133" s="4" t="s">
        <v>11</v>
      </c>
      <c r="E20133" s="4" t="s">
        <v>11</v>
      </c>
      <c r="F20133" s="4" t="s">
        <v>7</v>
      </c>
    </row>
    <row r="20134" spans="1:13">
      <c r="A20134" t="n">
        <v>195469</v>
      </c>
      <c r="B20134" s="31" t="n">
        <v>25</v>
      </c>
      <c r="C20134" s="7" t="n">
        <v>1</v>
      </c>
      <c r="D20134" s="7" t="n">
        <v>65535</v>
      </c>
      <c r="E20134" s="7" t="n">
        <v>65535</v>
      </c>
      <c r="F20134" s="7" t="n">
        <v>0</v>
      </c>
    </row>
    <row r="20135" spans="1:13">
      <c r="A20135" t="s">
        <v>4</v>
      </c>
      <c r="B20135" s="4" t="s">
        <v>5</v>
      </c>
      <c r="C20135" s="4" t="s">
        <v>7</v>
      </c>
      <c r="D20135" s="4" t="s">
        <v>11</v>
      </c>
      <c r="E20135" s="4" t="s">
        <v>8</v>
      </c>
      <c r="F20135" s="4" t="s">
        <v>8</v>
      </c>
      <c r="G20135" s="4" t="s">
        <v>8</v>
      </c>
      <c r="H20135" s="4" t="s">
        <v>8</v>
      </c>
    </row>
    <row r="20136" spans="1:13">
      <c r="A20136" t="n">
        <v>195476</v>
      </c>
      <c r="B20136" s="38" t="n">
        <v>51</v>
      </c>
      <c r="C20136" s="7" t="n">
        <v>3</v>
      </c>
      <c r="D20136" s="7" t="n">
        <v>7</v>
      </c>
      <c r="E20136" s="7" t="s">
        <v>99</v>
      </c>
      <c r="F20136" s="7" t="s">
        <v>218</v>
      </c>
      <c r="G20136" s="7" t="s">
        <v>78</v>
      </c>
      <c r="H20136" s="7" t="s">
        <v>79</v>
      </c>
    </row>
    <row r="20137" spans="1:13">
      <c r="A20137" t="s">
        <v>4</v>
      </c>
      <c r="B20137" s="4" t="s">
        <v>5</v>
      </c>
      <c r="C20137" s="4" t="s">
        <v>11</v>
      </c>
      <c r="D20137" s="4" t="s">
        <v>13</v>
      </c>
      <c r="E20137" s="4" t="s">
        <v>13</v>
      </c>
      <c r="F20137" s="4" t="s">
        <v>13</v>
      </c>
      <c r="G20137" s="4" t="s">
        <v>11</v>
      </c>
      <c r="H20137" s="4" t="s">
        <v>11</v>
      </c>
    </row>
    <row r="20138" spans="1:13">
      <c r="A20138" t="n">
        <v>195489</v>
      </c>
      <c r="B20138" s="37" t="n">
        <v>60</v>
      </c>
      <c r="C20138" s="7" t="n">
        <v>7</v>
      </c>
      <c r="D20138" s="7" t="n">
        <v>0</v>
      </c>
      <c r="E20138" s="7" t="n">
        <v>15</v>
      </c>
      <c r="F20138" s="7" t="n">
        <v>0</v>
      </c>
      <c r="G20138" s="7" t="n">
        <v>1000</v>
      </c>
      <c r="H20138" s="7" t="n">
        <v>0</v>
      </c>
    </row>
    <row r="20139" spans="1:13">
      <c r="A20139" t="s">
        <v>4</v>
      </c>
      <c r="B20139" s="4" t="s">
        <v>5</v>
      </c>
      <c r="C20139" s="4" t="s">
        <v>11</v>
      </c>
    </row>
    <row r="20140" spans="1:13">
      <c r="A20140" t="n">
        <v>195508</v>
      </c>
      <c r="B20140" s="29" t="n">
        <v>16</v>
      </c>
      <c r="C20140" s="7" t="n">
        <v>1000</v>
      </c>
    </row>
    <row r="20141" spans="1:13">
      <c r="A20141" t="s">
        <v>4</v>
      </c>
      <c r="B20141" s="4" t="s">
        <v>5</v>
      </c>
      <c r="C20141" s="4" t="s">
        <v>7</v>
      </c>
      <c r="D20141" s="4" t="s">
        <v>11</v>
      </c>
      <c r="E20141" s="4" t="s">
        <v>8</v>
      </c>
    </row>
    <row r="20142" spans="1:13">
      <c r="A20142" t="n">
        <v>195511</v>
      </c>
      <c r="B20142" s="38" t="n">
        <v>51</v>
      </c>
      <c r="C20142" s="7" t="n">
        <v>4</v>
      </c>
      <c r="D20142" s="7" t="n">
        <v>7</v>
      </c>
      <c r="E20142" s="7" t="s">
        <v>432</v>
      </c>
    </row>
    <row r="20143" spans="1:13">
      <c r="A20143" t="s">
        <v>4</v>
      </c>
      <c r="B20143" s="4" t="s">
        <v>5</v>
      </c>
      <c r="C20143" s="4" t="s">
        <v>11</v>
      </c>
    </row>
    <row r="20144" spans="1:13">
      <c r="A20144" t="n">
        <v>195524</v>
      </c>
      <c r="B20144" s="29" t="n">
        <v>16</v>
      </c>
      <c r="C20144" s="7" t="n">
        <v>0</v>
      </c>
    </row>
    <row r="20145" spans="1:8">
      <c r="A20145" t="s">
        <v>4</v>
      </c>
      <c r="B20145" s="4" t="s">
        <v>5</v>
      </c>
      <c r="C20145" s="4" t="s">
        <v>11</v>
      </c>
      <c r="D20145" s="4" t="s">
        <v>7</v>
      </c>
      <c r="E20145" s="4" t="s">
        <v>15</v>
      </c>
      <c r="F20145" s="4" t="s">
        <v>55</v>
      </c>
      <c r="G20145" s="4" t="s">
        <v>7</v>
      </c>
      <c r="H20145" s="4" t="s">
        <v>7</v>
      </c>
      <c r="I20145" s="4" t="s">
        <v>7</v>
      </c>
      <c r="J20145" s="4" t="s">
        <v>15</v>
      </c>
      <c r="K20145" s="4" t="s">
        <v>55</v>
      </c>
      <c r="L20145" s="4" t="s">
        <v>7</v>
      </c>
      <c r="M20145" s="4" t="s">
        <v>7</v>
      </c>
      <c r="N20145" s="4" t="s">
        <v>7</v>
      </c>
      <c r="O20145" s="4" t="s">
        <v>15</v>
      </c>
      <c r="P20145" s="4" t="s">
        <v>55</v>
      </c>
      <c r="Q20145" s="4" t="s">
        <v>7</v>
      </c>
      <c r="R20145" s="4" t="s">
        <v>7</v>
      </c>
    </row>
    <row r="20146" spans="1:8">
      <c r="A20146" t="n">
        <v>195527</v>
      </c>
      <c r="B20146" s="55" t="n">
        <v>26</v>
      </c>
      <c r="C20146" s="7" t="n">
        <v>7</v>
      </c>
      <c r="D20146" s="7" t="n">
        <v>17</v>
      </c>
      <c r="E20146" s="7" t="n">
        <v>64669</v>
      </c>
      <c r="F20146" s="7" t="s">
        <v>1660</v>
      </c>
      <c r="G20146" s="7" t="n">
        <v>2</v>
      </c>
      <c r="H20146" s="7" t="n">
        <v>3</v>
      </c>
      <c r="I20146" s="7" t="n">
        <v>17</v>
      </c>
      <c r="J20146" s="7" t="n">
        <v>64670</v>
      </c>
      <c r="K20146" s="7" t="s">
        <v>1661</v>
      </c>
      <c r="L20146" s="7" t="n">
        <v>2</v>
      </c>
      <c r="M20146" s="7" t="n">
        <v>3</v>
      </c>
      <c r="N20146" s="7" t="n">
        <v>17</v>
      </c>
      <c r="O20146" s="7" t="n">
        <v>64671</v>
      </c>
      <c r="P20146" s="7" t="s">
        <v>1662</v>
      </c>
      <c r="Q20146" s="7" t="n">
        <v>2</v>
      </c>
      <c r="R20146" s="7" t="n">
        <v>0</v>
      </c>
    </row>
    <row r="20147" spans="1:8">
      <c r="A20147" t="s">
        <v>4</v>
      </c>
      <c r="B20147" s="4" t="s">
        <v>5</v>
      </c>
    </row>
    <row r="20148" spans="1:8">
      <c r="A20148" t="n">
        <v>195735</v>
      </c>
      <c r="B20148" s="27" t="n">
        <v>28</v>
      </c>
    </row>
    <row r="20149" spans="1:8">
      <c r="A20149" t="s">
        <v>4</v>
      </c>
      <c r="B20149" s="4" t="s">
        <v>5</v>
      </c>
      <c r="C20149" s="4" t="s">
        <v>7</v>
      </c>
      <c r="D20149" s="4" t="s">
        <v>11</v>
      </c>
      <c r="E20149" s="4" t="s">
        <v>8</v>
      </c>
    </row>
    <row r="20150" spans="1:8">
      <c r="A20150" t="n">
        <v>195736</v>
      </c>
      <c r="B20150" s="38" t="n">
        <v>51</v>
      </c>
      <c r="C20150" s="7" t="n">
        <v>4</v>
      </c>
      <c r="D20150" s="7" t="n">
        <v>0</v>
      </c>
      <c r="E20150" s="7" t="s">
        <v>242</v>
      </c>
    </row>
    <row r="20151" spans="1:8">
      <c r="A20151" t="s">
        <v>4</v>
      </c>
      <c r="B20151" s="4" t="s">
        <v>5</v>
      </c>
      <c r="C20151" s="4" t="s">
        <v>11</v>
      </c>
    </row>
    <row r="20152" spans="1:8">
      <c r="A20152" t="n">
        <v>195750</v>
      </c>
      <c r="B20152" s="29" t="n">
        <v>16</v>
      </c>
      <c r="C20152" s="7" t="n">
        <v>0</v>
      </c>
    </row>
    <row r="20153" spans="1:8">
      <c r="A20153" t="s">
        <v>4</v>
      </c>
      <c r="B20153" s="4" t="s">
        <v>5</v>
      </c>
      <c r="C20153" s="4" t="s">
        <v>11</v>
      </c>
      <c r="D20153" s="4" t="s">
        <v>7</v>
      </c>
      <c r="E20153" s="4" t="s">
        <v>15</v>
      </c>
      <c r="F20153" s="4" t="s">
        <v>55</v>
      </c>
      <c r="G20153" s="4" t="s">
        <v>7</v>
      </c>
      <c r="H20153" s="4" t="s">
        <v>7</v>
      </c>
      <c r="I20153" s="4" t="s">
        <v>7</v>
      </c>
      <c r="J20153" s="4" t="s">
        <v>15</v>
      </c>
      <c r="K20153" s="4" t="s">
        <v>55</v>
      </c>
      <c r="L20153" s="4" t="s">
        <v>7</v>
      </c>
      <c r="M20153" s="4" t="s">
        <v>7</v>
      </c>
    </row>
    <row r="20154" spans="1:8">
      <c r="A20154" t="n">
        <v>195753</v>
      </c>
      <c r="B20154" s="55" t="n">
        <v>26</v>
      </c>
      <c r="C20154" s="7" t="n">
        <v>0</v>
      </c>
      <c r="D20154" s="7" t="n">
        <v>17</v>
      </c>
      <c r="E20154" s="7" t="n">
        <v>64672</v>
      </c>
      <c r="F20154" s="7" t="s">
        <v>1663</v>
      </c>
      <c r="G20154" s="7" t="n">
        <v>2</v>
      </c>
      <c r="H20154" s="7" t="n">
        <v>3</v>
      </c>
      <c r="I20154" s="7" t="n">
        <v>17</v>
      </c>
      <c r="J20154" s="7" t="n">
        <v>64418</v>
      </c>
      <c r="K20154" s="7" t="s">
        <v>1375</v>
      </c>
      <c r="L20154" s="7" t="n">
        <v>2</v>
      </c>
      <c r="M20154" s="7" t="n">
        <v>0</v>
      </c>
    </row>
    <row r="20155" spans="1:8">
      <c r="A20155" t="s">
        <v>4</v>
      </c>
      <c r="B20155" s="4" t="s">
        <v>5</v>
      </c>
    </row>
    <row r="20156" spans="1:8">
      <c r="A20156" t="n">
        <v>195816</v>
      </c>
      <c r="B20156" s="27" t="n">
        <v>28</v>
      </c>
    </row>
    <row r="20157" spans="1:8">
      <c r="A20157" t="s">
        <v>4</v>
      </c>
      <c r="B20157" s="4" t="s">
        <v>5</v>
      </c>
      <c r="C20157" s="4" t="s">
        <v>7</v>
      </c>
      <c r="D20157" s="4" t="s">
        <v>11</v>
      </c>
      <c r="E20157" s="4" t="s">
        <v>11</v>
      </c>
      <c r="F20157" s="4" t="s">
        <v>7</v>
      </c>
    </row>
    <row r="20158" spans="1:8">
      <c r="A20158" t="n">
        <v>195817</v>
      </c>
      <c r="B20158" s="31" t="n">
        <v>25</v>
      </c>
      <c r="C20158" s="7" t="n">
        <v>1</v>
      </c>
      <c r="D20158" s="7" t="n">
        <v>65535</v>
      </c>
      <c r="E20158" s="7" t="n">
        <v>65535</v>
      </c>
      <c r="F20158" s="7" t="n">
        <v>0</v>
      </c>
    </row>
    <row r="20159" spans="1:8">
      <c r="A20159" t="s">
        <v>4</v>
      </c>
      <c r="B20159" s="4" t="s">
        <v>5</v>
      </c>
      <c r="C20159" s="4" t="s">
        <v>7</v>
      </c>
      <c r="D20159" s="4" t="s">
        <v>11</v>
      </c>
      <c r="E20159" s="4" t="s">
        <v>8</v>
      </c>
    </row>
    <row r="20160" spans="1:8">
      <c r="A20160" t="n">
        <v>195824</v>
      </c>
      <c r="B20160" s="38" t="n">
        <v>51</v>
      </c>
      <c r="C20160" s="7" t="n">
        <v>4</v>
      </c>
      <c r="D20160" s="7" t="n">
        <v>7</v>
      </c>
      <c r="E20160" s="7" t="s">
        <v>1376</v>
      </c>
    </row>
    <row r="20161" spans="1:18">
      <c r="A20161" t="s">
        <v>4</v>
      </c>
      <c r="B20161" s="4" t="s">
        <v>5</v>
      </c>
      <c r="C20161" s="4" t="s">
        <v>11</v>
      </c>
    </row>
    <row r="20162" spans="1:18">
      <c r="A20162" t="n">
        <v>195839</v>
      </c>
      <c r="B20162" s="29" t="n">
        <v>16</v>
      </c>
      <c r="C20162" s="7" t="n">
        <v>0</v>
      </c>
    </row>
    <row r="20163" spans="1:18">
      <c r="A20163" t="s">
        <v>4</v>
      </c>
      <c r="B20163" s="4" t="s">
        <v>5</v>
      </c>
      <c r="C20163" s="4" t="s">
        <v>11</v>
      </c>
      <c r="D20163" s="4" t="s">
        <v>7</v>
      </c>
      <c r="E20163" s="4" t="s">
        <v>15</v>
      </c>
      <c r="F20163" s="4" t="s">
        <v>55</v>
      </c>
      <c r="G20163" s="4" t="s">
        <v>7</v>
      </c>
      <c r="H20163" s="4" t="s">
        <v>7</v>
      </c>
    </row>
    <row r="20164" spans="1:18">
      <c r="A20164" t="n">
        <v>195842</v>
      </c>
      <c r="B20164" s="55" t="n">
        <v>26</v>
      </c>
      <c r="C20164" s="7" t="n">
        <v>7</v>
      </c>
      <c r="D20164" s="7" t="n">
        <v>17</v>
      </c>
      <c r="E20164" s="7" t="n">
        <v>65288</v>
      </c>
      <c r="F20164" s="7" t="s">
        <v>464</v>
      </c>
      <c r="G20164" s="7" t="n">
        <v>2</v>
      </c>
      <c r="H20164" s="7" t="n">
        <v>0</v>
      </c>
    </row>
    <row r="20165" spans="1:18">
      <c r="A20165" t="s">
        <v>4</v>
      </c>
      <c r="B20165" s="4" t="s">
        <v>5</v>
      </c>
    </row>
    <row r="20166" spans="1:18">
      <c r="A20166" t="n">
        <v>195855</v>
      </c>
      <c r="B20166" s="27" t="n">
        <v>28</v>
      </c>
    </row>
    <row r="20167" spans="1:18">
      <c r="A20167" t="s">
        <v>4</v>
      </c>
      <c r="B20167" s="4" t="s">
        <v>5</v>
      </c>
      <c r="C20167" s="4" t="s">
        <v>7</v>
      </c>
      <c r="D20167" s="4" t="s">
        <v>11</v>
      </c>
      <c r="E20167" s="4" t="s">
        <v>8</v>
      </c>
    </row>
    <row r="20168" spans="1:18">
      <c r="A20168" t="n">
        <v>195856</v>
      </c>
      <c r="B20168" s="38" t="n">
        <v>51</v>
      </c>
      <c r="C20168" s="7" t="n">
        <v>4</v>
      </c>
      <c r="D20168" s="7" t="n">
        <v>0</v>
      </c>
      <c r="E20168" s="7" t="s">
        <v>242</v>
      </c>
    </row>
    <row r="20169" spans="1:18">
      <c r="A20169" t="s">
        <v>4</v>
      </c>
      <c r="B20169" s="4" t="s">
        <v>5</v>
      </c>
      <c r="C20169" s="4" t="s">
        <v>11</v>
      </c>
    </row>
    <row r="20170" spans="1:18">
      <c r="A20170" t="n">
        <v>195870</v>
      </c>
      <c r="B20170" s="29" t="n">
        <v>16</v>
      </c>
      <c r="C20170" s="7" t="n">
        <v>0</v>
      </c>
    </row>
    <row r="20171" spans="1:18">
      <c r="A20171" t="s">
        <v>4</v>
      </c>
      <c r="B20171" s="4" t="s">
        <v>5</v>
      </c>
      <c r="C20171" s="4" t="s">
        <v>11</v>
      </c>
      <c r="D20171" s="4" t="s">
        <v>7</v>
      </c>
      <c r="E20171" s="4" t="s">
        <v>15</v>
      </c>
      <c r="F20171" s="4" t="s">
        <v>55</v>
      </c>
      <c r="G20171" s="4" t="s">
        <v>7</v>
      </c>
      <c r="H20171" s="4" t="s">
        <v>7</v>
      </c>
      <c r="I20171" s="4" t="s">
        <v>7</v>
      </c>
      <c r="J20171" s="4" t="s">
        <v>15</v>
      </c>
      <c r="K20171" s="4" t="s">
        <v>55</v>
      </c>
      <c r="L20171" s="4" t="s">
        <v>7</v>
      </c>
      <c r="M20171" s="4" t="s">
        <v>7</v>
      </c>
      <c r="N20171" s="4" t="s">
        <v>7</v>
      </c>
      <c r="O20171" s="4" t="s">
        <v>15</v>
      </c>
      <c r="P20171" s="4" t="s">
        <v>55</v>
      </c>
      <c r="Q20171" s="4" t="s">
        <v>7</v>
      </c>
      <c r="R20171" s="4" t="s">
        <v>7</v>
      </c>
    </row>
    <row r="20172" spans="1:18">
      <c r="A20172" t="n">
        <v>195873</v>
      </c>
      <c r="B20172" s="55" t="n">
        <v>26</v>
      </c>
      <c r="C20172" s="7" t="n">
        <v>0</v>
      </c>
      <c r="D20172" s="7" t="n">
        <v>17</v>
      </c>
      <c r="E20172" s="7" t="n">
        <v>64673</v>
      </c>
      <c r="F20172" s="7" t="s">
        <v>1664</v>
      </c>
      <c r="G20172" s="7" t="n">
        <v>2</v>
      </c>
      <c r="H20172" s="7" t="n">
        <v>3</v>
      </c>
      <c r="I20172" s="7" t="n">
        <v>17</v>
      </c>
      <c r="J20172" s="7" t="n">
        <v>64674</v>
      </c>
      <c r="K20172" s="7" t="s">
        <v>1665</v>
      </c>
      <c r="L20172" s="7" t="n">
        <v>2</v>
      </c>
      <c r="M20172" s="7" t="n">
        <v>3</v>
      </c>
      <c r="N20172" s="7" t="n">
        <v>17</v>
      </c>
      <c r="O20172" s="7" t="n">
        <v>64336</v>
      </c>
      <c r="P20172" s="7" t="s">
        <v>1288</v>
      </c>
      <c r="Q20172" s="7" t="n">
        <v>2</v>
      </c>
      <c r="R20172" s="7" t="n">
        <v>0</v>
      </c>
    </row>
    <row r="20173" spans="1:18">
      <c r="A20173" t="s">
        <v>4</v>
      </c>
      <c r="B20173" s="4" t="s">
        <v>5</v>
      </c>
    </row>
    <row r="20174" spans="1:18">
      <c r="A20174" t="n">
        <v>196175</v>
      </c>
      <c r="B20174" s="27" t="n">
        <v>28</v>
      </c>
    </row>
    <row r="20175" spans="1:18">
      <c r="A20175" t="s">
        <v>4</v>
      </c>
      <c r="B20175" s="4" t="s">
        <v>5</v>
      </c>
      <c r="C20175" s="4" t="s">
        <v>7</v>
      </c>
      <c r="D20175" s="4" t="s">
        <v>11</v>
      </c>
      <c r="E20175" s="4" t="s">
        <v>11</v>
      </c>
      <c r="F20175" s="4" t="s">
        <v>7</v>
      </c>
    </row>
    <row r="20176" spans="1:18">
      <c r="A20176" t="n">
        <v>196176</v>
      </c>
      <c r="B20176" s="31" t="n">
        <v>25</v>
      </c>
      <c r="C20176" s="7" t="n">
        <v>1</v>
      </c>
      <c r="D20176" s="7" t="n">
        <v>65535</v>
      </c>
      <c r="E20176" s="7" t="n">
        <v>65535</v>
      </c>
      <c r="F20176" s="7" t="n">
        <v>0</v>
      </c>
    </row>
    <row r="20177" spans="1:18">
      <c r="A20177" t="s">
        <v>4</v>
      </c>
      <c r="B20177" s="4" t="s">
        <v>5</v>
      </c>
      <c r="C20177" s="4" t="s">
        <v>11</v>
      </c>
      <c r="D20177" s="4" t="s">
        <v>13</v>
      </c>
      <c r="E20177" s="4" t="s">
        <v>13</v>
      </c>
      <c r="F20177" s="4" t="s">
        <v>13</v>
      </c>
      <c r="G20177" s="4" t="s">
        <v>11</v>
      </c>
      <c r="H20177" s="4" t="s">
        <v>11</v>
      </c>
    </row>
    <row r="20178" spans="1:18">
      <c r="A20178" t="n">
        <v>196183</v>
      </c>
      <c r="B20178" s="37" t="n">
        <v>60</v>
      </c>
      <c r="C20178" s="7" t="n">
        <v>7</v>
      </c>
      <c r="D20178" s="7" t="n">
        <v>0</v>
      </c>
      <c r="E20178" s="7" t="n">
        <v>35</v>
      </c>
      <c r="F20178" s="7" t="n">
        <v>0</v>
      </c>
      <c r="G20178" s="7" t="n">
        <v>800</v>
      </c>
      <c r="H20178" s="7" t="n">
        <v>0</v>
      </c>
    </row>
    <row r="20179" spans="1:18">
      <c r="A20179" t="s">
        <v>4</v>
      </c>
      <c r="B20179" s="4" t="s">
        <v>5</v>
      </c>
      <c r="C20179" s="4" t="s">
        <v>7</v>
      </c>
      <c r="D20179" s="4" t="s">
        <v>11</v>
      </c>
      <c r="E20179" s="4" t="s">
        <v>8</v>
      </c>
    </row>
    <row r="20180" spans="1:18">
      <c r="A20180" t="n">
        <v>196202</v>
      </c>
      <c r="B20180" s="38" t="n">
        <v>51</v>
      </c>
      <c r="C20180" s="7" t="n">
        <v>4</v>
      </c>
      <c r="D20180" s="7" t="n">
        <v>7</v>
      </c>
      <c r="E20180" s="7" t="s">
        <v>173</v>
      </c>
    </row>
    <row r="20181" spans="1:18">
      <c r="A20181" t="s">
        <v>4</v>
      </c>
      <c r="B20181" s="4" t="s">
        <v>5</v>
      </c>
      <c r="C20181" s="4" t="s">
        <v>11</v>
      </c>
    </row>
    <row r="20182" spans="1:18">
      <c r="A20182" t="n">
        <v>196215</v>
      </c>
      <c r="B20182" s="29" t="n">
        <v>16</v>
      </c>
      <c r="C20182" s="7" t="n">
        <v>500</v>
      </c>
    </row>
    <row r="20183" spans="1:18">
      <c r="A20183" t="s">
        <v>4</v>
      </c>
      <c r="B20183" s="4" t="s">
        <v>5</v>
      </c>
      <c r="C20183" s="4" t="s">
        <v>11</v>
      </c>
      <c r="D20183" s="4" t="s">
        <v>7</v>
      </c>
      <c r="E20183" s="4" t="s">
        <v>15</v>
      </c>
      <c r="F20183" s="4" t="s">
        <v>55</v>
      </c>
      <c r="G20183" s="4" t="s">
        <v>7</v>
      </c>
      <c r="H20183" s="4" t="s">
        <v>7</v>
      </c>
      <c r="I20183" s="4" t="s">
        <v>7</v>
      </c>
      <c r="J20183" s="4" t="s">
        <v>15</v>
      </c>
      <c r="K20183" s="4" t="s">
        <v>55</v>
      </c>
      <c r="L20183" s="4" t="s">
        <v>7</v>
      </c>
      <c r="M20183" s="4" t="s">
        <v>7</v>
      </c>
      <c r="N20183" s="4" t="s">
        <v>7</v>
      </c>
      <c r="O20183" s="4" t="s">
        <v>15</v>
      </c>
      <c r="P20183" s="4" t="s">
        <v>55</v>
      </c>
      <c r="Q20183" s="4" t="s">
        <v>7</v>
      </c>
      <c r="R20183" s="4" t="s">
        <v>7</v>
      </c>
      <c r="S20183" s="4" t="s">
        <v>7</v>
      </c>
      <c r="T20183" s="4" t="s">
        <v>15</v>
      </c>
      <c r="U20183" s="4" t="s">
        <v>55</v>
      </c>
      <c r="V20183" s="4" t="s">
        <v>7</v>
      </c>
      <c r="W20183" s="4" t="s">
        <v>7</v>
      </c>
      <c r="X20183" s="4" t="s">
        <v>7</v>
      </c>
      <c r="Y20183" s="4" t="s">
        <v>15</v>
      </c>
      <c r="Z20183" s="4" t="s">
        <v>55</v>
      </c>
      <c r="AA20183" s="4" t="s">
        <v>7</v>
      </c>
      <c r="AB20183" s="4" t="s">
        <v>7</v>
      </c>
    </row>
    <row r="20184" spans="1:18">
      <c r="A20184" t="n">
        <v>196218</v>
      </c>
      <c r="B20184" s="55" t="n">
        <v>26</v>
      </c>
      <c r="C20184" s="7" t="n">
        <v>7</v>
      </c>
      <c r="D20184" s="7" t="n">
        <v>17</v>
      </c>
      <c r="E20184" s="7" t="n">
        <v>64675</v>
      </c>
      <c r="F20184" s="7" t="s">
        <v>1666</v>
      </c>
      <c r="G20184" s="7" t="n">
        <v>2</v>
      </c>
      <c r="H20184" s="7" t="n">
        <v>3</v>
      </c>
      <c r="I20184" s="7" t="n">
        <v>17</v>
      </c>
      <c r="J20184" s="7" t="n">
        <v>64676</v>
      </c>
      <c r="K20184" s="7" t="s">
        <v>1667</v>
      </c>
      <c r="L20184" s="7" t="n">
        <v>2</v>
      </c>
      <c r="M20184" s="7" t="n">
        <v>3</v>
      </c>
      <c r="N20184" s="7" t="n">
        <v>17</v>
      </c>
      <c r="O20184" s="7" t="n">
        <v>64677</v>
      </c>
      <c r="P20184" s="7" t="s">
        <v>1668</v>
      </c>
      <c r="Q20184" s="7" t="n">
        <v>2</v>
      </c>
      <c r="R20184" s="7" t="n">
        <v>3</v>
      </c>
      <c r="S20184" s="7" t="n">
        <v>17</v>
      </c>
      <c r="T20184" s="7" t="n">
        <v>64678</v>
      </c>
      <c r="U20184" s="7" t="s">
        <v>1669</v>
      </c>
      <c r="V20184" s="7" t="n">
        <v>2</v>
      </c>
      <c r="W20184" s="7" t="n">
        <v>3</v>
      </c>
      <c r="X20184" s="7" t="n">
        <v>17</v>
      </c>
      <c r="Y20184" s="7" t="n">
        <v>64679</v>
      </c>
      <c r="Z20184" s="7" t="s">
        <v>1670</v>
      </c>
      <c r="AA20184" s="7" t="n">
        <v>2</v>
      </c>
      <c r="AB20184" s="7" t="n">
        <v>0</v>
      </c>
    </row>
    <row r="20185" spans="1:18">
      <c r="A20185" t="s">
        <v>4</v>
      </c>
      <c r="B20185" s="4" t="s">
        <v>5</v>
      </c>
    </row>
    <row r="20186" spans="1:18">
      <c r="A20186" t="n">
        <v>196465</v>
      </c>
      <c r="B20186" s="27" t="n">
        <v>28</v>
      </c>
    </row>
    <row r="20187" spans="1:18">
      <c r="A20187" t="s">
        <v>4</v>
      </c>
      <c r="B20187" s="4" t="s">
        <v>5</v>
      </c>
      <c r="C20187" s="4" t="s">
        <v>11</v>
      </c>
      <c r="D20187" s="4" t="s">
        <v>7</v>
      </c>
    </row>
    <row r="20188" spans="1:18">
      <c r="A20188" t="n">
        <v>196466</v>
      </c>
      <c r="B20188" s="68" t="n">
        <v>89</v>
      </c>
      <c r="C20188" s="7" t="n">
        <v>65533</v>
      </c>
      <c r="D20188" s="7" t="n">
        <v>1</v>
      </c>
    </row>
    <row r="20189" spans="1:18">
      <c r="A20189" t="s">
        <v>4</v>
      </c>
      <c r="B20189" s="4" t="s">
        <v>5</v>
      </c>
      <c r="C20189" s="4" t="s">
        <v>7</v>
      </c>
      <c r="D20189" s="4" t="s">
        <v>11</v>
      </c>
      <c r="E20189" s="4" t="s">
        <v>13</v>
      </c>
    </row>
    <row r="20190" spans="1:18">
      <c r="A20190" t="n">
        <v>196470</v>
      </c>
      <c r="B20190" s="23" t="n">
        <v>58</v>
      </c>
      <c r="C20190" s="7" t="n">
        <v>101</v>
      </c>
      <c r="D20190" s="7" t="n">
        <v>500</v>
      </c>
      <c r="E20190" s="7" t="n">
        <v>1</v>
      </c>
    </row>
    <row r="20191" spans="1:18">
      <c r="A20191" t="s">
        <v>4</v>
      </c>
      <c r="B20191" s="4" t="s">
        <v>5</v>
      </c>
      <c r="C20191" s="4" t="s">
        <v>7</v>
      </c>
      <c r="D20191" s="4" t="s">
        <v>11</v>
      </c>
    </row>
    <row r="20192" spans="1:18">
      <c r="A20192" t="n">
        <v>196478</v>
      </c>
      <c r="B20192" s="23" t="n">
        <v>58</v>
      </c>
      <c r="C20192" s="7" t="n">
        <v>254</v>
      </c>
      <c r="D20192" s="7" t="n">
        <v>0</v>
      </c>
    </row>
    <row r="20193" spans="1:28">
      <c r="A20193" t="s">
        <v>4</v>
      </c>
      <c r="B20193" s="4" t="s">
        <v>5</v>
      </c>
      <c r="C20193" s="4" t="s">
        <v>7</v>
      </c>
      <c r="D20193" s="4" t="s">
        <v>7</v>
      </c>
      <c r="E20193" s="4" t="s">
        <v>13</v>
      </c>
      <c r="F20193" s="4" t="s">
        <v>13</v>
      </c>
      <c r="G20193" s="4" t="s">
        <v>13</v>
      </c>
      <c r="H20193" s="4" t="s">
        <v>11</v>
      </c>
    </row>
    <row r="20194" spans="1:28">
      <c r="A20194" t="n">
        <v>196482</v>
      </c>
      <c r="B20194" s="51" t="n">
        <v>45</v>
      </c>
      <c r="C20194" s="7" t="n">
        <v>2</v>
      </c>
      <c r="D20194" s="7" t="n">
        <v>3</v>
      </c>
      <c r="E20194" s="7" t="n">
        <v>-18.6000003814697</v>
      </c>
      <c r="F20194" s="7" t="n">
        <v>11.3699998855591</v>
      </c>
      <c r="G20194" s="7" t="n">
        <v>50.1500015258789</v>
      </c>
      <c r="H20194" s="7" t="n">
        <v>0</v>
      </c>
    </row>
    <row r="20195" spans="1:28">
      <c r="A20195" t="s">
        <v>4</v>
      </c>
      <c r="B20195" s="4" t="s">
        <v>5</v>
      </c>
      <c r="C20195" s="4" t="s">
        <v>7</v>
      </c>
      <c r="D20195" s="4" t="s">
        <v>7</v>
      </c>
      <c r="E20195" s="4" t="s">
        <v>13</v>
      </c>
      <c r="F20195" s="4" t="s">
        <v>13</v>
      </c>
      <c r="G20195" s="4" t="s">
        <v>13</v>
      </c>
      <c r="H20195" s="4" t="s">
        <v>11</v>
      </c>
      <c r="I20195" s="4" t="s">
        <v>7</v>
      </c>
    </row>
    <row r="20196" spans="1:28">
      <c r="A20196" t="n">
        <v>196499</v>
      </c>
      <c r="B20196" s="51" t="n">
        <v>45</v>
      </c>
      <c r="C20196" s="7" t="n">
        <v>4</v>
      </c>
      <c r="D20196" s="7" t="n">
        <v>3</v>
      </c>
      <c r="E20196" s="7" t="n">
        <v>32.75</v>
      </c>
      <c r="F20196" s="7" t="n">
        <v>40.3600006103516</v>
      </c>
      <c r="G20196" s="7" t="n">
        <v>10</v>
      </c>
      <c r="H20196" s="7" t="n">
        <v>0</v>
      </c>
      <c r="I20196" s="7" t="n">
        <v>0</v>
      </c>
    </row>
    <row r="20197" spans="1:28">
      <c r="A20197" t="s">
        <v>4</v>
      </c>
      <c r="B20197" s="4" t="s">
        <v>5</v>
      </c>
      <c r="C20197" s="4" t="s">
        <v>7</v>
      </c>
      <c r="D20197" s="4" t="s">
        <v>7</v>
      </c>
      <c r="E20197" s="4" t="s">
        <v>13</v>
      </c>
      <c r="F20197" s="4" t="s">
        <v>11</v>
      </c>
    </row>
    <row r="20198" spans="1:28">
      <c r="A20198" t="n">
        <v>196517</v>
      </c>
      <c r="B20198" s="51" t="n">
        <v>45</v>
      </c>
      <c r="C20198" s="7" t="n">
        <v>5</v>
      </c>
      <c r="D20198" s="7" t="n">
        <v>3</v>
      </c>
      <c r="E20198" s="7" t="n">
        <v>1.20000004768372</v>
      </c>
      <c r="F20198" s="7" t="n">
        <v>0</v>
      </c>
    </row>
    <row r="20199" spans="1:28">
      <c r="A20199" t="s">
        <v>4</v>
      </c>
      <c r="B20199" s="4" t="s">
        <v>5</v>
      </c>
      <c r="C20199" s="4" t="s">
        <v>7</v>
      </c>
      <c r="D20199" s="4" t="s">
        <v>7</v>
      </c>
      <c r="E20199" s="4" t="s">
        <v>13</v>
      </c>
      <c r="F20199" s="4" t="s">
        <v>11</v>
      </c>
    </row>
    <row r="20200" spans="1:28">
      <c r="A20200" t="n">
        <v>196526</v>
      </c>
      <c r="B20200" s="51" t="n">
        <v>45</v>
      </c>
      <c r="C20200" s="7" t="n">
        <v>5</v>
      </c>
      <c r="D20200" s="7" t="n">
        <v>3</v>
      </c>
      <c r="E20200" s="7" t="n">
        <v>1.10000002384186</v>
      </c>
      <c r="F20200" s="7" t="n">
        <v>3000</v>
      </c>
    </row>
    <row r="20201" spans="1:28">
      <c r="A20201" t="s">
        <v>4</v>
      </c>
      <c r="B20201" s="4" t="s">
        <v>5</v>
      </c>
      <c r="C20201" s="4" t="s">
        <v>7</v>
      </c>
      <c r="D20201" s="4" t="s">
        <v>7</v>
      </c>
      <c r="E20201" s="4" t="s">
        <v>13</v>
      </c>
      <c r="F20201" s="4" t="s">
        <v>11</v>
      </c>
    </row>
    <row r="20202" spans="1:28">
      <c r="A20202" t="n">
        <v>196535</v>
      </c>
      <c r="B20202" s="51" t="n">
        <v>45</v>
      </c>
      <c r="C20202" s="7" t="n">
        <v>11</v>
      </c>
      <c r="D20202" s="7" t="n">
        <v>3</v>
      </c>
      <c r="E20202" s="7" t="n">
        <v>32.2999992370605</v>
      </c>
      <c r="F20202" s="7" t="n">
        <v>0</v>
      </c>
    </row>
    <row r="20203" spans="1:28">
      <c r="A20203" t="s">
        <v>4</v>
      </c>
      <c r="B20203" s="4" t="s">
        <v>5</v>
      </c>
      <c r="C20203" s="4" t="s">
        <v>11</v>
      </c>
      <c r="D20203" s="4" t="s">
        <v>13</v>
      </c>
      <c r="E20203" s="4" t="s">
        <v>13</v>
      </c>
      <c r="F20203" s="4" t="s">
        <v>13</v>
      </c>
      <c r="G20203" s="4" t="s">
        <v>11</v>
      </c>
      <c r="H20203" s="4" t="s">
        <v>11</v>
      </c>
    </row>
    <row r="20204" spans="1:28">
      <c r="A20204" t="n">
        <v>196544</v>
      </c>
      <c r="B20204" s="37" t="n">
        <v>60</v>
      </c>
      <c r="C20204" s="7" t="n">
        <v>0</v>
      </c>
      <c r="D20204" s="7" t="n">
        <v>0</v>
      </c>
      <c r="E20204" s="7" t="n">
        <v>10</v>
      </c>
      <c r="F20204" s="7" t="n">
        <v>0</v>
      </c>
      <c r="G20204" s="7" t="n">
        <v>0</v>
      </c>
      <c r="H20204" s="7" t="n">
        <v>0</v>
      </c>
    </row>
    <row r="20205" spans="1:28">
      <c r="A20205" t="s">
        <v>4</v>
      </c>
      <c r="B20205" s="4" t="s">
        <v>5</v>
      </c>
      <c r="C20205" s="4" t="s">
        <v>7</v>
      </c>
      <c r="D20205" s="4" t="s">
        <v>11</v>
      </c>
      <c r="E20205" s="4" t="s">
        <v>8</v>
      </c>
      <c r="F20205" s="4" t="s">
        <v>8</v>
      </c>
      <c r="G20205" s="4" t="s">
        <v>8</v>
      </c>
      <c r="H20205" s="4" t="s">
        <v>8</v>
      </c>
    </row>
    <row r="20206" spans="1:28">
      <c r="A20206" t="n">
        <v>196563</v>
      </c>
      <c r="B20206" s="38" t="n">
        <v>51</v>
      </c>
      <c r="C20206" s="7" t="n">
        <v>3</v>
      </c>
      <c r="D20206" s="7" t="n">
        <v>7</v>
      </c>
      <c r="E20206" s="7" t="s">
        <v>154</v>
      </c>
      <c r="F20206" s="7" t="s">
        <v>79</v>
      </c>
      <c r="G20206" s="7" t="s">
        <v>78</v>
      </c>
      <c r="H20206" s="7" t="s">
        <v>79</v>
      </c>
    </row>
    <row r="20207" spans="1:28">
      <c r="A20207" t="s">
        <v>4</v>
      </c>
      <c r="B20207" s="4" t="s">
        <v>5</v>
      </c>
      <c r="C20207" s="4" t="s">
        <v>11</v>
      </c>
      <c r="D20207" s="4" t="s">
        <v>13</v>
      </c>
      <c r="E20207" s="4" t="s">
        <v>13</v>
      </c>
      <c r="F20207" s="4" t="s">
        <v>13</v>
      </c>
      <c r="G20207" s="4" t="s">
        <v>11</v>
      </c>
      <c r="H20207" s="4" t="s">
        <v>11</v>
      </c>
    </row>
    <row r="20208" spans="1:28">
      <c r="A20208" t="n">
        <v>196576</v>
      </c>
      <c r="B20208" s="37" t="n">
        <v>60</v>
      </c>
      <c r="C20208" s="7" t="n">
        <v>7</v>
      </c>
      <c r="D20208" s="7" t="n">
        <v>0</v>
      </c>
      <c r="E20208" s="7" t="n">
        <v>30</v>
      </c>
      <c r="F20208" s="7" t="n">
        <v>0</v>
      </c>
      <c r="G20208" s="7" t="n">
        <v>0</v>
      </c>
      <c r="H20208" s="7" t="n">
        <v>0</v>
      </c>
    </row>
    <row r="20209" spans="1:9">
      <c r="A20209" t="s">
        <v>4</v>
      </c>
      <c r="B20209" s="4" t="s">
        <v>5</v>
      </c>
      <c r="C20209" s="4" t="s">
        <v>11</v>
      </c>
      <c r="D20209" s="4" t="s">
        <v>13</v>
      </c>
      <c r="E20209" s="4" t="s">
        <v>13</v>
      </c>
      <c r="F20209" s="4" t="s">
        <v>13</v>
      </c>
      <c r="G20209" s="4" t="s">
        <v>13</v>
      </c>
    </row>
    <row r="20210" spans="1:9">
      <c r="A20210" t="n">
        <v>196595</v>
      </c>
      <c r="B20210" s="36" t="n">
        <v>46</v>
      </c>
      <c r="C20210" s="7" t="n">
        <v>7</v>
      </c>
      <c r="D20210" s="7" t="n">
        <v>-18.8400001525879</v>
      </c>
      <c r="E20210" s="7" t="n">
        <v>10.0100002288818</v>
      </c>
      <c r="F20210" s="7" t="n">
        <v>50.1699981689453</v>
      </c>
      <c r="G20210" s="7" t="n">
        <v>97.4000015258789</v>
      </c>
    </row>
    <row r="20211" spans="1:9">
      <c r="A20211" t="s">
        <v>4</v>
      </c>
      <c r="B20211" s="4" t="s">
        <v>5</v>
      </c>
      <c r="C20211" s="4" t="s">
        <v>11</v>
      </c>
      <c r="D20211" s="4" t="s">
        <v>7</v>
      </c>
      <c r="E20211" s="4" t="s">
        <v>8</v>
      </c>
      <c r="F20211" s="4" t="s">
        <v>13</v>
      </c>
      <c r="G20211" s="4" t="s">
        <v>13</v>
      </c>
      <c r="H20211" s="4" t="s">
        <v>13</v>
      </c>
    </row>
    <row r="20212" spans="1:9">
      <c r="A20212" t="n">
        <v>196614</v>
      </c>
      <c r="B20212" s="42" t="n">
        <v>48</v>
      </c>
      <c r="C20212" s="7" t="n">
        <v>7</v>
      </c>
      <c r="D20212" s="7" t="n">
        <v>0</v>
      </c>
      <c r="E20212" s="7" t="s">
        <v>1630</v>
      </c>
      <c r="F20212" s="7" t="n">
        <v>-1</v>
      </c>
      <c r="G20212" s="7" t="n">
        <v>1</v>
      </c>
      <c r="H20212" s="7" t="n">
        <v>0</v>
      </c>
    </row>
    <row r="20213" spans="1:9">
      <c r="A20213" t="s">
        <v>4</v>
      </c>
      <c r="B20213" s="4" t="s">
        <v>5</v>
      </c>
      <c r="C20213" s="4" t="s">
        <v>11</v>
      </c>
      <c r="D20213" s="4" t="s">
        <v>7</v>
      </c>
      <c r="E20213" s="4" t="s">
        <v>8</v>
      </c>
      <c r="F20213" s="4" t="s">
        <v>13</v>
      </c>
      <c r="G20213" s="4" t="s">
        <v>13</v>
      </c>
      <c r="H20213" s="4" t="s">
        <v>13</v>
      </c>
    </row>
    <row r="20214" spans="1:9">
      <c r="A20214" t="n">
        <v>196640</v>
      </c>
      <c r="B20214" s="42" t="n">
        <v>48</v>
      </c>
      <c r="C20214" s="7" t="n">
        <v>0</v>
      </c>
      <c r="D20214" s="7" t="n">
        <v>0</v>
      </c>
      <c r="E20214" s="7" t="s">
        <v>1630</v>
      </c>
      <c r="F20214" s="7" t="n">
        <v>-1</v>
      </c>
      <c r="G20214" s="7" t="n">
        <v>1</v>
      </c>
      <c r="H20214" s="7" t="n">
        <v>0</v>
      </c>
    </row>
    <row r="20215" spans="1:9">
      <c r="A20215" t="s">
        <v>4</v>
      </c>
      <c r="B20215" s="4" t="s">
        <v>5</v>
      </c>
      <c r="C20215" s="4" t="s">
        <v>11</v>
      </c>
    </row>
    <row r="20216" spans="1:9">
      <c r="A20216" t="n">
        <v>196666</v>
      </c>
      <c r="B20216" s="29" t="n">
        <v>16</v>
      </c>
      <c r="C20216" s="7" t="n">
        <v>500</v>
      </c>
    </row>
    <row r="20217" spans="1:9">
      <c r="A20217" t="s">
        <v>4</v>
      </c>
      <c r="B20217" s="4" t="s">
        <v>5</v>
      </c>
      <c r="C20217" s="4" t="s">
        <v>7</v>
      </c>
      <c r="D20217" s="4" t="s">
        <v>11</v>
      </c>
      <c r="E20217" s="4" t="s">
        <v>13</v>
      </c>
      <c r="F20217" s="4" t="s">
        <v>11</v>
      </c>
      <c r="G20217" s="4" t="s">
        <v>15</v>
      </c>
      <c r="H20217" s="4" t="s">
        <v>15</v>
      </c>
      <c r="I20217" s="4" t="s">
        <v>11</v>
      </c>
      <c r="J20217" s="4" t="s">
        <v>11</v>
      </c>
      <c r="K20217" s="4" t="s">
        <v>15</v>
      </c>
      <c r="L20217" s="4" t="s">
        <v>15</v>
      </c>
      <c r="M20217" s="4" t="s">
        <v>15</v>
      </c>
      <c r="N20217" s="4" t="s">
        <v>15</v>
      </c>
      <c r="O20217" s="4" t="s">
        <v>8</v>
      </c>
    </row>
    <row r="20218" spans="1:9">
      <c r="A20218" t="n">
        <v>196669</v>
      </c>
      <c r="B20218" s="57" t="n">
        <v>50</v>
      </c>
      <c r="C20218" s="7" t="n">
        <v>0</v>
      </c>
      <c r="D20218" s="7" t="n">
        <v>2004</v>
      </c>
      <c r="E20218" s="7" t="n">
        <v>0.400000005960464</v>
      </c>
      <c r="F20218" s="7" t="n">
        <v>300</v>
      </c>
      <c r="G20218" s="7" t="n">
        <v>0</v>
      </c>
      <c r="H20218" s="7" t="n">
        <v>1073741824</v>
      </c>
      <c r="I20218" s="7" t="n">
        <v>0</v>
      </c>
      <c r="J20218" s="7" t="n">
        <v>65533</v>
      </c>
      <c r="K20218" s="7" t="n">
        <v>0</v>
      </c>
      <c r="L20218" s="7" t="n">
        <v>0</v>
      </c>
      <c r="M20218" s="7" t="n">
        <v>0</v>
      </c>
      <c r="N20218" s="7" t="n">
        <v>0</v>
      </c>
      <c r="O20218" s="7" t="s">
        <v>16</v>
      </c>
    </row>
    <row r="20219" spans="1:9">
      <c r="A20219" t="s">
        <v>4</v>
      </c>
      <c r="B20219" s="4" t="s">
        <v>5</v>
      </c>
      <c r="C20219" s="4" t="s">
        <v>11</v>
      </c>
    </row>
    <row r="20220" spans="1:9">
      <c r="A20220" t="n">
        <v>196708</v>
      </c>
      <c r="B20220" s="29" t="n">
        <v>16</v>
      </c>
      <c r="C20220" s="7" t="n">
        <v>1500</v>
      </c>
    </row>
    <row r="20221" spans="1:9">
      <c r="A20221" t="s">
        <v>4</v>
      </c>
      <c r="B20221" s="4" t="s">
        <v>5</v>
      </c>
      <c r="C20221" s="4" t="s">
        <v>7</v>
      </c>
      <c r="D20221" s="4" t="s">
        <v>11</v>
      </c>
      <c r="E20221" s="4" t="s">
        <v>8</v>
      </c>
      <c r="F20221" s="4" t="s">
        <v>8</v>
      </c>
      <c r="G20221" s="4" t="s">
        <v>8</v>
      </c>
      <c r="H20221" s="4" t="s">
        <v>8</v>
      </c>
    </row>
    <row r="20222" spans="1:9">
      <c r="A20222" t="n">
        <v>196711</v>
      </c>
      <c r="B20222" s="38" t="n">
        <v>51</v>
      </c>
      <c r="C20222" s="7" t="n">
        <v>3</v>
      </c>
      <c r="D20222" s="7" t="n">
        <v>7</v>
      </c>
      <c r="E20222" s="7" t="s">
        <v>319</v>
      </c>
      <c r="F20222" s="7" t="s">
        <v>99</v>
      </c>
      <c r="G20222" s="7" t="s">
        <v>78</v>
      </c>
      <c r="H20222" s="7" t="s">
        <v>79</v>
      </c>
    </row>
    <row r="20223" spans="1:9">
      <c r="A20223" t="s">
        <v>4</v>
      </c>
      <c r="B20223" s="4" t="s">
        <v>5</v>
      </c>
      <c r="C20223" s="4" t="s">
        <v>11</v>
      </c>
    </row>
    <row r="20224" spans="1:9">
      <c r="A20224" t="n">
        <v>196724</v>
      </c>
      <c r="B20224" s="29" t="n">
        <v>16</v>
      </c>
      <c r="C20224" s="7" t="n">
        <v>500</v>
      </c>
    </row>
    <row r="20225" spans="1:15">
      <c r="A20225" t="s">
        <v>4</v>
      </c>
      <c r="B20225" s="4" t="s">
        <v>5</v>
      </c>
      <c r="C20225" s="4" t="s">
        <v>7</v>
      </c>
      <c r="D20225" s="4" t="s">
        <v>11</v>
      </c>
      <c r="E20225" s="4" t="s">
        <v>8</v>
      </c>
    </row>
    <row r="20226" spans="1:15">
      <c r="A20226" t="n">
        <v>196727</v>
      </c>
      <c r="B20226" s="38" t="n">
        <v>51</v>
      </c>
      <c r="C20226" s="7" t="n">
        <v>4</v>
      </c>
      <c r="D20226" s="7" t="n">
        <v>0</v>
      </c>
      <c r="E20226" s="7" t="s">
        <v>242</v>
      </c>
    </row>
    <row r="20227" spans="1:15">
      <c r="A20227" t="s">
        <v>4</v>
      </c>
      <c r="B20227" s="4" t="s">
        <v>5</v>
      </c>
      <c r="C20227" s="4" t="s">
        <v>11</v>
      </c>
    </row>
    <row r="20228" spans="1:15">
      <c r="A20228" t="n">
        <v>196741</v>
      </c>
      <c r="B20228" s="29" t="n">
        <v>16</v>
      </c>
      <c r="C20228" s="7" t="n">
        <v>0</v>
      </c>
    </row>
    <row r="20229" spans="1:15">
      <c r="A20229" t="s">
        <v>4</v>
      </c>
      <c r="B20229" s="4" t="s">
        <v>5</v>
      </c>
      <c r="C20229" s="4" t="s">
        <v>11</v>
      </c>
      <c r="D20229" s="4" t="s">
        <v>7</v>
      </c>
      <c r="E20229" s="4" t="s">
        <v>15</v>
      </c>
      <c r="F20229" s="4" t="s">
        <v>55</v>
      </c>
      <c r="G20229" s="4" t="s">
        <v>7</v>
      </c>
      <c r="H20229" s="4" t="s">
        <v>7</v>
      </c>
      <c r="I20229" s="4" t="s">
        <v>7</v>
      </c>
      <c r="J20229" s="4" t="s">
        <v>15</v>
      </c>
      <c r="K20229" s="4" t="s">
        <v>55</v>
      </c>
      <c r="L20229" s="4" t="s">
        <v>7</v>
      </c>
      <c r="M20229" s="4" t="s">
        <v>7</v>
      </c>
      <c r="N20229" s="4" t="s">
        <v>7</v>
      </c>
      <c r="O20229" s="4" t="s">
        <v>15</v>
      </c>
      <c r="P20229" s="4" t="s">
        <v>55</v>
      </c>
      <c r="Q20229" s="4" t="s">
        <v>7</v>
      </c>
      <c r="R20229" s="4" t="s">
        <v>7</v>
      </c>
      <c r="S20229" s="4" t="s">
        <v>7</v>
      </c>
      <c r="T20229" s="4" t="s">
        <v>15</v>
      </c>
      <c r="U20229" s="4" t="s">
        <v>55</v>
      </c>
      <c r="V20229" s="4" t="s">
        <v>7</v>
      </c>
      <c r="W20229" s="4" t="s">
        <v>7</v>
      </c>
    </row>
    <row r="20230" spans="1:15">
      <c r="A20230" t="n">
        <v>196744</v>
      </c>
      <c r="B20230" s="55" t="n">
        <v>26</v>
      </c>
      <c r="C20230" s="7" t="n">
        <v>0</v>
      </c>
      <c r="D20230" s="7" t="n">
        <v>17</v>
      </c>
      <c r="E20230" s="7" t="n">
        <v>64680</v>
      </c>
      <c r="F20230" s="7" t="s">
        <v>1671</v>
      </c>
      <c r="G20230" s="7" t="n">
        <v>2</v>
      </c>
      <c r="H20230" s="7" t="n">
        <v>3</v>
      </c>
      <c r="I20230" s="7" t="n">
        <v>17</v>
      </c>
      <c r="J20230" s="7" t="n">
        <v>64681</v>
      </c>
      <c r="K20230" s="7" t="s">
        <v>1672</v>
      </c>
      <c r="L20230" s="7" t="n">
        <v>2</v>
      </c>
      <c r="M20230" s="7" t="n">
        <v>3</v>
      </c>
      <c r="N20230" s="7" t="n">
        <v>17</v>
      </c>
      <c r="O20230" s="7" t="n">
        <v>64682</v>
      </c>
      <c r="P20230" s="7" t="s">
        <v>1673</v>
      </c>
      <c r="Q20230" s="7" t="n">
        <v>2</v>
      </c>
      <c r="R20230" s="7" t="n">
        <v>3</v>
      </c>
      <c r="S20230" s="7" t="n">
        <v>17</v>
      </c>
      <c r="T20230" s="7" t="n">
        <v>64683</v>
      </c>
      <c r="U20230" s="7" t="s">
        <v>1674</v>
      </c>
      <c r="V20230" s="7" t="n">
        <v>2</v>
      </c>
      <c r="W20230" s="7" t="n">
        <v>0</v>
      </c>
    </row>
    <row r="20231" spans="1:15">
      <c r="A20231" t="s">
        <v>4</v>
      </c>
      <c r="B20231" s="4" t="s">
        <v>5</v>
      </c>
    </row>
    <row r="20232" spans="1:15">
      <c r="A20232" t="n">
        <v>197080</v>
      </c>
      <c r="B20232" s="27" t="n">
        <v>28</v>
      </c>
    </row>
    <row r="20233" spans="1:15">
      <c r="A20233" t="s">
        <v>4</v>
      </c>
      <c r="B20233" s="4" t="s">
        <v>5</v>
      </c>
      <c r="C20233" s="4" t="s">
        <v>7</v>
      </c>
      <c r="D20233" s="4" t="s">
        <v>11</v>
      </c>
      <c r="E20233" s="4" t="s">
        <v>11</v>
      </c>
      <c r="F20233" s="4" t="s">
        <v>7</v>
      </c>
    </row>
    <row r="20234" spans="1:15">
      <c r="A20234" t="n">
        <v>197081</v>
      </c>
      <c r="B20234" s="31" t="n">
        <v>25</v>
      </c>
      <c r="C20234" s="7" t="n">
        <v>1</v>
      </c>
      <c r="D20234" s="7" t="n">
        <v>65535</v>
      </c>
      <c r="E20234" s="7" t="n">
        <v>65535</v>
      </c>
      <c r="F20234" s="7" t="n">
        <v>0</v>
      </c>
    </row>
    <row r="20235" spans="1:15">
      <c r="A20235" t="s">
        <v>4</v>
      </c>
      <c r="B20235" s="4" t="s">
        <v>5</v>
      </c>
      <c r="C20235" s="4" t="s">
        <v>7</v>
      </c>
      <c r="D20235" s="4" t="s">
        <v>11</v>
      </c>
      <c r="E20235" s="4" t="s">
        <v>8</v>
      </c>
    </row>
    <row r="20236" spans="1:15">
      <c r="A20236" t="n">
        <v>197088</v>
      </c>
      <c r="B20236" s="38" t="n">
        <v>51</v>
      </c>
      <c r="C20236" s="7" t="n">
        <v>4</v>
      </c>
      <c r="D20236" s="7" t="n">
        <v>7</v>
      </c>
      <c r="E20236" s="7" t="s">
        <v>167</v>
      </c>
    </row>
    <row r="20237" spans="1:15">
      <c r="A20237" t="s">
        <v>4</v>
      </c>
      <c r="B20237" s="4" t="s">
        <v>5</v>
      </c>
      <c r="C20237" s="4" t="s">
        <v>11</v>
      </c>
    </row>
    <row r="20238" spans="1:15">
      <c r="A20238" t="n">
        <v>197102</v>
      </c>
      <c r="B20238" s="29" t="n">
        <v>16</v>
      </c>
      <c r="C20238" s="7" t="n">
        <v>0</v>
      </c>
    </row>
    <row r="20239" spans="1:15">
      <c r="A20239" t="s">
        <v>4</v>
      </c>
      <c r="B20239" s="4" t="s">
        <v>5</v>
      </c>
      <c r="C20239" s="4" t="s">
        <v>11</v>
      </c>
      <c r="D20239" s="4" t="s">
        <v>7</v>
      </c>
      <c r="E20239" s="4" t="s">
        <v>15</v>
      </c>
      <c r="F20239" s="4" t="s">
        <v>55</v>
      </c>
      <c r="G20239" s="4" t="s">
        <v>7</v>
      </c>
      <c r="H20239" s="4" t="s">
        <v>7</v>
      </c>
      <c r="I20239" s="4" t="s">
        <v>7</v>
      </c>
      <c r="J20239" s="4" t="s">
        <v>15</v>
      </c>
      <c r="K20239" s="4" t="s">
        <v>55</v>
      </c>
      <c r="L20239" s="4" t="s">
        <v>7</v>
      </c>
      <c r="M20239" s="4" t="s">
        <v>7</v>
      </c>
      <c r="N20239" s="4" t="s">
        <v>7</v>
      </c>
      <c r="O20239" s="4" t="s">
        <v>15</v>
      </c>
      <c r="P20239" s="4" t="s">
        <v>55</v>
      </c>
      <c r="Q20239" s="4" t="s">
        <v>7</v>
      </c>
      <c r="R20239" s="4" t="s">
        <v>7</v>
      </c>
    </row>
    <row r="20240" spans="1:15">
      <c r="A20240" t="n">
        <v>197105</v>
      </c>
      <c r="B20240" s="55" t="n">
        <v>26</v>
      </c>
      <c r="C20240" s="7" t="n">
        <v>7</v>
      </c>
      <c r="D20240" s="7" t="n">
        <v>17</v>
      </c>
      <c r="E20240" s="7" t="n">
        <v>64684</v>
      </c>
      <c r="F20240" s="7" t="s">
        <v>1675</v>
      </c>
      <c r="G20240" s="7" t="n">
        <v>2</v>
      </c>
      <c r="H20240" s="7" t="n">
        <v>3</v>
      </c>
      <c r="I20240" s="7" t="n">
        <v>17</v>
      </c>
      <c r="J20240" s="7" t="n">
        <v>64685</v>
      </c>
      <c r="K20240" s="7" t="s">
        <v>1676</v>
      </c>
      <c r="L20240" s="7" t="n">
        <v>2</v>
      </c>
      <c r="M20240" s="7" t="n">
        <v>3</v>
      </c>
      <c r="N20240" s="7" t="n">
        <v>17</v>
      </c>
      <c r="O20240" s="7" t="n">
        <v>64686</v>
      </c>
      <c r="P20240" s="7" t="s">
        <v>1677</v>
      </c>
      <c r="Q20240" s="7" t="n">
        <v>2</v>
      </c>
      <c r="R20240" s="7" t="n">
        <v>0</v>
      </c>
    </row>
    <row r="20241" spans="1:23">
      <c r="A20241" t="s">
        <v>4</v>
      </c>
      <c r="B20241" s="4" t="s">
        <v>5</v>
      </c>
    </row>
    <row r="20242" spans="1:23">
      <c r="A20242" t="n">
        <v>197274</v>
      </c>
      <c r="B20242" s="27" t="n">
        <v>28</v>
      </c>
    </row>
    <row r="20243" spans="1:23">
      <c r="A20243" t="s">
        <v>4</v>
      </c>
      <c r="B20243" s="4" t="s">
        <v>5</v>
      </c>
      <c r="C20243" s="4" t="s">
        <v>11</v>
      </c>
      <c r="D20243" s="4" t="s">
        <v>7</v>
      </c>
      <c r="E20243" s="4" t="s">
        <v>13</v>
      </c>
      <c r="F20243" s="4" t="s">
        <v>11</v>
      </c>
    </row>
    <row r="20244" spans="1:23">
      <c r="A20244" t="n">
        <v>197275</v>
      </c>
      <c r="B20244" s="56" t="n">
        <v>59</v>
      </c>
      <c r="C20244" s="7" t="n">
        <v>0</v>
      </c>
      <c r="D20244" s="7" t="n">
        <v>6</v>
      </c>
      <c r="E20244" s="7" t="n">
        <v>0</v>
      </c>
      <c r="F20244" s="7" t="n">
        <v>0</v>
      </c>
    </row>
    <row r="20245" spans="1:23">
      <c r="A20245" t="s">
        <v>4</v>
      </c>
      <c r="B20245" s="4" t="s">
        <v>5</v>
      </c>
      <c r="C20245" s="4" t="s">
        <v>11</v>
      </c>
    </row>
    <row r="20246" spans="1:23">
      <c r="A20246" t="n">
        <v>197285</v>
      </c>
      <c r="B20246" s="29" t="n">
        <v>16</v>
      </c>
      <c r="C20246" s="7" t="n">
        <v>1000</v>
      </c>
    </row>
    <row r="20247" spans="1:23">
      <c r="A20247" t="s">
        <v>4</v>
      </c>
      <c r="B20247" s="4" t="s">
        <v>5</v>
      </c>
      <c r="C20247" s="4" t="s">
        <v>7</v>
      </c>
      <c r="D20247" s="4" t="s">
        <v>11</v>
      </c>
      <c r="E20247" s="4" t="s">
        <v>8</v>
      </c>
    </row>
    <row r="20248" spans="1:23">
      <c r="A20248" t="n">
        <v>197288</v>
      </c>
      <c r="B20248" s="38" t="n">
        <v>51</v>
      </c>
      <c r="C20248" s="7" t="n">
        <v>4</v>
      </c>
      <c r="D20248" s="7" t="n">
        <v>0</v>
      </c>
      <c r="E20248" s="7" t="s">
        <v>240</v>
      </c>
    </row>
    <row r="20249" spans="1:23">
      <c r="A20249" t="s">
        <v>4</v>
      </c>
      <c r="B20249" s="4" t="s">
        <v>5</v>
      </c>
      <c r="C20249" s="4" t="s">
        <v>11</v>
      </c>
    </row>
    <row r="20250" spans="1:23">
      <c r="A20250" t="n">
        <v>197302</v>
      </c>
      <c r="B20250" s="29" t="n">
        <v>16</v>
      </c>
      <c r="C20250" s="7" t="n">
        <v>0</v>
      </c>
    </row>
    <row r="20251" spans="1:23">
      <c r="A20251" t="s">
        <v>4</v>
      </c>
      <c r="B20251" s="4" t="s">
        <v>5</v>
      </c>
      <c r="C20251" s="4" t="s">
        <v>11</v>
      </c>
      <c r="D20251" s="4" t="s">
        <v>7</v>
      </c>
      <c r="E20251" s="4" t="s">
        <v>15</v>
      </c>
      <c r="F20251" s="4" t="s">
        <v>55</v>
      </c>
      <c r="G20251" s="4" t="s">
        <v>7</v>
      </c>
      <c r="H20251" s="4" t="s">
        <v>7</v>
      </c>
      <c r="I20251" s="4" t="s">
        <v>7</v>
      </c>
      <c r="J20251" s="4" t="s">
        <v>15</v>
      </c>
      <c r="K20251" s="4" t="s">
        <v>55</v>
      </c>
      <c r="L20251" s="4" t="s">
        <v>7</v>
      </c>
      <c r="M20251" s="4" t="s">
        <v>7</v>
      </c>
    </row>
    <row r="20252" spans="1:23">
      <c r="A20252" t="n">
        <v>197305</v>
      </c>
      <c r="B20252" s="55" t="n">
        <v>26</v>
      </c>
      <c r="C20252" s="7" t="n">
        <v>0</v>
      </c>
      <c r="D20252" s="7" t="n">
        <v>17</v>
      </c>
      <c r="E20252" s="7" t="n">
        <v>64687</v>
      </c>
      <c r="F20252" s="7" t="s">
        <v>1678</v>
      </c>
      <c r="G20252" s="7" t="n">
        <v>2</v>
      </c>
      <c r="H20252" s="7" t="n">
        <v>3</v>
      </c>
      <c r="I20252" s="7" t="n">
        <v>17</v>
      </c>
      <c r="J20252" s="7" t="n">
        <v>64688</v>
      </c>
      <c r="K20252" s="7" t="s">
        <v>1679</v>
      </c>
      <c r="L20252" s="7" t="n">
        <v>2</v>
      </c>
      <c r="M20252" s="7" t="n">
        <v>0</v>
      </c>
    </row>
    <row r="20253" spans="1:23">
      <c r="A20253" t="s">
        <v>4</v>
      </c>
      <c r="B20253" s="4" t="s">
        <v>5</v>
      </c>
    </row>
    <row r="20254" spans="1:23">
      <c r="A20254" t="n">
        <v>197429</v>
      </c>
      <c r="B20254" s="27" t="n">
        <v>28</v>
      </c>
    </row>
    <row r="20255" spans="1:23">
      <c r="A20255" t="s">
        <v>4</v>
      </c>
      <c r="B20255" s="4" t="s">
        <v>5</v>
      </c>
      <c r="C20255" s="4" t="s">
        <v>7</v>
      </c>
      <c r="D20255" s="4" t="s">
        <v>11</v>
      </c>
      <c r="E20255" s="4" t="s">
        <v>11</v>
      </c>
      <c r="F20255" s="4" t="s">
        <v>7</v>
      </c>
    </row>
    <row r="20256" spans="1:23">
      <c r="A20256" t="n">
        <v>197430</v>
      </c>
      <c r="B20256" s="31" t="n">
        <v>25</v>
      </c>
      <c r="C20256" s="7" t="n">
        <v>1</v>
      </c>
      <c r="D20256" s="7" t="n">
        <v>65535</v>
      </c>
      <c r="E20256" s="7" t="n">
        <v>65535</v>
      </c>
      <c r="F20256" s="7" t="n">
        <v>0</v>
      </c>
    </row>
    <row r="20257" spans="1:13">
      <c r="A20257" t="s">
        <v>4</v>
      </c>
      <c r="B20257" s="4" t="s">
        <v>5</v>
      </c>
      <c r="C20257" s="4" t="s">
        <v>7</v>
      </c>
      <c r="D20257" s="4" t="s">
        <v>11</v>
      </c>
      <c r="E20257" s="4" t="s">
        <v>13</v>
      </c>
    </row>
    <row r="20258" spans="1:13">
      <c r="A20258" t="n">
        <v>197437</v>
      </c>
      <c r="B20258" s="23" t="n">
        <v>58</v>
      </c>
      <c r="C20258" s="7" t="n">
        <v>0</v>
      </c>
      <c r="D20258" s="7" t="n">
        <v>2000</v>
      </c>
      <c r="E20258" s="7" t="n">
        <v>1</v>
      </c>
    </row>
    <row r="20259" spans="1:13">
      <c r="A20259" t="s">
        <v>4</v>
      </c>
      <c r="B20259" s="4" t="s">
        <v>5</v>
      </c>
      <c r="C20259" s="4" t="s">
        <v>7</v>
      </c>
      <c r="D20259" s="4" t="s">
        <v>11</v>
      </c>
    </row>
    <row r="20260" spans="1:13">
      <c r="A20260" t="n">
        <v>197445</v>
      </c>
      <c r="B20260" s="23" t="n">
        <v>58</v>
      </c>
      <c r="C20260" s="7" t="n">
        <v>255</v>
      </c>
      <c r="D20260" s="7" t="n">
        <v>0</v>
      </c>
    </row>
    <row r="20261" spans="1:13">
      <c r="A20261" t="s">
        <v>4</v>
      </c>
      <c r="B20261" s="4" t="s">
        <v>5</v>
      </c>
      <c r="C20261" s="4" t="s">
        <v>11</v>
      </c>
    </row>
    <row r="20262" spans="1:13">
      <c r="A20262" t="n">
        <v>197449</v>
      </c>
      <c r="B20262" s="29" t="n">
        <v>16</v>
      </c>
      <c r="C20262" s="7" t="n">
        <v>1000</v>
      </c>
    </row>
    <row r="20263" spans="1:13">
      <c r="A20263" t="s">
        <v>4</v>
      </c>
      <c r="B20263" s="4" t="s">
        <v>5</v>
      </c>
      <c r="C20263" s="4" t="s">
        <v>7</v>
      </c>
      <c r="D20263" s="4" t="s">
        <v>11</v>
      </c>
      <c r="E20263" s="4" t="s">
        <v>7</v>
      </c>
    </row>
    <row r="20264" spans="1:13">
      <c r="A20264" t="n">
        <v>197452</v>
      </c>
      <c r="B20264" s="40" t="n">
        <v>36</v>
      </c>
      <c r="C20264" s="7" t="n">
        <v>9</v>
      </c>
      <c r="D20264" s="7" t="n">
        <v>0</v>
      </c>
      <c r="E20264" s="7" t="n">
        <v>0</v>
      </c>
    </row>
    <row r="20265" spans="1:13">
      <c r="A20265" t="s">
        <v>4</v>
      </c>
      <c r="B20265" s="4" t="s">
        <v>5</v>
      </c>
      <c r="C20265" s="4" t="s">
        <v>7</v>
      </c>
      <c r="D20265" s="4" t="s">
        <v>11</v>
      </c>
      <c r="E20265" s="4" t="s">
        <v>7</v>
      </c>
    </row>
    <row r="20266" spans="1:13">
      <c r="A20266" t="n">
        <v>197457</v>
      </c>
      <c r="B20266" s="40" t="n">
        <v>36</v>
      </c>
      <c r="C20266" s="7" t="n">
        <v>9</v>
      </c>
      <c r="D20266" s="7" t="n">
        <v>7</v>
      </c>
      <c r="E20266" s="7" t="n">
        <v>0</v>
      </c>
    </row>
    <row r="20267" spans="1:13">
      <c r="A20267" t="s">
        <v>4</v>
      </c>
      <c r="B20267" s="4" t="s">
        <v>5</v>
      </c>
      <c r="C20267" s="4" t="s">
        <v>11</v>
      </c>
    </row>
    <row r="20268" spans="1:13">
      <c r="A20268" t="n">
        <v>197462</v>
      </c>
      <c r="B20268" s="43" t="n">
        <v>12</v>
      </c>
      <c r="C20268" s="7" t="n">
        <v>10313</v>
      </c>
    </row>
    <row r="20269" spans="1:13">
      <c r="A20269" t="s">
        <v>4</v>
      </c>
      <c r="B20269" s="4" t="s">
        <v>5</v>
      </c>
      <c r="C20269" s="4" t="s">
        <v>7</v>
      </c>
      <c r="D20269" s="4" t="s">
        <v>8</v>
      </c>
    </row>
    <row r="20270" spans="1:13">
      <c r="A20270" t="n">
        <v>197465</v>
      </c>
      <c r="B20270" s="6" t="n">
        <v>2</v>
      </c>
      <c r="C20270" s="7" t="n">
        <v>11</v>
      </c>
      <c r="D20270" s="7" t="s">
        <v>37</v>
      </c>
    </row>
    <row r="20271" spans="1:13">
      <c r="A20271" t="s">
        <v>4</v>
      </c>
      <c r="B20271" s="4" t="s">
        <v>5</v>
      </c>
      <c r="C20271" s="4" t="s">
        <v>11</v>
      </c>
      <c r="D20271" s="4" t="s">
        <v>13</v>
      </c>
      <c r="E20271" s="4" t="s">
        <v>13</v>
      </c>
      <c r="F20271" s="4" t="s">
        <v>13</v>
      </c>
      <c r="G20271" s="4" t="s">
        <v>13</v>
      </c>
    </row>
    <row r="20272" spans="1:13">
      <c r="A20272" t="n">
        <v>197489</v>
      </c>
      <c r="B20272" s="36" t="n">
        <v>46</v>
      </c>
      <c r="C20272" s="7" t="n">
        <v>61456</v>
      </c>
      <c r="D20272" s="7" t="n">
        <v>-18.2600002288818</v>
      </c>
      <c r="E20272" s="7" t="n">
        <v>10.0100002288818</v>
      </c>
      <c r="F20272" s="7" t="n">
        <v>49.4500007629395</v>
      </c>
      <c r="G20272" s="7" t="n">
        <v>113.400001525879</v>
      </c>
    </row>
    <row r="20273" spans="1:7">
      <c r="A20273" t="s">
        <v>4</v>
      </c>
      <c r="B20273" s="4" t="s">
        <v>5</v>
      </c>
      <c r="C20273" s="4" t="s">
        <v>7</v>
      </c>
      <c r="D20273" s="4" t="s">
        <v>7</v>
      </c>
      <c r="E20273" s="4" t="s">
        <v>13</v>
      </c>
      <c r="F20273" s="4" t="s">
        <v>13</v>
      </c>
      <c r="G20273" s="4" t="s">
        <v>13</v>
      </c>
      <c r="H20273" s="4" t="s">
        <v>11</v>
      </c>
      <c r="I20273" s="4" t="s">
        <v>7</v>
      </c>
    </row>
    <row r="20274" spans="1:7">
      <c r="A20274" t="n">
        <v>197508</v>
      </c>
      <c r="B20274" s="51" t="n">
        <v>45</v>
      </c>
      <c r="C20274" s="7" t="n">
        <v>4</v>
      </c>
      <c r="D20274" s="7" t="n">
        <v>3</v>
      </c>
      <c r="E20274" s="7" t="n">
        <v>7</v>
      </c>
      <c r="F20274" s="7" t="n">
        <v>93.1100006103516</v>
      </c>
      <c r="G20274" s="7" t="n">
        <v>0</v>
      </c>
      <c r="H20274" s="7" t="n">
        <v>0</v>
      </c>
      <c r="I20274" s="7" t="n">
        <v>0</v>
      </c>
    </row>
    <row r="20275" spans="1:7">
      <c r="A20275" t="s">
        <v>4</v>
      </c>
      <c r="B20275" s="4" t="s">
        <v>5</v>
      </c>
      <c r="C20275" s="4" t="s">
        <v>7</v>
      </c>
      <c r="D20275" s="4" t="s">
        <v>8</v>
      </c>
    </row>
    <row r="20276" spans="1:7">
      <c r="A20276" t="n">
        <v>197526</v>
      </c>
      <c r="B20276" s="6" t="n">
        <v>2</v>
      </c>
      <c r="C20276" s="7" t="n">
        <v>10</v>
      </c>
      <c r="D20276" s="7" t="s">
        <v>119</v>
      </c>
    </row>
    <row r="20277" spans="1:7">
      <c r="A20277" t="s">
        <v>4</v>
      </c>
      <c r="B20277" s="4" t="s">
        <v>5</v>
      </c>
      <c r="C20277" s="4" t="s">
        <v>11</v>
      </c>
    </row>
    <row r="20278" spans="1:7">
      <c r="A20278" t="n">
        <v>197541</v>
      </c>
      <c r="B20278" s="29" t="n">
        <v>16</v>
      </c>
      <c r="C20278" s="7" t="n">
        <v>0</v>
      </c>
    </row>
    <row r="20279" spans="1:7">
      <c r="A20279" t="s">
        <v>4</v>
      </c>
      <c r="B20279" s="4" t="s">
        <v>5</v>
      </c>
      <c r="C20279" s="4" t="s">
        <v>7</v>
      </c>
      <c r="D20279" s="4" t="s">
        <v>11</v>
      </c>
    </row>
    <row r="20280" spans="1:7">
      <c r="A20280" t="n">
        <v>197544</v>
      </c>
      <c r="B20280" s="23" t="n">
        <v>58</v>
      </c>
      <c r="C20280" s="7" t="n">
        <v>105</v>
      </c>
      <c r="D20280" s="7" t="n">
        <v>300</v>
      </c>
    </row>
    <row r="20281" spans="1:7">
      <c r="A20281" t="s">
        <v>4</v>
      </c>
      <c r="B20281" s="4" t="s">
        <v>5</v>
      </c>
      <c r="C20281" s="4" t="s">
        <v>13</v>
      </c>
      <c r="D20281" s="4" t="s">
        <v>11</v>
      </c>
    </row>
    <row r="20282" spans="1:7">
      <c r="A20282" t="n">
        <v>197548</v>
      </c>
      <c r="B20282" s="46" t="n">
        <v>103</v>
      </c>
      <c r="C20282" s="7" t="n">
        <v>1</v>
      </c>
      <c r="D20282" s="7" t="n">
        <v>300</v>
      </c>
    </row>
    <row r="20283" spans="1:7">
      <c r="A20283" t="s">
        <v>4</v>
      </c>
      <c r="B20283" s="4" t="s">
        <v>5</v>
      </c>
      <c r="C20283" s="4" t="s">
        <v>7</v>
      </c>
      <c r="D20283" s="4" t="s">
        <v>11</v>
      </c>
    </row>
    <row r="20284" spans="1:7">
      <c r="A20284" t="n">
        <v>197555</v>
      </c>
      <c r="B20284" s="48" t="n">
        <v>72</v>
      </c>
      <c r="C20284" s="7" t="n">
        <v>4</v>
      </c>
      <c r="D20284" s="7" t="n">
        <v>0</v>
      </c>
    </row>
    <row r="20285" spans="1:7">
      <c r="A20285" t="s">
        <v>4</v>
      </c>
      <c r="B20285" s="4" t="s">
        <v>5</v>
      </c>
      <c r="C20285" s="4" t="s">
        <v>15</v>
      </c>
    </row>
    <row r="20286" spans="1:7">
      <c r="A20286" t="n">
        <v>197559</v>
      </c>
      <c r="B20286" s="61" t="n">
        <v>15</v>
      </c>
      <c r="C20286" s="7" t="n">
        <v>1073741824</v>
      </c>
    </row>
    <row r="20287" spans="1:7">
      <c r="A20287" t="s">
        <v>4</v>
      </c>
      <c r="B20287" s="4" t="s">
        <v>5</v>
      </c>
      <c r="C20287" s="4" t="s">
        <v>7</v>
      </c>
    </row>
    <row r="20288" spans="1:7">
      <c r="A20288" t="n">
        <v>197564</v>
      </c>
      <c r="B20288" s="47" t="n">
        <v>64</v>
      </c>
      <c r="C20288" s="7" t="n">
        <v>3</v>
      </c>
    </row>
    <row r="20289" spans="1:9">
      <c r="A20289" t="s">
        <v>4</v>
      </c>
      <c r="B20289" s="4" t="s">
        <v>5</v>
      </c>
      <c r="C20289" s="4" t="s">
        <v>7</v>
      </c>
    </row>
    <row r="20290" spans="1:9">
      <c r="A20290" t="n">
        <v>197566</v>
      </c>
      <c r="B20290" s="45" t="n">
        <v>74</v>
      </c>
      <c r="C20290" s="7" t="n">
        <v>67</v>
      </c>
    </row>
    <row r="20291" spans="1:9">
      <c r="A20291" t="s">
        <v>4</v>
      </c>
      <c r="B20291" s="4" t="s">
        <v>5</v>
      </c>
      <c r="C20291" s="4" t="s">
        <v>7</v>
      </c>
      <c r="D20291" s="4" t="s">
        <v>7</v>
      </c>
      <c r="E20291" s="4" t="s">
        <v>11</v>
      </c>
    </row>
    <row r="20292" spans="1:9">
      <c r="A20292" t="n">
        <v>197568</v>
      </c>
      <c r="B20292" s="51" t="n">
        <v>45</v>
      </c>
      <c r="C20292" s="7" t="n">
        <v>8</v>
      </c>
      <c r="D20292" s="7" t="n">
        <v>1</v>
      </c>
      <c r="E20292" s="7" t="n">
        <v>0</v>
      </c>
    </row>
    <row r="20293" spans="1:9">
      <c r="A20293" t="s">
        <v>4</v>
      </c>
      <c r="B20293" s="4" t="s">
        <v>5</v>
      </c>
      <c r="C20293" s="4" t="s">
        <v>11</v>
      </c>
    </row>
    <row r="20294" spans="1:9">
      <c r="A20294" t="n">
        <v>197573</v>
      </c>
      <c r="B20294" s="12" t="n">
        <v>13</v>
      </c>
      <c r="C20294" s="7" t="n">
        <v>6409</v>
      </c>
    </row>
    <row r="20295" spans="1:9">
      <c r="A20295" t="s">
        <v>4</v>
      </c>
      <c r="B20295" s="4" t="s">
        <v>5</v>
      </c>
      <c r="C20295" s="4" t="s">
        <v>11</v>
      </c>
    </row>
    <row r="20296" spans="1:9">
      <c r="A20296" t="n">
        <v>197576</v>
      </c>
      <c r="B20296" s="12" t="n">
        <v>13</v>
      </c>
      <c r="C20296" s="7" t="n">
        <v>6408</v>
      </c>
    </row>
    <row r="20297" spans="1:9">
      <c r="A20297" t="s">
        <v>4</v>
      </c>
      <c r="B20297" s="4" t="s">
        <v>5</v>
      </c>
      <c r="C20297" s="4" t="s">
        <v>11</v>
      </c>
    </row>
    <row r="20298" spans="1:9">
      <c r="A20298" t="n">
        <v>197579</v>
      </c>
      <c r="B20298" s="43" t="n">
        <v>12</v>
      </c>
      <c r="C20298" s="7" t="n">
        <v>6464</v>
      </c>
    </row>
    <row r="20299" spans="1:9">
      <c r="A20299" t="s">
        <v>4</v>
      </c>
      <c r="B20299" s="4" t="s">
        <v>5</v>
      </c>
      <c r="C20299" s="4" t="s">
        <v>11</v>
      </c>
    </row>
    <row r="20300" spans="1:9">
      <c r="A20300" t="n">
        <v>197582</v>
      </c>
      <c r="B20300" s="12" t="n">
        <v>13</v>
      </c>
      <c r="C20300" s="7" t="n">
        <v>6465</v>
      </c>
    </row>
    <row r="20301" spans="1:9">
      <c r="A20301" t="s">
        <v>4</v>
      </c>
      <c r="B20301" s="4" t="s">
        <v>5</v>
      </c>
      <c r="C20301" s="4" t="s">
        <v>11</v>
      </c>
    </row>
    <row r="20302" spans="1:9">
      <c r="A20302" t="n">
        <v>197585</v>
      </c>
      <c r="B20302" s="12" t="n">
        <v>13</v>
      </c>
      <c r="C20302" s="7" t="n">
        <v>6466</v>
      </c>
    </row>
    <row r="20303" spans="1:9">
      <c r="A20303" t="s">
        <v>4</v>
      </c>
      <c r="B20303" s="4" t="s">
        <v>5</v>
      </c>
      <c r="C20303" s="4" t="s">
        <v>11</v>
      </c>
    </row>
    <row r="20304" spans="1:9">
      <c r="A20304" t="n">
        <v>197588</v>
      </c>
      <c r="B20304" s="12" t="n">
        <v>13</v>
      </c>
      <c r="C20304" s="7" t="n">
        <v>6467</v>
      </c>
    </row>
    <row r="20305" spans="1:5">
      <c r="A20305" t="s">
        <v>4</v>
      </c>
      <c r="B20305" s="4" t="s">
        <v>5</v>
      </c>
      <c r="C20305" s="4" t="s">
        <v>11</v>
      </c>
    </row>
    <row r="20306" spans="1:5">
      <c r="A20306" t="n">
        <v>197591</v>
      </c>
      <c r="B20306" s="12" t="n">
        <v>13</v>
      </c>
      <c r="C20306" s="7" t="n">
        <v>6468</v>
      </c>
    </row>
    <row r="20307" spans="1:5">
      <c r="A20307" t="s">
        <v>4</v>
      </c>
      <c r="B20307" s="4" t="s">
        <v>5</v>
      </c>
      <c r="C20307" s="4" t="s">
        <v>11</v>
      </c>
    </row>
    <row r="20308" spans="1:5">
      <c r="A20308" t="n">
        <v>197594</v>
      </c>
      <c r="B20308" s="12" t="n">
        <v>13</v>
      </c>
      <c r="C20308" s="7" t="n">
        <v>6469</v>
      </c>
    </row>
    <row r="20309" spans="1:5">
      <c r="A20309" t="s">
        <v>4</v>
      </c>
      <c r="B20309" s="4" t="s">
        <v>5</v>
      </c>
      <c r="C20309" s="4" t="s">
        <v>11</v>
      </c>
    </row>
    <row r="20310" spans="1:5">
      <c r="A20310" t="n">
        <v>197597</v>
      </c>
      <c r="B20310" s="12" t="n">
        <v>13</v>
      </c>
      <c r="C20310" s="7" t="n">
        <v>6470</v>
      </c>
    </row>
    <row r="20311" spans="1:5">
      <c r="A20311" t="s">
        <v>4</v>
      </c>
      <c r="B20311" s="4" t="s">
        <v>5</v>
      </c>
      <c r="C20311" s="4" t="s">
        <v>11</v>
      </c>
    </row>
    <row r="20312" spans="1:5">
      <c r="A20312" t="n">
        <v>197600</v>
      </c>
      <c r="B20312" s="12" t="n">
        <v>13</v>
      </c>
      <c r="C20312" s="7" t="n">
        <v>6471</v>
      </c>
    </row>
    <row r="20313" spans="1:5">
      <c r="A20313" t="s">
        <v>4</v>
      </c>
      <c r="B20313" s="4" t="s">
        <v>5</v>
      </c>
      <c r="C20313" s="4" t="s">
        <v>7</v>
      </c>
    </row>
    <row r="20314" spans="1:5">
      <c r="A20314" t="n">
        <v>197603</v>
      </c>
      <c r="B20314" s="45" t="n">
        <v>74</v>
      </c>
      <c r="C20314" s="7" t="n">
        <v>18</v>
      </c>
    </row>
    <row r="20315" spans="1:5">
      <c r="A20315" t="s">
        <v>4</v>
      </c>
      <c r="B20315" s="4" t="s">
        <v>5</v>
      </c>
      <c r="C20315" s="4" t="s">
        <v>7</v>
      </c>
    </row>
    <row r="20316" spans="1:5">
      <c r="A20316" t="n">
        <v>197605</v>
      </c>
      <c r="B20316" s="45" t="n">
        <v>74</v>
      </c>
      <c r="C20316" s="7" t="n">
        <v>45</v>
      </c>
    </row>
    <row r="20317" spans="1:5">
      <c r="A20317" t="s">
        <v>4</v>
      </c>
      <c r="B20317" s="4" t="s">
        <v>5</v>
      </c>
      <c r="C20317" s="4" t="s">
        <v>11</v>
      </c>
    </row>
    <row r="20318" spans="1:5">
      <c r="A20318" t="n">
        <v>197607</v>
      </c>
      <c r="B20318" s="29" t="n">
        <v>16</v>
      </c>
      <c r="C20318" s="7" t="n">
        <v>0</v>
      </c>
    </row>
    <row r="20319" spans="1:5">
      <c r="A20319" t="s">
        <v>4</v>
      </c>
      <c r="B20319" s="4" t="s">
        <v>5</v>
      </c>
      <c r="C20319" s="4" t="s">
        <v>7</v>
      </c>
      <c r="D20319" s="4" t="s">
        <v>7</v>
      </c>
      <c r="E20319" s="4" t="s">
        <v>7</v>
      </c>
      <c r="F20319" s="4" t="s">
        <v>7</v>
      </c>
    </row>
    <row r="20320" spans="1:5">
      <c r="A20320" t="n">
        <v>197610</v>
      </c>
      <c r="B20320" s="9" t="n">
        <v>14</v>
      </c>
      <c r="C20320" s="7" t="n">
        <v>0</v>
      </c>
      <c r="D20320" s="7" t="n">
        <v>8</v>
      </c>
      <c r="E20320" s="7" t="n">
        <v>0</v>
      </c>
      <c r="F20320" s="7" t="n">
        <v>0</v>
      </c>
    </row>
    <row r="20321" spans="1:6">
      <c r="A20321" t="s">
        <v>4</v>
      </c>
      <c r="B20321" s="4" t="s">
        <v>5</v>
      </c>
      <c r="C20321" s="4" t="s">
        <v>7</v>
      </c>
      <c r="D20321" s="4" t="s">
        <v>8</v>
      </c>
    </row>
    <row r="20322" spans="1:6">
      <c r="A20322" t="n">
        <v>197615</v>
      </c>
      <c r="B20322" s="6" t="n">
        <v>2</v>
      </c>
      <c r="C20322" s="7" t="n">
        <v>11</v>
      </c>
      <c r="D20322" s="7" t="s">
        <v>14</v>
      </c>
    </row>
    <row r="20323" spans="1:6">
      <c r="A20323" t="s">
        <v>4</v>
      </c>
      <c r="B20323" s="4" t="s">
        <v>5</v>
      </c>
      <c r="C20323" s="4" t="s">
        <v>11</v>
      </c>
    </row>
    <row r="20324" spans="1:6">
      <c r="A20324" t="n">
        <v>197629</v>
      </c>
      <c r="B20324" s="29" t="n">
        <v>16</v>
      </c>
      <c r="C20324" s="7" t="n">
        <v>0</v>
      </c>
    </row>
    <row r="20325" spans="1:6">
      <c r="A20325" t="s">
        <v>4</v>
      </c>
      <c r="B20325" s="4" t="s">
        <v>5</v>
      </c>
      <c r="C20325" s="4" t="s">
        <v>7</v>
      </c>
      <c r="D20325" s="4" t="s">
        <v>8</v>
      </c>
    </row>
    <row r="20326" spans="1:6">
      <c r="A20326" t="n">
        <v>197632</v>
      </c>
      <c r="B20326" s="6" t="n">
        <v>2</v>
      </c>
      <c r="C20326" s="7" t="n">
        <v>11</v>
      </c>
      <c r="D20326" s="7" t="s">
        <v>120</v>
      </c>
    </row>
    <row r="20327" spans="1:6">
      <c r="A20327" t="s">
        <v>4</v>
      </c>
      <c r="B20327" s="4" t="s">
        <v>5</v>
      </c>
      <c r="C20327" s="4" t="s">
        <v>11</v>
      </c>
    </row>
    <row r="20328" spans="1:6">
      <c r="A20328" t="n">
        <v>197641</v>
      </c>
      <c r="B20328" s="29" t="n">
        <v>16</v>
      </c>
      <c r="C20328" s="7" t="n">
        <v>0</v>
      </c>
    </row>
    <row r="20329" spans="1:6">
      <c r="A20329" t="s">
        <v>4</v>
      </c>
      <c r="B20329" s="4" t="s">
        <v>5</v>
      </c>
      <c r="C20329" s="4" t="s">
        <v>15</v>
      </c>
    </row>
    <row r="20330" spans="1:6">
      <c r="A20330" t="n">
        <v>197644</v>
      </c>
      <c r="B20330" s="61" t="n">
        <v>15</v>
      </c>
      <c r="C20330" s="7" t="n">
        <v>2048</v>
      </c>
    </row>
    <row r="20331" spans="1:6">
      <c r="A20331" t="s">
        <v>4</v>
      </c>
      <c r="B20331" s="4" t="s">
        <v>5</v>
      </c>
      <c r="C20331" s="4" t="s">
        <v>7</v>
      </c>
      <c r="D20331" s="4" t="s">
        <v>8</v>
      </c>
    </row>
    <row r="20332" spans="1:6">
      <c r="A20332" t="n">
        <v>197649</v>
      </c>
      <c r="B20332" s="6" t="n">
        <v>2</v>
      </c>
      <c r="C20332" s="7" t="n">
        <v>10</v>
      </c>
      <c r="D20332" s="7" t="s">
        <v>52</v>
      </c>
    </row>
    <row r="20333" spans="1:6">
      <c r="A20333" t="s">
        <v>4</v>
      </c>
      <c r="B20333" s="4" t="s">
        <v>5</v>
      </c>
      <c r="C20333" s="4" t="s">
        <v>11</v>
      </c>
    </row>
    <row r="20334" spans="1:6">
      <c r="A20334" t="n">
        <v>197667</v>
      </c>
      <c r="B20334" s="29" t="n">
        <v>16</v>
      </c>
      <c r="C20334" s="7" t="n">
        <v>0</v>
      </c>
    </row>
    <row r="20335" spans="1:6">
      <c r="A20335" t="s">
        <v>4</v>
      </c>
      <c r="B20335" s="4" t="s">
        <v>5</v>
      </c>
      <c r="C20335" s="4" t="s">
        <v>7</v>
      </c>
      <c r="D20335" s="4" t="s">
        <v>8</v>
      </c>
    </row>
    <row r="20336" spans="1:6">
      <c r="A20336" t="n">
        <v>197670</v>
      </c>
      <c r="B20336" s="6" t="n">
        <v>2</v>
      </c>
      <c r="C20336" s="7" t="n">
        <v>10</v>
      </c>
      <c r="D20336" s="7" t="s">
        <v>53</v>
      </c>
    </row>
    <row r="20337" spans="1:4">
      <c r="A20337" t="s">
        <v>4</v>
      </c>
      <c r="B20337" s="4" t="s">
        <v>5</v>
      </c>
      <c r="C20337" s="4" t="s">
        <v>11</v>
      </c>
    </row>
    <row r="20338" spans="1:4">
      <c r="A20338" t="n">
        <v>197689</v>
      </c>
      <c r="B20338" s="29" t="n">
        <v>16</v>
      </c>
      <c r="C20338" s="7" t="n">
        <v>0</v>
      </c>
    </row>
    <row r="20339" spans="1:4">
      <c r="A20339" t="s">
        <v>4</v>
      </c>
      <c r="B20339" s="4" t="s">
        <v>5</v>
      </c>
      <c r="C20339" s="4" t="s">
        <v>7</v>
      </c>
      <c r="D20339" s="4" t="s">
        <v>11</v>
      </c>
      <c r="E20339" s="4" t="s">
        <v>13</v>
      </c>
    </row>
    <row r="20340" spans="1:4">
      <c r="A20340" t="n">
        <v>197692</v>
      </c>
      <c r="B20340" s="23" t="n">
        <v>58</v>
      </c>
      <c r="C20340" s="7" t="n">
        <v>100</v>
      </c>
      <c r="D20340" s="7" t="n">
        <v>300</v>
      </c>
      <c r="E20340" s="7" t="n">
        <v>1</v>
      </c>
    </row>
    <row r="20341" spans="1:4">
      <c r="A20341" t="s">
        <v>4</v>
      </c>
      <c r="B20341" s="4" t="s">
        <v>5</v>
      </c>
      <c r="C20341" s="4" t="s">
        <v>7</v>
      </c>
      <c r="D20341" s="4" t="s">
        <v>11</v>
      </c>
    </row>
    <row r="20342" spans="1:4">
      <c r="A20342" t="n">
        <v>197700</v>
      </c>
      <c r="B20342" s="23" t="n">
        <v>58</v>
      </c>
      <c r="C20342" s="7" t="n">
        <v>255</v>
      </c>
      <c r="D20342" s="7" t="n">
        <v>0</v>
      </c>
    </row>
    <row r="20343" spans="1:4">
      <c r="A20343" t="s">
        <v>4</v>
      </c>
      <c r="B20343" s="4" t="s">
        <v>5</v>
      </c>
      <c r="C20343" s="4" t="s">
        <v>7</v>
      </c>
    </row>
    <row r="20344" spans="1:4">
      <c r="A20344" t="n">
        <v>197704</v>
      </c>
      <c r="B20344" s="30" t="n">
        <v>23</v>
      </c>
      <c r="C20344" s="7" t="n">
        <v>0</v>
      </c>
    </row>
    <row r="20345" spans="1:4">
      <c r="A20345" t="s">
        <v>4</v>
      </c>
      <c r="B20345" s="4" t="s">
        <v>5</v>
      </c>
    </row>
    <row r="20346" spans="1:4">
      <c r="A20346" t="n">
        <v>197706</v>
      </c>
      <c r="B20346" s="5" t="n">
        <v>1</v>
      </c>
    </row>
    <row r="20347" spans="1:4" s="3" customFormat="1" customHeight="0">
      <c r="A20347" s="3" t="s">
        <v>2</v>
      </c>
      <c r="B20347" s="3" t="s">
        <v>1680</v>
      </c>
    </row>
    <row r="20348" spans="1:4">
      <c r="A20348" t="s">
        <v>4</v>
      </c>
      <c r="B20348" s="4" t="s">
        <v>5</v>
      </c>
      <c r="C20348" s="4" t="s">
        <v>11</v>
      </c>
      <c r="D20348" s="4" t="s">
        <v>13</v>
      </c>
      <c r="E20348" s="4" t="s">
        <v>13</v>
      </c>
      <c r="F20348" s="4" t="s">
        <v>13</v>
      </c>
      <c r="G20348" s="4" t="s">
        <v>11</v>
      </c>
      <c r="H20348" s="4" t="s">
        <v>11</v>
      </c>
    </row>
    <row r="20349" spans="1:4">
      <c r="A20349" t="n">
        <v>197708</v>
      </c>
      <c r="B20349" s="37" t="n">
        <v>60</v>
      </c>
      <c r="C20349" s="7" t="n">
        <v>65534</v>
      </c>
      <c r="D20349" s="7" t="n">
        <v>0</v>
      </c>
      <c r="E20349" s="7" t="n">
        <v>25</v>
      </c>
      <c r="F20349" s="7" t="n">
        <v>0</v>
      </c>
      <c r="G20349" s="7" t="n">
        <v>400</v>
      </c>
      <c r="H20349" s="7" t="n">
        <v>0</v>
      </c>
    </row>
    <row r="20350" spans="1:4">
      <c r="A20350" t="s">
        <v>4</v>
      </c>
      <c r="B20350" s="4" t="s">
        <v>5</v>
      </c>
      <c r="C20350" s="4" t="s">
        <v>11</v>
      </c>
    </row>
    <row r="20351" spans="1:4">
      <c r="A20351" t="n">
        <v>197727</v>
      </c>
      <c r="B20351" s="29" t="n">
        <v>16</v>
      </c>
      <c r="C20351" s="7" t="n">
        <v>400</v>
      </c>
    </row>
    <row r="20352" spans="1:4">
      <c r="A20352" t="s">
        <v>4</v>
      </c>
      <c r="B20352" s="4" t="s">
        <v>5</v>
      </c>
      <c r="C20352" s="4" t="s">
        <v>11</v>
      </c>
      <c r="D20352" s="4" t="s">
        <v>13</v>
      </c>
      <c r="E20352" s="4" t="s">
        <v>13</v>
      </c>
      <c r="F20352" s="4" t="s">
        <v>13</v>
      </c>
      <c r="G20352" s="4" t="s">
        <v>11</v>
      </c>
      <c r="H20352" s="4" t="s">
        <v>11</v>
      </c>
    </row>
    <row r="20353" spans="1:8">
      <c r="A20353" t="n">
        <v>197730</v>
      </c>
      <c r="B20353" s="37" t="n">
        <v>60</v>
      </c>
      <c r="C20353" s="7" t="n">
        <v>65534</v>
      </c>
      <c r="D20353" s="7" t="n">
        <v>0</v>
      </c>
      <c r="E20353" s="7" t="n">
        <v>35</v>
      </c>
      <c r="F20353" s="7" t="n">
        <v>0</v>
      </c>
      <c r="G20353" s="7" t="n">
        <v>400</v>
      </c>
      <c r="H20353" s="7" t="n">
        <v>0</v>
      </c>
    </row>
    <row r="20354" spans="1:8">
      <c r="A20354" t="s">
        <v>4</v>
      </c>
      <c r="B20354" s="4" t="s">
        <v>5</v>
      </c>
    </row>
    <row r="20355" spans="1:8">
      <c r="A20355" t="n">
        <v>197749</v>
      </c>
      <c r="B20355" s="5" t="n">
        <v>1</v>
      </c>
    </row>
    <row r="20356" spans="1:8" s="3" customFormat="1" customHeight="0">
      <c r="A20356" s="3" t="s">
        <v>2</v>
      </c>
      <c r="B20356" s="3" t="s">
        <v>1681</v>
      </c>
    </row>
    <row r="20357" spans="1:8">
      <c r="A20357" t="s">
        <v>4</v>
      </c>
      <c r="B20357" s="4" t="s">
        <v>5</v>
      </c>
      <c r="C20357" s="4" t="s">
        <v>7</v>
      </c>
      <c r="D20357" s="4" t="s">
        <v>7</v>
      </c>
      <c r="E20357" s="4" t="s">
        <v>7</v>
      </c>
      <c r="F20357" s="4" t="s">
        <v>7</v>
      </c>
    </row>
    <row r="20358" spans="1:8">
      <c r="A20358" t="n">
        <v>197752</v>
      </c>
      <c r="B20358" s="9" t="n">
        <v>14</v>
      </c>
      <c r="C20358" s="7" t="n">
        <v>2</v>
      </c>
      <c r="D20358" s="7" t="n">
        <v>0</v>
      </c>
      <c r="E20358" s="7" t="n">
        <v>0</v>
      </c>
      <c r="F20358" s="7" t="n">
        <v>0</v>
      </c>
    </row>
    <row r="20359" spans="1:8">
      <c r="A20359" t="s">
        <v>4</v>
      </c>
      <c r="B20359" s="4" t="s">
        <v>5</v>
      </c>
      <c r="C20359" s="4" t="s">
        <v>7</v>
      </c>
      <c r="D20359" s="20" t="s">
        <v>35</v>
      </c>
      <c r="E20359" s="4" t="s">
        <v>5</v>
      </c>
      <c r="F20359" s="4" t="s">
        <v>7</v>
      </c>
      <c r="G20359" s="4" t="s">
        <v>11</v>
      </c>
      <c r="H20359" s="20" t="s">
        <v>36</v>
      </c>
      <c r="I20359" s="4" t="s">
        <v>7</v>
      </c>
      <c r="J20359" s="4" t="s">
        <v>15</v>
      </c>
      <c r="K20359" s="4" t="s">
        <v>7</v>
      </c>
      <c r="L20359" s="4" t="s">
        <v>7</v>
      </c>
      <c r="M20359" s="20" t="s">
        <v>35</v>
      </c>
      <c r="N20359" s="4" t="s">
        <v>5</v>
      </c>
      <c r="O20359" s="4" t="s">
        <v>7</v>
      </c>
      <c r="P20359" s="4" t="s">
        <v>11</v>
      </c>
      <c r="Q20359" s="20" t="s">
        <v>36</v>
      </c>
      <c r="R20359" s="4" t="s">
        <v>7</v>
      </c>
      <c r="S20359" s="4" t="s">
        <v>15</v>
      </c>
      <c r="T20359" s="4" t="s">
        <v>7</v>
      </c>
      <c r="U20359" s="4" t="s">
        <v>7</v>
      </c>
      <c r="V20359" s="4" t="s">
        <v>7</v>
      </c>
      <c r="W20359" s="4" t="s">
        <v>12</v>
      </c>
    </row>
    <row r="20360" spans="1:8">
      <c r="A20360" t="n">
        <v>197757</v>
      </c>
      <c r="B20360" s="10" t="n">
        <v>5</v>
      </c>
      <c r="C20360" s="7" t="n">
        <v>28</v>
      </c>
      <c r="D20360" s="20" t="s">
        <v>3</v>
      </c>
      <c r="E20360" s="8" t="n">
        <v>162</v>
      </c>
      <c r="F20360" s="7" t="n">
        <v>3</v>
      </c>
      <c r="G20360" s="7" t="n">
        <v>33160</v>
      </c>
      <c r="H20360" s="20" t="s">
        <v>3</v>
      </c>
      <c r="I20360" s="7" t="n">
        <v>0</v>
      </c>
      <c r="J20360" s="7" t="n">
        <v>1</v>
      </c>
      <c r="K20360" s="7" t="n">
        <v>2</v>
      </c>
      <c r="L20360" s="7" t="n">
        <v>28</v>
      </c>
      <c r="M20360" s="20" t="s">
        <v>3</v>
      </c>
      <c r="N20360" s="8" t="n">
        <v>162</v>
      </c>
      <c r="O20360" s="7" t="n">
        <v>3</v>
      </c>
      <c r="P20360" s="7" t="n">
        <v>33160</v>
      </c>
      <c r="Q20360" s="20" t="s">
        <v>3</v>
      </c>
      <c r="R20360" s="7" t="n">
        <v>0</v>
      </c>
      <c r="S20360" s="7" t="n">
        <v>2</v>
      </c>
      <c r="T20360" s="7" t="n">
        <v>2</v>
      </c>
      <c r="U20360" s="7" t="n">
        <v>11</v>
      </c>
      <c r="V20360" s="7" t="n">
        <v>1</v>
      </c>
      <c r="W20360" s="11" t="n">
        <f t="normal" ca="1">A20364</f>
        <v>0</v>
      </c>
    </row>
    <row r="20361" spans="1:8">
      <c r="A20361" t="s">
        <v>4</v>
      </c>
      <c r="B20361" s="4" t="s">
        <v>5</v>
      </c>
      <c r="C20361" s="4" t="s">
        <v>7</v>
      </c>
      <c r="D20361" s="4" t="s">
        <v>11</v>
      </c>
      <c r="E20361" s="4" t="s">
        <v>13</v>
      </c>
    </row>
    <row r="20362" spans="1:8">
      <c r="A20362" t="n">
        <v>197786</v>
      </c>
      <c r="B20362" s="23" t="n">
        <v>58</v>
      </c>
      <c r="C20362" s="7" t="n">
        <v>0</v>
      </c>
      <c r="D20362" s="7" t="n">
        <v>0</v>
      </c>
      <c r="E20362" s="7" t="n">
        <v>1</v>
      </c>
    </row>
    <row r="20363" spans="1:8">
      <c r="A20363" t="s">
        <v>4</v>
      </c>
      <c r="B20363" s="4" t="s">
        <v>5</v>
      </c>
      <c r="C20363" s="4" t="s">
        <v>7</v>
      </c>
      <c r="D20363" s="20" t="s">
        <v>35</v>
      </c>
      <c r="E20363" s="4" t="s">
        <v>5</v>
      </c>
      <c r="F20363" s="4" t="s">
        <v>7</v>
      </c>
      <c r="G20363" s="4" t="s">
        <v>11</v>
      </c>
      <c r="H20363" s="20" t="s">
        <v>36</v>
      </c>
      <c r="I20363" s="4" t="s">
        <v>7</v>
      </c>
      <c r="J20363" s="4" t="s">
        <v>15</v>
      </c>
      <c r="K20363" s="4" t="s">
        <v>7</v>
      </c>
      <c r="L20363" s="4" t="s">
        <v>7</v>
      </c>
      <c r="M20363" s="20" t="s">
        <v>35</v>
      </c>
      <c r="N20363" s="4" t="s">
        <v>5</v>
      </c>
      <c r="O20363" s="4" t="s">
        <v>7</v>
      </c>
      <c r="P20363" s="4" t="s">
        <v>11</v>
      </c>
      <c r="Q20363" s="20" t="s">
        <v>36</v>
      </c>
      <c r="R20363" s="4" t="s">
        <v>7</v>
      </c>
      <c r="S20363" s="4" t="s">
        <v>15</v>
      </c>
      <c r="T20363" s="4" t="s">
        <v>7</v>
      </c>
      <c r="U20363" s="4" t="s">
        <v>7</v>
      </c>
      <c r="V20363" s="4" t="s">
        <v>7</v>
      </c>
      <c r="W20363" s="4" t="s">
        <v>12</v>
      </c>
    </row>
    <row r="20364" spans="1:8">
      <c r="A20364" t="n">
        <v>197794</v>
      </c>
      <c r="B20364" s="10" t="n">
        <v>5</v>
      </c>
      <c r="C20364" s="7" t="n">
        <v>28</v>
      </c>
      <c r="D20364" s="20" t="s">
        <v>3</v>
      </c>
      <c r="E20364" s="8" t="n">
        <v>162</v>
      </c>
      <c r="F20364" s="7" t="n">
        <v>3</v>
      </c>
      <c r="G20364" s="7" t="n">
        <v>33160</v>
      </c>
      <c r="H20364" s="20" t="s">
        <v>3</v>
      </c>
      <c r="I20364" s="7" t="n">
        <v>0</v>
      </c>
      <c r="J20364" s="7" t="n">
        <v>1</v>
      </c>
      <c r="K20364" s="7" t="n">
        <v>3</v>
      </c>
      <c r="L20364" s="7" t="n">
        <v>28</v>
      </c>
      <c r="M20364" s="20" t="s">
        <v>3</v>
      </c>
      <c r="N20364" s="8" t="n">
        <v>162</v>
      </c>
      <c r="O20364" s="7" t="n">
        <v>3</v>
      </c>
      <c r="P20364" s="7" t="n">
        <v>33160</v>
      </c>
      <c r="Q20364" s="20" t="s">
        <v>3</v>
      </c>
      <c r="R20364" s="7" t="n">
        <v>0</v>
      </c>
      <c r="S20364" s="7" t="n">
        <v>2</v>
      </c>
      <c r="T20364" s="7" t="n">
        <v>3</v>
      </c>
      <c r="U20364" s="7" t="n">
        <v>9</v>
      </c>
      <c r="V20364" s="7" t="n">
        <v>1</v>
      </c>
      <c r="W20364" s="11" t="n">
        <f t="normal" ca="1">A20374</f>
        <v>0</v>
      </c>
    </row>
    <row r="20365" spans="1:8">
      <c r="A20365" t="s">
        <v>4</v>
      </c>
      <c r="B20365" s="4" t="s">
        <v>5</v>
      </c>
      <c r="C20365" s="4" t="s">
        <v>7</v>
      </c>
      <c r="D20365" s="20" t="s">
        <v>35</v>
      </c>
      <c r="E20365" s="4" t="s">
        <v>5</v>
      </c>
      <c r="F20365" s="4" t="s">
        <v>11</v>
      </c>
      <c r="G20365" s="4" t="s">
        <v>7</v>
      </c>
      <c r="H20365" s="4" t="s">
        <v>7</v>
      </c>
      <c r="I20365" s="4" t="s">
        <v>8</v>
      </c>
      <c r="J20365" s="20" t="s">
        <v>36</v>
      </c>
      <c r="K20365" s="4" t="s">
        <v>7</v>
      </c>
      <c r="L20365" s="4" t="s">
        <v>7</v>
      </c>
      <c r="M20365" s="20" t="s">
        <v>35</v>
      </c>
      <c r="N20365" s="4" t="s">
        <v>5</v>
      </c>
      <c r="O20365" s="4" t="s">
        <v>7</v>
      </c>
      <c r="P20365" s="20" t="s">
        <v>36</v>
      </c>
      <c r="Q20365" s="4" t="s">
        <v>7</v>
      </c>
      <c r="R20365" s="4" t="s">
        <v>15</v>
      </c>
      <c r="S20365" s="4" t="s">
        <v>7</v>
      </c>
      <c r="T20365" s="4" t="s">
        <v>7</v>
      </c>
      <c r="U20365" s="4" t="s">
        <v>7</v>
      </c>
      <c r="V20365" s="20" t="s">
        <v>35</v>
      </c>
      <c r="W20365" s="4" t="s">
        <v>5</v>
      </c>
      <c r="X20365" s="4" t="s">
        <v>7</v>
      </c>
      <c r="Y20365" s="20" t="s">
        <v>36</v>
      </c>
      <c r="Z20365" s="4" t="s">
        <v>7</v>
      </c>
      <c r="AA20365" s="4" t="s">
        <v>15</v>
      </c>
      <c r="AB20365" s="4" t="s">
        <v>7</v>
      </c>
      <c r="AC20365" s="4" t="s">
        <v>7</v>
      </c>
      <c r="AD20365" s="4" t="s">
        <v>7</v>
      </c>
      <c r="AE20365" s="4" t="s">
        <v>12</v>
      </c>
    </row>
    <row r="20366" spans="1:8">
      <c r="A20366" t="n">
        <v>197823</v>
      </c>
      <c r="B20366" s="10" t="n">
        <v>5</v>
      </c>
      <c r="C20366" s="7" t="n">
        <v>28</v>
      </c>
      <c r="D20366" s="20" t="s">
        <v>3</v>
      </c>
      <c r="E20366" s="41" t="n">
        <v>47</v>
      </c>
      <c r="F20366" s="7" t="n">
        <v>61456</v>
      </c>
      <c r="G20366" s="7" t="n">
        <v>2</v>
      </c>
      <c r="H20366" s="7" t="n">
        <v>0</v>
      </c>
      <c r="I20366" s="7" t="s">
        <v>105</v>
      </c>
      <c r="J20366" s="20" t="s">
        <v>3</v>
      </c>
      <c r="K20366" s="7" t="n">
        <v>8</v>
      </c>
      <c r="L20366" s="7" t="n">
        <v>28</v>
      </c>
      <c r="M20366" s="20" t="s">
        <v>3</v>
      </c>
      <c r="N20366" s="45" t="n">
        <v>74</v>
      </c>
      <c r="O20366" s="7" t="n">
        <v>65</v>
      </c>
      <c r="P20366" s="20" t="s">
        <v>3</v>
      </c>
      <c r="Q20366" s="7" t="n">
        <v>0</v>
      </c>
      <c r="R20366" s="7" t="n">
        <v>1</v>
      </c>
      <c r="S20366" s="7" t="n">
        <v>3</v>
      </c>
      <c r="T20366" s="7" t="n">
        <v>9</v>
      </c>
      <c r="U20366" s="7" t="n">
        <v>28</v>
      </c>
      <c r="V20366" s="20" t="s">
        <v>3</v>
      </c>
      <c r="W20366" s="45" t="n">
        <v>74</v>
      </c>
      <c r="X20366" s="7" t="n">
        <v>65</v>
      </c>
      <c r="Y20366" s="20" t="s">
        <v>3</v>
      </c>
      <c r="Z20366" s="7" t="n">
        <v>0</v>
      </c>
      <c r="AA20366" s="7" t="n">
        <v>2</v>
      </c>
      <c r="AB20366" s="7" t="n">
        <v>3</v>
      </c>
      <c r="AC20366" s="7" t="n">
        <v>9</v>
      </c>
      <c r="AD20366" s="7" t="n">
        <v>1</v>
      </c>
      <c r="AE20366" s="11" t="n">
        <f t="normal" ca="1">A20370</f>
        <v>0</v>
      </c>
    </row>
    <row r="20367" spans="1:8">
      <c r="A20367" t="s">
        <v>4</v>
      </c>
      <c r="B20367" s="4" t="s">
        <v>5</v>
      </c>
      <c r="C20367" s="4" t="s">
        <v>11</v>
      </c>
      <c r="D20367" s="4" t="s">
        <v>7</v>
      </c>
      <c r="E20367" s="4" t="s">
        <v>7</v>
      </c>
      <c r="F20367" s="4" t="s">
        <v>8</v>
      </c>
    </row>
    <row r="20368" spans="1:8">
      <c r="A20368" t="n">
        <v>197871</v>
      </c>
      <c r="B20368" s="41" t="n">
        <v>47</v>
      </c>
      <c r="C20368" s="7" t="n">
        <v>61456</v>
      </c>
      <c r="D20368" s="7" t="n">
        <v>0</v>
      </c>
      <c r="E20368" s="7" t="n">
        <v>0</v>
      </c>
      <c r="F20368" s="7" t="s">
        <v>106</v>
      </c>
    </row>
    <row r="20369" spans="1:31">
      <c r="A20369" t="s">
        <v>4</v>
      </c>
      <c r="B20369" s="4" t="s">
        <v>5</v>
      </c>
      <c r="C20369" s="4" t="s">
        <v>7</v>
      </c>
      <c r="D20369" s="4" t="s">
        <v>11</v>
      </c>
      <c r="E20369" s="4" t="s">
        <v>13</v>
      </c>
    </row>
    <row r="20370" spans="1:31">
      <c r="A20370" t="n">
        <v>197884</v>
      </c>
      <c r="B20370" s="23" t="n">
        <v>58</v>
      </c>
      <c r="C20370" s="7" t="n">
        <v>0</v>
      </c>
      <c r="D20370" s="7" t="n">
        <v>300</v>
      </c>
      <c r="E20370" s="7" t="n">
        <v>1</v>
      </c>
    </row>
    <row r="20371" spans="1:31">
      <c r="A20371" t="s">
        <v>4</v>
      </c>
      <c r="B20371" s="4" t="s">
        <v>5</v>
      </c>
      <c r="C20371" s="4" t="s">
        <v>7</v>
      </c>
      <c r="D20371" s="4" t="s">
        <v>11</v>
      </c>
    </row>
    <row r="20372" spans="1:31">
      <c r="A20372" t="n">
        <v>197892</v>
      </c>
      <c r="B20372" s="23" t="n">
        <v>58</v>
      </c>
      <c r="C20372" s="7" t="n">
        <v>255</v>
      </c>
      <c r="D20372" s="7" t="n">
        <v>0</v>
      </c>
    </row>
    <row r="20373" spans="1:31">
      <c r="A20373" t="s">
        <v>4</v>
      </c>
      <c r="B20373" s="4" t="s">
        <v>5</v>
      </c>
      <c r="C20373" s="4" t="s">
        <v>7</v>
      </c>
      <c r="D20373" s="4" t="s">
        <v>7</v>
      </c>
      <c r="E20373" s="4" t="s">
        <v>7</v>
      </c>
      <c r="F20373" s="4" t="s">
        <v>7</v>
      </c>
    </row>
    <row r="20374" spans="1:31">
      <c r="A20374" t="n">
        <v>197896</v>
      </c>
      <c r="B20374" s="9" t="n">
        <v>14</v>
      </c>
      <c r="C20374" s="7" t="n">
        <v>0</v>
      </c>
      <c r="D20374" s="7" t="n">
        <v>0</v>
      </c>
      <c r="E20374" s="7" t="n">
        <v>0</v>
      </c>
      <c r="F20374" s="7" t="n">
        <v>64</v>
      </c>
    </row>
    <row r="20375" spans="1:31">
      <c r="A20375" t="s">
        <v>4</v>
      </c>
      <c r="B20375" s="4" t="s">
        <v>5</v>
      </c>
      <c r="C20375" s="4" t="s">
        <v>7</v>
      </c>
      <c r="D20375" s="4" t="s">
        <v>11</v>
      </c>
    </row>
    <row r="20376" spans="1:31">
      <c r="A20376" t="n">
        <v>197901</v>
      </c>
      <c r="B20376" s="22" t="n">
        <v>22</v>
      </c>
      <c r="C20376" s="7" t="n">
        <v>0</v>
      </c>
      <c r="D20376" s="7" t="n">
        <v>33160</v>
      </c>
    </row>
    <row r="20377" spans="1:31">
      <c r="A20377" t="s">
        <v>4</v>
      </c>
      <c r="B20377" s="4" t="s">
        <v>5</v>
      </c>
      <c r="C20377" s="4" t="s">
        <v>7</v>
      </c>
      <c r="D20377" s="4" t="s">
        <v>11</v>
      </c>
    </row>
    <row r="20378" spans="1:31">
      <c r="A20378" t="n">
        <v>197905</v>
      </c>
      <c r="B20378" s="23" t="n">
        <v>58</v>
      </c>
      <c r="C20378" s="7" t="n">
        <v>5</v>
      </c>
      <c r="D20378" s="7" t="n">
        <v>300</v>
      </c>
    </row>
    <row r="20379" spans="1:31">
      <c r="A20379" t="s">
        <v>4</v>
      </c>
      <c r="B20379" s="4" t="s">
        <v>5</v>
      </c>
      <c r="C20379" s="4" t="s">
        <v>13</v>
      </c>
      <c r="D20379" s="4" t="s">
        <v>11</v>
      </c>
    </row>
    <row r="20380" spans="1:31">
      <c r="A20380" t="n">
        <v>197909</v>
      </c>
      <c r="B20380" s="46" t="n">
        <v>103</v>
      </c>
      <c r="C20380" s="7" t="n">
        <v>0</v>
      </c>
      <c r="D20380" s="7" t="n">
        <v>300</v>
      </c>
    </row>
    <row r="20381" spans="1:31">
      <c r="A20381" t="s">
        <v>4</v>
      </c>
      <c r="B20381" s="4" t="s">
        <v>5</v>
      </c>
      <c r="C20381" s="4" t="s">
        <v>7</v>
      </c>
    </row>
    <row r="20382" spans="1:31">
      <c r="A20382" t="n">
        <v>197916</v>
      </c>
      <c r="B20382" s="47" t="n">
        <v>64</v>
      </c>
      <c r="C20382" s="7" t="n">
        <v>7</v>
      </c>
    </row>
    <row r="20383" spans="1:31">
      <c r="A20383" t="s">
        <v>4</v>
      </c>
      <c r="B20383" s="4" t="s">
        <v>5</v>
      </c>
      <c r="C20383" s="4" t="s">
        <v>7</v>
      </c>
      <c r="D20383" s="4" t="s">
        <v>11</v>
      </c>
    </row>
    <row r="20384" spans="1:31">
      <c r="A20384" t="n">
        <v>197918</v>
      </c>
      <c r="B20384" s="48" t="n">
        <v>72</v>
      </c>
      <c r="C20384" s="7" t="n">
        <v>5</v>
      </c>
      <c r="D20384" s="7" t="n">
        <v>0</v>
      </c>
    </row>
    <row r="20385" spans="1:6">
      <c r="A20385" t="s">
        <v>4</v>
      </c>
      <c r="B20385" s="4" t="s">
        <v>5</v>
      </c>
      <c r="C20385" s="4" t="s">
        <v>7</v>
      </c>
      <c r="D20385" s="20" t="s">
        <v>35</v>
      </c>
      <c r="E20385" s="4" t="s">
        <v>5</v>
      </c>
      <c r="F20385" s="4" t="s">
        <v>7</v>
      </c>
      <c r="G20385" s="4" t="s">
        <v>11</v>
      </c>
      <c r="H20385" s="20" t="s">
        <v>36</v>
      </c>
      <c r="I20385" s="4" t="s">
        <v>7</v>
      </c>
      <c r="J20385" s="4" t="s">
        <v>15</v>
      </c>
      <c r="K20385" s="4" t="s">
        <v>7</v>
      </c>
      <c r="L20385" s="4" t="s">
        <v>7</v>
      </c>
      <c r="M20385" s="4" t="s">
        <v>12</v>
      </c>
    </row>
    <row r="20386" spans="1:6">
      <c r="A20386" t="n">
        <v>197922</v>
      </c>
      <c r="B20386" s="10" t="n">
        <v>5</v>
      </c>
      <c r="C20386" s="7" t="n">
        <v>28</v>
      </c>
      <c r="D20386" s="20" t="s">
        <v>3</v>
      </c>
      <c r="E20386" s="8" t="n">
        <v>162</v>
      </c>
      <c r="F20386" s="7" t="n">
        <v>4</v>
      </c>
      <c r="G20386" s="7" t="n">
        <v>33160</v>
      </c>
      <c r="H20386" s="20" t="s">
        <v>3</v>
      </c>
      <c r="I20386" s="7" t="n">
        <v>0</v>
      </c>
      <c r="J20386" s="7" t="n">
        <v>1</v>
      </c>
      <c r="K20386" s="7" t="n">
        <v>2</v>
      </c>
      <c r="L20386" s="7" t="n">
        <v>1</v>
      </c>
      <c r="M20386" s="11" t="n">
        <f t="normal" ca="1">A20392</f>
        <v>0</v>
      </c>
    </row>
    <row r="20387" spans="1:6">
      <c r="A20387" t="s">
        <v>4</v>
      </c>
      <c r="B20387" s="4" t="s">
        <v>5</v>
      </c>
      <c r="C20387" s="4" t="s">
        <v>7</v>
      </c>
      <c r="D20387" s="4" t="s">
        <v>8</v>
      </c>
    </row>
    <row r="20388" spans="1:6">
      <c r="A20388" t="n">
        <v>197939</v>
      </c>
      <c r="B20388" s="6" t="n">
        <v>2</v>
      </c>
      <c r="C20388" s="7" t="n">
        <v>10</v>
      </c>
      <c r="D20388" s="7" t="s">
        <v>107</v>
      </c>
    </row>
    <row r="20389" spans="1:6">
      <c r="A20389" t="s">
        <v>4</v>
      </c>
      <c r="B20389" s="4" t="s">
        <v>5</v>
      </c>
      <c r="C20389" s="4" t="s">
        <v>11</v>
      </c>
    </row>
    <row r="20390" spans="1:6">
      <c r="A20390" t="n">
        <v>197956</v>
      </c>
      <c r="B20390" s="29" t="n">
        <v>16</v>
      </c>
      <c r="C20390" s="7" t="n">
        <v>0</v>
      </c>
    </row>
    <row r="20391" spans="1:6">
      <c r="A20391" t="s">
        <v>4</v>
      </c>
      <c r="B20391" s="4" t="s">
        <v>5</v>
      </c>
      <c r="C20391" s="4" t="s">
        <v>11</v>
      </c>
      <c r="D20391" s="4" t="s">
        <v>7</v>
      </c>
      <c r="E20391" s="4" t="s">
        <v>7</v>
      </c>
      <c r="F20391" s="4" t="s">
        <v>8</v>
      </c>
    </row>
    <row r="20392" spans="1:6">
      <c r="A20392" t="n">
        <v>197959</v>
      </c>
      <c r="B20392" s="50" t="n">
        <v>20</v>
      </c>
      <c r="C20392" s="7" t="n">
        <v>0</v>
      </c>
      <c r="D20392" s="7" t="n">
        <v>3</v>
      </c>
      <c r="E20392" s="7" t="n">
        <v>10</v>
      </c>
      <c r="F20392" s="7" t="s">
        <v>108</v>
      </c>
    </row>
    <row r="20393" spans="1:6">
      <c r="A20393" t="s">
        <v>4</v>
      </c>
      <c r="B20393" s="4" t="s">
        <v>5</v>
      </c>
      <c r="C20393" s="4" t="s">
        <v>11</v>
      </c>
    </row>
    <row r="20394" spans="1:6">
      <c r="A20394" t="n">
        <v>197977</v>
      </c>
      <c r="B20394" s="29" t="n">
        <v>16</v>
      </c>
      <c r="C20394" s="7" t="n">
        <v>0</v>
      </c>
    </row>
    <row r="20395" spans="1:6">
      <c r="A20395" t="s">
        <v>4</v>
      </c>
      <c r="B20395" s="4" t="s">
        <v>5</v>
      </c>
      <c r="C20395" s="4" t="s">
        <v>11</v>
      </c>
      <c r="D20395" s="4" t="s">
        <v>7</v>
      </c>
      <c r="E20395" s="4" t="s">
        <v>7</v>
      </c>
      <c r="F20395" s="4" t="s">
        <v>8</v>
      </c>
    </row>
    <row r="20396" spans="1:6">
      <c r="A20396" t="n">
        <v>197980</v>
      </c>
      <c r="B20396" s="50" t="n">
        <v>20</v>
      </c>
      <c r="C20396" s="7" t="n">
        <v>9</v>
      </c>
      <c r="D20396" s="7" t="n">
        <v>3</v>
      </c>
      <c r="E20396" s="7" t="n">
        <v>10</v>
      </c>
      <c r="F20396" s="7" t="s">
        <v>108</v>
      </c>
    </row>
    <row r="20397" spans="1:6">
      <c r="A20397" t="s">
        <v>4</v>
      </c>
      <c r="B20397" s="4" t="s">
        <v>5</v>
      </c>
      <c r="C20397" s="4" t="s">
        <v>11</v>
      </c>
    </row>
    <row r="20398" spans="1:6">
      <c r="A20398" t="n">
        <v>197998</v>
      </c>
      <c r="B20398" s="29" t="n">
        <v>16</v>
      </c>
      <c r="C20398" s="7" t="n">
        <v>0</v>
      </c>
    </row>
    <row r="20399" spans="1:6">
      <c r="A20399" t="s">
        <v>4</v>
      </c>
      <c r="B20399" s="4" t="s">
        <v>5</v>
      </c>
      <c r="C20399" s="4" t="s">
        <v>7</v>
      </c>
      <c r="D20399" s="4" t="s">
        <v>11</v>
      </c>
      <c r="E20399" s="4" t="s">
        <v>7</v>
      </c>
      <c r="F20399" s="4" t="s">
        <v>8</v>
      </c>
      <c r="G20399" s="4" t="s">
        <v>8</v>
      </c>
      <c r="H20399" s="4" t="s">
        <v>8</v>
      </c>
      <c r="I20399" s="4" t="s">
        <v>8</v>
      </c>
      <c r="J20399" s="4" t="s">
        <v>8</v>
      </c>
      <c r="K20399" s="4" t="s">
        <v>8</v>
      </c>
      <c r="L20399" s="4" t="s">
        <v>8</v>
      </c>
      <c r="M20399" s="4" t="s">
        <v>8</v>
      </c>
      <c r="N20399" s="4" t="s">
        <v>8</v>
      </c>
      <c r="O20399" s="4" t="s">
        <v>8</v>
      </c>
      <c r="P20399" s="4" t="s">
        <v>8</v>
      </c>
      <c r="Q20399" s="4" t="s">
        <v>8</v>
      </c>
      <c r="R20399" s="4" t="s">
        <v>8</v>
      </c>
      <c r="S20399" s="4" t="s">
        <v>8</v>
      </c>
      <c r="T20399" s="4" t="s">
        <v>8</v>
      </c>
      <c r="U20399" s="4" t="s">
        <v>8</v>
      </c>
    </row>
    <row r="20400" spans="1:6">
      <c r="A20400" t="n">
        <v>198001</v>
      </c>
      <c r="B20400" s="40" t="n">
        <v>36</v>
      </c>
      <c r="C20400" s="7" t="n">
        <v>8</v>
      </c>
      <c r="D20400" s="7" t="n">
        <v>0</v>
      </c>
      <c r="E20400" s="7" t="n">
        <v>0</v>
      </c>
      <c r="F20400" s="7" t="s">
        <v>626</v>
      </c>
      <c r="G20400" s="7" t="s">
        <v>627</v>
      </c>
      <c r="H20400" s="7" t="s">
        <v>16</v>
      </c>
      <c r="I20400" s="7" t="s">
        <v>16</v>
      </c>
      <c r="J20400" s="7" t="s">
        <v>16</v>
      </c>
      <c r="K20400" s="7" t="s">
        <v>16</v>
      </c>
      <c r="L20400" s="7" t="s">
        <v>16</v>
      </c>
      <c r="M20400" s="7" t="s">
        <v>16</v>
      </c>
      <c r="N20400" s="7" t="s">
        <v>16</v>
      </c>
      <c r="O20400" s="7" t="s">
        <v>16</v>
      </c>
      <c r="P20400" s="7" t="s">
        <v>16</v>
      </c>
      <c r="Q20400" s="7" t="s">
        <v>16</v>
      </c>
      <c r="R20400" s="7" t="s">
        <v>16</v>
      </c>
      <c r="S20400" s="7" t="s">
        <v>16</v>
      </c>
      <c r="T20400" s="7" t="s">
        <v>16</v>
      </c>
      <c r="U20400" s="7" t="s">
        <v>16</v>
      </c>
    </row>
    <row r="20401" spans="1:21">
      <c r="A20401" t="s">
        <v>4</v>
      </c>
      <c r="B20401" s="4" t="s">
        <v>5</v>
      </c>
      <c r="C20401" s="4" t="s">
        <v>7</v>
      </c>
      <c r="D20401" s="4" t="s">
        <v>11</v>
      </c>
      <c r="E20401" s="4" t="s">
        <v>7</v>
      </c>
      <c r="F20401" s="4" t="s">
        <v>8</v>
      </c>
      <c r="G20401" s="4" t="s">
        <v>8</v>
      </c>
      <c r="H20401" s="4" t="s">
        <v>8</v>
      </c>
      <c r="I20401" s="4" t="s">
        <v>8</v>
      </c>
      <c r="J20401" s="4" t="s">
        <v>8</v>
      </c>
      <c r="K20401" s="4" t="s">
        <v>8</v>
      </c>
      <c r="L20401" s="4" t="s">
        <v>8</v>
      </c>
      <c r="M20401" s="4" t="s">
        <v>8</v>
      </c>
      <c r="N20401" s="4" t="s">
        <v>8</v>
      </c>
      <c r="O20401" s="4" t="s">
        <v>8</v>
      </c>
      <c r="P20401" s="4" t="s">
        <v>8</v>
      </c>
      <c r="Q20401" s="4" t="s">
        <v>8</v>
      </c>
      <c r="R20401" s="4" t="s">
        <v>8</v>
      </c>
      <c r="S20401" s="4" t="s">
        <v>8</v>
      </c>
      <c r="T20401" s="4" t="s">
        <v>8</v>
      </c>
      <c r="U20401" s="4" t="s">
        <v>8</v>
      </c>
    </row>
    <row r="20402" spans="1:21">
      <c r="A20402" t="n">
        <v>198040</v>
      </c>
      <c r="B20402" s="40" t="n">
        <v>36</v>
      </c>
      <c r="C20402" s="7" t="n">
        <v>8</v>
      </c>
      <c r="D20402" s="7" t="n">
        <v>9</v>
      </c>
      <c r="E20402" s="7" t="n">
        <v>0</v>
      </c>
      <c r="F20402" s="7" t="s">
        <v>1682</v>
      </c>
      <c r="G20402" s="7" t="s">
        <v>626</v>
      </c>
      <c r="H20402" s="7" t="s">
        <v>627</v>
      </c>
      <c r="I20402" s="7" t="s">
        <v>1683</v>
      </c>
      <c r="J20402" s="7" t="s">
        <v>1684</v>
      </c>
      <c r="K20402" s="7" t="s">
        <v>1685</v>
      </c>
      <c r="L20402" s="7" t="s">
        <v>16</v>
      </c>
      <c r="M20402" s="7" t="s">
        <v>16</v>
      </c>
      <c r="N20402" s="7" t="s">
        <v>16</v>
      </c>
      <c r="O20402" s="7" t="s">
        <v>16</v>
      </c>
      <c r="P20402" s="7" t="s">
        <v>16</v>
      </c>
      <c r="Q20402" s="7" t="s">
        <v>16</v>
      </c>
      <c r="R20402" s="7" t="s">
        <v>16</v>
      </c>
      <c r="S20402" s="7" t="s">
        <v>16</v>
      </c>
      <c r="T20402" s="7" t="s">
        <v>16</v>
      </c>
      <c r="U20402" s="7" t="s">
        <v>16</v>
      </c>
    </row>
    <row r="20403" spans="1:21">
      <c r="A20403" t="s">
        <v>4</v>
      </c>
      <c r="B20403" s="4" t="s">
        <v>5</v>
      </c>
      <c r="C20403" s="4" t="s">
        <v>7</v>
      </c>
    </row>
    <row r="20404" spans="1:21">
      <c r="A20404" t="n">
        <v>198138</v>
      </c>
      <c r="B20404" s="49" t="n">
        <v>116</v>
      </c>
      <c r="C20404" s="7" t="n">
        <v>0</v>
      </c>
    </row>
    <row r="20405" spans="1:21">
      <c r="A20405" t="s">
        <v>4</v>
      </c>
      <c r="B20405" s="4" t="s">
        <v>5</v>
      </c>
      <c r="C20405" s="4" t="s">
        <v>7</v>
      </c>
      <c r="D20405" s="4" t="s">
        <v>11</v>
      </c>
    </row>
    <row r="20406" spans="1:21">
      <c r="A20406" t="n">
        <v>198140</v>
      </c>
      <c r="B20406" s="49" t="n">
        <v>116</v>
      </c>
      <c r="C20406" s="7" t="n">
        <v>2</v>
      </c>
      <c r="D20406" s="7" t="n">
        <v>1</v>
      </c>
    </row>
    <row r="20407" spans="1:21">
      <c r="A20407" t="s">
        <v>4</v>
      </c>
      <c r="B20407" s="4" t="s">
        <v>5</v>
      </c>
      <c r="C20407" s="4" t="s">
        <v>7</v>
      </c>
      <c r="D20407" s="4" t="s">
        <v>15</v>
      </c>
    </row>
    <row r="20408" spans="1:21">
      <c r="A20408" t="n">
        <v>198144</v>
      </c>
      <c r="B20408" s="49" t="n">
        <v>116</v>
      </c>
      <c r="C20408" s="7" t="n">
        <v>5</v>
      </c>
      <c r="D20408" s="7" t="n">
        <v>1088421888</v>
      </c>
    </row>
    <row r="20409" spans="1:21">
      <c r="A20409" t="s">
        <v>4</v>
      </c>
      <c r="B20409" s="4" t="s">
        <v>5</v>
      </c>
      <c r="C20409" s="4" t="s">
        <v>7</v>
      </c>
      <c r="D20409" s="4" t="s">
        <v>11</v>
      </c>
    </row>
    <row r="20410" spans="1:21">
      <c r="A20410" t="n">
        <v>198150</v>
      </c>
      <c r="B20410" s="49" t="n">
        <v>116</v>
      </c>
      <c r="C20410" s="7" t="n">
        <v>6</v>
      </c>
      <c r="D20410" s="7" t="n">
        <v>1</v>
      </c>
    </row>
    <row r="20411" spans="1:21">
      <c r="A20411" t="s">
        <v>4</v>
      </c>
      <c r="B20411" s="4" t="s">
        <v>5</v>
      </c>
      <c r="C20411" s="4" t="s">
        <v>11</v>
      </c>
      <c r="D20411" s="4" t="s">
        <v>13</v>
      </c>
      <c r="E20411" s="4" t="s">
        <v>13</v>
      </c>
      <c r="F20411" s="4" t="s">
        <v>13</v>
      </c>
      <c r="G20411" s="4" t="s">
        <v>13</v>
      </c>
    </row>
    <row r="20412" spans="1:21">
      <c r="A20412" t="n">
        <v>198154</v>
      </c>
      <c r="B20412" s="36" t="n">
        <v>46</v>
      </c>
      <c r="C20412" s="7" t="n">
        <v>0</v>
      </c>
      <c r="D20412" s="7" t="n">
        <v>-18.8899993896484</v>
      </c>
      <c r="E20412" s="7" t="n">
        <v>10.0100002288818</v>
      </c>
      <c r="F20412" s="7" t="n">
        <v>30.2399997711182</v>
      </c>
      <c r="G20412" s="7" t="n">
        <v>270</v>
      </c>
    </row>
    <row r="20413" spans="1:21">
      <c r="A20413" t="s">
        <v>4</v>
      </c>
      <c r="B20413" s="4" t="s">
        <v>5</v>
      </c>
      <c r="C20413" s="4" t="s">
        <v>11</v>
      </c>
      <c r="D20413" s="4" t="s">
        <v>15</v>
      </c>
    </row>
    <row r="20414" spans="1:21">
      <c r="A20414" t="n">
        <v>198173</v>
      </c>
      <c r="B20414" s="44" t="n">
        <v>98</v>
      </c>
      <c r="C20414" s="7" t="n">
        <v>9</v>
      </c>
      <c r="D20414" s="7" t="n">
        <v>1060320051</v>
      </c>
    </row>
    <row r="20415" spans="1:21">
      <c r="A20415" t="s">
        <v>4</v>
      </c>
      <c r="B20415" s="4" t="s">
        <v>5</v>
      </c>
      <c r="C20415" s="4" t="s">
        <v>7</v>
      </c>
      <c r="D20415" s="4" t="s">
        <v>11</v>
      </c>
      <c r="E20415" s="4" t="s">
        <v>8</v>
      </c>
      <c r="F20415" s="4" t="s">
        <v>8</v>
      </c>
      <c r="G20415" s="4" t="s">
        <v>8</v>
      </c>
      <c r="H20415" s="4" t="s">
        <v>8</v>
      </c>
    </row>
    <row r="20416" spans="1:21">
      <c r="A20416" t="n">
        <v>198180</v>
      </c>
      <c r="B20416" s="38" t="n">
        <v>51</v>
      </c>
      <c r="C20416" s="7" t="n">
        <v>3</v>
      </c>
      <c r="D20416" s="7" t="n">
        <v>9</v>
      </c>
      <c r="E20416" s="7" t="s">
        <v>881</v>
      </c>
      <c r="F20416" s="7" t="s">
        <v>218</v>
      </c>
      <c r="G20416" s="7" t="s">
        <v>78</v>
      </c>
      <c r="H20416" s="7" t="s">
        <v>79</v>
      </c>
    </row>
    <row r="20417" spans="1:21">
      <c r="A20417" t="s">
        <v>4</v>
      </c>
      <c r="B20417" s="4" t="s">
        <v>5</v>
      </c>
      <c r="C20417" s="4" t="s">
        <v>11</v>
      </c>
      <c r="D20417" s="4" t="s">
        <v>7</v>
      </c>
      <c r="E20417" s="4" t="s">
        <v>8</v>
      </c>
      <c r="F20417" s="4" t="s">
        <v>13</v>
      </c>
      <c r="G20417" s="4" t="s">
        <v>13</v>
      </c>
      <c r="H20417" s="4" t="s">
        <v>13</v>
      </c>
    </row>
    <row r="20418" spans="1:21">
      <c r="A20418" t="n">
        <v>198193</v>
      </c>
      <c r="B20418" s="42" t="n">
        <v>48</v>
      </c>
      <c r="C20418" s="7" t="n">
        <v>0</v>
      </c>
      <c r="D20418" s="7" t="n">
        <v>0</v>
      </c>
      <c r="E20418" s="7" t="s">
        <v>275</v>
      </c>
      <c r="F20418" s="7" t="n">
        <v>0</v>
      </c>
      <c r="G20418" s="7" t="n">
        <v>1</v>
      </c>
      <c r="H20418" s="7" t="n">
        <v>0</v>
      </c>
    </row>
    <row r="20419" spans="1:21">
      <c r="A20419" t="s">
        <v>4</v>
      </c>
      <c r="B20419" s="4" t="s">
        <v>5</v>
      </c>
      <c r="C20419" s="4" t="s">
        <v>11</v>
      </c>
    </row>
    <row r="20420" spans="1:21">
      <c r="A20420" t="n">
        <v>198218</v>
      </c>
      <c r="B20420" s="29" t="n">
        <v>16</v>
      </c>
      <c r="C20420" s="7" t="n">
        <v>0</v>
      </c>
    </row>
    <row r="20421" spans="1:21">
      <c r="A20421" t="s">
        <v>4</v>
      </c>
      <c r="B20421" s="4" t="s">
        <v>5</v>
      </c>
      <c r="C20421" s="4" t="s">
        <v>11</v>
      </c>
      <c r="D20421" s="4" t="s">
        <v>11</v>
      </c>
      <c r="E20421" s="4" t="s">
        <v>11</v>
      </c>
    </row>
    <row r="20422" spans="1:21">
      <c r="A20422" t="n">
        <v>198221</v>
      </c>
      <c r="B20422" s="72" t="n">
        <v>61</v>
      </c>
      <c r="C20422" s="7" t="n">
        <v>0</v>
      </c>
      <c r="D20422" s="7" t="n">
        <v>9</v>
      </c>
      <c r="E20422" s="7" t="n">
        <v>0</v>
      </c>
    </row>
    <row r="20423" spans="1:21">
      <c r="A20423" t="s">
        <v>4</v>
      </c>
      <c r="B20423" s="4" t="s">
        <v>5</v>
      </c>
      <c r="C20423" s="4" t="s">
        <v>7</v>
      </c>
      <c r="D20423" s="4" t="s">
        <v>7</v>
      </c>
      <c r="E20423" s="4" t="s">
        <v>13</v>
      </c>
      <c r="F20423" s="4" t="s">
        <v>13</v>
      </c>
      <c r="G20423" s="4" t="s">
        <v>13</v>
      </c>
      <c r="H20423" s="4" t="s">
        <v>11</v>
      </c>
    </row>
    <row r="20424" spans="1:21">
      <c r="A20424" t="n">
        <v>198228</v>
      </c>
      <c r="B20424" s="51" t="n">
        <v>45</v>
      </c>
      <c r="C20424" s="7" t="n">
        <v>2</v>
      </c>
      <c r="D20424" s="7" t="n">
        <v>3</v>
      </c>
      <c r="E20424" s="7" t="n">
        <v>-19.2600002288818</v>
      </c>
      <c r="F20424" s="7" t="n">
        <v>11.4200000762939</v>
      </c>
      <c r="G20424" s="7" t="n">
        <v>30.3099994659424</v>
      </c>
      <c r="H20424" s="7" t="n">
        <v>0</v>
      </c>
    </row>
    <row r="20425" spans="1:21">
      <c r="A20425" t="s">
        <v>4</v>
      </c>
      <c r="B20425" s="4" t="s">
        <v>5</v>
      </c>
      <c r="C20425" s="4" t="s">
        <v>7</v>
      </c>
      <c r="D20425" s="4" t="s">
        <v>7</v>
      </c>
      <c r="E20425" s="4" t="s">
        <v>13</v>
      </c>
      <c r="F20425" s="4" t="s">
        <v>13</v>
      </c>
      <c r="G20425" s="4" t="s">
        <v>13</v>
      </c>
      <c r="H20425" s="4" t="s">
        <v>11</v>
      </c>
      <c r="I20425" s="4" t="s">
        <v>7</v>
      </c>
    </row>
    <row r="20426" spans="1:21">
      <c r="A20426" t="n">
        <v>198245</v>
      </c>
      <c r="B20426" s="51" t="n">
        <v>45</v>
      </c>
      <c r="C20426" s="7" t="n">
        <v>4</v>
      </c>
      <c r="D20426" s="7" t="n">
        <v>3</v>
      </c>
      <c r="E20426" s="7" t="n">
        <v>27.4099998474121</v>
      </c>
      <c r="F20426" s="7" t="n">
        <v>51.4199981689453</v>
      </c>
      <c r="G20426" s="7" t="n">
        <v>0</v>
      </c>
      <c r="H20426" s="7" t="n">
        <v>0</v>
      </c>
      <c r="I20426" s="7" t="n">
        <v>0</v>
      </c>
    </row>
    <row r="20427" spans="1:21">
      <c r="A20427" t="s">
        <v>4</v>
      </c>
      <c r="B20427" s="4" t="s">
        <v>5</v>
      </c>
      <c r="C20427" s="4" t="s">
        <v>7</v>
      </c>
      <c r="D20427" s="4" t="s">
        <v>7</v>
      </c>
      <c r="E20427" s="4" t="s">
        <v>13</v>
      </c>
      <c r="F20427" s="4" t="s">
        <v>11</v>
      </c>
    </row>
    <row r="20428" spans="1:21">
      <c r="A20428" t="n">
        <v>198263</v>
      </c>
      <c r="B20428" s="51" t="n">
        <v>45</v>
      </c>
      <c r="C20428" s="7" t="n">
        <v>5</v>
      </c>
      <c r="D20428" s="7" t="n">
        <v>3</v>
      </c>
      <c r="E20428" s="7" t="n">
        <v>1.5</v>
      </c>
      <c r="F20428" s="7" t="n">
        <v>0</v>
      </c>
    </row>
    <row r="20429" spans="1:21">
      <c r="A20429" t="s">
        <v>4</v>
      </c>
      <c r="B20429" s="4" t="s">
        <v>5</v>
      </c>
      <c r="C20429" s="4" t="s">
        <v>7</v>
      </c>
      <c r="D20429" s="4" t="s">
        <v>7</v>
      </c>
      <c r="E20429" s="4" t="s">
        <v>13</v>
      </c>
      <c r="F20429" s="4" t="s">
        <v>11</v>
      </c>
    </row>
    <row r="20430" spans="1:21">
      <c r="A20430" t="n">
        <v>198272</v>
      </c>
      <c r="B20430" s="51" t="n">
        <v>45</v>
      </c>
      <c r="C20430" s="7" t="n">
        <v>11</v>
      </c>
      <c r="D20430" s="7" t="n">
        <v>3</v>
      </c>
      <c r="E20430" s="7" t="n">
        <v>33.4000015258789</v>
      </c>
      <c r="F20430" s="7" t="n">
        <v>0</v>
      </c>
    </row>
    <row r="20431" spans="1:21">
      <c r="A20431" t="s">
        <v>4</v>
      </c>
      <c r="B20431" s="4" t="s">
        <v>5</v>
      </c>
      <c r="C20431" s="4" t="s">
        <v>7</v>
      </c>
      <c r="D20431" s="4" t="s">
        <v>7</v>
      </c>
      <c r="E20431" s="4" t="s">
        <v>13</v>
      </c>
      <c r="F20431" s="4" t="s">
        <v>11</v>
      </c>
    </row>
    <row r="20432" spans="1:21">
      <c r="A20432" t="n">
        <v>198281</v>
      </c>
      <c r="B20432" s="51" t="n">
        <v>45</v>
      </c>
      <c r="C20432" s="7" t="n">
        <v>5</v>
      </c>
      <c r="D20432" s="7" t="n">
        <v>3</v>
      </c>
      <c r="E20432" s="7" t="n">
        <v>1.29999995231628</v>
      </c>
      <c r="F20432" s="7" t="n">
        <v>3000</v>
      </c>
    </row>
    <row r="20433" spans="1:9">
      <c r="A20433" t="s">
        <v>4</v>
      </c>
      <c r="B20433" s="4" t="s">
        <v>5</v>
      </c>
      <c r="C20433" s="4" t="s">
        <v>7</v>
      </c>
      <c r="D20433" s="4" t="s">
        <v>11</v>
      </c>
      <c r="E20433" s="4" t="s">
        <v>13</v>
      </c>
    </row>
    <row r="20434" spans="1:9">
      <c r="A20434" t="n">
        <v>198290</v>
      </c>
      <c r="B20434" s="23" t="n">
        <v>58</v>
      </c>
      <c r="C20434" s="7" t="n">
        <v>100</v>
      </c>
      <c r="D20434" s="7" t="n">
        <v>1000</v>
      </c>
      <c r="E20434" s="7" t="n">
        <v>1</v>
      </c>
    </row>
    <row r="20435" spans="1:9">
      <c r="A20435" t="s">
        <v>4</v>
      </c>
      <c r="B20435" s="4" t="s">
        <v>5</v>
      </c>
      <c r="C20435" s="4" t="s">
        <v>7</v>
      </c>
      <c r="D20435" s="4" t="s">
        <v>11</v>
      </c>
    </row>
    <row r="20436" spans="1:9">
      <c r="A20436" t="n">
        <v>198298</v>
      </c>
      <c r="B20436" s="23" t="n">
        <v>58</v>
      </c>
      <c r="C20436" s="7" t="n">
        <v>255</v>
      </c>
      <c r="D20436" s="7" t="n">
        <v>0</v>
      </c>
    </row>
    <row r="20437" spans="1:9">
      <c r="A20437" t="s">
        <v>4</v>
      </c>
      <c r="B20437" s="4" t="s">
        <v>5</v>
      </c>
      <c r="C20437" s="4" t="s">
        <v>11</v>
      </c>
    </row>
    <row r="20438" spans="1:9">
      <c r="A20438" t="n">
        <v>198302</v>
      </c>
      <c r="B20438" s="29" t="n">
        <v>16</v>
      </c>
      <c r="C20438" s="7" t="n">
        <v>1000</v>
      </c>
    </row>
    <row r="20439" spans="1:9">
      <c r="A20439" t="s">
        <v>4</v>
      </c>
      <c r="B20439" s="4" t="s">
        <v>5</v>
      </c>
      <c r="C20439" s="4" t="s">
        <v>7</v>
      </c>
      <c r="D20439" s="4" t="s">
        <v>11</v>
      </c>
      <c r="E20439" s="4" t="s">
        <v>8</v>
      </c>
    </row>
    <row r="20440" spans="1:9">
      <c r="A20440" t="n">
        <v>198305</v>
      </c>
      <c r="B20440" s="38" t="n">
        <v>51</v>
      </c>
      <c r="C20440" s="7" t="n">
        <v>4</v>
      </c>
      <c r="D20440" s="7" t="n">
        <v>0</v>
      </c>
      <c r="E20440" s="7" t="s">
        <v>245</v>
      </c>
    </row>
    <row r="20441" spans="1:9">
      <c r="A20441" t="s">
        <v>4</v>
      </c>
      <c r="B20441" s="4" t="s">
        <v>5</v>
      </c>
      <c r="C20441" s="4" t="s">
        <v>11</v>
      </c>
    </row>
    <row r="20442" spans="1:9">
      <c r="A20442" t="n">
        <v>198319</v>
      </c>
      <c r="B20442" s="29" t="n">
        <v>16</v>
      </c>
      <c r="C20442" s="7" t="n">
        <v>0</v>
      </c>
    </row>
    <row r="20443" spans="1:9">
      <c r="A20443" t="s">
        <v>4</v>
      </c>
      <c r="B20443" s="4" t="s">
        <v>5</v>
      </c>
      <c r="C20443" s="4" t="s">
        <v>11</v>
      </c>
      <c r="D20443" s="4" t="s">
        <v>7</v>
      </c>
      <c r="E20443" s="4" t="s">
        <v>15</v>
      </c>
      <c r="F20443" s="4" t="s">
        <v>55</v>
      </c>
      <c r="G20443" s="4" t="s">
        <v>7</v>
      </c>
      <c r="H20443" s="4" t="s">
        <v>7</v>
      </c>
    </row>
    <row r="20444" spans="1:9">
      <c r="A20444" t="n">
        <v>198322</v>
      </c>
      <c r="B20444" s="55" t="n">
        <v>26</v>
      </c>
      <c r="C20444" s="7" t="n">
        <v>0</v>
      </c>
      <c r="D20444" s="7" t="n">
        <v>17</v>
      </c>
      <c r="E20444" s="7" t="n">
        <v>64689</v>
      </c>
      <c r="F20444" s="7" t="s">
        <v>1686</v>
      </c>
      <c r="G20444" s="7" t="n">
        <v>2</v>
      </c>
      <c r="H20444" s="7" t="n">
        <v>0</v>
      </c>
    </row>
    <row r="20445" spans="1:9">
      <c r="A20445" t="s">
        <v>4</v>
      </c>
      <c r="B20445" s="4" t="s">
        <v>5</v>
      </c>
    </row>
    <row r="20446" spans="1:9">
      <c r="A20446" t="n">
        <v>198357</v>
      </c>
      <c r="B20446" s="27" t="n">
        <v>28</v>
      </c>
    </row>
    <row r="20447" spans="1:9">
      <c r="A20447" t="s">
        <v>4</v>
      </c>
      <c r="B20447" s="4" t="s">
        <v>5</v>
      </c>
      <c r="C20447" s="4" t="s">
        <v>11</v>
      </c>
      <c r="D20447" s="4" t="s">
        <v>7</v>
      </c>
    </row>
    <row r="20448" spans="1:9">
      <c r="A20448" t="n">
        <v>198358</v>
      </c>
      <c r="B20448" s="68" t="n">
        <v>89</v>
      </c>
      <c r="C20448" s="7" t="n">
        <v>65533</v>
      </c>
      <c r="D20448" s="7" t="n">
        <v>1</v>
      </c>
    </row>
    <row r="20449" spans="1:8">
      <c r="A20449" t="s">
        <v>4</v>
      </c>
      <c r="B20449" s="4" t="s">
        <v>5</v>
      </c>
      <c r="C20449" s="4" t="s">
        <v>7</v>
      </c>
      <c r="D20449" s="4" t="s">
        <v>11</v>
      </c>
      <c r="E20449" s="4" t="s">
        <v>11</v>
      </c>
      <c r="F20449" s="4" t="s">
        <v>7</v>
      </c>
    </row>
    <row r="20450" spans="1:8">
      <c r="A20450" t="n">
        <v>198362</v>
      </c>
      <c r="B20450" s="31" t="n">
        <v>25</v>
      </c>
      <c r="C20450" s="7" t="n">
        <v>1</v>
      </c>
      <c r="D20450" s="7" t="n">
        <v>65535</v>
      </c>
      <c r="E20450" s="7" t="n">
        <v>65535</v>
      </c>
      <c r="F20450" s="7" t="n">
        <v>0</v>
      </c>
    </row>
    <row r="20451" spans="1:8">
      <c r="A20451" t="s">
        <v>4</v>
      </c>
      <c r="B20451" s="4" t="s">
        <v>5</v>
      </c>
      <c r="C20451" s="4" t="s">
        <v>7</v>
      </c>
      <c r="D20451" s="4" t="s">
        <v>11</v>
      </c>
      <c r="E20451" s="4" t="s">
        <v>8</v>
      </c>
      <c r="F20451" s="4" t="s">
        <v>8</v>
      </c>
      <c r="G20451" s="4" t="s">
        <v>8</v>
      </c>
      <c r="H20451" s="4" t="s">
        <v>8</v>
      </c>
    </row>
    <row r="20452" spans="1:8">
      <c r="A20452" t="n">
        <v>198369</v>
      </c>
      <c r="B20452" s="38" t="n">
        <v>51</v>
      </c>
      <c r="C20452" s="7" t="n">
        <v>3</v>
      </c>
      <c r="D20452" s="7" t="n">
        <v>9</v>
      </c>
      <c r="E20452" s="7" t="s">
        <v>154</v>
      </c>
      <c r="F20452" s="7" t="s">
        <v>155</v>
      </c>
      <c r="G20452" s="7" t="s">
        <v>78</v>
      </c>
      <c r="H20452" s="7" t="s">
        <v>79</v>
      </c>
    </row>
    <row r="20453" spans="1:8">
      <c r="A20453" t="s">
        <v>4</v>
      </c>
      <c r="B20453" s="4" t="s">
        <v>5</v>
      </c>
      <c r="C20453" s="4" t="s">
        <v>11</v>
      </c>
      <c r="D20453" s="4" t="s">
        <v>7</v>
      </c>
      <c r="E20453" s="4" t="s">
        <v>13</v>
      </c>
      <c r="F20453" s="4" t="s">
        <v>11</v>
      </c>
    </row>
    <row r="20454" spans="1:8">
      <c r="A20454" t="n">
        <v>198382</v>
      </c>
      <c r="B20454" s="56" t="n">
        <v>59</v>
      </c>
      <c r="C20454" s="7" t="n">
        <v>9</v>
      </c>
      <c r="D20454" s="7" t="n">
        <v>13</v>
      </c>
      <c r="E20454" s="7" t="n">
        <v>0.150000005960464</v>
      </c>
      <c r="F20454" s="7" t="n">
        <v>0</v>
      </c>
    </row>
    <row r="20455" spans="1:8">
      <c r="A20455" t="s">
        <v>4</v>
      </c>
      <c r="B20455" s="4" t="s">
        <v>5</v>
      </c>
      <c r="C20455" s="4" t="s">
        <v>11</v>
      </c>
    </row>
    <row r="20456" spans="1:8">
      <c r="A20456" t="n">
        <v>198392</v>
      </c>
      <c r="B20456" s="29" t="n">
        <v>16</v>
      </c>
      <c r="C20456" s="7" t="n">
        <v>1000</v>
      </c>
    </row>
    <row r="20457" spans="1:8">
      <c r="A20457" t="s">
        <v>4</v>
      </c>
      <c r="B20457" s="4" t="s">
        <v>5</v>
      </c>
      <c r="C20457" s="4" t="s">
        <v>11</v>
      </c>
      <c r="D20457" s="4" t="s">
        <v>11</v>
      </c>
      <c r="E20457" s="4" t="s">
        <v>11</v>
      </c>
    </row>
    <row r="20458" spans="1:8">
      <c r="A20458" t="n">
        <v>198395</v>
      </c>
      <c r="B20458" s="72" t="n">
        <v>61</v>
      </c>
      <c r="C20458" s="7" t="n">
        <v>9</v>
      </c>
      <c r="D20458" s="7" t="n">
        <v>0</v>
      </c>
      <c r="E20458" s="7" t="n">
        <v>1000</v>
      </c>
    </row>
    <row r="20459" spans="1:8">
      <c r="A20459" t="s">
        <v>4</v>
      </c>
      <c r="B20459" s="4" t="s">
        <v>5</v>
      </c>
      <c r="C20459" s="4" t="s">
        <v>7</v>
      </c>
      <c r="D20459" s="4" t="s">
        <v>11</v>
      </c>
      <c r="E20459" s="4" t="s">
        <v>8</v>
      </c>
    </row>
    <row r="20460" spans="1:8">
      <c r="A20460" t="n">
        <v>198402</v>
      </c>
      <c r="B20460" s="38" t="n">
        <v>51</v>
      </c>
      <c r="C20460" s="7" t="n">
        <v>4</v>
      </c>
      <c r="D20460" s="7" t="n">
        <v>9</v>
      </c>
      <c r="E20460" s="7" t="s">
        <v>137</v>
      </c>
    </row>
    <row r="20461" spans="1:8">
      <c r="A20461" t="s">
        <v>4</v>
      </c>
      <c r="B20461" s="4" t="s">
        <v>5</v>
      </c>
      <c r="C20461" s="4" t="s">
        <v>11</v>
      </c>
    </row>
    <row r="20462" spans="1:8">
      <c r="A20462" t="n">
        <v>198415</v>
      </c>
      <c r="B20462" s="29" t="n">
        <v>16</v>
      </c>
      <c r="C20462" s="7" t="n">
        <v>0</v>
      </c>
    </row>
    <row r="20463" spans="1:8">
      <c r="A20463" t="s">
        <v>4</v>
      </c>
      <c r="B20463" s="4" t="s">
        <v>5</v>
      </c>
      <c r="C20463" s="4" t="s">
        <v>11</v>
      </c>
      <c r="D20463" s="4" t="s">
        <v>7</v>
      </c>
      <c r="E20463" s="4" t="s">
        <v>15</v>
      </c>
      <c r="F20463" s="4" t="s">
        <v>55</v>
      </c>
      <c r="G20463" s="4" t="s">
        <v>7</v>
      </c>
      <c r="H20463" s="4" t="s">
        <v>7</v>
      </c>
    </row>
    <row r="20464" spans="1:8">
      <c r="A20464" t="n">
        <v>198418</v>
      </c>
      <c r="B20464" s="55" t="n">
        <v>26</v>
      </c>
      <c r="C20464" s="7" t="n">
        <v>9</v>
      </c>
      <c r="D20464" s="7" t="n">
        <v>17</v>
      </c>
      <c r="E20464" s="7" t="n">
        <v>64690</v>
      </c>
      <c r="F20464" s="7" t="s">
        <v>1687</v>
      </c>
      <c r="G20464" s="7" t="n">
        <v>2</v>
      </c>
      <c r="H20464" s="7" t="n">
        <v>0</v>
      </c>
    </row>
    <row r="20465" spans="1:8">
      <c r="A20465" t="s">
        <v>4</v>
      </c>
      <c r="B20465" s="4" t="s">
        <v>5</v>
      </c>
    </row>
    <row r="20466" spans="1:8">
      <c r="A20466" t="n">
        <v>198442</v>
      </c>
      <c r="B20466" s="27" t="n">
        <v>28</v>
      </c>
    </row>
    <row r="20467" spans="1:8">
      <c r="A20467" t="s">
        <v>4</v>
      </c>
      <c r="B20467" s="4" t="s">
        <v>5</v>
      </c>
      <c r="C20467" s="4" t="s">
        <v>11</v>
      </c>
      <c r="D20467" s="4" t="s">
        <v>8</v>
      </c>
      <c r="E20467" s="4" t="s">
        <v>7</v>
      </c>
      <c r="F20467" s="4" t="s">
        <v>7</v>
      </c>
      <c r="G20467" s="4" t="s">
        <v>7</v>
      </c>
      <c r="H20467" s="4" t="s">
        <v>7</v>
      </c>
      <c r="I20467" s="4" t="s">
        <v>7</v>
      </c>
      <c r="J20467" s="4" t="s">
        <v>13</v>
      </c>
      <c r="K20467" s="4" t="s">
        <v>13</v>
      </c>
      <c r="L20467" s="4" t="s">
        <v>13</v>
      </c>
      <c r="M20467" s="4" t="s">
        <v>13</v>
      </c>
      <c r="N20467" s="4" t="s">
        <v>7</v>
      </c>
    </row>
    <row r="20468" spans="1:8">
      <c r="A20468" t="n">
        <v>198443</v>
      </c>
      <c r="B20468" s="82" t="n">
        <v>34</v>
      </c>
      <c r="C20468" s="7" t="n">
        <v>9</v>
      </c>
      <c r="D20468" s="7" t="s">
        <v>1688</v>
      </c>
      <c r="E20468" s="7" t="n">
        <v>1</v>
      </c>
      <c r="F20468" s="7" t="n">
        <v>1</v>
      </c>
      <c r="G20468" s="7" t="n">
        <v>0</v>
      </c>
      <c r="H20468" s="7" t="n">
        <v>0</v>
      </c>
      <c r="I20468" s="7" t="n">
        <v>1</v>
      </c>
      <c r="J20468" s="7" t="n">
        <v>1</v>
      </c>
      <c r="K20468" s="7" t="n">
        <v>-0.0333333350718021</v>
      </c>
      <c r="L20468" s="7" t="n">
        <v>-0.0333333350718021</v>
      </c>
      <c r="M20468" s="7" t="n">
        <v>-0.0333333350718021</v>
      </c>
      <c r="N20468" s="7" t="n">
        <v>0</v>
      </c>
    </row>
    <row r="20469" spans="1:8">
      <c r="A20469" t="s">
        <v>4</v>
      </c>
      <c r="B20469" s="4" t="s">
        <v>5</v>
      </c>
      <c r="C20469" s="4" t="s">
        <v>11</v>
      </c>
      <c r="D20469" s="4" t="s">
        <v>15</v>
      </c>
    </row>
    <row r="20470" spans="1:8">
      <c r="A20470" t="n">
        <v>198477</v>
      </c>
      <c r="B20470" s="44" t="n">
        <v>98</v>
      </c>
      <c r="C20470" s="7" t="n">
        <v>9</v>
      </c>
      <c r="D20470" s="7" t="n">
        <v>1065353216</v>
      </c>
    </row>
    <row r="20471" spans="1:8">
      <c r="A20471" t="s">
        <v>4</v>
      </c>
      <c r="B20471" s="4" t="s">
        <v>5</v>
      </c>
      <c r="C20471" s="4" t="s">
        <v>7</v>
      </c>
      <c r="D20471" s="4" t="s">
        <v>11</v>
      </c>
      <c r="E20471" s="4" t="s">
        <v>8</v>
      </c>
    </row>
    <row r="20472" spans="1:8">
      <c r="A20472" t="n">
        <v>198484</v>
      </c>
      <c r="B20472" s="38" t="n">
        <v>51</v>
      </c>
      <c r="C20472" s="7" t="n">
        <v>4</v>
      </c>
      <c r="D20472" s="7" t="n">
        <v>9</v>
      </c>
      <c r="E20472" s="7" t="s">
        <v>658</v>
      </c>
    </row>
    <row r="20473" spans="1:8">
      <c r="A20473" t="s">
        <v>4</v>
      </c>
      <c r="B20473" s="4" t="s">
        <v>5</v>
      </c>
      <c r="C20473" s="4" t="s">
        <v>11</v>
      </c>
    </row>
    <row r="20474" spans="1:8">
      <c r="A20474" t="n">
        <v>198498</v>
      </c>
      <c r="B20474" s="29" t="n">
        <v>16</v>
      </c>
      <c r="C20474" s="7" t="n">
        <v>0</v>
      </c>
    </row>
    <row r="20475" spans="1:8">
      <c r="A20475" t="s">
        <v>4</v>
      </c>
      <c r="B20475" s="4" t="s">
        <v>5</v>
      </c>
      <c r="C20475" s="4" t="s">
        <v>11</v>
      </c>
      <c r="D20475" s="4" t="s">
        <v>7</v>
      </c>
      <c r="E20475" s="4" t="s">
        <v>15</v>
      </c>
      <c r="F20475" s="4" t="s">
        <v>55</v>
      </c>
      <c r="G20475" s="4" t="s">
        <v>7</v>
      </c>
      <c r="H20475" s="4" t="s">
        <v>7</v>
      </c>
    </row>
    <row r="20476" spans="1:8">
      <c r="A20476" t="n">
        <v>198501</v>
      </c>
      <c r="B20476" s="55" t="n">
        <v>26</v>
      </c>
      <c r="C20476" s="7" t="n">
        <v>9</v>
      </c>
      <c r="D20476" s="7" t="n">
        <v>17</v>
      </c>
      <c r="E20476" s="7" t="n">
        <v>64691</v>
      </c>
      <c r="F20476" s="7" t="s">
        <v>1689</v>
      </c>
      <c r="G20476" s="7" t="n">
        <v>2</v>
      </c>
      <c r="H20476" s="7" t="n">
        <v>0</v>
      </c>
    </row>
    <row r="20477" spans="1:8">
      <c r="A20477" t="s">
        <v>4</v>
      </c>
      <c r="B20477" s="4" t="s">
        <v>5</v>
      </c>
    </row>
    <row r="20478" spans="1:8">
      <c r="A20478" t="n">
        <v>198550</v>
      </c>
      <c r="B20478" s="27" t="n">
        <v>28</v>
      </c>
    </row>
    <row r="20479" spans="1:8">
      <c r="A20479" t="s">
        <v>4</v>
      </c>
      <c r="B20479" s="4" t="s">
        <v>5</v>
      </c>
      <c r="C20479" s="4" t="s">
        <v>7</v>
      </c>
      <c r="D20479" s="4" t="s">
        <v>11</v>
      </c>
      <c r="E20479" s="4" t="s">
        <v>8</v>
      </c>
    </row>
    <row r="20480" spans="1:8">
      <c r="A20480" t="n">
        <v>198551</v>
      </c>
      <c r="B20480" s="38" t="n">
        <v>51</v>
      </c>
      <c r="C20480" s="7" t="n">
        <v>4</v>
      </c>
      <c r="D20480" s="7" t="n">
        <v>0</v>
      </c>
      <c r="E20480" s="7" t="s">
        <v>137</v>
      </c>
    </row>
    <row r="20481" spans="1:14">
      <c r="A20481" t="s">
        <v>4</v>
      </c>
      <c r="B20481" s="4" t="s">
        <v>5</v>
      </c>
      <c r="C20481" s="4" t="s">
        <v>11</v>
      </c>
    </row>
    <row r="20482" spans="1:14">
      <c r="A20482" t="n">
        <v>198564</v>
      </c>
      <c r="B20482" s="29" t="n">
        <v>16</v>
      </c>
      <c r="C20482" s="7" t="n">
        <v>0</v>
      </c>
    </row>
    <row r="20483" spans="1:14">
      <c r="A20483" t="s">
        <v>4</v>
      </c>
      <c r="B20483" s="4" t="s">
        <v>5</v>
      </c>
      <c r="C20483" s="4" t="s">
        <v>11</v>
      </c>
      <c r="D20483" s="4" t="s">
        <v>7</v>
      </c>
      <c r="E20483" s="4" t="s">
        <v>15</v>
      </c>
      <c r="F20483" s="4" t="s">
        <v>55</v>
      </c>
      <c r="G20483" s="4" t="s">
        <v>7</v>
      </c>
      <c r="H20483" s="4" t="s">
        <v>7</v>
      </c>
    </row>
    <row r="20484" spans="1:14">
      <c r="A20484" t="n">
        <v>198567</v>
      </c>
      <c r="B20484" s="55" t="n">
        <v>26</v>
      </c>
      <c r="C20484" s="7" t="n">
        <v>0</v>
      </c>
      <c r="D20484" s="7" t="n">
        <v>17</v>
      </c>
      <c r="E20484" s="7" t="n">
        <v>64692</v>
      </c>
      <c r="F20484" s="7" t="s">
        <v>1690</v>
      </c>
      <c r="G20484" s="7" t="n">
        <v>2</v>
      </c>
      <c r="H20484" s="7" t="n">
        <v>0</v>
      </c>
    </row>
    <row r="20485" spans="1:14">
      <c r="A20485" t="s">
        <v>4</v>
      </c>
      <c r="B20485" s="4" t="s">
        <v>5</v>
      </c>
    </row>
    <row r="20486" spans="1:14">
      <c r="A20486" t="n">
        <v>198588</v>
      </c>
      <c r="B20486" s="27" t="n">
        <v>28</v>
      </c>
    </row>
    <row r="20487" spans="1:14">
      <c r="A20487" t="s">
        <v>4</v>
      </c>
      <c r="B20487" s="4" t="s">
        <v>5</v>
      </c>
      <c r="C20487" s="4" t="s">
        <v>7</v>
      </c>
      <c r="D20487" s="4" t="s">
        <v>11</v>
      </c>
      <c r="E20487" s="4" t="s">
        <v>11</v>
      </c>
      <c r="F20487" s="4" t="s">
        <v>7</v>
      </c>
    </row>
    <row r="20488" spans="1:14">
      <c r="A20488" t="n">
        <v>198589</v>
      </c>
      <c r="B20488" s="31" t="n">
        <v>25</v>
      </c>
      <c r="C20488" s="7" t="n">
        <v>1</v>
      </c>
      <c r="D20488" s="7" t="n">
        <v>65535</v>
      </c>
      <c r="E20488" s="7" t="n">
        <v>65535</v>
      </c>
      <c r="F20488" s="7" t="n">
        <v>0</v>
      </c>
    </row>
    <row r="20489" spans="1:14">
      <c r="A20489" t="s">
        <v>4</v>
      </c>
      <c r="B20489" s="4" t="s">
        <v>5</v>
      </c>
      <c r="C20489" s="4" t="s">
        <v>7</v>
      </c>
      <c r="D20489" s="4" t="s">
        <v>11</v>
      </c>
      <c r="E20489" s="4" t="s">
        <v>8</v>
      </c>
    </row>
    <row r="20490" spans="1:14">
      <c r="A20490" t="n">
        <v>198596</v>
      </c>
      <c r="B20490" s="38" t="n">
        <v>51</v>
      </c>
      <c r="C20490" s="7" t="n">
        <v>4</v>
      </c>
      <c r="D20490" s="7" t="n">
        <v>9</v>
      </c>
      <c r="E20490" s="7" t="s">
        <v>219</v>
      </c>
    </row>
    <row r="20491" spans="1:14">
      <c r="A20491" t="s">
        <v>4</v>
      </c>
      <c r="B20491" s="4" t="s">
        <v>5</v>
      </c>
      <c r="C20491" s="4" t="s">
        <v>11</v>
      </c>
    </row>
    <row r="20492" spans="1:14">
      <c r="A20492" t="n">
        <v>198609</v>
      </c>
      <c r="B20492" s="29" t="n">
        <v>16</v>
      </c>
      <c r="C20492" s="7" t="n">
        <v>0</v>
      </c>
    </row>
    <row r="20493" spans="1:14">
      <c r="A20493" t="s">
        <v>4</v>
      </c>
      <c r="B20493" s="4" t="s">
        <v>5</v>
      </c>
      <c r="C20493" s="4" t="s">
        <v>11</v>
      </c>
      <c r="D20493" s="4" t="s">
        <v>7</v>
      </c>
      <c r="E20493" s="4" t="s">
        <v>15</v>
      </c>
      <c r="F20493" s="4" t="s">
        <v>55</v>
      </c>
      <c r="G20493" s="4" t="s">
        <v>7</v>
      </c>
      <c r="H20493" s="4" t="s">
        <v>7</v>
      </c>
      <c r="I20493" s="4" t="s">
        <v>7</v>
      </c>
      <c r="J20493" s="4" t="s">
        <v>15</v>
      </c>
      <c r="K20493" s="4" t="s">
        <v>55</v>
      </c>
      <c r="L20493" s="4" t="s">
        <v>7</v>
      </c>
      <c r="M20493" s="4" t="s">
        <v>7</v>
      </c>
    </row>
    <row r="20494" spans="1:14">
      <c r="A20494" t="n">
        <v>198612</v>
      </c>
      <c r="B20494" s="55" t="n">
        <v>26</v>
      </c>
      <c r="C20494" s="7" t="n">
        <v>9</v>
      </c>
      <c r="D20494" s="7" t="n">
        <v>17</v>
      </c>
      <c r="E20494" s="7" t="n">
        <v>64693</v>
      </c>
      <c r="F20494" s="7" t="s">
        <v>1691</v>
      </c>
      <c r="G20494" s="7" t="n">
        <v>2</v>
      </c>
      <c r="H20494" s="7" t="n">
        <v>3</v>
      </c>
      <c r="I20494" s="7" t="n">
        <v>17</v>
      </c>
      <c r="J20494" s="7" t="n">
        <v>64694</v>
      </c>
      <c r="K20494" s="7" t="s">
        <v>1692</v>
      </c>
      <c r="L20494" s="7" t="n">
        <v>2</v>
      </c>
      <c r="M20494" s="7" t="n">
        <v>0</v>
      </c>
    </row>
    <row r="20495" spans="1:14">
      <c r="A20495" t="s">
        <v>4</v>
      </c>
      <c r="B20495" s="4" t="s">
        <v>5</v>
      </c>
    </row>
    <row r="20496" spans="1:14">
      <c r="A20496" t="n">
        <v>198787</v>
      </c>
      <c r="B20496" s="27" t="n">
        <v>28</v>
      </c>
    </row>
    <row r="20497" spans="1:13">
      <c r="A20497" t="s">
        <v>4</v>
      </c>
      <c r="B20497" s="4" t="s">
        <v>5</v>
      </c>
      <c r="C20497" s="4" t="s">
        <v>11</v>
      </c>
      <c r="D20497" s="4" t="s">
        <v>7</v>
      </c>
      <c r="E20497" s="4" t="s">
        <v>8</v>
      </c>
      <c r="F20497" s="4" t="s">
        <v>13</v>
      </c>
      <c r="G20497" s="4" t="s">
        <v>13</v>
      </c>
      <c r="H20497" s="4" t="s">
        <v>13</v>
      </c>
    </row>
    <row r="20498" spans="1:13">
      <c r="A20498" t="n">
        <v>198788</v>
      </c>
      <c r="B20498" s="42" t="n">
        <v>48</v>
      </c>
      <c r="C20498" s="7" t="n">
        <v>9</v>
      </c>
      <c r="D20498" s="7" t="n">
        <v>0</v>
      </c>
      <c r="E20498" s="7" t="s">
        <v>1684</v>
      </c>
      <c r="F20498" s="7" t="n">
        <v>-1</v>
      </c>
      <c r="G20498" s="7" t="n">
        <v>1</v>
      </c>
      <c r="H20498" s="7" t="n">
        <v>0</v>
      </c>
    </row>
    <row r="20499" spans="1:13">
      <c r="A20499" t="s">
        <v>4</v>
      </c>
      <c r="B20499" s="4" t="s">
        <v>5</v>
      </c>
      <c r="C20499" s="4" t="s">
        <v>11</v>
      </c>
    </row>
    <row r="20500" spans="1:13">
      <c r="A20500" t="n">
        <v>198823</v>
      </c>
      <c r="B20500" s="29" t="n">
        <v>16</v>
      </c>
      <c r="C20500" s="7" t="n">
        <v>1000</v>
      </c>
    </row>
    <row r="20501" spans="1:13">
      <c r="A20501" t="s">
        <v>4</v>
      </c>
      <c r="B20501" s="4" t="s">
        <v>5</v>
      </c>
      <c r="C20501" s="4" t="s">
        <v>7</v>
      </c>
      <c r="D20501" s="4" t="s">
        <v>11</v>
      </c>
      <c r="E20501" s="4" t="s">
        <v>8</v>
      </c>
    </row>
    <row r="20502" spans="1:13">
      <c r="A20502" t="n">
        <v>198826</v>
      </c>
      <c r="B20502" s="38" t="n">
        <v>51</v>
      </c>
      <c r="C20502" s="7" t="n">
        <v>4</v>
      </c>
      <c r="D20502" s="7" t="n">
        <v>9</v>
      </c>
      <c r="E20502" s="7" t="s">
        <v>658</v>
      </c>
    </row>
    <row r="20503" spans="1:13">
      <c r="A20503" t="s">
        <v>4</v>
      </c>
      <c r="B20503" s="4" t="s">
        <v>5</v>
      </c>
      <c r="C20503" s="4" t="s">
        <v>11</v>
      </c>
    </row>
    <row r="20504" spans="1:13">
      <c r="A20504" t="n">
        <v>198840</v>
      </c>
      <c r="B20504" s="29" t="n">
        <v>16</v>
      </c>
      <c r="C20504" s="7" t="n">
        <v>0</v>
      </c>
    </row>
    <row r="20505" spans="1:13">
      <c r="A20505" t="s">
        <v>4</v>
      </c>
      <c r="B20505" s="4" t="s">
        <v>5</v>
      </c>
      <c r="C20505" s="4" t="s">
        <v>11</v>
      </c>
      <c r="D20505" s="4" t="s">
        <v>7</v>
      </c>
      <c r="E20505" s="4" t="s">
        <v>15</v>
      </c>
      <c r="F20505" s="4" t="s">
        <v>55</v>
      </c>
      <c r="G20505" s="4" t="s">
        <v>7</v>
      </c>
      <c r="H20505" s="4" t="s">
        <v>7</v>
      </c>
    </row>
    <row r="20506" spans="1:13">
      <c r="A20506" t="n">
        <v>198843</v>
      </c>
      <c r="B20506" s="55" t="n">
        <v>26</v>
      </c>
      <c r="C20506" s="7" t="n">
        <v>9</v>
      </c>
      <c r="D20506" s="7" t="n">
        <v>17</v>
      </c>
      <c r="E20506" s="7" t="n">
        <v>64695</v>
      </c>
      <c r="F20506" s="7" t="s">
        <v>1693</v>
      </c>
      <c r="G20506" s="7" t="n">
        <v>2</v>
      </c>
      <c r="H20506" s="7" t="n">
        <v>0</v>
      </c>
    </row>
    <row r="20507" spans="1:13">
      <c r="A20507" t="s">
        <v>4</v>
      </c>
      <c r="B20507" s="4" t="s">
        <v>5</v>
      </c>
    </row>
    <row r="20508" spans="1:13">
      <c r="A20508" t="n">
        <v>198959</v>
      </c>
      <c r="B20508" s="27" t="n">
        <v>28</v>
      </c>
    </row>
    <row r="20509" spans="1:13">
      <c r="A20509" t="s">
        <v>4</v>
      </c>
      <c r="B20509" s="4" t="s">
        <v>5</v>
      </c>
      <c r="C20509" s="4" t="s">
        <v>7</v>
      </c>
      <c r="D20509" s="4" t="s">
        <v>11</v>
      </c>
      <c r="E20509" s="4" t="s">
        <v>8</v>
      </c>
    </row>
    <row r="20510" spans="1:13">
      <c r="A20510" t="n">
        <v>198960</v>
      </c>
      <c r="B20510" s="38" t="n">
        <v>51</v>
      </c>
      <c r="C20510" s="7" t="n">
        <v>4</v>
      </c>
      <c r="D20510" s="7" t="n">
        <v>0</v>
      </c>
      <c r="E20510" s="7" t="s">
        <v>242</v>
      </c>
    </row>
    <row r="20511" spans="1:13">
      <c r="A20511" t="s">
        <v>4</v>
      </c>
      <c r="B20511" s="4" t="s">
        <v>5</v>
      </c>
      <c r="C20511" s="4" t="s">
        <v>11</v>
      </c>
    </row>
    <row r="20512" spans="1:13">
      <c r="A20512" t="n">
        <v>198974</v>
      </c>
      <c r="B20512" s="29" t="n">
        <v>16</v>
      </c>
      <c r="C20512" s="7" t="n">
        <v>0</v>
      </c>
    </row>
    <row r="20513" spans="1:8">
      <c r="A20513" t="s">
        <v>4</v>
      </c>
      <c r="B20513" s="4" t="s">
        <v>5</v>
      </c>
      <c r="C20513" s="4" t="s">
        <v>11</v>
      </c>
      <c r="D20513" s="4" t="s">
        <v>7</v>
      </c>
      <c r="E20513" s="4" t="s">
        <v>15</v>
      </c>
      <c r="F20513" s="4" t="s">
        <v>55</v>
      </c>
      <c r="G20513" s="4" t="s">
        <v>7</v>
      </c>
      <c r="H20513" s="4" t="s">
        <v>7</v>
      </c>
      <c r="I20513" s="4" t="s">
        <v>7</v>
      </c>
      <c r="J20513" s="4" t="s">
        <v>15</v>
      </c>
      <c r="K20513" s="4" t="s">
        <v>55</v>
      </c>
      <c r="L20513" s="4" t="s">
        <v>7</v>
      </c>
      <c r="M20513" s="4" t="s">
        <v>7</v>
      </c>
      <c r="N20513" s="4" t="s">
        <v>7</v>
      </c>
      <c r="O20513" s="4" t="s">
        <v>15</v>
      </c>
      <c r="P20513" s="4" t="s">
        <v>55</v>
      </c>
      <c r="Q20513" s="4" t="s">
        <v>7</v>
      </c>
      <c r="R20513" s="4" t="s">
        <v>7</v>
      </c>
    </row>
    <row r="20514" spans="1:8">
      <c r="A20514" t="n">
        <v>198977</v>
      </c>
      <c r="B20514" s="55" t="n">
        <v>26</v>
      </c>
      <c r="C20514" s="7" t="n">
        <v>0</v>
      </c>
      <c r="D20514" s="7" t="n">
        <v>17</v>
      </c>
      <c r="E20514" s="7" t="n">
        <v>64696</v>
      </c>
      <c r="F20514" s="7" t="s">
        <v>1694</v>
      </c>
      <c r="G20514" s="7" t="n">
        <v>2</v>
      </c>
      <c r="H20514" s="7" t="n">
        <v>3</v>
      </c>
      <c r="I20514" s="7" t="n">
        <v>17</v>
      </c>
      <c r="J20514" s="7" t="n">
        <v>64697</v>
      </c>
      <c r="K20514" s="7" t="s">
        <v>1695</v>
      </c>
      <c r="L20514" s="7" t="n">
        <v>2</v>
      </c>
      <c r="M20514" s="7" t="n">
        <v>3</v>
      </c>
      <c r="N20514" s="7" t="n">
        <v>17</v>
      </c>
      <c r="O20514" s="7" t="n">
        <v>64698</v>
      </c>
      <c r="P20514" s="7" t="s">
        <v>1696</v>
      </c>
      <c r="Q20514" s="7" t="n">
        <v>2</v>
      </c>
      <c r="R20514" s="7" t="n">
        <v>0</v>
      </c>
    </row>
    <row r="20515" spans="1:8">
      <c r="A20515" t="s">
        <v>4</v>
      </c>
      <c r="B20515" s="4" t="s">
        <v>5</v>
      </c>
    </row>
    <row r="20516" spans="1:8">
      <c r="A20516" t="n">
        <v>199158</v>
      </c>
      <c r="B20516" s="27" t="n">
        <v>28</v>
      </c>
    </row>
    <row r="20517" spans="1:8">
      <c r="A20517" t="s">
        <v>4</v>
      </c>
      <c r="B20517" s="4" t="s">
        <v>5</v>
      </c>
      <c r="C20517" s="4" t="s">
        <v>7</v>
      </c>
      <c r="D20517" s="4" t="s">
        <v>11</v>
      </c>
      <c r="E20517" s="4" t="s">
        <v>11</v>
      </c>
      <c r="F20517" s="4" t="s">
        <v>7</v>
      </c>
    </row>
    <row r="20518" spans="1:8">
      <c r="A20518" t="n">
        <v>199159</v>
      </c>
      <c r="B20518" s="31" t="n">
        <v>25</v>
      </c>
      <c r="C20518" s="7" t="n">
        <v>1</v>
      </c>
      <c r="D20518" s="7" t="n">
        <v>65535</v>
      </c>
      <c r="E20518" s="7" t="n">
        <v>65535</v>
      </c>
      <c r="F20518" s="7" t="n">
        <v>0</v>
      </c>
    </row>
    <row r="20519" spans="1:8">
      <c r="A20519" t="s">
        <v>4</v>
      </c>
      <c r="B20519" s="4" t="s">
        <v>5</v>
      </c>
      <c r="C20519" s="4" t="s">
        <v>7</v>
      </c>
      <c r="D20519" s="4" t="s">
        <v>11</v>
      </c>
      <c r="E20519" s="4" t="s">
        <v>8</v>
      </c>
    </row>
    <row r="20520" spans="1:8">
      <c r="A20520" t="n">
        <v>199166</v>
      </c>
      <c r="B20520" s="38" t="n">
        <v>51</v>
      </c>
      <c r="C20520" s="7" t="n">
        <v>4</v>
      </c>
      <c r="D20520" s="7" t="n">
        <v>9</v>
      </c>
      <c r="E20520" s="7" t="s">
        <v>643</v>
      </c>
    </row>
    <row r="20521" spans="1:8">
      <c r="A20521" t="s">
        <v>4</v>
      </c>
      <c r="B20521" s="4" t="s">
        <v>5</v>
      </c>
      <c r="C20521" s="4" t="s">
        <v>11</v>
      </c>
    </row>
    <row r="20522" spans="1:8">
      <c r="A20522" t="n">
        <v>199179</v>
      </c>
      <c r="B20522" s="29" t="n">
        <v>16</v>
      </c>
      <c r="C20522" s="7" t="n">
        <v>0</v>
      </c>
    </row>
    <row r="20523" spans="1:8">
      <c r="A20523" t="s">
        <v>4</v>
      </c>
      <c r="B20523" s="4" t="s">
        <v>5</v>
      </c>
      <c r="C20523" s="4" t="s">
        <v>11</v>
      </c>
      <c r="D20523" s="4" t="s">
        <v>7</v>
      </c>
      <c r="E20523" s="4" t="s">
        <v>15</v>
      </c>
      <c r="F20523" s="4" t="s">
        <v>55</v>
      </c>
      <c r="G20523" s="4" t="s">
        <v>7</v>
      </c>
      <c r="H20523" s="4" t="s">
        <v>7</v>
      </c>
      <c r="I20523" s="4" t="s">
        <v>7</v>
      </c>
      <c r="J20523" s="4" t="s">
        <v>15</v>
      </c>
      <c r="K20523" s="4" t="s">
        <v>55</v>
      </c>
      <c r="L20523" s="4" t="s">
        <v>7</v>
      </c>
      <c r="M20523" s="4" t="s">
        <v>7</v>
      </c>
    </row>
    <row r="20524" spans="1:8">
      <c r="A20524" t="n">
        <v>199182</v>
      </c>
      <c r="B20524" s="55" t="n">
        <v>26</v>
      </c>
      <c r="C20524" s="7" t="n">
        <v>9</v>
      </c>
      <c r="D20524" s="7" t="n">
        <v>17</v>
      </c>
      <c r="E20524" s="7" t="n">
        <v>64699</v>
      </c>
      <c r="F20524" s="7" t="s">
        <v>1697</v>
      </c>
      <c r="G20524" s="7" t="n">
        <v>2</v>
      </c>
      <c r="H20524" s="7" t="n">
        <v>3</v>
      </c>
      <c r="I20524" s="7" t="n">
        <v>17</v>
      </c>
      <c r="J20524" s="7" t="n">
        <v>64700</v>
      </c>
      <c r="K20524" s="7" t="s">
        <v>1698</v>
      </c>
      <c r="L20524" s="7" t="n">
        <v>2</v>
      </c>
      <c r="M20524" s="7" t="n">
        <v>0</v>
      </c>
    </row>
    <row r="20525" spans="1:8">
      <c r="A20525" t="s">
        <v>4</v>
      </c>
      <c r="B20525" s="4" t="s">
        <v>5</v>
      </c>
    </row>
    <row r="20526" spans="1:8">
      <c r="A20526" t="n">
        <v>199340</v>
      </c>
      <c r="B20526" s="27" t="n">
        <v>28</v>
      </c>
    </row>
    <row r="20527" spans="1:8">
      <c r="A20527" t="s">
        <v>4</v>
      </c>
      <c r="B20527" s="4" t="s">
        <v>5</v>
      </c>
      <c r="C20527" s="4" t="s">
        <v>7</v>
      </c>
      <c r="D20527" s="4" t="s">
        <v>11</v>
      </c>
      <c r="E20527" s="4" t="s">
        <v>8</v>
      </c>
    </row>
    <row r="20528" spans="1:8">
      <c r="A20528" t="n">
        <v>199341</v>
      </c>
      <c r="B20528" s="38" t="n">
        <v>51</v>
      </c>
      <c r="C20528" s="7" t="n">
        <v>4</v>
      </c>
      <c r="D20528" s="7" t="n">
        <v>9</v>
      </c>
      <c r="E20528" s="7" t="s">
        <v>574</v>
      </c>
    </row>
    <row r="20529" spans="1:18">
      <c r="A20529" t="s">
        <v>4</v>
      </c>
      <c r="B20529" s="4" t="s">
        <v>5</v>
      </c>
      <c r="C20529" s="4" t="s">
        <v>11</v>
      </c>
    </row>
    <row r="20530" spans="1:18">
      <c r="A20530" t="n">
        <v>199354</v>
      </c>
      <c r="B20530" s="29" t="n">
        <v>16</v>
      </c>
      <c r="C20530" s="7" t="n">
        <v>0</v>
      </c>
    </row>
    <row r="20531" spans="1:18">
      <c r="A20531" t="s">
        <v>4</v>
      </c>
      <c r="B20531" s="4" t="s">
        <v>5</v>
      </c>
      <c r="C20531" s="4" t="s">
        <v>11</v>
      </c>
      <c r="D20531" s="4" t="s">
        <v>7</v>
      </c>
      <c r="E20531" s="4" t="s">
        <v>15</v>
      </c>
      <c r="F20531" s="4" t="s">
        <v>55</v>
      </c>
      <c r="G20531" s="4" t="s">
        <v>7</v>
      </c>
      <c r="H20531" s="4" t="s">
        <v>7</v>
      </c>
    </row>
    <row r="20532" spans="1:18">
      <c r="A20532" t="n">
        <v>199357</v>
      </c>
      <c r="B20532" s="55" t="n">
        <v>26</v>
      </c>
      <c r="C20532" s="7" t="n">
        <v>9</v>
      </c>
      <c r="D20532" s="7" t="n">
        <v>17</v>
      </c>
      <c r="E20532" s="7" t="n">
        <v>64701</v>
      </c>
      <c r="F20532" s="7" t="s">
        <v>1699</v>
      </c>
      <c r="G20532" s="7" t="n">
        <v>2</v>
      </c>
      <c r="H20532" s="7" t="n">
        <v>0</v>
      </c>
    </row>
    <row r="20533" spans="1:18">
      <c r="A20533" t="s">
        <v>4</v>
      </c>
      <c r="B20533" s="4" t="s">
        <v>5</v>
      </c>
    </row>
    <row r="20534" spans="1:18">
      <c r="A20534" t="n">
        <v>199467</v>
      </c>
      <c r="B20534" s="27" t="n">
        <v>28</v>
      </c>
    </row>
    <row r="20535" spans="1:18">
      <c r="A20535" t="s">
        <v>4</v>
      </c>
      <c r="B20535" s="4" t="s">
        <v>5</v>
      </c>
      <c r="C20535" s="4" t="s">
        <v>7</v>
      </c>
      <c r="D20535" s="4" t="s">
        <v>11</v>
      </c>
      <c r="E20535" s="4" t="s">
        <v>8</v>
      </c>
    </row>
    <row r="20536" spans="1:18">
      <c r="A20536" t="n">
        <v>199468</v>
      </c>
      <c r="B20536" s="38" t="n">
        <v>51</v>
      </c>
      <c r="C20536" s="7" t="n">
        <v>4</v>
      </c>
      <c r="D20536" s="7" t="n">
        <v>0</v>
      </c>
      <c r="E20536" s="7" t="s">
        <v>179</v>
      </c>
    </row>
    <row r="20537" spans="1:18">
      <c r="A20537" t="s">
        <v>4</v>
      </c>
      <c r="B20537" s="4" t="s">
        <v>5</v>
      </c>
      <c r="C20537" s="4" t="s">
        <v>11</v>
      </c>
    </row>
    <row r="20538" spans="1:18">
      <c r="A20538" t="n">
        <v>199482</v>
      </c>
      <c r="B20538" s="29" t="n">
        <v>16</v>
      </c>
      <c r="C20538" s="7" t="n">
        <v>0</v>
      </c>
    </row>
    <row r="20539" spans="1:18">
      <c r="A20539" t="s">
        <v>4</v>
      </c>
      <c r="B20539" s="4" t="s">
        <v>5</v>
      </c>
      <c r="C20539" s="4" t="s">
        <v>11</v>
      </c>
      <c r="D20539" s="4" t="s">
        <v>7</v>
      </c>
      <c r="E20539" s="4" t="s">
        <v>15</v>
      </c>
      <c r="F20539" s="4" t="s">
        <v>55</v>
      </c>
      <c r="G20539" s="4" t="s">
        <v>7</v>
      </c>
      <c r="H20539" s="4" t="s">
        <v>7</v>
      </c>
      <c r="I20539" s="4" t="s">
        <v>7</v>
      </c>
      <c r="J20539" s="4" t="s">
        <v>15</v>
      </c>
      <c r="K20539" s="4" t="s">
        <v>55</v>
      </c>
      <c r="L20539" s="4" t="s">
        <v>7</v>
      </c>
      <c r="M20539" s="4" t="s">
        <v>7</v>
      </c>
    </row>
    <row r="20540" spans="1:18">
      <c r="A20540" t="n">
        <v>199485</v>
      </c>
      <c r="B20540" s="55" t="n">
        <v>26</v>
      </c>
      <c r="C20540" s="7" t="n">
        <v>0</v>
      </c>
      <c r="D20540" s="7" t="n">
        <v>17</v>
      </c>
      <c r="E20540" s="7" t="n">
        <v>64702</v>
      </c>
      <c r="F20540" s="7" t="s">
        <v>1700</v>
      </c>
      <c r="G20540" s="7" t="n">
        <v>2</v>
      </c>
      <c r="H20540" s="7" t="n">
        <v>3</v>
      </c>
      <c r="I20540" s="7" t="n">
        <v>17</v>
      </c>
      <c r="J20540" s="7" t="n">
        <v>65322</v>
      </c>
      <c r="K20540" s="7" t="s">
        <v>1701</v>
      </c>
      <c r="L20540" s="7" t="n">
        <v>2</v>
      </c>
      <c r="M20540" s="7" t="n">
        <v>0</v>
      </c>
    </row>
    <row r="20541" spans="1:18">
      <c r="A20541" t="s">
        <v>4</v>
      </c>
      <c r="B20541" s="4" t="s">
        <v>5</v>
      </c>
    </row>
    <row r="20542" spans="1:18">
      <c r="A20542" t="n">
        <v>199532</v>
      </c>
      <c r="B20542" s="27" t="n">
        <v>28</v>
      </c>
    </row>
    <row r="20543" spans="1:18">
      <c r="A20543" t="s">
        <v>4</v>
      </c>
      <c r="B20543" s="4" t="s">
        <v>5</v>
      </c>
      <c r="C20543" s="4" t="s">
        <v>7</v>
      </c>
      <c r="D20543" s="4" t="s">
        <v>11</v>
      </c>
      <c r="E20543" s="4" t="s">
        <v>11</v>
      </c>
      <c r="F20543" s="4" t="s">
        <v>7</v>
      </c>
    </row>
    <row r="20544" spans="1:18">
      <c r="A20544" t="n">
        <v>199533</v>
      </c>
      <c r="B20544" s="31" t="n">
        <v>25</v>
      </c>
      <c r="C20544" s="7" t="n">
        <v>1</v>
      </c>
      <c r="D20544" s="7" t="n">
        <v>65535</v>
      </c>
      <c r="E20544" s="7" t="n">
        <v>65535</v>
      </c>
      <c r="F20544" s="7" t="n">
        <v>0</v>
      </c>
    </row>
    <row r="20545" spans="1:13">
      <c r="A20545" t="s">
        <v>4</v>
      </c>
      <c r="B20545" s="4" t="s">
        <v>5</v>
      </c>
      <c r="C20545" s="4" t="s">
        <v>7</v>
      </c>
      <c r="D20545" s="4" t="s">
        <v>11</v>
      </c>
      <c r="E20545" s="4" t="s">
        <v>7</v>
      </c>
      <c r="F20545" s="4" t="s">
        <v>7</v>
      </c>
      <c r="G20545" s="4" t="s">
        <v>12</v>
      </c>
    </row>
    <row r="20546" spans="1:13">
      <c r="A20546" t="n">
        <v>199540</v>
      </c>
      <c r="B20546" s="10" t="n">
        <v>5</v>
      </c>
      <c r="C20546" s="7" t="n">
        <v>30</v>
      </c>
      <c r="D20546" s="7" t="n">
        <v>10853</v>
      </c>
      <c r="E20546" s="7" t="n">
        <v>8</v>
      </c>
      <c r="F20546" s="7" t="n">
        <v>1</v>
      </c>
      <c r="G20546" s="11" t="n">
        <f t="normal" ca="1">A20618</f>
        <v>0</v>
      </c>
    </row>
    <row r="20547" spans="1:13">
      <c r="A20547" t="s">
        <v>4</v>
      </c>
      <c r="B20547" s="4" t="s">
        <v>5</v>
      </c>
      <c r="C20547" s="4" t="s">
        <v>7</v>
      </c>
      <c r="D20547" s="4" t="s">
        <v>11</v>
      </c>
      <c r="E20547" s="4" t="s">
        <v>8</v>
      </c>
      <c r="F20547" s="4" t="s">
        <v>8</v>
      </c>
      <c r="G20547" s="4" t="s">
        <v>8</v>
      </c>
      <c r="H20547" s="4" t="s">
        <v>8</v>
      </c>
    </row>
    <row r="20548" spans="1:13">
      <c r="A20548" t="n">
        <v>199550</v>
      </c>
      <c r="B20548" s="38" t="n">
        <v>51</v>
      </c>
      <c r="C20548" s="7" t="n">
        <v>3</v>
      </c>
      <c r="D20548" s="7" t="n">
        <v>9</v>
      </c>
      <c r="E20548" s="7" t="s">
        <v>154</v>
      </c>
      <c r="F20548" s="7" t="s">
        <v>155</v>
      </c>
      <c r="G20548" s="7" t="s">
        <v>78</v>
      </c>
      <c r="H20548" s="7" t="s">
        <v>79</v>
      </c>
    </row>
    <row r="20549" spans="1:13">
      <c r="A20549" t="s">
        <v>4</v>
      </c>
      <c r="B20549" s="4" t="s">
        <v>5</v>
      </c>
      <c r="C20549" s="4" t="s">
        <v>11</v>
      </c>
      <c r="D20549" s="4" t="s">
        <v>7</v>
      </c>
      <c r="E20549" s="4" t="s">
        <v>13</v>
      </c>
      <c r="F20549" s="4" t="s">
        <v>11</v>
      </c>
    </row>
    <row r="20550" spans="1:13">
      <c r="A20550" t="n">
        <v>199563</v>
      </c>
      <c r="B20550" s="56" t="n">
        <v>59</v>
      </c>
      <c r="C20550" s="7" t="n">
        <v>9</v>
      </c>
      <c r="D20550" s="7" t="n">
        <v>0</v>
      </c>
      <c r="E20550" s="7" t="n">
        <v>0.150000005960464</v>
      </c>
      <c r="F20550" s="7" t="n">
        <v>0</v>
      </c>
    </row>
    <row r="20551" spans="1:13">
      <c r="A20551" t="s">
        <v>4</v>
      </c>
      <c r="B20551" s="4" t="s">
        <v>5</v>
      </c>
      <c r="C20551" s="4" t="s">
        <v>11</v>
      </c>
    </row>
    <row r="20552" spans="1:13">
      <c r="A20552" t="n">
        <v>199573</v>
      </c>
      <c r="B20552" s="29" t="n">
        <v>16</v>
      </c>
      <c r="C20552" s="7" t="n">
        <v>1000</v>
      </c>
    </row>
    <row r="20553" spans="1:13">
      <c r="A20553" t="s">
        <v>4</v>
      </c>
      <c r="B20553" s="4" t="s">
        <v>5</v>
      </c>
      <c r="C20553" s="4" t="s">
        <v>11</v>
      </c>
      <c r="D20553" s="4" t="s">
        <v>7</v>
      </c>
      <c r="E20553" s="4" t="s">
        <v>8</v>
      </c>
      <c r="F20553" s="4" t="s">
        <v>13</v>
      </c>
      <c r="G20553" s="4" t="s">
        <v>13</v>
      </c>
      <c r="H20553" s="4" t="s">
        <v>13</v>
      </c>
    </row>
    <row r="20554" spans="1:13">
      <c r="A20554" t="n">
        <v>199576</v>
      </c>
      <c r="B20554" s="42" t="n">
        <v>48</v>
      </c>
      <c r="C20554" s="7" t="n">
        <v>9</v>
      </c>
      <c r="D20554" s="7" t="n">
        <v>0</v>
      </c>
      <c r="E20554" s="7" t="s">
        <v>1684</v>
      </c>
      <c r="F20554" s="7" t="n">
        <v>-1</v>
      </c>
      <c r="G20554" s="7" t="n">
        <v>1</v>
      </c>
      <c r="H20554" s="7" t="n">
        <v>2.80259692864963e-45</v>
      </c>
    </row>
    <row r="20555" spans="1:13">
      <c r="A20555" t="s">
        <v>4</v>
      </c>
      <c r="B20555" s="4" t="s">
        <v>5</v>
      </c>
      <c r="C20555" s="4" t="s">
        <v>7</v>
      </c>
      <c r="D20555" s="4" t="s">
        <v>11</v>
      </c>
      <c r="E20555" s="4" t="s">
        <v>8</v>
      </c>
    </row>
    <row r="20556" spans="1:13">
      <c r="A20556" t="n">
        <v>199611</v>
      </c>
      <c r="B20556" s="38" t="n">
        <v>51</v>
      </c>
      <c r="C20556" s="7" t="n">
        <v>4</v>
      </c>
      <c r="D20556" s="7" t="n">
        <v>9</v>
      </c>
      <c r="E20556" s="7" t="s">
        <v>219</v>
      </c>
    </row>
    <row r="20557" spans="1:13">
      <c r="A20557" t="s">
        <v>4</v>
      </c>
      <c r="B20557" s="4" t="s">
        <v>5</v>
      </c>
      <c r="C20557" s="4" t="s">
        <v>11</v>
      </c>
    </row>
    <row r="20558" spans="1:13">
      <c r="A20558" t="n">
        <v>199624</v>
      </c>
      <c r="B20558" s="29" t="n">
        <v>16</v>
      </c>
      <c r="C20558" s="7" t="n">
        <v>0</v>
      </c>
    </row>
    <row r="20559" spans="1:13">
      <c r="A20559" t="s">
        <v>4</v>
      </c>
      <c r="B20559" s="4" t="s">
        <v>5</v>
      </c>
      <c r="C20559" s="4" t="s">
        <v>11</v>
      </c>
      <c r="D20559" s="4" t="s">
        <v>7</v>
      </c>
      <c r="E20559" s="4" t="s">
        <v>15</v>
      </c>
      <c r="F20559" s="4" t="s">
        <v>55</v>
      </c>
      <c r="G20559" s="4" t="s">
        <v>7</v>
      </c>
      <c r="H20559" s="4" t="s">
        <v>7</v>
      </c>
    </row>
    <row r="20560" spans="1:13">
      <c r="A20560" t="n">
        <v>199627</v>
      </c>
      <c r="B20560" s="55" t="n">
        <v>26</v>
      </c>
      <c r="C20560" s="7" t="n">
        <v>9</v>
      </c>
      <c r="D20560" s="7" t="n">
        <v>17</v>
      </c>
      <c r="E20560" s="7" t="n">
        <v>64703</v>
      </c>
      <c r="F20560" s="7" t="s">
        <v>1702</v>
      </c>
      <c r="G20560" s="7" t="n">
        <v>2</v>
      </c>
      <c r="H20560" s="7" t="n">
        <v>0</v>
      </c>
    </row>
    <row r="20561" spans="1:8">
      <c r="A20561" t="s">
        <v>4</v>
      </c>
      <c r="B20561" s="4" t="s">
        <v>5</v>
      </c>
    </row>
    <row r="20562" spans="1:8">
      <c r="A20562" t="n">
        <v>199653</v>
      </c>
      <c r="B20562" s="27" t="n">
        <v>28</v>
      </c>
    </row>
    <row r="20563" spans="1:8">
      <c r="A20563" t="s">
        <v>4</v>
      </c>
      <c r="B20563" s="4" t="s">
        <v>5</v>
      </c>
      <c r="C20563" s="4" t="s">
        <v>11</v>
      </c>
      <c r="D20563" s="4" t="s">
        <v>7</v>
      </c>
      <c r="E20563" s="4" t="s">
        <v>7</v>
      </c>
      <c r="F20563" s="4" t="s">
        <v>8</v>
      </c>
    </row>
    <row r="20564" spans="1:8">
      <c r="A20564" t="n">
        <v>199654</v>
      </c>
      <c r="B20564" s="50" t="n">
        <v>20</v>
      </c>
      <c r="C20564" s="7" t="n">
        <v>0</v>
      </c>
      <c r="D20564" s="7" t="n">
        <v>2</v>
      </c>
      <c r="E20564" s="7" t="n">
        <v>10</v>
      </c>
      <c r="F20564" s="7" t="s">
        <v>260</v>
      </c>
    </row>
    <row r="20565" spans="1:8">
      <c r="A20565" t="s">
        <v>4</v>
      </c>
      <c r="B20565" s="4" t="s">
        <v>5</v>
      </c>
      <c r="C20565" s="4" t="s">
        <v>7</v>
      </c>
      <c r="D20565" s="4" t="s">
        <v>11</v>
      </c>
      <c r="E20565" s="4" t="s">
        <v>8</v>
      </c>
    </row>
    <row r="20566" spans="1:8">
      <c r="A20566" t="n">
        <v>199674</v>
      </c>
      <c r="B20566" s="38" t="n">
        <v>51</v>
      </c>
      <c r="C20566" s="7" t="n">
        <v>4</v>
      </c>
      <c r="D20566" s="7" t="n">
        <v>0</v>
      </c>
      <c r="E20566" s="7" t="s">
        <v>167</v>
      </c>
    </row>
    <row r="20567" spans="1:8">
      <c r="A20567" t="s">
        <v>4</v>
      </c>
      <c r="B20567" s="4" t="s">
        <v>5</v>
      </c>
      <c r="C20567" s="4" t="s">
        <v>11</v>
      </c>
    </row>
    <row r="20568" spans="1:8">
      <c r="A20568" t="n">
        <v>199688</v>
      </c>
      <c r="B20568" s="29" t="n">
        <v>16</v>
      </c>
      <c r="C20568" s="7" t="n">
        <v>0</v>
      </c>
    </row>
    <row r="20569" spans="1:8">
      <c r="A20569" t="s">
        <v>4</v>
      </c>
      <c r="B20569" s="4" t="s">
        <v>5</v>
      </c>
      <c r="C20569" s="4" t="s">
        <v>11</v>
      </c>
      <c r="D20569" s="4" t="s">
        <v>7</v>
      </c>
      <c r="E20569" s="4" t="s">
        <v>15</v>
      </c>
      <c r="F20569" s="4" t="s">
        <v>55</v>
      </c>
      <c r="G20569" s="4" t="s">
        <v>7</v>
      </c>
      <c r="H20569" s="4" t="s">
        <v>7</v>
      </c>
      <c r="I20569" s="4" t="s">
        <v>7</v>
      </c>
      <c r="J20569" s="4" t="s">
        <v>15</v>
      </c>
      <c r="K20569" s="4" t="s">
        <v>55</v>
      </c>
      <c r="L20569" s="4" t="s">
        <v>7</v>
      </c>
      <c r="M20569" s="4" t="s">
        <v>7</v>
      </c>
    </row>
    <row r="20570" spans="1:8">
      <c r="A20570" t="n">
        <v>199691</v>
      </c>
      <c r="B20570" s="55" t="n">
        <v>26</v>
      </c>
      <c r="C20570" s="7" t="n">
        <v>0</v>
      </c>
      <c r="D20570" s="7" t="n">
        <v>17</v>
      </c>
      <c r="E20570" s="7" t="n">
        <v>64704</v>
      </c>
      <c r="F20570" s="7" t="s">
        <v>1703</v>
      </c>
      <c r="G20570" s="7" t="n">
        <v>2</v>
      </c>
      <c r="H20570" s="7" t="n">
        <v>3</v>
      </c>
      <c r="I20570" s="7" t="n">
        <v>17</v>
      </c>
      <c r="J20570" s="7" t="n">
        <v>64705</v>
      </c>
      <c r="K20570" s="7" t="s">
        <v>1704</v>
      </c>
      <c r="L20570" s="7" t="n">
        <v>2</v>
      </c>
      <c r="M20570" s="7" t="n">
        <v>0</v>
      </c>
    </row>
    <row r="20571" spans="1:8">
      <c r="A20571" t="s">
        <v>4</v>
      </c>
      <c r="B20571" s="4" t="s">
        <v>5</v>
      </c>
    </row>
    <row r="20572" spans="1:8">
      <c r="A20572" t="n">
        <v>199789</v>
      </c>
      <c r="B20572" s="27" t="n">
        <v>28</v>
      </c>
    </row>
    <row r="20573" spans="1:8">
      <c r="A20573" t="s">
        <v>4</v>
      </c>
      <c r="B20573" s="4" t="s">
        <v>5</v>
      </c>
      <c r="C20573" s="4" t="s">
        <v>7</v>
      </c>
      <c r="D20573" s="4" t="s">
        <v>11</v>
      </c>
      <c r="E20573" s="4" t="s">
        <v>11</v>
      </c>
      <c r="F20573" s="4" t="s">
        <v>7</v>
      </c>
    </row>
    <row r="20574" spans="1:8">
      <c r="A20574" t="n">
        <v>199790</v>
      </c>
      <c r="B20574" s="31" t="n">
        <v>25</v>
      </c>
      <c r="C20574" s="7" t="n">
        <v>1</v>
      </c>
      <c r="D20574" s="7" t="n">
        <v>65535</v>
      </c>
      <c r="E20574" s="7" t="n">
        <v>65535</v>
      </c>
      <c r="F20574" s="7" t="n">
        <v>0</v>
      </c>
    </row>
    <row r="20575" spans="1:8">
      <c r="A20575" t="s">
        <v>4</v>
      </c>
      <c r="B20575" s="4" t="s">
        <v>5</v>
      </c>
      <c r="C20575" s="4" t="s">
        <v>11</v>
      </c>
      <c r="D20575" s="4" t="s">
        <v>7</v>
      </c>
      <c r="E20575" s="4" t="s">
        <v>7</v>
      </c>
      <c r="F20575" s="4" t="s">
        <v>8</v>
      </c>
    </row>
    <row r="20576" spans="1:8">
      <c r="A20576" t="n">
        <v>199797</v>
      </c>
      <c r="B20576" s="50" t="n">
        <v>20</v>
      </c>
      <c r="C20576" s="7" t="n">
        <v>9</v>
      </c>
      <c r="D20576" s="7" t="n">
        <v>2</v>
      </c>
      <c r="E20576" s="7" t="n">
        <v>10</v>
      </c>
      <c r="F20576" s="7" t="s">
        <v>223</v>
      </c>
    </row>
    <row r="20577" spans="1:13">
      <c r="A20577" t="s">
        <v>4</v>
      </c>
      <c r="B20577" s="4" t="s">
        <v>5</v>
      </c>
      <c r="C20577" s="4" t="s">
        <v>7</v>
      </c>
      <c r="D20577" s="4" t="s">
        <v>11</v>
      </c>
      <c r="E20577" s="4" t="s">
        <v>8</v>
      </c>
    </row>
    <row r="20578" spans="1:13">
      <c r="A20578" t="n">
        <v>199818</v>
      </c>
      <c r="B20578" s="38" t="n">
        <v>51</v>
      </c>
      <c r="C20578" s="7" t="n">
        <v>4</v>
      </c>
      <c r="D20578" s="7" t="n">
        <v>9</v>
      </c>
      <c r="E20578" s="7" t="s">
        <v>242</v>
      </c>
    </row>
    <row r="20579" spans="1:13">
      <c r="A20579" t="s">
        <v>4</v>
      </c>
      <c r="B20579" s="4" t="s">
        <v>5</v>
      </c>
      <c r="C20579" s="4" t="s">
        <v>11</v>
      </c>
    </row>
    <row r="20580" spans="1:13">
      <c r="A20580" t="n">
        <v>199832</v>
      </c>
      <c r="B20580" s="29" t="n">
        <v>16</v>
      </c>
      <c r="C20580" s="7" t="n">
        <v>0</v>
      </c>
    </row>
    <row r="20581" spans="1:13">
      <c r="A20581" t="s">
        <v>4</v>
      </c>
      <c r="B20581" s="4" t="s">
        <v>5</v>
      </c>
      <c r="C20581" s="4" t="s">
        <v>11</v>
      </c>
      <c r="D20581" s="4" t="s">
        <v>7</v>
      </c>
      <c r="E20581" s="4" t="s">
        <v>15</v>
      </c>
      <c r="F20581" s="4" t="s">
        <v>55</v>
      </c>
      <c r="G20581" s="4" t="s">
        <v>7</v>
      </c>
      <c r="H20581" s="4" t="s">
        <v>7</v>
      </c>
      <c r="I20581" s="4" t="s">
        <v>7</v>
      </c>
      <c r="J20581" s="4" t="s">
        <v>15</v>
      </c>
      <c r="K20581" s="4" t="s">
        <v>55</v>
      </c>
      <c r="L20581" s="4" t="s">
        <v>7</v>
      </c>
      <c r="M20581" s="4" t="s">
        <v>7</v>
      </c>
      <c r="N20581" s="4" t="s">
        <v>7</v>
      </c>
      <c r="O20581" s="4" t="s">
        <v>15</v>
      </c>
      <c r="P20581" s="4" t="s">
        <v>55</v>
      </c>
      <c r="Q20581" s="4" t="s">
        <v>7</v>
      </c>
      <c r="R20581" s="4" t="s">
        <v>7</v>
      </c>
    </row>
    <row r="20582" spans="1:13">
      <c r="A20582" t="n">
        <v>199835</v>
      </c>
      <c r="B20582" s="55" t="n">
        <v>26</v>
      </c>
      <c r="C20582" s="7" t="n">
        <v>9</v>
      </c>
      <c r="D20582" s="7" t="n">
        <v>17</v>
      </c>
      <c r="E20582" s="7" t="n">
        <v>64706</v>
      </c>
      <c r="F20582" s="7" t="s">
        <v>1705</v>
      </c>
      <c r="G20582" s="7" t="n">
        <v>2</v>
      </c>
      <c r="H20582" s="7" t="n">
        <v>3</v>
      </c>
      <c r="I20582" s="7" t="n">
        <v>17</v>
      </c>
      <c r="J20582" s="7" t="n">
        <v>64707</v>
      </c>
      <c r="K20582" s="7" t="s">
        <v>1706</v>
      </c>
      <c r="L20582" s="7" t="n">
        <v>2</v>
      </c>
      <c r="M20582" s="7" t="n">
        <v>3</v>
      </c>
      <c r="N20582" s="7" t="n">
        <v>17</v>
      </c>
      <c r="O20582" s="7" t="n">
        <v>64708</v>
      </c>
      <c r="P20582" s="7" t="s">
        <v>1707</v>
      </c>
      <c r="Q20582" s="7" t="n">
        <v>2</v>
      </c>
      <c r="R20582" s="7" t="n">
        <v>0</v>
      </c>
    </row>
    <row r="20583" spans="1:13">
      <c r="A20583" t="s">
        <v>4</v>
      </c>
      <c r="B20583" s="4" t="s">
        <v>5</v>
      </c>
    </row>
    <row r="20584" spans="1:13">
      <c r="A20584" t="n">
        <v>200090</v>
      </c>
      <c r="B20584" s="27" t="n">
        <v>28</v>
      </c>
    </row>
    <row r="20585" spans="1:13">
      <c r="A20585" t="s">
        <v>4</v>
      </c>
      <c r="B20585" s="4" t="s">
        <v>5</v>
      </c>
      <c r="C20585" s="4" t="s">
        <v>7</v>
      </c>
      <c r="D20585" s="4" t="s">
        <v>11</v>
      </c>
      <c r="E20585" s="4" t="s">
        <v>8</v>
      </c>
    </row>
    <row r="20586" spans="1:13">
      <c r="A20586" t="n">
        <v>200091</v>
      </c>
      <c r="B20586" s="38" t="n">
        <v>51</v>
      </c>
      <c r="C20586" s="7" t="n">
        <v>4</v>
      </c>
      <c r="D20586" s="7" t="n">
        <v>0</v>
      </c>
      <c r="E20586" s="7" t="s">
        <v>658</v>
      </c>
    </row>
    <row r="20587" spans="1:13">
      <c r="A20587" t="s">
        <v>4</v>
      </c>
      <c r="B20587" s="4" t="s">
        <v>5</v>
      </c>
      <c r="C20587" s="4" t="s">
        <v>11</v>
      </c>
    </row>
    <row r="20588" spans="1:13">
      <c r="A20588" t="n">
        <v>200105</v>
      </c>
      <c r="B20588" s="29" t="n">
        <v>16</v>
      </c>
      <c r="C20588" s="7" t="n">
        <v>0</v>
      </c>
    </row>
    <row r="20589" spans="1:13">
      <c r="A20589" t="s">
        <v>4</v>
      </c>
      <c r="B20589" s="4" t="s">
        <v>5</v>
      </c>
      <c r="C20589" s="4" t="s">
        <v>11</v>
      </c>
      <c r="D20589" s="4" t="s">
        <v>7</v>
      </c>
      <c r="E20589" s="4" t="s">
        <v>15</v>
      </c>
      <c r="F20589" s="4" t="s">
        <v>55</v>
      </c>
      <c r="G20589" s="4" t="s">
        <v>7</v>
      </c>
      <c r="H20589" s="4" t="s">
        <v>7</v>
      </c>
      <c r="I20589" s="4" t="s">
        <v>7</v>
      </c>
      <c r="J20589" s="4" t="s">
        <v>15</v>
      </c>
      <c r="K20589" s="4" t="s">
        <v>55</v>
      </c>
      <c r="L20589" s="4" t="s">
        <v>7</v>
      </c>
      <c r="M20589" s="4" t="s">
        <v>7</v>
      </c>
      <c r="N20589" s="4" t="s">
        <v>7</v>
      </c>
      <c r="O20589" s="4" t="s">
        <v>15</v>
      </c>
      <c r="P20589" s="4" t="s">
        <v>55</v>
      </c>
      <c r="Q20589" s="4" t="s">
        <v>7</v>
      </c>
      <c r="R20589" s="4" t="s">
        <v>7</v>
      </c>
    </row>
    <row r="20590" spans="1:13">
      <c r="A20590" t="n">
        <v>200108</v>
      </c>
      <c r="B20590" s="55" t="n">
        <v>26</v>
      </c>
      <c r="C20590" s="7" t="n">
        <v>0</v>
      </c>
      <c r="D20590" s="7" t="n">
        <v>17</v>
      </c>
      <c r="E20590" s="7" t="n">
        <v>64709</v>
      </c>
      <c r="F20590" s="7" t="s">
        <v>1708</v>
      </c>
      <c r="G20590" s="7" t="n">
        <v>2</v>
      </c>
      <c r="H20590" s="7" t="n">
        <v>3</v>
      </c>
      <c r="I20590" s="7" t="n">
        <v>17</v>
      </c>
      <c r="J20590" s="7" t="n">
        <v>64710</v>
      </c>
      <c r="K20590" s="7" t="s">
        <v>1709</v>
      </c>
      <c r="L20590" s="7" t="n">
        <v>2</v>
      </c>
      <c r="M20590" s="7" t="n">
        <v>3</v>
      </c>
      <c r="N20590" s="7" t="n">
        <v>17</v>
      </c>
      <c r="O20590" s="7" t="n">
        <v>64711</v>
      </c>
      <c r="P20590" s="7" t="s">
        <v>1710</v>
      </c>
      <c r="Q20590" s="7" t="n">
        <v>2</v>
      </c>
      <c r="R20590" s="7" t="n">
        <v>0</v>
      </c>
    </row>
    <row r="20591" spans="1:13">
      <c r="A20591" t="s">
        <v>4</v>
      </c>
      <c r="B20591" s="4" t="s">
        <v>5</v>
      </c>
    </row>
    <row r="20592" spans="1:13">
      <c r="A20592" t="n">
        <v>200348</v>
      </c>
      <c r="B20592" s="27" t="n">
        <v>28</v>
      </c>
    </row>
    <row r="20593" spans="1:18">
      <c r="A20593" t="s">
        <v>4</v>
      </c>
      <c r="B20593" s="4" t="s">
        <v>5</v>
      </c>
      <c r="C20593" s="4" t="s">
        <v>7</v>
      </c>
      <c r="D20593" s="4" t="s">
        <v>11</v>
      </c>
      <c r="E20593" s="4" t="s">
        <v>11</v>
      </c>
      <c r="F20593" s="4" t="s">
        <v>7</v>
      </c>
    </row>
    <row r="20594" spans="1:18">
      <c r="A20594" t="n">
        <v>200349</v>
      </c>
      <c r="B20594" s="31" t="n">
        <v>25</v>
      </c>
      <c r="C20594" s="7" t="n">
        <v>1</v>
      </c>
      <c r="D20594" s="7" t="n">
        <v>65535</v>
      </c>
      <c r="E20594" s="7" t="n">
        <v>65535</v>
      </c>
      <c r="F20594" s="7" t="n">
        <v>0</v>
      </c>
    </row>
    <row r="20595" spans="1:18">
      <c r="A20595" t="s">
        <v>4</v>
      </c>
      <c r="B20595" s="4" t="s">
        <v>5</v>
      </c>
      <c r="C20595" s="4" t="s">
        <v>11</v>
      </c>
      <c r="D20595" s="4" t="s">
        <v>7</v>
      </c>
      <c r="E20595" s="4" t="s">
        <v>7</v>
      </c>
      <c r="F20595" s="4" t="s">
        <v>8</v>
      </c>
    </row>
    <row r="20596" spans="1:18">
      <c r="A20596" t="n">
        <v>200356</v>
      </c>
      <c r="B20596" s="50" t="n">
        <v>20</v>
      </c>
      <c r="C20596" s="7" t="n">
        <v>9</v>
      </c>
      <c r="D20596" s="7" t="n">
        <v>2</v>
      </c>
      <c r="E20596" s="7" t="n">
        <v>10</v>
      </c>
      <c r="F20596" s="7" t="s">
        <v>223</v>
      </c>
    </row>
    <row r="20597" spans="1:18">
      <c r="A20597" t="s">
        <v>4</v>
      </c>
      <c r="B20597" s="4" t="s">
        <v>5</v>
      </c>
      <c r="C20597" s="4" t="s">
        <v>7</v>
      </c>
      <c r="D20597" s="4" t="s">
        <v>11</v>
      </c>
      <c r="E20597" s="4" t="s">
        <v>8</v>
      </c>
    </row>
    <row r="20598" spans="1:18">
      <c r="A20598" t="n">
        <v>200377</v>
      </c>
      <c r="B20598" s="38" t="n">
        <v>51</v>
      </c>
      <c r="C20598" s="7" t="n">
        <v>4</v>
      </c>
      <c r="D20598" s="7" t="n">
        <v>9</v>
      </c>
      <c r="E20598" s="7" t="s">
        <v>491</v>
      </c>
    </row>
    <row r="20599" spans="1:18">
      <c r="A20599" t="s">
        <v>4</v>
      </c>
      <c r="B20599" s="4" t="s">
        <v>5</v>
      </c>
      <c r="C20599" s="4" t="s">
        <v>11</v>
      </c>
    </row>
    <row r="20600" spans="1:18">
      <c r="A20600" t="n">
        <v>200391</v>
      </c>
      <c r="B20600" s="29" t="n">
        <v>16</v>
      </c>
      <c r="C20600" s="7" t="n">
        <v>500</v>
      </c>
    </row>
    <row r="20601" spans="1:18">
      <c r="A20601" t="s">
        <v>4</v>
      </c>
      <c r="B20601" s="4" t="s">
        <v>5</v>
      </c>
      <c r="C20601" s="4" t="s">
        <v>11</v>
      </c>
      <c r="D20601" s="4" t="s">
        <v>7</v>
      </c>
      <c r="E20601" s="4" t="s">
        <v>15</v>
      </c>
      <c r="F20601" s="4" t="s">
        <v>55</v>
      </c>
      <c r="G20601" s="4" t="s">
        <v>7</v>
      </c>
      <c r="H20601" s="4" t="s">
        <v>7</v>
      </c>
    </row>
    <row r="20602" spans="1:18">
      <c r="A20602" t="n">
        <v>200394</v>
      </c>
      <c r="B20602" s="55" t="n">
        <v>26</v>
      </c>
      <c r="C20602" s="7" t="n">
        <v>9</v>
      </c>
      <c r="D20602" s="7" t="n">
        <v>17</v>
      </c>
      <c r="E20602" s="7" t="n">
        <v>64712</v>
      </c>
      <c r="F20602" s="7" t="s">
        <v>1711</v>
      </c>
      <c r="G20602" s="7" t="n">
        <v>2</v>
      </c>
      <c r="H20602" s="7" t="n">
        <v>0</v>
      </c>
    </row>
    <row r="20603" spans="1:18">
      <c r="A20603" t="s">
        <v>4</v>
      </c>
      <c r="B20603" s="4" t="s">
        <v>5</v>
      </c>
    </row>
    <row r="20604" spans="1:18">
      <c r="A20604" t="n">
        <v>200423</v>
      </c>
      <c r="B20604" s="27" t="n">
        <v>28</v>
      </c>
    </row>
    <row r="20605" spans="1:18">
      <c r="A20605" t="s">
        <v>4</v>
      </c>
      <c r="B20605" s="4" t="s">
        <v>5</v>
      </c>
      <c r="C20605" s="4" t="s">
        <v>11</v>
      </c>
      <c r="D20605" s="4" t="s">
        <v>7</v>
      </c>
      <c r="E20605" s="4" t="s">
        <v>8</v>
      </c>
      <c r="F20605" s="4" t="s">
        <v>13</v>
      </c>
      <c r="G20605" s="4" t="s">
        <v>13</v>
      </c>
      <c r="H20605" s="4" t="s">
        <v>13</v>
      </c>
    </row>
    <row r="20606" spans="1:18">
      <c r="A20606" t="n">
        <v>200424</v>
      </c>
      <c r="B20606" s="42" t="n">
        <v>48</v>
      </c>
      <c r="C20606" s="7" t="n">
        <v>9</v>
      </c>
      <c r="D20606" s="7" t="n">
        <v>0</v>
      </c>
      <c r="E20606" s="7" t="s">
        <v>1683</v>
      </c>
      <c r="F20606" s="7" t="n">
        <v>-1</v>
      </c>
      <c r="G20606" s="7" t="n">
        <v>1</v>
      </c>
      <c r="H20606" s="7" t="n">
        <v>0</v>
      </c>
    </row>
    <row r="20607" spans="1:18">
      <c r="A20607" t="s">
        <v>4</v>
      </c>
      <c r="B20607" s="4" t="s">
        <v>5</v>
      </c>
      <c r="C20607" s="4" t="s">
        <v>7</v>
      </c>
      <c r="D20607" s="4" t="s">
        <v>11</v>
      </c>
      <c r="E20607" s="4" t="s">
        <v>8</v>
      </c>
    </row>
    <row r="20608" spans="1:18">
      <c r="A20608" t="n">
        <v>200457</v>
      </c>
      <c r="B20608" s="38" t="n">
        <v>51</v>
      </c>
      <c r="C20608" s="7" t="n">
        <v>4</v>
      </c>
      <c r="D20608" s="7" t="n">
        <v>9</v>
      </c>
      <c r="E20608" s="7" t="s">
        <v>1712</v>
      </c>
    </row>
    <row r="20609" spans="1:8">
      <c r="A20609" t="s">
        <v>4</v>
      </c>
      <c r="B20609" s="4" t="s">
        <v>5</v>
      </c>
      <c r="C20609" s="4" t="s">
        <v>11</v>
      </c>
    </row>
    <row r="20610" spans="1:8">
      <c r="A20610" t="n">
        <v>200466</v>
      </c>
      <c r="B20610" s="29" t="n">
        <v>16</v>
      </c>
      <c r="C20610" s="7" t="n">
        <v>0</v>
      </c>
    </row>
    <row r="20611" spans="1:8">
      <c r="A20611" t="s">
        <v>4</v>
      </c>
      <c r="B20611" s="4" t="s">
        <v>5</v>
      </c>
      <c r="C20611" s="4" t="s">
        <v>11</v>
      </c>
      <c r="D20611" s="4" t="s">
        <v>7</v>
      </c>
      <c r="E20611" s="4" t="s">
        <v>15</v>
      </c>
      <c r="F20611" s="4" t="s">
        <v>55</v>
      </c>
      <c r="G20611" s="4" t="s">
        <v>7</v>
      </c>
      <c r="H20611" s="4" t="s">
        <v>7</v>
      </c>
    </row>
    <row r="20612" spans="1:8">
      <c r="A20612" t="n">
        <v>200469</v>
      </c>
      <c r="B20612" s="55" t="n">
        <v>26</v>
      </c>
      <c r="C20612" s="7" t="n">
        <v>9</v>
      </c>
      <c r="D20612" s="7" t="n">
        <v>17</v>
      </c>
      <c r="E20612" s="7" t="n">
        <v>64713</v>
      </c>
      <c r="F20612" s="7" t="s">
        <v>1713</v>
      </c>
      <c r="G20612" s="7" t="n">
        <v>2</v>
      </c>
      <c r="H20612" s="7" t="n">
        <v>0</v>
      </c>
    </row>
    <row r="20613" spans="1:8">
      <c r="A20613" t="s">
        <v>4</v>
      </c>
      <c r="B20613" s="4" t="s">
        <v>5</v>
      </c>
    </row>
    <row r="20614" spans="1:8">
      <c r="A20614" t="n">
        <v>200572</v>
      </c>
      <c r="B20614" s="27" t="n">
        <v>28</v>
      </c>
    </row>
    <row r="20615" spans="1:8">
      <c r="A20615" t="s">
        <v>4</v>
      </c>
      <c r="B20615" s="4" t="s">
        <v>5</v>
      </c>
      <c r="C20615" s="4" t="s">
        <v>12</v>
      </c>
    </row>
    <row r="20616" spans="1:8">
      <c r="A20616" t="n">
        <v>200573</v>
      </c>
      <c r="B20616" s="19" t="n">
        <v>3</v>
      </c>
      <c r="C20616" s="11" t="n">
        <f t="normal" ca="1">A20940</f>
        <v>0</v>
      </c>
    </row>
    <row r="20617" spans="1:8">
      <c r="A20617" t="s">
        <v>4</v>
      </c>
      <c r="B20617" s="4" t="s">
        <v>5</v>
      </c>
      <c r="C20617" s="4" t="s">
        <v>11</v>
      </c>
      <c r="D20617" s="4" t="s">
        <v>7</v>
      </c>
      <c r="E20617" s="4" t="s">
        <v>13</v>
      </c>
      <c r="F20617" s="4" t="s">
        <v>11</v>
      </c>
    </row>
    <row r="20618" spans="1:8">
      <c r="A20618" t="n">
        <v>200578</v>
      </c>
      <c r="B20618" s="56" t="n">
        <v>59</v>
      </c>
      <c r="C20618" s="7" t="n">
        <v>0</v>
      </c>
      <c r="D20618" s="7" t="n">
        <v>9</v>
      </c>
      <c r="E20618" s="7" t="n">
        <v>0.150000005960464</v>
      </c>
      <c r="F20618" s="7" t="n">
        <v>0</v>
      </c>
    </row>
    <row r="20619" spans="1:8">
      <c r="A20619" t="s">
        <v>4</v>
      </c>
      <c r="B20619" s="4" t="s">
        <v>5</v>
      </c>
      <c r="C20619" s="4" t="s">
        <v>11</v>
      </c>
    </row>
    <row r="20620" spans="1:8">
      <c r="A20620" t="n">
        <v>200588</v>
      </c>
      <c r="B20620" s="29" t="n">
        <v>16</v>
      </c>
      <c r="C20620" s="7" t="n">
        <v>1500</v>
      </c>
    </row>
    <row r="20621" spans="1:8">
      <c r="A20621" t="s">
        <v>4</v>
      </c>
      <c r="B20621" s="4" t="s">
        <v>5</v>
      </c>
      <c r="C20621" s="4" t="s">
        <v>7</v>
      </c>
      <c r="D20621" s="4" t="s">
        <v>11</v>
      </c>
      <c r="E20621" s="4" t="s">
        <v>8</v>
      </c>
    </row>
    <row r="20622" spans="1:8">
      <c r="A20622" t="n">
        <v>200591</v>
      </c>
      <c r="B20622" s="38" t="n">
        <v>51</v>
      </c>
      <c r="C20622" s="7" t="n">
        <v>4</v>
      </c>
      <c r="D20622" s="7" t="n">
        <v>0</v>
      </c>
      <c r="E20622" s="7" t="s">
        <v>643</v>
      </c>
    </row>
    <row r="20623" spans="1:8">
      <c r="A20623" t="s">
        <v>4</v>
      </c>
      <c r="B20623" s="4" t="s">
        <v>5</v>
      </c>
      <c r="C20623" s="4" t="s">
        <v>11</v>
      </c>
    </row>
    <row r="20624" spans="1:8">
      <c r="A20624" t="n">
        <v>200604</v>
      </c>
      <c r="B20624" s="29" t="n">
        <v>16</v>
      </c>
      <c r="C20624" s="7" t="n">
        <v>0</v>
      </c>
    </row>
    <row r="20625" spans="1:8">
      <c r="A20625" t="s">
        <v>4</v>
      </c>
      <c r="B20625" s="4" t="s">
        <v>5</v>
      </c>
      <c r="C20625" s="4" t="s">
        <v>11</v>
      </c>
      <c r="D20625" s="4" t="s">
        <v>7</v>
      </c>
      <c r="E20625" s="4" t="s">
        <v>15</v>
      </c>
      <c r="F20625" s="4" t="s">
        <v>55</v>
      </c>
      <c r="G20625" s="4" t="s">
        <v>7</v>
      </c>
      <c r="H20625" s="4" t="s">
        <v>7</v>
      </c>
      <c r="I20625" s="4" t="s">
        <v>7</v>
      </c>
      <c r="J20625" s="4" t="s">
        <v>15</v>
      </c>
      <c r="K20625" s="4" t="s">
        <v>55</v>
      </c>
      <c r="L20625" s="4" t="s">
        <v>7</v>
      </c>
      <c r="M20625" s="4" t="s">
        <v>7</v>
      </c>
      <c r="N20625" s="4" t="s">
        <v>7</v>
      </c>
      <c r="O20625" s="4" t="s">
        <v>15</v>
      </c>
      <c r="P20625" s="4" t="s">
        <v>55</v>
      </c>
      <c r="Q20625" s="4" t="s">
        <v>7</v>
      </c>
      <c r="R20625" s="4" t="s">
        <v>7</v>
      </c>
    </row>
    <row r="20626" spans="1:8">
      <c r="A20626" t="n">
        <v>200607</v>
      </c>
      <c r="B20626" s="55" t="n">
        <v>26</v>
      </c>
      <c r="C20626" s="7" t="n">
        <v>0</v>
      </c>
      <c r="D20626" s="7" t="n">
        <v>17</v>
      </c>
      <c r="E20626" s="7" t="n">
        <v>64714</v>
      </c>
      <c r="F20626" s="7" t="s">
        <v>1714</v>
      </c>
      <c r="G20626" s="7" t="n">
        <v>2</v>
      </c>
      <c r="H20626" s="7" t="n">
        <v>3</v>
      </c>
      <c r="I20626" s="7" t="n">
        <v>17</v>
      </c>
      <c r="J20626" s="7" t="n">
        <v>64715</v>
      </c>
      <c r="K20626" s="7" t="s">
        <v>1715</v>
      </c>
      <c r="L20626" s="7" t="n">
        <v>2</v>
      </c>
      <c r="M20626" s="7" t="n">
        <v>3</v>
      </c>
      <c r="N20626" s="7" t="n">
        <v>17</v>
      </c>
      <c r="O20626" s="7" t="n">
        <v>64716</v>
      </c>
      <c r="P20626" s="7" t="s">
        <v>1716</v>
      </c>
      <c r="Q20626" s="7" t="n">
        <v>2</v>
      </c>
      <c r="R20626" s="7" t="n">
        <v>0</v>
      </c>
    </row>
    <row r="20627" spans="1:8">
      <c r="A20627" t="s">
        <v>4</v>
      </c>
      <c r="B20627" s="4" t="s">
        <v>5</v>
      </c>
    </row>
    <row r="20628" spans="1:8">
      <c r="A20628" t="n">
        <v>200849</v>
      </c>
      <c r="B20628" s="27" t="n">
        <v>28</v>
      </c>
    </row>
    <row r="20629" spans="1:8">
      <c r="A20629" t="s">
        <v>4</v>
      </c>
      <c r="B20629" s="4" t="s">
        <v>5</v>
      </c>
      <c r="C20629" s="4" t="s">
        <v>7</v>
      </c>
      <c r="D20629" s="4" t="s">
        <v>11</v>
      </c>
      <c r="E20629" s="4" t="s">
        <v>11</v>
      </c>
      <c r="F20629" s="4" t="s">
        <v>7</v>
      </c>
    </row>
    <row r="20630" spans="1:8">
      <c r="A20630" t="n">
        <v>200850</v>
      </c>
      <c r="B20630" s="31" t="n">
        <v>25</v>
      </c>
      <c r="C20630" s="7" t="n">
        <v>1</v>
      </c>
      <c r="D20630" s="7" t="n">
        <v>65535</v>
      </c>
      <c r="E20630" s="7" t="n">
        <v>65535</v>
      </c>
      <c r="F20630" s="7" t="n">
        <v>0</v>
      </c>
    </row>
    <row r="20631" spans="1:8">
      <c r="A20631" t="s">
        <v>4</v>
      </c>
      <c r="B20631" s="4" t="s">
        <v>5</v>
      </c>
      <c r="C20631" s="4" t="s">
        <v>11</v>
      </c>
      <c r="D20631" s="4" t="s">
        <v>7</v>
      </c>
      <c r="E20631" s="4" t="s">
        <v>8</v>
      </c>
      <c r="F20631" s="4" t="s">
        <v>13</v>
      </c>
      <c r="G20631" s="4" t="s">
        <v>13</v>
      </c>
      <c r="H20631" s="4" t="s">
        <v>13</v>
      </c>
    </row>
    <row r="20632" spans="1:8">
      <c r="A20632" t="n">
        <v>200857</v>
      </c>
      <c r="B20632" s="42" t="n">
        <v>48</v>
      </c>
      <c r="C20632" s="7" t="n">
        <v>9</v>
      </c>
      <c r="D20632" s="7" t="n">
        <v>0</v>
      </c>
      <c r="E20632" s="7" t="s">
        <v>1684</v>
      </c>
      <c r="F20632" s="7" t="n">
        <v>-1</v>
      </c>
      <c r="G20632" s="7" t="n">
        <v>1</v>
      </c>
      <c r="H20632" s="7" t="n">
        <v>2.80259692864963e-45</v>
      </c>
    </row>
    <row r="20633" spans="1:8">
      <c r="A20633" t="s">
        <v>4</v>
      </c>
      <c r="B20633" s="4" t="s">
        <v>5</v>
      </c>
      <c r="C20633" s="4" t="s">
        <v>7</v>
      </c>
      <c r="D20633" s="4" t="s">
        <v>11</v>
      </c>
      <c r="E20633" s="4" t="s">
        <v>8</v>
      </c>
      <c r="F20633" s="4" t="s">
        <v>8</v>
      </c>
      <c r="G20633" s="4" t="s">
        <v>8</v>
      </c>
      <c r="H20633" s="4" t="s">
        <v>8</v>
      </c>
    </row>
    <row r="20634" spans="1:8">
      <c r="A20634" t="n">
        <v>200892</v>
      </c>
      <c r="B20634" s="38" t="n">
        <v>51</v>
      </c>
      <c r="C20634" s="7" t="n">
        <v>3</v>
      </c>
      <c r="D20634" s="7" t="n">
        <v>9</v>
      </c>
      <c r="E20634" s="7" t="s">
        <v>154</v>
      </c>
      <c r="F20634" s="7" t="s">
        <v>155</v>
      </c>
      <c r="G20634" s="7" t="s">
        <v>78</v>
      </c>
      <c r="H20634" s="7" t="s">
        <v>79</v>
      </c>
    </row>
    <row r="20635" spans="1:8">
      <c r="A20635" t="s">
        <v>4</v>
      </c>
      <c r="B20635" s="4" t="s">
        <v>5</v>
      </c>
      <c r="C20635" s="4" t="s">
        <v>11</v>
      </c>
      <c r="D20635" s="4" t="s">
        <v>7</v>
      </c>
      <c r="E20635" s="4" t="s">
        <v>13</v>
      </c>
      <c r="F20635" s="4" t="s">
        <v>11</v>
      </c>
    </row>
    <row r="20636" spans="1:8">
      <c r="A20636" t="n">
        <v>200905</v>
      </c>
      <c r="B20636" s="56" t="n">
        <v>59</v>
      </c>
      <c r="C20636" s="7" t="n">
        <v>9</v>
      </c>
      <c r="D20636" s="7" t="n">
        <v>13</v>
      </c>
      <c r="E20636" s="7" t="n">
        <v>0.150000005960464</v>
      </c>
      <c r="F20636" s="7" t="n">
        <v>0</v>
      </c>
    </row>
    <row r="20637" spans="1:8">
      <c r="A20637" t="s">
        <v>4</v>
      </c>
      <c r="B20637" s="4" t="s">
        <v>5</v>
      </c>
      <c r="C20637" s="4" t="s">
        <v>11</v>
      </c>
    </row>
    <row r="20638" spans="1:8">
      <c r="A20638" t="n">
        <v>200915</v>
      </c>
      <c r="B20638" s="29" t="n">
        <v>16</v>
      </c>
      <c r="C20638" s="7" t="n">
        <v>1000</v>
      </c>
    </row>
    <row r="20639" spans="1:8">
      <c r="A20639" t="s">
        <v>4</v>
      </c>
      <c r="B20639" s="4" t="s">
        <v>5</v>
      </c>
      <c r="C20639" s="4" t="s">
        <v>7</v>
      </c>
      <c r="D20639" s="4" t="s">
        <v>11</v>
      </c>
      <c r="E20639" s="4" t="s">
        <v>8</v>
      </c>
    </row>
    <row r="20640" spans="1:8">
      <c r="A20640" t="n">
        <v>200918</v>
      </c>
      <c r="B20640" s="38" t="n">
        <v>51</v>
      </c>
      <c r="C20640" s="7" t="n">
        <v>4</v>
      </c>
      <c r="D20640" s="7" t="n">
        <v>9</v>
      </c>
      <c r="E20640" s="7" t="s">
        <v>242</v>
      </c>
    </row>
    <row r="20641" spans="1:18">
      <c r="A20641" t="s">
        <v>4</v>
      </c>
      <c r="B20641" s="4" t="s">
        <v>5</v>
      </c>
      <c r="C20641" s="4" t="s">
        <v>11</v>
      </c>
    </row>
    <row r="20642" spans="1:18">
      <c r="A20642" t="n">
        <v>200932</v>
      </c>
      <c r="B20642" s="29" t="n">
        <v>16</v>
      </c>
      <c r="C20642" s="7" t="n">
        <v>0</v>
      </c>
    </row>
    <row r="20643" spans="1:18">
      <c r="A20643" t="s">
        <v>4</v>
      </c>
      <c r="B20643" s="4" t="s">
        <v>5</v>
      </c>
      <c r="C20643" s="4" t="s">
        <v>11</v>
      </c>
      <c r="D20643" s="4" t="s">
        <v>7</v>
      </c>
      <c r="E20643" s="4" t="s">
        <v>15</v>
      </c>
      <c r="F20643" s="4" t="s">
        <v>55</v>
      </c>
      <c r="G20643" s="4" t="s">
        <v>7</v>
      </c>
      <c r="H20643" s="4" t="s">
        <v>7</v>
      </c>
    </row>
    <row r="20644" spans="1:18">
      <c r="A20644" t="n">
        <v>200935</v>
      </c>
      <c r="B20644" s="55" t="n">
        <v>26</v>
      </c>
      <c r="C20644" s="7" t="n">
        <v>9</v>
      </c>
      <c r="D20644" s="7" t="n">
        <v>17</v>
      </c>
      <c r="E20644" s="7" t="n">
        <v>64717</v>
      </c>
      <c r="F20644" s="7" t="s">
        <v>1717</v>
      </c>
      <c r="G20644" s="7" t="n">
        <v>2</v>
      </c>
      <c r="H20644" s="7" t="n">
        <v>0</v>
      </c>
    </row>
    <row r="20645" spans="1:18">
      <c r="A20645" t="s">
        <v>4</v>
      </c>
      <c r="B20645" s="4" t="s">
        <v>5</v>
      </c>
    </row>
    <row r="20646" spans="1:18">
      <c r="A20646" t="n">
        <v>200949</v>
      </c>
      <c r="B20646" s="27" t="n">
        <v>28</v>
      </c>
    </row>
    <row r="20647" spans="1:18">
      <c r="A20647" t="s">
        <v>4</v>
      </c>
      <c r="B20647" s="4" t="s">
        <v>5</v>
      </c>
      <c r="C20647" s="4" t="s">
        <v>7</v>
      </c>
      <c r="D20647" s="4" t="s">
        <v>11</v>
      </c>
      <c r="E20647" s="4" t="s">
        <v>13</v>
      </c>
    </row>
    <row r="20648" spans="1:18">
      <c r="A20648" t="n">
        <v>200950</v>
      </c>
      <c r="B20648" s="23" t="n">
        <v>58</v>
      </c>
      <c r="C20648" s="7" t="n">
        <v>101</v>
      </c>
      <c r="D20648" s="7" t="n">
        <v>800</v>
      </c>
      <c r="E20648" s="7" t="n">
        <v>1</v>
      </c>
    </row>
    <row r="20649" spans="1:18">
      <c r="A20649" t="s">
        <v>4</v>
      </c>
      <c r="B20649" s="4" t="s">
        <v>5</v>
      </c>
      <c r="C20649" s="4" t="s">
        <v>7</v>
      </c>
      <c r="D20649" s="4" t="s">
        <v>11</v>
      </c>
    </row>
    <row r="20650" spans="1:18">
      <c r="A20650" t="n">
        <v>200958</v>
      </c>
      <c r="B20650" s="23" t="n">
        <v>58</v>
      </c>
      <c r="C20650" s="7" t="n">
        <v>254</v>
      </c>
      <c r="D20650" s="7" t="n">
        <v>0</v>
      </c>
    </row>
    <row r="20651" spans="1:18">
      <c r="A20651" t="s">
        <v>4</v>
      </c>
      <c r="B20651" s="4" t="s">
        <v>5</v>
      </c>
      <c r="C20651" s="4" t="s">
        <v>7</v>
      </c>
      <c r="D20651" s="4" t="s">
        <v>7</v>
      </c>
      <c r="E20651" s="4" t="s">
        <v>13</v>
      </c>
      <c r="F20651" s="4" t="s">
        <v>13</v>
      </c>
      <c r="G20651" s="4" t="s">
        <v>13</v>
      </c>
      <c r="H20651" s="4" t="s">
        <v>11</v>
      </c>
    </row>
    <row r="20652" spans="1:18">
      <c r="A20652" t="n">
        <v>200962</v>
      </c>
      <c r="B20652" s="51" t="n">
        <v>45</v>
      </c>
      <c r="C20652" s="7" t="n">
        <v>2</v>
      </c>
      <c r="D20652" s="7" t="n">
        <v>3</v>
      </c>
      <c r="E20652" s="7" t="n">
        <v>-20.2199993133545</v>
      </c>
      <c r="F20652" s="7" t="n">
        <v>11.1199998855591</v>
      </c>
      <c r="G20652" s="7" t="n">
        <v>30.0799999237061</v>
      </c>
      <c r="H20652" s="7" t="n">
        <v>0</v>
      </c>
    </row>
    <row r="20653" spans="1:18">
      <c r="A20653" t="s">
        <v>4</v>
      </c>
      <c r="B20653" s="4" t="s">
        <v>5</v>
      </c>
      <c r="C20653" s="4" t="s">
        <v>7</v>
      </c>
      <c r="D20653" s="4" t="s">
        <v>7</v>
      </c>
      <c r="E20653" s="4" t="s">
        <v>13</v>
      </c>
      <c r="F20653" s="4" t="s">
        <v>13</v>
      </c>
      <c r="G20653" s="4" t="s">
        <v>13</v>
      </c>
      <c r="H20653" s="4" t="s">
        <v>11</v>
      </c>
      <c r="I20653" s="4" t="s">
        <v>7</v>
      </c>
    </row>
    <row r="20654" spans="1:18">
      <c r="A20654" t="n">
        <v>200979</v>
      </c>
      <c r="B20654" s="51" t="n">
        <v>45</v>
      </c>
      <c r="C20654" s="7" t="n">
        <v>4</v>
      </c>
      <c r="D20654" s="7" t="n">
        <v>3</v>
      </c>
      <c r="E20654" s="7" t="n">
        <v>15.7600002288818</v>
      </c>
      <c r="F20654" s="7" t="n">
        <v>65.1399993896484</v>
      </c>
      <c r="G20654" s="7" t="n">
        <v>8</v>
      </c>
      <c r="H20654" s="7" t="n">
        <v>0</v>
      </c>
      <c r="I20654" s="7" t="n">
        <v>0</v>
      </c>
    </row>
    <row r="20655" spans="1:18">
      <c r="A20655" t="s">
        <v>4</v>
      </c>
      <c r="B20655" s="4" t="s">
        <v>5</v>
      </c>
      <c r="C20655" s="4" t="s">
        <v>7</v>
      </c>
      <c r="D20655" s="4" t="s">
        <v>7</v>
      </c>
      <c r="E20655" s="4" t="s">
        <v>13</v>
      </c>
      <c r="F20655" s="4" t="s">
        <v>11</v>
      </c>
    </row>
    <row r="20656" spans="1:18">
      <c r="A20656" t="n">
        <v>200997</v>
      </c>
      <c r="B20656" s="51" t="n">
        <v>45</v>
      </c>
      <c r="C20656" s="7" t="n">
        <v>5</v>
      </c>
      <c r="D20656" s="7" t="n">
        <v>3</v>
      </c>
      <c r="E20656" s="7" t="n">
        <v>1.20000004768372</v>
      </c>
      <c r="F20656" s="7" t="n">
        <v>0</v>
      </c>
    </row>
    <row r="20657" spans="1:9">
      <c r="A20657" t="s">
        <v>4</v>
      </c>
      <c r="B20657" s="4" t="s">
        <v>5</v>
      </c>
      <c r="C20657" s="4" t="s">
        <v>7</v>
      </c>
      <c r="D20657" s="4" t="s">
        <v>7</v>
      </c>
      <c r="E20657" s="4" t="s">
        <v>13</v>
      </c>
      <c r="F20657" s="4" t="s">
        <v>11</v>
      </c>
    </row>
    <row r="20658" spans="1:9">
      <c r="A20658" t="n">
        <v>201006</v>
      </c>
      <c r="B20658" s="51" t="n">
        <v>45</v>
      </c>
      <c r="C20658" s="7" t="n">
        <v>5</v>
      </c>
      <c r="D20658" s="7" t="n">
        <v>3</v>
      </c>
      <c r="E20658" s="7" t="n">
        <v>1</v>
      </c>
      <c r="F20658" s="7" t="n">
        <v>3000</v>
      </c>
    </row>
    <row r="20659" spans="1:9">
      <c r="A20659" t="s">
        <v>4</v>
      </c>
      <c r="B20659" s="4" t="s">
        <v>5</v>
      </c>
      <c r="C20659" s="4" t="s">
        <v>7</v>
      </c>
      <c r="D20659" s="4" t="s">
        <v>7</v>
      </c>
      <c r="E20659" s="4" t="s">
        <v>13</v>
      </c>
      <c r="F20659" s="4" t="s">
        <v>11</v>
      </c>
    </row>
    <row r="20660" spans="1:9">
      <c r="A20660" t="n">
        <v>201015</v>
      </c>
      <c r="B20660" s="51" t="n">
        <v>45</v>
      </c>
      <c r="C20660" s="7" t="n">
        <v>11</v>
      </c>
      <c r="D20660" s="7" t="n">
        <v>3</v>
      </c>
      <c r="E20660" s="7" t="n">
        <v>34.5999984741211</v>
      </c>
      <c r="F20660" s="7" t="n">
        <v>0</v>
      </c>
    </row>
    <row r="20661" spans="1:9">
      <c r="A20661" t="s">
        <v>4</v>
      </c>
      <c r="B20661" s="4" t="s">
        <v>5</v>
      </c>
      <c r="C20661" s="4" t="s">
        <v>11</v>
      </c>
      <c r="D20661" s="4" t="s">
        <v>13</v>
      </c>
      <c r="E20661" s="4" t="s">
        <v>13</v>
      </c>
      <c r="F20661" s="4" t="s">
        <v>13</v>
      </c>
      <c r="G20661" s="4" t="s">
        <v>13</v>
      </c>
    </row>
    <row r="20662" spans="1:9">
      <c r="A20662" t="n">
        <v>201024</v>
      </c>
      <c r="B20662" s="36" t="n">
        <v>46</v>
      </c>
      <c r="C20662" s="7" t="n">
        <v>0</v>
      </c>
      <c r="D20662" s="7" t="n">
        <v>-19.0499992370605</v>
      </c>
      <c r="E20662" s="7" t="n">
        <v>10.0100002288818</v>
      </c>
      <c r="F20662" s="7" t="n">
        <v>30.2399997711182</v>
      </c>
      <c r="G20662" s="7" t="n">
        <v>270</v>
      </c>
    </row>
    <row r="20663" spans="1:9">
      <c r="A20663" t="s">
        <v>4</v>
      </c>
      <c r="B20663" s="4" t="s">
        <v>5</v>
      </c>
      <c r="C20663" s="4" t="s">
        <v>7</v>
      </c>
      <c r="D20663" s="4" t="s">
        <v>11</v>
      </c>
    </row>
    <row r="20664" spans="1:9">
      <c r="A20664" t="n">
        <v>201043</v>
      </c>
      <c r="B20664" s="23" t="n">
        <v>58</v>
      </c>
      <c r="C20664" s="7" t="n">
        <v>255</v>
      </c>
      <c r="D20664" s="7" t="n">
        <v>0</v>
      </c>
    </row>
    <row r="20665" spans="1:9">
      <c r="A20665" t="s">
        <v>4</v>
      </c>
      <c r="B20665" s="4" t="s">
        <v>5</v>
      </c>
      <c r="C20665" s="4" t="s">
        <v>11</v>
      </c>
    </row>
    <row r="20666" spans="1:9">
      <c r="A20666" t="n">
        <v>201047</v>
      </c>
      <c r="B20666" s="29" t="n">
        <v>16</v>
      </c>
      <c r="C20666" s="7" t="n">
        <v>800</v>
      </c>
    </row>
    <row r="20667" spans="1:9">
      <c r="A20667" t="s">
        <v>4</v>
      </c>
      <c r="B20667" s="4" t="s">
        <v>5</v>
      </c>
      <c r="C20667" s="4" t="s">
        <v>7</v>
      </c>
      <c r="D20667" s="4" t="s">
        <v>11</v>
      </c>
      <c r="E20667" s="4" t="s">
        <v>8</v>
      </c>
    </row>
    <row r="20668" spans="1:9">
      <c r="A20668" t="n">
        <v>201050</v>
      </c>
      <c r="B20668" s="38" t="n">
        <v>51</v>
      </c>
      <c r="C20668" s="7" t="n">
        <v>4</v>
      </c>
      <c r="D20668" s="7" t="n">
        <v>9</v>
      </c>
      <c r="E20668" s="7" t="s">
        <v>137</v>
      </c>
    </row>
    <row r="20669" spans="1:9">
      <c r="A20669" t="s">
        <v>4</v>
      </c>
      <c r="B20669" s="4" t="s">
        <v>5</v>
      </c>
      <c r="C20669" s="4" t="s">
        <v>11</v>
      </c>
    </row>
    <row r="20670" spans="1:9">
      <c r="A20670" t="n">
        <v>201063</v>
      </c>
      <c r="B20670" s="29" t="n">
        <v>16</v>
      </c>
      <c r="C20670" s="7" t="n">
        <v>0</v>
      </c>
    </row>
    <row r="20671" spans="1:9">
      <c r="A20671" t="s">
        <v>4</v>
      </c>
      <c r="B20671" s="4" t="s">
        <v>5</v>
      </c>
      <c r="C20671" s="4" t="s">
        <v>11</v>
      </c>
      <c r="D20671" s="4" t="s">
        <v>7</v>
      </c>
      <c r="E20671" s="4" t="s">
        <v>15</v>
      </c>
      <c r="F20671" s="4" t="s">
        <v>55</v>
      </c>
      <c r="G20671" s="4" t="s">
        <v>7</v>
      </c>
      <c r="H20671" s="4" t="s">
        <v>7</v>
      </c>
      <c r="I20671" s="4" t="s">
        <v>7</v>
      </c>
      <c r="J20671" s="4" t="s">
        <v>15</v>
      </c>
      <c r="K20671" s="4" t="s">
        <v>55</v>
      </c>
      <c r="L20671" s="4" t="s">
        <v>7</v>
      </c>
      <c r="M20671" s="4" t="s">
        <v>7</v>
      </c>
      <c r="N20671" s="4" t="s">
        <v>7</v>
      </c>
      <c r="O20671" s="4" t="s">
        <v>15</v>
      </c>
      <c r="P20671" s="4" t="s">
        <v>55</v>
      </c>
      <c r="Q20671" s="4" t="s">
        <v>7</v>
      </c>
      <c r="R20671" s="4" t="s">
        <v>7</v>
      </c>
    </row>
    <row r="20672" spans="1:9">
      <c r="A20672" t="n">
        <v>201066</v>
      </c>
      <c r="B20672" s="55" t="n">
        <v>26</v>
      </c>
      <c r="C20672" s="7" t="n">
        <v>9</v>
      </c>
      <c r="D20672" s="7" t="n">
        <v>17</v>
      </c>
      <c r="E20672" s="7" t="n">
        <v>64718</v>
      </c>
      <c r="F20672" s="7" t="s">
        <v>1718</v>
      </c>
      <c r="G20672" s="7" t="n">
        <v>2</v>
      </c>
      <c r="H20672" s="7" t="n">
        <v>3</v>
      </c>
      <c r="I20672" s="7" t="n">
        <v>17</v>
      </c>
      <c r="J20672" s="7" t="n">
        <v>64719</v>
      </c>
      <c r="K20672" s="7" t="s">
        <v>1719</v>
      </c>
      <c r="L20672" s="7" t="n">
        <v>2</v>
      </c>
      <c r="M20672" s="7" t="n">
        <v>3</v>
      </c>
      <c r="N20672" s="7" t="n">
        <v>17</v>
      </c>
      <c r="O20672" s="7" t="n">
        <v>64720</v>
      </c>
      <c r="P20672" s="7" t="s">
        <v>1720</v>
      </c>
      <c r="Q20672" s="7" t="n">
        <v>2</v>
      </c>
      <c r="R20672" s="7" t="n">
        <v>0</v>
      </c>
    </row>
    <row r="20673" spans="1:18">
      <c r="A20673" t="s">
        <v>4</v>
      </c>
      <c r="B20673" s="4" t="s">
        <v>5</v>
      </c>
    </row>
    <row r="20674" spans="1:18">
      <c r="A20674" t="n">
        <v>201364</v>
      </c>
      <c r="B20674" s="27" t="n">
        <v>28</v>
      </c>
    </row>
    <row r="20675" spans="1:18">
      <c r="A20675" t="s">
        <v>4</v>
      </c>
      <c r="B20675" s="4" t="s">
        <v>5</v>
      </c>
      <c r="C20675" s="4" t="s">
        <v>7</v>
      </c>
      <c r="D20675" s="4" t="s">
        <v>11</v>
      </c>
      <c r="E20675" s="4" t="s">
        <v>11</v>
      </c>
      <c r="F20675" s="4" t="s">
        <v>7</v>
      </c>
    </row>
    <row r="20676" spans="1:18">
      <c r="A20676" t="n">
        <v>201365</v>
      </c>
      <c r="B20676" s="31" t="n">
        <v>25</v>
      </c>
      <c r="C20676" s="7" t="n">
        <v>1</v>
      </c>
      <c r="D20676" s="7" t="n">
        <v>60</v>
      </c>
      <c r="E20676" s="7" t="n">
        <v>640</v>
      </c>
      <c r="F20676" s="7" t="n">
        <v>2</v>
      </c>
    </row>
    <row r="20677" spans="1:18">
      <c r="A20677" t="s">
        <v>4</v>
      </c>
      <c r="B20677" s="4" t="s">
        <v>5</v>
      </c>
      <c r="C20677" s="4" t="s">
        <v>7</v>
      </c>
      <c r="D20677" s="4" t="s">
        <v>11</v>
      </c>
      <c r="E20677" s="4" t="s">
        <v>8</v>
      </c>
    </row>
    <row r="20678" spans="1:18">
      <c r="A20678" t="n">
        <v>201372</v>
      </c>
      <c r="B20678" s="38" t="n">
        <v>51</v>
      </c>
      <c r="C20678" s="7" t="n">
        <v>4</v>
      </c>
      <c r="D20678" s="7" t="n">
        <v>0</v>
      </c>
      <c r="E20678" s="7" t="s">
        <v>643</v>
      </c>
    </row>
    <row r="20679" spans="1:18">
      <c r="A20679" t="s">
        <v>4</v>
      </c>
      <c r="B20679" s="4" t="s">
        <v>5</v>
      </c>
      <c r="C20679" s="4" t="s">
        <v>11</v>
      </c>
    </row>
    <row r="20680" spans="1:18">
      <c r="A20680" t="n">
        <v>201385</v>
      </c>
      <c r="B20680" s="29" t="n">
        <v>16</v>
      </c>
      <c r="C20680" s="7" t="n">
        <v>0</v>
      </c>
    </row>
    <row r="20681" spans="1:18">
      <c r="A20681" t="s">
        <v>4</v>
      </c>
      <c r="B20681" s="4" t="s">
        <v>5</v>
      </c>
      <c r="C20681" s="4" t="s">
        <v>11</v>
      </c>
      <c r="D20681" s="4" t="s">
        <v>7</v>
      </c>
      <c r="E20681" s="4" t="s">
        <v>15</v>
      </c>
      <c r="F20681" s="4" t="s">
        <v>55</v>
      </c>
      <c r="G20681" s="4" t="s">
        <v>7</v>
      </c>
      <c r="H20681" s="4" t="s">
        <v>7</v>
      </c>
      <c r="I20681" s="4" t="s">
        <v>7</v>
      </c>
      <c r="J20681" s="4" t="s">
        <v>15</v>
      </c>
      <c r="K20681" s="4" t="s">
        <v>55</v>
      </c>
      <c r="L20681" s="4" t="s">
        <v>7</v>
      </c>
      <c r="M20681" s="4" t="s">
        <v>7</v>
      </c>
    </row>
    <row r="20682" spans="1:18">
      <c r="A20682" t="n">
        <v>201388</v>
      </c>
      <c r="B20682" s="55" t="n">
        <v>26</v>
      </c>
      <c r="C20682" s="7" t="n">
        <v>0</v>
      </c>
      <c r="D20682" s="7" t="n">
        <v>17</v>
      </c>
      <c r="E20682" s="7" t="n">
        <v>64721</v>
      </c>
      <c r="F20682" s="7" t="s">
        <v>1721</v>
      </c>
      <c r="G20682" s="7" t="n">
        <v>2</v>
      </c>
      <c r="H20682" s="7" t="n">
        <v>3</v>
      </c>
      <c r="I20682" s="7" t="n">
        <v>17</v>
      </c>
      <c r="J20682" s="7" t="n">
        <v>64722</v>
      </c>
      <c r="K20682" s="7" t="s">
        <v>1722</v>
      </c>
      <c r="L20682" s="7" t="n">
        <v>2</v>
      </c>
      <c r="M20682" s="7" t="n">
        <v>0</v>
      </c>
    </row>
    <row r="20683" spans="1:18">
      <c r="A20683" t="s">
        <v>4</v>
      </c>
      <c r="B20683" s="4" t="s">
        <v>5</v>
      </c>
    </row>
    <row r="20684" spans="1:18">
      <c r="A20684" t="n">
        <v>201507</v>
      </c>
      <c r="B20684" s="27" t="n">
        <v>28</v>
      </c>
    </row>
    <row r="20685" spans="1:18">
      <c r="A20685" t="s">
        <v>4</v>
      </c>
      <c r="B20685" s="4" t="s">
        <v>5</v>
      </c>
      <c r="C20685" s="4" t="s">
        <v>7</v>
      </c>
      <c r="D20685" s="4" t="s">
        <v>11</v>
      </c>
      <c r="E20685" s="4" t="s">
        <v>11</v>
      </c>
      <c r="F20685" s="4" t="s">
        <v>7</v>
      </c>
    </row>
    <row r="20686" spans="1:18">
      <c r="A20686" t="n">
        <v>201508</v>
      </c>
      <c r="B20686" s="31" t="n">
        <v>25</v>
      </c>
      <c r="C20686" s="7" t="n">
        <v>1</v>
      </c>
      <c r="D20686" s="7" t="n">
        <v>65535</v>
      </c>
      <c r="E20686" s="7" t="n">
        <v>65535</v>
      </c>
      <c r="F20686" s="7" t="n">
        <v>0</v>
      </c>
    </row>
    <row r="20687" spans="1:18">
      <c r="A20687" t="s">
        <v>4</v>
      </c>
      <c r="B20687" s="4" t="s">
        <v>5</v>
      </c>
      <c r="C20687" s="4" t="s">
        <v>11</v>
      </c>
      <c r="D20687" s="4" t="s">
        <v>7</v>
      </c>
      <c r="E20687" s="4" t="s">
        <v>8</v>
      </c>
      <c r="F20687" s="4" t="s">
        <v>13</v>
      </c>
      <c r="G20687" s="4" t="s">
        <v>13</v>
      </c>
      <c r="H20687" s="4" t="s">
        <v>13</v>
      </c>
    </row>
    <row r="20688" spans="1:18">
      <c r="A20688" t="n">
        <v>201515</v>
      </c>
      <c r="B20688" s="42" t="n">
        <v>48</v>
      </c>
      <c r="C20688" s="7" t="n">
        <v>9</v>
      </c>
      <c r="D20688" s="7" t="n">
        <v>0</v>
      </c>
      <c r="E20688" s="7" t="s">
        <v>1685</v>
      </c>
      <c r="F20688" s="7" t="n">
        <v>-1</v>
      </c>
      <c r="G20688" s="7" t="n">
        <v>1</v>
      </c>
      <c r="H20688" s="7" t="n">
        <v>0</v>
      </c>
    </row>
    <row r="20689" spans="1:13">
      <c r="A20689" t="s">
        <v>4</v>
      </c>
      <c r="B20689" s="4" t="s">
        <v>5</v>
      </c>
      <c r="C20689" s="4" t="s">
        <v>11</v>
      </c>
    </row>
    <row r="20690" spans="1:13">
      <c r="A20690" t="n">
        <v>201549</v>
      </c>
      <c r="B20690" s="29" t="n">
        <v>16</v>
      </c>
      <c r="C20690" s="7" t="n">
        <v>300</v>
      </c>
    </row>
    <row r="20691" spans="1:13">
      <c r="A20691" t="s">
        <v>4</v>
      </c>
      <c r="B20691" s="4" t="s">
        <v>5</v>
      </c>
      <c r="C20691" s="4" t="s">
        <v>7</v>
      </c>
      <c r="D20691" s="4" t="s">
        <v>11</v>
      </c>
      <c r="E20691" s="4" t="s">
        <v>8</v>
      </c>
    </row>
    <row r="20692" spans="1:13">
      <c r="A20692" t="n">
        <v>201552</v>
      </c>
      <c r="B20692" s="38" t="n">
        <v>51</v>
      </c>
      <c r="C20692" s="7" t="n">
        <v>4</v>
      </c>
      <c r="D20692" s="7" t="n">
        <v>9</v>
      </c>
      <c r="E20692" s="7" t="s">
        <v>658</v>
      </c>
    </row>
    <row r="20693" spans="1:13">
      <c r="A20693" t="s">
        <v>4</v>
      </c>
      <c r="B20693" s="4" t="s">
        <v>5</v>
      </c>
      <c r="C20693" s="4" t="s">
        <v>11</v>
      </c>
    </row>
    <row r="20694" spans="1:13">
      <c r="A20694" t="n">
        <v>201566</v>
      </c>
      <c r="B20694" s="29" t="n">
        <v>16</v>
      </c>
      <c r="C20694" s="7" t="n">
        <v>0</v>
      </c>
    </row>
    <row r="20695" spans="1:13">
      <c r="A20695" t="s">
        <v>4</v>
      </c>
      <c r="B20695" s="4" t="s">
        <v>5</v>
      </c>
      <c r="C20695" s="4" t="s">
        <v>11</v>
      </c>
      <c r="D20695" s="4" t="s">
        <v>7</v>
      </c>
      <c r="E20695" s="4" t="s">
        <v>15</v>
      </c>
      <c r="F20695" s="4" t="s">
        <v>55</v>
      </c>
      <c r="G20695" s="4" t="s">
        <v>7</v>
      </c>
      <c r="H20695" s="4" t="s">
        <v>7</v>
      </c>
      <c r="I20695" s="4" t="s">
        <v>7</v>
      </c>
      <c r="J20695" s="4" t="s">
        <v>15</v>
      </c>
      <c r="K20695" s="4" t="s">
        <v>55</v>
      </c>
      <c r="L20695" s="4" t="s">
        <v>7</v>
      </c>
      <c r="M20695" s="4" t="s">
        <v>7</v>
      </c>
      <c r="N20695" s="4" t="s">
        <v>7</v>
      </c>
      <c r="O20695" s="4" t="s">
        <v>15</v>
      </c>
      <c r="P20695" s="4" t="s">
        <v>55</v>
      </c>
      <c r="Q20695" s="4" t="s">
        <v>7</v>
      </c>
      <c r="R20695" s="4" t="s">
        <v>7</v>
      </c>
    </row>
    <row r="20696" spans="1:13">
      <c r="A20696" t="n">
        <v>201569</v>
      </c>
      <c r="B20696" s="55" t="n">
        <v>26</v>
      </c>
      <c r="C20696" s="7" t="n">
        <v>9</v>
      </c>
      <c r="D20696" s="7" t="n">
        <v>17</v>
      </c>
      <c r="E20696" s="7" t="n">
        <v>64723</v>
      </c>
      <c r="F20696" s="7" t="s">
        <v>1723</v>
      </c>
      <c r="G20696" s="7" t="n">
        <v>2</v>
      </c>
      <c r="H20696" s="7" t="n">
        <v>3</v>
      </c>
      <c r="I20696" s="7" t="n">
        <v>17</v>
      </c>
      <c r="J20696" s="7" t="n">
        <v>64724</v>
      </c>
      <c r="K20696" s="7" t="s">
        <v>1724</v>
      </c>
      <c r="L20696" s="7" t="n">
        <v>2</v>
      </c>
      <c r="M20696" s="7" t="n">
        <v>3</v>
      </c>
      <c r="N20696" s="7" t="n">
        <v>17</v>
      </c>
      <c r="O20696" s="7" t="n">
        <v>64725</v>
      </c>
      <c r="P20696" s="7" t="s">
        <v>1725</v>
      </c>
      <c r="Q20696" s="7" t="n">
        <v>2</v>
      </c>
      <c r="R20696" s="7" t="n">
        <v>0</v>
      </c>
    </row>
    <row r="20697" spans="1:13">
      <c r="A20697" t="s">
        <v>4</v>
      </c>
      <c r="B20697" s="4" t="s">
        <v>5</v>
      </c>
    </row>
    <row r="20698" spans="1:13">
      <c r="A20698" t="n">
        <v>201822</v>
      </c>
      <c r="B20698" s="27" t="n">
        <v>28</v>
      </c>
    </row>
    <row r="20699" spans="1:13">
      <c r="A20699" t="s">
        <v>4</v>
      </c>
      <c r="B20699" s="4" t="s">
        <v>5</v>
      </c>
      <c r="C20699" s="4" t="s">
        <v>11</v>
      </c>
      <c r="D20699" s="4" t="s">
        <v>13</v>
      </c>
      <c r="E20699" s="4" t="s">
        <v>13</v>
      </c>
      <c r="F20699" s="4" t="s">
        <v>13</v>
      </c>
      <c r="G20699" s="4" t="s">
        <v>11</v>
      </c>
      <c r="H20699" s="4" t="s">
        <v>11</v>
      </c>
    </row>
    <row r="20700" spans="1:13">
      <c r="A20700" t="n">
        <v>201823</v>
      </c>
      <c r="B20700" s="37" t="n">
        <v>60</v>
      </c>
      <c r="C20700" s="7" t="n">
        <v>0</v>
      </c>
      <c r="D20700" s="7" t="n">
        <v>0</v>
      </c>
      <c r="E20700" s="7" t="n">
        <v>-10</v>
      </c>
      <c r="F20700" s="7" t="n">
        <v>0</v>
      </c>
      <c r="G20700" s="7" t="n">
        <v>800</v>
      </c>
      <c r="H20700" s="7" t="n">
        <v>0</v>
      </c>
    </row>
    <row r="20701" spans="1:13">
      <c r="A20701" t="s">
        <v>4</v>
      </c>
      <c r="B20701" s="4" t="s">
        <v>5</v>
      </c>
      <c r="C20701" s="4" t="s">
        <v>7</v>
      </c>
      <c r="D20701" s="4" t="s">
        <v>11</v>
      </c>
      <c r="E20701" s="4" t="s">
        <v>11</v>
      </c>
      <c r="F20701" s="4" t="s">
        <v>7</v>
      </c>
    </row>
    <row r="20702" spans="1:13">
      <c r="A20702" t="n">
        <v>201842</v>
      </c>
      <c r="B20702" s="31" t="n">
        <v>25</v>
      </c>
      <c r="C20702" s="7" t="n">
        <v>1</v>
      </c>
      <c r="D20702" s="7" t="n">
        <v>60</v>
      </c>
      <c r="E20702" s="7" t="n">
        <v>640</v>
      </c>
      <c r="F20702" s="7" t="n">
        <v>2</v>
      </c>
    </row>
    <row r="20703" spans="1:13">
      <c r="A20703" t="s">
        <v>4</v>
      </c>
      <c r="B20703" s="4" t="s">
        <v>5</v>
      </c>
      <c r="C20703" s="4" t="s">
        <v>7</v>
      </c>
      <c r="D20703" s="4" t="s">
        <v>11</v>
      </c>
      <c r="E20703" s="4" t="s">
        <v>8</v>
      </c>
    </row>
    <row r="20704" spans="1:13">
      <c r="A20704" t="n">
        <v>201849</v>
      </c>
      <c r="B20704" s="38" t="n">
        <v>51</v>
      </c>
      <c r="C20704" s="7" t="n">
        <v>4</v>
      </c>
      <c r="D20704" s="7" t="n">
        <v>0</v>
      </c>
      <c r="E20704" s="7" t="s">
        <v>192</v>
      </c>
    </row>
    <row r="20705" spans="1:18">
      <c r="A20705" t="s">
        <v>4</v>
      </c>
      <c r="B20705" s="4" t="s">
        <v>5</v>
      </c>
      <c r="C20705" s="4" t="s">
        <v>11</v>
      </c>
    </row>
    <row r="20706" spans="1:18">
      <c r="A20706" t="n">
        <v>201862</v>
      </c>
      <c r="B20706" s="29" t="n">
        <v>16</v>
      </c>
      <c r="C20706" s="7" t="n">
        <v>0</v>
      </c>
    </row>
    <row r="20707" spans="1:18">
      <c r="A20707" t="s">
        <v>4</v>
      </c>
      <c r="B20707" s="4" t="s">
        <v>5</v>
      </c>
      <c r="C20707" s="4" t="s">
        <v>11</v>
      </c>
      <c r="D20707" s="4" t="s">
        <v>7</v>
      </c>
      <c r="E20707" s="4" t="s">
        <v>15</v>
      </c>
      <c r="F20707" s="4" t="s">
        <v>55</v>
      </c>
      <c r="G20707" s="4" t="s">
        <v>7</v>
      </c>
      <c r="H20707" s="4" t="s">
        <v>7</v>
      </c>
      <c r="I20707" s="4" t="s">
        <v>7</v>
      </c>
      <c r="J20707" s="4" t="s">
        <v>15</v>
      </c>
      <c r="K20707" s="4" t="s">
        <v>55</v>
      </c>
      <c r="L20707" s="4" t="s">
        <v>7</v>
      </c>
      <c r="M20707" s="4" t="s">
        <v>7</v>
      </c>
      <c r="N20707" s="4" t="s">
        <v>7</v>
      </c>
      <c r="O20707" s="4" t="s">
        <v>15</v>
      </c>
      <c r="P20707" s="4" t="s">
        <v>55</v>
      </c>
      <c r="Q20707" s="4" t="s">
        <v>7</v>
      </c>
      <c r="R20707" s="4" t="s">
        <v>7</v>
      </c>
    </row>
    <row r="20708" spans="1:18">
      <c r="A20708" t="n">
        <v>201865</v>
      </c>
      <c r="B20708" s="55" t="n">
        <v>26</v>
      </c>
      <c r="C20708" s="7" t="n">
        <v>0</v>
      </c>
      <c r="D20708" s="7" t="n">
        <v>17</v>
      </c>
      <c r="E20708" s="7" t="n">
        <v>64726</v>
      </c>
      <c r="F20708" s="7" t="s">
        <v>1726</v>
      </c>
      <c r="G20708" s="7" t="n">
        <v>2</v>
      </c>
      <c r="H20708" s="7" t="n">
        <v>3</v>
      </c>
      <c r="I20708" s="7" t="n">
        <v>17</v>
      </c>
      <c r="J20708" s="7" t="n">
        <v>64727</v>
      </c>
      <c r="K20708" s="7" t="s">
        <v>1727</v>
      </c>
      <c r="L20708" s="7" t="n">
        <v>2</v>
      </c>
      <c r="M20708" s="7" t="n">
        <v>3</v>
      </c>
      <c r="N20708" s="7" t="n">
        <v>17</v>
      </c>
      <c r="O20708" s="7" t="n">
        <v>64728</v>
      </c>
      <c r="P20708" s="7" t="s">
        <v>1728</v>
      </c>
      <c r="Q20708" s="7" t="n">
        <v>2</v>
      </c>
      <c r="R20708" s="7" t="n">
        <v>0</v>
      </c>
    </row>
    <row r="20709" spans="1:18">
      <c r="A20709" t="s">
        <v>4</v>
      </c>
      <c r="B20709" s="4" t="s">
        <v>5</v>
      </c>
    </row>
    <row r="20710" spans="1:18">
      <c r="A20710" t="n">
        <v>202066</v>
      </c>
      <c r="B20710" s="27" t="n">
        <v>28</v>
      </c>
    </row>
    <row r="20711" spans="1:18">
      <c r="A20711" t="s">
        <v>4</v>
      </c>
      <c r="B20711" s="4" t="s">
        <v>5</v>
      </c>
      <c r="C20711" s="4" t="s">
        <v>7</v>
      </c>
      <c r="D20711" s="4" t="s">
        <v>11</v>
      </c>
      <c r="E20711" s="4" t="s">
        <v>11</v>
      </c>
      <c r="F20711" s="4" t="s">
        <v>7</v>
      </c>
    </row>
    <row r="20712" spans="1:18">
      <c r="A20712" t="n">
        <v>202067</v>
      </c>
      <c r="B20712" s="31" t="n">
        <v>25</v>
      </c>
      <c r="C20712" s="7" t="n">
        <v>1</v>
      </c>
      <c r="D20712" s="7" t="n">
        <v>65535</v>
      </c>
      <c r="E20712" s="7" t="n">
        <v>65535</v>
      </c>
      <c r="F20712" s="7" t="n">
        <v>0</v>
      </c>
    </row>
    <row r="20713" spans="1:18">
      <c r="A20713" t="s">
        <v>4</v>
      </c>
      <c r="B20713" s="4" t="s">
        <v>5</v>
      </c>
      <c r="C20713" s="4" t="s">
        <v>7</v>
      </c>
      <c r="D20713" s="4" t="s">
        <v>11</v>
      </c>
      <c r="E20713" s="4" t="s">
        <v>8</v>
      </c>
      <c r="F20713" s="4" t="s">
        <v>8</v>
      </c>
      <c r="G20713" s="4" t="s">
        <v>8</v>
      </c>
      <c r="H20713" s="4" t="s">
        <v>8</v>
      </c>
    </row>
    <row r="20714" spans="1:18">
      <c r="A20714" t="n">
        <v>202074</v>
      </c>
      <c r="B20714" s="38" t="n">
        <v>51</v>
      </c>
      <c r="C20714" s="7" t="n">
        <v>3</v>
      </c>
      <c r="D20714" s="7" t="n">
        <v>9</v>
      </c>
      <c r="E20714" s="7" t="s">
        <v>155</v>
      </c>
      <c r="F20714" s="7" t="s">
        <v>232</v>
      </c>
      <c r="G20714" s="7" t="s">
        <v>78</v>
      </c>
      <c r="H20714" s="7" t="s">
        <v>79</v>
      </c>
    </row>
    <row r="20715" spans="1:18">
      <c r="A20715" t="s">
        <v>4</v>
      </c>
      <c r="B20715" s="4" t="s">
        <v>5</v>
      </c>
      <c r="C20715" s="4" t="s">
        <v>11</v>
      </c>
      <c r="D20715" s="4" t="s">
        <v>7</v>
      </c>
      <c r="E20715" s="4" t="s">
        <v>13</v>
      </c>
      <c r="F20715" s="4" t="s">
        <v>11</v>
      </c>
    </row>
    <row r="20716" spans="1:18">
      <c r="A20716" t="n">
        <v>202087</v>
      </c>
      <c r="B20716" s="56" t="n">
        <v>59</v>
      </c>
      <c r="C20716" s="7" t="n">
        <v>9</v>
      </c>
      <c r="D20716" s="7" t="n">
        <v>9</v>
      </c>
      <c r="E20716" s="7" t="n">
        <v>0.150000005960464</v>
      </c>
      <c r="F20716" s="7" t="n">
        <v>0</v>
      </c>
    </row>
    <row r="20717" spans="1:18">
      <c r="A20717" t="s">
        <v>4</v>
      </c>
      <c r="B20717" s="4" t="s">
        <v>5</v>
      </c>
      <c r="C20717" s="4" t="s">
        <v>11</v>
      </c>
    </row>
    <row r="20718" spans="1:18">
      <c r="A20718" t="n">
        <v>202097</v>
      </c>
      <c r="B20718" s="29" t="n">
        <v>16</v>
      </c>
      <c r="C20718" s="7" t="n">
        <v>2000</v>
      </c>
    </row>
    <row r="20719" spans="1:18">
      <c r="A20719" t="s">
        <v>4</v>
      </c>
      <c r="B20719" s="4" t="s">
        <v>5</v>
      </c>
      <c r="C20719" s="4" t="s">
        <v>7</v>
      </c>
      <c r="D20719" s="4" t="s">
        <v>11</v>
      </c>
      <c r="E20719" s="4" t="s">
        <v>13</v>
      </c>
    </row>
    <row r="20720" spans="1:18">
      <c r="A20720" t="n">
        <v>202100</v>
      </c>
      <c r="B20720" s="23" t="n">
        <v>58</v>
      </c>
      <c r="C20720" s="7" t="n">
        <v>101</v>
      </c>
      <c r="D20720" s="7" t="n">
        <v>300</v>
      </c>
      <c r="E20720" s="7" t="n">
        <v>1</v>
      </c>
    </row>
    <row r="20721" spans="1:18">
      <c r="A20721" t="s">
        <v>4</v>
      </c>
      <c r="B20721" s="4" t="s">
        <v>5</v>
      </c>
      <c r="C20721" s="4" t="s">
        <v>7</v>
      </c>
      <c r="D20721" s="4" t="s">
        <v>11</v>
      </c>
    </row>
    <row r="20722" spans="1:18">
      <c r="A20722" t="n">
        <v>202108</v>
      </c>
      <c r="B20722" s="23" t="n">
        <v>58</v>
      </c>
      <c r="C20722" s="7" t="n">
        <v>254</v>
      </c>
      <c r="D20722" s="7" t="n">
        <v>0</v>
      </c>
    </row>
    <row r="20723" spans="1:18">
      <c r="A20723" t="s">
        <v>4</v>
      </c>
      <c r="B20723" s="4" t="s">
        <v>5</v>
      </c>
      <c r="C20723" s="4" t="s">
        <v>11</v>
      </c>
      <c r="D20723" s="4" t="s">
        <v>11</v>
      </c>
      <c r="E20723" s="4" t="s">
        <v>11</v>
      </c>
    </row>
    <row r="20724" spans="1:18">
      <c r="A20724" t="n">
        <v>202112</v>
      </c>
      <c r="B20724" s="72" t="n">
        <v>61</v>
      </c>
      <c r="C20724" s="7" t="n">
        <v>9</v>
      </c>
      <c r="D20724" s="7" t="n">
        <v>65533</v>
      </c>
      <c r="E20724" s="7" t="n">
        <v>0</v>
      </c>
    </row>
    <row r="20725" spans="1:18">
      <c r="A20725" t="s">
        <v>4</v>
      </c>
      <c r="B20725" s="4" t="s">
        <v>5</v>
      </c>
      <c r="C20725" s="4" t="s">
        <v>11</v>
      </c>
      <c r="D20725" s="4" t="s">
        <v>11</v>
      </c>
      <c r="E20725" s="4" t="s">
        <v>11</v>
      </c>
    </row>
    <row r="20726" spans="1:18">
      <c r="A20726" t="n">
        <v>202119</v>
      </c>
      <c r="B20726" s="72" t="n">
        <v>61</v>
      </c>
      <c r="C20726" s="7" t="n">
        <v>0</v>
      </c>
      <c r="D20726" s="7" t="n">
        <v>65533</v>
      </c>
      <c r="E20726" s="7" t="n">
        <v>0</v>
      </c>
    </row>
    <row r="20727" spans="1:18">
      <c r="A20727" t="s">
        <v>4</v>
      </c>
      <c r="B20727" s="4" t="s">
        <v>5</v>
      </c>
      <c r="C20727" s="4" t="s">
        <v>7</v>
      </c>
      <c r="D20727" s="4" t="s">
        <v>11</v>
      </c>
      <c r="E20727" s="4" t="s">
        <v>8</v>
      </c>
      <c r="F20727" s="4" t="s">
        <v>8</v>
      </c>
      <c r="G20727" s="4" t="s">
        <v>8</v>
      </c>
      <c r="H20727" s="4" t="s">
        <v>8</v>
      </c>
    </row>
    <row r="20728" spans="1:18">
      <c r="A20728" t="n">
        <v>202126</v>
      </c>
      <c r="B20728" s="38" t="n">
        <v>51</v>
      </c>
      <c r="C20728" s="7" t="n">
        <v>3</v>
      </c>
      <c r="D20728" s="7" t="n">
        <v>9</v>
      </c>
      <c r="E20728" s="7" t="s">
        <v>68</v>
      </c>
      <c r="F20728" s="7" t="s">
        <v>79</v>
      </c>
      <c r="G20728" s="7" t="s">
        <v>78</v>
      </c>
      <c r="H20728" s="7" t="s">
        <v>79</v>
      </c>
    </row>
    <row r="20729" spans="1:18">
      <c r="A20729" t="s">
        <v>4</v>
      </c>
      <c r="B20729" s="4" t="s">
        <v>5</v>
      </c>
      <c r="C20729" s="4" t="s">
        <v>11</v>
      </c>
      <c r="D20729" s="4" t="s">
        <v>13</v>
      </c>
      <c r="E20729" s="4" t="s">
        <v>13</v>
      </c>
      <c r="F20729" s="4" t="s">
        <v>13</v>
      </c>
      <c r="G20729" s="4" t="s">
        <v>13</v>
      </c>
    </row>
    <row r="20730" spans="1:18">
      <c r="A20730" t="n">
        <v>202139</v>
      </c>
      <c r="B20730" s="36" t="n">
        <v>46</v>
      </c>
      <c r="C20730" s="7" t="n">
        <v>0</v>
      </c>
      <c r="D20730" s="7" t="n">
        <v>-18.8299999237061</v>
      </c>
      <c r="E20730" s="7" t="n">
        <v>10.0100002288818</v>
      </c>
      <c r="F20730" s="7" t="n">
        <v>30.2000007629395</v>
      </c>
      <c r="G20730" s="7" t="n">
        <v>270</v>
      </c>
    </row>
    <row r="20731" spans="1:18">
      <c r="A20731" t="s">
        <v>4</v>
      </c>
      <c r="B20731" s="4" t="s">
        <v>5</v>
      </c>
      <c r="C20731" s="4" t="s">
        <v>11</v>
      </c>
      <c r="D20731" s="4" t="s">
        <v>13</v>
      </c>
      <c r="E20731" s="4" t="s">
        <v>13</v>
      </c>
      <c r="F20731" s="4" t="s">
        <v>13</v>
      </c>
      <c r="G20731" s="4" t="s">
        <v>13</v>
      </c>
    </row>
    <row r="20732" spans="1:18">
      <c r="A20732" t="n">
        <v>202158</v>
      </c>
      <c r="B20732" s="36" t="n">
        <v>46</v>
      </c>
      <c r="C20732" s="7" t="n">
        <v>9</v>
      </c>
      <c r="D20732" s="7" t="n">
        <v>-19.8299999237061</v>
      </c>
      <c r="E20732" s="7" t="n">
        <v>10.0600004196167</v>
      </c>
      <c r="F20732" s="7" t="n">
        <v>30.2099990844727</v>
      </c>
      <c r="G20732" s="7" t="n">
        <v>90</v>
      </c>
    </row>
    <row r="20733" spans="1:18">
      <c r="A20733" t="s">
        <v>4</v>
      </c>
      <c r="B20733" s="4" t="s">
        <v>5</v>
      </c>
      <c r="C20733" s="4" t="s">
        <v>11</v>
      </c>
      <c r="D20733" s="4" t="s">
        <v>7</v>
      </c>
      <c r="E20733" s="4" t="s">
        <v>8</v>
      </c>
      <c r="F20733" s="4" t="s">
        <v>13</v>
      </c>
      <c r="G20733" s="4" t="s">
        <v>13</v>
      </c>
      <c r="H20733" s="4" t="s">
        <v>13</v>
      </c>
    </row>
    <row r="20734" spans="1:18">
      <c r="A20734" t="n">
        <v>202177</v>
      </c>
      <c r="B20734" s="42" t="n">
        <v>48</v>
      </c>
      <c r="C20734" s="7" t="n">
        <v>9</v>
      </c>
      <c r="D20734" s="7" t="n">
        <v>0</v>
      </c>
      <c r="E20734" s="7" t="s">
        <v>106</v>
      </c>
      <c r="F20734" s="7" t="n">
        <v>0</v>
      </c>
      <c r="G20734" s="7" t="n">
        <v>1</v>
      </c>
      <c r="H20734" s="7" t="n">
        <v>0</v>
      </c>
    </row>
    <row r="20735" spans="1:18">
      <c r="A20735" t="s">
        <v>4</v>
      </c>
      <c r="B20735" s="4" t="s">
        <v>5</v>
      </c>
      <c r="C20735" s="4" t="s">
        <v>7</v>
      </c>
      <c r="D20735" s="4" t="s">
        <v>11</v>
      </c>
      <c r="E20735" s="4" t="s">
        <v>13</v>
      </c>
      <c r="F20735" s="4" t="s">
        <v>11</v>
      </c>
      <c r="G20735" s="4" t="s">
        <v>15</v>
      </c>
      <c r="H20735" s="4" t="s">
        <v>15</v>
      </c>
      <c r="I20735" s="4" t="s">
        <v>11</v>
      </c>
      <c r="J20735" s="4" t="s">
        <v>11</v>
      </c>
      <c r="K20735" s="4" t="s">
        <v>15</v>
      </c>
      <c r="L20735" s="4" t="s">
        <v>15</v>
      </c>
      <c r="M20735" s="4" t="s">
        <v>15</v>
      </c>
      <c r="N20735" s="4" t="s">
        <v>15</v>
      </c>
      <c r="O20735" s="4" t="s">
        <v>8</v>
      </c>
    </row>
    <row r="20736" spans="1:18">
      <c r="A20736" t="n">
        <v>202201</v>
      </c>
      <c r="B20736" s="57" t="n">
        <v>50</v>
      </c>
      <c r="C20736" s="7" t="n">
        <v>0</v>
      </c>
      <c r="D20736" s="7" t="n">
        <v>2000</v>
      </c>
      <c r="E20736" s="7" t="n">
        <v>0.699999988079071</v>
      </c>
      <c r="F20736" s="7" t="n">
        <v>300</v>
      </c>
      <c r="G20736" s="7" t="n">
        <v>0</v>
      </c>
      <c r="H20736" s="7" t="n">
        <v>1065353216</v>
      </c>
      <c r="I20736" s="7" t="n">
        <v>0</v>
      </c>
      <c r="J20736" s="7" t="n">
        <v>65533</v>
      </c>
      <c r="K20736" s="7" t="n">
        <v>0</v>
      </c>
      <c r="L20736" s="7" t="n">
        <v>0</v>
      </c>
      <c r="M20736" s="7" t="n">
        <v>0</v>
      </c>
      <c r="N20736" s="7" t="n">
        <v>0</v>
      </c>
      <c r="O20736" s="7" t="s">
        <v>16</v>
      </c>
    </row>
    <row r="20737" spans="1:15">
      <c r="A20737" t="s">
        <v>4</v>
      </c>
      <c r="B20737" s="4" t="s">
        <v>5</v>
      </c>
      <c r="C20737" s="4" t="s">
        <v>7</v>
      </c>
      <c r="D20737" s="4" t="s">
        <v>7</v>
      </c>
      <c r="E20737" s="4" t="s">
        <v>13</v>
      </c>
      <c r="F20737" s="4" t="s">
        <v>13</v>
      </c>
      <c r="G20737" s="4" t="s">
        <v>13</v>
      </c>
      <c r="H20737" s="4" t="s">
        <v>11</v>
      </c>
    </row>
    <row r="20738" spans="1:15">
      <c r="A20738" t="n">
        <v>202240</v>
      </c>
      <c r="B20738" s="51" t="n">
        <v>45</v>
      </c>
      <c r="C20738" s="7" t="n">
        <v>2</v>
      </c>
      <c r="D20738" s="7" t="n">
        <v>3</v>
      </c>
      <c r="E20738" s="7" t="n">
        <v>-19.7199993133545</v>
      </c>
      <c r="F20738" s="7" t="n">
        <v>10.9899997711182</v>
      </c>
      <c r="G20738" s="7" t="n">
        <v>30.1700000762939</v>
      </c>
      <c r="H20738" s="7" t="n">
        <v>0</v>
      </c>
    </row>
    <row r="20739" spans="1:15">
      <c r="A20739" t="s">
        <v>4</v>
      </c>
      <c r="B20739" s="4" t="s">
        <v>5</v>
      </c>
      <c r="C20739" s="4" t="s">
        <v>7</v>
      </c>
      <c r="D20739" s="4" t="s">
        <v>7</v>
      </c>
      <c r="E20739" s="4" t="s">
        <v>13</v>
      </c>
      <c r="F20739" s="4" t="s">
        <v>13</v>
      </c>
      <c r="G20739" s="4" t="s">
        <v>13</v>
      </c>
      <c r="H20739" s="4" t="s">
        <v>11</v>
      </c>
    </row>
    <row r="20740" spans="1:15">
      <c r="A20740" t="n">
        <v>202257</v>
      </c>
      <c r="B20740" s="51" t="n">
        <v>45</v>
      </c>
      <c r="C20740" s="7" t="n">
        <v>2</v>
      </c>
      <c r="D20740" s="7" t="n">
        <v>3</v>
      </c>
      <c r="E20740" s="7" t="n">
        <v>-19.7199993133545</v>
      </c>
      <c r="F20740" s="7" t="n">
        <v>11.1899995803833</v>
      </c>
      <c r="G20740" s="7" t="n">
        <v>30.1700000762939</v>
      </c>
      <c r="H20740" s="7" t="n">
        <v>1000</v>
      </c>
    </row>
    <row r="20741" spans="1:15">
      <c r="A20741" t="s">
        <v>4</v>
      </c>
      <c r="B20741" s="4" t="s">
        <v>5</v>
      </c>
      <c r="C20741" s="4" t="s">
        <v>7</v>
      </c>
      <c r="D20741" s="4" t="s">
        <v>7</v>
      </c>
      <c r="E20741" s="4" t="s">
        <v>13</v>
      </c>
      <c r="F20741" s="4" t="s">
        <v>13</v>
      </c>
      <c r="G20741" s="4" t="s">
        <v>13</v>
      </c>
      <c r="H20741" s="4" t="s">
        <v>11</v>
      </c>
      <c r="I20741" s="4" t="s">
        <v>7</v>
      </c>
    </row>
    <row r="20742" spans="1:15">
      <c r="A20742" t="n">
        <v>202274</v>
      </c>
      <c r="B20742" s="51" t="n">
        <v>45</v>
      </c>
      <c r="C20742" s="7" t="n">
        <v>4</v>
      </c>
      <c r="D20742" s="7" t="n">
        <v>3</v>
      </c>
      <c r="E20742" s="7" t="n">
        <v>365.670013427734</v>
      </c>
      <c r="F20742" s="7" t="n">
        <v>45.0099983215332</v>
      </c>
      <c r="G20742" s="7" t="n">
        <v>12</v>
      </c>
      <c r="H20742" s="7" t="n">
        <v>0</v>
      </c>
      <c r="I20742" s="7" t="n">
        <v>0</v>
      </c>
    </row>
    <row r="20743" spans="1:15">
      <c r="A20743" t="s">
        <v>4</v>
      </c>
      <c r="B20743" s="4" t="s">
        <v>5</v>
      </c>
      <c r="C20743" s="4" t="s">
        <v>7</v>
      </c>
      <c r="D20743" s="4" t="s">
        <v>7</v>
      </c>
      <c r="E20743" s="4" t="s">
        <v>13</v>
      </c>
      <c r="F20743" s="4" t="s">
        <v>11</v>
      </c>
    </row>
    <row r="20744" spans="1:15">
      <c r="A20744" t="n">
        <v>202292</v>
      </c>
      <c r="B20744" s="51" t="n">
        <v>45</v>
      </c>
      <c r="C20744" s="7" t="n">
        <v>5</v>
      </c>
      <c r="D20744" s="7" t="n">
        <v>3</v>
      </c>
      <c r="E20744" s="7" t="n">
        <v>1.60000002384186</v>
      </c>
      <c r="F20744" s="7" t="n">
        <v>0</v>
      </c>
    </row>
    <row r="20745" spans="1:15">
      <c r="A20745" t="s">
        <v>4</v>
      </c>
      <c r="B20745" s="4" t="s">
        <v>5</v>
      </c>
      <c r="C20745" s="4" t="s">
        <v>7</v>
      </c>
      <c r="D20745" s="4" t="s">
        <v>7</v>
      </c>
      <c r="E20745" s="4" t="s">
        <v>13</v>
      </c>
      <c r="F20745" s="4" t="s">
        <v>11</v>
      </c>
    </row>
    <row r="20746" spans="1:15">
      <c r="A20746" t="n">
        <v>202301</v>
      </c>
      <c r="B20746" s="51" t="n">
        <v>45</v>
      </c>
      <c r="C20746" s="7" t="n">
        <v>11</v>
      </c>
      <c r="D20746" s="7" t="n">
        <v>3</v>
      </c>
      <c r="E20746" s="7" t="n">
        <v>34.5999984741211</v>
      </c>
      <c r="F20746" s="7" t="n">
        <v>0</v>
      </c>
    </row>
    <row r="20747" spans="1:15">
      <c r="A20747" t="s">
        <v>4</v>
      </c>
      <c r="B20747" s="4" t="s">
        <v>5</v>
      </c>
      <c r="C20747" s="4" t="s">
        <v>11</v>
      </c>
    </row>
    <row r="20748" spans="1:15">
      <c r="A20748" t="n">
        <v>202310</v>
      </c>
      <c r="B20748" s="29" t="n">
        <v>16</v>
      </c>
      <c r="C20748" s="7" t="n">
        <v>1300</v>
      </c>
    </row>
    <row r="20749" spans="1:15">
      <c r="A20749" t="s">
        <v>4</v>
      </c>
      <c r="B20749" s="4" t="s">
        <v>5</v>
      </c>
      <c r="C20749" s="4" t="s">
        <v>7</v>
      </c>
      <c r="D20749" s="4" t="s">
        <v>11</v>
      </c>
      <c r="E20749" s="4" t="s">
        <v>8</v>
      </c>
    </row>
    <row r="20750" spans="1:15">
      <c r="A20750" t="n">
        <v>202313</v>
      </c>
      <c r="B20750" s="38" t="n">
        <v>51</v>
      </c>
      <c r="C20750" s="7" t="n">
        <v>4</v>
      </c>
      <c r="D20750" s="7" t="n">
        <v>9</v>
      </c>
      <c r="E20750" s="7" t="s">
        <v>491</v>
      </c>
    </row>
    <row r="20751" spans="1:15">
      <c r="A20751" t="s">
        <v>4</v>
      </c>
      <c r="B20751" s="4" t="s">
        <v>5</v>
      </c>
      <c r="C20751" s="4" t="s">
        <v>11</v>
      </c>
    </row>
    <row r="20752" spans="1:15">
      <c r="A20752" t="n">
        <v>202327</v>
      </c>
      <c r="B20752" s="29" t="n">
        <v>16</v>
      </c>
      <c r="C20752" s="7" t="n">
        <v>0</v>
      </c>
    </row>
    <row r="20753" spans="1:9">
      <c r="A20753" t="s">
        <v>4</v>
      </c>
      <c r="B20753" s="4" t="s">
        <v>5</v>
      </c>
      <c r="C20753" s="4" t="s">
        <v>11</v>
      </c>
      <c r="D20753" s="4" t="s">
        <v>7</v>
      </c>
      <c r="E20753" s="4" t="s">
        <v>15</v>
      </c>
      <c r="F20753" s="4" t="s">
        <v>55</v>
      </c>
      <c r="G20753" s="4" t="s">
        <v>7</v>
      </c>
      <c r="H20753" s="4" t="s">
        <v>7</v>
      </c>
      <c r="I20753" s="4" t="s">
        <v>7</v>
      </c>
    </row>
    <row r="20754" spans="1:9">
      <c r="A20754" t="n">
        <v>202330</v>
      </c>
      <c r="B20754" s="55" t="n">
        <v>26</v>
      </c>
      <c r="C20754" s="7" t="n">
        <v>9</v>
      </c>
      <c r="D20754" s="7" t="n">
        <v>17</v>
      </c>
      <c r="E20754" s="7" t="n">
        <v>64729</v>
      </c>
      <c r="F20754" s="7" t="s">
        <v>1729</v>
      </c>
      <c r="G20754" s="7" t="n">
        <v>8</v>
      </c>
      <c r="H20754" s="7" t="n">
        <v>2</v>
      </c>
      <c r="I20754" s="7" t="n">
        <v>0</v>
      </c>
    </row>
    <row r="20755" spans="1:9">
      <c r="A20755" t="s">
        <v>4</v>
      </c>
      <c r="B20755" s="4" t="s">
        <v>5</v>
      </c>
      <c r="C20755" s="4" t="s">
        <v>11</v>
      </c>
    </row>
    <row r="20756" spans="1:9">
      <c r="A20756" t="n">
        <v>202353</v>
      </c>
      <c r="B20756" s="29" t="n">
        <v>16</v>
      </c>
      <c r="C20756" s="7" t="n">
        <v>400</v>
      </c>
    </row>
    <row r="20757" spans="1:9">
      <c r="A20757" t="s">
        <v>4</v>
      </c>
      <c r="B20757" s="4" t="s">
        <v>5</v>
      </c>
      <c r="C20757" s="4" t="s">
        <v>7</v>
      </c>
      <c r="D20757" s="4" t="s">
        <v>7</v>
      </c>
      <c r="E20757" s="4" t="s">
        <v>13</v>
      </c>
      <c r="F20757" s="4" t="s">
        <v>13</v>
      </c>
      <c r="G20757" s="4" t="s">
        <v>13</v>
      </c>
      <c r="H20757" s="4" t="s">
        <v>11</v>
      </c>
    </row>
    <row r="20758" spans="1:9">
      <c r="A20758" t="n">
        <v>202356</v>
      </c>
      <c r="B20758" s="51" t="n">
        <v>45</v>
      </c>
      <c r="C20758" s="7" t="n">
        <v>2</v>
      </c>
      <c r="D20758" s="7" t="n">
        <v>3</v>
      </c>
      <c r="E20758" s="7" t="n">
        <v>-18.8400001525879</v>
      </c>
      <c r="F20758" s="7" t="n">
        <v>11.1899995803833</v>
      </c>
      <c r="G20758" s="7" t="n">
        <v>30.1700000762939</v>
      </c>
      <c r="H20758" s="7" t="n">
        <v>1000</v>
      </c>
    </row>
    <row r="20759" spans="1:9">
      <c r="A20759" t="s">
        <v>4</v>
      </c>
      <c r="B20759" s="4" t="s">
        <v>5</v>
      </c>
      <c r="C20759" s="4" t="s">
        <v>7</v>
      </c>
      <c r="D20759" s="4" t="s">
        <v>7</v>
      </c>
      <c r="E20759" s="4" t="s">
        <v>13</v>
      </c>
      <c r="F20759" s="4" t="s">
        <v>13</v>
      </c>
      <c r="G20759" s="4" t="s">
        <v>13</v>
      </c>
      <c r="H20759" s="4" t="s">
        <v>11</v>
      </c>
      <c r="I20759" s="4" t="s">
        <v>7</v>
      </c>
    </row>
    <row r="20760" spans="1:9">
      <c r="A20760" t="n">
        <v>202373</v>
      </c>
      <c r="B20760" s="51" t="n">
        <v>45</v>
      </c>
      <c r="C20760" s="7" t="n">
        <v>4</v>
      </c>
      <c r="D20760" s="7" t="n">
        <v>3</v>
      </c>
      <c r="E20760" s="7" t="n">
        <v>363.290008544922</v>
      </c>
      <c r="F20760" s="7" t="n">
        <v>35.8600006103516</v>
      </c>
      <c r="G20760" s="7" t="n">
        <v>12</v>
      </c>
      <c r="H20760" s="7" t="n">
        <v>1000</v>
      </c>
      <c r="I20760" s="7" t="n">
        <v>0</v>
      </c>
    </row>
    <row r="20761" spans="1:9">
      <c r="A20761" t="s">
        <v>4</v>
      </c>
      <c r="B20761" s="4" t="s">
        <v>5</v>
      </c>
      <c r="C20761" s="4" t="s">
        <v>7</v>
      </c>
      <c r="D20761" s="4" t="s">
        <v>7</v>
      </c>
      <c r="E20761" s="4" t="s">
        <v>13</v>
      </c>
      <c r="F20761" s="4" t="s">
        <v>11</v>
      </c>
    </row>
    <row r="20762" spans="1:9">
      <c r="A20762" t="n">
        <v>202391</v>
      </c>
      <c r="B20762" s="51" t="n">
        <v>45</v>
      </c>
      <c r="C20762" s="7" t="n">
        <v>5</v>
      </c>
      <c r="D20762" s="7" t="n">
        <v>3</v>
      </c>
      <c r="E20762" s="7" t="n">
        <v>1.29999995231628</v>
      </c>
      <c r="F20762" s="7" t="n">
        <v>1000</v>
      </c>
    </row>
    <row r="20763" spans="1:9">
      <c r="A20763" t="s">
        <v>4</v>
      </c>
      <c r="B20763" s="4" t="s">
        <v>5</v>
      </c>
      <c r="C20763" s="4" t="s">
        <v>11</v>
      </c>
      <c r="D20763" s="4" t="s">
        <v>13</v>
      </c>
      <c r="E20763" s="4" t="s">
        <v>13</v>
      </c>
      <c r="F20763" s="4" t="s">
        <v>13</v>
      </c>
      <c r="G20763" s="4" t="s">
        <v>11</v>
      </c>
      <c r="H20763" s="4" t="s">
        <v>11</v>
      </c>
    </row>
    <row r="20764" spans="1:9">
      <c r="A20764" t="n">
        <v>202400</v>
      </c>
      <c r="B20764" s="37" t="n">
        <v>60</v>
      </c>
      <c r="C20764" s="7" t="n">
        <v>0</v>
      </c>
      <c r="D20764" s="7" t="n">
        <v>0</v>
      </c>
      <c r="E20764" s="7" t="n">
        <v>0</v>
      </c>
      <c r="F20764" s="7" t="n">
        <v>0</v>
      </c>
      <c r="G20764" s="7" t="n">
        <v>800</v>
      </c>
      <c r="H20764" s="7" t="n">
        <v>0</v>
      </c>
    </row>
    <row r="20765" spans="1:9">
      <c r="A20765" t="s">
        <v>4</v>
      </c>
      <c r="B20765" s="4" t="s">
        <v>5</v>
      </c>
      <c r="C20765" s="4" t="s">
        <v>11</v>
      </c>
      <c r="D20765" s="4" t="s">
        <v>7</v>
      </c>
      <c r="E20765" s="4" t="s">
        <v>8</v>
      </c>
      <c r="F20765" s="4" t="s">
        <v>13</v>
      </c>
      <c r="G20765" s="4" t="s">
        <v>13</v>
      </c>
      <c r="H20765" s="4" t="s">
        <v>13</v>
      </c>
    </row>
    <row r="20766" spans="1:9">
      <c r="A20766" t="n">
        <v>202419</v>
      </c>
      <c r="B20766" s="42" t="n">
        <v>48</v>
      </c>
      <c r="C20766" s="7" t="n">
        <v>9</v>
      </c>
      <c r="D20766" s="7" t="n">
        <v>0</v>
      </c>
      <c r="E20766" s="7" t="s">
        <v>626</v>
      </c>
      <c r="F20766" s="7" t="n">
        <v>-1</v>
      </c>
      <c r="G20766" s="7" t="n">
        <v>1</v>
      </c>
      <c r="H20766" s="7" t="n">
        <v>0</v>
      </c>
    </row>
    <row r="20767" spans="1:9">
      <c r="A20767" t="s">
        <v>4</v>
      </c>
      <c r="B20767" s="4" t="s">
        <v>5</v>
      </c>
      <c r="C20767" s="4" t="s">
        <v>11</v>
      </c>
      <c r="D20767" s="4" t="s">
        <v>7</v>
      </c>
      <c r="E20767" s="4" t="s">
        <v>8</v>
      </c>
      <c r="F20767" s="4" t="s">
        <v>13</v>
      </c>
      <c r="G20767" s="4" t="s">
        <v>13</v>
      </c>
      <c r="H20767" s="4" t="s">
        <v>13</v>
      </c>
    </row>
    <row r="20768" spans="1:9">
      <c r="A20768" t="n">
        <v>202445</v>
      </c>
      <c r="B20768" s="42" t="n">
        <v>48</v>
      </c>
      <c r="C20768" s="7" t="n">
        <v>0</v>
      </c>
      <c r="D20768" s="7" t="n">
        <v>0</v>
      </c>
      <c r="E20768" s="7" t="s">
        <v>626</v>
      </c>
      <c r="F20768" s="7" t="n">
        <v>-1</v>
      </c>
      <c r="G20768" s="7" t="n">
        <v>1</v>
      </c>
      <c r="H20768" s="7" t="n">
        <v>0</v>
      </c>
    </row>
    <row r="20769" spans="1:9">
      <c r="A20769" t="s">
        <v>4</v>
      </c>
      <c r="B20769" s="4" t="s">
        <v>5</v>
      </c>
      <c r="C20769" s="4" t="s">
        <v>11</v>
      </c>
    </row>
    <row r="20770" spans="1:9">
      <c r="A20770" t="n">
        <v>202471</v>
      </c>
      <c r="B20770" s="29" t="n">
        <v>16</v>
      </c>
      <c r="C20770" s="7" t="n">
        <v>500</v>
      </c>
    </row>
    <row r="20771" spans="1:9">
      <c r="A20771" t="s">
        <v>4</v>
      </c>
      <c r="B20771" s="4" t="s">
        <v>5</v>
      </c>
      <c r="C20771" s="4" t="s">
        <v>11</v>
      </c>
      <c r="D20771" s="4" t="s">
        <v>7</v>
      </c>
    </row>
    <row r="20772" spans="1:9">
      <c r="A20772" t="n">
        <v>202474</v>
      </c>
      <c r="B20772" s="68" t="n">
        <v>89</v>
      </c>
      <c r="C20772" s="7" t="n">
        <v>9</v>
      </c>
      <c r="D20772" s="7" t="n">
        <v>0</v>
      </c>
    </row>
    <row r="20773" spans="1:9">
      <c r="A20773" t="s">
        <v>4</v>
      </c>
      <c r="B20773" s="4" t="s">
        <v>5</v>
      </c>
      <c r="C20773" s="4" t="s">
        <v>7</v>
      </c>
      <c r="D20773" s="4" t="s">
        <v>13</v>
      </c>
      <c r="E20773" s="4" t="s">
        <v>13</v>
      </c>
      <c r="F20773" s="4" t="s">
        <v>13</v>
      </c>
    </row>
    <row r="20774" spans="1:9">
      <c r="A20774" t="n">
        <v>202478</v>
      </c>
      <c r="B20774" s="51" t="n">
        <v>45</v>
      </c>
      <c r="C20774" s="7" t="n">
        <v>9</v>
      </c>
      <c r="D20774" s="7" t="n">
        <v>0.0500000007450581</v>
      </c>
      <c r="E20774" s="7" t="n">
        <v>0.0500000007450581</v>
      </c>
      <c r="F20774" s="7" t="n">
        <v>0.5</v>
      </c>
    </row>
    <row r="20775" spans="1:9">
      <c r="A20775" t="s">
        <v>4</v>
      </c>
      <c r="B20775" s="4" t="s">
        <v>5</v>
      </c>
      <c r="C20775" s="4" t="s">
        <v>7</v>
      </c>
      <c r="D20775" s="4" t="s">
        <v>11</v>
      </c>
      <c r="E20775" s="4" t="s">
        <v>13</v>
      </c>
      <c r="F20775" s="4" t="s">
        <v>11</v>
      </c>
      <c r="G20775" s="4" t="s">
        <v>15</v>
      </c>
      <c r="H20775" s="4" t="s">
        <v>15</v>
      </c>
      <c r="I20775" s="4" t="s">
        <v>11</v>
      </c>
      <c r="J20775" s="4" t="s">
        <v>11</v>
      </c>
      <c r="K20775" s="4" t="s">
        <v>15</v>
      </c>
      <c r="L20775" s="4" t="s">
        <v>15</v>
      </c>
      <c r="M20775" s="4" t="s">
        <v>15</v>
      </c>
      <c r="N20775" s="4" t="s">
        <v>15</v>
      </c>
      <c r="O20775" s="4" t="s">
        <v>8</v>
      </c>
    </row>
    <row r="20776" spans="1:9">
      <c r="A20776" t="n">
        <v>202492</v>
      </c>
      <c r="B20776" s="57" t="n">
        <v>50</v>
      </c>
      <c r="C20776" s="7" t="n">
        <v>0</v>
      </c>
      <c r="D20776" s="7" t="n">
        <v>2003</v>
      </c>
      <c r="E20776" s="7" t="n">
        <v>0.800000011920929</v>
      </c>
      <c r="F20776" s="7" t="n">
        <v>0</v>
      </c>
      <c r="G20776" s="7" t="n">
        <v>0</v>
      </c>
      <c r="H20776" s="7" t="n">
        <v>1065353216</v>
      </c>
      <c r="I20776" s="7" t="n">
        <v>0</v>
      </c>
      <c r="J20776" s="7" t="n">
        <v>65533</v>
      </c>
      <c r="K20776" s="7" t="n">
        <v>0</v>
      </c>
      <c r="L20776" s="7" t="n">
        <v>0</v>
      </c>
      <c r="M20776" s="7" t="n">
        <v>0</v>
      </c>
      <c r="N20776" s="7" t="n">
        <v>0</v>
      </c>
      <c r="O20776" s="7" t="s">
        <v>16</v>
      </c>
    </row>
    <row r="20777" spans="1:9">
      <c r="A20777" t="s">
        <v>4</v>
      </c>
      <c r="B20777" s="4" t="s">
        <v>5</v>
      </c>
      <c r="C20777" s="4" t="s">
        <v>7</v>
      </c>
      <c r="D20777" s="4" t="s">
        <v>11</v>
      </c>
      <c r="E20777" s="4" t="s">
        <v>11</v>
      </c>
      <c r="F20777" s="4" t="s">
        <v>7</v>
      </c>
    </row>
    <row r="20778" spans="1:9">
      <c r="A20778" t="n">
        <v>202531</v>
      </c>
      <c r="B20778" s="31" t="n">
        <v>25</v>
      </c>
      <c r="C20778" s="7" t="n">
        <v>1</v>
      </c>
      <c r="D20778" s="7" t="n">
        <v>160</v>
      </c>
      <c r="E20778" s="7" t="n">
        <v>570</v>
      </c>
      <c r="F20778" s="7" t="n">
        <v>2</v>
      </c>
    </row>
    <row r="20779" spans="1:9">
      <c r="A20779" t="s">
        <v>4</v>
      </c>
      <c r="B20779" s="4" t="s">
        <v>5</v>
      </c>
      <c r="C20779" s="4" t="s">
        <v>7</v>
      </c>
      <c r="D20779" s="4" t="s">
        <v>11</v>
      </c>
      <c r="E20779" s="4" t="s">
        <v>8</v>
      </c>
    </row>
    <row r="20780" spans="1:9">
      <c r="A20780" t="n">
        <v>202538</v>
      </c>
      <c r="B20780" s="38" t="n">
        <v>51</v>
      </c>
      <c r="C20780" s="7" t="n">
        <v>4</v>
      </c>
      <c r="D20780" s="7" t="n">
        <v>0</v>
      </c>
      <c r="E20780" s="7" t="s">
        <v>658</v>
      </c>
    </row>
    <row r="20781" spans="1:9">
      <c r="A20781" t="s">
        <v>4</v>
      </c>
      <c r="B20781" s="4" t="s">
        <v>5</v>
      </c>
      <c r="C20781" s="4" t="s">
        <v>11</v>
      </c>
    </row>
    <row r="20782" spans="1:9">
      <c r="A20782" t="n">
        <v>202552</v>
      </c>
      <c r="B20782" s="29" t="n">
        <v>16</v>
      </c>
      <c r="C20782" s="7" t="n">
        <v>0</v>
      </c>
    </row>
    <row r="20783" spans="1:9">
      <c r="A20783" t="s">
        <v>4</v>
      </c>
      <c r="B20783" s="4" t="s">
        <v>5</v>
      </c>
      <c r="C20783" s="4" t="s">
        <v>11</v>
      </c>
      <c r="D20783" s="4" t="s">
        <v>7</v>
      </c>
      <c r="E20783" s="4" t="s">
        <v>15</v>
      </c>
      <c r="F20783" s="4" t="s">
        <v>55</v>
      </c>
      <c r="G20783" s="4" t="s">
        <v>7</v>
      </c>
      <c r="H20783" s="4" t="s">
        <v>7</v>
      </c>
      <c r="I20783" s="4" t="s">
        <v>7</v>
      </c>
    </row>
    <row r="20784" spans="1:9">
      <c r="A20784" t="n">
        <v>202555</v>
      </c>
      <c r="B20784" s="55" t="n">
        <v>26</v>
      </c>
      <c r="C20784" s="7" t="n">
        <v>0</v>
      </c>
      <c r="D20784" s="7" t="n">
        <v>17</v>
      </c>
      <c r="E20784" s="7" t="n">
        <v>64730</v>
      </c>
      <c r="F20784" s="7" t="s">
        <v>1730</v>
      </c>
      <c r="G20784" s="7" t="n">
        <v>8</v>
      </c>
      <c r="H20784" s="7" t="n">
        <v>2</v>
      </c>
      <c r="I20784" s="7" t="n">
        <v>0</v>
      </c>
    </row>
    <row r="20785" spans="1:15">
      <c r="A20785" t="s">
        <v>4</v>
      </c>
      <c r="B20785" s="4" t="s">
        <v>5</v>
      </c>
      <c r="C20785" s="4" t="s">
        <v>11</v>
      </c>
    </row>
    <row r="20786" spans="1:15">
      <c r="A20786" t="n">
        <v>202581</v>
      </c>
      <c r="B20786" s="29" t="n">
        <v>16</v>
      </c>
      <c r="C20786" s="7" t="n">
        <v>500</v>
      </c>
    </row>
    <row r="20787" spans="1:15">
      <c r="A20787" t="s">
        <v>4</v>
      </c>
      <c r="B20787" s="4" t="s">
        <v>5</v>
      </c>
      <c r="C20787" s="4" t="s">
        <v>11</v>
      </c>
      <c r="D20787" s="4" t="s">
        <v>15</v>
      </c>
    </row>
    <row r="20788" spans="1:15">
      <c r="A20788" t="n">
        <v>202584</v>
      </c>
      <c r="B20788" s="44" t="n">
        <v>98</v>
      </c>
      <c r="C20788" s="7" t="n">
        <v>9</v>
      </c>
      <c r="D20788" s="7" t="n">
        <v>1045220557</v>
      </c>
    </row>
    <row r="20789" spans="1:15">
      <c r="A20789" t="s">
        <v>4</v>
      </c>
      <c r="B20789" s="4" t="s">
        <v>5</v>
      </c>
      <c r="C20789" s="4" t="s">
        <v>11</v>
      </c>
      <c r="D20789" s="4" t="s">
        <v>15</v>
      </c>
    </row>
    <row r="20790" spans="1:15">
      <c r="A20790" t="n">
        <v>202591</v>
      </c>
      <c r="B20790" s="44" t="n">
        <v>98</v>
      </c>
      <c r="C20790" s="7" t="n">
        <v>0</v>
      </c>
      <c r="D20790" s="7" t="n">
        <v>1045220557</v>
      </c>
    </row>
    <row r="20791" spans="1:15">
      <c r="A20791" t="s">
        <v>4</v>
      </c>
      <c r="B20791" s="4" t="s">
        <v>5</v>
      </c>
      <c r="C20791" s="4" t="s">
        <v>11</v>
      </c>
    </row>
    <row r="20792" spans="1:15">
      <c r="A20792" t="n">
        <v>202598</v>
      </c>
      <c r="B20792" s="29" t="n">
        <v>16</v>
      </c>
      <c r="C20792" s="7" t="n">
        <v>1000</v>
      </c>
    </row>
    <row r="20793" spans="1:15">
      <c r="A20793" t="s">
        <v>4</v>
      </c>
      <c r="B20793" s="4" t="s">
        <v>5</v>
      </c>
      <c r="C20793" s="4" t="s">
        <v>11</v>
      </c>
      <c r="D20793" s="4" t="s">
        <v>7</v>
      </c>
    </row>
    <row r="20794" spans="1:15">
      <c r="A20794" t="n">
        <v>202601</v>
      </c>
      <c r="B20794" s="68" t="n">
        <v>89</v>
      </c>
      <c r="C20794" s="7" t="n">
        <v>0</v>
      </c>
      <c r="D20794" s="7" t="n">
        <v>0</v>
      </c>
    </row>
    <row r="20795" spans="1:15">
      <c r="A20795" t="s">
        <v>4</v>
      </c>
      <c r="B20795" s="4" t="s">
        <v>5</v>
      </c>
      <c r="C20795" s="4" t="s">
        <v>7</v>
      </c>
      <c r="D20795" s="4" t="s">
        <v>7</v>
      </c>
      <c r="E20795" s="4" t="s">
        <v>13</v>
      </c>
      <c r="F20795" s="4" t="s">
        <v>13</v>
      </c>
      <c r="G20795" s="4" t="s">
        <v>13</v>
      </c>
      <c r="H20795" s="4" t="s">
        <v>11</v>
      </c>
    </row>
    <row r="20796" spans="1:15">
      <c r="A20796" t="n">
        <v>202605</v>
      </c>
      <c r="B20796" s="51" t="n">
        <v>45</v>
      </c>
      <c r="C20796" s="7" t="n">
        <v>2</v>
      </c>
      <c r="D20796" s="7" t="n">
        <v>3</v>
      </c>
      <c r="E20796" s="7" t="n">
        <v>-18.8199996948242</v>
      </c>
      <c r="F20796" s="7" t="n">
        <v>11.3599996566772</v>
      </c>
      <c r="G20796" s="7" t="n">
        <v>30.2399997711182</v>
      </c>
      <c r="H20796" s="7" t="n">
        <v>2000</v>
      </c>
    </row>
    <row r="20797" spans="1:15">
      <c r="A20797" t="s">
        <v>4</v>
      </c>
      <c r="B20797" s="4" t="s">
        <v>5</v>
      </c>
      <c r="C20797" s="4" t="s">
        <v>7</v>
      </c>
      <c r="D20797" s="4" t="s">
        <v>7</v>
      </c>
      <c r="E20797" s="4" t="s">
        <v>13</v>
      </c>
      <c r="F20797" s="4" t="s">
        <v>13</v>
      </c>
      <c r="G20797" s="4" t="s">
        <v>13</v>
      </c>
      <c r="H20797" s="4" t="s">
        <v>11</v>
      </c>
      <c r="I20797" s="4" t="s">
        <v>7</v>
      </c>
    </row>
    <row r="20798" spans="1:15">
      <c r="A20798" t="n">
        <v>202622</v>
      </c>
      <c r="B20798" s="51" t="n">
        <v>45</v>
      </c>
      <c r="C20798" s="7" t="n">
        <v>4</v>
      </c>
      <c r="D20798" s="7" t="n">
        <v>3</v>
      </c>
      <c r="E20798" s="7" t="n">
        <v>398.540008544922</v>
      </c>
      <c r="F20798" s="7" t="n">
        <v>35.5900001525879</v>
      </c>
      <c r="G20798" s="7" t="n">
        <v>12</v>
      </c>
      <c r="H20798" s="7" t="n">
        <v>2000</v>
      </c>
      <c r="I20798" s="7" t="n">
        <v>0</v>
      </c>
    </row>
    <row r="20799" spans="1:15">
      <c r="A20799" t="s">
        <v>4</v>
      </c>
      <c r="B20799" s="4" t="s">
        <v>5</v>
      </c>
      <c r="C20799" s="4" t="s">
        <v>7</v>
      </c>
      <c r="D20799" s="4" t="s">
        <v>7</v>
      </c>
      <c r="E20799" s="4" t="s">
        <v>13</v>
      </c>
      <c r="F20799" s="4" t="s">
        <v>11</v>
      </c>
    </row>
    <row r="20800" spans="1:15">
      <c r="A20800" t="n">
        <v>202640</v>
      </c>
      <c r="B20800" s="51" t="n">
        <v>45</v>
      </c>
      <c r="C20800" s="7" t="n">
        <v>5</v>
      </c>
      <c r="D20800" s="7" t="n">
        <v>3</v>
      </c>
      <c r="E20800" s="7" t="n">
        <v>1</v>
      </c>
      <c r="F20800" s="7" t="n">
        <v>2000</v>
      </c>
    </row>
    <row r="20801" spans="1:9">
      <c r="A20801" t="s">
        <v>4</v>
      </c>
      <c r="B20801" s="4" t="s">
        <v>5</v>
      </c>
      <c r="C20801" s="4" t="s">
        <v>11</v>
      </c>
      <c r="D20801" s="4" t="s">
        <v>15</v>
      </c>
    </row>
    <row r="20802" spans="1:9">
      <c r="A20802" t="n">
        <v>202649</v>
      </c>
      <c r="B20802" s="44" t="n">
        <v>98</v>
      </c>
      <c r="C20802" s="7" t="n">
        <v>9</v>
      </c>
      <c r="D20802" s="7" t="n">
        <v>1058642330</v>
      </c>
    </row>
    <row r="20803" spans="1:9">
      <c r="A20803" t="s">
        <v>4</v>
      </c>
      <c r="B20803" s="4" t="s">
        <v>5</v>
      </c>
      <c r="C20803" s="4" t="s">
        <v>11</v>
      </c>
      <c r="D20803" s="4" t="s">
        <v>15</v>
      </c>
    </row>
    <row r="20804" spans="1:9">
      <c r="A20804" t="n">
        <v>202656</v>
      </c>
      <c r="B20804" s="44" t="n">
        <v>98</v>
      </c>
      <c r="C20804" s="7" t="n">
        <v>0</v>
      </c>
      <c r="D20804" s="7" t="n">
        <v>1058642330</v>
      </c>
    </row>
    <row r="20805" spans="1:9">
      <c r="A20805" t="s">
        <v>4</v>
      </c>
      <c r="B20805" s="4" t="s">
        <v>5</v>
      </c>
      <c r="C20805" s="4" t="s">
        <v>11</v>
      </c>
    </row>
    <row r="20806" spans="1:9">
      <c r="A20806" t="n">
        <v>202663</v>
      </c>
      <c r="B20806" s="29" t="n">
        <v>16</v>
      </c>
      <c r="C20806" s="7" t="n">
        <v>1000</v>
      </c>
    </row>
    <row r="20807" spans="1:9">
      <c r="A20807" t="s">
        <v>4</v>
      </c>
      <c r="B20807" s="4" t="s">
        <v>5</v>
      </c>
      <c r="C20807" s="4" t="s">
        <v>11</v>
      </c>
      <c r="D20807" s="4" t="s">
        <v>13</v>
      </c>
      <c r="E20807" s="4" t="s">
        <v>13</v>
      </c>
      <c r="F20807" s="4" t="s">
        <v>13</v>
      </c>
      <c r="G20807" s="4" t="s">
        <v>11</v>
      </c>
      <c r="H20807" s="4" t="s">
        <v>11</v>
      </c>
    </row>
    <row r="20808" spans="1:9">
      <c r="A20808" t="n">
        <v>202666</v>
      </c>
      <c r="B20808" s="37" t="n">
        <v>60</v>
      </c>
      <c r="C20808" s="7" t="n">
        <v>0</v>
      </c>
      <c r="D20808" s="7" t="n">
        <v>0</v>
      </c>
      <c r="E20808" s="7" t="n">
        <v>-15</v>
      </c>
      <c r="F20808" s="7" t="n">
        <v>0</v>
      </c>
      <c r="G20808" s="7" t="n">
        <v>800</v>
      </c>
      <c r="H20808" s="7" t="n">
        <v>0</v>
      </c>
    </row>
    <row r="20809" spans="1:9">
      <c r="A20809" t="s">
        <v>4</v>
      </c>
      <c r="B20809" s="4" t="s">
        <v>5</v>
      </c>
      <c r="C20809" s="4" t="s">
        <v>11</v>
      </c>
    </row>
    <row r="20810" spans="1:9">
      <c r="A20810" t="n">
        <v>202685</v>
      </c>
      <c r="B20810" s="29" t="n">
        <v>16</v>
      </c>
      <c r="C20810" s="7" t="n">
        <v>1000</v>
      </c>
    </row>
    <row r="20811" spans="1:9">
      <c r="A20811" t="s">
        <v>4</v>
      </c>
      <c r="B20811" s="4" t="s">
        <v>5</v>
      </c>
      <c r="C20811" s="4" t="s">
        <v>7</v>
      </c>
      <c r="D20811" s="4" t="s">
        <v>11</v>
      </c>
      <c r="E20811" s="4" t="s">
        <v>8</v>
      </c>
    </row>
    <row r="20812" spans="1:9">
      <c r="A20812" t="n">
        <v>202688</v>
      </c>
      <c r="B20812" s="38" t="n">
        <v>51</v>
      </c>
      <c r="C20812" s="7" t="n">
        <v>4</v>
      </c>
      <c r="D20812" s="7" t="n">
        <v>0</v>
      </c>
      <c r="E20812" s="7" t="s">
        <v>658</v>
      </c>
    </row>
    <row r="20813" spans="1:9">
      <c r="A20813" t="s">
        <v>4</v>
      </c>
      <c r="B20813" s="4" t="s">
        <v>5</v>
      </c>
      <c r="C20813" s="4" t="s">
        <v>11</v>
      </c>
    </row>
    <row r="20814" spans="1:9">
      <c r="A20814" t="n">
        <v>202702</v>
      </c>
      <c r="B20814" s="29" t="n">
        <v>16</v>
      </c>
      <c r="C20814" s="7" t="n">
        <v>0</v>
      </c>
    </row>
    <row r="20815" spans="1:9">
      <c r="A20815" t="s">
        <v>4</v>
      </c>
      <c r="B20815" s="4" t="s">
        <v>5</v>
      </c>
      <c r="C20815" s="4" t="s">
        <v>11</v>
      </c>
      <c r="D20815" s="4" t="s">
        <v>7</v>
      </c>
      <c r="E20815" s="4" t="s">
        <v>15</v>
      </c>
      <c r="F20815" s="4" t="s">
        <v>55</v>
      </c>
      <c r="G20815" s="4" t="s">
        <v>7</v>
      </c>
      <c r="H20815" s="4" t="s">
        <v>7</v>
      </c>
    </row>
    <row r="20816" spans="1:9">
      <c r="A20816" t="n">
        <v>202705</v>
      </c>
      <c r="B20816" s="55" t="n">
        <v>26</v>
      </c>
      <c r="C20816" s="7" t="n">
        <v>0</v>
      </c>
      <c r="D20816" s="7" t="n">
        <v>17</v>
      </c>
      <c r="E20816" s="7" t="n">
        <v>64731</v>
      </c>
      <c r="F20816" s="7" t="s">
        <v>1731</v>
      </c>
      <c r="G20816" s="7" t="n">
        <v>2</v>
      </c>
      <c r="H20816" s="7" t="n">
        <v>0</v>
      </c>
    </row>
    <row r="20817" spans="1:8">
      <c r="A20817" t="s">
        <v>4</v>
      </c>
      <c r="B20817" s="4" t="s">
        <v>5</v>
      </c>
    </row>
    <row r="20818" spans="1:8">
      <c r="A20818" t="n">
        <v>202807</v>
      </c>
      <c r="B20818" s="27" t="n">
        <v>28</v>
      </c>
    </row>
    <row r="20819" spans="1:8">
      <c r="A20819" t="s">
        <v>4</v>
      </c>
      <c r="B20819" s="4" t="s">
        <v>5</v>
      </c>
      <c r="C20819" s="4" t="s">
        <v>7</v>
      </c>
      <c r="D20819" s="4" t="s">
        <v>11</v>
      </c>
      <c r="E20819" s="4" t="s">
        <v>11</v>
      </c>
      <c r="F20819" s="4" t="s">
        <v>7</v>
      </c>
    </row>
    <row r="20820" spans="1:8">
      <c r="A20820" t="n">
        <v>202808</v>
      </c>
      <c r="B20820" s="31" t="n">
        <v>25</v>
      </c>
      <c r="C20820" s="7" t="n">
        <v>1</v>
      </c>
      <c r="D20820" s="7" t="n">
        <v>65535</v>
      </c>
      <c r="E20820" s="7" t="n">
        <v>65535</v>
      </c>
      <c r="F20820" s="7" t="n">
        <v>0</v>
      </c>
    </row>
    <row r="20821" spans="1:8">
      <c r="A20821" t="s">
        <v>4</v>
      </c>
      <c r="B20821" s="4" t="s">
        <v>5</v>
      </c>
      <c r="C20821" s="4" t="s">
        <v>7</v>
      </c>
      <c r="D20821" s="4" t="s">
        <v>11</v>
      </c>
      <c r="E20821" s="4" t="s">
        <v>8</v>
      </c>
      <c r="F20821" s="4" t="s">
        <v>8</v>
      </c>
      <c r="G20821" s="4" t="s">
        <v>8</v>
      </c>
      <c r="H20821" s="4" t="s">
        <v>8</v>
      </c>
    </row>
    <row r="20822" spans="1:8">
      <c r="A20822" t="n">
        <v>202815</v>
      </c>
      <c r="B20822" s="38" t="n">
        <v>51</v>
      </c>
      <c r="C20822" s="7" t="n">
        <v>3</v>
      </c>
      <c r="D20822" s="7" t="n">
        <v>9</v>
      </c>
      <c r="E20822" s="7" t="s">
        <v>232</v>
      </c>
      <c r="F20822" s="7" t="s">
        <v>79</v>
      </c>
      <c r="G20822" s="7" t="s">
        <v>78</v>
      </c>
      <c r="H20822" s="7" t="s">
        <v>79</v>
      </c>
    </row>
    <row r="20823" spans="1:8">
      <c r="A20823" t="s">
        <v>4</v>
      </c>
      <c r="B20823" s="4" t="s">
        <v>5</v>
      </c>
      <c r="C20823" s="4" t="s">
        <v>11</v>
      </c>
      <c r="D20823" s="4" t="s">
        <v>13</v>
      </c>
      <c r="E20823" s="4" t="s">
        <v>13</v>
      </c>
      <c r="F20823" s="4" t="s">
        <v>13</v>
      </c>
      <c r="G20823" s="4" t="s">
        <v>11</v>
      </c>
      <c r="H20823" s="4" t="s">
        <v>11</v>
      </c>
    </row>
    <row r="20824" spans="1:8">
      <c r="A20824" t="n">
        <v>202828</v>
      </c>
      <c r="B20824" s="37" t="n">
        <v>60</v>
      </c>
      <c r="C20824" s="7" t="n">
        <v>9</v>
      </c>
      <c r="D20824" s="7" t="n">
        <v>0</v>
      </c>
      <c r="E20824" s="7" t="n">
        <v>40</v>
      </c>
      <c r="F20824" s="7" t="n">
        <v>0</v>
      </c>
      <c r="G20824" s="7" t="n">
        <v>800</v>
      </c>
      <c r="H20824" s="7" t="n">
        <v>0</v>
      </c>
    </row>
    <row r="20825" spans="1:8">
      <c r="A20825" t="s">
        <v>4</v>
      </c>
      <c r="B20825" s="4" t="s">
        <v>5</v>
      </c>
      <c r="C20825" s="4" t="s">
        <v>11</v>
      </c>
    </row>
    <row r="20826" spans="1:8">
      <c r="A20826" t="n">
        <v>202847</v>
      </c>
      <c r="B20826" s="29" t="n">
        <v>16</v>
      </c>
      <c r="C20826" s="7" t="n">
        <v>800</v>
      </c>
    </row>
    <row r="20827" spans="1:8">
      <c r="A20827" t="s">
        <v>4</v>
      </c>
      <c r="B20827" s="4" t="s">
        <v>5</v>
      </c>
      <c r="C20827" s="4" t="s">
        <v>7</v>
      </c>
      <c r="D20827" s="4" t="s">
        <v>11</v>
      </c>
      <c r="E20827" s="4" t="s">
        <v>8</v>
      </c>
    </row>
    <row r="20828" spans="1:8">
      <c r="A20828" t="n">
        <v>202850</v>
      </c>
      <c r="B20828" s="38" t="n">
        <v>51</v>
      </c>
      <c r="C20828" s="7" t="n">
        <v>4</v>
      </c>
      <c r="D20828" s="7" t="n">
        <v>9</v>
      </c>
      <c r="E20828" s="7" t="s">
        <v>491</v>
      </c>
    </row>
    <row r="20829" spans="1:8">
      <c r="A20829" t="s">
        <v>4</v>
      </c>
      <c r="B20829" s="4" t="s">
        <v>5</v>
      </c>
      <c r="C20829" s="4" t="s">
        <v>11</v>
      </c>
    </row>
    <row r="20830" spans="1:8">
      <c r="A20830" t="n">
        <v>202864</v>
      </c>
      <c r="B20830" s="29" t="n">
        <v>16</v>
      </c>
      <c r="C20830" s="7" t="n">
        <v>0</v>
      </c>
    </row>
    <row r="20831" spans="1:8">
      <c r="A20831" t="s">
        <v>4</v>
      </c>
      <c r="B20831" s="4" t="s">
        <v>5</v>
      </c>
      <c r="C20831" s="4" t="s">
        <v>11</v>
      </c>
      <c r="D20831" s="4" t="s">
        <v>7</v>
      </c>
      <c r="E20831" s="4" t="s">
        <v>15</v>
      </c>
      <c r="F20831" s="4" t="s">
        <v>55</v>
      </c>
      <c r="G20831" s="4" t="s">
        <v>7</v>
      </c>
      <c r="H20831" s="4" t="s">
        <v>7</v>
      </c>
      <c r="I20831" s="4" t="s">
        <v>7</v>
      </c>
      <c r="J20831" s="4" t="s">
        <v>15</v>
      </c>
      <c r="K20831" s="4" t="s">
        <v>55</v>
      </c>
      <c r="L20831" s="4" t="s">
        <v>7</v>
      </c>
      <c r="M20831" s="4" t="s">
        <v>7</v>
      </c>
      <c r="N20831" s="4" t="s">
        <v>7</v>
      </c>
      <c r="O20831" s="4" t="s">
        <v>15</v>
      </c>
      <c r="P20831" s="4" t="s">
        <v>55</v>
      </c>
      <c r="Q20831" s="4" t="s">
        <v>7</v>
      </c>
      <c r="R20831" s="4" t="s">
        <v>7</v>
      </c>
      <c r="S20831" s="4" t="s">
        <v>7</v>
      </c>
      <c r="T20831" s="4" t="s">
        <v>15</v>
      </c>
      <c r="U20831" s="4" t="s">
        <v>55</v>
      </c>
      <c r="V20831" s="4" t="s">
        <v>7</v>
      </c>
      <c r="W20831" s="4" t="s">
        <v>7</v>
      </c>
    </row>
    <row r="20832" spans="1:8">
      <c r="A20832" t="n">
        <v>202867</v>
      </c>
      <c r="B20832" s="55" t="n">
        <v>26</v>
      </c>
      <c r="C20832" s="7" t="n">
        <v>9</v>
      </c>
      <c r="D20832" s="7" t="n">
        <v>17</v>
      </c>
      <c r="E20832" s="7" t="n">
        <v>64732</v>
      </c>
      <c r="F20832" s="7" t="s">
        <v>1732</v>
      </c>
      <c r="G20832" s="7" t="n">
        <v>2</v>
      </c>
      <c r="H20832" s="7" t="n">
        <v>3</v>
      </c>
      <c r="I20832" s="7" t="n">
        <v>17</v>
      </c>
      <c r="J20832" s="7" t="n">
        <v>64733</v>
      </c>
      <c r="K20832" s="7" t="s">
        <v>1733</v>
      </c>
      <c r="L20832" s="7" t="n">
        <v>2</v>
      </c>
      <c r="M20832" s="7" t="n">
        <v>3</v>
      </c>
      <c r="N20832" s="7" t="n">
        <v>17</v>
      </c>
      <c r="O20832" s="7" t="n">
        <v>64734</v>
      </c>
      <c r="P20832" s="7" t="s">
        <v>1734</v>
      </c>
      <c r="Q20832" s="7" t="n">
        <v>2</v>
      </c>
      <c r="R20832" s="7" t="n">
        <v>3</v>
      </c>
      <c r="S20832" s="7" t="n">
        <v>17</v>
      </c>
      <c r="T20832" s="7" t="n">
        <v>64735</v>
      </c>
      <c r="U20832" s="7" t="s">
        <v>1735</v>
      </c>
      <c r="V20832" s="7" t="n">
        <v>2</v>
      </c>
      <c r="W20832" s="7" t="n">
        <v>0</v>
      </c>
    </row>
    <row r="20833" spans="1:23">
      <c r="A20833" t="s">
        <v>4</v>
      </c>
      <c r="B20833" s="4" t="s">
        <v>5</v>
      </c>
    </row>
    <row r="20834" spans="1:23">
      <c r="A20834" t="n">
        <v>203211</v>
      </c>
      <c r="B20834" s="27" t="n">
        <v>28</v>
      </c>
    </row>
    <row r="20835" spans="1:23">
      <c r="A20835" t="s">
        <v>4</v>
      </c>
      <c r="B20835" s="4" t="s">
        <v>5</v>
      </c>
      <c r="C20835" s="4" t="s">
        <v>7</v>
      </c>
      <c r="D20835" s="4" t="s">
        <v>11</v>
      </c>
      <c r="E20835" s="4" t="s">
        <v>8</v>
      </c>
    </row>
    <row r="20836" spans="1:23">
      <c r="A20836" t="n">
        <v>203212</v>
      </c>
      <c r="B20836" s="38" t="n">
        <v>51</v>
      </c>
      <c r="C20836" s="7" t="n">
        <v>4</v>
      </c>
      <c r="D20836" s="7" t="n">
        <v>0</v>
      </c>
      <c r="E20836" s="7" t="s">
        <v>245</v>
      </c>
    </row>
    <row r="20837" spans="1:23">
      <c r="A20837" t="s">
        <v>4</v>
      </c>
      <c r="B20837" s="4" t="s">
        <v>5</v>
      </c>
      <c r="C20837" s="4" t="s">
        <v>11</v>
      </c>
    </row>
    <row r="20838" spans="1:23">
      <c r="A20838" t="n">
        <v>203226</v>
      </c>
      <c r="B20838" s="29" t="n">
        <v>16</v>
      </c>
      <c r="C20838" s="7" t="n">
        <v>0</v>
      </c>
    </row>
    <row r="20839" spans="1:23">
      <c r="A20839" t="s">
        <v>4</v>
      </c>
      <c r="B20839" s="4" t="s">
        <v>5</v>
      </c>
      <c r="C20839" s="4" t="s">
        <v>11</v>
      </c>
      <c r="D20839" s="4" t="s">
        <v>7</v>
      </c>
      <c r="E20839" s="4" t="s">
        <v>15</v>
      </c>
      <c r="F20839" s="4" t="s">
        <v>55</v>
      </c>
      <c r="G20839" s="4" t="s">
        <v>7</v>
      </c>
      <c r="H20839" s="4" t="s">
        <v>7</v>
      </c>
    </row>
    <row r="20840" spans="1:23">
      <c r="A20840" t="n">
        <v>203229</v>
      </c>
      <c r="B20840" s="55" t="n">
        <v>26</v>
      </c>
      <c r="C20840" s="7" t="n">
        <v>0</v>
      </c>
      <c r="D20840" s="7" t="n">
        <v>17</v>
      </c>
      <c r="E20840" s="7" t="n">
        <v>64736</v>
      </c>
      <c r="F20840" s="7" t="s">
        <v>1736</v>
      </c>
      <c r="G20840" s="7" t="n">
        <v>2</v>
      </c>
      <c r="H20840" s="7" t="n">
        <v>0</v>
      </c>
    </row>
    <row r="20841" spans="1:23">
      <c r="A20841" t="s">
        <v>4</v>
      </c>
      <c r="B20841" s="4" t="s">
        <v>5</v>
      </c>
    </row>
    <row r="20842" spans="1:23">
      <c r="A20842" t="n">
        <v>203254</v>
      </c>
      <c r="B20842" s="27" t="n">
        <v>28</v>
      </c>
    </row>
    <row r="20843" spans="1:23">
      <c r="A20843" t="s">
        <v>4</v>
      </c>
      <c r="B20843" s="4" t="s">
        <v>5</v>
      </c>
      <c r="C20843" s="4" t="s">
        <v>7</v>
      </c>
      <c r="D20843" s="4" t="s">
        <v>11</v>
      </c>
      <c r="E20843" s="4" t="s">
        <v>11</v>
      </c>
      <c r="F20843" s="4" t="s">
        <v>7</v>
      </c>
    </row>
    <row r="20844" spans="1:23">
      <c r="A20844" t="n">
        <v>203255</v>
      </c>
      <c r="B20844" s="31" t="n">
        <v>25</v>
      </c>
      <c r="C20844" s="7" t="n">
        <v>1</v>
      </c>
      <c r="D20844" s="7" t="n">
        <v>65535</v>
      </c>
      <c r="E20844" s="7" t="n">
        <v>65535</v>
      </c>
      <c r="F20844" s="7" t="n">
        <v>0</v>
      </c>
    </row>
    <row r="20845" spans="1:23">
      <c r="A20845" t="s">
        <v>4</v>
      </c>
      <c r="B20845" s="4" t="s">
        <v>5</v>
      </c>
      <c r="C20845" s="4" t="s">
        <v>7</v>
      </c>
      <c r="D20845" s="4" t="s">
        <v>11</v>
      </c>
      <c r="E20845" s="4" t="s">
        <v>8</v>
      </c>
    </row>
    <row r="20846" spans="1:23">
      <c r="A20846" t="n">
        <v>203262</v>
      </c>
      <c r="B20846" s="38" t="n">
        <v>51</v>
      </c>
      <c r="C20846" s="7" t="n">
        <v>4</v>
      </c>
      <c r="D20846" s="7" t="n">
        <v>9</v>
      </c>
      <c r="E20846" s="7" t="s">
        <v>1456</v>
      </c>
    </row>
    <row r="20847" spans="1:23">
      <c r="A20847" t="s">
        <v>4</v>
      </c>
      <c r="B20847" s="4" t="s">
        <v>5</v>
      </c>
      <c r="C20847" s="4" t="s">
        <v>11</v>
      </c>
    </row>
    <row r="20848" spans="1:23">
      <c r="A20848" t="n">
        <v>203276</v>
      </c>
      <c r="B20848" s="29" t="n">
        <v>16</v>
      </c>
      <c r="C20848" s="7" t="n">
        <v>0</v>
      </c>
    </row>
    <row r="20849" spans="1:8">
      <c r="A20849" t="s">
        <v>4</v>
      </c>
      <c r="B20849" s="4" t="s">
        <v>5</v>
      </c>
      <c r="C20849" s="4" t="s">
        <v>11</v>
      </c>
      <c r="D20849" s="4" t="s">
        <v>7</v>
      </c>
      <c r="E20849" s="4" t="s">
        <v>15</v>
      </c>
      <c r="F20849" s="4" t="s">
        <v>55</v>
      </c>
      <c r="G20849" s="4" t="s">
        <v>7</v>
      </c>
      <c r="H20849" s="4" t="s">
        <v>7</v>
      </c>
      <c r="I20849" s="4" t="s">
        <v>7</v>
      </c>
      <c r="J20849" s="4" t="s">
        <v>15</v>
      </c>
      <c r="K20849" s="4" t="s">
        <v>55</v>
      </c>
      <c r="L20849" s="4" t="s">
        <v>7</v>
      </c>
      <c r="M20849" s="4" t="s">
        <v>7</v>
      </c>
      <c r="N20849" s="4" t="s">
        <v>7</v>
      </c>
      <c r="O20849" s="4" t="s">
        <v>15</v>
      </c>
      <c r="P20849" s="4" t="s">
        <v>55</v>
      </c>
      <c r="Q20849" s="4" t="s">
        <v>7</v>
      </c>
      <c r="R20849" s="4" t="s">
        <v>7</v>
      </c>
    </row>
    <row r="20850" spans="1:8">
      <c r="A20850" t="n">
        <v>203279</v>
      </c>
      <c r="B20850" s="55" t="n">
        <v>26</v>
      </c>
      <c r="C20850" s="7" t="n">
        <v>9</v>
      </c>
      <c r="D20850" s="7" t="n">
        <v>17</v>
      </c>
      <c r="E20850" s="7" t="n">
        <v>64737</v>
      </c>
      <c r="F20850" s="7" t="s">
        <v>1737</v>
      </c>
      <c r="G20850" s="7" t="n">
        <v>2</v>
      </c>
      <c r="H20850" s="7" t="n">
        <v>3</v>
      </c>
      <c r="I20850" s="7" t="n">
        <v>17</v>
      </c>
      <c r="J20850" s="7" t="n">
        <v>64738</v>
      </c>
      <c r="K20850" s="7" t="s">
        <v>1738</v>
      </c>
      <c r="L20850" s="7" t="n">
        <v>2</v>
      </c>
      <c r="M20850" s="7" t="n">
        <v>3</v>
      </c>
      <c r="N20850" s="7" t="n">
        <v>17</v>
      </c>
      <c r="O20850" s="7" t="n">
        <v>64739</v>
      </c>
      <c r="P20850" s="7" t="s">
        <v>1739</v>
      </c>
      <c r="Q20850" s="7" t="n">
        <v>2</v>
      </c>
      <c r="R20850" s="7" t="n">
        <v>0</v>
      </c>
    </row>
    <row r="20851" spans="1:8">
      <c r="A20851" t="s">
        <v>4</v>
      </c>
      <c r="B20851" s="4" t="s">
        <v>5</v>
      </c>
    </row>
    <row r="20852" spans="1:8">
      <c r="A20852" t="n">
        <v>203484</v>
      </c>
      <c r="B20852" s="27" t="n">
        <v>28</v>
      </c>
    </row>
    <row r="20853" spans="1:8">
      <c r="A20853" t="s">
        <v>4</v>
      </c>
      <c r="B20853" s="4" t="s">
        <v>5</v>
      </c>
      <c r="C20853" s="4" t="s">
        <v>7</v>
      </c>
      <c r="D20853" s="4" t="s">
        <v>11</v>
      </c>
      <c r="E20853" s="4" t="s">
        <v>8</v>
      </c>
      <c r="F20853" s="4" t="s">
        <v>8</v>
      </c>
      <c r="G20853" s="4" t="s">
        <v>8</v>
      </c>
      <c r="H20853" s="4" t="s">
        <v>8</v>
      </c>
    </row>
    <row r="20854" spans="1:8">
      <c r="A20854" t="n">
        <v>203485</v>
      </c>
      <c r="B20854" s="38" t="n">
        <v>51</v>
      </c>
      <c r="C20854" s="7" t="n">
        <v>3</v>
      </c>
      <c r="D20854" s="7" t="n">
        <v>9</v>
      </c>
      <c r="E20854" s="7" t="s">
        <v>154</v>
      </c>
      <c r="F20854" s="7" t="s">
        <v>155</v>
      </c>
      <c r="G20854" s="7" t="s">
        <v>78</v>
      </c>
      <c r="H20854" s="7" t="s">
        <v>79</v>
      </c>
    </row>
    <row r="20855" spans="1:8">
      <c r="A20855" t="s">
        <v>4</v>
      </c>
      <c r="B20855" s="4" t="s">
        <v>5</v>
      </c>
      <c r="C20855" s="4" t="s">
        <v>11</v>
      </c>
      <c r="D20855" s="4" t="s">
        <v>7</v>
      </c>
      <c r="E20855" s="4" t="s">
        <v>13</v>
      </c>
      <c r="F20855" s="4" t="s">
        <v>11</v>
      </c>
    </row>
    <row r="20856" spans="1:8">
      <c r="A20856" t="n">
        <v>203498</v>
      </c>
      <c r="B20856" s="56" t="n">
        <v>59</v>
      </c>
      <c r="C20856" s="7" t="n">
        <v>9</v>
      </c>
      <c r="D20856" s="7" t="n">
        <v>13</v>
      </c>
      <c r="E20856" s="7" t="n">
        <v>0.150000005960464</v>
      </c>
      <c r="F20856" s="7" t="n">
        <v>0</v>
      </c>
    </row>
    <row r="20857" spans="1:8">
      <c r="A20857" t="s">
        <v>4</v>
      </c>
      <c r="B20857" s="4" t="s">
        <v>5</v>
      </c>
      <c r="C20857" s="4" t="s">
        <v>11</v>
      </c>
    </row>
    <row r="20858" spans="1:8">
      <c r="A20858" t="n">
        <v>203508</v>
      </c>
      <c r="B20858" s="29" t="n">
        <v>16</v>
      </c>
      <c r="C20858" s="7" t="n">
        <v>1000</v>
      </c>
    </row>
    <row r="20859" spans="1:8">
      <c r="A20859" t="s">
        <v>4</v>
      </c>
      <c r="B20859" s="4" t="s">
        <v>5</v>
      </c>
      <c r="C20859" s="4" t="s">
        <v>7</v>
      </c>
      <c r="D20859" s="4" t="s">
        <v>13</v>
      </c>
      <c r="E20859" s="4" t="s">
        <v>13</v>
      </c>
      <c r="F20859" s="4" t="s">
        <v>13</v>
      </c>
    </row>
    <row r="20860" spans="1:8">
      <c r="A20860" t="n">
        <v>203511</v>
      </c>
      <c r="B20860" s="51" t="n">
        <v>45</v>
      </c>
      <c r="C20860" s="7" t="n">
        <v>9</v>
      </c>
      <c r="D20860" s="7" t="n">
        <v>0.00499999988824129</v>
      </c>
      <c r="E20860" s="7" t="n">
        <v>0.00499999988824129</v>
      </c>
      <c r="F20860" s="7" t="n">
        <v>0.25</v>
      </c>
    </row>
    <row r="20861" spans="1:8">
      <c r="A20861" t="s">
        <v>4</v>
      </c>
      <c r="B20861" s="4" t="s">
        <v>5</v>
      </c>
      <c r="C20861" s="4" t="s">
        <v>7</v>
      </c>
      <c r="D20861" s="4" t="s">
        <v>11</v>
      </c>
      <c r="E20861" s="4" t="s">
        <v>8</v>
      </c>
    </row>
    <row r="20862" spans="1:8">
      <c r="A20862" t="n">
        <v>203525</v>
      </c>
      <c r="B20862" s="38" t="n">
        <v>51</v>
      </c>
      <c r="C20862" s="7" t="n">
        <v>4</v>
      </c>
      <c r="D20862" s="7" t="n">
        <v>9</v>
      </c>
      <c r="E20862" s="7" t="s">
        <v>491</v>
      </c>
    </row>
    <row r="20863" spans="1:8">
      <c r="A20863" t="s">
        <v>4</v>
      </c>
      <c r="B20863" s="4" t="s">
        <v>5</v>
      </c>
      <c r="C20863" s="4" t="s">
        <v>11</v>
      </c>
    </row>
    <row r="20864" spans="1:8">
      <c r="A20864" t="n">
        <v>203539</v>
      </c>
      <c r="B20864" s="29" t="n">
        <v>16</v>
      </c>
      <c r="C20864" s="7" t="n">
        <v>0</v>
      </c>
    </row>
    <row r="20865" spans="1:18">
      <c r="A20865" t="s">
        <v>4</v>
      </c>
      <c r="B20865" s="4" t="s">
        <v>5</v>
      </c>
      <c r="C20865" s="4" t="s">
        <v>11</v>
      </c>
      <c r="D20865" s="4" t="s">
        <v>7</v>
      </c>
      <c r="E20865" s="4" t="s">
        <v>15</v>
      </c>
      <c r="F20865" s="4" t="s">
        <v>55</v>
      </c>
      <c r="G20865" s="4" t="s">
        <v>7</v>
      </c>
      <c r="H20865" s="4" t="s">
        <v>7</v>
      </c>
    </row>
    <row r="20866" spans="1:18">
      <c r="A20866" t="n">
        <v>203542</v>
      </c>
      <c r="B20866" s="55" t="n">
        <v>26</v>
      </c>
      <c r="C20866" s="7" t="n">
        <v>9</v>
      </c>
      <c r="D20866" s="7" t="n">
        <v>17</v>
      </c>
      <c r="E20866" s="7" t="n">
        <v>64740</v>
      </c>
      <c r="F20866" s="7" t="s">
        <v>1740</v>
      </c>
      <c r="G20866" s="7" t="n">
        <v>2</v>
      </c>
      <c r="H20866" s="7" t="n">
        <v>0</v>
      </c>
    </row>
    <row r="20867" spans="1:18">
      <c r="A20867" t="s">
        <v>4</v>
      </c>
      <c r="B20867" s="4" t="s">
        <v>5</v>
      </c>
    </row>
    <row r="20868" spans="1:18">
      <c r="A20868" t="n">
        <v>203651</v>
      </c>
      <c r="B20868" s="27" t="n">
        <v>28</v>
      </c>
    </row>
    <row r="20869" spans="1:18">
      <c r="A20869" t="s">
        <v>4</v>
      </c>
      <c r="B20869" s="4" t="s">
        <v>5</v>
      </c>
      <c r="C20869" s="4" t="s">
        <v>11</v>
      </c>
      <c r="D20869" s="4" t="s">
        <v>7</v>
      </c>
      <c r="E20869" s="4" t="s">
        <v>13</v>
      </c>
      <c r="F20869" s="4" t="s">
        <v>11</v>
      </c>
    </row>
    <row r="20870" spans="1:18">
      <c r="A20870" t="n">
        <v>203652</v>
      </c>
      <c r="B20870" s="56" t="n">
        <v>59</v>
      </c>
      <c r="C20870" s="7" t="n">
        <v>0</v>
      </c>
      <c r="D20870" s="7" t="n">
        <v>6</v>
      </c>
      <c r="E20870" s="7" t="n">
        <v>0</v>
      </c>
      <c r="F20870" s="7" t="n">
        <v>0</v>
      </c>
    </row>
    <row r="20871" spans="1:18">
      <c r="A20871" t="s">
        <v>4</v>
      </c>
      <c r="B20871" s="4" t="s">
        <v>5</v>
      </c>
      <c r="C20871" s="4" t="s">
        <v>11</v>
      </c>
    </row>
    <row r="20872" spans="1:18">
      <c r="A20872" t="n">
        <v>203662</v>
      </c>
      <c r="B20872" s="29" t="n">
        <v>16</v>
      </c>
      <c r="C20872" s="7" t="n">
        <v>1300</v>
      </c>
    </row>
    <row r="20873" spans="1:18">
      <c r="A20873" t="s">
        <v>4</v>
      </c>
      <c r="B20873" s="4" t="s">
        <v>5</v>
      </c>
      <c r="C20873" s="4" t="s">
        <v>7</v>
      </c>
      <c r="D20873" s="4" t="s">
        <v>7</v>
      </c>
      <c r="E20873" s="4" t="s">
        <v>13</v>
      </c>
      <c r="F20873" s="4" t="s">
        <v>13</v>
      </c>
      <c r="G20873" s="4" t="s">
        <v>13</v>
      </c>
      <c r="H20873" s="4" t="s">
        <v>11</v>
      </c>
    </row>
    <row r="20874" spans="1:18">
      <c r="A20874" t="n">
        <v>203665</v>
      </c>
      <c r="B20874" s="51" t="n">
        <v>45</v>
      </c>
      <c r="C20874" s="7" t="n">
        <v>2</v>
      </c>
      <c r="D20874" s="7" t="n">
        <v>3</v>
      </c>
      <c r="E20874" s="7" t="n">
        <v>-18.8299999237061</v>
      </c>
      <c r="F20874" s="7" t="n">
        <v>11.3699998855591</v>
      </c>
      <c r="G20874" s="7" t="n">
        <v>30.2700004577637</v>
      </c>
      <c r="H20874" s="7" t="n">
        <v>2000</v>
      </c>
    </row>
    <row r="20875" spans="1:18">
      <c r="A20875" t="s">
        <v>4</v>
      </c>
      <c r="B20875" s="4" t="s">
        <v>5</v>
      </c>
      <c r="C20875" s="4" t="s">
        <v>7</v>
      </c>
      <c r="D20875" s="4" t="s">
        <v>7</v>
      </c>
      <c r="E20875" s="4" t="s">
        <v>13</v>
      </c>
      <c r="F20875" s="4" t="s">
        <v>13</v>
      </c>
      <c r="G20875" s="4" t="s">
        <v>13</v>
      </c>
      <c r="H20875" s="4" t="s">
        <v>11</v>
      </c>
      <c r="I20875" s="4" t="s">
        <v>7</v>
      </c>
    </row>
    <row r="20876" spans="1:18">
      <c r="A20876" t="n">
        <v>203682</v>
      </c>
      <c r="B20876" s="51" t="n">
        <v>45</v>
      </c>
      <c r="C20876" s="7" t="n">
        <v>4</v>
      </c>
      <c r="D20876" s="7" t="n">
        <v>3</v>
      </c>
      <c r="E20876" s="7" t="n">
        <v>17.4400005340576</v>
      </c>
      <c r="F20876" s="7" t="n">
        <v>32.4700012207031</v>
      </c>
      <c r="G20876" s="7" t="n">
        <v>12</v>
      </c>
      <c r="H20876" s="7" t="n">
        <v>2000</v>
      </c>
      <c r="I20876" s="7" t="n">
        <v>1</v>
      </c>
    </row>
    <row r="20877" spans="1:18">
      <c r="A20877" t="s">
        <v>4</v>
      </c>
      <c r="B20877" s="4" t="s">
        <v>5</v>
      </c>
      <c r="C20877" s="4" t="s">
        <v>7</v>
      </c>
      <c r="D20877" s="4" t="s">
        <v>7</v>
      </c>
      <c r="E20877" s="4" t="s">
        <v>13</v>
      </c>
      <c r="F20877" s="4" t="s">
        <v>11</v>
      </c>
    </row>
    <row r="20878" spans="1:18">
      <c r="A20878" t="n">
        <v>203700</v>
      </c>
      <c r="B20878" s="51" t="n">
        <v>45</v>
      </c>
      <c r="C20878" s="7" t="n">
        <v>5</v>
      </c>
      <c r="D20878" s="7" t="n">
        <v>3</v>
      </c>
      <c r="E20878" s="7" t="n">
        <v>1</v>
      </c>
      <c r="F20878" s="7" t="n">
        <v>2000</v>
      </c>
    </row>
    <row r="20879" spans="1:18">
      <c r="A20879" t="s">
        <v>4</v>
      </c>
      <c r="B20879" s="4" t="s">
        <v>5</v>
      </c>
      <c r="C20879" s="4" t="s">
        <v>7</v>
      </c>
      <c r="D20879" s="4" t="s">
        <v>7</v>
      </c>
      <c r="E20879" s="4" t="s">
        <v>13</v>
      </c>
      <c r="F20879" s="4" t="s">
        <v>11</v>
      </c>
    </row>
    <row r="20880" spans="1:18">
      <c r="A20880" t="n">
        <v>203709</v>
      </c>
      <c r="B20880" s="51" t="n">
        <v>45</v>
      </c>
      <c r="C20880" s="7" t="n">
        <v>11</v>
      </c>
      <c r="D20880" s="7" t="n">
        <v>3</v>
      </c>
      <c r="E20880" s="7" t="n">
        <v>34.5999984741211</v>
      </c>
      <c r="F20880" s="7" t="n">
        <v>2000</v>
      </c>
    </row>
    <row r="20881" spans="1:9">
      <c r="A20881" t="s">
        <v>4</v>
      </c>
      <c r="B20881" s="4" t="s">
        <v>5</v>
      </c>
      <c r="C20881" s="4" t="s">
        <v>11</v>
      </c>
      <c r="D20881" s="4" t="s">
        <v>13</v>
      </c>
      <c r="E20881" s="4" t="s">
        <v>13</v>
      </c>
      <c r="F20881" s="4" t="s">
        <v>13</v>
      </c>
      <c r="G20881" s="4" t="s">
        <v>11</v>
      </c>
      <c r="H20881" s="4" t="s">
        <v>11</v>
      </c>
    </row>
    <row r="20882" spans="1:9">
      <c r="A20882" t="n">
        <v>203718</v>
      </c>
      <c r="B20882" s="37" t="n">
        <v>60</v>
      </c>
      <c r="C20882" s="7" t="n">
        <v>9</v>
      </c>
      <c r="D20882" s="7" t="n">
        <v>0</v>
      </c>
      <c r="E20882" s="7" t="n">
        <v>35</v>
      </c>
      <c r="F20882" s="7" t="n">
        <v>0</v>
      </c>
      <c r="G20882" s="7" t="n">
        <v>1000</v>
      </c>
      <c r="H20882" s="7" t="n">
        <v>0</v>
      </c>
    </row>
    <row r="20883" spans="1:9">
      <c r="A20883" t="s">
        <v>4</v>
      </c>
      <c r="B20883" s="4" t="s">
        <v>5</v>
      </c>
      <c r="C20883" s="4" t="s">
        <v>7</v>
      </c>
      <c r="D20883" s="4" t="s">
        <v>11</v>
      </c>
      <c r="E20883" s="4" t="s">
        <v>8</v>
      </c>
      <c r="F20883" s="4" t="s">
        <v>8</v>
      </c>
      <c r="G20883" s="4" t="s">
        <v>8</v>
      </c>
      <c r="H20883" s="4" t="s">
        <v>8</v>
      </c>
    </row>
    <row r="20884" spans="1:9">
      <c r="A20884" t="n">
        <v>203737</v>
      </c>
      <c r="B20884" s="38" t="n">
        <v>51</v>
      </c>
      <c r="C20884" s="7" t="n">
        <v>3</v>
      </c>
      <c r="D20884" s="7" t="n">
        <v>9</v>
      </c>
      <c r="E20884" s="7" t="s">
        <v>154</v>
      </c>
      <c r="F20884" s="7" t="s">
        <v>218</v>
      </c>
      <c r="G20884" s="7" t="s">
        <v>78</v>
      </c>
      <c r="H20884" s="7" t="s">
        <v>79</v>
      </c>
    </row>
    <row r="20885" spans="1:9">
      <c r="A20885" t="s">
        <v>4</v>
      </c>
      <c r="B20885" s="4" t="s">
        <v>5</v>
      </c>
      <c r="C20885" s="4" t="s">
        <v>11</v>
      </c>
      <c r="D20885" s="4" t="s">
        <v>7</v>
      </c>
      <c r="E20885" s="4" t="s">
        <v>8</v>
      </c>
      <c r="F20885" s="4" t="s">
        <v>13</v>
      </c>
      <c r="G20885" s="4" t="s">
        <v>13</v>
      </c>
      <c r="H20885" s="4" t="s">
        <v>13</v>
      </c>
    </row>
    <row r="20886" spans="1:9">
      <c r="A20886" t="n">
        <v>203750</v>
      </c>
      <c r="B20886" s="42" t="n">
        <v>48</v>
      </c>
      <c r="C20886" s="7" t="n">
        <v>9</v>
      </c>
      <c r="D20886" s="7" t="n">
        <v>0</v>
      </c>
      <c r="E20886" s="7" t="s">
        <v>627</v>
      </c>
      <c r="F20886" s="7" t="n">
        <v>-1</v>
      </c>
      <c r="G20886" s="7" t="n">
        <v>1</v>
      </c>
      <c r="H20886" s="7" t="n">
        <v>0</v>
      </c>
    </row>
    <row r="20887" spans="1:9">
      <c r="A20887" t="s">
        <v>4</v>
      </c>
      <c r="B20887" s="4" t="s">
        <v>5</v>
      </c>
      <c r="C20887" s="4" t="s">
        <v>11</v>
      </c>
      <c r="D20887" s="4" t="s">
        <v>7</v>
      </c>
      <c r="E20887" s="4" t="s">
        <v>8</v>
      </c>
      <c r="F20887" s="4" t="s">
        <v>13</v>
      </c>
      <c r="G20887" s="4" t="s">
        <v>13</v>
      </c>
      <c r="H20887" s="4" t="s">
        <v>13</v>
      </c>
    </row>
    <row r="20888" spans="1:9">
      <c r="A20888" t="n">
        <v>203776</v>
      </c>
      <c r="B20888" s="42" t="n">
        <v>48</v>
      </c>
      <c r="C20888" s="7" t="n">
        <v>0</v>
      </c>
      <c r="D20888" s="7" t="n">
        <v>0</v>
      </c>
      <c r="E20888" s="7" t="s">
        <v>627</v>
      </c>
      <c r="F20888" s="7" t="n">
        <v>-1</v>
      </c>
      <c r="G20888" s="7" t="n">
        <v>1</v>
      </c>
      <c r="H20888" s="7" t="n">
        <v>0</v>
      </c>
    </row>
    <row r="20889" spans="1:9">
      <c r="A20889" t="s">
        <v>4</v>
      </c>
      <c r="B20889" s="4" t="s">
        <v>5</v>
      </c>
      <c r="C20889" s="4" t="s">
        <v>11</v>
      </c>
    </row>
    <row r="20890" spans="1:9">
      <c r="A20890" t="n">
        <v>203802</v>
      </c>
      <c r="B20890" s="29" t="n">
        <v>16</v>
      </c>
      <c r="C20890" s="7" t="n">
        <v>300</v>
      </c>
    </row>
    <row r="20891" spans="1:9">
      <c r="A20891" t="s">
        <v>4</v>
      </c>
      <c r="B20891" s="4" t="s">
        <v>5</v>
      </c>
      <c r="C20891" s="4" t="s">
        <v>11</v>
      </c>
    </row>
    <row r="20892" spans="1:9">
      <c r="A20892" t="n">
        <v>203805</v>
      </c>
      <c r="B20892" s="29" t="n">
        <v>16</v>
      </c>
      <c r="C20892" s="7" t="n">
        <v>1000</v>
      </c>
    </row>
    <row r="20893" spans="1:9">
      <c r="A20893" t="s">
        <v>4</v>
      </c>
      <c r="B20893" s="4" t="s">
        <v>5</v>
      </c>
      <c r="C20893" s="4" t="s">
        <v>7</v>
      </c>
      <c r="D20893" s="4" t="s">
        <v>11</v>
      </c>
      <c r="E20893" s="4" t="s">
        <v>8</v>
      </c>
      <c r="F20893" s="4" t="s">
        <v>8</v>
      </c>
      <c r="G20893" s="4" t="s">
        <v>8</v>
      </c>
      <c r="H20893" s="4" t="s">
        <v>8</v>
      </c>
    </row>
    <row r="20894" spans="1:9">
      <c r="A20894" t="n">
        <v>203808</v>
      </c>
      <c r="B20894" s="38" t="n">
        <v>51</v>
      </c>
      <c r="C20894" s="7" t="n">
        <v>3</v>
      </c>
      <c r="D20894" s="7" t="n">
        <v>9</v>
      </c>
      <c r="E20894" s="7" t="s">
        <v>232</v>
      </c>
      <c r="F20894" s="7" t="s">
        <v>79</v>
      </c>
      <c r="G20894" s="7" t="s">
        <v>78</v>
      </c>
      <c r="H20894" s="7" t="s">
        <v>79</v>
      </c>
    </row>
    <row r="20895" spans="1:9">
      <c r="A20895" t="s">
        <v>4</v>
      </c>
      <c r="B20895" s="4" t="s">
        <v>5</v>
      </c>
      <c r="C20895" s="4" t="s">
        <v>7</v>
      </c>
      <c r="D20895" s="4" t="s">
        <v>11</v>
      </c>
      <c r="E20895" s="4" t="s">
        <v>13</v>
      </c>
      <c r="F20895" s="4" t="s">
        <v>11</v>
      </c>
      <c r="G20895" s="4" t="s">
        <v>15</v>
      </c>
      <c r="H20895" s="4" t="s">
        <v>15</v>
      </c>
      <c r="I20895" s="4" t="s">
        <v>11</v>
      </c>
      <c r="J20895" s="4" t="s">
        <v>11</v>
      </c>
      <c r="K20895" s="4" t="s">
        <v>15</v>
      </c>
      <c r="L20895" s="4" t="s">
        <v>15</v>
      </c>
      <c r="M20895" s="4" t="s">
        <v>15</v>
      </c>
      <c r="N20895" s="4" t="s">
        <v>15</v>
      </c>
      <c r="O20895" s="4" t="s">
        <v>8</v>
      </c>
    </row>
    <row r="20896" spans="1:9">
      <c r="A20896" t="n">
        <v>203821</v>
      </c>
      <c r="B20896" s="57" t="n">
        <v>50</v>
      </c>
      <c r="C20896" s="7" t="n">
        <v>0</v>
      </c>
      <c r="D20896" s="7" t="n">
        <v>2000</v>
      </c>
      <c r="E20896" s="7" t="n">
        <v>0.600000023841858</v>
      </c>
      <c r="F20896" s="7" t="n">
        <v>400</v>
      </c>
      <c r="G20896" s="7" t="n">
        <v>0</v>
      </c>
      <c r="H20896" s="7" t="n">
        <v>1065353216</v>
      </c>
      <c r="I20896" s="7" t="n">
        <v>0</v>
      </c>
      <c r="J20896" s="7" t="n">
        <v>65533</v>
      </c>
      <c r="K20896" s="7" t="n">
        <v>0</v>
      </c>
      <c r="L20896" s="7" t="n">
        <v>0</v>
      </c>
      <c r="M20896" s="7" t="n">
        <v>0</v>
      </c>
      <c r="N20896" s="7" t="n">
        <v>0</v>
      </c>
      <c r="O20896" s="7" t="s">
        <v>16</v>
      </c>
    </row>
    <row r="20897" spans="1:15">
      <c r="A20897" t="s">
        <v>4</v>
      </c>
      <c r="B20897" s="4" t="s">
        <v>5</v>
      </c>
      <c r="C20897" s="4" t="s">
        <v>11</v>
      </c>
    </row>
    <row r="20898" spans="1:15">
      <c r="A20898" t="n">
        <v>203860</v>
      </c>
      <c r="B20898" s="29" t="n">
        <v>16</v>
      </c>
      <c r="C20898" s="7" t="n">
        <v>1000</v>
      </c>
    </row>
    <row r="20899" spans="1:15">
      <c r="A20899" t="s">
        <v>4</v>
      </c>
      <c r="B20899" s="4" t="s">
        <v>5</v>
      </c>
      <c r="C20899" s="4" t="s">
        <v>7</v>
      </c>
      <c r="D20899" s="4" t="s">
        <v>11</v>
      </c>
      <c r="E20899" s="4" t="s">
        <v>8</v>
      </c>
    </row>
    <row r="20900" spans="1:15">
      <c r="A20900" t="n">
        <v>203863</v>
      </c>
      <c r="B20900" s="38" t="n">
        <v>51</v>
      </c>
      <c r="C20900" s="7" t="n">
        <v>4</v>
      </c>
      <c r="D20900" s="7" t="n">
        <v>0</v>
      </c>
      <c r="E20900" s="7" t="s">
        <v>752</v>
      </c>
    </row>
    <row r="20901" spans="1:15">
      <c r="A20901" t="s">
        <v>4</v>
      </c>
      <c r="B20901" s="4" t="s">
        <v>5</v>
      </c>
      <c r="C20901" s="4" t="s">
        <v>11</v>
      </c>
    </row>
    <row r="20902" spans="1:15">
      <c r="A20902" t="n">
        <v>203877</v>
      </c>
      <c r="B20902" s="29" t="n">
        <v>16</v>
      </c>
      <c r="C20902" s="7" t="n">
        <v>0</v>
      </c>
    </row>
    <row r="20903" spans="1:15">
      <c r="A20903" t="s">
        <v>4</v>
      </c>
      <c r="B20903" s="4" t="s">
        <v>5</v>
      </c>
      <c r="C20903" s="4" t="s">
        <v>11</v>
      </c>
      <c r="D20903" s="4" t="s">
        <v>7</v>
      </c>
      <c r="E20903" s="4" t="s">
        <v>15</v>
      </c>
      <c r="F20903" s="4" t="s">
        <v>55</v>
      </c>
      <c r="G20903" s="4" t="s">
        <v>7</v>
      </c>
      <c r="H20903" s="4" t="s">
        <v>7</v>
      </c>
      <c r="I20903" s="4" t="s">
        <v>7</v>
      </c>
      <c r="J20903" s="4" t="s">
        <v>15</v>
      </c>
      <c r="K20903" s="4" t="s">
        <v>55</v>
      </c>
      <c r="L20903" s="4" t="s">
        <v>7</v>
      </c>
      <c r="M20903" s="4" t="s">
        <v>7</v>
      </c>
    </row>
    <row r="20904" spans="1:15">
      <c r="A20904" t="n">
        <v>203880</v>
      </c>
      <c r="B20904" s="55" t="n">
        <v>26</v>
      </c>
      <c r="C20904" s="7" t="n">
        <v>0</v>
      </c>
      <c r="D20904" s="7" t="n">
        <v>17</v>
      </c>
      <c r="E20904" s="7" t="n">
        <v>64741</v>
      </c>
      <c r="F20904" s="7" t="s">
        <v>1741</v>
      </c>
      <c r="G20904" s="7" t="n">
        <v>2</v>
      </c>
      <c r="H20904" s="7" t="n">
        <v>3</v>
      </c>
      <c r="I20904" s="7" t="n">
        <v>17</v>
      </c>
      <c r="J20904" s="7" t="n">
        <v>64742</v>
      </c>
      <c r="K20904" s="7" t="s">
        <v>1742</v>
      </c>
      <c r="L20904" s="7" t="n">
        <v>2</v>
      </c>
      <c r="M20904" s="7" t="n">
        <v>0</v>
      </c>
    </row>
    <row r="20905" spans="1:15">
      <c r="A20905" t="s">
        <v>4</v>
      </c>
      <c r="B20905" s="4" t="s">
        <v>5</v>
      </c>
    </row>
    <row r="20906" spans="1:15">
      <c r="A20906" t="n">
        <v>204035</v>
      </c>
      <c r="B20906" s="27" t="n">
        <v>28</v>
      </c>
    </row>
    <row r="20907" spans="1:15">
      <c r="A20907" t="s">
        <v>4</v>
      </c>
      <c r="B20907" s="4" t="s">
        <v>5</v>
      </c>
      <c r="C20907" s="4" t="s">
        <v>7</v>
      </c>
      <c r="D20907" s="4" t="s">
        <v>11</v>
      </c>
      <c r="E20907" s="4" t="s">
        <v>11</v>
      </c>
      <c r="F20907" s="4" t="s">
        <v>7</v>
      </c>
    </row>
    <row r="20908" spans="1:15">
      <c r="A20908" t="n">
        <v>204036</v>
      </c>
      <c r="B20908" s="31" t="n">
        <v>25</v>
      </c>
      <c r="C20908" s="7" t="n">
        <v>1</v>
      </c>
      <c r="D20908" s="7" t="n">
        <v>65535</v>
      </c>
      <c r="E20908" s="7" t="n">
        <v>65535</v>
      </c>
      <c r="F20908" s="7" t="n">
        <v>0</v>
      </c>
    </row>
    <row r="20909" spans="1:15">
      <c r="A20909" t="s">
        <v>4</v>
      </c>
      <c r="B20909" s="4" t="s">
        <v>5</v>
      </c>
      <c r="C20909" s="4" t="s">
        <v>7</v>
      </c>
      <c r="D20909" s="4" t="s">
        <v>11</v>
      </c>
      <c r="E20909" s="4" t="s">
        <v>8</v>
      </c>
    </row>
    <row r="20910" spans="1:15">
      <c r="A20910" t="n">
        <v>204043</v>
      </c>
      <c r="B20910" s="38" t="n">
        <v>51</v>
      </c>
      <c r="C20910" s="7" t="n">
        <v>4</v>
      </c>
      <c r="D20910" s="7" t="n">
        <v>9</v>
      </c>
      <c r="E20910" s="7" t="s">
        <v>147</v>
      </c>
    </row>
    <row r="20911" spans="1:15">
      <c r="A20911" t="s">
        <v>4</v>
      </c>
      <c r="B20911" s="4" t="s">
        <v>5</v>
      </c>
      <c r="C20911" s="4" t="s">
        <v>11</v>
      </c>
    </row>
    <row r="20912" spans="1:15">
      <c r="A20912" t="n">
        <v>204057</v>
      </c>
      <c r="B20912" s="29" t="n">
        <v>16</v>
      </c>
      <c r="C20912" s="7" t="n">
        <v>0</v>
      </c>
    </row>
    <row r="20913" spans="1:13">
      <c r="A20913" t="s">
        <v>4</v>
      </c>
      <c r="B20913" s="4" t="s">
        <v>5</v>
      </c>
      <c r="C20913" s="4" t="s">
        <v>11</v>
      </c>
      <c r="D20913" s="4" t="s">
        <v>7</v>
      </c>
      <c r="E20913" s="4" t="s">
        <v>15</v>
      </c>
      <c r="F20913" s="4" t="s">
        <v>55</v>
      </c>
      <c r="G20913" s="4" t="s">
        <v>7</v>
      </c>
      <c r="H20913" s="4" t="s">
        <v>7</v>
      </c>
      <c r="I20913" s="4" t="s">
        <v>7</v>
      </c>
      <c r="J20913" s="4" t="s">
        <v>15</v>
      </c>
      <c r="K20913" s="4" t="s">
        <v>55</v>
      </c>
      <c r="L20913" s="4" t="s">
        <v>7</v>
      </c>
      <c r="M20913" s="4" t="s">
        <v>7</v>
      </c>
    </row>
    <row r="20914" spans="1:13">
      <c r="A20914" t="n">
        <v>204060</v>
      </c>
      <c r="B20914" s="55" t="n">
        <v>26</v>
      </c>
      <c r="C20914" s="7" t="n">
        <v>9</v>
      </c>
      <c r="D20914" s="7" t="n">
        <v>17</v>
      </c>
      <c r="E20914" s="7" t="n">
        <v>64743</v>
      </c>
      <c r="F20914" s="7" t="s">
        <v>1743</v>
      </c>
      <c r="G20914" s="7" t="n">
        <v>2</v>
      </c>
      <c r="H20914" s="7" t="n">
        <v>3</v>
      </c>
      <c r="I20914" s="7" t="n">
        <v>17</v>
      </c>
      <c r="J20914" s="7" t="n">
        <v>64744</v>
      </c>
      <c r="K20914" s="7" t="s">
        <v>1744</v>
      </c>
      <c r="L20914" s="7" t="n">
        <v>2</v>
      </c>
      <c r="M20914" s="7" t="n">
        <v>0</v>
      </c>
    </row>
    <row r="20915" spans="1:13">
      <c r="A20915" t="s">
        <v>4</v>
      </c>
      <c r="B20915" s="4" t="s">
        <v>5</v>
      </c>
    </row>
    <row r="20916" spans="1:13">
      <c r="A20916" t="n">
        <v>204148</v>
      </c>
      <c r="B20916" s="27" t="n">
        <v>28</v>
      </c>
    </row>
    <row r="20917" spans="1:13">
      <c r="A20917" t="s">
        <v>4</v>
      </c>
      <c r="B20917" s="4" t="s">
        <v>5</v>
      </c>
      <c r="C20917" s="4" t="s">
        <v>7</v>
      </c>
      <c r="D20917" s="4" t="s">
        <v>11</v>
      </c>
      <c r="E20917" s="4" t="s">
        <v>8</v>
      </c>
    </row>
    <row r="20918" spans="1:13">
      <c r="A20918" t="n">
        <v>204149</v>
      </c>
      <c r="B20918" s="38" t="n">
        <v>51</v>
      </c>
      <c r="C20918" s="7" t="n">
        <v>4</v>
      </c>
      <c r="D20918" s="7" t="n">
        <v>0</v>
      </c>
      <c r="E20918" s="7" t="s">
        <v>167</v>
      </c>
    </row>
    <row r="20919" spans="1:13">
      <c r="A20919" t="s">
        <v>4</v>
      </c>
      <c r="B20919" s="4" t="s">
        <v>5</v>
      </c>
      <c r="C20919" s="4" t="s">
        <v>11</v>
      </c>
    </row>
    <row r="20920" spans="1:13">
      <c r="A20920" t="n">
        <v>204163</v>
      </c>
      <c r="B20920" s="29" t="n">
        <v>16</v>
      </c>
      <c r="C20920" s="7" t="n">
        <v>0</v>
      </c>
    </row>
    <row r="20921" spans="1:13">
      <c r="A20921" t="s">
        <v>4</v>
      </c>
      <c r="B20921" s="4" t="s">
        <v>5</v>
      </c>
      <c r="C20921" s="4" t="s">
        <v>11</v>
      </c>
      <c r="D20921" s="4" t="s">
        <v>7</v>
      </c>
      <c r="E20921" s="4" t="s">
        <v>15</v>
      </c>
      <c r="F20921" s="4" t="s">
        <v>55</v>
      </c>
      <c r="G20921" s="4" t="s">
        <v>7</v>
      </c>
      <c r="H20921" s="4" t="s">
        <v>7</v>
      </c>
      <c r="I20921" s="4" t="s">
        <v>7</v>
      </c>
      <c r="J20921" s="4" t="s">
        <v>15</v>
      </c>
      <c r="K20921" s="4" t="s">
        <v>55</v>
      </c>
      <c r="L20921" s="4" t="s">
        <v>7</v>
      </c>
      <c r="M20921" s="4" t="s">
        <v>7</v>
      </c>
      <c r="N20921" s="4" t="s">
        <v>7</v>
      </c>
      <c r="O20921" s="4" t="s">
        <v>15</v>
      </c>
      <c r="P20921" s="4" t="s">
        <v>55</v>
      </c>
      <c r="Q20921" s="4" t="s">
        <v>7</v>
      </c>
      <c r="R20921" s="4" t="s">
        <v>7</v>
      </c>
    </row>
    <row r="20922" spans="1:13">
      <c r="A20922" t="n">
        <v>204166</v>
      </c>
      <c r="B20922" s="55" t="n">
        <v>26</v>
      </c>
      <c r="C20922" s="7" t="n">
        <v>0</v>
      </c>
      <c r="D20922" s="7" t="n">
        <v>17</v>
      </c>
      <c r="E20922" s="7" t="n">
        <v>64745</v>
      </c>
      <c r="F20922" s="7" t="s">
        <v>1745</v>
      </c>
      <c r="G20922" s="7" t="n">
        <v>2</v>
      </c>
      <c r="H20922" s="7" t="n">
        <v>3</v>
      </c>
      <c r="I20922" s="7" t="n">
        <v>17</v>
      </c>
      <c r="J20922" s="7" t="n">
        <v>64746</v>
      </c>
      <c r="K20922" s="7" t="s">
        <v>1746</v>
      </c>
      <c r="L20922" s="7" t="n">
        <v>2</v>
      </c>
      <c r="M20922" s="7" t="n">
        <v>3</v>
      </c>
      <c r="N20922" s="7" t="n">
        <v>17</v>
      </c>
      <c r="O20922" s="7" t="n">
        <v>64747</v>
      </c>
      <c r="P20922" s="7" t="s">
        <v>1747</v>
      </c>
      <c r="Q20922" s="7" t="n">
        <v>2</v>
      </c>
      <c r="R20922" s="7" t="n">
        <v>0</v>
      </c>
    </row>
    <row r="20923" spans="1:13">
      <c r="A20923" t="s">
        <v>4</v>
      </c>
      <c r="B20923" s="4" t="s">
        <v>5</v>
      </c>
    </row>
    <row r="20924" spans="1:13">
      <c r="A20924" t="n">
        <v>204360</v>
      </c>
      <c r="B20924" s="27" t="n">
        <v>28</v>
      </c>
    </row>
    <row r="20925" spans="1:13">
      <c r="A20925" t="s">
        <v>4</v>
      </c>
      <c r="B20925" s="4" t="s">
        <v>5</v>
      </c>
      <c r="C20925" s="4" t="s">
        <v>7</v>
      </c>
      <c r="D20925" s="4" t="s">
        <v>11</v>
      </c>
      <c r="E20925" s="4" t="s">
        <v>11</v>
      </c>
      <c r="F20925" s="4" t="s">
        <v>7</v>
      </c>
    </row>
    <row r="20926" spans="1:13">
      <c r="A20926" t="n">
        <v>204361</v>
      </c>
      <c r="B20926" s="31" t="n">
        <v>25</v>
      </c>
      <c r="C20926" s="7" t="n">
        <v>1</v>
      </c>
      <c r="D20926" s="7" t="n">
        <v>65535</v>
      </c>
      <c r="E20926" s="7" t="n">
        <v>65535</v>
      </c>
      <c r="F20926" s="7" t="n">
        <v>0</v>
      </c>
    </row>
    <row r="20927" spans="1:13">
      <c r="A20927" t="s">
        <v>4</v>
      </c>
      <c r="B20927" s="4" t="s">
        <v>5</v>
      </c>
      <c r="C20927" s="4" t="s">
        <v>7</v>
      </c>
      <c r="D20927" s="4" t="s">
        <v>11</v>
      </c>
      <c r="E20927" s="4" t="s">
        <v>8</v>
      </c>
      <c r="F20927" s="4" t="s">
        <v>8</v>
      </c>
      <c r="G20927" s="4" t="s">
        <v>8</v>
      </c>
      <c r="H20927" s="4" t="s">
        <v>8</v>
      </c>
    </row>
    <row r="20928" spans="1:13">
      <c r="A20928" t="n">
        <v>204368</v>
      </c>
      <c r="B20928" s="38" t="n">
        <v>51</v>
      </c>
      <c r="C20928" s="7" t="n">
        <v>3</v>
      </c>
      <c r="D20928" s="7" t="n">
        <v>9</v>
      </c>
      <c r="E20928" s="7" t="s">
        <v>98</v>
      </c>
      <c r="F20928" s="7" t="s">
        <v>79</v>
      </c>
      <c r="G20928" s="7" t="s">
        <v>78</v>
      </c>
      <c r="H20928" s="7" t="s">
        <v>79</v>
      </c>
    </row>
    <row r="20929" spans="1:18">
      <c r="A20929" t="s">
        <v>4</v>
      </c>
      <c r="B20929" s="4" t="s">
        <v>5</v>
      </c>
      <c r="C20929" s="4" t="s">
        <v>11</v>
      </c>
      <c r="D20929" s="4" t="s">
        <v>7</v>
      </c>
      <c r="E20929" s="4" t="s">
        <v>7</v>
      </c>
      <c r="F20929" s="4" t="s">
        <v>8</v>
      </c>
    </row>
    <row r="20930" spans="1:18">
      <c r="A20930" t="n">
        <v>204381</v>
      </c>
      <c r="B20930" s="50" t="n">
        <v>20</v>
      </c>
      <c r="C20930" s="7" t="n">
        <v>9</v>
      </c>
      <c r="D20930" s="7" t="n">
        <v>2</v>
      </c>
      <c r="E20930" s="7" t="n">
        <v>11</v>
      </c>
      <c r="F20930" s="7" t="s">
        <v>1748</v>
      </c>
    </row>
    <row r="20931" spans="1:18">
      <c r="A20931" t="s">
        <v>4</v>
      </c>
      <c r="B20931" s="4" t="s">
        <v>5</v>
      </c>
      <c r="C20931" s="4" t="s">
        <v>7</v>
      </c>
      <c r="D20931" s="4" t="s">
        <v>11</v>
      </c>
      <c r="E20931" s="4" t="s">
        <v>8</v>
      </c>
    </row>
    <row r="20932" spans="1:18">
      <c r="A20932" t="n">
        <v>204411</v>
      </c>
      <c r="B20932" s="38" t="n">
        <v>51</v>
      </c>
      <c r="C20932" s="7" t="n">
        <v>4</v>
      </c>
      <c r="D20932" s="7" t="n">
        <v>9</v>
      </c>
      <c r="E20932" s="7" t="s">
        <v>491</v>
      </c>
    </row>
    <row r="20933" spans="1:18">
      <c r="A20933" t="s">
        <v>4</v>
      </c>
      <c r="B20933" s="4" t="s">
        <v>5</v>
      </c>
      <c r="C20933" s="4" t="s">
        <v>11</v>
      </c>
    </row>
    <row r="20934" spans="1:18">
      <c r="A20934" t="n">
        <v>204425</v>
      </c>
      <c r="B20934" s="29" t="n">
        <v>16</v>
      </c>
      <c r="C20934" s="7" t="n">
        <v>0</v>
      </c>
    </row>
    <row r="20935" spans="1:18">
      <c r="A20935" t="s">
        <v>4</v>
      </c>
      <c r="B20935" s="4" t="s">
        <v>5</v>
      </c>
      <c r="C20935" s="4" t="s">
        <v>11</v>
      </c>
      <c r="D20935" s="4" t="s">
        <v>7</v>
      </c>
      <c r="E20935" s="4" t="s">
        <v>15</v>
      </c>
      <c r="F20935" s="4" t="s">
        <v>55</v>
      </c>
      <c r="G20935" s="4" t="s">
        <v>7</v>
      </c>
      <c r="H20935" s="4" t="s">
        <v>7</v>
      </c>
      <c r="I20935" s="4" t="s">
        <v>7</v>
      </c>
      <c r="J20935" s="4" t="s">
        <v>15</v>
      </c>
      <c r="K20935" s="4" t="s">
        <v>55</v>
      </c>
      <c r="L20935" s="4" t="s">
        <v>7</v>
      </c>
      <c r="M20935" s="4" t="s">
        <v>7</v>
      </c>
    </row>
    <row r="20936" spans="1:18">
      <c r="A20936" t="n">
        <v>204428</v>
      </c>
      <c r="B20936" s="55" t="n">
        <v>26</v>
      </c>
      <c r="C20936" s="7" t="n">
        <v>9</v>
      </c>
      <c r="D20936" s="7" t="n">
        <v>17</v>
      </c>
      <c r="E20936" s="7" t="n">
        <v>64712</v>
      </c>
      <c r="F20936" s="7" t="s">
        <v>1749</v>
      </c>
      <c r="G20936" s="7" t="n">
        <v>2</v>
      </c>
      <c r="H20936" s="7" t="n">
        <v>3</v>
      </c>
      <c r="I20936" s="7" t="n">
        <v>17</v>
      </c>
      <c r="J20936" s="7" t="n">
        <v>64713</v>
      </c>
      <c r="K20936" s="7" t="s">
        <v>1750</v>
      </c>
      <c r="L20936" s="7" t="n">
        <v>2</v>
      </c>
      <c r="M20936" s="7" t="n">
        <v>0</v>
      </c>
    </row>
    <row r="20937" spans="1:18">
      <c r="A20937" t="s">
        <v>4</v>
      </c>
      <c r="B20937" s="4" t="s">
        <v>5</v>
      </c>
    </row>
    <row r="20938" spans="1:18">
      <c r="A20938" t="n">
        <v>204561</v>
      </c>
      <c r="B20938" s="27" t="n">
        <v>28</v>
      </c>
    </row>
    <row r="20939" spans="1:18">
      <c r="A20939" t="s">
        <v>4</v>
      </c>
      <c r="B20939" s="4" t="s">
        <v>5</v>
      </c>
      <c r="C20939" s="4" t="s">
        <v>7</v>
      </c>
      <c r="D20939" s="4" t="s">
        <v>11</v>
      </c>
      <c r="E20939" s="4" t="s">
        <v>13</v>
      </c>
    </row>
    <row r="20940" spans="1:18">
      <c r="A20940" t="n">
        <v>204562</v>
      </c>
      <c r="B20940" s="23" t="n">
        <v>58</v>
      </c>
      <c r="C20940" s="7" t="n">
        <v>0</v>
      </c>
      <c r="D20940" s="7" t="n">
        <v>2000</v>
      </c>
      <c r="E20940" s="7" t="n">
        <v>1</v>
      </c>
    </row>
    <row r="20941" spans="1:18">
      <c r="A20941" t="s">
        <v>4</v>
      </c>
      <c r="B20941" s="4" t="s">
        <v>5</v>
      </c>
      <c r="C20941" s="4" t="s">
        <v>7</v>
      </c>
      <c r="D20941" s="4" t="s">
        <v>11</v>
      </c>
    </row>
    <row r="20942" spans="1:18">
      <c r="A20942" t="n">
        <v>204570</v>
      </c>
      <c r="B20942" s="23" t="n">
        <v>58</v>
      </c>
      <c r="C20942" s="7" t="n">
        <v>255</v>
      </c>
      <c r="D20942" s="7" t="n">
        <v>0</v>
      </c>
    </row>
    <row r="20943" spans="1:18">
      <c r="A20943" t="s">
        <v>4</v>
      </c>
      <c r="B20943" s="4" t="s">
        <v>5</v>
      </c>
      <c r="C20943" s="4" t="s">
        <v>11</v>
      </c>
    </row>
    <row r="20944" spans="1:18">
      <c r="A20944" t="n">
        <v>204574</v>
      </c>
      <c r="B20944" s="29" t="n">
        <v>16</v>
      </c>
      <c r="C20944" s="7" t="n">
        <v>1000</v>
      </c>
    </row>
    <row r="20945" spans="1:13">
      <c r="A20945" t="s">
        <v>4</v>
      </c>
      <c r="B20945" s="4" t="s">
        <v>5</v>
      </c>
      <c r="C20945" s="4" t="s">
        <v>7</v>
      </c>
      <c r="D20945" s="4" t="s">
        <v>11</v>
      </c>
      <c r="E20945" s="4" t="s">
        <v>7</v>
      </c>
    </row>
    <row r="20946" spans="1:13">
      <c r="A20946" t="n">
        <v>204577</v>
      </c>
      <c r="B20946" s="40" t="n">
        <v>36</v>
      </c>
      <c r="C20946" s="7" t="n">
        <v>9</v>
      </c>
      <c r="D20946" s="7" t="n">
        <v>0</v>
      </c>
      <c r="E20946" s="7" t="n">
        <v>0</v>
      </c>
    </row>
    <row r="20947" spans="1:13">
      <c r="A20947" t="s">
        <v>4</v>
      </c>
      <c r="B20947" s="4" t="s">
        <v>5</v>
      </c>
      <c r="C20947" s="4" t="s">
        <v>7</v>
      </c>
      <c r="D20947" s="4" t="s">
        <v>11</v>
      </c>
      <c r="E20947" s="4" t="s">
        <v>7</v>
      </c>
    </row>
    <row r="20948" spans="1:13">
      <c r="A20948" t="n">
        <v>204582</v>
      </c>
      <c r="B20948" s="40" t="n">
        <v>36</v>
      </c>
      <c r="C20948" s="7" t="n">
        <v>9</v>
      </c>
      <c r="D20948" s="7" t="n">
        <v>9</v>
      </c>
      <c r="E20948" s="7" t="n">
        <v>0</v>
      </c>
    </row>
    <row r="20949" spans="1:13">
      <c r="A20949" t="s">
        <v>4</v>
      </c>
      <c r="B20949" s="4" t="s">
        <v>5</v>
      </c>
      <c r="C20949" s="4" t="s">
        <v>11</v>
      </c>
    </row>
    <row r="20950" spans="1:13">
      <c r="A20950" t="n">
        <v>204587</v>
      </c>
      <c r="B20950" s="43" t="n">
        <v>12</v>
      </c>
      <c r="C20950" s="7" t="n">
        <v>10314</v>
      </c>
    </row>
    <row r="20951" spans="1:13">
      <c r="A20951" t="s">
        <v>4</v>
      </c>
      <c r="B20951" s="4" t="s">
        <v>5</v>
      </c>
      <c r="C20951" s="4" t="s">
        <v>7</v>
      </c>
      <c r="D20951" s="4" t="s">
        <v>8</v>
      </c>
    </row>
    <row r="20952" spans="1:13">
      <c r="A20952" t="n">
        <v>204590</v>
      </c>
      <c r="B20952" s="6" t="n">
        <v>2</v>
      </c>
      <c r="C20952" s="7" t="n">
        <v>11</v>
      </c>
      <c r="D20952" s="7" t="s">
        <v>37</v>
      </c>
    </row>
    <row r="20953" spans="1:13">
      <c r="A20953" t="s">
        <v>4</v>
      </c>
      <c r="B20953" s="4" t="s">
        <v>5</v>
      </c>
      <c r="C20953" s="4" t="s">
        <v>11</v>
      </c>
      <c r="D20953" s="4" t="s">
        <v>13</v>
      </c>
      <c r="E20953" s="4" t="s">
        <v>13</v>
      </c>
      <c r="F20953" s="4" t="s">
        <v>13</v>
      </c>
      <c r="G20953" s="4" t="s">
        <v>13</v>
      </c>
    </row>
    <row r="20954" spans="1:13">
      <c r="A20954" t="n">
        <v>204614</v>
      </c>
      <c r="B20954" s="36" t="n">
        <v>46</v>
      </c>
      <c r="C20954" s="7" t="n">
        <v>61456</v>
      </c>
      <c r="D20954" s="7" t="n">
        <v>-19.0200004577637</v>
      </c>
      <c r="E20954" s="7" t="n">
        <v>10.0100002288818</v>
      </c>
      <c r="F20954" s="7" t="n">
        <v>30.0699996948242</v>
      </c>
      <c r="G20954" s="7" t="n">
        <v>63.7999992370605</v>
      </c>
    </row>
    <row r="20955" spans="1:13">
      <c r="A20955" t="s">
        <v>4</v>
      </c>
      <c r="B20955" s="4" t="s">
        <v>5</v>
      </c>
      <c r="C20955" s="4" t="s">
        <v>7</v>
      </c>
      <c r="D20955" s="4" t="s">
        <v>7</v>
      </c>
      <c r="E20955" s="4" t="s">
        <v>13</v>
      </c>
      <c r="F20955" s="4" t="s">
        <v>13</v>
      </c>
      <c r="G20955" s="4" t="s">
        <v>13</v>
      </c>
      <c r="H20955" s="4" t="s">
        <v>11</v>
      </c>
      <c r="I20955" s="4" t="s">
        <v>7</v>
      </c>
    </row>
    <row r="20956" spans="1:13">
      <c r="A20956" t="n">
        <v>204633</v>
      </c>
      <c r="B20956" s="51" t="n">
        <v>45</v>
      </c>
      <c r="C20956" s="7" t="n">
        <v>4</v>
      </c>
      <c r="D20956" s="7" t="n">
        <v>3</v>
      </c>
      <c r="E20956" s="7" t="n">
        <v>10.9399995803833</v>
      </c>
      <c r="F20956" s="7" t="n">
        <v>63.8400001525879</v>
      </c>
      <c r="G20956" s="7" t="n">
        <v>0</v>
      </c>
      <c r="H20956" s="7" t="n">
        <v>0</v>
      </c>
      <c r="I20956" s="7" t="n">
        <v>0</v>
      </c>
    </row>
    <row r="20957" spans="1:13">
      <c r="A20957" t="s">
        <v>4</v>
      </c>
      <c r="B20957" s="4" t="s">
        <v>5</v>
      </c>
      <c r="C20957" s="4" t="s">
        <v>7</v>
      </c>
      <c r="D20957" s="4" t="s">
        <v>8</v>
      </c>
    </row>
    <row r="20958" spans="1:13">
      <c r="A20958" t="n">
        <v>204651</v>
      </c>
      <c r="B20958" s="6" t="n">
        <v>2</v>
      </c>
      <c r="C20958" s="7" t="n">
        <v>10</v>
      </c>
      <c r="D20958" s="7" t="s">
        <v>119</v>
      </c>
    </row>
    <row r="20959" spans="1:13">
      <c r="A20959" t="s">
        <v>4</v>
      </c>
      <c r="B20959" s="4" t="s">
        <v>5</v>
      </c>
      <c r="C20959" s="4" t="s">
        <v>11</v>
      </c>
    </row>
    <row r="20960" spans="1:13">
      <c r="A20960" t="n">
        <v>204666</v>
      </c>
      <c r="B20960" s="29" t="n">
        <v>16</v>
      </c>
      <c r="C20960" s="7" t="n">
        <v>0</v>
      </c>
    </row>
    <row r="20961" spans="1:9">
      <c r="A20961" t="s">
        <v>4</v>
      </c>
      <c r="B20961" s="4" t="s">
        <v>5</v>
      </c>
      <c r="C20961" s="4" t="s">
        <v>7</v>
      </c>
      <c r="D20961" s="4" t="s">
        <v>11</v>
      </c>
    </row>
    <row r="20962" spans="1:9">
      <c r="A20962" t="n">
        <v>204669</v>
      </c>
      <c r="B20962" s="23" t="n">
        <v>58</v>
      </c>
      <c r="C20962" s="7" t="n">
        <v>105</v>
      </c>
      <c r="D20962" s="7" t="n">
        <v>300</v>
      </c>
    </row>
    <row r="20963" spans="1:9">
      <c r="A20963" t="s">
        <v>4</v>
      </c>
      <c r="B20963" s="4" t="s">
        <v>5</v>
      </c>
      <c r="C20963" s="4" t="s">
        <v>13</v>
      </c>
      <c r="D20963" s="4" t="s">
        <v>11</v>
      </c>
    </row>
    <row r="20964" spans="1:9">
      <c r="A20964" t="n">
        <v>204673</v>
      </c>
      <c r="B20964" s="46" t="n">
        <v>103</v>
      </c>
      <c r="C20964" s="7" t="n">
        <v>1</v>
      </c>
      <c r="D20964" s="7" t="n">
        <v>300</v>
      </c>
    </row>
    <row r="20965" spans="1:9">
      <c r="A20965" t="s">
        <v>4</v>
      </c>
      <c r="B20965" s="4" t="s">
        <v>5</v>
      </c>
      <c r="C20965" s="4" t="s">
        <v>7</v>
      </c>
      <c r="D20965" s="4" t="s">
        <v>11</v>
      </c>
    </row>
    <row r="20966" spans="1:9">
      <c r="A20966" t="n">
        <v>204680</v>
      </c>
      <c r="B20966" s="48" t="n">
        <v>72</v>
      </c>
      <c r="C20966" s="7" t="n">
        <v>4</v>
      </c>
      <c r="D20966" s="7" t="n">
        <v>0</v>
      </c>
    </row>
    <row r="20967" spans="1:9">
      <c r="A20967" t="s">
        <v>4</v>
      </c>
      <c r="B20967" s="4" t="s">
        <v>5</v>
      </c>
      <c r="C20967" s="4" t="s">
        <v>15</v>
      </c>
    </row>
    <row r="20968" spans="1:9">
      <c r="A20968" t="n">
        <v>204684</v>
      </c>
      <c r="B20968" s="61" t="n">
        <v>15</v>
      </c>
      <c r="C20968" s="7" t="n">
        <v>1073741824</v>
      </c>
    </row>
    <row r="20969" spans="1:9">
      <c r="A20969" t="s">
        <v>4</v>
      </c>
      <c r="B20969" s="4" t="s">
        <v>5</v>
      </c>
      <c r="C20969" s="4" t="s">
        <v>7</v>
      </c>
    </row>
    <row r="20970" spans="1:9">
      <c r="A20970" t="n">
        <v>204689</v>
      </c>
      <c r="B20970" s="47" t="n">
        <v>64</v>
      </c>
      <c r="C20970" s="7" t="n">
        <v>3</v>
      </c>
    </row>
    <row r="20971" spans="1:9">
      <c r="A20971" t="s">
        <v>4</v>
      </c>
      <c r="B20971" s="4" t="s">
        <v>5</v>
      </c>
      <c r="C20971" s="4" t="s">
        <v>7</v>
      </c>
    </row>
    <row r="20972" spans="1:9">
      <c r="A20972" t="n">
        <v>204691</v>
      </c>
      <c r="B20972" s="45" t="n">
        <v>74</v>
      </c>
      <c r="C20972" s="7" t="n">
        <v>67</v>
      </c>
    </row>
    <row r="20973" spans="1:9">
      <c r="A20973" t="s">
        <v>4</v>
      </c>
      <c r="B20973" s="4" t="s">
        <v>5</v>
      </c>
      <c r="C20973" s="4" t="s">
        <v>7</v>
      </c>
      <c r="D20973" s="4" t="s">
        <v>7</v>
      </c>
      <c r="E20973" s="4" t="s">
        <v>11</v>
      </c>
    </row>
    <row r="20974" spans="1:9">
      <c r="A20974" t="n">
        <v>204693</v>
      </c>
      <c r="B20974" s="51" t="n">
        <v>45</v>
      </c>
      <c r="C20974" s="7" t="n">
        <v>8</v>
      </c>
      <c r="D20974" s="7" t="n">
        <v>1</v>
      </c>
      <c r="E20974" s="7" t="n">
        <v>0</v>
      </c>
    </row>
    <row r="20975" spans="1:9">
      <c r="A20975" t="s">
        <v>4</v>
      </c>
      <c r="B20975" s="4" t="s">
        <v>5</v>
      </c>
      <c r="C20975" s="4" t="s">
        <v>11</v>
      </c>
    </row>
    <row r="20976" spans="1:9">
      <c r="A20976" t="n">
        <v>204698</v>
      </c>
      <c r="B20976" s="12" t="n">
        <v>13</v>
      </c>
      <c r="C20976" s="7" t="n">
        <v>6409</v>
      </c>
    </row>
    <row r="20977" spans="1:5">
      <c r="A20977" t="s">
        <v>4</v>
      </c>
      <c r="B20977" s="4" t="s">
        <v>5</v>
      </c>
      <c r="C20977" s="4" t="s">
        <v>11</v>
      </c>
    </row>
    <row r="20978" spans="1:5">
      <c r="A20978" t="n">
        <v>204701</v>
      </c>
      <c r="B20978" s="12" t="n">
        <v>13</v>
      </c>
      <c r="C20978" s="7" t="n">
        <v>6408</v>
      </c>
    </row>
    <row r="20979" spans="1:5">
      <c r="A20979" t="s">
        <v>4</v>
      </c>
      <c r="B20979" s="4" t="s">
        <v>5</v>
      </c>
      <c r="C20979" s="4" t="s">
        <v>11</v>
      </c>
    </row>
    <row r="20980" spans="1:5">
      <c r="A20980" t="n">
        <v>204704</v>
      </c>
      <c r="B20980" s="43" t="n">
        <v>12</v>
      </c>
      <c r="C20980" s="7" t="n">
        <v>6464</v>
      </c>
    </row>
    <row r="20981" spans="1:5">
      <c r="A20981" t="s">
        <v>4</v>
      </c>
      <c r="B20981" s="4" t="s">
        <v>5</v>
      </c>
      <c r="C20981" s="4" t="s">
        <v>11</v>
      </c>
    </row>
    <row r="20982" spans="1:5">
      <c r="A20982" t="n">
        <v>204707</v>
      </c>
      <c r="B20982" s="12" t="n">
        <v>13</v>
      </c>
      <c r="C20982" s="7" t="n">
        <v>6465</v>
      </c>
    </row>
    <row r="20983" spans="1:5">
      <c r="A20983" t="s">
        <v>4</v>
      </c>
      <c r="B20983" s="4" t="s">
        <v>5</v>
      </c>
      <c r="C20983" s="4" t="s">
        <v>11</v>
      </c>
    </row>
    <row r="20984" spans="1:5">
      <c r="A20984" t="n">
        <v>204710</v>
      </c>
      <c r="B20984" s="12" t="n">
        <v>13</v>
      </c>
      <c r="C20984" s="7" t="n">
        <v>6466</v>
      </c>
    </row>
    <row r="20985" spans="1:5">
      <c r="A20985" t="s">
        <v>4</v>
      </c>
      <c r="B20985" s="4" t="s">
        <v>5</v>
      </c>
      <c r="C20985" s="4" t="s">
        <v>11</v>
      </c>
    </row>
    <row r="20986" spans="1:5">
      <c r="A20986" t="n">
        <v>204713</v>
      </c>
      <c r="B20986" s="12" t="n">
        <v>13</v>
      </c>
      <c r="C20986" s="7" t="n">
        <v>6467</v>
      </c>
    </row>
    <row r="20987" spans="1:5">
      <c r="A20987" t="s">
        <v>4</v>
      </c>
      <c r="B20987" s="4" t="s">
        <v>5</v>
      </c>
      <c r="C20987" s="4" t="s">
        <v>11</v>
      </c>
    </row>
    <row r="20988" spans="1:5">
      <c r="A20988" t="n">
        <v>204716</v>
      </c>
      <c r="B20988" s="12" t="n">
        <v>13</v>
      </c>
      <c r="C20988" s="7" t="n">
        <v>6468</v>
      </c>
    </row>
    <row r="20989" spans="1:5">
      <c r="A20989" t="s">
        <v>4</v>
      </c>
      <c r="B20989" s="4" t="s">
        <v>5</v>
      </c>
      <c r="C20989" s="4" t="s">
        <v>11</v>
      </c>
    </row>
    <row r="20990" spans="1:5">
      <c r="A20990" t="n">
        <v>204719</v>
      </c>
      <c r="B20990" s="12" t="n">
        <v>13</v>
      </c>
      <c r="C20990" s="7" t="n">
        <v>6469</v>
      </c>
    </row>
    <row r="20991" spans="1:5">
      <c r="A20991" t="s">
        <v>4</v>
      </c>
      <c r="B20991" s="4" t="s">
        <v>5</v>
      </c>
      <c r="C20991" s="4" t="s">
        <v>11</v>
      </c>
    </row>
    <row r="20992" spans="1:5">
      <c r="A20992" t="n">
        <v>204722</v>
      </c>
      <c r="B20992" s="12" t="n">
        <v>13</v>
      </c>
      <c r="C20992" s="7" t="n">
        <v>6470</v>
      </c>
    </row>
    <row r="20993" spans="1:3">
      <c r="A20993" t="s">
        <v>4</v>
      </c>
      <c r="B20993" s="4" t="s">
        <v>5</v>
      </c>
      <c r="C20993" s="4" t="s">
        <v>11</v>
      </c>
    </row>
    <row r="20994" spans="1:3">
      <c r="A20994" t="n">
        <v>204725</v>
      </c>
      <c r="B20994" s="12" t="n">
        <v>13</v>
      </c>
      <c r="C20994" s="7" t="n">
        <v>6471</v>
      </c>
    </row>
    <row r="20995" spans="1:3">
      <c r="A20995" t="s">
        <v>4</v>
      </c>
      <c r="B20995" s="4" t="s">
        <v>5</v>
      </c>
      <c r="C20995" s="4" t="s">
        <v>7</v>
      </c>
    </row>
    <row r="20996" spans="1:3">
      <c r="A20996" t="n">
        <v>204728</v>
      </c>
      <c r="B20996" s="45" t="n">
        <v>74</v>
      </c>
      <c r="C20996" s="7" t="n">
        <v>18</v>
      </c>
    </row>
    <row r="20997" spans="1:3">
      <c r="A20997" t="s">
        <v>4</v>
      </c>
      <c r="B20997" s="4" t="s">
        <v>5</v>
      </c>
      <c r="C20997" s="4" t="s">
        <v>7</v>
      </c>
    </row>
    <row r="20998" spans="1:3">
      <c r="A20998" t="n">
        <v>204730</v>
      </c>
      <c r="B20998" s="45" t="n">
        <v>74</v>
      </c>
      <c r="C20998" s="7" t="n">
        <v>45</v>
      </c>
    </row>
    <row r="20999" spans="1:3">
      <c r="A20999" t="s">
        <v>4</v>
      </c>
      <c r="B20999" s="4" t="s">
        <v>5</v>
      </c>
      <c r="C20999" s="4" t="s">
        <v>11</v>
      </c>
    </row>
    <row r="21000" spans="1:3">
      <c r="A21000" t="n">
        <v>204732</v>
      </c>
      <c r="B21000" s="29" t="n">
        <v>16</v>
      </c>
      <c r="C21000" s="7" t="n">
        <v>0</v>
      </c>
    </row>
    <row r="21001" spans="1:3">
      <c r="A21001" t="s">
        <v>4</v>
      </c>
      <c r="B21001" s="4" t="s">
        <v>5</v>
      </c>
      <c r="C21001" s="4" t="s">
        <v>7</v>
      </c>
      <c r="D21001" s="4" t="s">
        <v>7</v>
      </c>
      <c r="E21001" s="4" t="s">
        <v>7</v>
      </c>
      <c r="F21001" s="4" t="s">
        <v>7</v>
      </c>
    </row>
    <row r="21002" spans="1:3">
      <c r="A21002" t="n">
        <v>204735</v>
      </c>
      <c r="B21002" s="9" t="n">
        <v>14</v>
      </c>
      <c r="C21002" s="7" t="n">
        <v>0</v>
      </c>
      <c r="D21002" s="7" t="n">
        <v>8</v>
      </c>
      <c r="E21002" s="7" t="n">
        <v>0</v>
      </c>
      <c r="F21002" s="7" t="n">
        <v>0</v>
      </c>
    </row>
    <row r="21003" spans="1:3">
      <c r="A21003" t="s">
        <v>4</v>
      </c>
      <c r="B21003" s="4" t="s">
        <v>5</v>
      </c>
      <c r="C21003" s="4" t="s">
        <v>7</v>
      </c>
      <c r="D21003" s="4" t="s">
        <v>8</v>
      </c>
    </row>
    <row r="21004" spans="1:3">
      <c r="A21004" t="n">
        <v>204740</v>
      </c>
      <c r="B21004" s="6" t="n">
        <v>2</v>
      </c>
      <c r="C21004" s="7" t="n">
        <v>11</v>
      </c>
      <c r="D21004" s="7" t="s">
        <v>14</v>
      </c>
    </row>
    <row r="21005" spans="1:3">
      <c r="A21005" t="s">
        <v>4</v>
      </c>
      <c r="B21005" s="4" t="s">
        <v>5</v>
      </c>
      <c r="C21005" s="4" t="s">
        <v>11</v>
      </c>
    </row>
    <row r="21006" spans="1:3">
      <c r="A21006" t="n">
        <v>204754</v>
      </c>
      <c r="B21006" s="29" t="n">
        <v>16</v>
      </c>
      <c r="C21006" s="7" t="n">
        <v>0</v>
      </c>
    </row>
    <row r="21007" spans="1:3">
      <c r="A21007" t="s">
        <v>4</v>
      </c>
      <c r="B21007" s="4" t="s">
        <v>5</v>
      </c>
      <c r="C21007" s="4" t="s">
        <v>7</v>
      </c>
      <c r="D21007" s="4" t="s">
        <v>8</v>
      </c>
    </row>
    <row r="21008" spans="1:3">
      <c r="A21008" t="n">
        <v>204757</v>
      </c>
      <c r="B21008" s="6" t="n">
        <v>2</v>
      </c>
      <c r="C21008" s="7" t="n">
        <v>11</v>
      </c>
      <c r="D21008" s="7" t="s">
        <v>120</v>
      </c>
    </row>
    <row r="21009" spans="1:6">
      <c r="A21009" t="s">
        <v>4</v>
      </c>
      <c r="B21009" s="4" t="s">
        <v>5</v>
      </c>
      <c r="C21009" s="4" t="s">
        <v>11</v>
      </c>
    </row>
    <row r="21010" spans="1:6">
      <c r="A21010" t="n">
        <v>204766</v>
      </c>
      <c r="B21010" s="29" t="n">
        <v>16</v>
      </c>
      <c r="C21010" s="7" t="n">
        <v>0</v>
      </c>
    </row>
    <row r="21011" spans="1:6">
      <c r="A21011" t="s">
        <v>4</v>
      </c>
      <c r="B21011" s="4" t="s">
        <v>5</v>
      </c>
      <c r="C21011" s="4" t="s">
        <v>15</v>
      </c>
    </row>
    <row r="21012" spans="1:6">
      <c r="A21012" t="n">
        <v>204769</v>
      </c>
      <c r="B21012" s="61" t="n">
        <v>15</v>
      </c>
      <c r="C21012" s="7" t="n">
        <v>2048</v>
      </c>
    </row>
    <row r="21013" spans="1:6">
      <c r="A21013" t="s">
        <v>4</v>
      </c>
      <c r="B21013" s="4" t="s">
        <v>5</v>
      </c>
      <c r="C21013" s="4" t="s">
        <v>7</v>
      </c>
      <c r="D21013" s="4" t="s">
        <v>8</v>
      </c>
    </row>
    <row r="21014" spans="1:6">
      <c r="A21014" t="n">
        <v>204774</v>
      </c>
      <c r="B21014" s="6" t="n">
        <v>2</v>
      </c>
      <c r="C21014" s="7" t="n">
        <v>10</v>
      </c>
      <c r="D21014" s="7" t="s">
        <v>52</v>
      </c>
    </row>
    <row r="21015" spans="1:6">
      <c r="A21015" t="s">
        <v>4</v>
      </c>
      <c r="B21015" s="4" t="s">
        <v>5</v>
      </c>
      <c r="C21015" s="4" t="s">
        <v>11</v>
      </c>
    </row>
    <row r="21016" spans="1:6">
      <c r="A21016" t="n">
        <v>204792</v>
      </c>
      <c r="B21016" s="29" t="n">
        <v>16</v>
      </c>
      <c r="C21016" s="7" t="n">
        <v>0</v>
      </c>
    </row>
    <row r="21017" spans="1:6">
      <c r="A21017" t="s">
        <v>4</v>
      </c>
      <c r="B21017" s="4" t="s">
        <v>5</v>
      </c>
      <c r="C21017" s="4" t="s">
        <v>7</v>
      </c>
      <c r="D21017" s="4" t="s">
        <v>8</v>
      </c>
    </row>
    <row r="21018" spans="1:6">
      <c r="A21018" t="n">
        <v>204795</v>
      </c>
      <c r="B21018" s="6" t="n">
        <v>2</v>
      </c>
      <c r="C21018" s="7" t="n">
        <v>10</v>
      </c>
      <c r="D21018" s="7" t="s">
        <v>53</v>
      </c>
    </row>
    <row r="21019" spans="1:6">
      <c r="A21019" t="s">
        <v>4</v>
      </c>
      <c r="B21019" s="4" t="s">
        <v>5</v>
      </c>
      <c r="C21019" s="4" t="s">
        <v>11</v>
      </c>
    </row>
    <row r="21020" spans="1:6">
      <c r="A21020" t="n">
        <v>204814</v>
      </c>
      <c r="B21020" s="29" t="n">
        <v>16</v>
      </c>
      <c r="C21020" s="7" t="n">
        <v>0</v>
      </c>
    </row>
    <row r="21021" spans="1:6">
      <c r="A21021" t="s">
        <v>4</v>
      </c>
      <c r="B21021" s="4" t="s">
        <v>5</v>
      </c>
      <c r="C21021" s="4" t="s">
        <v>7</v>
      </c>
      <c r="D21021" s="4" t="s">
        <v>11</v>
      </c>
      <c r="E21021" s="4" t="s">
        <v>13</v>
      </c>
    </row>
    <row r="21022" spans="1:6">
      <c r="A21022" t="n">
        <v>204817</v>
      </c>
      <c r="B21022" s="23" t="n">
        <v>58</v>
      </c>
      <c r="C21022" s="7" t="n">
        <v>100</v>
      </c>
      <c r="D21022" s="7" t="n">
        <v>300</v>
      </c>
      <c r="E21022" s="7" t="n">
        <v>1</v>
      </c>
    </row>
    <row r="21023" spans="1:6">
      <c r="A21023" t="s">
        <v>4</v>
      </c>
      <c r="B21023" s="4" t="s">
        <v>5</v>
      </c>
      <c r="C21023" s="4" t="s">
        <v>7</v>
      </c>
      <c r="D21023" s="4" t="s">
        <v>11</v>
      </c>
    </row>
    <row r="21024" spans="1:6">
      <c r="A21024" t="n">
        <v>204825</v>
      </c>
      <c r="B21024" s="23" t="n">
        <v>58</v>
      </c>
      <c r="C21024" s="7" t="n">
        <v>255</v>
      </c>
      <c r="D21024" s="7" t="n">
        <v>0</v>
      </c>
    </row>
    <row r="21025" spans="1:5">
      <c r="A21025" t="s">
        <v>4</v>
      </c>
      <c r="B21025" s="4" t="s">
        <v>5</v>
      </c>
      <c r="C21025" s="4" t="s">
        <v>7</v>
      </c>
    </row>
    <row r="21026" spans="1:5">
      <c r="A21026" t="n">
        <v>204829</v>
      </c>
      <c r="B21026" s="30" t="n">
        <v>23</v>
      </c>
      <c r="C21026" s="7" t="n">
        <v>0</v>
      </c>
    </row>
    <row r="21027" spans="1:5">
      <c r="A21027" t="s">
        <v>4</v>
      </c>
      <c r="B21027" s="4" t="s">
        <v>5</v>
      </c>
    </row>
    <row r="21028" spans="1:5">
      <c r="A21028" t="n">
        <v>204831</v>
      </c>
      <c r="B21028" s="5" t="n">
        <v>1</v>
      </c>
    </row>
    <row r="21029" spans="1:5" s="3" customFormat="1" customHeight="0">
      <c r="A21029" s="3" t="s">
        <v>2</v>
      </c>
      <c r="B21029" s="3" t="s">
        <v>1751</v>
      </c>
    </row>
    <row r="21030" spans="1:5">
      <c r="A21030" t="s">
        <v>4</v>
      </c>
      <c r="B21030" s="4" t="s">
        <v>5</v>
      </c>
      <c r="C21030" s="4" t="s">
        <v>7</v>
      </c>
      <c r="D21030" s="4" t="s">
        <v>7</v>
      </c>
      <c r="E21030" s="4" t="s">
        <v>7</v>
      </c>
      <c r="F21030" s="4" t="s">
        <v>7</v>
      </c>
    </row>
    <row r="21031" spans="1:5">
      <c r="A21031" t="n">
        <v>204832</v>
      </c>
      <c r="B21031" s="9" t="n">
        <v>14</v>
      </c>
      <c r="C21031" s="7" t="n">
        <v>2</v>
      </c>
      <c r="D21031" s="7" t="n">
        <v>0</v>
      </c>
      <c r="E21031" s="7" t="n">
        <v>0</v>
      </c>
      <c r="F21031" s="7" t="n">
        <v>0</v>
      </c>
    </row>
    <row r="21032" spans="1:5">
      <c r="A21032" t="s">
        <v>4</v>
      </c>
      <c r="B21032" s="4" t="s">
        <v>5</v>
      </c>
      <c r="C21032" s="4" t="s">
        <v>7</v>
      </c>
      <c r="D21032" s="20" t="s">
        <v>35</v>
      </c>
      <c r="E21032" s="4" t="s">
        <v>5</v>
      </c>
      <c r="F21032" s="4" t="s">
        <v>7</v>
      </c>
      <c r="G21032" s="4" t="s">
        <v>11</v>
      </c>
      <c r="H21032" s="20" t="s">
        <v>36</v>
      </c>
      <c r="I21032" s="4" t="s">
        <v>7</v>
      </c>
      <c r="J21032" s="4" t="s">
        <v>15</v>
      </c>
      <c r="K21032" s="4" t="s">
        <v>7</v>
      </c>
      <c r="L21032" s="4" t="s">
        <v>7</v>
      </c>
      <c r="M21032" s="20" t="s">
        <v>35</v>
      </c>
      <c r="N21032" s="4" t="s">
        <v>5</v>
      </c>
      <c r="O21032" s="4" t="s">
        <v>7</v>
      </c>
      <c r="P21032" s="4" t="s">
        <v>11</v>
      </c>
      <c r="Q21032" s="20" t="s">
        <v>36</v>
      </c>
      <c r="R21032" s="4" t="s">
        <v>7</v>
      </c>
      <c r="S21032" s="4" t="s">
        <v>15</v>
      </c>
      <c r="T21032" s="4" t="s">
        <v>7</v>
      </c>
      <c r="U21032" s="4" t="s">
        <v>7</v>
      </c>
      <c r="V21032" s="4" t="s">
        <v>7</v>
      </c>
      <c r="W21032" s="4" t="s">
        <v>12</v>
      </c>
    </row>
    <row r="21033" spans="1:5">
      <c r="A21033" t="n">
        <v>204837</v>
      </c>
      <c r="B21033" s="10" t="n">
        <v>5</v>
      </c>
      <c r="C21033" s="7" t="n">
        <v>28</v>
      </c>
      <c r="D21033" s="20" t="s">
        <v>3</v>
      </c>
      <c r="E21033" s="8" t="n">
        <v>162</v>
      </c>
      <c r="F21033" s="7" t="n">
        <v>3</v>
      </c>
      <c r="G21033" s="7" t="n">
        <v>33161</v>
      </c>
      <c r="H21033" s="20" t="s">
        <v>3</v>
      </c>
      <c r="I21033" s="7" t="n">
        <v>0</v>
      </c>
      <c r="J21033" s="7" t="n">
        <v>1</v>
      </c>
      <c r="K21033" s="7" t="n">
        <v>2</v>
      </c>
      <c r="L21033" s="7" t="n">
        <v>28</v>
      </c>
      <c r="M21033" s="20" t="s">
        <v>3</v>
      </c>
      <c r="N21033" s="8" t="n">
        <v>162</v>
      </c>
      <c r="O21033" s="7" t="n">
        <v>3</v>
      </c>
      <c r="P21033" s="7" t="n">
        <v>33161</v>
      </c>
      <c r="Q21033" s="20" t="s">
        <v>3</v>
      </c>
      <c r="R21033" s="7" t="n">
        <v>0</v>
      </c>
      <c r="S21033" s="7" t="n">
        <v>2</v>
      </c>
      <c r="T21033" s="7" t="n">
        <v>2</v>
      </c>
      <c r="U21033" s="7" t="n">
        <v>11</v>
      </c>
      <c r="V21033" s="7" t="n">
        <v>1</v>
      </c>
      <c r="W21033" s="11" t="n">
        <f t="normal" ca="1">A21037</f>
        <v>0</v>
      </c>
    </row>
    <row r="21034" spans="1:5">
      <c r="A21034" t="s">
        <v>4</v>
      </c>
      <c r="B21034" s="4" t="s">
        <v>5</v>
      </c>
      <c r="C21034" s="4" t="s">
        <v>7</v>
      </c>
      <c r="D21034" s="4" t="s">
        <v>11</v>
      </c>
      <c r="E21034" s="4" t="s">
        <v>13</v>
      </c>
    </row>
    <row r="21035" spans="1:5">
      <c r="A21035" t="n">
        <v>204866</v>
      </c>
      <c r="B21035" s="23" t="n">
        <v>58</v>
      </c>
      <c r="C21035" s="7" t="n">
        <v>0</v>
      </c>
      <c r="D21035" s="7" t="n">
        <v>0</v>
      </c>
      <c r="E21035" s="7" t="n">
        <v>1</v>
      </c>
    </row>
    <row r="21036" spans="1:5">
      <c r="A21036" t="s">
        <v>4</v>
      </c>
      <c r="B21036" s="4" t="s">
        <v>5</v>
      </c>
      <c r="C21036" s="4" t="s">
        <v>7</v>
      </c>
      <c r="D21036" s="20" t="s">
        <v>35</v>
      </c>
      <c r="E21036" s="4" t="s">
        <v>5</v>
      </c>
      <c r="F21036" s="4" t="s">
        <v>7</v>
      </c>
      <c r="G21036" s="4" t="s">
        <v>11</v>
      </c>
      <c r="H21036" s="20" t="s">
        <v>36</v>
      </c>
      <c r="I21036" s="4" t="s">
        <v>7</v>
      </c>
      <c r="J21036" s="4" t="s">
        <v>15</v>
      </c>
      <c r="K21036" s="4" t="s">
        <v>7</v>
      </c>
      <c r="L21036" s="4" t="s">
        <v>7</v>
      </c>
      <c r="M21036" s="20" t="s">
        <v>35</v>
      </c>
      <c r="N21036" s="4" t="s">
        <v>5</v>
      </c>
      <c r="O21036" s="4" t="s">
        <v>7</v>
      </c>
      <c r="P21036" s="4" t="s">
        <v>11</v>
      </c>
      <c r="Q21036" s="20" t="s">
        <v>36</v>
      </c>
      <c r="R21036" s="4" t="s">
        <v>7</v>
      </c>
      <c r="S21036" s="4" t="s">
        <v>15</v>
      </c>
      <c r="T21036" s="4" t="s">
        <v>7</v>
      </c>
      <c r="U21036" s="4" t="s">
        <v>7</v>
      </c>
      <c r="V21036" s="4" t="s">
        <v>7</v>
      </c>
      <c r="W21036" s="4" t="s">
        <v>12</v>
      </c>
    </row>
    <row r="21037" spans="1:5">
      <c r="A21037" t="n">
        <v>204874</v>
      </c>
      <c r="B21037" s="10" t="n">
        <v>5</v>
      </c>
      <c r="C21037" s="7" t="n">
        <v>28</v>
      </c>
      <c r="D21037" s="20" t="s">
        <v>3</v>
      </c>
      <c r="E21037" s="8" t="n">
        <v>162</v>
      </c>
      <c r="F21037" s="7" t="n">
        <v>3</v>
      </c>
      <c r="G21037" s="7" t="n">
        <v>33161</v>
      </c>
      <c r="H21037" s="20" t="s">
        <v>3</v>
      </c>
      <c r="I21037" s="7" t="n">
        <v>0</v>
      </c>
      <c r="J21037" s="7" t="n">
        <v>1</v>
      </c>
      <c r="K21037" s="7" t="n">
        <v>3</v>
      </c>
      <c r="L21037" s="7" t="n">
        <v>28</v>
      </c>
      <c r="M21037" s="20" t="s">
        <v>3</v>
      </c>
      <c r="N21037" s="8" t="n">
        <v>162</v>
      </c>
      <c r="O21037" s="7" t="n">
        <v>3</v>
      </c>
      <c r="P21037" s="7" t="n">
        <v>33161</v>
      </c>
      <c r="Q21037" s="20" t="s">
        <v>3</v>
      </c>
      <c r="R21037" s="7" t="n">
        <v>0</v>
      </c>
      <c r="S21037" s="7" t="n">
        <v>2</v>
      </c>
      <c r="T21037" s="7" t="n">
        <v>3</v>
      </c>
      <c r="U21037" s="7" t="n">
        <v>9</v>
      </c>
      <c r="V21037" s="7" t="n">
        <v>1</v>
      </c>
      <c r="W21037" s="11" t="n">
        <f t="normal" ca="1">A21047</f>
        <v>0</v>
      </c>
    </row>
    <row r="21038" spans="1:5">
      <c r="A21038" t="s">
        <v>4</v>
      </c>
      <c r="B21038" s="4" t="s">
        <v>5</v>
      </c>
      <c r="C21038" s="4" t="s">
        <v>7</v>
      </c>
      <c r="D21038" s="20" t="s">
        <v>35</v>
      </c>
      <c r="E21038" s="4" t="s">
        <v>5</v>
      </c>
      <c r="F21038" s="4" t="s">
        <v>11</v>
      </c>
      <c r="G21038" s="4" t="s">
        <v>7</v>
      </c>
      <c r="H21038" s="4" t="s">
        <v>7</v>
      </c>
      <c r="I21038" s="4" t="s">
        <v>8</v>
      </c>
      <c r="J21038" s="20" t="s">
        <v>36</v>
      </c>
      <c r="K21038" s="4" t="s">
        <v>7</v>
      </c>
      <c r="L21038" s="4" t="s">
        <v>7</v>
      </c>
      <c r="M21038" s="20" t="s">
        <v>35</v>
      </c>
      <c r="N21038" s="4" t="s">
        <v>5</v>
      </c>
      <c r="O21038" s="4" t="s">
        <v>7</v>
      </c>
      <c r="P21038" s="20" t="s">
        <v>36</v>
      </c>
      <c r="Q21038" s="4" t="s">
        <v>7</v>
      </c>
      <c r="R21038" s="4" t="s">
        <v>15</v>
      </c>
      <c r="S21038" s="4" t="s">
        <v>7</v>
      </c>
      <c r="T21038" s="4" t="s">
        <v>7</v>
      </c>
      <c r="U21038" s="4" t="s">
        <v>7</v>
      </c>
      <c r="V21038" s="20" t="s">
        <v>35</v>
      </c>
      <c r="W21038" s="4" t="s">
        <v>5</v>
      </c>
      <c r="X21038" s="4" t="s">
        <v>7</v>
      </c>
      <c r="Y21038" s="20" t="s">
        <v>36</v>
      </c>
      <c r="Z21038" s="4" t="s">
        <v>7</v>
      </c>
      <c r="AA21038" s="4" t="s">
        <v>15</v>
      </c>
      <c r="AB21038" s="4" t="s">
        <v>7</v>
      </c>
      <c r="AC21038" s="4" t="s">
        <v>7</v>
      </c>
      <c r="AD21038" s="4" t="s">
        <v>7</v>
      </c>
      <c r="AE21038" s="4" t="s">
        <v>12</v>
      </c>
    </row>
    <row r="21039" spans="1:5">
      <c r="A21039" t="n">
        <v>204903</v>
      </c>
      <c r="B21039" s="10" t="n">
        <v>5</v>
      </c>
      <c r="C21039" s="7" t="n">
        <v>28</v>
      </c>
      <c r="D21039" s="20" t="s">
        <v>3</v>
      </c>
      <c r="E21039" s="41" t="n">
        <v>47</v>
      </c>
      <c r="F21039" s="7" t="n">
        <v>61456</v>
      </c>
      <c r="G21039" s="7" t="n">
        <v>2</v>
      </c>
      <c r="H21039" s="7" t="n">
        <v>0</v>
      </c>
      <c r="I21039" s="7" t="s">
        <v>105</v>
      </c>
      <c r="J21039" s="20" t="s">
        <v>3</v>
      </c>
      <c r="K21039" s="7" t="n">
        <v>8</v>
      </c>
      <c r="L21039" s="7" t="n">
        <v>28</v>
      </c>
      <c r="M21039" s="20" t="s">
        <v>3</v>
      </c>
      <c r="N21039" s="45" t="n">
        <v>74</v>
      </c>
      <c r="O21039" s="7" t="n">
        <v>65</v>
      </c>
      <c r="P21039" s="20" t="s">
        <v>3</v>
      </c>
      <c r="Q21039" s="7" t="n">
        <v>0</v>
      </c>
      <c r="R21039" s="7" t="n">
        <v>1</v>
      </c>
      <c r="S21039" s="7" t="n">
        <v>3</v>
      </c>
      <c r="T21039" s="7" t="n">
        <v>9</v>
      </c>
      <c r="U21039" s="7" t="n">
        <v>28</v>
      </c>
      <c r="V21039" s="20" t="s">
        <v>3</v>
      </c>
      <c r="W21039" s="45" t="n">
        <v>74</v>
      </c>
      <c r="X21039" s="7" t="n">
        <v>65</v>
      </c>
      <c r="Y21039" s="20" t="s">
        <v>3</v>
      </c>
      <c r="Z21039" s="7" t="n">
        <v>0</v>
      </c>
      <c r="AA21039" s="7" t="n">
        <v>2</v>
      </c>
      <c r="AB21039" s="7" t="n">
        <v>3</v>
      </c>
      <c r="AC21039" s="7" t="n">
        <v>9</v>
      </c>
      <c r="AD21039" s="7" t="n">
        <v>1</v>
      </c>
      <c r="AE21039" s="11" t="n">
        <f t="normal" ca="1">A21043</f>
        <v>0</v>
      </c>
    </row>
    <row r="21040" spans="1:5">
      <c r="A21040" t="s">
        <v>4</v>
      </c>
      <c r="B21040" s="4" t="s">
        <v>5</v>
      </c>
      <c r="C21040" s="4" t="s">
        <v>11</v>
      </c>
      <c r="D21040" s="4" t="s">
        <v>7</v>
      </c>
      <c r="E21040" s="4" t="s">
        <v>7</v>
      </c>
      <c r="F21040" s="4" t="s">
        <v>8</v>
      </c>
    </row>
    <row r="21041" spans="1:31">
      <c r="A21041" t="n">
        <v>204951</v>
      </c>
      <c r="B21041" s="41" t="n">
        <v>47</v>
      </c>
      <c r="C21041" s="7" t="n">
        <v>61456</v>
      </c>
      <c r="D21041" s="7" t="n">
        <v>0</v>
      </c>
      <c r="E21041" s="7" t="n">
        <v>0</v>
      </c>
      <c r="F21041" s="7" t="s">
        <v>106</v>
      </c>
    </row>
    <row r="21042" spans="1:31">
      <c r="A21042" t="s">
        <v>4</v>
      </c>
      <c r="B21042" s="4" t="s">
        <v>5</v>
      </c>
      <c r="C21042" s="4" t="s">
        <v>7</v>
      </c>
      <c r="D21042" s="4" t="s">
        <v>11</v>
      </c>
      <c r="E21042" s="4" t="s">
        <v>13</v>
      </c>
    </row>
    <row r="21043" spans="1:31">
      <c r="A21043" t="n">
        <v>204964</v>
      </c>
      <c r="B21043" s="23" t="n">
        <v>58</v>
      </c>
      <c r="C21043" s="7" t="n">
        <v>0</v>
      </c>
      <c r="D21043" s="7" t="n">
        <v>300</v>
      </c>
      <c r="E21043" s="7" t="n">
        <v>1</v>
      </c>
    </row>
    <row r="21044" spans="1:31">
      <c r="A21044" t="s">
        <v>4</v>
      </c>
      <c r="B21044" s="4" t="s">
        <v>5</v>
      </c>
      <c r="C21044" s="4" t="s">
        <v>7</v>
      </c>
      <c r="D21044" s="4" t="s">
        <v>11</v>
      </c>
    </row>
    <row r="21045" spans="1:31">
      <c r="A21045" t="n">
        <v>204972</v>
      </c>
      <c r="B21045" s="23" t="n">
        <v>58</v>
      </c>
      <c r="C21045" s="7" t="n">
        <v>255</v>
      </c>
      <c r="D21045" s="7" t="n">
        <v>0</v>
      </c>
    </row>
    <row r="21046" spans="1:31">
      <c r="A21046" t="s">
        <v>4</v>
      </c>
      <c r="B21046" s="4" t="s">
        <v>5</v>
      </c>
      <c r="C21046" s="4" t="s">
        <v>7</v>
      </c>
      <c r="D21046" s="4" t="s">
        <v>7</v>
      </c>
      <c r="E21046" s="4" t="s">
        <v>7</v>
      </c>
      <c r="F21046" s="4" t="s">
        <v>7</v>
      </c>
    </row>
    <row r="21047" spans="1:31">
      <c r="A21047" t="n">
        <v>204976</v>
      </c>
      <c r="B21047" s="9" t="n">
        <v>14</v>
      </c>
      <c r="C21047" s="7" t="n">
        <v>0</v>
      </c>
      <c r="D21047" s="7" t="n">
        <v>0</v>
      </c>
      <c r="E21047" s="7" t="n">
        <v>0</v>
      </c>
      <c r="F21047" s="7" t="n">
        <v>64</v>
      </c>
    </row>
    <row r="21048" spans="1:31">
      <c r="A21048" t="s">
        <v>4</v>
      </c>
      <c r="B21048" s="4" t="s">
        <v>5</v>
      </c>
      <c r="C21048" s="4" t="s">
        <v>7</v>
      </c>
      <c r="D21048" s="4" t="s">
        <v>11</v>
      </c>
    </row>
    <row r="21049" spans="1:31">
      <c r="A21049" t="n">
        <v>204981</v>
      </c>
      <c r="B21049" s="22" t="n">
        <v>22</v>
      </c>
      <c r="C21049" s="7" t="n">
        <v>0</v>
      </c>
      <c r="D21049" s="7" t="n">
        <v>33161</v>
      </c>
    </row>
    <row r="21050" spans="1:31">
      <c r="A21050" t="s">
        <v>4</v>
      </c>
      <c r="B21050" s="4" t="s">
        <v>5</v>
      </c>
      <c r="C21050" s="4" t="s">
        <v>7</v>
      </c>
      <c r="D21050" s="4" t="s">
        <v>11</v>
      </c>
    </row>
    <row r="21051" spans="1:31">
      <c r="A21051" t="n">
        <v>204985</v>
      </c>
      <c r="B21051" s="23" t="n">
        <v>58</v>
      </c>
      <c r="C21051" s="7" t="n">
        <v>5</v>
      </c>
      <c r="D21051" s="7" t="n">
        <v>300</v>
      </c>
    </row>
    <row r="21052" spans="1:31">
      <c r="A21052" t="s">
        <v>4</v>
      </c>
      <c r="B21052" s="4" t="s">
        <v>5</v>
      </c>
      <c r="C21052" s="4" t="s">
        <v>13</v>
      </c>
      <c r="D21052" s="4" t="s">
        <v>11</v>
      </c>
    </row>
    <row r="21053" spans="1:31">
      <c r="A21053" t="n">
        <v>204989</v>
      </c>
      <c r="B21053" s="46" t="n">
        <v>103</v>
      </c>
      <c r="C21053" s="7" t="n">
        <v>0</v>
      </c>
      <c r="D21053" s="7" t="n">
        <v>300</v>
      </c>
    </row>
    <row r="21054" spans="1:31">
      <c r="A21054" t="s">
        <v>4</v>
      </c>
      <c r="B21054" s="4" t="s">
        <v>5</v>
      </c>
      <c r="C21054" s="4" t="s">
        <v>7</v>
      </c>
    </row>
    <row r="21055" spans="1:31">
      <c r="A21055" t="n">
        <v>204996</v>
      </c>
      <c r="B21055" s="47" t="n">
        <v>64</v>
      </c>
      <c r="C21055" s="7" t="n">
        <v>7</v>
      </c>
    </row>
    <row r="21056" spans="1:31">
      <c r="A21056" t="s">
        <v>4</v>
      </c>
      <c r="B21056" s="4" t="s">
        <v>5</v>
      </c>
      <c r="C21056" s="4" t="s">
        <v>7</v>
      </c>
      <c r="D21056" s="4" t="s">
        <v>11</v>
      </c>
    </row>
    <row r="21057" spans="1:6">
      <c r="A21057" t="n">
        <v>204998</v>
      </c>
      <c r="B21057" s="48" t="n">
        <v>72</v>
      </c>
      <c r="C21057" s="7" t="n">
        <v>5</v>
      </c>
      <c r="D21057" s="7" t="n">
        <v>0</v>
      </c>
    </row>
    <row r="21058" spans="1:6">
      <c r="A21058" t="s">
        <v>4</v>
      </c>
      <c r="B21058" s="4" t="s">
        <v>5</v>
      </c>
      <c r="C21058" s="4" t="s">
        <v>7</v>
      </c>
      <c r="D21058" s="20" t="s">
        <v>35</v>
      </c>
      <c r="E21058" s="4" t="s">
        <v>5</v>
      </c>
      <c r="F21058" s="4" t="s">
        <v>7</v>
      </c>
      <c r="G21058" s="4" t="s">
        <v>11</v>
      </c>
      <c r="H21058" s="20" t="s">
        <v>36</v>
      </c>
      <c r="I21058" s="4" t="s">
        <v>7</v>
      </c>
      <c r="J21058" s="4" t="s">
        <v>15</v>
      </c>
      <c r="K21058" s="4" t="s">
        <v>7</v>
      </c>
      <c r="L21058" s="4" t="s">
        <v>7</v>
      </c>
      <c r="M21058" s="4" t="s">
        <v>12</v>
      </c>
    </row>
    <row r="21059" spans="1:6">
      <c r="A21059" t="n">
        <v>205002</v>
      </c>
      <c r="B21059" s="10" t="n">
        <v>5</v>
      </c>
      <c r="C21059" s="7" t="n">
        <v>28</v>
      </c>
      <c r="D21059" s="20" t="s">
        <v>3</v>
      </c>
      <c r="E21059" s="8" t="n">
        <v>162</v>
      </c>
      <c r="F21059" s="7" t="n">
        <v>4</v>
      </c>
      <c r="G21059" s="7" t="n">
        <v>33161</v>
      </c>
      <c r="H21059" s="20" t="s">
        <v>3</v>
      </c>
      <c r="I21059" s="7" t="n">
        <v>0</v>
      </c>
      <c r="J21059" s="7" t="n">
        <v>1</v>
      </c>
      <c r="K21059" s="7" t="n">
        <v>2</v>
      </c>
      <c r="L21059" s="7" t="n">
        <v>1</v>
      </c>
      <c r="M21059" s="11" t="n">
        <f t="normal" ca="1">A21065</f>
        <v>0</v>
      </c>
    </row>
    <row r="21060" spans="1:6">
      <c r="A21060" t="s">
        <v>4</v>
      </c>
      <c r="B21060" s="4" t="s">
        <v>5</v>
      </c>
      <c r="C21060" s="4" t="s">
        <v>7</v>
      </c>
      <c r="D21060" s="4" t="s">
        <v>8</v>
      </c>
    </row>
    <row r="21061" spans="1:6">
      <c r="A21061" t="n">
        <v>205019</v>
      </c>
      <c r="B21061" s="6" t="n">
        <v>2</v>
      </c>
      <c r="C21061" s="7" t="n">
        <v>10</v>
      </c>
      <c r="D21061" s="7" t="s">
        <v>107</v>
      </c>
    </row>
    <row r="21062" spans="1:6">
      <c r="A21062" t="s">
        <v>4</v>
      </c>
      <c r="B21062" s="4" t="s">
        <v>5</v>
      </c>
      <c r="C21062" s="4" t="s">
        <v>11</v>
      </c>
    </row>
    <row r="21063" spans="1:6">
      <c r="A21063" t="n">
        <v>205036</v>
      </c>
      <c r="B21063" s="29" t="n">
        <v>16</v>
      </c>
      <c r="C21063" s="7" t="n">
        <v>0</v>
      </c>
    </row>
    <row r="21064" spans="1:6">
      <c r="A21064" t="s">
        <v>4</v>
      </c>
      <c r="B21064" s="4" t="s">
        <v>5</v>
      </c>
      <c r="C21064" s="4" t="s">
        <v>11</v>
      </c>
      <c r="D21064" s="4" t="s">
        <v>7</v>
      </c>
      <c r="E21064" s="4" t="s">
        <v>7</v>
      </c>
      <c r="F21064" s="4" t="s">
        <v>8</v>
      </c>
    </row>
    <row r="21065" spans="1:6">
      <c r="A21065" t="n">
        <v>205039</v>
      </c>
      <c r="B21065" s="50" t="n">
        <v>20</v>
      </c>
      <c r="C21065" s="7" t="n">
        <v>0</v>
      </c>
      <c r="D21065" s="7" t="n">
        <v>3</v>
      </c>
      <c r="E21065" s="7" t="n">
        <v>10</v>
      </c>
      <c r="F21065" s="7" t="s">
        <v>108</v>
      </c>
    </row>
    <row r="21066" spans="1:6">
      <c r="A21066" t="s">
        <v>4</v>
      </c>
      <c r="B21066" s="4" t="s">
        <v>5</v>
      </c>
      <c r="C21066" s="4" t="s">
        <v>11</v>
      </c>
    </row>
    <row r="21067" spans="1:6">
      <c r="A21067" t="n">
        <v>205057</v>
      </c>
      <c r="B21067" s="29" t="n">
        <v>16</v>
      </c>
      <c r="C21067" s="7" t="n">
        <v>0</v>
      </c>
    </row>
    <row r="21068" spans="1:6">
      <c r="A21068" t="s">
        <v>4</v>
      </c>
      <c r="B21068" s="4" t="s">
        <v>5</v>
      </c>
      <c r="C21068" s="4" t="s">
        <v>11</v>
      </c>
      <c r="D21068" s="4" t="s">
        <v>7</v>
      </c>
      <c r="E21068" s="4" t="s">
        <v>7</v>
      </c>
      <c r="F21068" s="4" t="s">
        <v>8</v>
      </c>
    </row>
    <row r="21069" spans="1:6">
      <c r="A21069" t="n">
        <v>205060</v>
      </c>
      <c r="B21069" s="50" t="n">
        <v>20</v>
      </c>
      <c r="C21069" s="7" t="n">
        <v>11</v>
      </c>
      <c r="D21069" s="7" t="n">
        <v>3</v>
      </c>
      <c r="E21069" s="7" t="n">
        <v>10</v>
      </c>
      <c r="F21069" s="7" t="s">
        <v>108</v>
      </c>
    </row>
    <row r="21070" spans="1:6">
      <c r="A21070" t="s">
        <v>4</v>
      </c>
      <c r="B21070" s="4" t="s">
        <v>5</v>
      </c>
      <c r="C21070" s="4" t="s">
        <v>11</v>
      </c>
    </row>
    <row r="21071" spans="1:6">
      <c r="A21071" t="n">
        <v>205078</v>
      </c>
      <c r="B21071" s="29" t="n">
        <v>16</v>
      </c>
      <c r="C21071" s="7" t="n">
        <v>0</v>
      </c>
    </row>
    <row r="21072" spans="1:6">
      <c r="A21072" t="s">
        <v>4</v>
      </c>
      <c r="B21072" s="4" t="s">
        <v>5</v>
      </c>
      <c r="C21072" s="4" t="s">
        <v>7</v>
      </c>
      <c r="D21072" s="4" t="s">
        <v>11</v>
      </c>
      <c r="E21072" s="4" t="s">
        <v>7</v>
      </c>
      <c r="F21072" s="4" t="s">
        <v>8</v>
      </c>
      <c r="G21072" s="4" t="s">
        <v>8</v>
      </c>
      <c r="H21072" s="4" t="s">
        <v>8</v>
      </c>
      <c r="I21072" s="4" t="s">
        <v>8</v>
      </c>
      <c r="J21072" s="4" t="s">
        <v>8</v>
      </c>
      <c r="K21072" s="4" t="s">
        <v>8</v>
      </c>
      <c r="L21072" s="4" t="s">
        <v>8</v>
      </c>
      <c r="M21072" s="4" t="s">
        <v>8</v>
      </c>
      <c r="N21072" s="4" t="s">
        <v>8</v>
      </c>
      <c r="O21072" s="4" t="s">
        <v>8</v>
      </c>
      <c r="P21072" s="4" t="s">
        <v>8</v>
      </c>
      <c r="Q21072" s="4" t="s">
        <v>8</v>
      </c>
      <c r="R21072" s="4" t="s">
        <v>8</v>
      </c>
      <c r="S21072" s="4" t="s">
        <v>8</v>
      </c>
      <c r="T21072" s="4" t="s">
        <v>8</v>
      </c>
      <c r="U21072" s="4" t="s">
        <v>8</v>
      </c>
    </row>
    <row r="21073" spans="1:21">
      <c r="A21073" t="n">
        <v>205081</v>
      </c>
      <c r="B21073" s="40" t="n">
        <v>36</v>
      </c>
      <c r="C21073" s="7" t="n">
        <v>8</v>
      </c>
      <c r="D21073" s="7" t="n">
        <v>0</v>
      </c>
      <c r="E21073" s="7" t="n">
        <v>0</v>
      </c>
      <c r="F21073" s="7" t="s">
        <v>1752</v>
      </c>
      <c r="G21073" s="7" t="s">
        <v>1753</v>
      </c>
      <c r="H21073" s="7" t="s">
        <v>16</v>
      </c>
      <c r="I21073" s="7" t="s">
        <v>16</v>
      </c>
      <c r="J21073" s="7" t="s">
        <v>16</v>
      </c>
      <c r="K21073" s="7" t="s">
        <v>16</v>
      </c>
      <c r="L21073" s="7" t="s">
        <v>16</v>
      </c>
      <c r="M21073" s="7" t="s">
        <v>16</v>
      </c>
      <c r="N21073" s="7" t="s">
        <v>16</v>
      </c>
      <c r="O21073" s="7" t="s">
        <v>16</v>
      </c>
      <c r="P21073" s="7" t="s">
        <v>16</v>
      </c>
      <c r="Q21073" s="7" t="s">
        <v>16</v>
      </c>
      <c r="R21073" s="7" t="s">
        <v>16</v>
      </c>
      <c r="S21073" s="7" t="s">
        <v>16</v>
      </c>
      <c r="T21073" s="7" t="s">
        <v>16</v>
      </c>
      <c r="U21073" s="7" t="s">
        <v>16</v>
      </c>
    </row>
    <row r="21074" spans="1:21">
      <c r="A21074" t="s">
        <v>4</v>
      </c>
      <c r="B21074" s="4" t="s">
        <v>5</v>
      </c>
      <c r="C21074" s="4" t="s">
        <v>7</v>
      </c>
      <c r="D21074" s="4" t="s">
        <v>11</v>
      </c>
      <c r="E21074" s="4" t="s">
        <v>7</v>
      </c>
      <c r="F21074" s="4" t="s">
        <v>8</v>
      </c>
      <c r="G21074" s="4" t="s">
        <v>8</v>
      </c>
      <c r="H21074" s="4" t="s">
        <v>8</v>
      </c>
      <c r="I21074" s="4" t="s">
        <v>8</v>
      </c>
      <c r="J21074" s="4" t="s">
        <v>8</v>
      </c>
      <c r="K21074" s="4" t="s">
        <v>8</v>
      </c>
      <c r="L21074" s="4" t="s">
        <v>8</v>
      </c>
      <c r="M21074" s="4" t="s">
        <v>8</v>
      </c>
      <c r="N21074" s="4" t="s">
        <v>8</v>
      </c>
      <c r="O21074" s="4" t="s">
        <v>8</v>
      </c>
      <c r="P21074" s="4" t="s">
        <v>8</v>
      </c>
      <c r="Q21074" s="4" t="s">
        <v>8</v>
      </c>
      <c r="R21074" s="4" t="s">
        <v>8</v>
      </c>
      <c r="S21074" s="4" t="s">
        <v>8</v>
      </c>
      <c r="T21074" s="4" t="s">
        <v>8</v>
      </c>
      <c r="U21074" s="4" t="s">
        <v>8</v>
      </c>
    </row>
    <row r="21075" spans="1:21">
      <c r="A21075" t="n">
        <v>205120</v>
      </c>
      <c r="B21075" s="40" t="n">
        <v>36</v>
      </c>
      <c r="C21075" s="7" t="n">
        <v>8</v>
      </c>
      <c r="D21075" s="7" t="n">
        <v>11</v>
      </c>
      <c r="E21075" s="7" t="n">
        <v>0</v>
      </c>
      <c r="F21075" s="7" t="s">
        <v>231</v>
      </c>
      <c r="G21075" s="7" t="s">
        <v>89</v>
      </c>
      <c r="H21075" s="7" t="s">
        <v>1752</v>
      </c>
      <c r="I21075" s="7" t="s">
        <v>1753</v>
      </c>
      <c r="J21075" s="7" t="s">
        <v>1685</v>
      </c>
      <c r="K21075" s="7" t="s">
        <v>16</v>
      </c>
      <c r="L21075" s="7" t="s">
        <v>16</v>
      </c>
      <c r="M21075" s="7" t="s">
        <v>16</v>
      </c>
      <c r="N21075" s="7" t="s">
        <v>16</v>
      </c>
      <c r="O21075" s="7" t="s">
        <v>16</v>
      </c>
      <c r="P21075" s="7" t="s">
        <v>16</v>
      </c>
      <c r="Q21075" s="7" t="s">
        <v>16</v>
      </c>
      <c r="R21075" s="7" t="s">
        <v>16</v>
      </c>
      <c r="S21075" s="7" t="s">
        <v>16</v>
      </c>
      <c r="T21075" s="7" t="s">
        <v>16</v>
      </c>
      <c r="U21075" s="7" t="s">
        <v>16</v>
      </c>
    </row>
    <row r="21076" spans="1:21">
      <c r="A21076" t="s">
        <v>4</v>
      </c>
      <c r="B21076" s="4" t="s">
        <v>5</v>
      </c>
      <c r="C21076" s="4" t="s">
        <v>7</v>
      </c>
    </row>
    <row r="21077" spans="1:21">
      <c r="A21077" t="n">
        <v>205198</v>
      </c>
      <c r="B21077" s="49" t="n">
        <v>116</v>
      </c>
      <c r="C21077" s="7" t="n">
        <v>0</v>
      </c>
    </row>
    <row r="21078" spans="1:21">
      <c r="A21078" t="s">
        <v>4</v>
      </c>
      <c r="B21078" s="4" t="s">
        <v>5</v>
      </c>
      <c r="C21078" s="4" t="s">
        <v>7</v>
      </c>
      <c r="D21078" s="4" t="s">
        <v>11</v>
      </c>
    </row>
    <row r="21079" spans="1:21">
      <c r="A21079" t="n">
        <v>205200</v>
      </c>
      <c r="B21079" s="49" t="n">
        <v>116</v>
      </c>
      <c r="C21079" s="7" t="n">
        <v>2</v>
      </c>
      <c r="D21079" s="7" t="n">
        <v>1</v>
      </c>
    </row>
    <row r="21080" spans="1:21">
      <c r="A21080" t="s">
        <v>4</v>
      </c>
      <c r="B21080" s="4" t="s">
        <v>5</v>
      </c>
      <c r="C21080" s="4" t="s">
        <v>7</v>
      </c>
      <c r="D21080" s="4" t="s">
        <v>15</v>
      </c>
    </row>
    <row r="21081" spans="1:21">
      <c r="A21081" t="n">
        <v>205204</v>
      </c>
      <c r="B21081" s="49" t="n">
        <v>116</v>
      </c>
      <c r="C21081" s="7" t="n">
        <v>5</v>
      </c>
      <c r="D21081" s="7" t="n">
        <v>1088421888</v>
      </c>
    </row>
    <row r="21082" spans="1:21">
      <c r="A21082" t="s">
        <v>4</v>
      </c>
      <c r="B21082" s="4" t="s">
        <v>5</v>
      </c>
      <c r="C21082" s="4" t="s">
        <v>7</v>
      </c>
      <c r="D21082" s="4" t="s">
        <v>11</v>
      </c>
    </row>
    <row r="21083" spans="1:21">
      <c r="A21083" t="n">
        <v>205210</v>
      </c>
      <c r="B21083" s="49" t="n">
        <v>116</v>
      </c>
      <c r="C21083" s="7" t="n">
        <v>6</v>
      </c>
      <c r="D21083" s="7" t="n">
        <v>1</v>
      </c>
    </row>
    <row r="21084" spans="1:21">
      <c r="A21084" t="s">
        <v>4</v>
      </c>
      <c r="B21084" s="4" t="s">
        <v>5</v>
      </c>
      <c r="C21084" s="4" t="s">
        <v>11</v>
      </c>
      <c r="D21084" s="4" t="s">
        <v>13</v>
      </c>
      <c r="E21084" s="4" t="s">
        <v>13</v>
      </c>
      <c r="F21084" s="4" t="s">
        <v>13</v>
      </c>
      <c r="G21084" s="4" t="s">
        <v>13</v>
      </c>
    </row>
    <row r="21085" spans="1:21">
      <c r="A21085" t="n">
        <v>205214</v>
      </c>
      <c r="B21085" s="36" t="n">
        <v>46</v>
      </c>
      <c r="C21085" s="7" t="n">
        <v>0</v>
      </c>
      <c r="D21085" s="7" t="n">
        <v>1.10000002384186</v>
      </c>
      <c r="E21085" s="7" t="n">
        <v>10.0100002288818</v>
      </c>
      <c r="F21085" s="7" t="n">
        <v>30.3899993896484</v>
      </c>
      <c r="G21085" s="7" t="n">
        <v>131.899993896484</v>
      </c>
    </row>
    <row r="21086" spans="1:21">
      <c r="A21086" t="s">
        <v>4</v>
      </c>
      <c r="B21086" s="4" t="s">
        <v>5</v>
      </c>
      <c r="C21086" s="4" t="s">
        <v>11</v>
      </c>
      <c r="D21086" s="4" t="s">
        <v>13</v>
      </c>
      <c r="E21086" s="4" t="s">
        <v>13</v>
      </c>
      <c r="F21086" s="4" t="s">
        <v>13</v>
      </c>
      <c r="G21086" s="4" t="s">
        <v>11</v>
      </c>
      <c r="H21086" s="4" t="s">
        <v>11</v>
      </c>
    </row>
    <row r="21087" spans="1:21">
      <c r="A21087" t="n">
        <v>205233</v>
      </c>
      <c r="B21087" s="37" t="n">
        <v>60</v>
      </c>
      <c r="C21087" s="7" t="n">
        <v>11</v>
      </c>
      <c r="D21087" s="7" t="n">
        <v>0</v>
      </c>
      <c r="E21087" s="7" t="n">
        <v>10</v>
      </c>
      <c r="F21087" s="7" t="n">
        <v>0</v>
      </c>
      <c r="G21087" s="7" t="n">
        <v>0</v>
      </c>
      <c r="H21087" s="7" t="n">
        <v>0</v>
      </c>
    </row>
    <row r="21088" spans="1:21">
      <c r="A21088" t="s">
        <v>4</v>
      </c>
      <c r="B21088" s="4" t="s">
        <v>5</v>
      </c>
      <c r="C21088" s="4" t="s">
        <v>11</v>
      </c>
      <c r="D21088" s="4" t="s">
        <v>11</v>
      </c>
      <c r="E21088" s="4" t="s">
        <v>11</v>
      </c>
    </row>
    <row r="21089" spans="1:21">
      <c r="A21089" t="n">
        <v>205252</v>
      </c>
      <c r="B21089" s="72" t="n">
        <v>61</v>
      </c>
      <c r="C21089" s="7" t="n">
        <v>0</v>
      </c>
      <c r="D21089" s="7" t="n">
        <v>11</v>
      </c>
      <c r="E21089" s="7" t="n">
        <v>1000</v>
      </c>
    </row>
    <row r="21090" spans="1:21">
      <c r="A21090" t="s">
        <v>4</v>
      </c>
      <c r="B21090" s="4" t="s">
        <v>5</v>
      </c>
      <c r="C21090" s="4" t="s">
        <v>7</v>
      </c>
      <c r="D21090" s="4" t="s">
        <v>7</v>
      </c>
      <c r="E21090" s="4" t="s">
        <v>13</v>
      </c>
      <c r="F21090" s="4" t="s">
        <v>13</v>
      </c>
      <c r="G21090" s="4" t="s">
        <v>13</v>
      </c>
      <c r="H21090" s="4" t="s">
        <v>11</v>
      </c>
    </row>
    <row r="21091" spans="1:21">
      <c r="A21091" t="n">
        <v>205259</v>
      </c>
      <c r="B21091" s="51" t="n">
        <v>45</v>
      </c>
      <c r="C21091" s="7" t="n">
        <v>2</v>
      </c>
      <c r="D21091" s="7" t="n">
        <v>3</v>
      </c>
      <c r="E21091" s="7" t="n">
        <v>1.28999996185303</v>
      </c>
      <c r="F21091" s="7" t="n">
        <v>11.4300003051758</v>
      </c>
      <c r="G21091" s="7" t="n">
        <v>30.1200008392334</v>
      </c>
      <c r="H21091" s="7" t="n">
        <v>0</v>
      </c>
    </row>
    <row r="21092" spans="1:21">
      <c r="A21092" t="s">
        <v>4</v>
      </c>
      <c r="B21092" s="4" t="s">
        <v>5</v>
      </c>
      <c r="C21092" s="4" t="s">
        <v>7</v>
      </c>
      <c r="D21092" s="4" t="s">
        <v>7</v>
      </c>
      <c r="E21092" s="4" t="s">
        <v>13</v>
      </c>
      <c r="F21092" s="4" t="s">
        <v>13</v>
      </c>
      <c r="G21092" s="4" t="s">
        <v>13</v>
      </c>
      <c r="H21092" s="4" t="s">
        <v>11</v>
      </c>
      <c r="I21092" s="4" t="s">
        <v>7</v>
      </c>
    </row>
    <row r="21093" spans="1:21">
      <c r="A21093" t="n">
        <v>205276</v>
      </c>
      <c r="B21093" s="51" t="n">
        <v>45</v>
      </c>
      <c r="C21093" s="7" t="n">
        <v>4</v>
      </c>
      <c r="D21093" s="7" t="n">
        <v>3</v>
      </c>
      <c r="E21093" s="7" t="n">
        <v>11.0100002288818</v>
      </c>
      <c r="F21093" s="7" t="n">
        <v>289.970001220703</v>
      </c>
      <c r="G21093" s="7" t="n">
        <v>0</v>
      </c>
      <c r="H21093" s="7" t="n">
        <v>0</v>
      </c>
      <c r="I21093" s="7" t="n">
        <v>0</v>
      </c>
    </row>
    <row r="21094" spans="1:21">
      <c r="A21094" t="s">
        <v>4</v>
      </c>
      <c r="B21094" s="4" t="s">
        <v>5</v>
      </c>
      <c r="C21094" s="4" t="s">
        <v>7</v>
      </c>
      <c r="D21094" s="4" t="s">
        <v>7</v>
      </c>
      <c r="E21094" s="4" t="s">
        <v>13</v>
      </c>
      <c r="F21094" s="4" t="s">
        <v>11</v>
      </c>
    </row>
    <row r="21095" spans="1:21">
      <c r="A21095" t="n">
        <v>205294</v>
      </c>
      <c r="B21095" s="51" t="n">
        <v>45</v>
      </c>
      <c r="C21095" s="7" t="n">
        <v>5</v>
      </c>
      <c r="D21095" s="7" t="n">
        <v>3</v>
      </c>
      <c r="E21095" s="7" t="n">
        <v>1.79999995231628</v>
      </c>
      <c r="F21095" s="7" t="n">
        <v>0</v>
      </c>
    </row>
    <row r="21096" spans="1:21">
      <c r="A21096" t="s">
        <v>4</v>
      </c>
      <c r="B21096" s="4" t="s">
        <v>5</v>
      </c>
      <c r="C21096" s="4" t="s">
        <v>7</v>
      </c>
      <c r="D21096" s="4" t="s">
        <v>7</v>
      </c>
      <c r="E21096" s="4" t="s">
        <v>13</v>
      </c>
      <c r="F21096" s="4" t="s">
        <v>11</v>
      </c>
    </row>
    <row r="21097" spans="1:21">
      <c r="A21097" t="n">
        <v>205303</v>
      </c>
      <c r="B21097" s="51" t="n">
        <v>45</v>
      </c>
      <c r="C21097" s="7" t="n">
        <v>11</v>
      </c>
      <c r="D21097" s="7" t="n">
        <v>3</v>
      </c>
      <c r="E21097" s="7" t="n">
        <v>34</v>
      </c>
      <c r="F21097" s="7" t="n">
        <v>0</v>
      </c>
    </row>
    <row r="21098" spans="1:21">
      <c r="A21098" t="s">
        <v>4</v>
      </c>
      <c r="B21098" s="4" t="s">
        <v>5</v>
      </c>
      <c r="C21098" s="4" t="s">
        <v>7</v>
      </c>
      <c r="D21098" s="4" t="s">
        <v>7</v>
      </c>
      <c r="E21098" s="4" t="s">
        <v>13</v>
      </c>
      <c r="F21098" s="4" t="s">
        <v>11</v>
      </c>
    </row>
    <row r="21099" spans="1:21">
      <c r="A21099" t="n">
        <v>205312</v>
      </c>
      <c r="B21099" s="51" t="n">
        <v>45</v>
      </c>
      <c r="C21099" s="7" t="n">
        <v>5</v>
      </c>
      <c r="D21099" s="7" t="n">
        <v>3</v>
      </c>
      <c r="E21099" s="7" t="n">
        <v>1.5</v>
      </c>
      <c r="F21099" s="7" t="n">
        <v>3000</v>
      </c>
    </row>
    <row r="21100" spans="1:21">
      <c r="A21100" t="s">
        <v>4</v>
      </c>
      <c r="B21100" s="4" t="s">
        <v>5</v>
      </c>
      <c r="C21100" s="4" t="s">
        <v>7</v>
      </c>
      <c r="D21100" s="4" t="s">
        <v>11</v>
      </c>
      <c r="E21100" s="4" t="s">
        <v>13</v>
      </c>
    </row>
    <row r="21101" spans="1:21">
      <c r="A21101" t="n">
        <v>205321</v>
      </c>
      <c r="B21101" s="23" t="n">
        <v>58</v>
      </c>
      <c r="C21101" s="7" t="n">
        <v>100</v>
      </c>
      <c r="D21101" s="7" t="n">
        <v>1000</v>
      </c>
      <c r="E21101" s="7" t="n">
        <v>1</v>
      </c>
    </row>
    <row r="21102" spans="1:21">
      <c r="A21102" t="s">
        <v>4</v>
      </c>
      <c r="B21102" s="4" t="s">
        <v>5</v>
      </c>
      <c r="C21102" s="4" t="s">
        <v>7</v>
      </c>
      <c r="D21102" s="4" t="s">
        <v>11</v>
      </c>
    </row>
    <row r="21103" spans="1:21">
      <c r="A21103" t="n">
        <v>205329</v>
      </c>
      <c r="B21103" s="23" t="n">
        <v>58</v>
      </c>
      <c r="C21103" s="7" t="n">
        <v>255</v>
      </c>
      <c r="D21103" s="7" t="n">
        <v>0</v>
      </c>
    </row>
    <row r="21104" spans="1:21">
      <c r="A21104" t="s">
        <v>4</v>
      </c>
      <c r="B21104" s="4" t="s">
        <v>5</v>
      </c>
      <c r="C21104" s="4" t="s">
        <v>11</v>
      </c>
    </row>
    <row r="21105" spans="1:9">
      <c r="A21105" t="n">
        <v>205333</v>
      </c>
      <c r="B21105" s="29" t="n">
        <v>16</v>
      </c>
      <c r="C21105" s="7" t="n">
        <v>1000</v>
      </c>
    </row>
    <row r="21106" spans="1:9">
      <c r="A21106" t="s">
        <v>4</v>
      </c>
      <c r="B21106" s="4" t="s">
        <v>5</v>
      </c>
      <c r="C21106" s="4" t="s">
        <v>7</v>
      </c>
      <c r="D21106" s="4" t="s">
        <v>11</v>
      </c>
      <c r="E21106" s="4" t="s">
        <v>8</v>
      </c>
    </row>
    <row r="21107" spans="1:9">
      <c r="A21107" t="n">
        <v>205336</v>
      </c>
      <c r="B21107" s="38" t="n">
        <v>51</v>
      </c>
      <c r="C21107" s="7" t="n">
        <v>4</v>
      </c>
      <c r="D21107" s="7" t="n">
        <v>11</v>
      </c>
      <c r="E21107" s="7" t="s">
        <v>1188</v>
      </c>
    </row>
    <row r="21108" spans="1:9">
      <c r="A21108" t="s">
        <v>4</v>
      </c>
      <c r="B21108" s="4" t="s">
        <v>5</v>
      </c>
      <c r="C21108" s="4" t="s">
        <v>11</v>
      </c>
    </row>
    <row r="21109" spans="1:9">
      <c r="A21109" t="n">
        <v>205351</v>
      </c>
      <c r="B21109" s="29" t="n">
        <v>16</v>
      </c>
      <c r="C21109" s="7" t="n">
        <v>0</v>
      </c>
    </row>
    <row r="21110" spans="1:9">
      <c r="A21110" t="s">
        <v>4</v>
      </c>
      <c r="B21110" s="4" t="s">
        <v>5</v>
      </c>
      <c r="C21110" s="4" t="s">
        <v>11</v>
      </c>
      <c r="D21110" s="4" t="s">
        <v>7</v>
      </c>
      <c r="E21110" s="4" t="s">
        <v>15</v>
      </c>
      <c r="F21110" s="4" t="s">
        <v>55</v>
      </c>
      <c r="G21110" s="4" t="s">
        <v>7</v>
      </c>
      <c r="H21110" s="4" t="s">
        <v>7</v>
      </c>
    </row>
    <row r="21111" spans="1:9">
      <c r="A21111" t="n">
        <v>205354</v>
      </c>
      <c r="B21111" s="55" t="n">
        <v>26</v>
      </c>
      <c r="C21111" s="7" t="n">
        <v>11</v>
      </c>
      <c r="D21111" s="7" t="n">
        <v>17</v>
      </c>
      <c r="E21111" s="7" t="n">
        <v>64748</v>
      </c>
      <c r="F21111" s="7" t="s">
        <v>446</v>
      </c>
      <c r="G21111" s="7" t="n">
        <v>2</v>
      </c>
      <c r="H21111" s="7" t="n">
        <v>0</v>
      </c>
    </row>
    <row r="21112" spans="1:9">
      <c r="A21112" t="s">
        <v>4</v>
      </c>
      <c r="B21112" s="4" t="s">
        <v>5</v>
      </c>
    </row>
    <row r="21113" spans="1:9">
      <c r="A21113" t="n">
        <v>205370</v>
      </c>
      <c r="B21113" s="27" t="n">
        <v>28</v>
      </c>
    </row>
    <row r="21114" spans="1:9">
      <c r="A21114" t="s">
        <v>4</v>
      </c>
      <c r="B21114" s="4" t="s">
        <v>5</v>
      </c>
      <c r="C21114" s="4" t="s">
        <v>7</v>
      </c>
      <c r="D21114" s="4" t="s">
        <v>11</v>
      </c>
      <c r="E21114" s="4" t="s">
        <v>8</v>
      </c>
    </row>
    <row r="21115" spans="1:9">
      <c r="A21115" t="n">
        <v>205371</v>
      </c>
      <c r="B21115" s="38" t="n">
        <v>51</v>
      </c>
      <c r="C21115" s="7" t="n">
        <v>4</v>
      </c>
      <c r="D21115" s="7" t="n">
        <v>0</v>
      </c>
      <c r="E21115" s="7" t="s">
        <v>137</v>
      </c>
    </row>
    <row r="21116" spans="1:9">
      <c r="A21116" t="s">
        <v>4</v>
      </c>
      <c r="B21116" s="4" t="s">
        <v>5</v>
      </c>
      <c r="C21116" s="4" t="s">
        <v>11</v>
      </c>
    </row>
    <row r="21117" spans="1:9">
      <c r="A21117" t="n">
        <v>205384</v>
      </c>
      <c r="B21117" s="29" t="n">
        <v>16</v>
      </c>
      <c r="C21117" s="7" t="n">
        <v>0</v>
      </c>
    </row>
    <row r="21118" spans="1:9">
      <c r="A21118" t="s">
        <v>4</v>
      </c>
      <c r="B21118" s="4" t="s">
        <v>5</v>
      </c>
      <c r="C21118" s="4" t="s">
        <v>11</v>
      </c>
      <c r="D21118" s="4" t="s">
        <v>7</v>
      </c>
      <c r="E21118" s="4" t="s">
        <v>15</v>
      </c>
      <c r="F21118" s="4" t="s">
        <v>55</v>
      </c>
      <c r="G21118" s="4" t="s">
        <v>7</v>
      </c>
      <c r="H21118" s="4" t="s">
        <v>7</v>
      </c>
    </row>
    <row r="21119" spans="1:9">
      <c r="A21119" t="n">
        <v>205387</v>
      </c>
      <c r="B21119" s="55" t="n">
        <v>26</v>
      </c>
      <c r="C21119" s="7" t="n">
        <v>0</v>
      </c>
      <c r="D21119" s="7" t="n">
        <v>17</v>
      </c>
      <c r="E21119" s="7" t="n">
        <v>64749</v>
      </c>
      <c r="F21119" s="7" t="s">
        <v>1754</v>
      </c>
      <c r="G21119" s="7" t="n">
        <v>2</v>
      </c>
      <c r="H21119" s="7" t="n">
        <v>0</v>
      </c>
    </row>
    <row r="21120" spans="1:9">
      <c r="A21120" t="s">
        <v>4</v>
      </c>
      <c r="B21120" s="4" t="s">
        <v>5</v>
      </c>
    </row>
    <row r="21121" spans="1:8">
      <c r="A21121" t="n">
        <v>205438</v>
      </c>
      <c r="B21121" s="27" t="n">
        <v>28</v>
      </c>
    </row>
    <row r="21122" spans="1:8">
      <c r="A21122" t="s">
        <v>4</v>
      </c>
      <c r="B21122" s="4" t="s">
        <v>5</v>
      </c>
      <c r="C21122" s="4" t="s">
        <v>7</v>
      </c>
      <c r="D21122" s="4" t="s">
        <v>11</v>
      </c>
      <c r="E21122" s="4" t="s">
        <v>11</v>
      </c>
      <c r="F21122" s="4" t="s">
        <v>7</v>
      </c>
    </row>
    <row r="21123" spans="1:8">
      <c r="A21123" t="n">
        <v>205439</v>
      </c>
      <c r="B21123" s="31" t="n">
        <v>25</v>
      </c>
      <c r="C21123" s="7" t="n">
        <v>1</v>
      </c>
      <c r="D21123" s="7" t="n">
        <v>65535</v>
      </c>
      <c r="E21123" s="7" t="n">
        <v>65535</v>
      </c>
      <c r="F21123" s="7" t="n">
        <v>0</v>
      </c>
    </row>
    <row r="21124" spans="1:8">
      <c r="A21124" t="s">
        <v>4</v>
      </c>
      <c r="B21124" s="4" t="s">
        <v>5</v>
      </c>
      <c r="C21124" s="4" t="s">
        <v>7</v>
      </c>
      <c r="D21124" s="4" t="s">
        <v>11</v>
      </c>
      <c r="E21124" s="4" t="s">
        <v>8</v>
      </c>
      <c r="F21124" s="4" t="s">
        <v>8</v>
      </c>
      <c r="G21124" s="4" t="s">
        <v>8</v>
      </c>
      <c r="H21124" s="4" t="s">
        <v>8</v>
      </c>
    </row>
    <row r="21125" spans="1:8">
      <c r="A21125" t="n">
        <v>205446</v>
      </c>
      <c r="B21125" s="38" t="n">
        <v>51</v>
      </c>
      <c r="C21125" s="7" t="n">
        <v>3</v>
      </c>
      <c r="D21125" s="7" t="n">
        <v>11</v>
      </c>
      <c r="E21125" s="7" t="s">
        <v>154</v>
      </c>
      <c r="F21125" s="7" t="s">
        <v>218</v>
      </c>
      <c r="G21125" s="7" t="s">
        <v>78</v>
      </c>
      <c r="H21125" s="7" t="s">
        <v>79</v>
      </c>
    </row>
    <row r="21126" spans="1:8">
      <c r="A21126" t="s">
        <v>4</v>
      </c>
      <c r="B21126" s="4" t="s">
        <v>5</v>
      </c>
      <c r="C21126" s="4" t="s">
        <v>11</v>
      </c>
      <c r="D21126" s="4" t="s">
        <v>7</v>
      </c>
      <c r="E21126" s="4" t="s">
        <v>13</v>
      </c>
      <c r="F21126" s="4" t="s">
        <v>11</v>
      </c>
    </row>
    <row r="21127" spans="1:8">
      <c r="A21127" t="n">
        <v>205459</v>
      </c>
      <c r="B21127" s="56" t="n">
        <v>59</v>
      </c>
      <c r="C21127" s="7" t="n">
        <v>11</v>
      </c>
      <c r="D21127" s="7" t="n">
        <v>13</v>
      </c>
      <c r="E21127" s="7" t="n">
        <v>0.150000005960464</v>
      </c>
      <c r="F21127" s="7" t="n">
        <v>0</v>
      </c>
    </row>
    <row r="21128" spans="1:8">
      <c r="A21128" t="s">
        <v>4</v>
      </c>
      <c r="B21128" s="4" t="s">
        <v>5</v>
      </c>
      <c r="C21128" s="4" t="s">
        <v>11</v>
      </c>
    </row>
    <row r="21129" spans="1:8">
      <c r="A21129" t="n">
        <v>205469</v>
      </c>
      <c r="B21129" s="29" t="n">
        <v>16</v>
      </c>
      <c r="C21129" s="7" t="n">
        <v>800</v>
      </c>
    </row>
    <row r="21130" spans="1:8">
      <c r="A21130" t="s">
        <v>4</v>
      </c>
      <c r="B21130" s="4" t="s">
        <v>5</v>
      </c>
      <c r="C21130" s="4" t="s">
        <v>11</v>
      </c>
      <c r="D21130" s="4" t="s">
        <v>13</v>
      </c>
      <c r="E21130" s="4" t="s">
        <v>13</v>
      </c>
      <c r="F21130" s="4" t="s">
        <v>13</v>
      </c>
      <c r="G21130" s="4" t="s">
        <v>11</v>
      </c>
      <c r="H21130" s="4" t="s">
        <v>11</v>
      </c>
    </row>
    <row r="21131" spans="1:8">
      <c r="A21131" t="n">
        <v>205472</v>
      </c>
      <c r="B21131" s="37" t="n">
        <v>60</v>
      </c>
      <c r="C21131" s="7" t="n">
        <v>11</v>
      </c>
      <c r="D21131" s="7" t="n">
        <v>0</v>
      </c>
      <c r="E21131" s="7" t="n">
        <v>0</v>
      </c>
      <c r="F21131" s="7" t="n">
        <v>0</v>
      </c>
      <c r="G21131" s="7" t="n">
        <v>800</v>
      </c>
      <c r="H21131" s="7" t="n">
        <v>0</v>
      </c>
    </row>
    <row r="21132" spans="1:8">
      <c r="A21132" t="s">
        <v>4</v>
      </c>
      <c r="B21132" s="4" t="s">
        <v>5</v>
      </c>
      <c r="C21132" s="4" t="s">
        <v>11</v>
      </c>
      <c r="D21132" s="4" t="s">
        <v>13</v>
      </c>
      <c r="E21132" s="4" t="s">
        <v>13</v>
      </c>
      <c r="F21132" s="4" t="s">
        <v>7</v>
      </c>
    </row>
    <row r="21133" spans="1:8">
      <c r="A21133" t="n">
        <v>205491</v>
      </c>
      <c r="B21133" s="65" t="n">
        <v>52</v>
      </c>
      <c r="C21133" s="7" t="n">
        <v>11</v>
      </c>
      <c r="D21133" s="7" t="n">
        <v>312</v>
      </c>
      <c r="E21133" s="7" t="n">
        <v>5</v>
      </c>
      <c r="F21133" s="7" t="n">
        <v>0</v>
      </c>
    </row>
    <row r="21134" spans="1:8">
      <c r="A21134" t="s">
        <v>4</v>
      </c>
      <c r="B21134" s="4" t="s">
        <v>5</v>
      </c>
      <c r="C21134" s="4" t="s">
        <v>11</v>
      </c>
    </row>
    <row r="21135" spans="1:8">
      <c r="A21135" t="n">
        <v>205503</v>
      </c>
      <c r="B21135" s="66" t="n">
        <v>54</v>
      </c>
      <c r="C21135" s="7" t="n">
        <v>11</v>
      </c>
    </row>
    <row r="21136" spans="1:8">
      <c r="A21136" t="s">
        <v>4</v>
      </c>
      <c r="B21136" s="4" t="s">
        <v>5</v>
      </c>
      <c r="C21136" s="4" t="s">
        <v>11</v>
      </c>
      <c r="D21136" s="4" t="s">
        <v>7</v>
      </c>
      <c r="E21136" s="4" t="s">
        <v>8</v>
      </c>
      <c r="F21136" s="4" t="s">
        <v>13</v>
      </c>
      <c r="G21136" s="4" t="s">
        <v>13</v>
      </c>
      <c r="H21136" s="4" t="s">
        <v>13</v>
      </c>
    </row>
    <row r="21137" spans="1:8">
      <c r="A21137" t="n">
        <v>205506</v>
      </c>
      <c r="B21137" s="42" t="n">
        <v>48</v>
      </c>
      <c r="C21137" s="7" t="n">
        <v>11</v>
      </c>
      <c r="D21137" s="7" t="n">
        <v>0</v>
      </c>
      <c r="E21137" s="7" t="s">
        <v>89</v>
      </c>
      <c r="F21137" s="7" t="n">
        <v>-1</v>
      </c>
      <c r="G21137" s="7" t="n">
        <v>1</v>
      </c>
      <c r="H21137" s="7" t="n">
        <v>5.60519385729927e-45</v>
      </c>
    </row>
    <row r="21138" spans="1:8">
      <c r="A21138" t="s">
        <v>4</v>
      </c>
      <c r="B21138" s="4" t="s">
        <v>5</v>
      </c>
      <c r="C21138" s="4" t="s">
        <v>7</v>
      </c>
      <c r="D21138" s="4" t="s">
        <v>11</v>
      </c>
      <c r="E21138" s="4" t="s">
        <v>8</v>
      </c>
    </row>
    <row r="21139" spans="1:8">
      <c r="A21139" t="n">
        <v>205534</v>
      </c>
      <c r="B21139" s="38" t="n">
        <v>51</v>
      </c>
      <c r="C21139" s="7" t="n">
        <v>4</v>
      </c>
      <c r="D21139" s="7" t="n">
        <v>11</v>
      </c>
      <c r="E21139" s="7" t="s">
        <v>313</v>
      </c>
    </row>
    <row r="21140" spans="1:8">
      <c r="A21140" t="s">
        <v>4</v>
      </c>
      <c r="B21140" s="4" t="s">
        <v>5</v>
      </c>
      <c r="C21140" s="4" t="s">
        <v>11</v>
      </c>
    </row>
    <row r="21141" spans="1:8">
      <c r="A21141" t="n">
        <v>205547</v>
      </c>
      <c r="B21141" s="29" t="n">
        <v>16</v>
      </c>
      <c r="C21141" s="7" t="n">
        <v>0</v>
      </c>
    </row>
    <row r="21142" spans="1:8">
      <c r="A21142" t="s">
        <v>4</v>
      </c>
      <c r="B21142" s="4" t="s">
        <v>5</v>
      </c>
      <c r="C21142" s="4" t="s">
        <v>11</v>
      </c>
      <c r="D21142" s="4" t="s">
        <v>7</v>
      </c>
      <c r="E21142" s="4" t="s">
        <v>15</v>
      </c>
      <c r="F21142" s="4" t="s">
        <v>55</v>
      </c>
      <c r="G21142" s="4" t="s">
        <v>7</v>
      </c>
      <c r="H21142" s="4" t="s">
        <v>7</v>
      </c>
      <c r="I21142" s="4" t="s">
        <v>7</v>
      </c>
      <c r="J21142" s="4" t="s">
        <v>15</v>
      </c>
      <c r="K21142" s="4" t="s">
        <v>55</v>
      </c>
      <c r="L21142" s="4" t="s">
        <v>7</v>
      </c>
      <c r="M21142" s="4" t="s">
        <v>7</v>
      </c>
    </row>
    <row r="21143" spans="1:8">
      <c r="A21143" t="n">
        <v>205550</v>
      </c>
      <c r="B21143" s="55" t="n">
        <v>26</v>
      </c>
      <c r="C21143" s="7" t="n">
        <v>11</v>
      </c>
      <c r="D21143" s="7" t="n">
        <v>17</v>
      </c>
      <c r="E21143" s="7" t="n">
        <v>64750</v>
      </c>
      <c r="F21143" s="7" t="s">
        <v>1755</v>
      </c>
      <c r="G21143" s="7" t="n">
        <v>2</v>
      </c>
      <c r="H21143" s="7" t="n">
        <v>3</v>
      </c>
      <c r="I21143" s="7" t="n">
        <v>17</v>
      </c>
      <c r="J21143" s="7" t="n">
        <v>64751</v>
      </c>
      <c r="K21143" s="7" t="s">
        <v>1756</v>
      </c>
      <c r="L21143" s="7" t="n">
        <v>2</v>
      </c>
      <c r="M21143" s="7" t="n">
        <v>0</v>
      </c>
    </row>
    <row r="21144" spans="1:8">
      <c r="A21144" t="s">
        <v>4</v>
      </c>
      <c r="B21144" s="4" t="s">
        <v>5</v>
      </c>
    </row>
    <row r="21145" spans="1:8">
      <c r="A21145" t="n">
        <v>205711</v>
      </c>
      <c r="B21145" s="27" t="n">
        <v>28</v>
      </c>
    </row>
    <row r="21146" spans="1:8">
      <c r="A21146" t="s">
        <v>4</v>
      </c>
      <c r="B21146" s="4" t="s">
        <v>5</v>
      </c>
      <c r="C21146" s="4" t="s">
        <v>7</v>
      </c>
      <c r="D21146" s="4" t="s">
        <v>11</v>
      </c>
      <c r="E21146" s="4" t="s">
        <v>8</v>
      </c>
    </row>
    <row r="21147" spans="1:8">
      <c r="A21147" t="n">
        <v>205712</v>
      </c>
      <c r="B21147" s="38" t="n">
        <v>51</v>
      </c>
      <c r="C21147" s="7" t="n">
        <v>4</v>
      </c>
      <c r="D21147" s="7" t="n">
        <v>0</v>
      </c>
      <c r="E21147" s="7" t="s">
        <v>242</v>
      </c>
    </row>
    <row r="21148" spans="1:8">
      <c r="A21148" t="s">
        <v>4</v>
      </c>
      <c r="B21148" s="4" t="s">
        <v>5</v>
      </c>
      <c r="C21148" s="4" t="s">
        <v>11</v>
      </c>
    </row>
    <row r="21149" spans="1:8">
      <c r="A21149" t="n">
        <v>205726</v>
      </c>
      <c r="B21149" s="29" t="n">
        <v>16</v>
      </c>
      <c r="C21149" s="7" t="n">
        <v>0</v>
      </c>
    </row>
    <row r="21150" spans="1:8">
      <c r="A21150" t="s">
        <v>4</v>
      </c>
      <c r="B21150" s="4" t="s">
        <v>5</v>
      </c>
      <c r="C21150" s="4" t="s">
        <v>11</v>
      </c>
      <c r="D21150" s="4" t="s">
        <v>7</v>
      </c>
      <c r="E21150" s="4" t="s">
        <v>15</v>
      </c>
      <c r="F21150" s="4" t="s">
        <v>55</v>
      </c>
      <c r="G21150" s="4" t="s">
        <v>7</v>
      </c>
      <c r="H21150" s="4" t="s">
        <v>7</v>
      </c>
      <c r="I21150" s="4" t="s">
        <v>7</v>
      </c>
      <c r="J21150" s="4" t="s">
        <v>15</v>
      </c>
      <c r="K21150" s="4" t="s">
        <v>55</v>
      </c>
      <c r="L21150" s="4" t="s">
        <v>7</v>
      </c>
      <c r="M21150" s="4" t="s">
        <v>7</v>
      </c>
      <c r="N21150" s="4" t="s">
        <v>7</v>
      </c>
      <c r="O21150" s="4" t="s">
        <v>15</v>
      </c>
      <c r="P21150" s="4" t="s">
        <v>55</v>
      </c>
      <c r="Q21150" s="4" t="s">
        <v>7</v>
      </c>
      <c r="R21150" s="4" t="s">
        <v>7</v>
      </c>
    </row>
    <row r="21151" spans="1:8">
      <c r="A21151" t="n">
        <v>205729</v>
      </c>
      <c r="B21151" s="55" t="n">
        <v>26</v>
      </c>
      <c r="C21151" s="7" t="n">
        <v>0</v>
      </c>
      <c r="D21151" s="7" t="n">
        <v>17</v>
      </c>
      <c r="E21151" s="7" t="n">
        <v>64752</v>
      </c>
      <c r="F21151" s="7" t="s">
        <v>1757</v>
      </c>
      <c r="G21151" s="7" t="n">
        <v>2</v>
      </c>
      <c r="H21151" s="7" t="n">
        <v>3</v>
      </c>
      <c r="I21151" s="7" t="n">
        <v>17</v>
      </c>
      <c r="J21151" s="7" t="n">
        <v>64753</v>
      </c>
      <c r="K21151" s="7" t="s">
        <v>1758</v>
      </c>
      <c r="L21151" s="7" t="n">
        <v>2</v>
      </c>
      <c r="M21151" s="7" t="n">
        <v>3</v>
      </c>
      <c r="N21151" s="7" t="n">
        <v>17</v>
      </c>
      <c r="O21151" s="7" t="n">
        <v>64754</v>
      </c>
      <c r="P21151" s="7" t="s">
        <v>1759</v>
      </c>
      <c r="Q21151" s="7" t="n">
        <v>2</v>
      </c>
      <c r="R21151" s="7" t="n">
        <v>0</v>
      </c>
    </row>
    <row r="21152" spans="1:8">
      <c r="A21152" t="s">
        <v>4</v>
      </c>
      <c r="B21152" s="4" t="s">
        <v>5</v>
      </c>
    </row>
    <row r="21153" spans="1:18">
      <c r="A21153" t="n">
        <v>206009</v>
      </c>
      <c r="B21153" s="27" t="n">
        <v>28</v>
      </c>
    </row>
    <row r="21154" spans="1:18">
      <c r="A21154" t="s">
        <v>4</v>
      </c>
      <c r="B21154" s="4" t="s">
        <v>5</v>
      </c>
      <c r="C21154" s="4" t="s">
        <v>7</v>
      </c>
      <c r="D21154" s="4" t="s">
        <v>11</v>
      </c>
      <c r="E21154" s="4" t="s">
        <v>11</v>
      </c>
      <c r="F21154" s="4" t="s">
        <v>7</v>
      </c>
    </row>
    <row r="21155" spans="1:18">
      <c r="A21155" t="n">
        <v>206010</v>
      </c>
      <c r="B21155" s="31" t="n">
        <v>25</v>
      </c>
      <c r="C21155" s="7" t="n">
        <v>1</v>
      </c>
      <c r="D21155" s="7" t="n">
        <v>65535</v>
      </c>
      <c r="E21155" s="7" t="n">
        <v>65535</v>
      </c>
      <c r="F21155" s="7" t="n">
        <v>0</v>
      </c>
    </row>
    <row r="21156" spans="1:18">
      <c r="A21156" t="s">
        <v>4</v>
      </c>
      <c r="B21156" s="4" t="s">
        <v>5</v>
      </c>
      <c r="C21156" s="4" t="s">
        <v>7</v>
      </c>
      <c r="D21156" s="4" t="s">
        <v>11</v>
      </c>
      <c r="E21156" s="4" t="s">
        <v>8</v>
      </c>
    </row>
    <row r="21157" spans="1:18">
      <c r="A21157" t="n">
        <v>206017</v>
      </c>
      <c r="B21157" s="38" t="n">
        <v>51</v>
      </c>
      <c r="C21157" s="7" t="n">
        <v>4</v>
      </c>
      <c r="D21157" s="7" t="n">
        <v>11</v>
      </c>
      <c r="E21157" s="7" t="s">
        <v>192</v>
      </c>
    </row>
    <row r="21158" spans="1:18">
      <c r="A21158" t="s">
        <v>4</v>
      </c>
      <c r="B21158" s="4" t="s">
        <v>5</v>
      </c>
      <c r="C21158" s="4" t="s">
        <v>11</v>
      </c>
    </row>
    <row r="21159" spans="1:18">
      <c r="A21159" t="n">
        <v>206030</v>
      </c>
      <c r="B21159" s="29" t="n">
        <v>16</v>
      </c>
      <c r="C21159" s="7" t="n">
        <v>0</v>
      </c>
    </row>
    <row r="21160" spans="1:18">
      <c r="A21160" t="s">
        <v>4</v>
      </c>
      <c r="B21160" s="4" t="s">
        <v>5</v>
      </c>
      <c r="C21160" s="4" t="s">
        <v>11</v>
      </c>
      <c r="D21160" s="4" t="s">
        <v>7</v>
      </c>
      <c r="E21160" s="4" t="s">
        <v>15</v>
      </c>
      <c r="F21160" s="4" t="s">
        <v>55</v>
      </c>
      <c r="G21160" s="4" t="s">
        <v>7</v>
      </c>
      <c r="H21160" s="4" t="s">
        <v>7</v>
      </c>
      <c r="I21160" s="4" t="s">
        <v>7</v>
      </c>
      <c r="J21160" s="4" t="s">
        <v>15</v>
      </c>
      <c r="K21160" s="4" t="s">
        <v>55</v>
      </c>
      <c r="L21160" s="4" t="s">
        <v>7</v>
      </c>
      <c r="M21160" s="4" t="s">
        <v>7</v>
      </c>
      <c r="N21160" s="4" t="s">
        <v>7</v>
      </c>
      <c r="O21160" s="4" t="s">
        <v>15</v>
      </c>
      <c r="P21160" s="4" t="s">
        <v>55</v>
      </c>
      <c r="Q21160" s="4" t="s">
        <v>7</v>
      </c>
      <c r="R21160" s="4" t="s">
        <v>7</v>
      </c>
    </row>
    <row r="21161" spans="1:18">
      <c r="A21161" t="n">
        <v>206033</v>
      </c>
      <c r="B21161" s="55" t="n">
        <v>26</v>
      </c>
      <c r="C21161" s="7" t="n">
        <v>11</v>
      </c>
      <c r="D21161" s="7" t="n">
        <v>17</v>
      </c>
      <c r="E21161" s="7" t="n">
        <v>64755</v>
      </c>
      <c r="F21161" s="7" t="s">
        <v>1760</v>
      </c>
      <c r="G21161" s="7" t="n">
        <v>2</v>
      </c>
      <c r="H21161" s="7" t="n">
        <v>3</v>
      </c>
      <c r="I21161" s="7" t="n">
        <v>17</v>
      </c>
      <c r="J21161" s="7" t="n">
        <v>64756</v>
      </c>
      <c r="K21161" s="7" t="s">
        <v>1761</v>
      </c>
      <c r="L21161" s="7" t="n">
        <v>2</v>
      </c>
      <c r="M21161" s="7" t="n">
        <v>3</v>
      </c>
      <c r="N21161" s="7" t="n">
        <v>17</v>
      </c>
      <c r="O21161" s="7" t="n">
        <v>64757</v>
      </c>
      <c r="P21161" s="7" t="s">
        <v>1762</v>
      </c>
      <c r="Q21161" s="7" t="n">
        <v>2</v>
      </c>
      <c r="R21161" s="7" t="n">
        <v>0</v>
      </c>
    </row>
    <row r="21162" spans="1:18">
      <c r="A21162" t="s">
        <v>4</v>
      </c>
      <c r="B21162" s="4" t="s">
        <v>5</v>
      </c>
    </row>
    <row r="21163" spans="1:18">
      <c r="A21163" t="n">
        <v>206269</v>
      </c>
      <c r="B21163" s="27" t="n">
        <v>28</v>
      </c>
    </row>
    <row r="21164" spans="1:18">
      <c r="A21164" t="s">
        <v>4</v>
      </c>
      <c r="B21164" s="4" t="s">
        <v>5</v>
      </c>
      <c r="C21164" s="4" t="s">
        <v>11</v>
      </c>
      <c r="D21164" s="4" t="s">
        <v>13</v>
      </c>
      <c r="E21164" s="4" t="s">
        <v>13</v>
      </c>
      <c r="F21164" s="4" t="s">
        <v>13</v>
      </c>
      <c r="G21164" s="4" t="s">
        <v>11</v>
      </c>
      <c r="H21164" s="4" t="s">
        <v>11</v>
      </c>
    </row>
    <row r="21165" spans="1:18">
      <c r="A21165" t="n">
        <v>206270</v>
      </c>
      <c r="B21165" s="37" t="n">
        <v>60</v>
      </c>
      <c r="C21165" s="7" t="n">
        <v>0</v>
      </c>
      <c r="D21165" s="7" t="n">
        <v>0</v>
      </c>
      <c r="E21165" s="7" t="n">
        <v>-10</v>
      </c>
      <c r="F21165" s="7" t="n">
        <v>0</v>
      </c>
      <c r="G21165" s="7" t="n">
        <v>1000</v>
      </c>
      <c r="H21165" s="7" t="n">
        <v>0</v>
      </c>
    </row>
    <row r="21166" spans="1:18">
      <c r="A21166" t="s">
        <v>4</v>
      </c>
      <c r="B21166" s="4" t="s">
        <v>5</v>
      </c>
      <c r="C21166" s="4" t="s">
        <v>7</v>
      </c>
      <c r="D21166" s="4" t="s">
        <v>11</v>
      </c>
      <c r="E21166" s="4" t="s">
        <v>8</v>
      </c>
    </row>
    <row r="21167" spans="1:18">
      <c r="A21167" t="n">
        <v>206289</v>
      </c>
      <c r="B21167" s="38" t="n">
        <v>51</v>
      </c>
      <c r="C21167" s="7" t="n">
        <v>4</v>
      </c>
      <c r="D21167" s="7" t="n">
        <v>0</v>
      </c>
      <c r="E21167" s="7" t="s">
        <v>1335</v>
      </c>
    </row>
    <row r="21168" spans="1:18">
      <c r="A21168" t="s">
        <v>4</v>
      </c>
      <c r="B21168" s="4" t="s">
        <v>5</v>
      </c>
      <c r="C21168" s="4" t="s">
        <v>11</v>
      </c>
    </row>
    <row r="21169" spans="1:18">
      <c r="A21169" t="n">
        <v>206303</v>
      </c>
      <c r="B21169" s="29" t="n">
        <v>16</v>
      </c>
      <c r="C21169" s="7" t="n">
        <v>0</v>
      </c>
    </row>
    <row r="21170" spans="1:18">
      <c r="A21170" t="s">
        <v>4</v>
      </c>
      <c r="B21170" s="4" t="s">
        <v>5</v>
      </c>
      <c r="C21170" s="4" t="s">
        <v>11</v>
      </c>
      <c r="D21170" s="4" t="s">
        <v>7</v>
      </c>
      <c r="E21170" s="4" t="s">
        <v>15</v>
      </c>
      <c r="F21170" s="4" t="s">
        <v>55</v>
      </c>
      <c r="G21170" s="4" t="s">
        <v>7</v>
      </c>
      <c r="H21170" s="4" t="s">
        <v>7</v>
      </c>
    </row>
    <row r="21171" spans="1:18">
      <c r="A21171" t="n">
        <v>206306</v>
      </c>
      <c r="B21171" s="55" t="n">
        <v>26</v>
      </c>
      <c r="C21171" s="7" t="n">
        <v>0</v>
      </c>
      <c r="D21171" s="7" t="n">
        <v>17</v>
      </c>
      <c r="E21171" s="7" t="n">
        <v>64268</v>
      </c>
      <c r="F21171" s="7" t="s">
        <v>1618</v>
      </c>
      <c r="G21171" s="7" t="n">
        <v>2</v>
      </c>
      <c r="H21171" s="7" t="n">
        <v>0</v>
      </c>
    </row>
    <row r="21172" spans="1:18">
      <c r="A21172" t="s">
        <v>4</v>
      </c>
      <c r="B21172" s="4" t="s">
        <v>5</v>
      </c>
    </row>
    <row r="21173" spans="1:18">
      <c r="A21173" t="n">
        <v>206325</v>
      </c>
      <c r="B21173" s="27" t="n">
        <v>28</v>
      </c>
    </row>
    <row r="21174" spans="1:18">
      <c r="A21174" t="s">
        <v>4</v>
      </c>
      <c r="B21174" s="4" t="s">
        <v>5</v>
      </c>
      <c r="C21174" s="4" t="s">
        <v>7</v>
      </c>
      <c r="D21174" s="4" t="s">
        <v>11</v>
      </c>
      <c r="E21174" s="4" t="s">
        <v>11</v>
      </c>
      <c r="F21174" s="4" t="s">
        <v>7</v>
      </c>
    </row>
    <row r="21175" spans="1:18">
      <c r="A21175" t="n">
        <v>206326</v>
      </c>
      <c r="B21175" s="31" t="n">
        <v>25</v>
      </c>
      <c r="C21175" s="7" t="n">
        <v>1</v>
      </c>
      <c r="D21175" s="7" t="n">
        <v>65535</v>
      </c>
      <c r="E21175" s="7" t="n">
        <v>65535</v>
      </c>
      <c r="F21175" s="7" t="n">
        <v>0</v>
      </c>
    </row>
    <row r="21176" spans="1:18">
      <c r="A21176" t="s">
        <v>4</v>
      </c>
      <c r="B21176" s="4" t="s">
        <v>5</v>
      </c>
      <c r="C21176" s="4" t="s">
        <v>7</v>
      </c>
      <c r="D21176" s="4" t="s">
        <v>11</v>
      </c>
      <c r="E21176" s="4" t="s">
        <v>8</v>
      </c>
      <c r="F21176" s="4" t="s">
        <v>8</v>
      </c>
      <c r="G21176" s="4" t="s">
        <v>8</v>
      </c>
      <c r="H21176" s="4" t="s">
        <v>8</v>
      </c>
    </row>
    <row r="21177" spans="1:18">
      <c r="A21177" t="n">
        <v>206333</v>
      </c>
      <c r="B21177" s="38" t="n">
        <v>51</v>
      </c>
      <c r="C21177" s="7" t="n">
        <v>3</v>
      </c>
      <c r="D21177" s="7" t="n">
        <v>11</v>
      </c>
      <c r="E21177" s="7" t="s">
        <v>154</v>
      </c>
      <c r="F21177" s="7" t="s">
        <v>218</v>
      </c>
      <c r="G21177" s="7" t="s">
        <v>78</v>
      </c>
      <c r="H21177" s="7" t="s">
        <v>79</v>
      </c>
    </row>
    <row r="21178" spans="1:18">
      <c r="A21178" t="s">
        <v>4</v>
      </c>
      <c r="B21178" s="4" t="s">
        <v>5</v>
      </c>
      <c r="C21178" s="4" t="s">
        <v>11</v>
      </c>
      <c r="D21178" s="4" t="s">
        <v>7</v>
      </c>
      <c r="E21178" s="4" t="s">
        <v>13</v>
      </c>
      <c r="F21178" s="4" t="s">
        <v>11</v>
      </c>
    </row>
    <row r="21179" spans="1:18">
      <c r="A21179" t="n">
        <v>206346</v>
      </c>
      <c r="B21179" s="56" t="n">
        <v>59</v>
      </c>
      <c r="C21179" s="7" t="n">
        <v>11</v>
      </c>
      <c r="D21179" s="7" t="n">
        <v>13</v>
      </c>
      <c r="E21179" s="7" t="n">
        <v>0.150000005960464</v>
      </c>
      <c r="F21179" s="7" t="n">
        <v>0</v>
      </c>
    </row>
    <row r="21180" spans="1:18">
      <c r="A21180" t="s">
        <v>4</v>
      </c>
      <c r="B21180" s="4" t="s">
        <v>5</v>
      </c>
      <c r="C21180" s="4" t="s">
        <v>11</v>
      </c>
    </row>
    <row r="21181" spans="1:18">
      <c r="A21181" t="n">
        <v>206356</v>
      </c>
      <c r="B21181" s="29" t="n">
        <v>16</v>
      </c>
      <c r="C21181" s="7" t="n">
        <v>1000</v>
      </c>
    </row>
    <row r="21182" spans="1:18">
      <c r="A21182" t="s">
        <v>4</v>
      </c>
      <c r="B21182" s="4" t="s">
        <v>5</v>
      </c>
      <c r="C21182" s="4" t="s">
        <v>7</v>
      </c>
      <c r="D21182" s="4" t="s">
        <v>11</v>
      </c>
      <c r="E21182" s="4" t="s">
        <v>8</v>
      </c>
    </row>
    <row r="21183" spans="1:18">
      <c r="A21183" t="n">
        <v>206359</v>
      </c>
      <c r="B21183" s="38" t="n">
        <v>51</v>
      </c>
      <c r="C21183" s="7" t="n">
        <v>4</v>
      </c>
      <c r="D21183" s="7" t="n">
        <v>11</v>
      </c>
      <c r="E21183" s="7" t="s">
        <v>192</v>
      </c>
    </row>
    <row r="21184" spans="1:18">
      <c r="A21184" t="s">
        <v>4</v>
      </c>
      <c r="B21184" s="4" t="s">
        <v>5</v>
      </c>
      <c r="C21184" s="4" t="s">
        <v>11</v>
      </c>
    </row>
    <row r="21185" spans="1:8">
      <c r="A21185" t="n">
        <v>206372</v>
      </c>
      <c r="B21185" s="29" t="n">
        <v>16</v>
      </c>
      <c r="C21185" s="7" t="n">
        <v>0</v>
      </c>
    </row>
    <row r="21186" spans="1:8">
      <c r="A21186" t="s">
        <v>4</v>
      </c>
      <c r="B21186" s="4" t="s">
        <v>5</v>
      </c>
      <c r="C21186" s="4" t="s">
        <v>11</v>
      </c>
      <c r="D21186" s="4" t="s">
        <v>7</v>
      </c>
      <c r="E21186" s="4" t="s">
        <v>15</v>
      </c>
      <c r="F21186" s="4" t="s">
        <v>55</v>
      </c>
      <c r="G21186" s="4" t="s">
        <v>7</v>
      </c>
      <c r="H21186" s="4" t="s">
        <v>7</v>
      </c>
      <c r="I21186" s="4" t="s">
        <v>7</v>
      </c>
      <c r="J21186" s="4" t="s">
        <v>15</v>
      </c>
      <c r="K21186" s="4" t="s">
        <v>55</v>
      </c>
      <c r="L21186" s="4" t="s">
        <v>7</v>
      </c>
      <c r="M21186" s="4" t="s">
        <v>7</v>
      </c>
      <c r="N21186" s="4" t="s">
        <v>7</v>
      </c>
      <c r="O21186" s="4" t="s">
        <v>15</v>
      </c>
      <c r="P21186" s="4" t="s">
        <v>55</v>
      </c>
      <c r="Q21186" s="4" t="s">
        <v>7</v>
      </c>
      <c r="R21186" s="4" t="s">
        <v>7</v>
      </c>
    </row>
    <row r="21187" spans="1:8">
      <c r="A21187" t="n">
        <v>206375</v>
      </c>
      <c r="B21187" s="55" t="n">
        <v>26</v>
      </c>
      <c r="C21187" s="7" t="n">
        <v>11</v>
      </c>
      <c r="D21187" s="7" t="n">
        <v>17</v>
      </c>
      <c r="E21187" s="7" t="n">
        <v>64758</v>
      </c>
      <c r="F21187" s="7" t="s">
        <v>1763</v>
      </c>
      <c r="G21187" s="7" t="n">
        <v>2</v>
      </c>
      <c r="H21187" s="7" t="n">
        <v>3</v>
      </c>
      <c r="I21187" s="7" t="n">
        <v>17</v>
      </c>
      <c r="J21187" s="7" t="n">
        <v>64759</v>
      </c>
      <c r="K21187" s="7" t="s">
        <v>1764</v>
      </c>
      <c r="L21187" s="7" t="n">
        <v>2</v>
      </c>
      <c r="M21187" s="7" t="n">
        <v>3</v>
      </c>
      <c r="N21187" s="7" t="n">
        <v>17</v>
      </c>
      <c r="O21187" s="7" t="n">
        <v>64760</v>
      </c>
      <c r="P21187" s="7" t="s">
        <v>1765</v>
      </c>
      <c r="Q21187" s="7" t="n">
        <v>2</v>
      </c>
      <c r="R21187" s="7" t="n">
        <v>0</v>
      </c>
    </row>
    <row r="21188" spans="1:8">
      <c r="A21188" t="s">
        <v>4</v>
      </c>
      <c r="B21188" s="4" t="s">
        <v>5</v>
      </c>
    </row>
    <row r="21189" spans="1:8">
      <c r="A21189" t="n">
        <v>206614</v>
      </c>
      <c r="B21189" s="27" t="n">
        <v>28</v>
      </c>
    </row>
    <row r="21190" spans="1:8">
      <c r="A21190" t="s">
        <v>4</v>
      </c>
      <c r="B21190" s="4" t="s">
        <v>5</v>
      </c>
      <c r="C21190" s="4" t="s">
        <v>11</v>
      </c>
      <c r="D21190" s="4" t="s">
        <v>13</v>
      </c>
      <c r="E21190" s="4" t="s">
        <v>13</v>
      </c>
      <c r="F21190" s="4" t="s">
        <v>13</v>
      </c>
      <c r="G21190" s="4" t="s">
        <v>11</v>
      </c>
      <c r="H21190" s="4" t="s">
        <v>11</v>
      </c>
    </row>
    <row r="21191" spans="1:8">
      <c r="A21191" t="n">
        <v>206615</v>
      </c>
      <c r="B21191" s="37" t="n">
        <v>60</v>
      </c>
      <c r="C21191" s="7" t="n">
        <v>0</v>
      </c>
      <c r="D21191" s="7" t="n">
        <v>0</v>
      </c>
      <c r="E21191" s="7" t="n">
        <v>0</v>
      </c>
      <c r="F21191" s="7" t="n">
        <v>0</v>
      </c>
      <c r="G21191" s="7" t="n">
        <v>1000</v>
      </c>
      <c r="H21191" s="7" t="n">
        <v>0</v>
      </c>
    </row>
    <row r="21192" spans="1:8">
      <c r="A21192" t="s">
        <v>4</v>
      </c>
      <c r="B21192" s="4" t="s">
        <v>5</v>
      </c>
      <c r="C21192" s="4" t="s">
        <v>7</v>
      </c>
      <c r="D21192" s="4" t="s">
        <v>11</v>
      </c>
      <c r="E21192" s="4" t="s">
        <v>8</v>
      </c>
    </row>
    <row r="21193" spans="1:8">
      <c r="A21193" t="n">
        <v>206634</v>
      </c>
      <c r="B21193" s="38" t="n">
        <v>51</v>
      </c>
      <c r="C21193" s="7" t="n">
        <v>4</v>
      </c>
      <c r="D21193" s="7" t="n">
        <v>0</v>
      </c>
      <c r="E21193" s="7" t="s">
        <v>173</v>
      </c>
    </row>
    <row r="21194" spans="1:8">
      <c r="A21194" t="s">
        <v>4</v>
      </c>
      <c r="B21194" s="4" t="s">
        <v>5</v>
      </c>
      <c r="C21194" s="4" t="s">
        <v>11</v>
      </c>
    </row>
    <row r="21195" spans="1:8">
      <c r="A21195" t="n">
        <v>206647</v>
      </c>
      <c r="B21195" s="29" t="n">
        <v>16</v>
      </c>
      <c r="C21195" s="7" t="n">
        <v>500</v>
      </c>
    </row>
    <row r="21196" spans="1:8">
      <c r="A21196" t="s">
        <v>4</v>
      </c>
      <c r="B21196" s="4" t="s">
        <v>5</v>
      </c>
      <c r="C21196" s="4" t="s">
        <v>11</v>
      </c>
      <c r="D21196" s="4" t="s">
        <v>7</v>
      </c>
      <c r="E21196" s="4" t="s">
        <v>15</v>
      </c>
      <c r="F21196" s="4" t="s">
        <v>55</v>
      </c>
      <c r="G21196" s="4" t="s">
        <v>7</v>
      </c>
      <c r="H21196" s="4" t="s">
        <v>7</v>
      </c>
      <c r="I21196" s="4" t="s">
        <v>7</v>
      </c>
      <c r="J21196" s="4" t="s">
        <v>15</v>
      </c>
      <c r="K21196" s="4" t="s">
        <v>55</v>
      </c>
      <c r="L21196" s="4" t="s">
        <v>7</v>
      </c>
      <c r="M21196" s="4" t="s">
        <v>7</v>
      </c>
    </row>
    <row r="21197" spans="1:8">
      <c r="A21197" t="n">
        <v>206650</v>
      </c>
      <c r="B21197" s="55" t="n">
        <v>26</v>
      </c>
      <c r="C21197" s="7" t="n">
        <v>0</v>
      </c>
      <c r="D21197" s="7" t="n">
        <v>17</v>
      </c>
      <c r="E21197" s="7" t="n">
        <v>64761</v>
      </c>
      <c r="F21197" s="7" t="s">
        <v>1766</v>
      </c>
      <c r="G21197" s="7" t="n">
        <v>2</v>
      </c>
      <c r="H21197" s="7" t="n">
        <v>3</v>
      </c>
      <c r="I21197" s="7" t="n">
        <v>17</v>
      </c>
      <c r="J21197" s="7" t="n">
        <v>64762</v>
      </c>
      <c r="K21197" s="7" t="s">
        <v>1767</v>
      </c>
      <c r="L21197" s="7" t="n">
        <v>2</v>
      </c>
      <c r="M21197" s="7" t="n">
        <v>0</v>
      </c>
    </row>
    <row r="21198" spans="1:8">
      <c r="A21198" t="s">
        <v>4</v>
      </c>
      <c r="B21198" s="4" t="s">
        <v>5</v>
      </c>
    </row>
    <row r="21199" spans="1:8">
      <c r="A21199" t="n">
        <v>206743</v>
      </c>
      <c r="B21199" s="27" t="n">
        <v>28</v>
      </c>
    </row>
    <row r="21200" spans="1:8">
      <c r="A21200" t="s">
        <v>4</v>
      </c>
      <c r="B21200" s="4" t="s">
        <v>5</v>
      </c>
      <c r="C21200" s="4" t="s">
        <v>7</v>
      </c>
      <c r="D21200" s="4" t="s">
        <v>11</v>
      </c>
      <c r="E21200" s="4" t="s">
        <v>11</v>
      </c>
      <c r="F21200" s="4" t="s">
        <v>7</v>
      </c>
    </row>
    <row r="21201" spans="1:18">
      <c r="A21201" t="n">
        <v>206744</v>
      </c>
      <c r="B21201" s="31" t="n">
        <v>25</v>
      </c>
      <c r="C21201" s="7" t="n">
        <v>1</v>
      </c>
      <c r="D21201" s="7" t="n">
        <v>65535</v>
      </c>
      <c r="E21201" s="7" t="n">
        <v>65535</v>
      </c>
      <c r="F21201" s="7" t="n">
        <v>0</v>
      </c>
    </row>
    <row r="21202" spans="1:18">
      <c r="A21202" t="s">
        <v>4</v>
      </c>
      <c r="B21202" s="4" t="s">
        <v>5</v>
      </c>
      <c r="C21202" s="4" t="s">
        <v>7</v>
      </c>
      <c r="D21202" s="4" t="s">
        <v>11</v>
      </c>
      <c r="E21202" s="4" t="s">
        <v>8</v>
      </c>
    </row>
    <row r="21203" spans="1:18">
      <c r="A21203" t="n">
        <v>206751</v>
      </c>
      <c r="B21203" s="38" t="n">
        <v>51</v>
      </c>
      <c r="C21203" s="7" t="n">
        <v>4</v>
      </c>
      <c r="D21203" s="7" t="n">
        <v>11</v>
      </c>
      <c r="E21203" s="7" t="s">
        <v>491</v>
      </c>
    </row>
    <row r="21204" spans="1:18">
      <c r="A21204" t="s">
        <v>4</v>
      </c>
      <c r="B21204" s="4" t="s">
        <v>5</v>
      </c>
      <c r="C21204" s="4" t="s">
        <v>11</v>
      </c>
    </row>
    <row r="21205" spans="1:18">
      <c r="A21205" t="n">
        <v>206765</v>
      </c>
      <c r="B21205" s="29" t="n">
        <v>16</v>
      </c>
      <c r="C21205" s="7" t="n">
        <v>0</v>
      </c>
    </row>
    <row r="21206" spans="1:18">
      <c r="A21206" t="s">
        <v>4</v>
      </c>
      <c r="B21206" s="4" t="s">
        <v>5</v>
      </c>
      <c r="C21206" s="4" t="s">
        <v>11</v>
      </c>
      <c r="D21206" s="4" t="s">
        <v>7</v>
      </c>
      <c r="E21206" s="4" t="s">
        <v>15</v>
      </c>
      <c r="F21206" s="4" t="s">
        <v>55</v>
      </c>
      <c r="G21206" s="4" t="s">
        <v>7</v>
      </c>
      <c r="H21206" s="4" t="s">
        <v>7</v>
      </c>
      <c r="I21206" s="4" t="s">
        <v>7</v>
      </c>
      <c r="J21206" s="4" t="s">
        <v>15</v>
      </c>
      <c r="K21206" s="4" t="s">
        <v>55</v>
      </c>
      <c r="L21206" s="4" t="s">
        <v>7</v>
      </c>
      <c r="M21206" s="4" t="s">
        <v>7</v>
      </c>
    </row>
    <row r="21207" spans="1:18">
      <c r="A21207" t="n">
        <v>206768</v>
      </c>
      <c r="B21207" s="55" t="n">
        <v>26</v>
      </c>
      <c r="C21207" s="7" t="n">
        <v>11</v>
      </c>
      <c r="D21207" s="7" t="n">
        <v>17</v>
      </c>
      <c r="E21207" s="7" t="n">
        <v>64763</v>
      </c>
      <c r="F21207" s="7" t="s">
        <v>1768</v>
      </c>
      <c r="G21207" s="7" t="n">
        <v>2</v>
      </c>
      <c r="H21207" s="7" t="n">
        <v>3</v>
      </c>
      <c r="I21207" s="7" t="n">
        <v>17</v>
      </c>
      <c r="J21207" s="7" t="n">
        <v>64764</v>
      </c>
      <c r="K21207" s="7" t="s">
        <v>1769</v>
      </c>
      <c r="L21207" s="7" t="n">
        <v>2</v>
      </c>
      <c r="M21207" s="7" t="n">
        <v>0</v>
      </c>
    </row>
    <row r="21208" spans="1:18">
      <c r="A21208" t="s">
        <v>4</v>
      </c>
      <c r="B21208" s="4" t="s">
        <v>5</v>
      </c>
    </row>
    <row r="21209" spans="1:18">
      <c r="A21209" t="n">
        <v>207047</v>
      </c>
      <c r="B21209" s="27" t="n">
        <v>28</v>
      </c>
    </row>
    <row r="21210" spans="1:18">
      <c r="A21210" t="s">
        <v>4</v>
      </c>
      <c r="B21210" s="4" t="s">
        <v>5</v>
      </c>
      <c r="C21210" s="4" t="s">
        <v>11</v>
      </c>
      <c r="D21210" s="4" t="s">
        <v>7</v>
      </c>
      <c r="E21210" s="4" t="s">
        <v>13</v>
      </c>
      <c r="F21210" s="4" t="s">
        <v>11</v>
      </c>
    </row>
    <row r="21211" spans="1:18">
      <c r="A21211" t="n">
        <v>207048</v>
      </c>
      <c r="B21211" s="56" t="n">
        <v>59</v>
      </c>
      <c r="C21211" s="7" t="n">
        <v>0</v>
      </c>
      <c r="D21211" s="7" t="n">
        <v>6</v>
      </c>
      <c r="E21211" s="7" t="n">
        <v>0</v>
      </c>
      <c r="F21211" s="7" t="n">
        <v>0</v>
      </c>
    </row>
    <row r="21212" spans="1:18">
      <c r="A21212" t="s">
        <v>4</v>
      </c>
      <c r="B21212" s="4" t="s">
        <v>5</v>
      </c>
      <c r="C21212" s="4" t="s">
        <v>11</v>
      </c>
    </row>
    <row r="21213" spans="1:18">
      <c r="A21213" t="n">
        <v>207058</v>
      </c>
      <c r="B21213" s="29" t="n">
        <v>16</v>
      </c>
      <c r="C21213" s="7" t="n">
        <v>1000</v>
      </c>
    </row>
    <row r="21214" spans="1:18">
      <c r="A21214" t="s">
        <v>4</v>
      </c>
      <c r="B21214" s="4" t="s">
        <v>5</v>
      </c>
      <c r="C21214" s="4" t="s">
        <v>7</v>
      </c>
      <c r="D21214" s="4" t="s">
        <v>11</v>
      </c>
      <c r="E21214" s="4" t="s">
        <v>8</v>
      </c>
    </row>
    <row r="21215" spans="1:18">
      <c r="A21215" t="n">
        <v>207061</v>
      </c>
      <c r="B21215" s="38" t="n">
        <v>51</v>
      </c>
      <c r="C21215" s="7" t="n">
        <v>4</v>
      </c>
      <c r="D21215" s="7" t="n">
        <v>0</v>
      </c>
      <c r="E21215" s="7" t="s">
        <v>775</v>
      </c>
    </row>
    <row r="21216" spans="1:18">
      <c r="A21216" t="s">
        <v>4</v>
      </c>
      <c r="B21216" s="4" t="s">
        <v>5</v>
      </c>
      <c r="C21216" s="4" t="s">
        <v>11</v>
      </c>
    </row>
    <row r="21217" spans="1:13">
      <c r="A21217" t="n">
        <v>207075</v>
      </c>
      <c r="B21217" s="29" t="n">
        <v>16</v>
      </c>
      <c r="C21217" s="7" t="n">
        <v>0</v>
      </c>
    </row>
    <row r="21218" spans="1:13">
      <c r="A21218" t="s">
        <v>4</v>
      </c>
      <c r="B21218" s="4" t="s">
        <v>5</v>
      </c>
      <c r="C21218" s="4" t="s">
        <v>11</v>
      </c>
      <c r="D21218" s="4" t="s">
        <v>7</v>
      </c>
      <c r="E21218" s="4" t="s">
        <v>15</v>
      </c>
      <c r="F21218" s="4" t="s">
        <v>55</v>
      </c>
      <c r="G21218" s="4" t="s">
        <v>7</v>
      </c>
      <c r="H21218" s="4" t="s">
        <v>7</v>
      </c>
    </row>
    <row r="21219" spans="1:13">
      <c r="A21219" t="n">
        <v>207078</v>
      </c>
      <c r="B21219" s="55" t="n">
        <v>26</v>
      </c>
      <c r="C21219" s="7" t="n">
        <v>0</v>
      </c>
      <c r="D21219" s="7" t="n">
        <v>17</v>
      </c>
      <c r="E21219" s="7" t="n">
        <v>64765</v>
      </c>
      <c r="F21219" s="7" t="s">
        <v>1770</v>
      </c>
      <c r="G21219" s="7" t="n">
        <v>2</v>
      </c>
      <c r="H21219" s="7" t="n">
        <v>0</v>
      </c>
    </row>
    <row r="21220" spans="1:13">
      <c r="A21220" t="s">
        <v>4</v>
      </c>
      <c r="B21220" s="4" t="s">
        <v>5</v>
      </c>
    </row>
    <row r="21221" spans="1:13">
      <c r="A21221" t="n">
        <v>207107</v>
      </c>
      <c r="B21221" s="27" t="n">
        <v>28</v>
      </c>
    </row>
    <row r="21222" spans="1:13">
      <c r="A21222" t="s">
        <v>4</v>
      </c>
      <c r="B21222" s="4" t="s">
        <v>5</v>
      </c>
      <c r="C21222" s="4" t="s">
        <v>11</v>
      </c>
      <c r="D21222" s="4" t="s">
        <v>7</v>
      </c>
    </row>
    <row r="21223" spans="1:13">
      <c r="A21223" t="n">
        <v>207108</v>
      </c>
      <c r="B21223" s="68" t="n">
        <v>89</v>
      </c>
      <c r="C21223" s="7" t="n">
        <v>65533</v>
      </c>
      <c r="D21223" s="7" t="n">
        <v>1</v>
      </c>
    </row>
    <row r="21224" spans="1:13">
      <c r="A21224" t="s">
        <v>4</v>
      </c>
      <c r="B21224" s="4" t="s">
        <v>5</v>
      </c>
      <c r="C21224" s="4" t="s">
        <v>7</v>
      </c>
      <c r="D21224" s="4" t="s">
        <v>11</v>
      </c>
      <c r="E21224" s="4" t="s">
        <v>11</v>
      </c>
      <c r="F21224" s="4" t="s">
        <v>7</v>
      </c>
    </row>
    <row r="21225" spans="1:13">
      <c r="A21225" t="n">
        <v>207112</v>
      </c>
      <c r="B21225" s="31" t="n">
        <v>25</v>
      </c>
      <c r="C21225" s="7" t="n">
        <v>1</v>
      </c>
      <c r="D21225" s="7" t="n">
        <v>65535</v>
      </c>
      <c r="E21225" s="7" t="n">
        <v>65535</v>
      </c>
      <c r="F21225" s="7" t="n">
        <v>0</v>
      </c>
    </row>
    <row r="21226" spans="1:13">
      <c r="A21226" t="s">
        <v>4</v>
      </c>
      <c r="B21226" s="4" t="s">
        <v>5</v>
      </c>
      <c r="C21226" s="4" t="s">
        <v>11</v>
      </c>
    </row>
    <row r="21227" spans="1:13">
      <c r="A21227" t="n">
        <v>207119</v>
      </c>
      <c r="B21227" s="29" t="n">
        <v>16</v>
      </c>
      <c r="C21227" s="7" t="n">
        <v>300</v>
      </c>
    </row>
    <row r="21228" spans="1:13">
      <c r="A21228" t="s">
        <v>4</v>
      </c>
      <c r="B21228" s="4" t="s">
        <v>5</v>
      </c>
      <c r="C21228" s="4" t="s">
        <v>7</v>
      </c>
      <c r="D21228" s="4" t="s">
        <v>11</v>
      </c>
      <c r="E21228" s="4" t="s">
        <v>8</v>
      </c>
      <c r="F21228" s="4" t="s">
        <v>8</v>
      </c>
      <c r="G21228" s="4" t="s">
        <v>8</v>
      </c>
      <c r="H21228" s="4" t="s">
        <v>8</v>
      </c>
    </row>
    <row r="21229" spans="1:13">
      <c r="A21229" t="n">
        <v>207122</v>
      </c>
      <c r="B21229" s="38" t="n">
        <v>51</v>
      </c>
      <c r="C21229" s="7" t="n">
        <v>3</v>
      </c>
      <c r="D21229" s="7" t="n">
        <v>11</v>
      </c>
      <c r="E21229" s="7" t="s">
        <v>86</v>
      </c>
      <c r="F21229" s="7" t="s">
        <v>79</v>
      </c>
      <c r="G21229" s="7" t="s">
        <v>78</v>
      </c>
      <c r="H21229" s="7" t="s">
        <v>79</v>
      </c>
    </row>
    <row r="21230" spans="1:13">
      <c r="A21230" t="s">
        <v>4</v>
      </c>
      <c r="B21230" s="4" t="s">
        <v>5</v>
      </c>
      <c r="C21230" s="4" t="s">
        <v>7</v>
      </c>
      <c r="D21230" s="4" t="s">
        <v>11</v>
      </c>
      <c r="E21230" s="4" t="s">
        <v>7</v>
      </c>
      <c r="F21230" s="4" t="s">
        <v>7</v>
      </c>
      <c r="G21230" s="4" t="s">
        <v>12</v>
      </c>
    </row>
    <row r="21231" spans="1:13">
      <c r="A21231" t="n">
        <v>207135</v>
      </c>
      <c r="B21231" s="10" t="n">
        <v>5</v>
      </c>
      <c r="C21231" s="7" t="n">
        <v>30</v>
      </c>
      <c r="D21231" s="7" t="n">
        <v>10859</v>
      </c>
      <c r="E21231" s="7" t="n">
        <v>8</v>
      </c>
      <c r="F21231" s="7" t="n">
        <v>1</v>
      </c>
      <c r="G21231" s="11" t="n">
        <f t="normal" ca="1">A21269</f>
        <v>0</v>
      </c>
    </row>
    <row r="21232" spans="1:13">
      <c r="A21232" t="s">
        <v>4</v>
      </c>
      <c r="B21232" s="4" t="s">
        <v>5</v>
      </c>
      <c r="C21232" s="4" t="s">
        <v>11</v>
      </c>
      <c r="D21232" s="4" t="s">
        <v>7</v>
      </c>
      <c r="E21232" s="4" t="s">
        <v>13</v>
      </c>
      <c r="F21232" s="4" t="s">
        <v>11</v>
      </c>
    </row>
    <row r="21233" spans="1:8">
      <c r="A21233" t="n">
        <v>207145</v>
      </c>
      <c r="B21233" s="56" t="n">
        <v>59</v>
      </c>
      <c r="C21233" s="7" t="n">
        <v>0</v>
      </c>
      <c r="D21233" s="7" t="n">
        <v>9</v>
      </c>
      <c r="E21233" s="7" t="n">
        <v>0.150000005960464</v>
      </c>
      <c r="F21233" s="7" t="n">
        <v>0</v>
      </c>
    </row>
    <row r="21234" spans="1:8">
      <c r="A21234" t="s">
        <v>4</v>
      </c>
      <c r="B21234" s="4" t="s">
        <v>5</v>
      </c>
      <c r="C21234" s="4" t="s">
        <v>11</v>
      </c>
    </row>
    <row r="21235" spans="1:8">
      <c r="A21235" t="n">
        <v>207155</v>
      </c>
      <c r="B21235" s="29" t="n">
        <v>16</v>
      </c>
      <c r="C21235" s="7" t="n">
        <v>1500</v>
      </c>
    </row>
    <row r="21236" spans="1:8">
      <c r="A21236" t="s">
        <v>4</v>
      </c>
      <c r="B21236" s="4" t="s">
        <v>5</v>
      </c>
      <c r="C21236" s="4" t="s">
        <v>7</v>
      </c>
      <c r="D21236" s="4" t="s">
        <v>11</v>
      </c>
      <c r="E21236" s="4" t="s">
        <v>8</v>
      </c>
    </row>
    <row r="21237" spans="1:8">
      <c r="A21237" t="n">
        <v>207158</v>
      </c>
      <c r="B21237" s="38" t="n">
        <v>51</v>
      </c>
      <c r="C21237" s="7" t="n">
        <v>4</v>
      </c>
      <c r="D21237" s="7" t="n">
        <v>0</v>
      </c>
      <c r="E21237" s="7" t="s">
        <v>224</v>
      </c>
    </row>
    <row r="21238" spans="1:8">
      <c r="A21238" t="s">
        <v>4</v>
      </c>
      <c r="B21238" s="4" t="s">
        <v>5</v>
      </c>
      <c r="C21238" s="4" t="s">
        <v>11</v>
      </c>
    </row>
    <row r="21239" spans="1:8">
      <c r="A21239" t="n">
        <v>207172</v>
      </c>
      <c r="B21239" s="29" t="n">
        <v>16</v>
      </c>
      <c r="C21239" s="7" t="n">
        <v>0</v>
      </c>
    </row>
    <row r="21240" spans="1:8">
      <c r="A21240" t="s">
        <v>4</v>
      </c>
      <c r="B21240" s="4" t="s">
        <v>5</v>
      </c>
      <c r="C21240" s="4" t="s">
        <v>11</v>
      </c>
      <c r="D21240" s="4" t="s">
        <v>7</v>
      </c>
      <c r="E21240" s="4" t="s">
        <v>15</v>
      </c>
      <c r="F21240" s="4" t="s">
        <v>55</v>
      </c>
      <c r="G21240" s="4" t="s">
        <v>7</v>
      </c>
      <c r="H21240" s="4" t="s">
        <v>7</v>
      </c>
      <c r="I21240" s="4" t="s">
        <v>7</v>
      </c>
      <c r="J21240" s="4" t="s">
        <v>15</v>
      </c>
      <c r="K21240" s="4" t="s">
        <v>55</v>
      </c>
      <c r="L21240" s="4" t="s">
        <v>7</v>
      </c>
      <c r="M21240" s="4" t="s">
        <v>7</v>
      </c>
      <c r="N21240" s="4" t="s">
        <v>7</v>
      </c>
      <c r="O21240" s="4" t="s">
        <v>15</v>
      </c>
      <c r="P21240" s="4" t="s">
        <v>55</v>
      </c>
      <c r="Q21240" s="4" t="s">
        <v>7</v>
      </c>
      <c r="R21240" s="4" t="s">
        <v>7</v>
      </c>
      <c r="S21240" s="4" t="s">
        <v>7</v>
      </c>
      <c r="T21240" s="4" t="s">
        <v>15</v>
      </c>
      <c r="U21240" s="4" t="s">
        <v>55</v>
      </c>
      <c r="V21240" s="4" t="s">
        <v>7</v>
      </c>
      <c r="W21240" s="4" t="s">
        <v>7</v>
      </c>
    </row>
    <row r="21241" spans="1:8">
      <c r="A21241" t="n">
        <v>207175</v>
      </c>
      <c r="B21241" s="55" t="n">
        <v>26</v>
      </c>
      <c r="C21241" s="7" t="n">
        <v>0</v>
      </c>
      <c r="D21241" s="7" t="n">
        <v>17</v>
      </c>
      <c r="E21241" s="7" t="n">
        <v>64766</v>
      </c>
      <c r="F21241" s="7" t="s">
        <v>1771</v>
      </c>
      <c r="G21241" s="7" t="n">
        <v>2</v>
      </c>
      <c r="H21241" s="7" t="n">
        <v>3</v>
      </c>
      <c r="I21241" s="7" t="n">
        <v>17</v>
      </c>
      <c r="J21241" s="7" t="n">
        <v>64767</v>
      </c>
      <c r="K21241" s="7" t="s">
        <v>1772</v>
      </c>
      <c r="L21241" s="7" t="n">
        <v>2</v>
      </c>
      <c r="M21241" s="7" t="n">
        <v>3</v>
      </c>
      <c r="N21241" s="7" t="n">
        <v>17</v>
      </c>
      <c r="O21241" s="7" t="n">
        <v>64768</v>
      </c>
      <c r="P21241" s="7" t="s">
        <v>1773</v>
      </c>
      <c r="Q21241" s="7" t="n">
        <v>2</v>
      </c>
      <c r="R21241" s="7" t="n">
        <v>3</v>
      </c>
      <c r="S21241" s="7" t="n">
        <v>17</v>
      </c>
      <c r="T21241" s="7" t="n">
        <v>64769</v>
      </c>
      <c r="U21241" s="7" t="s">
        <v>1774</v>
      </c>
      <c r="V21241" s="7" t="n">
        <v>2</v>
      </c>
      <c r="W21241" s="7" t="n">
        <v>0</v>
      </c>
    </row>
    <row r="21242" spans="1:8">
      <c r="A21242" t="s">
        <v>4</v>
      </c>
      <c r="B21242" s="4" t="s">
        <v>5</v>
      </c>
    </row>
    <row r="21243" spans="1:8">
      <c r="A21243" t="n">
        <v>207605</v>
      </c>
      <c r="B21243" s="27" t="n">
        <v>28</v>
      </c>
    </row>
    <row r="21244" spans="1:8">
      <c r="A21244" t="s">
        <v>4</v>
      </c>
      <c r="B21244" s="4" t="s">
        <v>5</v>
      </c>
      <c r="C21244" s="4" t="s">
        <v>7</v>
      </c>
      <c r="D21244" s="4" t="s">
        <v>11</v>
      </c>
      <c r="E21244" s="4" t="s">
        <v>11</v>
      </c>
      <c r="F21244" s="4" t="s">
        <v>7</v>
      </c>
    </row>
    <row r="21245" spans="1:8">
      <c r="A21245" t="n">
        <v>207606</v>
      </c>
      <c r="B21245" s="31" t="n">
        <v>25</v>
      </c>
      <c r="C21245" s="7" t="n">
        <v>1</v>
      </c>
      <c r="D21245" s="7" t="n">
        <v>65535</v>
      </c>
      <c r="E21245" s="7" t="n">
        <v>65535</v>
      </c>
      <c r="F21245" s="7" t="n">
        <v>0</v>
      </c>
    </row>
    <row r="21246" spans="1:8">
      <c r="A21246" t="s">
        <v>4</v>
      </c>
      <c r="B21246" s="4" t="s">
        <v>5</v>
      </c>
      <c r="C21246" s="4" t="s">
        <v>7</v>
      </c>
      <c r="D21246" s="4" t="s">
        <v>11</v>
      </c>
      <c r="E21246" s="4" t="s">
        <v>8</v>
      </c>
    </row>
    <row r="21247" spans="1:8">
      <c r="A21247" t="n">
        <v>207613</v>
      </c>
      <c r="B21247" s="38" t="n">
        <v>51</v>
      </c>
      <c r="C21247" s="7" t="n">
        <v>4</v>
      </c>
      <c r="D21247" s="7" t="n">
        <v>11</v>
      </c>
      <c r="E21247" s="7" t="s">
        <v>313</v>
      </c>
    </row>
    <row r="21248" spans="1:8">
      <c r="A21248" t="s">
        <v>4</v>
      </c>
      <c r="B21248" s="4" t="s">
        <v>5</v>
      </c>
      <c r="C21248" s="4" t="s">
        <v>11</v>
      </c>
    </row>
    <row r="21249" spans="1:23">
      <c r="A21249" t="n">
        <v>207626</v>
      </c>
      <c r="B21249" s="29" t="n">
        <v>16</v>
      </c>
      <c r="C21249" s="7" t="n">
        <v>0</v>
      </c>
    </row>
    <row r="21250" spans="1:23">
      <c r="A21250" t="s">
        <v>4</v>
      </c>
      <c r="B21250" s="4" t="s">
        <v>5</v>
      </c>
      <c r="C21250" s="4" t="s">
        <v>11</v>
      </c>
      <c r="D21250" s="4" t="s">
        <v>7</v>
      </c>
      <c r="E21250" s="4" t="s">
        <v>15</v>
      </c>
      <c r="F21250" s="4" t="s">
        <v>55</v>
      </c>
      <c r="G21250" s="4" t="s">
        <v>7</v>
      </c>
      <c r="H21250" s="4" t="s">
        <v>7</v>
      </c>
      <c r="I21250" s="4" t="s">
        <v>7</v>
      </c>
      <c r="J21250" s="4" t="s">
        <v>15</v>
      </c>
      <c r="K21250" s="4" t="s">
        <v>55</v>
      </c>
      <c r="L21250" s="4" t="s">
        <v>7</v>
      </c>
      <c r="M21250" s="4" t="s">
        <v>7</v>
      </c>
      <c r="N21250" s="4" t="s">
        <v>7</v>
      </c>
      <c r="O21250" s="4" t="s">
        <v>15</v>
      </c>
      <c r="P21250" s="4" t="s">
        <v>55</v>
      </c>
      <c r="Q21250" s="4" t="s">
        <v>7</v>
      </c>
      <c r="R21250" s="4" t="s">
        <v>7</v>
      </c>
    </row>
    <row r="21251" spans="1:23">
      <c r="A21251" t="n">
        <v>207629</v>
      </c>
      <c r="B21251" s="55" t="n">
        <v>26</v>
      </c>
      <c r="C21251" s="7" t="n">
        <v>11</v>
      </c>
      <c r="D21251" s="7" t="n">
        <v>17</v>
      </c>
      <c r="E21251" s="7" t="n">
        <v>64770</v>
      </c>
      <c r="F21251" s="7" t="s">
        <v>1775</v>
      </c>
      <c r="G21251" s="7" t="n">
        <v>2</v>
      </c>
      <c r="H21251" s="7" t="n">
        <v>3</v>
      </c>
      <c r="I21251" s="7" t="n">
        <v>17</v>
      </c>
      <c r="J21251" s="7" t="n">
        <v>64771</v>
      </c>
      <c r="K21251" s="7" t="s">
        <v>1776</v>
      </c>
      <c r="L21251" s="7" t="n">
        <v>2</v>
      </c>
      <c r="M21251" s="7" t="n">
        <v>3</v>
      </c>
      <c r="N21251" s="7" t="n">
        <v>17</v>
      </c>
      <c r="O21251" s="7" t="n">
        <v>64772</v>
      </c>
      <c r="P21251" s="7" t="s">
        <v>1777</v>
      </c>
      <c r="Q21251" s="7" t="n">
        <v>2</v>
      </c>
      <c r="R21251" s="7" t="n">
        <v>0</v>
      </c>
    </row>
    <row r="21252" spans="1:23">
      <c r="A21252" t="s">
        <v>4</v>
      </c>
      <c r="B21252" s="4" t="s">
        <v>5</v>
      </c>
    </row>
    <row r="21253" spans="1:23">
      <c r="A21253" t="n">
        <v>207862</v>
      </c>
      <c r="B21253" s="27" t="n">
        <v>28</v>
      </c>
    </row>
    <row r="21254" spans="1:23">
      <c r="A21254" t="s">
        <v>4</v>
      </c>
      <c r="B21254" s="4" t="s">
        <v>5</v>
      </c>
      <c r="C21254" s="4" t="s">
        <v>11</v>
      </c>
      <c r="D21254" s="4" t="s">
        <v>7</v>
      </c>
      <c r="E21254" s="4" t="s">
        <v>7</v>
      </c>
      <c r="F21254" s="4" t="s">
        <v>8</v>
      </c>
    </row>
    <row r="21255" spans="1:23">
      <c r="A21255" t="n">
        <v>207863</v>
      </c>
      <c r="B21255" s="50" t="n">
        <v>20</v>
      </c>
      <c r="C21255" s="7" t="n">
        <v>0</v>
      </c>
      <c r="D21255" s="7" t="n">
        <v>2</v>
      </c>
      <c r="E21255" s="7" t="n">
        <v>10</v>
      </c>
      <c r="F21255" s="7" t="s">
        <v>223</v>
      </c>
    </row>
    <row r="21256" spans="1:23">
      <c r="A21256" t="s">
        <v>4</v>
      </c>
      <c r="B21256" s="4" t="s">
        <v>5</v>
      </c>
      <c r="C21256" s="4" t="s">
        <v>7</v>
      </c>
      <c r="D21256" s="4" t="s">
        <v>11</v>
      </c>
      <c r="E21256" s="4" t="s">
        <v>8</v>
      </c>
    </row>
    <row r="21257" spans="1:23">
      <c r="A21257" t="n">
        <v>207884</v>
      </c>
      <c r="B21257" s="38" t="n">
        <v>51</v>
      </c>
      <c r="C21257" s="7" t="n">
        <v>4</v>
      </c>
      <c r="D21257" s="7" t="n">
        <v>0</v>
      </c>
      <c r="E21257" s="7" t="s">
        <v>173</v>
      </c>
    </row>
    <row r="21258" spans="1:23">
      <c r="A21258" t="s">
        <v>4</v>
      </c>
      <c r="B21258" s="4" t="s">
        <v>5</v>
      </c>
      <c r="C21258" s="4" t="s">
        <v>11</v>
      </c>
    </row>
    <row r="21259" spans="1:23">
      <c r="A21259" t="n">
        <v>207897</v>
      </c>
      <c r="B21259" s="29" t="n">
        <v>16</v>
      </c>
      <c r="C21259" s="7" t="n">
        <v>0</v>
      </c>
    </row>
    <row r="21260" spans="1:23">
      <c r="A21260" t="s">
        <v>4</v>
      </c>
      <c r="B21260" s="4" t="s">
        <v>5</v>
      </c>
      <c r="C21260" s="4" t="s">
        <v>11</v>
      </c>
      <c r="D21260" s="4" t="s">
        <v>7</v>
      </c>
      <c r="E21260" s="4" t="s">
        <v>15</v>
      </c>
      <c r="F21260" s="4" t="s">
        <v>55</v>
      </c>
      <c r="G21260" s="4" t="s">
        <v>7</v>
      </c>
      <c r="H21260" s="4" t="s">
        <v>7</v>
      </c>
    </row>
    <row r="21261" spans="1:23">
      <c r="A21261" t="n">
        <v>207900</v>
      </c>
      <c r="B21261" s="55" t="n">
        <v>26</v>
      </c>
      <c r="C21261" s="7" t="n">
        <v>0</v>
      </c>
      <c r="D21261" s="7" t="n">
        <v>17</v>
      </c>
      <c r="E21261" s="7" t="n">
        <v>64773</v>
      </c>
      <c r="F21261" s="7" t="s">
        <v>1778</v>
      </c>
      <c r="G21261" s="7" t="n">
        <v>2</v>
      </c>
      <c r="H21261" s="7" t="n">
        <v>0</v>
      </c>
    </row>
    <row r="21262" spans="1:23">
      <c r="A21262" t="s">
        <v>4</v>
      </c>
      <c r="B21262" s="4" t="s">
        <v>5</v>
      </c>
    </row>
    <row r="21263" spans="1:23">
      <c r="A21263" t="n">
        <v>207937</v>
      </c>
      <c r="B21263" s="27" t="n">
        <v>28</v>
      </c>
    </row>
    <row r="21264" spans="1:23">
      <c r="A21264" t="s">
        <v>4</v>
      </c>
      <c r="B21264" s="4" t="s">
        <v>5</v>
      </c>
      <c r="C21264" s="4" t="s">
        <v>7</v>
      </c>
      <c r="D21264" s="4" t="s">
        <v>11</v>
      </c>
      <c r="E21264" s="4" t="s">
        <v>11</v>
      </c>
      <c r="F21264" s="4" t="s">
        <v>7</v>
      </c>
    </row>
    <row r="21265" spans="1:18">
      <c r="A21265" t="n">
        <v>207938</v>
      </c>
      <c r="B21265" s="31" t="n">
        <v>25</v>
      </c>
      <c r="C21265" s="7" t="n">
        <v>1</v>
      </c>
      <c r="D21265" s="7" t="n">
        <v>65535</v>
      </c>
      <c r="E21265" s="7" t="n">
        <v>65535</v>
      </c>
      <c r="F21265" s="7" t="n">
        <v>0</v>
      </c>
    </row>
    <row r="21266" spans="1:18">
      <c r="A21266" t="s">
        <v>4</v>
      </c>
      <c r="B21266" s="4" t="s">
        <v>5</v>
      </c>
      <c r="C21266" s="4" t="s">
        <v>12</v>
      </c>
    </row>
    <row r="21267" spans="1:18">
      <c r="A21267" t="n">
        <v>207945</v>
      </c>
      <c r="B21267" s="19" t="n">
        <v>3</v>
      </c>
      <c r="C21267" s="11" t="n">
        <f t="normal" ca="1">A21467</f>
        <v>0</v>
      </c>
    </row>
    <row r="21268" spans="1:18">
      <c r="A21268" t="s">
        <v>4</v>
      </c>
      <c r="B21268" s="4" t="s">
        <v>5</v>
      </c>
      <c r="C21268" s="4" t="s">
        <v>7</v>
      </c>
      <c r="D21268" s="4" t="s">
        <v>11</v>
      </c>
      <c r="E21268" s="4" t="s">
        <v>8</v>
      </c>
      <c r="F21268" s="4" t="s">
        <v>8</v>
      </c>
      <c r="G21268" s="4" t="s">
        <v>8</v>
      </c>
      <c r="H21268" s="4" t="s">
        <v>8</v>
      </c>
    </row>
    <row r="21269" spans="1:18">
      <c r="A21269" t="n">
        <v>207950</v>
      </c>
      <c r="B21269" s="38" t="n">
        <v>51</v>
      </c>
      <c r="C21269" s="7" t="n">
        <v>3</v>
      </c>
      <c r="D21269" s="7" t="n">
        <v>11</v>
      </c>
      <c r="E21269" s="7" t="s">
        <v>232</v>
      </c>
      <c r="F21269" s="7" t="s">
        <v>99</v>
      </c>
      <c r="G21269" s="7" t="s">
        <v>78</v>
      </c>
      <c r="H21269" s="7" t="s">
        <v>79</v>
      </c>
    </row>
    <row r="21270" spans="1:18">
      <c r="A21270" t="s">
        <v>4</v>
      </c>
      <c r="B21270" s="4" t="s">
        <v>5</v>
      </c>
      <c r="C21270" s="4" t="s">
        <v>11</v>
      </c>
      <c r="D21270" s="4" t="s">
        <v>11</v>
      </c>
      <c r="E21270" s="4" t="s">
        <v>13</v>
      </c>
      <c r="F21270" s="4" t="s">
        <v>13</v>
      </c>
      <c r="G21270" s="4" t="s">
        <v>13</v>
      </c>
      <c r="H21270" s="4" t="s">
        <v>13</v>
      </c>
      <c r="I21270" s="4" t="s">
        <v>7</v>
      </c>
      <c r="J21270" s="4" t="s">
        <v>11</v>
      </c>
    </row>
    <row r="21271" spans="1:18">
      <c r="A21271" t="n">
        <v>207963</v>
      </c>
      <c r="B21271" s="53" t="n">
        <v>55</v>
      </c>
      <c r="C21271" s="7" t="n">
        <v>11</v>
      </c>
      <c r="D21271" s="7" t="n">
        <v>65533</v>
      </c>
      <c r="E21271" s="7" t="n">
        <v>1.27999997138977</v>
      </c>
      <c r="F21271" s="7" t="n">
        <v>10.0100002288818</v>
      </c>
      <c r="G21271" s="7" t="n">
        <v>30.2199993133545</v>
      </c>
      <c r="H21271" s="7" t="n">
        <v>0.5</v>
      </c>
      <c r="I21271" s="7" t="n">
        <v>1</v>
      </c>
      <c r="J21271" s="7" t="n">
        <v>0</v>
      </c>
    </row>
    <row r="21272" spans="1:18">
      <c r="A21272" t="s">
        <v>4</v>
      </c>
      <c r="B21272" s="4" t="s">
        <v>5</v>
      </c>
      <c r="C21272" s="4" t="s">
        <v>11</v>
      </c>
    </row>
    <row r="21273" spans="1:18">
      <c r="A21273" t="n">
        <v>207987</v>
      </c>
      <c r="B21273" s="29" t="n">
        <v>16</v>
      </c>
      <c r="C21273" s="7" t="n">
        <v>1000</v>
      </c>
    </row>
    <row r="21274" spans="1:18">
      <c r="A21274" t="s">
        <v>4</v>
      </c>
      <c r="B21274" s="4" t="s">
        <v>5</v>
      </c>
      <c r="C21274" s="4" t="s">
        <v>7</v>
      </c>
      <c r="D21274" s="4" t="s">
        <v>11</v>
      </c>
      <c r="E21274" s="4" t="s">
        <v>13</v>
      </c>
    </row>
    <row r="21275" spans="1:18">
      <c r="A21275" t="n">
        <v>207990</v>
      </c>
      <c r="B21275" s="23" t="n">
        <v>58</v>
      </c>
      <c r="C21275" s="7" t="n">
        <v>101</v>
      </c>
      <c r="D21275" s="7" t="n">
        <v>800</v>
      </c>
      <c r="E21275" s="7" t="n">
        <v>1</v>
      </c>
    </row>
    <row r="21276" spans="1:18">
      <c r="A21276" t="s">
        <v>4</v>
      </c>
      <c r="B21276" s="4" t="s">
        <v>5</v>
      </c>
      <c r="C21276" s="4" t="s">
        <v>7</v>
      </c>
      <c r="D21276" s="4" t="s">
        <v>11</v>
      </c>
    </row>
    <row r="21277" spans="1:18">
      <c r="A21277" t="n">
        <v>207998</v>
      </c>
      <c r="B21277" s="23" t="n">
        <v>58</v>
      </c>
      <c r="C21277" s="7" t="n">
        <v>254</v>
      </c>
      <c r="D21277" s="7" t="n">
        <v>0</v>
      </c>
    </row>
    <row r="21278" spans="1:18">
      <c r="A21278" t="s">
        <v>4</v>
      </c>
      <c r="B21278" s="4" t="s">
        <v>5</v>
      </c>
      <c r="C21278" s="4" t="s">
        <v>11</v>
      </c>
      <c r="D21278" s="4" t="s">
        <v>7</v>
      </c>
    </row>
    <row r="21279" spans="1:18">
      <c r="A21279" t="n">
        <v>208002</v>
      </c>
      <c r="B21279" s="54" t="n">
        <v>56</v>
      </c>
      <c r="C21279" s="7" t="n">
        <v>11</v>
      </c>
      <c r="D21279" s="7" t="n">
        <v>1</v>
      </c>
    </row>
    <row r="21280" spans="1:18">
      <c r="A21280" t="s">
        <v>4</v>
      </c>
      <c r="B21280" s="4" t="s">
        <v>5</v>
      </c>
      <c r="C21280" s="4" t="s">
        <v>11</v>
      </c>
      <c r="D21280" s="4" t="s">
        <v>13</v>
      </c>
      <c r="E21280" s="4" t="s">
        <v>13</v>
      </c>
      <c r="F21280" s="4" t="s">
        <v>13</v>
      </c>
      <c r="G21280" s="4" t="s">
        <v>13</v>
      </c>
    </row>
    <row r="21281" spans="1:10">
      <c r="A21281" t="n">
        <v>208006</v>
      </c>
      <c r="B21281" s="36" t="n">
        <v>46</v>
      </c>
      <c r="C21281" s="7" t="n">
        <v>11</v>
      </c>
      <c r="D21281" s="7" t="n">
        <v>1.25</v>
      </c>
      <c r="E21281" s="7" t="n">
        <v>10.0100002288818</v>
      </c>
      <c r="F21281" s="7" t="n">
        <v>30.1900005340576</v>
      </c>
      <c r="G21281" s="7" t="n">
        <v>306.299987792969</v>
      </c>
    </row>
    <row r="21282" spans="1:10">
      <c r="A21282" t="s">
        <v>4</v>
      </c>
      <c r="B21282" s="4" t="s">
        <v>5</v>
      </c>
      <c r="C21282" s="4" t="s">
        <v>11</v>
      </c>
      <c r="D21282" s="4" t="s">
        <v>11</v>
      </c>
      <c r="E21282" s="4" t="s">
        <v>11</v>
      </c>
    </row>
    <row r="21283" spans="1:10">
      <c r="A21283" t="n">
        <v>208025</v>
      </c>
      <c r="B21283" s="72" t="n">
        <v>61</v>
      </c>
      <c r="C21283" s="7" t="n">
        <v>11</v>
      </c>
      <c r="D21283" s="7" t="n">
        <v>65533</v>
      </c>
      <c r="E21283" s="7" t="n">
        <v>0</v>
      </c>
    </row>
    <row r="21284" spans="1:10">
      <c r="A21284" t="s">
        <v>4</v>
      </c>
      <c r="B21284" s="4" t="s">
        <v>5</v>
      </c>
      <c r="C21284" s="4" t="s">
        <v>11</v>
      </c>
      <c r="D21284" s="4" t="s">
        <v>11</v>
      </c>
      <c r="E21284" s="4" t="s">
        <v>11</v>
      </c>
    </row>
    <row r="21285" spans="1:10">
      <c r="A21285" t="n">
        <v>208032</v>
      </c>
      <c r="B21285" s="72" t="n">
        <v>61</v>
      </c>
      <c r="C21285" s="7" t="n">
        <v>0</v>
      </c>
      <c r="D21285" s="7" t="n">
        <v>65533</v>
      </c>
      <c r="E21285" s="7" t="n">
        <v>0</v>
      </c>
    </row>
    <row r="21286" spans="1:10">
      <c r="A21286" t="s">
        <v>4</v>
      </c>
      <c r="B21286" s="4" t="s">
        <v>5</v>
      </c>
      <c r="C21286" s="4" t="s">
        <v>11</v>
      </c>
      <c r="D21286" s="4" t="s">
        <v>13</v>
      </c>
      <c r="E21286" s="4" t="s">
        <v>13</v>
      </c>
      <c r="F21286" s="4" t="s">
        <v>13</v>
      </c>
      <c r="G21286" s="4" t="s">
        <v>11</v>
      </c>
      <c r="H21286" s="4" t="s">
        <v>11</v>
      </c>
    </row>
    <row r="21287" spans="1:10">
      <c r="A21287" t="n">
        <v>208039</v>
      </c>
      <c r="B21287" s="37" t="n">
        <v>60</v>
      </c>
      <c r="C21287" s="7" t="n">
        <v>11</v>
      </c>
      <c r="D21287" s="7" t="n">
        <v>0</v>
      </c>
      <c r="E21287" s="7" t="n">
        <v>0</v>
      </c>
      <c r="F21287" s="7" t="n">
        <v>0</v>
      </c>
      <c r="G21287" s="7" t="n">
        <v>0</v>
      </c>
      <c r="H21287" s="7" t="n">
        <v>0</v>
      </c>
    </row>
    <row r="21288" spans="1:10">
      <c r="A21288" t="s">
        <v>4</v>
      </c>
      <c r="B21288" s="4" t="s">
        <v>5</v>
      </c>
      <c r="C21288" s="4" t="s">
        <v>11</v>
      </c>
      <c r="D21288" s="4" t="s">
        <v>13</v>
      </c>
      <c r="E21288" s="4" t="s">
        <v>13</v>
      </c>
      <c r="F21288" s="4" t="s">
        <v>13</v>
      </c>
      <c r="G21288" s="4" t="s">
        <v>11</v>
      </c>
      <c r="H21288" s="4" t="s">
        <v>11</v>
      </c>
    </row>
    <row r="21289" spans="1:10">
      <c r="A21289" t="n">
        <v>208058</v>
      </c>
      <c r="B21289" s="37" t="n">
        <v>60</v>
      </c>
      <c r="C21289" s="7" t="n">
        <v>0</v>
      </c>
      <c r="D21289" s="7" t="n">
        <v>0</v>
      </c>
      <c r="E21289" s="7" t="n">
        <v>0</v>
      </c>
      <c r="F21289" s="7" t="n">
        <v>0</v>
      </c>
      <c r="G21289" s="7" t="n">
        <v>0</v>
      </c>
      <c r="H21289" s="7" t="n">
        <v>0</v>
      </c>
    </row>
    <row r="21290" spans="1:10">
      <c r="A21290" t="s">
        <v>4</v>
      </c>
      <c r="B21290" s="4" t="s">
        <v>5</v>
      </c>
      <c r="C21290" s="4" t="s">
        <v>7</v>
      </c>
      <c r="D21290" s="4" t="s">
        <v>7</v>
      </c>
      <c r="E21290" s="4" t="s">
        <v>13</v>
      </c>
      <c r="F21290" s="4" t="s">
        <v>13</v>
      </c>
      <c r="G21290" s="4" t="s">
        <v>13</v>
      </c>
      <c r="H21290" s="4" t="s">
        <v>11</v>
      </c>
    </row>
    <row r="21291" spans="1:10">
      <c r="A21291" t="n">
        <v>208077</v>
      </c>
      <c r="B21291" s="51" t="n">
        <v>45</v>
      </c>
      <c r="C21291" s="7" t="n">
        <v>2</v>
      </c>
      <c r="D21291" s="7" t="n">
        <v>3</v>
      </c>
      <c r="E21291" s="7" t="n">
        <v>1.07000005245209</v>
      </c>
      <c r="F21291" s="7" t="n">
        <v>11.3900003433228</v>
      </c>
      <c r="G21291" s="7" t="n">
        <v>30.3199996948242</v>
      </c>
      <c r="H21291" s="7" t="n">
        <v>0</v>
      </c>
    </row>
    <row r="21292" spans="1:10">
      <c r="A21292" t="s">
        <v>4</v>
      </c>
      <c r="B21292" s="4" t="s">
        <v>5</v>
      </c>
      <c r="C21292" s="4" t="s">
        <v>7</v>
      </c>
      <c r="D21292" s="4" t="s">
        <v>7</v>
      </c>
      <c r="E21292" s="4" t="s">
        <v>13</v>
      </c>
      <c r="F21292" s="4" t="s">
        <v>13</v>
      </c>
      <c r="G21292" s="4" t="s">
        <v>13</v>
      </c>
      <c r="H21292" s="4" t="s">
        <v>11</v>
      </c>
      <c r="I21292" s="4" t="s">
        <v>7</v>
      </c>
    </row>
    <row r="21293" spans="1:10">
      <c r="A21293" t="n">
        <v>208094</v>
      </c>
      <c r="B21293" s="51" t="n">
        <v>45</v>
      </c>
      <c r="C21293" s="7" t="n">
        <v>4</v>
      </c>
      <c r="D21293" s="7" t="n">
        <v>3</v>
      </c>
      <c r="E21293" s="7" t="n">
        <v>1.37000000476837</v>
      </c>
      <c r="F21293" s="7" t="n">
        <v>143.259994506836</v>
      </c>
      <c r="G21293" s="7" t="n">
        <v>354</v>
      </c>
      <c r="H21293" s="7" t="n">
        <v>0</v>
      </c>
      <c r="I21293" s="7" t="n">
        <v>0</v>
      </c>
    </row>
    <row r="21294" spans="1:10">
      <c r="A21294" t="s">
        <v>4</v>
      </c>
      <c r="B21294" s="4" t="s">
        <v>5</v>
      </c>
      <c r="C21294" s="4" t="s">
        <v>7</v>
      </c>
      <c r="D21294" s="4" t="s">
        <v>7</v>
      </c>
      <c r="E21294" s="4" t="s">
        <v>13</v>
      </c>
      <c r="F21294" s="4" t="s">
        <v>11</v>
      </c>
    </row>
    <row r="21295" spans="1:10">
      <c r="A21295" t="n">
        <v>208112</v>
      </c>
      <c r="B21295" s="51" t="n">
        <v>45</v>
      </c>
      <c r="C21295" s="7" t="n">
        <v>5</v>
      </c>
      <c r="D21295" s="7" t="n">
        <v>3</v>
      </c>
      <c r="E21295" s="7" t="n">
        <v>1.20000004768372</v>
      </c>
      <c r="F21295" s="7" t="n">
        <v>0</v>
      </c>
    </row>
    <row r="21296" spans="1:10">
      <c r="A21296" t="s">
        <v>4</v>
      </c>
      <c r="B21296" s="4" t="s">
        <v>5</v>
      </c>
      <c r="C21296" s="4" t="s">
        <v>11</v>
      </c>
      <c r="D21296" s="4" t="s">
        <v>7</v>
      </c>
      <c r="E21296" s="4" t="s">
        <v>8</v>
      </c>
      <c r="F21296" s="4" t="s">
        <v>13</v>
      </c>
      <c r="G21296" s="4" t="s">
        <v>13</v>
      </c>
      <c r="H21296" s="4" t="s">
        <v>13</v>
      </c>
    </row>
    <row r="21297" spans="1:9">
      <c r="A21297" t="n">
        <v>208121</v>
      </c>
      <c r="B21297" s="42" t="n">
        <v>48</v>
      </c>
      <c r="C21297" s="7" t="n">
        <v>11</v>
      </c>
      <c r="D21297" s="7" t="n">
        <v>0</v>
      </c>
      <c r="E21297" s="7" t="s">
        <v>1752</v>
      </c>
      <c r="F21297" s="7" t="n">
        <v>-1</v>
      </c>
      <c r="G21297" s="7" t="n">
        <v>1</v>
      </c>
      <c r="H21297" s="7" t="n">
        <v>0</v>
      </c>
    </row>
    <row r="21298" spans="1:9">
      <c r="A21298" t="s">
        <v>4</v>
      </c>
      <c r="B21298" s="4" t="s">
        <v>5</v>
      </c>
      <c r="C21298" s="4" t="s">
        <v>11</v>
      </c>
      <c r="D21298" s="4" t="s">
        <v>7</v>
      </c>
      <c r="E21298" s="4" t="s">
        <v>8</v>
      </c>
      <c r="F21298" s="4" t="s">
        <v>13</v>
      </c>
      <c r="G21298" s="4" t="s">
        <v>13</v>
      </c>
      <c r="H21298" s="4" t="s">
        <v>13</v>
      </c>
    </row>
    <row r="21299" spans="1:9">
      <c r="A21299" t="n">
        <v>208147</v>
      </c>
      <c r="B21299" s="42" t="n">
        <v>48</v>
      </c>
      <c r="C21299" s="7" t="n">
        <v>0</v>
      </c>
      <c r="D21299" s="7" t="n">
        <v>0</v>
      </c>
      <c r="E21299" s="7" t="s">
        <v>1752</v>
      </c>
      <c r="F21299" s="7" t="n">
        <v>-1</v>
      </c>
      <c r="G21299" s="7" t="n">
        <v>1</v>
      </c>
      <c r="H21299" s="7" t="n">
        <v>0</v>
      </c>
    </row>
    <row r="21300" spans="1:9">
      <c r="A21300" t="s">
        <v>4</v>
      </c>
      <c r="B21300" s="4" t="s">
        <v>5</v>
      </c>
      <c r="C21300" s="4" t="s">
        <v>7</v>
      </c>
      <c r="D21300" s="4" t="s">
        <v>11</v>
      </c>
      <c r="E21300" s="4" t="s">
        <v>8</v>
      </c>
      <c r="F21300" s="4" t="s">
        <v>8</v>
      </c>
      <c r="G21300" s="4" t="s">
        <v>8</v>
      </c>
      <c r="H21300" s="4" t="s">
        <v>8</v>
      </c>
    </row>
    <row r="21301" spans="1:9">
      <c r="A21301" t="n">
        <v>208173</v>
      </c>
      <c r="B21301" s="38" t="n">
        <v>51</v>
      </c>
      <c r="C21301" s="7" t="n">
        <v>3</v>
      </c>
      <c r="D21301" s="7" t="n">
        <v>11</v>
      </c>
      <c r="E21301" s="7" t="s">
        <v>319</v>
      </c>
      <c r="F21301" s="7" t="s">
        <v>232</v>
      </c>
      <c r="G21301" s="7" t="s">
        <v>78</v>
      </c>
      <c r="H21301" s="7" t="s">
        <v>79</v>
      </c>
    </row>
    <row r="21302" spans="1:9">
      <c r="A21302" t="s">
        <v>4</v>
      </c>
      <c r="B21302" s="4" t="s">
        <v>5</v>
      </c>
      <c r="C21302" s="4" t="s">
        <v>7</v>
      </c>
      <c r="D21302" s="4" t="s">
        <v>11</v>
      </c>
      <c r="E21302" s="4" t="s">
        <v>13</v>
      </c>
      <c r="F21302" s="4" t="s">
        <v>11</v>
      </c>
      <c r="G21302" s="4" t="s">
        <v>15</v>
      </c>
      <c r="H21302" s="4" t="s">
        <v>15</v>
      </c>
      <c r="I21302" s="4" t="s">
        <v>11</v>
      </c>
      <c r="J21302" s="4" t="s">
        <v>11</v>
      </c>
      <c r="K21302" s="4" t="s">
        <v>15</v>
      </c>
      <c r="L21302" s="4" t="s">
        <v>15</v>
      </c>
      <c r="M21302" s="4" t="s">
        <v>15</v>
      </c>
      <c r="N21302" s="4" t="s">
        <v>15</v>
      </c>
      <c r="O21302" s="4" t="s">
        <v>8</v>
      </c>
    </row>
    <row r="21303" spans="1:9">
      <c r="A21303" t="n">
        <v>208186</v>
      </c>
      <c r="B21303" s="57" t="n">
        <v>50</v>
      </c>
      <c r="C21303" s="7" t="n">
        <v>0</v>
      </c>
      <c r="D21303" s="7" t="n">
        <v>2004</v>
      </c>
      <c r="E21303" s="7" t="n">
        <v>0.699999988079071</v>
      </c>
      <c r="F21303" s="7" t="n">
        <v>100</v>
      </c>
      <c r="G21303" s="7" t="n">
        <v>0</v>
      </c>
      <c r="H21303" s="7" t="n">
        <v>1065353216</v>
      </c>
      <c r="I21303" s="7" t="n">
        <v>0</v>
      </c>
      <c r="J21303" s="7" t="n">
        <v>65533</v>
      </c>
      <c r="K21303" s="7" t="n">
        <v>0</v>
      </c>
      <c r="L21303" s="7" t="n">
        <v>0</v>
      </c>
      <c r="M21303" s="7" t="n">
        <v>0</v>
      </c>
      <c r="N21303" s="7" t="n">
        <v>0</v>
      </c>
      <c r="O21303" s="7" t="s">
        <v>16</v>
      </c>
    </row>
    <row r="21304" spans="1:9">
      <c r="A21304" t="s">
        <v>4</v>
      </c>
      <c r="B21304" s="4" t="s">
        <v>5</v>
      </c>
      <c r="C21304" s="4" t="s">
        <v>7</v>
      </c>
      <c r="D21304" s="4" t="s">
        <v>7</v>
      </c>
      <c r="E21304" s="4" t="s">
        <v>13</v>
      </c>
      <c r="F21304" s="4" t="s">
        <v>13</v>
      </c>
      <c r="G21304" s="4" t="s">
        <v>13</v>
      </c>
      <c r="H21304" s="4" t="s">
        <v>11</v>
      </c>
    </row>
    <row r="21305" spans="1:9">
      <c r="A21305" t="n">
        <v>208225</v>
      </c>
      <c r="B21305" s="51" t="n">
        <v>45</v>
      </c>
      <c r="C21305" s="7" t="n">
        <v>2</v>
      </c>
      <c r="D21305" s="7" t="n">
        <v>3</v>
      </c>
      <c r="E21305" s="7" t="n">
        <v>1.07000005245209</v>
      </c>
      <c r="F21305" s="7" t="n">
        <v>11.4399995803833</v>
      </c>
      <c r="G21305" s="7" t="n">
        <v>30.3199996948242</v>
      </c>
      <c r="H21305" s="7" t="n">
        <v>3500</v>
      </c>
    </row>
    <row r="21306" spans="1:9">
      <c r="A21306" t="s">
        <v>4</v>
      </c>
      <c r="B21306" s="4" t="s">
        <v>5</v>
      </c>
      <c r="C21306" s="4" t="s">
        <v>7</v>
      </c>
      <c r="D21306" s="4" t="s">
        <v>7</v>
      </c>
      <c r="E21306" s="4" t="s">
        <v>13</v>
      </c>
      <c r="F21306" s="4" t="s">
        <v>13</v>
      </c>
      <c r="G21306" s="4" t="s">
        <v>13</v>
      </c>
      <c r="H21306" s="4" t="s">
        <v>11</v>
      </c>
      <c r="I21306" s="4" t="s">
        <v>7</v>
      </c>
    </row>
    <row r="21307" spans="1:9">
      <c r="A21307" t="n">
        <v>208242</v>
      </c>
      <c r="B21307" s="51" t="n">
        <v>45</v>
      </c>
      <c r="C21307" s="7" t="n">
        <v>4</v>
      </c>
      <c r="D21307" s="7" t="n">
        <v>3</v>
      </c>
      <c r="E21307" s="7" t="n">
        <v>9.25</v>
      </c>
      <c r="F21307" s="7" t="n">
        <v>284.279998779297</v>
      </c>
      <c r="G21307" s="7" t="n">
        <v>354</v>
      </c>
      <c r="H21307" s="7" t="n">
        <v>3500</v>
      </c>
      <c r="I21307" s="7" t="n">
        <v>0</v>
      </c>
    </row>
    <row r="21308" spans="1:9">
      <c r="A21308" t="s">
        <v>4</v>
      </c>
      <c r="B21308" s="4" t="s">
        <v>5</v>
      </c>
      <c r="C21308" s="4" t="s">
        <v>7</v>
      </c>
      <c r="D21308" s="4" t="s">
        <v>7</v>
      </c>
      <c r="E21308" s="4" t="s">
        <v>13</v>
      </c>
      <c r="F21308" s="4" t="s">
        <v>11</v>
      </c>
    </row>
    <row r="21309" spans="1:9">
      <c r="A21309" t="n">
        <v>208260</v>
      </c>
      <c r="B21309" s="51" t="n">
        <v>45</v>
      </c>
      <c r="C21309" s="7" t="n">
        <v>5</v>
      </c>
      <c r="D21309" s="7" t="n">
        <v>3</v>
      </c>
      <c r="E21309" s="7" t="n">
        <v>0.899999976158142</v>
      </c>
      <c r="F21309" s="7" t="n">
        <v>3500</v>
      </c>
    </row>
    <row r="21310" spans="1:9">
      <c r="A21310" t="s">
        <v>4</v>
      </c>
      <c r="B21310" s="4" t="s">
        <v>5</v>
      </c>
      <c r="C21310" s="4" t="s">
        <v>11</v>
      </c>
    </row>
    <row r="21311" spans="1:9">
      <c r="A21311" t="n">
        <v>208269</v>
      </c>
      <c r="B21311" s="29" t="n">
        <v>16</v>
      </c>
      <c r="C21311" s="7" t="n">
        <v>300</v>
      </c>
    </row>
    <row r="21312" spans="1:9">
      <c r="A21312" t="s">
        <v>4</v>
      </c>
      <c r="B21312" s="4" t="s">
        <v>5</v>
      </c>
      <c r="C21312" s="4" t="s">
        <v>7</v>
      </c>
      <c r="D21312" s="4" t="s">
        <v>11</v>
      </c>
      <c r="E21312" s="4" t="s">
        <v>8</v>
      </c>
      <c r="F21312" s="4" t="s">
        <v>8</v>
      </c>
      <c r="G21312" s="4" t="s">
        <v>8</v>
      </c>
      <c r="H21312" s="4" t="s">
        <v>8</v>
      </c>
    </row>
    <row r="21313" spans="1:15">
      <c r="A21313" t="n">
        <v>208272</v>
      </c>
      <c r="B21313" s="38" t="n">
        <v>51</v>
      </c>
      <c r="C21313" s="7" t="n">
        <v>3</v>
      </c>
      <c r="D21313" s="7" t="n">
        <v>0</v>
      </c>
      <c r="E21313" s="7" t="s">
        <v>154</v>
      </c>
      <c r="F21313" s="7" t="s">
        <v>218</v>
      </c>
      <c r="G21313" s="7" t="s">
        <v>78</v>
      </c>
      <c r="H21313" s="7" t="s">
        <v>79</v>
      </c>
    </row>
    <row r="21314" spans="1:15">
      <c r="A21314" t="s">
        <v>4</v>
      </c>
      <c r="B21314" s="4" t="s">
        <v>5</v>
      </c>
      <c r="C21314" s="4" t="s">
        <v>11</v>
      </c>
    </row>
    <row r="21315" spans="1:15">
      <c r="A21315" t="n">
        <v>208285</v>
      </c>
      <c r="B21315" s="29" t="n">
        <v>16</v>
      </c>
      <c r="C21315" s="7" t="n">
        <v>3500</v>
      </c>
    </row>
    <row r="21316" spans="1:15">
      <c r="A21316" t="s">
        <v>4</v>
      </c>
      <c r="B21316" s="4" t="s">
        <v>5</v>
      </c>
      <c r="C21316" s="4" t="s">
        <v>11</v>
      </c>
      <c r="D21316" s="4" t="s">
        <v>7</v>
      </c>
      <c r="E21316" s="4" t="s">
        <v>13</v>
      </c>
      <c r="F21316" s="4" t="s">
        <v>11</v>
      </c>
    </row>
    <row r="21317" spans="1:15">
      <c r="A21317" t="n">
        <v>208288</v>
      </c>
      <c r="B21317" s="56" t="n">
        <v>59</v>
      </c>
      <c r="C21317" s="7" t="n">
        <v>0</v>
      </c>
      <c r="D21317" s="7" t="n">
        <v>1</v>
      </c>
      <c r="E21317" s="7" t="n">
        <v>0.100000001490116</v>
      </c>
      <c r="F21317" s="7" t="n">
        <v>4</v>
      </c>
    </row>
    <row r="21318" spans="1:15">
      <c r="A21318" t="s">
        <v>4</v>
      </c>
      <c r="B21318" s="4" t="s">
        <v>5</v>
      </c>
      <c r="C21318" s="4" t="s">
        <v>7</v>
      </c>
      <c r="D21318" s="4" t="s">
        <v>13</v>
      </c>
      <c r="E21318" s="4" t="s">
        <v>13</v>
      </c>
      <c r="F21318" s="4" t="s">
        <v>13</v>
      </c>
    </row>
    <row r="21319" spans="1:15">
      <c r="A21319" t="n">
        <v>208298</v>
      </c>
      <c r="B21319" s="51" t="n">
        <v>45</v>
      </c>
      <c r="C21319" s="7" t="n">
        <v>9</v>
      </c>
      <c r="D21319" s="7" t="n">
        <v>0.0199999995529652</v>
      </c>
      <c r="E21319" s="7" t="n">
        <v>0.0199999995529652</v>
      </c>
      <c r="F21319" s="7" t="n">
        <v>0.25</v>
      </c>
    </row>
    <row r="21320" spans="1:15">
      <c r="A21320" t="s">
        <v>4</v>
      </c>
      <c r="B21320" s="4" t="s">
        <v>5</v>
      </c>
      <c r="C21320" s="4" t="s">
        <v>7</v>
      </c>
      <c r="D21320" s="4" t="s">
        <v>11</v>
      </c>
      <c r="E21320" s="4" t="s">
        <v>8</v>
      </c>
    </row>
    <row r="21321" spans="1:15">
      <c r="A21321" t="n">
        <v>208312</v>
      </c>
      <c r="B21321" s="38" t="n">
        <v>51</v>
      </c>
      <c r="C21321" s="7" t="n">
        <v>4</v>
      </c>
      <c r="D21321" s="7" t="n">
        <v>0</v>
      </c>
      <c r="E21321" s="7" t="s">
        <v>1248</v>
      </c>
    </row>
    <row r="21322" spans="1:15">
      <c r="A21322" t="s">
        <v>4</v>
      </c>
      <c r="B21322" s="4" t="s">
        <v>5</v>
      </c>
      <c r="C21322" s="4" t="s">
        <v>11</v>
      </c>
    </row>
    <row r="21323" spans="1:15">
      <c r="A21323" t="n">
        <v>208326</v>
      </c>
      <c r="B21323" s="29" t="n">
        <v>16</v>
      </c>
      <c r="C21323" s="7" t="n">
        <v>0</v>
      </c>
    </row>
    <row r="21324" spans="1:15">
      <c r="A21324" t="s">
        <v>4</v>
      </c>
      <c r="B21324" s="4" t="s">
        <v>5</v>
      </c>
      <c r="C21324" s="4" t="s">
        <v>11</v>
      </c>
      <c r="D21324" s="4" t="s">
        <v>7</v>
      </c>
      <c r="E21324" s="4" t="s">
        <v>15</v>
      </c>
      <c r="F21324" s="4" t="s">
        <v>55</v>
      </c>
      <c r="G21324" s="4" t="s">
        <v>7</v>
      </c>
      <c r="H21324" s="4" t="s">
        <v>7</v>
      </c>
    </row>
    <row r="21325" spans="1:15">
      <c r="A21325" t="n">
        <v>208329</v>
      </c>
      <c r="B21325" s="55" t="n">
        <v>26</v>
      </c>
      <c r="C21325" s="7" t="n">
        <v>0</v>
      </c>
      <c r="D21325" s="7" t="n">
        <v>17</v>
      </c>
      <c r="E21325" s="7" t="n">
        <v>64774</v>
      </c>
      <c r="F21325" s="7" t="s">
        <v>1779</v>
      </c>
      <c r="G21325" s="7" t="n">
        <v>2</v>
      </c>
      <c r="H21325" s="7" t="n">
        <v>0</v>
      </c>
    </row>
    <row r="21326" spans="1:15">
      <c r="A21326" t="s">
        <v>4</v>
      </c>
      <c r="B21326" s="4" t="s">
        <v>5</v>
      </c>
    </row>
    <row r="21327" spans="1:15">
      <c r="A21327" t="n">
        <v>208364</v>
      </c>
      <c r="B21327" s="27" t="n">
        <v>28</v>
      </c>
    </row>
    <row r="21328" spans="1:15">
      <c r="A21328" t="s">
        <v>4</v>
      </c>
      <c r="B21328" s="4" t="s">
        <v>5</v>
      </c>
      <c r="C21328" s="4" t="s">
        <v>7</v>
      </c>
      <c r="D21328" s="4" t="s">
        <v>11</v>
      </c>
      <c r="E21328" s="4" t="s">
        <v>11</v>
      </c>
      <c r="F21328" s="4" t="s">
        <v>7</v>
      </c>
    </row>
    <row r="21329" spans="1:8">
      <c r="A21329" t="n">
        <v>208365</v>
      </c>
      <c r="B21329" s="31" t="n">
        <v>25</v>
      </c>
      <c r="C21329" s="7" t="n">
        <v>1</v>
      </c>
      <c r="D21329" s="7" t="n">
        <v>65535</v>
      </c>
      <c r="E21329" s="7" t="n">
        <v>65535</v>
      </c>
      <c r="F21329" s="7" t="n">
        <v>0</v>
      </c>
    </row>
    <row r="21330" spans="1:8">
      <c r="A21330" t="s">
        <v>4</v>
      </c>
      <c r="B21330" s="4" t="s">
        <v>5</v>
      </c>
      <c r="C21330" s="4" t="s">
        <v>11</v>
      </c>
      <c r="D21330" s="4" t="s">
        <v>13</v>
      </c>
      <c r="E21330" s="4" t="s">
        <v>13</v>
      </c>
      <c r="F21330" s="4" t="s">
        <v>13</v>
      </c>
      <c r="G21330" s="4" t="s">
        <v>11</v>
      </c>
      <c r="H21330" s="4" t="s">
        <v>11</v>
      </c>
    </row>
    <row r="21331" spans="1:8">
      <c r="A21331" t="n">
        <v>208372</v>
      </c>
      <c r="B21331" s="37" t="n">
        <v>60</v>
      </c>
      <c r="C21331" s="7" t="n">
        <v>11</v>
      </c>
      <c r="D21331" s="7" t="n">
        <v>15</v>
      </c>
      <c r="E21331" s="7" t="n">
        <v>15</v>
      </c>
      <c r="F21331" s="7" t="n">
        <v>0</v>
      </c>
      <c r="G21331" s="7" t="n">
        <v>800</v>
      </c>
      <c r="H21331" s="7" t="n">
        <v>0</v>
      </c>
    </row>
    <row r="21332" spans="1:8">
      <c r="A21332" t="s">
        <v>4</v>
      </c>
      <c r="B21332" s="4" t="s">
        <v>5</v>
      </c>
      <c r="C21332" s="4" t="s">
        <v>7</v>
      </c>
      <c r="D21332" s="4" t="s">
        <v>11</v>
      </c>
      <c r="E21332" s="4" t="s">
        <v>8</v>
      </c>
    </row>
    <row r="21333" spans="1:8">
      <c r="A21333" t="n">
        <v>208391</v>
      </c>
      <c r="B21333" s="38" t="n">
        <v>51</v>
      </c>
      <c r="C21333" s="7" t="n">
        <v>4</v>
      </c>
      <c r="D21333" s="7" t="n">
        <v>11</v>
      </c>
      <c r="E21333" s="7" t="s">
        <v>1780</v>
      </c>
    </row>
    <row r="21334" spans="1:8">
      <c r="A21334" t="s">
        <v>4</v>
      </c>
      <c r="B21334" s="4" t="s">
        <v>5</v>
      </c>
      <c r="C21334" s="4" t="s">
        <v>11</v>
      </c>
    </row>
    <row r="21335" spans="1:8">
      <c r="A21335" t="n">
        <v>208405</v>
      </c>
      <c r="B21335" s="29" t="n">
        <v>16</v>
      </c>
      <c r="C21335" s="7" t="n">
        <v>0</v>
      </c>
    </row>
    <row r="21336" spans="1:8">
      <c r="A21336" t="s">
        <v>4</v>
      </c>
      <c r="B21336" s="4" t="s">
        <v>5</v>
      </c>
      <c r="C21336" s="4" t="s">
        <v>11</v>
      </c>
      <c r="D21336" s="4" t="s">
        <v>7</v>
      </c>
      <c r="E21336" s="4" t="s">
        <v>15</v>
      </c>
      <c r="F21336" s="4" t="s">
        <v>55</v>
      </c>
      <c r="G21336" s="4" t="s">
        <v>7</v>
      </c>
      <c r="H21336" s="4" t="s">
        <v>7</v>
      </c>
      <c r="I21336" s="4" t="s">
        <v>7</v>
      </c>
      <c r="J21336" s="4" t="s">
        <v>15</v>
      </c>
      <c r="K21336" s="4" t="s">
        <v>55</v>
      </c>
      <c r="L21336" s="4" t="s">
        <v>7</v>
      </c>
      <c r="M21336" s="4" t="s">
        <v>7</v>
      </c>
      <c r="N21336" s="4" t="s">
        <v>7</v>
      </c>
      <c r="O21336" s="4" t="s">
        <v>15</v>
      </c>
      <c r="P21336" s="4" t="s">
        <v>55</v>
      </c>
      <c r="Q21336" s="4" t="s">
        <v>7</v>
      </c>
      <c r="R21336" s="4" t="s">
        <v>7</v>
      </c>
      <c r="S21336" s="4" t="s">
        <v>7</v>
      </c>
      <c r="T21336" s="4" t="s">
        <v>15</v>
      </c>
      <c r="U21336" s="4" t="s">
        <v>55</v>
      </c>
      <c r="V21336" s="4" t="s">
        <v>7</v>
      </c>
      <c r="W21336" s="4" t="s">
        <v>7</v>
      </c>
    </row>
    <row r="21337" spans="1:8">
      <c r="A21337" t="n">
        <v>208408</v>
      </c>
      <c r="B21337" s="55" t="n">
        <v>26</v>
      </c>
      <c r="C21337" s="7" t="n">
        <v>11</v>
      </c>
      <c r="D21337" s="7" t="n">
        <v>17</v>
      </c>
      <c r="E21337" s="7" t="n">
        <v>64775</v>
      </c>
      <c r="F21337" s="7" t="s">
        <v>1781</v>
      </c>
      <c r="G21337" s="7" t="n">
        <v>2</v>
      </c>
      <c r="H21337" s="7" t="n">
        <v>3</v>
      </c>
      <c r="I21337" s="7" t="n">
        <v>17</v>
      </c>
      <c r="J21337" s="7" t="n">
        <v>64776</v>
      </c>
      <c r="K21337" s="7" t="s">
        <v>1782</v>
      </c>
      <c r="L21337" s="7" t="n">
        <v>2</v>
      </c>
      <c r="M21337" s="7" t="n">
        <v>3</v>
      </c>
      <c r="N21337" s="7" t="n">
        <v>17</v>
      </c>
      <c r="O21337" s="7" t="n">
        <v>64777</v>
      </c>
      <c r="P21337" s="7" t="s">
        <v>1783</v>
      </c>
      <c r="Q21337" s="7" t="n">
        <v>2</v>
      </c>
      <c r="R21337" s="7" t="n">
        <v>3</v>
      </c>
      <c r="S21337" s="7" t="n">
        <v>17</v>
      </c>
      <c r="T21337" s="7" t="n">
        <v>64778</v>
      </c>
      <c r="U21337" s="7" t="s">
        <v>1784</v>
      </c>
      <c r="V21337" s="7" t="n">
        <v>2</v>
      </c>
      <c r="W21337" s="7" t="n">
        <v>0</v>
      </c>
    </row>
    <row r="21338" spans="1:8">
      <c r="A21338" t="s">
        <v>4</v>
      </c>
      <c r="B21338" s="4" t="s">
        <v>5</v>
      </c>
    </row>
    <row r="21339" spans="1:8">
      <c r="A21339" t="n">
        <v>208771</v>
      </c>
      <c r="B21339" s="27" t="n">
        <v>28</v>
      </c>
    </row>
    <row r="21340" spans="1:8">
      <c r="A21340" t="s">
        <v>4</v>
      </c>
      <c r="B21340" s="4" t="s">
        <v>5</v>
      </c>
      <c r="C21340" s="4" t="s">
        <v>7</v>
      </c>
      <c r="D21340" s="4" t="s">
        <v>11</v>
      </c>
      <c r="E21340" s="4" t="s">
        <v>8</v>
      </c>
    </row>
    <row r="21341" spans="1:8">
      <c r="A21341" t="n">
        <v>208772</v>
      </c>
      <c r="B21341" s="38" t="n">
        <v>51</v>
      </c>
      <c r="C21341" s="7" t="n">
        <v>4</v>
      </c>
      <c r="D21341" s="7" t="n">
        <v>0</v>
      </c>
      <c r="E21341" s="7" t="s">
        <v>304</v>
      </c>
    </row>
    <row r="21342" spans="1:8">
      <c r="A21342" t="s">
        <v>4</v>
      </c>
      <c r="B21342" s="4" t="s">
        <v>5</v>
      </c>
      <c r="C21342" s="4" t="s">
        <v>11</v>
      </c>
    </row>
    <row r="21343" spans="1:8">
      <c r="A21343" t="n">
        <v>208785</v>
      </c>
      <c r="B21343" s="29" t="n">
        <v>16</v>
      </c>
      <c r="C21343" s="7" t="n">
        <v>0</v>
      </c>
    </row>
    <row r="21344" spans="1:8">
      <c r="A21344" t="s">
        <v>4</v>
      </c>
      <c r="B21344" s="4" t="s">
        <v>5</v>
      </c>
      <c r="C21344" s="4" t="s">
        <v>11</v>
      </c>
      <c r="D21344" s="4" t="s">
        <v>7</v>
      </c>
      <c r="E21344" s="4" t="s">
        <v>15</v>
      </c>
      <c r="F21344" s="4" t="s">
        <v>55</v>
      </c>
      <c r="G21344" s="4" t="s">
        <v>7</v>
      </c>
      <c r="H21344" s="4" t="s">
        <v>7</v>
      </c>
    </row>
    <row r="21345" spans="1:23">
      <c r="A21345" t="n">
        <v>208788</v>
      </c>
      <c r="B21345" s="55" t="n">
        <v>26</v>
      </c>
      <c r="C21345" s="7" t="n">
        <v>0</v>
      </c>
      <c r="D21345" s="7" t="n">
        <v>17</v>
      </c>
      <c r="E21345" s="7" t="n">
        <v>64779</v>
      </c>
      <c r="F21345" s="7" t="s">
        <v>1785</v>
      </c>
      <c r="G21345" s="7" t="n">
        <v>2</v>
      </c>
      <c r="H21345" s="7" t="n">
        <v>0</v>
      </c>
    </row>
    <row r="21346" spans="1:23">
      <c r="A21346" t="s">
        <v>4</v>
      </c>
      <c r="B21346" s="4" t="s">
        <v>5</v>
      </c>
    </row>
    <row r="21347" spans="1:23">
      <c r="A21347" t="n">
        <v>208810</v>
      </c>
      <c r="B21347" s="27" t="n">
        <v>28</v>
      </c>
    </row>
    <row r="21348" spans="1:23">
      <c r="A21348" t="s">
        <v>4</v>
      </c>
      <c r="B21348" s="4" t="s">
        <v>5</v>
      </c>
      <c r="C21348" s="4" t="s">
        <v>11</v>
      </c>
      <c r="D21348" s="4" t="s">
        <v>7</v>
      </c>
    </row>
    <row r="21349" spans="1:23">
      <c r="A21349" t="n">
        <v>208811</v>
      </c>
      <c r="B21349" s="68" t="n">
        <v>89</v>
      </c>
      <c r="C21349" s="7" t="n">
        <v>65533</v>
      </c>
      <c r="D21349" s="7" t="n">
        <v>1</v>
      </c>
    </row>
    <row r="21350" spans="1:23">
      <c r="A21350" t="s">
        <v>4</v>
      </c>
      <c r="B21350" s="4" t="s">
        <v>5</v>
      </c>
      <c r="C21350" s="4" t="s">
        <v>7</v>
      </c>
      <c r="D21350" s="4" t="s">
        <v>11</v>
      </c>
      <c r="E21350" s="4" t="s">
        <v>11</v>
      </c>
      <c r="F21350" s="4" t="s">
        <v>7</v>
      </c>
    </row>
    <row r="21351" spans="1:23">
      <c r="A21351" t="n">
        <v>208815</v>
      </c>
      <c r="B21351" s="31" t="n">
        <v>25</v>
      </c>
      <c r="C21351" s="7" t="n">
        <v>1</v>
      </c>
      <c r="D21351" s="7" t="n">
        <v>65535</v>
      </c>
      <c r="E21351" s="7" t="n">
        <v>65535</v>
      </c>
      <c r="F21351" s="7" t="n">
        <v>0</v>
      </c>
    </row>
    <row r="21352" spans="1:23">
      <c r="A21352" t="s">
        <v>4</v>
      </c>
      <c r="B21352" s="4" t="s">
        <v>5</v>
      </c>
      <c r="C21352" s="4" t="s">
        <v>7</v>
      </c>
      <c r="D21352" s="4" t="s">
        <v>11</v>
      </c>
      <c r="E21352" s="4" t="s">
        <v>13</v>
      </c>
    </row>
    <row r="21353" spans="1:23">
      <c r="A21353" t="n">
        <v>208822</v>
      </c>
      <c r="B21353" s="23" t="n">
        <v>58</v>
      </c>
      <c r="C21353" s="7" t="n">
        <v>101</v>
      </c>
      <c r="D21353" s="7" t="n">
        <v>800</v>
      </c>
      <c r="E21353" s="7" t="n">
        <v>1</v>
      </c>
    </row>
    <row r="21354" spans="1:23">
      <c r="A21354" t="s">
        <v>4</v>
      </c>
      <c r="B21354" s="4" t="s">
        <v>5</v>
      </c>
      <c r="C21354" s="4" t="s">
        <v>7</v>
      </c>
      <c r="D21354" s="4" t="s">
        <v>11</v>
      </c>
    </row>
    <row r="21355" spans="1:23">
      <c r="A21355" t="n">
        <v>208830</v>
      </c>
      <c r="B21355" s="23" t="n">
        <v>58</v>
      </c>
      <c r="C21355" s="7" t="n">
        <v>254</v>
      </c>
      <c r="D21355" s="7" t="n">
        <v>0</v>
      </c>
    </row>
    <row r="21356" spans="1:23">
      <c r="A21356" t="s">
        <v>4</v>
      </c>
      <c r="B21356" s="4" t="s">
        <v>5</v>
      </c>
      <c r="C21356" s="4" t="s">
        <v>7</v>
      </c>
      <c r="D21356" s="4" t="s">
        <v>7</v>
      </c>
      <c r="E21356" s="4" t="s">
        <v>13</v>
      </c>
      <c r="F21356" s="4" t="s">
        <v>13</v>
      </c>
      <c r="G21356" s="4" t="s">
        <v>13</v>
      </c>
      <c r="H21356" s="4" t="s">
        <v>11</v>
      </c>
    </row>
    <row r="21357" spans="1:23">
      <c r="A21357" t="n">
        <v>208834</v>
      </c>
      <c r="B21357" s="51" t="n">
        <v>45</v>
      </c>
      <c r="C21357" s="7" t="n">
        <v>2</v>
      </c>
      <c r="D21357" s="7" t="n">
        <v>3</v>
      </c>
      <c r="E21357" s="7" t="n">
        <v>1.08000004291534</v>
      </c>
      <c r="F21357" s="7" t="n">
        <v>11.460000038147</v>
      </c>
      <c r="G21357" s="7" t="n">
        <v>30.3500003814697</v>
      </c>
      <c r="H21357" s="7" t="n">
        <v>0</v>
      </c>
    </row>
    <row r="21358" spans="1:23">
      <c r="A21358" t="s">
        <v>4</v>
      </c>
      <c r="B21358" s="4" t="s">
        <v>5</v>
      </c>
      <c r="C21358" s="4" t="s">
        <v>7</v>
      </c>
      <c r="D21358" s="4" t="s">
        <v>7</v>
      </c>
      <c r="E21358" s="4" t="s">
        <v>13</v>
      </c>
      <c r="F21358" s="4" t="s">
        <v>11</v>
      </c>
    </row>
    <row r="21359" spans="1:23">
      <c r="A21359" t="n">
        <v>208851</v>
      </c>
      <c r="B21359" s="51" t="n">
        <v>45</v>
      </c>
      <c r="C21359" s="7" t="n">
        <v>11</v>
      </c>
      <c r="D21359" s="7" t="n">
        <v>3</v>
      </c>
      <c r="E21359" s="7" t="n">
        <v>34</v>
      </c>
      <c r="F21359" s="7" t="n">
        <v>0</v>
      </c>
    </row>
    <row r="21360" spans="1:23">
      <c r="A21360" t="s">
        <v>4</v>
      </c>
      <c r="B21360" s="4" t="s">
        <v>5</v>
      </c>
      <c r="C21360" s="4" t="s">
        <v>7</v>
      </c>
      <c r="D21360" s="4" t="s">
        <v>7</v>
      </c>
      <c r="E21360" s="4" t="s">
        <v>13</v>
      </c>
      <c r="F21360" s="4" t="s">
        <v>11</v>
      </c>
    </row>
    <row r="21361" spans="1:8">
      <c r="A21361" t="n">
        <v>208860</v>
      </c>
      <c r="B21361" s="51" t="n">
        <v>45</v>
      </c>
      <c r="C21361" s="7" t="n">
        <v>5</v>
      </c>
      <c r="D21361" s="7" t="n">
        <v>3</v>
      </c>
      <c r="E21361" s="7" t="n">
        <v>1.25</v>
      </c>
      <c r="F21361" s="7" t="n">
        <v>0</v>
      </c>
    </row>
    <row r="21362" spans="1:8">
      <c r="A21362" t="s">
        <v>4</v>
      </c>
      <c r="B21362" s="4" t="s">
        <v>5</v>
      </c>
      <c r="C21362" s="4" t="s">
        <v>7</v>
      </c>
      <c r="D21362" s="4" t="s">
        <v>7</v>
      </c>
      <c r="E21362" s="4" t="s">
        <v>13</v>
      </c>
      <c r="F21362" s="4" t="s">
        <v>11</v>
      </c>
    </row>
    <row r="21363" spans="1:8">
      <c r="A21363" t="n">
        <v>208869</v>
      </c>
      <c r="B21363" s="51" t="n">
        <v>45</v>
      </c>
      <c r="C21363" s="7" t="n">
        <v>5</v>
      </c>
      <c r="D21363" s="7" t="n">
        <v>3</v>
      </c>
      <c r="E21363" s="7" t="n">
        <v>1.10000002384186</v>
      </c>
      <c r="F21363" s="7" t="n">
        <v>3000</v>
      </c>
    </row>
    <row r="21364" spans="1:8">
      <c r="A21364" t="s">
        <v>4</v>
      </c>
      <c r="B21364" s="4" t="s">
        <v>5</v>
      </c>
      <c r="C21364" s="4" t="s">
        <v>7</v>
      </c>
      <c r="D21364" s="4" t="s">
        <v>7</v>
      </c>
      <c r="E21364" s="4" t="s">
        <v>13</v>
      </c>
      <c r="F21364" s="4" t="s">
        <v>13</v>
      </c>
      <c r="G21364" s="4" t="s">
        <v>13</v>
      </c>
      <c r="H21364" s="4" t="s">
        <v>11</v>
      </c>
      <c r="I21364" s="4" t="s">
        <v>7</v>
      </c>
    </row>
    <row r="21365" spans="1:8">
      <c r="A21365" t="n">
        <v>208878</v>
      </c>
      <c r="B21365" s="51" t="n">
        <v>45</v>
      </c>
      <c r="C21365" s="7" t="n">
        <v>4</v>
      </c>
      <c r="D21365" s="7" t="n">
        <v>3</v>
      </c>
      <c r="E21365" s="7" t="n">
        <v>1.57000005245209</v>
      </c>
      <c r="F21365" s="7" t="n">
        <v>104.459999084473</v>
      </c>
      <c r="G21365" s="7" t="n">
        <v>352</v>
      </c>
      <c r="H21365" s="7" t="n">
        <v>0</v>
      </c>
      <c r="I21365" s="7" t="n">
        <v>0</v>
      </c>
    </row>
    <row r="21366" spans="1:8">
      <c r="A21366" t="s">
        <v>4</v>
      </c>
      <c r="B21366" s="4" t="s">
        <v>5</v>
      </c>
      <c r="C21366" s="4" t="s">
        <v>7</v>
      </c>
      <c r="D21366" s="4" t="s">
        <v>7</v>
      </c>
      <c r="E21366" s="4" t="s">
        <v>13</v>
      </c>
      <c r="F21366" s="4" t="s">
        <v>13</v>
      </c>
      <c r="G21366" s="4" t="s">
        <v>13</v>
      </c>
      <c r="H21366" s="4" t="s">
        <v>11</v>
      </c>
      <c r="I21366" s="4" t="s">
        <v>7</v>
      </c>
    </row>
    <row r="21367" spans="1:8">
      <c r="A21367" t="n">
        <v>208896</v>
      </c>
      <c r="B21367" s="51" t="n">
        <v>45</v>
      </c>
      <c r="C21367" s="7" t="n">
        <v>4</v>
      </c>
      <c r="D21367" s="7" t="n">
        <v>3</v>
      </c>
      <c r="E21367" s="7" t="n">
        <v>0.479999989271164</v>
      </c>
      <c r="F21367" s="7" t="n">
        <v>135.970001220703</v>
      </c>
      <c r="G21367" s="7" t="n">
        <v>352</v>
      </c>
      <c r="H21367" s="7" t="n">
        <v>3000</v>
      </c>
      <c r="I21367" s="7" t="n">
        <v>0</v>
      </c>
    </row>
    <row r="21368" spans="1:8">
      <c r="A21368" t="s">
        <v>4</v>
      </c>
      <c r="B21368" s="4" t="s">
        <v>5</v>
      </c>
      <c r="C21368" s="4" t="s">
        <v>11</v>
      </c>
      <c r="D21368" s="4" t="s">
        <v>7</v>
      </c>
      <c r="E21368" s="4" t="s">
        <v>8</v>
      </c>
      <c r="F21368" s="4" t="s">
        <v>13</v>
      </c>
      <c r="G21368" s="4" t="s">
        <v>13</v>
      </c>
      <c r="H21368" s="4" t="s">
        <v>13</v>
      </c>
    </row>
    <row r="21369" spans="1:8">
      <c r="A21369" t="n">
        <v>208914</v>
      </c>
      <c r="B21369" s="42" t="n">
        <v>48</v>
      </c>
      <c r="C21369" s="7" t="n">
        <v>11</v>
      </c>
      <c r="D21369" s="7" t="n">
        <v>0</v>
      </c>
      <c r="E21369" s="7" t="s">
        <v>1753</v>
      </c>
      <c r="F21369" s="7" t="n">
        <v>0</v>
      </c>
      <c r="G21369" s="7" t="n">
        <v>1</v>
      </c>
      <c r="H21369" s="7" t="n">
        <v>0</v>
      </c>
    </row>
    <row r="21370" spans="1:8">
      <c r="A21370" t="s">
        <v>4</v>
      </c>
      <c r="B21370" s="4" t="s">
        <v>5</v>
      </c>
      <c r="C21370" s="4" t="s">
        <v>11</v>
      </c>
      <c r="D21370" s="4" t="s">
        <v>7</v>
      </c>
      <c r="E21370" s="4" t="s">
        <v>8</v>
      </c>
      <c r="F21370" s="4" t="s">
        <v>13</v>
      </c>
      <c r="G21370" s="4" t="s">
        <v>13</v>
      </c>
      <c r="H21370" s="4" t="s">
        <v>13</v>
      </c>
    </row>
    <row r="21371" spans="1:8">
      <c r="A21371" t="n">
        <v>208940</v>
      </c>
      <c r="B21371" s="42" t="n">
        <v>48</v>
      </c>
      <c r="C21371" s="7" t="n">
        <v>0</v>
      </c>
      <c r="D21371" s="7" t="n">
        <v>0</v>
      </c>
      <c r="E21371" s="7" t="s">
        <v>1753</v>
      </c>
      <c r="F21371" s="7" t="n">
        <v>0</v>
      </c>
      <c r="G21371" s="7" t="n">
        <v>1</v>
      </c>
      <c r="H21371" s="7" t="n">
        <v>0</v>
      </c>
    </row>
    <row r="21372" spans="1:8">
      <c r="A21372" t="s">
        <v>4</v>
      </c>
      <c r="B21372" s="4" t="s">
        <v>5</v>
      </c>
      <c r="C21372" s="4" t="s">
        <v>11</v>
      </c>
      <c r="D21372" s="4" t="s">
        <v>13</v>
      </c>
      <c r="E21372" s="4" t="s">
        <v>13</v>
      </c>
      <c r="F21372" s="4" t="s">
        <v>13</v>
      </c>
      <c r="G21372" s="4" t="s">
        <v>13</v>
      </c>
    </row>
    <row r="21373" spans="1:8">
      <c r="A21373" t="n">
        <v>208966</v>
      </c>
      <c r="B21373" s="36" t="n">
        <v>46</v>
      </c>
      <c r="C21373" s="7" t="n">
        <v>0</v>
      </c>
      <c r="D21373" s="7" t="n">
        <v>1.03999996185303</v>
      </c>
      <c r="E21373" s="7" t="n">
        <v>10.0100002288818</v>
      </c>
      <c r="F21373" s="7" t="n">
        <v>30.3600006103516</v>
      </c>
      <c r="G21373" s="7" t="n">
        <v>131.899993896484</v>
      </c>
    </row>
    <row r="21374" spans="1:8">
      <c r="A21374" t="s">
        <v>4</v>
      </c>
      <c r="B21374" s="4" t="s">
        <v>5</v>
      </c>
      <c r="C21374" s="4" t="s">
        <v>11</v>
      </c>
      <c r="D21374" s="4" t="s">
        <v>13</v>
      </c>
      <c r="E21374" s="4" t="s">
        <v>13</v>
      </c>
      <c r="F21374" s="4" t="s">
        <v>13</v>
      </c>
      <c r="G21374" s="4" t="s">
        <v>13</v>
      </c>
    </row>
    <row r="21375" spans="1:8">
      <c r="A21375" t="n">
        <v>208985</v>
      </c>
      <c r="B21375" s="36" t="n">
        <v>46</v>
      </c>
      <c r="C21375" s="7" t="n">
        <v>11</v>
      </c>
      <c r="D21375" s="7" t="n">
        <v>1.24000000953674</v>
      </c>
      <c r="E21375" s="7" t="n">
        <v>10.0100002288818</v>
      </c>
      <c r="F21375" s="7" t="n">
        <v>30.2000007629395</v>
      </c>
      <c r="G21375" s="7" t="n">
        <v>306.299987792969</v>
      </c>
    </row>
    <row r="21376" spans="1:8">
      <c r="A21376" t="s">
        <v>4</v>
      </c>
      <c r="B21376" s="4" t="s">
        <v>5</v>
      </c>
      <c r="C21376" s="4" t="s">
        <v>7</v>
      </c>
      <c r="D21376" s="4" t="s">
        <v>11</v>
      </c>
      <c r="E21376" s="4" t="s">
        <v>8</v>
      </c>
      <c r="F21376" s="4" t="s">
        <v>8</v>
      </c>
      <c r="G21376" s="4" t="s">
        <v>8</v>
      </c>
      <c r="H21376" s="4" t="s">
        <v>8</v>
      </c>
    </row>
    <row r="21377" spans="1:9">
      <c r="A21377" t="n">
        <v>209004</v>
      </c>
      <c r="B21377" s="38" t="n">
        <v>51</v>
      </c>
      <c r="C21377" s="7" t="n">
        <v>3</v>
      </c>
      <c r="D21377" s="7" t="n">
        <v>11</v>
      </c>
      <c r="E21377" s="7" t="s">
        <v>154</v>
      </c>
      <c r="F21377" s="7" t="s">
        <v>155</v>
      </c>
      <c r="G21377" s="7" t="s">
        <v>78</v>
      </c>
      <c r="H21377" s="7" t="s">
        <v>79</v>
      </c>
    </row>
    <row r="21378" spans="1:9">
      <c r="A21378" t="s">
        <v>4</v>
      </c>
      <c r="B21378" s="4" t="s">
        <v>5</v>
      </c>
      <c r="C21378" s="4" t="s">
        <v>7</v>
      </c>
      <c r="D21378" s="4" t="s">
        <v>11</v>
      </c>
      <c r="E21378" s="4" t="s">
        <v>8</v>
      </c>
      <c r="F21378" s="4" t="s">
        <v>8</v>
      </c>
      <c r="G21378" s="4" t="s">
        <v>8</v>
      </c>
      <c r="H21378" s="4" t="s">
        <v>8</v>
      </c>
    </row>
    <row r="21379" spans="1:9">
      <c r="A21379" t="n">
        <v>209017</v>
      </c>
      <c r="B21379" s="38" t="n">
        <v>51</v>
      </c>
      <c r="C21379" s="7" t="n">
        <v>3</v>
      </c>
      <c r="D21379" s="7" t="n">
        <v>0</v>
      </c>
      <c r="E21379" s="7" t="s">
        <v>319</v>
      </c>
      <c r="F21379" s="7" t="s">
        <v>232</v>
      </c>
      <c r="G21379" s="7" t="s">
        <v>78</v>
      </c>
      <c r="H21379" s="7" t="s">
        <v>79</v>
      </c>
    </row>
    <row r="21380" spans="1:9">
      <c r="A21380" t="s">
        <v>4</v>
      </c>
      <c r="B21380" s="4" t="s">
        <v>5</v>
      </c>
      <c r="C21380" s="4" t="s">
        <v>7</v>
      </c>
      <c r="D21380" s="4" t="s">
        <v>11</v>
      </c>
      <c r="E21380" s="4" t="s">
        <v>13</v>
      </c>
      <c r="F21380" s="4" t="s">
        <v>11</v>
      </c>
      <c r="G21380" s="4" t="s">
        <v>15</v>
      </c>
      <c r="H21380" s="4" t="s">
        <v>15</v>
      </c>
      <c r="I21380" s="4" t="s">
        <v>11</v>
      </c>
      <c r="J21380" s="4" t="s">
        <v>11</v>
      </c>
      <c r="K21380" s="4" t="s">
        <v>15</v>
      </c>
      <c r="L21380" s="4" t="s">
        <v>15</v>
      </c>
      <c r="M21380" s="4" t="s">
        <v>15</v>
      </c>
      <c r="N21380" s="4" t="s">
        <v>15</v>
      </c>
      <c r="O21380" s="4" t="s">
        <v>8</v>
      </c>
    </row>
    <row r="21381" spans="1:9">
      <c r="A21381" t="n">
        <v>209030</v>
      </c>
      <c r="B21381" s="57" t="n">
        <v>50</v>
      </c>
      <c r="C21381" s="7" t="n">
        <v>0</v>
      </c>
      <c r="D21381" s="7" t="n">
        <v>2004</v>
      </c>
      <c r="E21381" s="7" t="n">
        <v>0.5</v>
      </c>
      <c r="F21381" s="7" t="n">
        <v>200</v>
      </c>
      <c r="G21381" s="7" t="n">
        <v>0</v>
      </c>
      <c r="H21381" s="7" t="n">
        <v>1065353216</v>
      </c>
      <c r="I21381" s="7" t="n">
        <v>0</v>
      </c>
      <c r="J21381" s="7" t="n">
        <v>65533</v>
      </c>
      <c r="K21381" s="7" t="n">
        <v>0</v>
      </c>
      <c r="L21381" s="7" t="n">
        <v>0</v>
      </c>
      <c r="M21381" s="7" t="n">
        <v>0</v>
      </c>
      <c r="N21381" s="7" t="n">
        <v>0</v>
      </c>
      <c r="O21381" s="7" t="s">
        <v>16</v>
      </c>
    </row>
    <row r="21382" spans="1:9">
      <c r="A21382" t="s">
        <v>4</v>
      </c>
      <c r="B21382" s="4" t="s">
        <v>5</v>
      </c>
      <c r="C21382" s="4" t="s">
        <v>11</v>
      </c>
    </row>
    <row r="21383" spans="1:9">
      <c r="A21383" t="n">
        <v>209069</v>
      </c>
      <c r="B21383" s="29" t="n">
        <v>16</v>
      </c>
      <c r="C21383" s="7" t="n">
        <v>3500</v>
      </c>
    </row>
    <row r="21384" spans="1:9">
      <c r="A21384" t="s">
        <v>4</v>
      </c>
      <c r="B21384" s="4" t="s">
        <v>5</v>
      </c>
      <c r="C21384" s="4" t="s">
        <v>7</v>
      </c>
      <c r="D21384" s="4" t="s">
        <v>11</v>
      </c>
      <c r="E21384" s="4" t="s">
        <v>13</v>
      </c>
    </row>
    <row r="21385" spans="1:9">
      <c r="A21385" t="n">
        <v>209072</v>
      </c>
      <c r="B21385" s="23" t="n">
        <v>58</v>
      </c>
      <c r="C21385" s="7" t="n">
        <v>101</v>
      </c>
      <c r="D21385" s="7" t="n">
        <v>600</v>
      </c>
      <c r="E21385" s="7" t="n">
        <v>1</v>
      </c>
    </row>
    <row r="21386" spans="1:9">
      <c r="A21386" t="s">
        <v>4</v>
      </c>
      <c r="B21386" s="4" t="s">
        <v>5</v>
      </c>
      <c r="C21386" s="4" t="s">
        <v>7</v>
      </c>
      <c r="D21386" s="4" t="s">
        <v>11</v>
      </c>
    </row>
    <row r="21387" spans="1:9">
      <c r="A21387" t="n">
        <v>209080</v>
      </c>
      <c r="B21387" s="23" t="n">
        <v>58</v>
      </c>
      <c r="C21387" s="7" t="n">
        <v>254</v>
      </c>
      <c r="D21387" s="7" t="n">
        <v>0</v>
      </c>
    </row>
    <row r="21388" spans="1:9">
      <c r="A21388" t="s">
        <v>4</v>
      </c>
      <c r="B21388" s="4" t="s">
        <v>5</v>
      </c>
      <c r="C21388" s="4" t="s">
        <v>7</v>
      </c>
      <c r="D21388" s="4" t="s">
        <v>7</v>
      </c>
      <c r="E21388" s="4" t="s">
        <v>13</v>
      </c>
      <c r="F21388" s="4" t="s">
        <v>13</v>
      </c>
      <c r="G21388" s="4" t="s">
        <v>13</v>
      </c>
      <c r="H21388" s="4" t="s">
        <v>11</v>
      </c>
    </row>
    <row r="21389" spans="1:9">
      <c r="A21389" t="n">
        <v>209084</v>
      </c>
      <c r="B21389" s="51" t="n">
        <v>45</v>
      </c>
      <c r="C21389" s="7" t="n">
        <v>2</v>
      </c>
      <c r="D21389" s="7" t="n">
        <v>3</v>
      </c>
      <c r="E21389" s="7" t="n">
        <v>1.0900000333786</v>
      </c>
      <c r="F21389" s="7" t="n">
        <v>11.4899997711182</v>
      </c>
      <c r="G21389" s="7" t="n">
        <v>30.2999992370605</v>
      </c>
      <c r="H21389" s="7" t="n">
        <v>0</v>
      </c>
    </row>
    <row r="21390" spans="1:9">
      <c r="A21390" t="s">
        <v>4</v>
      </c>
      <c r="B21390" s="4" t="s">
        <v>5</v>
      </c>
      <c r="C21390" s="4" t="s">
        <v>7</v>
      </c>
      <c r="D21390" s="4" t="s">
        <v>7</v>
      </c>
      <c r="E21390" s="4" t="s">
        <v>13</v>
      </c>
      <c r="F21390" s="4" t="s">
        <v>13</v>
      </c>
      <c r="G21390" s="4" t="s">
        <v>13</v>
      </c>
      <c r="H21390" s="4" t="s">
        <v>11</v>
      </c>
      <c r="I21390" s="4" t="s">
        <v>7</v>
      </c>
    </row>
    <row r="21391" spans="1:9">
      <c r="A21391" t="n">
        <v>209101</v>
      </c>
      <c r="B21391" s="51" t="n">
        <v>45</v>
      </c>
      <c r="C21391" s="7" t="n">
        <v>4</v>
      </c>
      <c r="D21391" s="7" t="n">
        <v>3</v>
      </c>
      <c r="E21391" s="7" t="n">
        <v>14.25</v>
      </c>
      <c r="F21391" s="7" t="n">
        <v>305.839996337891</v>
      </c>
      <c r="G21391" s="7" t="n">
        <v>8</v>
      </c>
      <c r="H21391" s="7" t="n">
        <v>0</v>
      </c>
      <c r="I21391" s="7" t="n">
        <v>0</v>
      </c>
    </row>
    <row r="21392" spans="1:9">
      <c r="A21392" t="s">
        <v>4</v>
      </c>
      <c r="B21392" s="4" t="s">
        <v>5</v>
      </c>
      <c r="C21392" s="4" t="s">
        <v>7</v>
      </c>
      <c r="D21392" s="4" t="s">
        <v>7</v>
      </c>
      <c r="E21392" s="4" t="s">
        <v>13</v>
      </c>
      <c r="F21392" s="4" t="s">
        <v>11</v>
      </c>
    </row>
    <row r="21393" spans="1:15">
      <c r="A21393" t="n">
        <v>209119</v>
      </c>
      <c r="B21393" s="51" t="n">
        <v>45</v>
      </c>
      <c r="C21393" s="7" t="n">
        <v>5</v>
      </c>
      <c r="D21393" s="7" t="n">
        <v>3</v>
      </c>
      <c r="E21393" s="7" t="n">
        <v>1</v>
      </c>
      <c r="F21393" s="7" t="n">
        <v>0</v>
      </c>
    </row>
    <row r="21394" spans="1:15">
      <c r="A21394" t="s">
        <v>4</v>
      </c>
      <c r="B21394" s="4" t="s">
        <v>5</v>
      </c>
      <c r="C21394" s="4" t="s">
        <v>7</v>
      </c>
      <c r="D21394" s="4" t="s">
        <v>7</v>
      </c>
      <c r="E21394" s="4" t="s">
        <v>13</v>
      </c>
      <c r="F21394" s="4" t="s">
        <v>11</v>
      </c>
    </row>
    <row r="21395" spans="1:15">
      <c r="A21395" t="n">
        <v>209128</v>
      </c>
      <c r="B21395" s="51" t="n">
        <v>45</v>
      </c>
      <c r="C21395" s="7" t="n">
        <v>11</v>
      </c>
      <c r="D21395" s="7" t="n">
        <v>3</v>
      </c>
      <c r="E21395" s="7" t="n">
        <v>34</v>
      </c>
      <c r="F21395" s="7" t="n">
        <v>0</v>
      </c>
    </row>
    <row r="21396" spans="1:15">
      <c r="A21396" t="s">
        <v>4</v>
      </c>
      <c r="B21396" s="4" t="s">
        <v>5</v>
      </c>
      <c r="C21396" s="4" t="s">
        <v>7</v>
      </c>
      <c r="D21396" s="4" t="s">
        <v>7</v>
      </c>
      <c r="E21396" s="4" t="s">
        <v>13</v>
      </c>
      <c r="F21396" s="4" t="s">
        <v>13</v>
      </c>
      <c r="G21396" s="4" t="s">
        <v>13</v>
      </c>
      <c r="H21396" s="4" t="s">
        <v>11</v>
      </c>
      <c r="I21396" s="4" t="s">
        <v>7</v>
      </c>
    </row>
    <row r="21397" spans="1:15">
      <c r="A21397" t="n">
        <v>209137</v>
      </c>
      <c r="B21397" s="51" t="n">
        <v>45</v>
      </c>
      <c r="C21397" s="7" t="n">
        <v>4</v>
      </c>
      <c r="D21397" s="7" t="n">
        <v>3</v>
      </c>
      <c r="E21397" s="7" t="n">
        <v>3.25999999046326</v>
      </c>
      <c r="F21397" s="7" t="n">
        <v>260.25</v>
      </c>
      <c r="G21397" s="7" t="n">
        <v>8</v>
      </c>
      <c r="H21397" s="7" t="n">
        <v>60000</v>
      </c>
      <c r="I21397" s="7" t="n">
        <v>0</v>
      </c>
    </row>
    <row r="21398" spans="1:15">
      <c r="A21398" t="s">
        <v>4</v>
      </c>
      <c r="B21398" s="4" t="s">
        <v>5</v>
      </c>
      <c r="C21398" s="4" t="s">
        <v>11</v>
      </c>
    </row>
    <row r="21399" spans="1:15">
      <c r="A21399" t="n">
        <v>209155</v>
      </c>
      <c r="B21399" s="29" t="n">
        <v>16</v>
      </c>
      <c r="C21399" s="7" t="n">
        <v>200</v>
      </c>
    </row>
    <row r="21400" spans="1:15">
      <c r="A21400" t="s">
        <v>4</v>
      </c>
      <c r="B21400" s="4" t="s">
        <v>5</v>
      </c>
      <c r="C21400" s="4" t="s">
        <v>7</v>
      </c>
      <c r="D21400" s="4" t="s">
        <v>11</v>
      </c>
      <c r="E21400" s="4" t="s">
        <v>8</v>
      </c>
      <c r="F21400" s="4" t="s">
        <v>8</v>
      </c>
      <c r="G21400" s="4" t="s">
        <v>8</v>
      </c>
      <c r="H21400" s="4" t="s">
        <v>8</v>
      </c>
    </row>
    <row r="21401" spans="1:15">
      <c r="A21401" t="n">
        <v>209158</v>
      </c>
      <c r="B21401" s="38" t="n">
        <v>51</v>
      </c>
      <c r="C21401" s="7" t="n">
        <v>3</v>
      </c>
      <c r="D21401" s="7" t="n">
        <v>11</v>
      </c>
      <c r="E21401" s="7" t="s">
        <v>154</v>
      </c>
      <c r="F21401" s="7" t="s">
        <v>155</v>
      </c>
      <c r="G21401" s="7" t="s">
        <v>67</v>
      </c>
      <c r="H21401" s="7" t="s">
        <v>68</v>
      </c>
    </row>
    <row r="21402" spans="1:15">
      <c r="A21402" t="s">
        <v>4</v>
      </c>
      <c r="B21402" s="4" t="s">
        <v>5</v>
      </c>
      <c r="C21402" s="4" t="s">
        <v>11</v>
      </c>
      <c r="D21402" s="4" t="s">
        <v>7</v>
      </c>
      <c r="E21402" s="4" t="s">
        <v>13</v>
      </c>
      <c r="F21402" s="4" t="s">
        <v>11</v>
      </c>
    </row>
    <row r="21403" spans="1:15">
      <c r="A21403" t="n">
        <v>209170</v>
      </c>
      <c r="B21403" s="56" t="n">
        <v>59</v>
      </c>
      <c r="C21403" s="7" t="n">
        <v>11</v>
      </c>
      <c r="D21403" s="7" t="n">
        <v>1</v>
      </c>
      <c r="E21403" s="7" t="n">
        <v>0.150000005960464</v>
      </c>
      <c r="F21403" s="7" t="n">
        <v>0</v>
      </c>
    </row>
    <row r="21404" spans="1:15">
      <c r="A21404" t="s">
        <v>4</v>
      </c>
      <c r="B21404" s="4" t="s">
        <v>5</v>
      </c>
      <c r="C21404" s="4" t="s">
        <v>11</v>
      </c>
    </row>
    <row r="21405" spans="1:15">
      <c r="A21405" t="n">
        <v>209180</v>
      </c>
      <c r="B21405" s="29" t="n">
        <v>16</v>
      </c>
      <c r="C21405" s="7" t="n">
        <v>1000</v>
      </c>
    </row>
    <row r="21406" spans="1:15">
      <c r="A21406" t="s">
        <v>4</v>
      </c>
      <c r="B21406" s="4" t="s">
        <v>5</v>
      </c>
      <c r="C21406" s="4" t="s">
        <v>7</v>
      </c>
      <c r="D21406" s="4" t="s">
        <v>11</v>
      </c>
      <c r="E21406" s="4" t="s">
        <v>8</v>
      </c>
      <c r="F21406" s="4" t="s">
        <v>8</v>
      </c>
      <c r="G21406" s="4" t="s">
        <v>8</v>
      </c>
      <c r="H21406" s="4" t="s">
        <v>8</v>
      </c>
    </row>
    <row r="21407" spans="1:15">
      <c r="A21407" t="n">
        <v>209183</v>
      </c>
      <c r="B21407" s="38" t="n">
        <v>51</v>
      </c>
      <c r="C21407" s="7" t="n">
        <v>3</v>
      </c>
      <c r="D21407" s="7" t="n">
        <v>11</v>
      </c>
      <c r="E21407" s="7" t="s">
        <v>99</v>
      </c>
      <c r="F21407" s="7" t="s">
        <v>218</v>
      </c>
      <c r="G21407" s="7" t="s">
        <v>67</v>
      </c>
      <c r="H21407" s="7" t="s">
        <v>68</v>
      </c>
    </row>
    <row r="21408" spans="1:15">
      <c r="A21408" t="s">
        <v>4</v>
      </c>
      <c r="B21408" s="4" t="s">
        <v>5</v>
      </c>
      <c r="C21408" s="4" t="s">
        <v>11</v>
      </c>
      <c r="D21408" s="4" t="s">
        <v>7</v>
      </c>
      <c r="E21408" s="4" t="s">
        <v>13</v>
      </c>
      <c r="F21408" s="4" t="s">
        <v>11</v>
      </c>
    </row>
    <row r="21409" spans="1:9">
      <c r="A21409" t="n">
        <v>209195</v>
      </c>
      <c r="B21409" s="56" t="n">
        <v>59</v>
      </c>
      <c r="C21409" s="7" t="n">
        <v>11</v>
      </c>
      <c r="D21409" s="7" t="n">
        <v>15</v>
      </c>
      <c r="E21409" s="7" t="n">
        <v>0.150000005960464</v>
      </c>
      <c r="F21409" s="7" t="n">
        <v>0</v>
      </c>
    </row>
    <row r="21410" spans="1:9">
      <c r="A21410" t="s">
        <v>4</v>
      </c>
      <c r="B21410" s="4" t="s">
        <v>5</v>
      </c>
      <c r="C21410" s="4" t="s">
        <v>11</v>
      </c>
      <c r="D21410" s="4" t="s">
        <v>13</v>
      </c>
      <c r="E21410" s="4" t="s">
        <v>13</v>
      </c>
      <c r="F21410" s="4" t="s">
        <v>13</v>
      </c>
      <c r="G21410" s="4" t="s">
        <v>11</v>
      </c>
      <c r="H21410" s="4" t="s">
        <v>11</v>
      </c>
    </row>
    <row r="21411" spans="1:9">
      <c r="A21411" t="n">
        <v>209205</v>
      </c>
      <c r="B21411" s="37" t="n">
        <v>60</v>
      </c>
      <c r="C21411" s="7" t="n">
        <v>11</v>
      </c>
      <c r="D21411" s="7" t="n">
        <v>25</v>
      </c>
      <c r="E21411" s="7" t="n">
        <v>25</v>
      </c>
      <c r="F21411" s="7" t="n">
        <v>0</v>
      </c>
      <c r="G21411" s="7" t="n">
        <v>800</v>
      </c>
      <c r="H21411" s="7" t="n">
        <v>0</v>
      </c>
    </row>
    <row r="21412" spans="1:9">
      <c r="A21412" t="s">
        <v>4</v>
      </c>
      <c r="B21412" s="4" t="s">
        <v>5</v>
      </c>
      <c r="C21412" s="4" t="s">
        <v>11</v>
      </c>
    </row>
    <row r="21413" spans="1:9">
      <c r="A21413" t="n">
        <v>209224</v>
      </c>
      <c r="B21413" s="29" t="n">
        <v>16</v>
      </c>
      <c r="C21413" s="7" t="n">
        <v>1000</v>
      </c>
    </row>
    <row r="21414" spans="1:9">
      <c r="A21414" t="s">
        <v>4</v>
      </c>
      <c r="B21414" s="4" t="s">
        <v>5</v>
      </c>
      <c r="C21414" s="4" t="s">
        <v>7</v>
      </c>
      <c r="D21414" s="4" t="s">
        <v>11</v>
      </c>
      <c r="E21414" s="4" t="s">
        <v>8</v>
      </c>
    </row>
    <row r="21415" spans="1:9">
      <c r="A21415" t="n">
        <v>209227</v>
      </c>
      <c r="B21415" s="38" t="n">
        <v>51</v>
      </c>
      <c r="C21415" s="7" t="n">
        <v>4</v>
      </c>
      <c r="D21415" s="7" t="n">
        <v>11</v>
      </c>
      <c r="E21415" s="7" t="s">
        <v>1786</v>
      </c>
    </row>
    <row r="21416" spans="1:9">
      <c r="A21416" t="s">
        <v>4</v>
      </c>
      <c r="B21416" s="4" t="s">
        <v>5</v>
      </c>
      <c r="C21416" s="4" t="s">
        <v>11</v>
      </c>
    </row>
    <row r="21417" spans="1:9">
      <c r="A21417" t="n">
        <v>209246</v>
      </c>
      <c r="B21417" s="29" t="n">
        <v>16</v>
      </c>
      <c r="C21417" s="7" t="n">
        <v>0</v>
      </c>
    </row>
    <row r="21418" spans="1:9">
      <c r="A21418" t="s">
        <v>4</v>
      </c>
      <c r="B21418" s="4" t="s">
        <v>5</v>
      </c>
      <c r="C21418" s="4" t="s">
        <v>11</v>
      </c>
      <c r="D21418" s="4" t="s">
        <v>7</v>
      </c>
      <c r="E21418" s="4" t="s">
        <v>15</v>
      </c>
      <c r="F21418" s="4" t="s">
        <v>55</v>
      </c>
      <c r="G21418" s="4" t="s">
        <v>7</v>
      </c>
      <c r="H21418" s="4" t="s">
        <v>7</v>
      </c>
      <c r="I21418" s="4" t="s">
        <v>7</v>
      </c>
      <c r="J21418" s="4" t="s">
        <v>15</v>
      </c>
      <c r="K21418" s="4" t="s">
        <v>55</v>
      </c>
      <c r="L21418" s="4" t="s">
        <v>7</v>
      </c>
      <c r="M21418" s="4" t="s">
        <v>7</v>
      </c>
    </row>
    <row r="21419" spans="1:9">
      <c r="A21419" t="n">
        <v>209249</v>
      </c>
      <c r="B21419" s="55" t="n">
        <v>26</v>
      </c>
      <c r="C21419" s="7" t="n">
        <v>11</v>
      </c>
      <c r="D21419" s="7" t="n">
        <v>17</v>
      </c>
      <c r="E21419" s="7" t="n">
        <v>64780</v>
      </c>
      <c r="F21419" s="7" t="s">
        <v>1787</v>
      </c>
      <c r="G21419" s="7" t="n">
        <v>2</v>
      </c>
      <c r="H21419" s="7" t="n">
        <v>3</v>
      </c>
      <c r="I21419" s="7" t="n">
        <v>17</v>
      </c>
      <c r="J21419" s="7" t="n">
        <v>64781</v>
      </c>
      <c r="K21419" s="7" t="s">
        <v>1788</v>
      </c>
      <c r="L21419" s="7" t="n">
        <v>2</v>
      </c>
      <c r="M21419" s="7" t="n">
        <v>0</v>
      </c>
    </row>
    <row r="21420" spans="1:9">
      <c r="A21420" t="s">
        <v>4</v>
      </c>
      <c r="B21420" s="4" t="s">
        <v>5</v>
      </c>
    </row>
    <row r="21421" spans="1:9">
      <c r="A21421" t="n">
        <v>209400</v>
      </c>
      <c r="B21421" s="27" t="n">
        <v>28</v>
      </c>
    </row>
    <row r="21422" spans="1:9">
      <c r="A21422" t="s">
        <v>4</v>
      </c>
      <c r="B21422" s="4" t="s">
        <v>5</v>
      </c>
      <c r="C21422" s="4" t="s">
        <v>7</v>
      </c>
      <c r="D21422" s="4" t="s">
        <v>11</v>
      </c>
      <c r="E21422" s="4" t="s">
        <v>8</v>
      </c>
    </row>
    <row r="21423" spans="1:9">
      <c r="A21423" t="n">
        <v>209401</v>
      </c>
      <c r="B21423" s="38" t="n">
        <v>51</v>
      </c>
      <c r="C21423" s="7" t="n">
        <v>4</v>
      </c>
      <c r="D21423" s="7" t="n">
        <v>0</v>
      </c>
      <c r="E21423" s="7" t="s">
        <v>1248</v>
      </c>
    </row>
    <row r="21424" spans="1:9">
      <c r="A21424" t="s">
        <v>4</v>
      </c>
      <c r="B21424" s="4" t="s">
        <v>5</v>
      </c>
      <c r="C21424" s="4" t="s">
        <v>11</v>
      </c>
    </row>
    <row r="21425" spans="1:13">
      <c r="A21425" t="n">
        <v>209415</v>
      </c>
      <c r="B21425" s="29" t="n">
        <v>16</v>
      </c>
      <c r="C21425" s="7" t="n">
        <v>0</v>
      </c>
    </row>
    <row r="21426" spans="1:13">
      <c r="A21426" t="s">
        <v>4</v>
      </c>
      <c r="B21426" s="4" t="s">
        <v>5</v>
      </c>
      <c r="C21426" s="4" t="s">
        <v>11</v>
      </c>
      <c r="D21426" s="4" t="s">
        <v>7</v>
      </c>
      <c r="E21426" s="4" t="s">
        <v>15</v>
      </c>
      <c r="F21426" s="4" t="s">
        <v>55</v>
      </c>
      <c r="G21426" s="4" t="s">
        <v>7</v>
      </c>
      <c r="H21426" s="4" t="s">
        <v>7</v>
      </c>
      <c r="I21426" s="4" t="s">
        <v>7</v>
      </c>
      <c r="J21426" s="4" t="s">
        <v>15</v>
      </c>
      <c r="K21426" s="4" t="s">
        <v>55</v>
      </c>
      <c r="L21426" s="4" t="s">
        <v>7</v>
      </c>
      <c r="M21426" s="4" t="s">
        <v>7</v>
      </c>
      <c r="N21426" s="4" t="s">
        <v>7</v>
      </c>
      <c r="O21426" s="4" t="s">
        <v>15</v>
      </c>
      <c r="P21426" s="4" t="s">
        <v>55</v>
      </c>
      <c r="Q21426" s="4" t="s">
        <v>7</v>
      </c>
      <c r="R21426" s="4" t="s">
        <v>7</v>
      </c>
    </row>
    <row r="21427" spans="1:13">
      <c r="A21427" t="n">
        <v>209418</v>
      </c>
      <c r="B21427" s="55" t="n">
        <v>26</v>
      </c>
      <c r="C21427" s="7" t="n">
        <v>0</v>
      </c>
      <c r="D21427" s="7" t="n">
        <v>17</v>
      </c>
      <c r="E21427" s="7" t="n">
        <v>64782</v>
      </c>
      <c r="F21427" s="7" t="s">
        <v>1789</v>
      </c>
      <c r="G21427" s="7" t="n">
        <v>2</v>
      </c>
      <c r="H21427" s="7" t="n">
        <v>3</v>
      </c>
      <c r="I21427" s="7" t="n">
        <v>17</v>
      </c>
      <c r="J21427" s="7" t="n">
        <v>64783</v>
      </c>
      <c r="K21427" s="7" t="s">
        <v>1790</v>
      </c>
      <c r="L21427" s="7" t="n">
        <v>2</v>
      </c>
      <c r="M21427" s="7" t="n">
        <v>3</v>
      </c>
      <c r="N21427" s="7" t="n">
        <v>17</v>
      </c>
      <c r="O21427" s="7" t="n">
        <v>64784</v>
      </c>
      <c r="P21427" s="7" t="s">
        <v>1791</v>
      </c>
      <c r="Q21427" s="7" t="n">
        <v>2</v>
      </c>
      <c r="R21427" s="7" t="n">
        <v>0</v>
      </c>
    </row>
    <row r="21428" spans="1:13">
      <c r="A21428" t="s">
        <v>4</v>
      </c>
      <c r="B21428" s="4" t="s">
        <v>5</v>
      </c>
    </row>
    <row r="21429" spans="1:13">
      <c r="A21429" t="n">
        <v>209654</v>
      </c>
      <c r="B21429" s="27" t="n">
        <v>28</v>
      </c>
    </row>
    <row r="21430" spans="1:13">
      <c r="A21430" t="s">
        <v>4</v>
      </c>
      <c r="B21430" s="4" t="s">
        <v>5</v>
      </c>
      <c r="C21430" s="4" t="s">
        <v>7</v>
      </c>
      <c r="D21430" s="4" t="s">
        <v>11</v>
      </c>
      <c r="E21430" s="4" t="s">
        <v>11</v>
      </c>
      <c r="F21430" s="4" t="s">
        <v>7</v>
      </c>
    </row>
    <row r="21431" spans="1:13">
      <c r="A21431" t="n">
        <v>209655</v>
      </c>
      <c r="B21431" s="31" t="n">
        <v>25</v>
      </c>
      <c r="C21431" s="7" t="n">
        <v>1</v>
      </c>
      <c r="D21431" s="7" t="n">
        <v>65535</v>
      </c>
      <c r="E21431" s="7" t="n">
        <v>65535</v>
      </c>
      <c r="F21431" s="7" t="n">
        <v>0</v>
      </c>
    </row>
    <row r="21432" spans="1:13">
      <c r="A21432" t="s">
        <v>4</v>
      </c>
      <c r="B21432" s="4" t="s">
        <v>5</v>
      </c>
      <c r="C21432" s="4" t="s">
        <v>11</v>
      </c>
      <c r="D21432" s="4" t="s">
        <v>7</v>
      </c>
      <c r="E21432" s="4" t="s">
        <v>13</v>
      </c>
      <c r="F21432" s="4" t="s">
        <v>11</v>
      </c>
    </row>
    <row r="21433" spans="1:13">
      <c r="A21433" t="n">
        <v>209662</v>
      </c>
      <c r="B21433" s="56" t="n">
        <v>59</v>
      </c>
      <c r="C21433" s="7" t="n">
        <v>11</v>
      </c>
      <c r="D21433" s="7" t="n">
        <v>255</v>
      </c>
      <c r="E21433" s="7" t="n">
        <v>0</v>
      </c>
      <c r="F21433" s="7" t="n">
        <v>0</v>
      </c>
    </row>
    <row r="21434" spans="1:13">
      <c r="A21434" t="s">
        <v>4</v>
      </c>
      <c r="B21434" s="4" t="s">
        <v>5</v>
      </c>
      <c r="C21434" s="4" t="s">
        <v>7</v>
      </c>
      <c r="D21434" s="4" t="s">
        <v>11</v>
      </c>
      <c r="E21434" s="4" t="s">
        <v>8</v>
      </c>
      <c r="F21434" s="4" t="s">
        <v>8</v>
      </c>
      <c r="G21434" s="4" t="s">
        <v>8</v>
      </c>
      <c r="H21434" s="4" t="s">
        <v>8</v>
      </c>
    </row>
    <row r="21435" spans="1:13">
      <c r="A21435" t="n">
        <v>209672</v>
      </c>
      <c r="B21435" s="38" t="n">
        <v>51</v>
      </c>
      <c r="C21435" s="7" t="n">
        <v>3</v>
      </c>
      <c r="D21435" s="7" t="n">
        <v>11</v>
      </c>
      <c r="E21435" s="7" t="s">
        <v>99</v>
      </c>
      <c r="F21435" s="7" t="s">
        <v>218</v>
      </c>
      <c r="G21435" s="7" t="s">
        <v>16</v>
      </c>
      <c r="H21435" s="7" t="s">
        <v>68</v>
      </c>
    </row>
    <row r="21436" spans="1:13">
      <c r="A21436" t="s">
        <v>4</v>
      </c>
      <c r="B21436" s="4" t="s">
        <v>5</v>
      </c>
      <c r="C21436" s="4" t="s">
        <v>11</v>
      </c>
      <c r="D21436" s="4" t="s">
        <v>13</v>
      </c>
      <c r="E21436" s="4" t="s">
        <v>13</v>
      </c>
      <c r="F21436" s="4" t="s">
        <v>13</v>
      </c>
      <c r="G21436" s="4" t="s">
        <v>11</v>
      </c>
      <c r="H21436" s="4" t="s">
        <v>11</v>
      </c>
    </row>
    <row r="21437" spans="1:13">
      <c r="A21437" t="n">
        <v>209683</v>
      </c>
      <c r="B21437" s="37" t="n">
        <v>60</v>
      </c>
      <c r="C21437" s="7" t="n">
        <v>11</v>
      </c>
      <c r="D21437" s="7" t="n">
        <v>20</v>
      </c>
      <c r="E21437" s="7" t="n">
        <v>20</v>
      </c>
      <c r="F21437" s="7" t="n">
        <v>0</v>
      </c>
      <c r="G21437" s="7" t="n">
        <v>800</v>
      </c>
      <c r="H21437" s="7" t="n">
        <v>0</v>
      </c>
    </row>
    <row r="21438" spans="1:13">
      <c r="A21438" t="s">
        <v>4</v>
      </c>
      <c r="B21438" s="4" t="s">
        <v>5</v>
      </c>
      <c r="C21438" s="4" t="s">
        <v>11</v>
      </c>
    </row>
    <row r="21439" spans="1:13">
      <c r="A21439" t="n">
        <v>209702</v>
      </c>
      <c r="B21439" s="29" t="n">
        <v>16</v>
      </c>
      <c r="C21439" s="7" t="n">
        <v>500</v>
      </c>
    </row>
    <row r="21440" spans="1:13">
      <c r="A21440" t="s">
        <v>4</v>
      </c>
      <c r="B21440" s="4" t="s">
        <v>5</v>
      </c>
      <c r="C21440" s="4" t="s">
        <v>7</v>
      </c>
      <c r="D21440" s="4" t="s">
        <v>11</v>
      </c>
      <c r="E21440" s="4" t="s">
        <v>8</v>
      </c>
    </row>
    <row r="21441" spans="1:18">
      <c r="A21441" t="n">
        <v>209705</v>
      </c>
      <c r="B21441" s="38" t="n">
        <v>51</v>
      </c>
      <c r="C21441" s="7" t="n">
        <v>4</v>
      </c>
      <c r="D21441" s="7" t="n">
        <v>11</v>
      </c>
      <c r="E21441" s="7" t="s">
        <v>1786</v>
      </c>
    </row>
    <row r="21442" spans="1:18">
      <c r="A21442" t="s">
        <v>4</v>
      </c>
      <c r="B21442" s="4" t="s">
        <v>5</v>
      </c>
      <c r="C21442" s="4" t="s">
        <v>11</v>
      </c>
    </row>
    <row r="21443" spans="1:18">
      <c r="A21443" t="n">
        <v>209724</v>
      </c>
      <c r="B21443" s="29" t="n">
        <v>16</v>
      </c>
      <c r="C21443" s="7" t="n">
        <v>0</v>
      </c>
    </row>
    <row r="21444" spans="1:18">
      <c r="A21444" t="s">
        <v>4</v>
      </c>
      <c r="B21444" s="4" t="s">
        <v>5</v>
      </c>
      <c r="C21444" s="4" t="s">
        <v>11</v>
      </c>
      <c r="D21444" s="4" t="s">
        <v>7</v>
      </c>
      <c r="E21444" s="4" t="s">
        <v>15</v>
      </c>
      <c r="F21444" s="4" t="s">
        <v>55</v>
      </c>
      <c r="G21444" s="4" t="s">
        <v>7</v>
      </c>
      <c r="H21444" s="4" t="s">
        <v>7</v>
      </c>
    </row>
    <row r="21445" spans="1:18">
      <c r="A21445" t="n">
        <v>209727</v>
      </c>
      <c r="B21445" s="55" t="n">
        <v>26</v>
      </c>
      <c r="C21445" s="7" t="n">
        <v>11</v>
      </c>
      <c r="D21445" s="7" t="n">
        <v>17</v>
      </c>
      <c r="E21445" s="7" t="n">
        <v>64785</v>
      </c>
      <c r="F21445" s="7" t="s">
        <v>1792</v>
      </c>
      <c r="G21445" s="7" t="n">
        <v>2</v>
      </c>
      <c r="H21445" s="7" t="n">
        <v>0</v>
      </c>
    </row>
    <row r="21446" spans="1:18">
      <c r="A21446" t="s">
        <v>4</v>
      </c>
      <c r="B21446" s="4" t="s">
        <v>5</v>
      </c>
    </row>
    <row r="21447" spans="1:18">
      <c r="A21447" t="n">
        <v>209772</v>
      </c>
      <c r="B21447" s="27" t="n">
        <v>28</v>
      </c>
    </row>
    <row r="21448" spans="1:18">
      <c r="A21448" t="s">
        <v>4</v>
      </c>
      <c r="B21448" s="4" t="s">
        <v>5</v>
      </c>
      <c r="C21448" s="4" t="s">
        <v>7</v>
      </c>
      <c r="D21448" s="4" t="s">
        <v>11</v>
      </c>
      <c r="E21448" s="4" t="s">
        <v>8</v>
      </c>
      <c r="F21448" s="4" t="s">
        <v>8</v>
      </c>
      <c r="G21448" s="4" t="s">
        <v>8</v>
      </c>
      <c r="H21448" s="4" t="s">
        <v>8</v>
      </c>
    </row>
    <row r="21449" spans="1:18">
      <c r="A21449" t="n">
        <v>209773</v>
      </c>
      <c r="B21449" s="38" t="n">
        <v>51</v>
      </c>
      <c r="C21449" s="7" t="n">
        <v>3</v>
      </c>
      <c r="D21449" s="7" t="n">
        <v>11</v>
      </c>
      <c r="E21449" s="7" t="s">
        <v>319</v>
      </c>
      <c r="F21449" s="7" t="s">
        <v>218</v>
      </c>
      <c r="G21449" s="7" t="s">
        <v>67</v>
      </c>
      <c r="H21449" s="7" t="s">
        <v>68</v>
      </c>
    </row>
    <row r="21450" spans="1:18">
      <c r="A21450" t="s">
        <v>4</v>
      </c>
      <c r="B21450" s="4" t="s">
        <v>5</v>
      </c>
      <c r="C21450" s="4" t="s">
        <v>11</v>
      </c>
    </row>
    <row r="21451" spans="1:18">
      <c r="A21451" t="n">
        <v>209785</v>
      </c>
      <c r="B21451" s="29" t="n">
        <v>16</v>
      </c>
      <c r="C21451" s="7" t="n">
        <v>1300</v>
      </c>
    </row>
    <row r="21452" spans="1:18">
      <c r="A21452" t="s">
        <v>4</v>
      </c>
      <c r="B21452" s="4" t="s">
        <v>5</v>
      </c>
      <c r="C21452" s="4" t="s">
        <v>11</v>
      </c>
      <c r="D21452" s="4" t="s">
        <v>13</v>
      </c>
      <c r="E21452" s="4" t="s">
        <v>13</v>
      </c>
      <c r="F21452" s="4" t="s">
        <v>13</v>
      </c>
      <c r="G21452" s="4" t="s">
        <v>11</v>
      </c>
      <c r="H21452" s="4" t="s">
        <v>11</v>
      </c>
    </row>
    <row r="21453" spans="1:18">
      <c r="A21453" t="n">
        <v>209788</v>
      </c>
      <c r="B21453" s="37" t="n">
        <v>60</v>
      </c>
      <c r="C21453" s="7" t="n">
        <v>11</v>
      </c>
      <c r="D21453" s="7" t="n">
        <v>20</v>
      </c>
      <c r="E21453" s="7" t="n">
        <v>10</v>
      </c>
      <c r="F21453" s="7" t="n">
        <v>0</v>
      </c>
      <c r="G21453" s="7" t="n">
        <v>800</v>
      </c>
      <c r="H21453" s="7" t="n">
        <v>0</v>
      </c>
    </row>
    <row r="21454" spans="1:18">
      <c r="A21454" t="s">
        <v>4</v>
      </c>
      <c r="B21454" s="4" t="s">
        <v>5</v>
      </c>
      <c r="C21454" s="4" t="s">
        <v>11</v>
      </c>
    </row>
    <row r="21455" spans="1:18">
      <c r="A21455" t="n">
        <v>209807</v>
      </c>
      <c r="B21455" s="29" t="n">
        <v>16</v>
      </c>
      <c r="C21455" s="7" t="n">
        <v>500</v>
      </c>
    </row>
    <row r="21456" spans="1:18">
      <c r="A21456" t="s">
        <v>4</v>
      </c>
      <c r="B21456" s="4" t="s">
        <v>5</v>
      </c>
      <c r="C21456" s="4" t="s">
        <v>7</v>
      </c>
      <c r="D21456" s="4" t="s">
        <v>11</v>
      </c>
      <c r="E21456" s="4" t="s">
        <v>8</v>
      </c>
    </row>
    <row r="21457" spans="1:8">
      <c r="A21457" t="n">
        <v>209810</v>
      </c>
      <c r="B21457" s="38" t="n">
        <v>51</v>
      </c>
      <c r="C21457" s="7" t="n">
        <v>4</v>
      </c>
      <c r="D21457" s="7" t="n">
        <v>11</v>
      </c>
      <c r="E21457" s="7" t="s">
        <v>1793</v>
      </c>
    </row>
    <row r="21458" spans="1:8">
      <c r="A21458" t="s">
        <v>4</v>
      </c>
      <c r="B21458" s="4" t="s">
        <v>5</v>
      </c>
      <c r="C21458" s="4" t="s">
        <v>11</v>
      </c>
    </row>
    <row r="21459" spans="1:8">
      <c r="A21459" t="n">
        <v>209829</v>
      </c>
      <c r="B21459" s="29" t="n">
        <v>16</v>
      </c>
      <c r="C21459" s="7" t="n">
        <v>0</v>
      </c>
    </row>
    <row r="21460" spans="1:8">
      <c r="A21460" t="s">
        <v>4</v>
      </c>
      <c r="B21460" s="4" t="s">
        <v>5</v>
      </c>
      <c r="C21460" s="4" t="s">
        <v>11</v>
      </c>
      <c r="D21460" s="4" t="s">
        <v>7</v>
      </c>
      <c r="E21460" s="4" t="s">
        <v>15</v>
      </c>
      <c r="F21460" s="4" t="s">
        <v>55</v>
      </c>
      <c r="G21460" s="4" t="s">
        <v>7</v>
      </c>
      <c r="H21460" s="4" t="s">
        <v>7</v>
      </c>
    </row>
    <row r="21461" spans="1:8">
      <c r="A21461" t="n">
        <v>209832</v>
      </c>
      <c r="B21461" s="55" t="n">
        <v>26</v>
      </c>
      <c r="C21461" s="7" t="n">
        <v>11</v>
      </c>
      <c r="D21461" s="7" t="n">
        <v>17</v>
      </c>
      <c r="E21461" s="7" t="n">
        <v>64786</v>
      </c>
      <c r="F21461" s="7" t="s">
        <v>1794</v>
      </c>
      <c r="G21461" s="7" t="n">
        <v>2</v>
      </c>
      <c r="H21461" s="7" t="n">
        <v>0</v>
      </c>
    </row>
    <row r="21462" spans="1:8">
      <c r="A21462" t="s">
        <v>4</v>
      </c>
      <c r="B21462" s="4" t="s">
        <v>5</v>
      </c>
    </row>
    <row r="21463" spans="1:8">
      <c r="A21463" t="n">
        <v>209905</v>
      </c>
      <c r="B21463" s="27" t="n">
        <v>28</v>
      </c>
    </row>
    <row r="21464" spans="1:8">
      <c r="A21464" t="s">
        <v>4</v>
      </c>
      <c r="B21464" s="4" t="s">
        <v>5</v>
      </c>
      <c r="C21464" s="4" t="s">
        <v>11</v>
      </c>
      <c r="D21464" s="4" t="s">
        <v>7</v>
      </c>
    </row>
    <row r="21465" spans="1:8">
      <c r="A21465" t="n">
        <v>209906</v>
      </c>
      <c r="B21465" s="68" t="n">
        <v>89</v>
      </c>
      <c r="C21465" s="7" t="n">
        <v>65533</v>
      </c>
      <c r="D21465" s="7" t="n">
        <v>1</v>
      </c>
    </row>
    <row r="21466" spans="1:8">
      <c r="A21466" t="s">
        <v>4</v>
      </c>
      <c r="B21466" s="4" t="s">
        <v>5</v>
      </c>
      <c r="C21466" s="4" t="s">
        <v>7</v>
      </c>
      <c r="D21466" s="4" t="s">
        <v>11</v>
      </c>
      <c r="E21466" s="4" t="s">
        <v>13</v>
      </c>
    </row>
    <row r="21467" spans="1:8">
      <c r="A21467" t="n">
        <v>209910</v>
      </c>
      <c r="B21467" s="23" t="n">
        <v>58</v>
      </c>
      <c r="C21467" s="7" t="n">
        <v>0</v>
      </c>
      <c r="D21467" s="7" t="n">
        <v>2000</v>
      </c>
      <c r="E21467" s="7" t="n">
        <v>1</v>
      </c>
    </row>
    <row r="21468" spans="1:8">
      <c r="A21468" t="s">
        <v>4</v>
      </c>
      <c r="B21468" s="4" t="s">
        <v>5</v>
      </c>
      <c r="C21468" s="4" t="s">
        <v>7</v>
      </c>
      <c r="D21468" s="4" t="s">
        <v>11</v>
      </c>
    </row>
    <row r="21469" spans="1:8">
      <c r="A21469" t="n">
        <v>209918</v>
      </c>
      <c r="B21469" s="23" t="n">
        <v>58</v>
      </c>
      <c r="C21469" s="7" t="n">
        <v>255</v>
      </c>
      <c r="D21469" s="7" t="n">
        <v>0</v>
      </c>
    </row>
    <row r="21470" spans="1:8">
      <c r="A21470" t="s">
        <v>4</v>
      </c>
      <c r="B21470" s="4" t="s">
        <v>5</v>
      </c>
      <c r="C21470" s="4" t="s">
        <v>11</v>
      </c>
    </row>
    <row r="21471" spans="1:8">
      <c r="A21471" t="n">
        <v>209922</v>
      </c>
      <c r="B21471" s="29" t="n">
        <v>16</v>
      </c>
      <c r="C21471" s="7" t="n">
        <v>1000</v>
      </c>
    </row>
    <row r="21472" spans="1:8">
      <c r="A21472" t="s">
        <v>4</v>
      </c>
      <c r="B21472" s="4" t="s">
        <v>5</v>
      </c>
      <c r="C21472" s="4" t="s">
        <v>7</v>
      </c>
    </row>
    <row r="21473" spans="1:8">
      <c r="A21473" t="n">
        <v>209925</v>
      </c>
      <c r="B21473" s="51" t="n">
        <v>45</v>
      </c>
      <c r="C21473" s="7" t="n">
        <v>0</v>
      </c>
    </row>
    <row r="21474" spans="1:8">
      <c r="A21474" t="s">
        <v>4</v>
      </c>
      <c r="B21474" s="4" t="s">
        <v>5</v>
      </c>
      <c r="C21474" s="4" t="s">
        <v>7</v>
      </c>
      <c r="D21474" s="4" t="s">
        <v>11</v>
      </c>
      <c r="E21474" s="4" t="s">
        <v>7</v>
      </c>
    </row>
    <row r="21475" spans="1:8">
      <c r="A21475" t="n">
        <v>209927</v>
      </c>
      <c r="B21475" s="40" t="n">
        <v>36</v>
      </c>
      <c r="C21475" s="7" t="n">
        <v>9</v>
      </c>
      <c r="D21475" s="7" t="n">
        <v>0</v>
      </c>
      <c r="E21475" s="7" t="n">
        <v>0</v>
      </c>
    </row>
    <row r="21476" spans="1:8">
      <c r="A21476" t="s">
        <v>4</v>
      </c>
      <c r="B21476" s="4" t="s">
        <v>5</v>
      </c>
      <c r="C21476" s="4" t="s">
        <v>7</v>
      </c>
      <c r="D21476" s="4" t="s">
        <v>11</v>
      </c>
      <c r="E21476" s="4" t="s">
        <v>7</v>
      </c>
    </row>
    <row r="21477" spans="1:8">
      <c r="A21477" t="n">
        <v>209932</v>
      </c>
      <c r="B21477" s="40" t="n">
        <v>36</v>
      </c>
      <c r="C21477" s="7" t="n">
        <v>9</v>
      </c>
      <c r="D21477" s="7" t="n">
        <v>11</v>
      </c>
      <c r="E21477" s="7" t="n">
        <v>0</v>
      </c>
    </row>
    <row r="21478" spans="1:8">
      <c r="A21478" t="s">
        <v>4</v>
      </c>
      <c r="B21478" s="4" t="s">
        <v>5</v>
      </c>
      <c r="C21478" s="4" t="s">
        <v>11</v>
      </c>
    </row>
    <row r="21479" spans="1:8">
      <c r="A21479" t="n">
        <v>209937</v>
      </c>
      <c r="B21479" s="43" t="n">
        <v>12</v>
      </c>
      <c r="C21479" s="7" t="n">
        <v>10315</v>
      </c>
    </row>
    <row r="21480" spans="1:8">
      <c r="A21480" t="s">
        <v>4</v>
      </c>
      <c r="B21480" s="4" t="s">
        <v>5</v>
      </c>
      <c r="C21480" s="4" t="s">
        <v>7</v>
      </c>
      <c r="D21480" s="4" t="s">
        <v>11</v>
      </c>
      <c r="E21480" s="4" t="s">
        <v>11</v>
      </c>
    </row>
    <row r="21481" spans="1:8">
      <c r="A21481" t="n">
        <v>209940</v>
      </c>
      <c r="B21481" s="59" t="n">
        <v>135</v>
      </c>
      <c r="C21481" s="7" t="n">
        <v>0</v>
      </c>
      <c r="D21481" s="7" t="n">
        <v>11</v>
      </c>
      <c r="E21481" s="7" t="n">
        <v>64</v>
      </c>
    </row>
    <row r="21482" spans="1:8">
      <c r="A21482" t="s">
        <v>4</v>
      </c>
      <c r="B21482" s="4" t="s">
        <v>5</v>
      </c>
      <c r="C21482" s="4" t="s">
        <v>7</v>
      </c>
      <c r="D21482" s="4" t="s">
        <v>8</v>
      </c>
    </row>
    <row r="21483" spans="1:8">
      <c r="A21483" t="n">
        <v>209946</v>
      </c>
      <c r="B21483" s="6" t="n">
        <v>2</v>
      </c>
      <c r="C21483" s="7" t="n">
        <v>11</v>
      </c>
      <c r="D21483" s="7" t="s">
        <v>37</v>
      </c>
    </row>
    <row r="21484" spans="1:8">
      <c r="A21484" t="s">
        <v>4</v>
      </c>
      <c r="B21484" s="4" t="s">
        <v>5</v>
      </c>
      <c r="C21484" s="4" t="s">
        <v>11</v>
      </c>
      <c r="D21484" s="4" t="s">
        <v>13</v>
      </c>
      <c r="E21484" s="4" t="s">
        <v>13</v>
      </c>
      <c r="F21484" s="4" t="s">
        <v>13</v>
      </c>
      <c r="G21484" s="4" t="s">
        <v>13</v>
      </c>
    </row>
    <row r="21485" spans="1:8">
      <c r="A21485" t="n">
        <v>209970</v>
      </c>
      <c r="B21485" s="36" t="n">
        <v>46</v>
      </c>
      <c r="C21485" s="7" t="n">
        <v>61456</v>
      </c>
      <c r="D21485" s="7" t="n">
        <v>1.32000005245209</v>
      </c>
      <c r="E21485" s="7" t="n">
        <v>10.0100002288818</v>
      </c>
      <c r="F21485" s="7" t="n">
        <v>30.5900001525879</v>
      </c>
      <c r="G21485" s="7" t="n">
        <v>298.899993896484</v>
      </c>
    </row>
    <row r="21486" spans="1:8">
      <c r="A21486" t="s">
        <v>4</v>
      </c>
      <c r="B21486" s="4" t="s">
        <v>5</v>
      </c>
      <c r="C21486" s="4" t="s">
        <v>7</v>
      </c>
      <c r="D21486" s="4" t="s">
        <v>7</v>
      </c>
      <c r="E21486" s="4" t="s">
        <v>13</v>
      </c>
      <c r="F21486" s="4" t="s">
        <v>13</v>
      </c>
      <c r="G21486" s="4" t="s">
        <v>13</v>
      </c>
      <c r="H21486" s="4" t="s">
        <v>11</v>
      </c>
      <c r="I21486" s="4" t="s">
        <v>7</v>
      </c>
    </row>
    <row r="21487" spans="1:8">
      <c r="A21487" t="n">
        <v>209989</v>
      </c>
      <c r="B21487" s="51" t="n">
        <v>45</v>
      </c>
      <c r="C21487" s="7" t="n">
        <v>4</v>
      </c>
      <c r="D21487" s="7" t="n">
        <v>3</v>
      </c>
      <c r="E21487" s="7" t="n">
        <v>7</v>
      </c>
      <c r="F21487" s="7" t="n">
        <v>282.329986572266</v>
      </c>
      <c r="G21487" s="7" t="n">
        <v>0</v>
      </c>
      <c r="H21487" s="7" t="n">
        <v>0</v>
      </c>
      <c r="I21487" s="7" t="n">
        <v>0</v>
      </c>
    </row>
    <row r="21488" spans="1:8">
      <c r="A21488" t="s">
        <v>4</v>
      </c>
      <c r="B21488" s="4" t="s">
        <v>5</v>
      </c>
      <c r="C21488" s="4" t="s">
        <v>7</v>
      </c>
      <c r="D21488" s="4" t="s">
        <v>8</v>
      </c>
    </row>
    <row r="21489" spans="1:9">
      <c r="A21489" t="n">
        <v>210007</v>
      </c>
      <c r="B21489" s="6" t="n">
        <v>2</v>
      </c>
      <c r="C21489" s="7" t="n">
        <v>10</v>
      </c>
      <c r="D21489" s="7" t="s">
        <v>119</v>
      </c>
    </row>
    <row r="21490" spans="1:9">
      <c r="A21490" t="s">
        <v>4</v>
      </c>
      <c r="B21490" s="4" t="s">
        <v>5</v>
      </c>
      <c r="C21490" s="4" t="s">
        <v>11</v>
      </c>
    </row>
    <row r="21491" spans="1:9">
      <c r="A21491" t="n">
        <v>210022</v>
      </c>
      <c r="B21491" s="29" t="n">
        <v>16</v>
      </c>
      <c r="C21491" s="7" t="n">
        <v>0</v>
      </c>
    </row>
    <row r="21492" spans="1:9">
      <c r="A21492" t="s">
        <v>4</v>
      </c>
      <c r="B21492" s="4" t="s">
        <v>5</v>
      </c>
      <c r="C21492" s="4" t="s">
        <v>7</v>
      </c>
      <c r="D21492" s="4" t="s">
        <v>11</v>
      </c>
    </row>
    <row r="21493" spans="1:9">
      <c r="A21493" t="n">
        <v>210025</v>
      </c>
      <c r="B21493" s="23" t="n">
        <v>58</v>
      </c>
      <c r="C21493" s="7" t="n">
        <v>105</v>
      </c>
      <c r="D21493" s="7" t="n">
        <v>300</v>
      </c>
    </row>
    <row r="21494" spans="1:9">
      <c r="A21494" t="s">
        <v>4</v>
      </c>
      <c r="B21494" s="4" t="s">
        <v>5</v>
      </c>
      <c r="C21494" s="4" t="s">
        <v>13</v>
      </c>
      <c r="D21494" s="4" t="s">
        <v>11</v>
      </c>
    </row>
    <row r="21495" spans="1:9">
      <c r="A21495" t="n">
        <v>210029</v>
      </c>
      <c r="B21495" s="46" t="n">
        <v>103</v>
      </c>
      <c r="C21495" s="7" t="n">
        <v>1</v>
      </c>
      <c r="D21495" s="7" t="n">
        <v>300</v>
      </c>
    </row>
    <row r="21496" spans="1:9">
      <c r="A21496" t="s">
        <v>4</v>
      </c>
      <c r="B21496" s="4" t="s">
        <v>5</v>
      </c>
      <c r="C21496" s="4" t="s">
        <v>7</v>
      </c>
      <c r="D21496" s="4" t="s">
        <v>11</v>
      </c>
    </row>
    <row r="21497" spans="1:9">
      <c r="A21497" t="n">
        <v>210036</v>
      </c>
      <c r="B21497" s="48" t="n">
        <v>72</v>
      </c>
      <c r="C21497" s="7" t="n">
        <v>4</v>
      </c>
      <c r="D21497" s="7" t="n">
        <v>0</v>
      </c>
    </row>
    <row r="21498" spans="1:9">
      <c r="A21498" t="s">
        <v>4</v>
      </c>
      <c r="B21498" s="4" t="s">
        <v>5</v>
      </c>
      <c r="C21498" s="4" t="s">
        <v>15</v>
      </c>
    </row>
    <row r="21499" spans="1:9">
      <c r="A21499" t="n">
        <v>210040</v>
      </c>
      <c r="B21499" s="61" t="n">
        <v>15</v>
      </c>
      <c r="C21499" s="7" t="n">
        <v>1073741824</v>
      </c>
    </row>
    <row r="21500" spans="1:9">
      <c r="A21500" t="s">
        <v>4</v>
      </c>
      <c r="B21500" s="4" t="s">
        <v>5</v>
      </c>
      <c r="C21500" s="4" t="s">
        <v>7</v>
      </c>
    </row>
    <row r="21501" spans="1:9">
      <c r="A21501" t="n">
        <v>210045</v>
      </c>
      <c r="B21501" s="47" t="n">
        <v>64</v>
      </c>
      <c r="C21501" s="7" t="n">
        <v>3</v>
      </c>
    </row>
    <row r="21502" spans="1:9">
      <c r="A21502" t="s">
        <v>4</v>
      </c>
      <c r="B21502" s="4" t="s">
        <v>5</v>
      </c>
      <c r="C21502" s="4" t="s">
        <v>7</v>
      </c>
    </row>
    <row r="21503" spans="1:9">
      <c r="A21503" t="n">
        <v>210047</v>
      </c>
      <c r="B21503" s="45" t="n">
        <v>74</v>
      </c>
      <c r="C21503" s="7" t="n">
        <v>67</v>
      </c>
    </row>
    <row r="21504" spans="1:9">
      <c r="A21504" t="s">
        <v>4</v>
      </c>
      <c r="B21504" s="4" t="s">
        <v>5</v>
      </c>
      <c r="C21504" s="4" t="s">
        <v>7</v>
      </c>
      <c r="D21504" s="4" t="s">
        <v>7</v>
      </c>
      <c r="E21504" s="4" t="s">
        <v>11</v>
      </c>
    </row>
    <row r="21505" spans="1:5">
      <c r="A21505" t="n">
        <v>210049</v>
      </c>
      <c r="B21505" s="51" t="n">
        <v>45</v>
      </c>
      <c r="C21505" s="7" t="n">
        <v>8</v>
      </c>
      <c r="D21505" s="7" t="n">
        <v>1</v>
      </c>
      <c r="E21505" s="7" t="n">
        <v>0</v>
      </c>
    </row>
    <row r="21506" spans="1:5">
      <c r="A21506" t="s">
        <v>4</v>
      </c>
      <c r="B21506" s="4" t="s">
        <v>5</v>
      </c>
      <c r="C21506" s="4" t="s">
        <v>11</v>
      </c>
    </row>
    <row r="21507" spans="1:5">
      <c r="A21507" t="n">
        <v>210054</v>
      </c>
      <c r="B21507" s="12" t="n">
        <v>13</v>
      </c>
      <c r="C21507" s="7" t="n">
        <v>6409</v>
      </c>
    </row>
    <row r="21508" spans="1:5">
      <c r="A21508" t="s">
        <v>4</v>
      </c>
      <c r="B21508" s="4" t="s">
        <v>5</v>
      </c>
      <c r="C21508" s="4" t="s">
        <v>11</v>
      </c>
    </row>
    <row r="21509" spans="1:5">
      <c r="A21509" t="n">
        <v>210057</v>
      </c>
      <c r="B21509" s="12" t="n">
        <v>13</v>
      </c>
      <c r="C21509" s="7" t="n">
        <v>6408</v>
      </c>
    </row>
    <row r="21510" spans="1:5">
      <c r="A21510" t="s">
        <v>4</v>
      </c>
      <c r="B21510" s="4" t="s">
        <v>5</v>
      </c>
      <c r="C21510" s="4" t="s">
        <v>11</v>
      </c>
    </row>
    <row r="21511" spans="1:5">
      <c r="A21511" t="n">
        <v>210060</v>
      </c>
      <c r="B21511" s="43" t="n">
        <v>12</v>
      </c>
      <c r="C21511" s="7" t="n">
        <v>6464</v>
      </c>
    </row>
    <row r="21512" spans="1:5">
      <c r="A21512" t="s">
        <v>4</v>
      </c>
      <c r="B21512" s="4" t="s">
        <v>5</v>
      </c>
      <c r="C21512" s="4" t="s">
        <v>11</v>
      </c>
    </row>
    <row r="21513" spans="1:5">
      <c r="A21513" t="n">
        <v>210063</v>
      </c>
      <c r="B21513" s="12" t="n">
        <v>13</v>
      </c>
      <c r="C21513" s="7" t="n">
        <v>6465</v>
      </c>
    </row>
    <row r="21514" spans="1:5">
      <c r="A21514" t="s">
        <v>4</v>
      </c>
      <c r="B21514" s="4" t="s">
        <v>5</v>
      </c>
      <c r="C21514" s="4" t="s">
        <v>11</v>
      </c>
    </row>
    <row r="21515" spans="1:5">
      <c r="A21515" t="n">
        <v>210066</v>
      </c>
      <c r="B21515" s="12" t="n">
        <v>13</v>
      </c>
      <c r="C21515" s="7" t="n">
        <v>6466</v>
      </c>
    </row>
    <row r="21516" spans="1:5">
      <c r="A21516" t="s">
        <v>4</v>
      </c>
      <c r="B21516" s="4" t="s">
        <v>5</v>
      </c>
      <c r="C21516" s="4" t="s">
        <v>11</v>
      </c>
    </row>
    <row r="21517" spans="1:5">
      <c r="A21517" t="n">
        <v>210069</v>
      </c>
      <c r="B21517" s="12" t="n">
        <v>13</v>
      </c>
      <c r="C21517" s="7" t="n">
        <v>6467</v>
      </c>
    </row>
    <row r="21518" spans="1:5">
      <c r="A21518" t="s">
        <v>4</v>
      </c>
      <c r="B21518" s="4" t="s">
        <v>5</v>
      </c>
      <c r="C21518" s="4" t="s">
        <v>11</v>
      </c>
    </row>
    <row r="21519" spans="1:5">
      <c r="A21519" t="n">
        <v>210072</v>
      </c>
      <c r="B21519" s="12" t="n">
        <v>13</v>
      </c>
      <c r="C21519" s="7" t="n">
        <v>6468</v>
      </c>
    </row>
    <row r="21520" spans="1:5">
      <c r="A21520" t="s">
        <v>4</v>
      </c>
      <c r="B21520" s="4" t="s">
        <v>5</v>
      </c>
      <c r="C21520" s="4" t="s">
        <v>11</v>
      </c>
    </row>
    <row r="21521" spans="1:5">
      <c r="A21521" t="n">
        <v>210075</v>
      </c>
      <c r="B21521" s="12" t="n">
        <v>13</v>
      </c>
      <c r="C21521" s="7" t="n">
        <v>6469</v>
      </c>
    </row>
    <row r="21522" spans="1:5">
      <c r="A21522" t="s">
        <v>4</v>
      </c>
      <c r="B21522" s="4" t="s">
        <v>5</v>
      </c>
      <c r="C21522" s="4" t="s">
        <v>11</v>
      </c>
    </row>
    <row r="21523" spans="1:5">
      <c r="A21523" t="n">
        <v>210078</v>
      </c>
      <c r="B21523" s="12" t="n">
        <v>13</v>
      </c>
      <c r="C21523" s="7" t="n">
        <v>6470</v>
      </c>
    </row>
    <row r="21524" spans="1:5">
      <c r="A21524" t="s">
        <v>4</v>
      </c>
      <c r="B21524" s="4" t="s">
        <v>5</v>
      </c>
      <c r="C21524" s="4" t="s">
        <v>11</v>
      </c>
    </row>
    <row r="21525" spans="1:5">
      <c r="A21525" t="n">
        <v>210081</v>
      </c>
      <c r="B21525" s="12" t="n">
        <v>13</v>
      </c>
      <c r="C21525" s="7" t="n">
        <v>6471</v>
      </c>
    </row>
    <row r="21526" spans="1:5">
      <c r="A21526" t="s">
        <v>4</v>
      </c>
      <c r="B21526" s="4" t="s">
        <v>5</v>
      </c>
      <c r="C21526" s="4" t="s">
        <v>7</v>
      </c>
    </row>
    <row r="21527" spans="1:5">
      <c r="A21527" t="n">
        <v>210084</v>
      </c>
      <c r="B21527" s="45" t="n">
        <v>74</v>
      </c>
      <c r="C21527" s="7" t="n">
        <v>18</v>
      </c>
    </row>
    <row r="21528" spans="1:5">
      <c r="A21528" t="s">
        <v>4</v>
      </c>
      <c r="B21528" s="4" t="s">
        <v>5</v>
      </c>
      <c r="C21528" s="4" t="s">
        <v>7</v>
      </c>
    </row>
    <row r="21529" spans="1:5">
      <c r="A21529" t="n">
        <v>210086</v>
      </c>
      <c r="B21529" s="45" t="n">
        <v>74</v>
      </c>
      <c r="C21529" s="7" t="n">
        <v>45</v>
      </c>
    </row>
    <row r="21530" spans="1:5">
      <c r="A21530" t="s">
        <v>4</v>
      </c>
      <c r="B21530" s="4" t="s">
        <v>5</v>
      </c>
      <c r="C21530" s="4" t="s">
        <v>11</v>
      </c>
    </row>
    <row r="21531" spans="1:5">
      <c r="A21531" t="n">
        <v>210088</v>
      </c>
      <c r="B21531" s="29" t="n">
        <v>16</v>
      </c>
      <c r="C21531" s="7" t="n">
        <v>0</v>
      </c>
    </row>
    <row r="21532" spans="1:5">
      <c r="A21532" t="s">
        <v>4</v>
      </c>
      <c r="B21532" s="4" t="s">
        <v>5</v>
      </c>
      <c r="C21532" s="4" t="s">
        <v>7</v>
      </c>
      <c r="D21532" s="4" t="s">
        <v>7</v>
      </c>
      <c r="E21532" s="4" t="s">
        <v>7</v>
      </c>
      <c r="F21532" s="4" t="s">
        <v>7</v>
      </c>
    </row>
    <row r="21533" spans="1:5">
      <c r="A21533" t="n">
        <v>210091</v>
      </c>
      <c r="B21533" s="9" t="n">
        <v>14</v>
      </c>
      <c r="C21533" s="7" t="n">
        <v>0</v>
      </c>
      <c r="D21533" s="7" t="n">
        <v>8</v>
      </c>
      <c r="E21533" s="7" t="n">
        <v>0</v>
      </c>
      <c r="F21533" s="7" t="n">
        <v>0</v>
      </c>
    </row>
    <row r="21534" spans="1:5">
      <c r="A21534" t="s">
        <v>4</v>
      </c>
      <c r="B21534" s="4" t="s">
        <v>5</v>
      </c>
      <c r="C21534" s="4" t="s">
        <v>7</v>
      </c>
      <c r="D21534" s="4" t="s">
        <v>8</v>
      </c>
    </row>
    <row r="21535" spans="1:5">
      <c r="A21535" t="n">
        <v>210096</v>
      </c>
      <c r="B21535" s="6" t="n">
        <v>2</v>
      </c>
      <c r="C21535" s="7" t="n">
        <v>11</v>
      </c>
      <c r="D21535" s="7" t="s">
        <v>14</v>
      </c>
    </row>
    <row r="21536" spans="1:5">
      <c r="A21536" t="s">
        <v>4</v>
      </c>
      <c r="B21536" s="4" t="s">
        <v>5</v>
      </c>
      <c r="C21536" s="4" t="s">
        <v>11</v>
      </c>
    </row>
    <row r="21537" spans="1:6">
      <c r="A21537" t="n">
        <v>210110</v>
      </c>
      <c r="B21537" s="29" t="n">
        <v>16</v>
      </c>
      <c r="C21537" s="7" t="n">
        <v>0</v>
      </c>
    </row>
    <row r="21538" spans="1:6">
      <c r="A21538" t="s">
        <v>4</v>
      </c>
      <c r="B21538" s="4" t="s">
        <v>5</v>
      </c>
      <c r="C21538" s="4" t="s">
        <v>7</v>
      </c>
      <c r="D21538" s="4" t="s">
        <v>8</v>
      </c>
    </row>
    <row r="21539" spans="1:6">
      <c r="A21539" t="n">
        <v>210113</v>
      </c>
      <c r="B21539" s="6" t="n">
        <v>2</v>
      </c>
      <c r="C21539" s="7" t="n">
        <v>11</v>
      </c>
      <c r="D21539" s="7" t="s">
        <v>120</v>
      </c>
    </row>
    <row r="21540" spans="1:6">
      <c r="A21540" t="s">
        <v>4</v>
      </c>
      <c r="B21540" s="4" t="s">
        <v>5</v>
      </c>
      <c r="C21540" s="4" t="s">
        <v>11</v>
      </c>
    </row>
    <row r="21541" spans="1:6">
      <c r="A21541" t="n">
        <v>210122</v>
      </c>
      <c r="B21541" s="29" t="n">
        <v>16</v>
      </c>
      <c r="C21541" s="7" t="n">
        <v>0</v>
      </c>
    </row>
    <row r="21542" spans="1:6">
      <c r="A21542" t="s">
        <v>4</v>
      </c>
      <c r="B21542" s="4" t="s">
        <v>5</v>
      </c>
      <c r="C21542" s="4" t="s">
        <v>15</v>
      </c>
    </row>
    <row r="21543" spans="1:6">
      <c r="A21543" t="n">
        <v>210125</v>
      </c>
      <c r="B21543" s="61" t="n">
        <v>15</v>
      </c>
      <c r="C21543" s="7" t="n">
        <v>2048</v>
      </c>
    </row>
    <row r="21544" spans="1:6">
      <c r="A21544" t="s">
        <v>4</v>
      </c>
      <c r="B21544" s="4" t="s">
        <v>5</v>
      </c>
      <c r="C21544" s="4" t="s">
        <v>7</v>
      </c>
      <c r="D21544" s="4" t="s">
        <v>8</v>
      </c>
    </row>
    <row r="21545" spans="1:6">
      <c r="A21545" t="n">
        <v>210130</v>
      </c>
      <c r="B21545" s="6" t="n">
        <v>2</v>
      </c>
      <c r="C21545" s="7" t="n">
        <v>10</v>
      </c>
      <c r="D21545" s="7" t="s">
        <v>52</v>
      </c>
    </row>
    <row r="21546" spans="1:6">
      <c r="A21546" t="s">
        <v>4</v>
      </c>
      <c r="B21546" s="4" t="s">
        <v>5</v>
      </c>
      <c r="C21546" s="4" t="s">
        <v>11</v>
      </c>
    </row>
    <row r="21547" spans="1:6">
      <c r="A21547" t="n">
        <v>210148</v>
      </c>
      <c r="B21547" s="29" t="n">
        <v>16</v>
      </c>
      <c r="C21547" s="7" t="n">
        <v>0</v>
      </c>
    </row>
    <row r="21548" spans="1:6">
      <c r="A21548" t="s">
        <v>4</v>
      </c>
      <c r="B21548" s="4" t="s">
        <v>5</v>
      </c>
      <c r="C21548" s="4" t="s">
        <v>7</v>
      </c>
      <c r="D21548" s="4" t="s">
        <v>8</v>
      </c>
    </row>
    <row r="21549" spans="1:6">
      <c r="A21549" t="n">
        <v>210151</v>
      </c>
      <c r="B21549" s="6" t="n">
        <v>2</v>
      </c>
      <c r="C21549" s="7" t="n">
        <v>10</v>
      </c>
      <c r="D21549" s="7" t="s">
        <v>53</v>
      </c>
    </row>
    <row r="21550" spans="1:6">
      <c r="A21550" t="s">
        <v>4</v>
      </c>
      <c r="B21550" s="4" t="s">
        <v>5</v>
      </c>
      <c r="C21550" s="4" t="s">
        <v>11</v>
      </c>
    </row>
    <row r="21551" spans="1:6">
      <c r="A21551" t="n">
        <v>210170</v>
      </c>
      <c r="B21551" s="29" t="n">
        <v>16</v>
      </c>
      <c r="C21551" s="7" t="n">
        <v>0</v>
      </c>
    </row>
    <row r="21552" spans="1:6">
      <c r="A21552" t="s">
        <v>4</v>
      </c>
      <c r="B21552" s="4" t="s">
        <v>5</v>
      </c>
      <c r="C21552" s="4" t="s">
        <v>7</v>
      </c>
      <c r="D21552" s="4" t="s">
        <v>11</v>
      </c>
      <c r="E21552" s="4" t="s">
        <v>13</v>
      </c>
    </row>
    <row r="21553" spans="1:5">
      <c r="A21553" t="n">
        <v>210173</v>
      </c>
      <c r="B21553" s="23" t="n">
        <v>58</v>
      </c>
      <c r="C21553" s="7" t="n">
        <v>100</v>
      </c>
      <c r="D21553" s="7" t="n">
        <v>300</v>
      </c>
      <c r="E21553" s="7" t="n">
        <v>1</v>
      </c>
    </row>
    <row r="21554" spans="1:5">
      <c r="A21554" t="s">
        <v>4</v>
      </c>
      <c r="B21554" s="4" t="s">
        <v>5</v>
      </c>
      <c r="C21554" s="4" t="s">
        <v>7</v>
      </c>
      <c r="D21554" s="4" t="s">
        <v>11</v>
      </c>
    </row>
    <row r="21555" spans="1:5">
      <c r="A21555" t="n">
        <v>210181</v>
      </c>
      <c r="B21555" s="23" t="n">
        <v>58</v>
      </c>
      <c r="C21555" s="7" t="n">
        <v>255</v>
      </c>
      <c r="D21555" s="7" t="n">
        <v>0</v>
      </c>
    </row>
    <row r="21556" spans="1:5">
      <c r="A21556" t="s">
        <v>4</v>
      </c>
      <c r="B21556" s="4" t="s">
        <v>5</v>
      </c>
      <c r="C21556" s="4" t="s">
        <v>7</v>
      </c>
    </row>
    <row r="21557" spans="1:5">
      <c r="A21557" t="n">
        <v>210185</v>
      </c>
      <c r="B21557" s="30" t="n">
        <v>23</v>
      </c>
      <c r="C21557" s="7" t="n">
        <v>0</v>
      </c>
    </row>
    <row r="21558" spans="1:5">
      <c r="A21558" t="s">
        <v>4</v>
      </c>
      <c r="B21558" s="4" t="s">
        <v>5</v>
      </c>
    </row>
    <row r="21559" spans="1:5">
      <c r="A21559" t="n">
        <v>210187</v>
      </c>
      <c r="B21559" s="5" t="n">
        <v>1</v>
      </c>
    </row>
    <row r="21560" spans="1:5" s="3" customFormat="1" customHeight="0">
      <c r="A21560" s="3" t="s">
        <v>2</v>
      </c>
      <c r="B21560" s="3" t="s">
        <v>1795</v>
      </c>
    </row>
    <row r="21561" spans="1:5">
      <c r="A21561" t="s">
        <v>4</v>
      </c>
      <c r="B21561" s="4" t="s">
        <v>5</v>
      </c>
      <c r="C21561" s="4" t="s">
        <v>7</v>
      </c>
      <c r="D21561" s="4" t="s">
        <v>11</v>
      </c>
      <c r="E21561" s="4" t="s">
        <v>7</v>
      </c>
      <c r="F21561" s="4" t="s">
        <v>11</v>
      </c>
      <c r="G21561" s="4" t="s">
        <v>7</v>
      </c>
      <c r="H21561" s="4" t="s">
        <v>7</v>
      </c>
      <c r="I21561" s="4" t="s">
        <v>7</v>
      </c>
      <c r="J21561" s="4" t="s">
        <v>12</v>
      </c>
    </row>
    <row r="21562" spans="1:5">
      <c r="A21562" t="n">
        <v>210188</v>
      </c>
      <c r="B21562" s="10" t="n">
        <v>5</v>
      </c>
      <c r="C21562" s="7" t="n">
        <v>30</v>
      </c>
      <c r="D21562" s="7" t="n">
        <v>10993</v>
      </c>
      <c r="E21562" s="7" t="n">
        <v>30</v>
      </c>
      <c r="F21562" s="7" t="n">
        <v>10994</v>
      </c>
      <c r="G21562" s="7" t="n">
        <v>8</v>
      </c>
      <c r="H21562" s="7" t="n">
        <v>9</v>
      </c>
      <c r="I21562" s="7" t="n">
        <v>1</v>
      </c>
      <c r="J21562" s="11" t="n">
        <f t="normal" ca="1">A21830</f>
        <v>0</v>
      </c>
    </row>
    <row r="21563" spans="1:5">
      <c r="A21563" t="s">
        <v>4</v>
      </c>
      <c r="B21563" s="4" t="s">
        <v>5</v>
      </c>
      <c r="C21563" s="4" t="s">
        <v>7</v>
      </c>
      <c r="D21563" s="4" t="s">
        <v>11</v>
      </c>
    </row>
    <row r="21564" spans="1:5">
      <c r="A21564" t="n">
        <v>210202</v>
      </c>
      <c r="B21564" s="22" t="n">
        <v>22</v>
      </c>
      <c r="C21564" s="7" t="n">
        <v>0</v>
      </c>
      <c r="D21564" s="7" t="n">
        <v>0</v>
      </c>
    </row>
    <row r="21565" spans="1:5">
      <c r="A21565" t="s">
        <v>4</v>
      </c>
      <c r="B21565" s="4" t="s">
        <v>5</v>
      </c>
      <c r="C21565" s="4" t="s">
        <v>7</v>
      </c>
      <c r="D21565" s="4" t="s">
        <v>11</v>
      </c>
      <c r="E21565" s="4" t="s">
        <v>13</v>
      </c>
    </row>
    <row r="21566" spans="1:5">
      <c r="A21566" t="n">
        <v>210206</v>
      </c>
      <c r="B21566" s="23" t="n">
        <v>58</v>
      </c>
      <c r="C21566" s="7" t="n">
        <v>0</v>
      </c>
      <c r="D21566" s="7" t="n">
        <v>300</v>
      </c>
      <c r="E21566" s="7" t="n">
        <v>1</v>
      </c>
    </row>
    <row r="21567" spans="1:5">
      <c r="A21567" t="s">
        <v>4</v>
      </c>
      <c r="B21567" s="4" t="s">
        <v>5</v>
      </c>
      <c r="C21567" s="4" t="s">
        <v>7</v>
      </c>
      <c r="D21567" s="4" t="s">
        <v>11</v>
      </c>
    </row>
    <row r="21568" spans="1:5">
      <c r="A21568" t="n">
        <v>210214</v>
      </c>
      <c r="B21568" s="23" t="n">
        <v>58</v>
      </c>
      <c r="C21568" s="7" t="n">
        <v>255</v>
      </c>
      <c r="D21568" s="7" t="n">
        <v>0</v>
      </c>
    </row>
    <row r="21569" spans="1:10">
      <c r="A21569" t="s">
        <v>4</v>
      </c>
      <c r="B21569" s="4" t="s">
        <v>5</v>
      </c>
      <c r="C21569" s="4" t="s">
        <v>7</v>
      </c>
      <c r="D21569" s="4" t="s">
        <v>11</v>
      </c>
    </row>
    <row r="21570" spans="1:10">
      <c r="A21570" t="n">
        <v>210218</v>
      </c>
      <c r="B21570" s="23" t="n">
        <v>58</v>
      </c>
      <c r="C21570" s="7" t="n">
        <v>5</v>
      </c>
      <c r="D21570" s="7" t="n">
        <v>300</v>
      </c>
    </row>
    <row r="21571" spans="1:10">
      <c r="A21571" t="s">
        <v>4</v>
      </c>
      <c r="B21571" s="4" t="s">
        <v>5</v>
      </c>
      <c r="C21571" s="4" t="s">
        <v>13</v>
      </c>
      <c r="D21571" s="4" t="s">
        <v>11</v>
      </c>
    </row>
    <row r="21572" spans="1:10">
      <c r="A21572" t="n">
        <v>210222</v>
      </c>
      <c r="B21572" s="46" t="n">
        <v>103</v>
      </c>
      <c r="C21572" s="7" t="n">
        <v>0</v>
      </c>
      <c r="D21572" s="7" t="n">
        <v>300</v>
      </c>
    </row>
    <row r="21573" spans="1:10">
      <c r="A21573" t="s">
        <v>4</v>
      </c>
      <c r="B21573" s="4" t="s">
        <v>5</v>
      </c>
      <c r="C21573" s="4" t="s">
        <v>7</v>
      </c>
    </row>
    <row r="21574" spans="1:10">
      <c r="A21574" t="n">
        <v>210229</v>
      </c>
      <c r="B21574" s="47" t="n">
        <v>64</v>
      </c>
      <c r="C21574" s="7" t="n">
        <v>7</v>
      </c>
    </row>
    <row r="21575" spans="1:10">
      <c r="A21575" t="s">
        <v>4</v>
      </c>
      <c r="B21575" s="4" t="s">
        <v>5</v>
      </c>
      <c r="C21575" s="4" t="s">
        <v>7</v>
      </c>
      <c r="D21575" s="4" t="s">
        <v>11</v>
      </c>
    </row>
    <row r="21576" spans="1:10">
      <c r="A21576" t="n">
        <v>210231</v>
      </c>
      <c r="B21576" s="48" t="n">
        <v>72</v>
      </c>
      <c r="C21576" s="7" t="n">
        <v>5</v>
      </c>
      <c r="D21576" s="7" t="n">
        <v>0</v>
      </c>
    </row>
    <row r="21577" spans="1:10">
      <c r="A21577" t="s">
        <v>4</v>
      </c>
      <c r="B21577" s="4" t="s">
        <v>5</v>
      </c>
      <c r="C21577" s="4" t="s">
        <v>11</v>
      </c>
      <c r="D21577" s="4" t="s">
        <v>13</v>
      </c>
      <c r="E21577" s="4" t="s">
        <v>13</v>
      </c>
      <c r="F21577" s="4" t="s">
        <v>13</v>
      </c>
      <c r="G21577" s="4" t="s">
        <v>13</v>
      </c>
    </row>
    <row r="21578" spans="1:10">
      <c r="A21578" t="n">
        <v>210235</v>
      </c>
      <c r="B21578" s="36" t="n">
        <v>46</v>
      </c>
      <c r="C21578" s="7" t="n">
        <v>0</v>
      </c>
      <c r="D21578" s="7" t="n">
        <v>-5</v>
      </c>
      <c r="E21578" s="7" t="n">
        <v>5</v>
      </c>
      <c r="F21578" s="7" t="n">
        <v>32</v>
      </c>
      <c r="G21578" s="7" t="n">
        <v>90</v>
      </c>
    </row>
    <row r="21579" spans="1:10">
      <c r="A21579" t="s">
        <v>4</v>
      </c>
      <c r="B21579" s="4" t="s">
        <v>5</v>
      </c>
      <c r="C21579" s="4" t="s">
        <v>7</v>
      </c>
      <c r="D21579" s="4" t="s">
        <v>7</v>
      </c>
      <c r="E21579" s="4" t="s">
        <v>13</v>
      </c>
      <c r="F21579" s="4" t="s">
        <v>13</v>
      </c>
      <c r="G21579" s="4" t="s">
        <v>13</v>
      </c>
      <c r="H21579" s="4" t="s">
        <v>11</v>
      </c>
    </row>
    <row r="21580" spans="1:10">
      <c r="A21580" t="n">
        <v>210254</v>
      </c>
      <c r="B21580" s="51" t="n">
        <v>45</v>
      </c>
      <c r="C21580" s="7" t="n">
        <v>2</v>
      </c>
      <c r="D21580" s="7" t="n">
        <v>3</v>
      </c>
      <c r="E21580" s="7" t="n">
        <v>-4.13000011444092</v>
      </c>
      <c r="F21580" s="7" t="n">
        <v>6.30999994277954</v>
      </c>
      <c r="G21580" s="7" t="n">
        <v>31.9200000762939</v>
      </c>
      <c r="H21580" s="7" t="n">
        <v>0</v>
      </c>
    </row>
    <row r="21581" spans="1:10">
      <c r="A21581" t="s">
        <v>4</v>
      </c>
      <c r="B21581" s="4" t="s">
        <v>5</v>
      </c>
      <c r="C21581" s="4" t="s">
        <v>7</v>
      </c>
      <c r="D21581" s="4" t="s">
        <v>7</v>
      </c>
      <c r="E21581" s="4" t="s">
        <v>13</v>
      </c>
      <c r="F21581" s="4" t="s">
        <v>13</v>
      </c>
      <c r="G21581" s="4" t="s">
        <v>13</v>
      </c>
      <c r="H21581" s="4" t="s">
        <v>11</v>
      </c>
      <c r="I21581" s="4" t="s">
        <v>7</v>
      </c>
    </row>
    <row r="21582" spans="1:10">
      <c r="A21582" t="n">
        <v>210271</v>
      </c>
      <c r="B21582" s="51" t="n">
        <v>45</v>
      </c>
      <c r="C21582" s="7" t="n">
        <v>4</v>
      </c>
      <c r="D21582" s="7" t="n">
        <v>3</v>
      </c>
      <c r="E21582" s="7" t="n">
        <v>359.570007324219</v>
      </c>
      <c r="F21582" s="7" t="n">
        <v>304.559997558594</v>
      </c>
      <c r="G21582" s="7" t="n">
        <v>0</v>
      </c>
      <c r="H21582" s="7" t="n">
        <v>0</v>
      </c>
      <c r="I21582" s="7" t="n">
        <v>1</v>
      </c>
    </row>
    <row r="21583" spans="1:10">
      <c r="A21583" t="s">
        <v>4</v>
      </c>
      <c r="B21583" s="4" t="s">
        <v>5</v>
      </c>
      <c r="C21583" s="4" t="s">
        <v>7</v>
      </c>
      <c r="D21583" s="4" t="s">
        <v>7</v>
      </c>
      <c r="E21583" s="4" t="s">
        <v>13</v>
      </c>
      <c r="F21583" s="4" t="s">
        <v>11</v>
      </c>
    </row>
    <row r="21584" spans="1:10">
      <c r="A21584" t="n">
        <v>210289</v>
      </c>
      <c r="B21584" s="51" t="n">
        <v>45</v>
      </c>
      <c r="C21584" s="7" t="n">
        <v>5</v>
      </c>
      <c r="D21584" s="7" t="n">
        <v>3</v>
      </c>
      <c r="E21584" s="7" t="n">
        <v>5</v>
      </c>
      <c r="F21584" s="7" t="n">
        <v>0</v>
      </c>
    </row>
    <row r="21585" spans="1:9">
      <c r="A21585" t="s">
        <v>4</v>
      </c>
      <c r="B21585" s="4" t="s">
        <v>5</v>
      </c>
      <c r="C21585" s="4" t="s">
        <v>7</v>
      </c>
      <c r="D21585" s="4" t="s">
        <v>7</v>
      </c>
      <c r="E21585" s="4" t="s">
        <v>13</v>
      </c>
      <c r="F21585" s="4" t="s">
        <v>11</v>
      </c>
    </row>
    <row r="21586" spans="1:9">
      <c r="A21586" t="n">
        <v>210298</v>
      </c>
      <c r="B21586" s="51" t="n">
        <v>45</v>
      </c>
      <c r="C21586" s="7" t="n">
        <v>11</v>
      </c>
      <c r="D21586" s="7" t="n">
        <v>3</v>
      </c>
      <c r="E21586" s="7" t="n">
        <v>34</v>
      </c>
      <c r="F21586" s="7" t="n">
        <v>0</v>
      </c>
    </row>
    <row r="21587" spans="1:9">
      <c r="A21587" t="s">
        <v>4</v>
      </c>
      <c r="B21587" s="4" t="s">
        <v>5</v>
      </c>
      <c r="C21587" s="4" t="s">
        <v>7</v>
      </c>
      <c r="D21587" s="4" t="s">
        <v>11</v>
      </c>
      <c r="E21587" s="4" t="s">
        <v>13</v>
      </c>
    </row>
    <row r="21588" spans="1:9">
      <c r="A21588" t="n">
        <v>210307</v>
      </c>
      <c r="B21588" s="23" t="n">
        <v>58</v>
      </c>
      <c r="C21588" s="7" t="n">
        <v>100</v>
      </c>
      <c r="D21588" s="7" t="n">
        <v>1000</v>
      </c>
      <c r="E21588" s="7" t="n">
        <v>1</v>
      </c>
    </row>
    <row r="21589" spans="1:9">
      <c r="A21589" t="s">
        <v>4</v>
      </c>
      <c r="B21589" s="4" t="s">
        <v>5</v>
      </c>
      <c r="C21589" s="4" t="s">
        <v>7</v>
      </c>
      <c r="D21589" s="4" t="s">
        <v>11</v>
      </c>
    </row>
    <row r="21590" spans="1:9">
      <c r="A21590" t="n">
        <v>210315</v>
      </c>
      <c r="B21590" s="23" t="n">
        <v>58</v>
      </c>
      <c r="C21590" s="7" t="n">
        <v>255</v>
      </c>
      <c r="D21590" s="7" t="n">
        <v>0</v>
      </c>
    </row>
    <row r="21591" spans="1:9">
      <c r="A21591" t="s">
        <v>4</v>
      </c>
      <c r="B21591" s="4" t="s">
        <v>5</v>
      </c>
      <c r="C21591" s="4" t="s">
        <v>7</v>
      </c>
      <c r="D21591" s="4" t="s">
        <v>7</v>
      </c>
      <c r="E21591" s="4" t="s">
        <v>15</v>
      </c>
      <c r="F21591" s="4" t="s">
        <v>7</v>
      </c>
      <c r="G21591" s="4" t="s">
        <v>7</v>
      </c>
    </row>
    <row r="21592" spans="1:9">
      <c r="A21592" t="n">
        <v>210319</v>
      </c>
      <c r="B21592" s="74" t="n">
        <v>18</v>
      </c>
      <c r="C21592" s="7" t="n">
        <v>1</v>
      </c>
      <c r="D21592" s="7" t="n">
        <v>0</v>
      </c>
      <c r="E21592" s="7" t="n">
        <v>0</v>
      </c>
      <c r="F21592" s="7" t="n">
        <v>19</v>
      </c>
      <c r="G21592" s="7" t="n">
        <v>1</v>
      </c>
    </row>
    <row r="21593" spans="1:9">
      <c r="A21593" t="s">
        <v>4</v>
      </c>
      <c r="B21593" s="4" t="s">
        <v>5</v>
      </c>
      <c r="C21593" s="4" t="s">
        <v>7</v>
      </c>
      <c r="D21593" s="4" t="s">
        <v>11</v>
      </c>
      <c r="E21593" s="4" t="s">
        <v>7</v>
      </c>
      <c r="F21593" s="4" t="s">
        <v>12</v>
      </c>
    </row>
    <row r="21594" spans="1:9">
      <c r="A21594" t="n">
        <v>210328</v>
      </c>
      <c r="B21594" s="10" t="n">
        <v>5</v>
      </c>
      <c r="C21594" s="7" t="n">
        <v>30</v>
      </c>
      <c r="D21594" s="7" t="n">
        <v>10304</v>
      </c>
      <c r="E21594" s="7" t="n">
        <v>1</v>
      </c>
      <c r="F21594" s="11" t="n">
        <f t="normal" ca="1">A21598</f>
        <v>0</v>
      </c>
    </row>
    <row r="21595" spans="1:9">
      <c r="A21595" t="s">
        <v>4</v>
      </c>
      <c r="B21595" s="4" t="s">
        <v>5</v>
      </c>
      <c r="C21595" s="4" t="s">
        <v>7</v>
      </c>
      <c r="D21595" s="4" t="s">
        <v>7</v>
      </c>
      <c r="E21595" s="4" t="s">
        <v>7</v>
      </c>
      <c r="F21595" s="4" t="s">
        <v>7</v>
      </c>
      <c r="G21595" s="4" t="s">
        <v>15</v>
      </c>
      <c r="H21595" s="4" t="s">
        <v>7</v>
      </c>
      <c r="I21595" s="4" t="s">
        <v>7</v>
      </c>
      <c r="J21595" s="4" t="s">
        <v>7</v>
      </c>
    </row>
    <row r="21596" spans="1:9">
      <c r="A21596" t="n">
        <v>210337</v>
      </c>
      <c r="B21596" s="74" t="n">
        <v>18</v>
      </c>
      <c r="C21596" s="7" t="n">
        <v>1</v>
      </c>
      <c r="D21596" s="7" t="n">
        <v>35</v>
      </c>
      <c r="E21596" s="7" t="n">
        <v>1</v>
      </c>
      <c r="F21596" s="7" t="n">
        <v>0</v>
      </c>
      <c r="G21596" s="7" t="n">
        <v>1</v>
      </c>
      <c r="H21596" s="7" t="n">
        <v>12</v>
      </c>
      <c r="I21596" s="7" t="n">
        <v>19</v>
      </c>
      <c r="J21596" s="7" t="n">
        <v>1</v>
      </c>
    </row>
    <row r="21597" spans="1:9">
      <c r="A21597" t="s">
        <v>4</v>
      </c>
      <c r="B21597" s="4" t="s">
        <v>5</v>
      </c>
      <c r="C21597" s="4" t="s">
        <v>7</v>
      </c>
      <c r="D21597" s="4" t="s">
        <v>11</v>
      </c>
      <c r="E21597" s="4" t="s">
        <v>7</v>
      </c>
      <c r="F21597" s="4" t="s">
        <v>12</v>
      </c>
    </row>
    <row r="21598" spans="1:9">
      <c r="A21598" t="n">
        <v>210349</v>
      </c>
      <c r="B21598" s="10" t="n">
        <v>5</v>
      </c>
      <c r="C21598" s="7" t="n">
        <v>30</v>
      </c>
      <c r="D21598" s="7" t="n">
        <v>10305</v>
      </c>
      <c r="E21598" s="7" t="n">
        <v>1</v>
      </c>
      <c r="F21598" s="11" t="n">
        <f t="normal" ca="1">A21602</f>
        <v>0</v>
      </c>
    </row>
    <row r="21599" spans="1:9">
      <c r="A21599" t="s">
        <v>4</v>
      </c>
      <c r="B21599" s="4" t="s">
        <v>5</v>
      </c>
      <c r="C21599" s="4" t="s">
        <v>7</v>
      </c>
      <c r="D21599" s="4" t="s">
        <v>7</v>
      </c>
      <c r="E21599" s="4" t="s">
        <v>7</v>
      </c>
      <c r="F21599" s="4" t="s">
        <v>7</v>
      </c>
      <c r="G21599" s="4" t="s">
        <v>15</v>
      </c>
      <c r="H21599" s="4" t="s">
        <v>7</v>
      </c>
      <c r="I21599" s="4" t="s">
        <v>7</v>
      </c>
      <c r="J21599" s="4" t="s">
        <v>7</v>
      </c>
    </row>
    <row r="21600" spans="1:9">
      <c r="A21600" t="n">
        <v>210358</v>
      </c>
      <c r="B21600" s="74" t="n">
        <v>18</v>
      </c>
      <c r="C21600" s="7" t="n">
        <v>1</v>
      </c>
      <c r="D21600" s="7" t="n">
        <v>35</v>
      </c>
      <c r="E21600" s="7" t="n">
        <v>1</v>
      </c>
      <c r="F21600" s="7" t="n">
        <v>0</v>
      </c>
      <c r="G21600" s="7" t="n">
        <v>1</v>
      </c>
      <c r="H21600" s="7" t="n">
        <v>12</v>
      </c>
      <c r="I21600" s="7" t="n">
        <v>19</v>
      </c>
      <c r="J21600" s="7" t="n">
        <v>1</v>
      </c>
    </row>
    <row r="21601" spans="1:10">
      <c r="A21601" t="s">
        <v>4</v>
      </c>
      <c r="B21601" s="4" t="s">
        <v>5</v>
      </c>
      <c r="C21601" s="4" t="s">
        <v>7</v>
      </c>
      <c r="D21601" s="4" t="s">
        <v>11</v>
      </c>
      <c r="E21601" s="4" t="s">
        <v>7</v>
      </c>
      <c r="F21601" s="4" t="s">
        <v>12</v>
      </c>
    </row>
    <row r="21602" spans="1:10">
      <c r="A21602" t="n">
        <v>210370</v>
      </c>
      <c r="B21602" s="10" t="n">
        <v>5</v>
      </c>
      <c r="C21602" s="7" t="n">
        <v>30</v>
      </c>
      <c r="D21602" s="7" t="n">
        <v>10306</v>
      </c>
      <c r="E21602" s="7" t="n">
        <v>1</v>
      </c>
      <c r="F21602" s="11" t="n">
        <f t="normal" ca="1">A21606</f>
        <v>0</v>
      </c>
    </row>
    <row r="21603" spans="1:10">
      <c r="A21603" t="s">
        <v>4</v>
      </c>
      <c r="B21603" s="4" t="s">
        <v>5</v>
      </c>
      <c r="C21603" s="4" t="s">
        <v>7</v>
      </c>
      <c r="D21603" s="4" t="s">
        <v>7</v>
      </c>
      <c r="E21603" s="4" t="s">
        <v>7</v>
      </c>
      <c r="F21603" s="4" t="s">
        <v>7</v>
      </c>
      <c r="G21603" s="4" t="s">
        <v>15</v>
      </c>
      <c r="H21603" s="4" t="s">
        <v>7</v>
      </c>
      <c r="I21603" s="4" t="s">
        <v>7</v>
      </c>
      <c r="J21603" s="4" t="s">
        <v>7</v>
      </c>
    </row>
    <row r="21604" spans="1:10">
      <c r="A21604" t="n">
        <v>210379</v>
      </c>
      <c r="B21604" s="74" t="n">
        <v>18</v>
      </c>
      <c r="C21604" s="7" t="n">
        <v>1</v>
      </c>
      <c r="D21604" s="7" t="n">
        <v>35</v>
      </c>
      <c r="E21604" s="7" t="n">
        <v>1</v>
      </c>
      <c r="F21604" s="7" t="n">
        <v>0</v>
      </c>
      <c r="G21604" s="7" t="n">
        <v>1</v>
      </c>
      <c r="H21604" s="7" t="n">
        <v>12</v>
      </c>
      <c r="I21604" s="7" t="n">
        <v>19</v>
      </c>
      <c r="J21604" s="7" t="n">
        <v>1</v>
      </c>
    </row>
    <row r="21605" spans="1:10">
      <c r="A21605" t="s">
        <v>4</v>
      </c>
      <c r="B21605" s="4" t="s">
        <v>5</v>
      </c>
      <c r="C21605" s="4" t="s">
        <v>7</v>
      </c>
      <c r="D21605" s="4" t="s">
        <v>11</v>
      </c>
      <c r="E21605" s="4" t="s">
        <v>7</v>
      </c>
      <c r="F21605" s="4" t="s">
        <v>12</v>
      </c>
    </row>
    <row r="21606" spans="1:10">
      <c r="A21606" t="n">
        <v>210391</v>
      </c>
      <c r="B21606" s="10" t="n">
        <v>5</v>
      </c>
      <c r="C21606" s="7" t="n">
        <v>30</v>
      </c>
      <c r="D21606" s="7" t="n">
        <v>10307</v>
      </c>
      <c r="E21606" s="7" t="n">
        <v>1</v>
      </c>
      <c r="F21606" s="11" t="n">
        <f t="normal" ca="1">A21610</f>
        <v>0</v>
      </c>
    </row>
    <row r="21607" spans="1:10">
      <c r="A21607" t="s">
        <v>4</v>
      </c>
      <c r="B21607" s="4" t="s">
        <v>5</v>
      </c>
      <c r="C21607" s="4" t="s">
        <v>7</v>
      </c>
      <c r="D21607" s="4" t="s">
        <v>7</v>
      </c>
      <c r="E21607" s="4" t="s">
        <v>7</v>
      </c>
      <c r="F21607" s="4" t="s">
        <v>7</v>
      </c>
      <c r="G21607" s="4" t="s">
        <v>15</v>
      </c>
      <c r="H21607" s="4" t="s">
        <v>7</v>
      </c>
      <c r="I21607" s="4" t="s">
        <v>7</v>
      </c>
      <c r="J21607" s="4" t="s">
        <v>7</v>
      </c>
    </row>
    <row r="21608" spans="1:10">
      <c r="A21608" t="n">
        <v>210400</v>
      </c>
      <c r="B21608" s="74" t="n">
        <v>18</v>
      </c>
      <c r="C21608" s="7" t="n">
        <v>1</v>
      </c>
      <c r="D21608" s="7" t="n">
        <v>35</v>
      </c>
      <c r="E21608" s="7" t="n">
        <v>1</v>
      </c>
      <c r="F21608" s="7" t="n">
        <v>0</v>
      </c>
      <c r="G21608" s="7" t="n">
        <v>1</v>
      </c>
      <c r="H21608" s="7" t="n">
        <v>12</v>
      </c>
      <c r="I21608" s="7" t="n">
        <v>19</v>
      </c>
      <c r="J21608" s="7" t="n">
        <v>1</v>
      </c>
    </row>
    <row r="21609" spans="1:10">
      <c r="A21609" t="s">
        <v>4</v>
      </c>
      <c r="B21609" s="4" t="s">
        <v>5</v>
      </c>
      <c r="C21609" s="4" t="s">
        <v>7</v>
      </c>
      <c r="D21609" s="4" t="s">
        <v>11</v>
      </c>
      <c r="E21609" s="4" t="s">
        <v>7</v>
      </c>
      <c r="F21609" s="4" t="s">
        <v>12</v>
      </c>
    </row>
    <row r="21610" spans="1:10">
      <c r="A21610" t="n">
        <v>210412</v>
      </c>
      <c r="B21610" s="10" t="n">
        <v>5</v>
      </c>
      <c r="C21610" s="7" t="n">
        <v>30</v>
      </c>
      <c r="D21610" s="7" t="n">
        <v>10308</v>
      </c>
      <c r="E21610" s="7" t="n">
        <v>1</v>
      </c>
      <c r="F21610" s="11" t="n">
        <f t="normal" ca="1">A21614</f>
        <v>0</v>
      </c>
    </row>
    <row r="21611" spans="1:10">
      <c r="A21611" t="s">
        <v>4</v>
      </c>
      <c r="B21611" s="4" t="s">
        <v>5</v>
      </c>
      <c r="C21611" s="4" t="s">
        <v>7</v>
      </c>
      <c r="D21611" s="4" t="s">
        <v>7</v>
      </c>
      <c r="E21611" s="4" t="s">
        <v>7</v>
      </c>
      <c r="F21611" s="4" t="s">
        <v>7</v>
      </c>
      <c r="G21611" s="4" t="s">
        <v>15</v>
      </c>
      <c r="H21611" s="4" t="s">
        <v>7</v>
      </c>
      <c r="I21611" s="4" t="s">
        <v>7</v>
      </c>
      <c r="J21611" s="4" t="s">
        <v>7</v>
      </c>
    </row>
    <row r="21612" spans="1:10">
      <c r="A21612" t="n">
        <v>210421</v>
      </c>
      <c r="B21612" s="74" t="n">
        <v>18</v>
      </c>
      <c r="C21612" s="7" t="n">
        <v>1</v>
      </c>
      <c r="D21612" s="7" t="n">
        <v>35</v>
      </c>
      <c r="E21612" s="7" t="n">
        <v>1</v>
      </c>
      <c r="F21612" s="7" t="n">
        <v>0</v>
      </c>
      <c r="G21612" s="7" t="n">
        <v>1</v>
      </c>
      <c r="H21612" s="7" t="n">
        <v>12</v>
      </c>
      <c r="I21612" s="7" t="n">
        <v>19</v>
      </c>
      <c r="J21612" s="7" t="n">
        <v>1</v>
      </c>
    </row>
    <row r="21613" spans="1:10">
      <c r="A21613" t="s">
        <v>4</v>
      </c>
      <c r="B21613" s="4" t="s">
        <v>5</v>
      </c>
      <c r="C21613" s="4" t="s">
        <v>7</v>
      </c>
      <c r="D21613" s="4" t="s">
        <v>11</v>
      </c>
      <c r="E21613" s="4" t="s">
        <v>7</v>
      </c>
      <c r="F21613" s="4" t="s">
        <v>12</v>
      </c>
    </row>
    <row r="21614" spans="1:10">
      <c r="A21614" t="n">
        <v>210433</v>
      </c>
      <c r="B21614" s="10" t="n">
        <v>5</v>
      </c>
      <c r="C21614" s="7" t="n">
        <v>30</v>
      </c>
      <c r="D21614" s="7" t="n">
        <v>10309</v>
      </c>
      <c r="E21614" s="7" t="n">
        <v>1</v>
      </c>
      <c r="F21614" s="11" t="n">
        <f t="normal" ca="1">A21618</f>
        <v>0</v>
      </c>
    </row>
    <row r="21615" spans="1:10">
      <c r="A21615" t="s">
        <v>4</v>
      </c>
      <c r="B21615" s="4" t="s">
        <v>5</v>
      </c>
      <c r="C21615" s="4" t="s">
        <v>7</v>
      </c>
      <c r="D21615" s="4" t="s">
        <v>7</v>
      </c>
      <c r="E21615" s="4" t="s">
        <v>7</v>
      </c>
      <c r="F21615" s="4" t="s">
        <v>7</v>
      </c>
      <c r="G21615" s="4" t="s">
        <v>15</v>
      </c>
      <c r="H21615" s="4" t="s">
        <v>7</v>
      </c>
      <c r="I21615" s="4" t="s">
        <v>7</v>
      </c>
      <c r="J21615" s="4" t="s">
        <v>7</v>
      </c>
    </row>
    <row r="21616" spans="1:10">
      <c r="A21616" t="n">
        <v>210442</v>
      </c>
      <c r="B21616" s="74" t="n">
        <v>18</v>
      </c>
      <c r="C21616" s="7" t="n">
        <v>1</v>
      </c>
      <c r="D21616" s="7" t="n">
        <v>35</v>
      </c>
      <c r="E21616" s="7" t="n">
        <v>1</v>
      </c>
      <c r="F21616" s="7" t="n">
        <v>0</v>
      </c>
      <c r="G21616" s="7" t="n">
        <v>1</v>
      </c>
      <c r="H21616" s="7" t="n">
        <v>12</v>
      </c>
      <c r="I21616" s="7" t="n">
        <v>19</v>
      </c>
      <c r="J21616" s="7" t="n">
        <v>1</v>
      </c>
    </row>
    <row r="21617" spans="1:10">
      <c r="A21617" t="s">
        <v>4</v>
      </c>
      <c r="B21617" s="4" t="s">
        <v>5</v>
      </c>
      <c r="C21617" s="4" t="s">
        <v>7</v>
      </c>
      <c r="D21617" s="4" t="s">
        <v>11</v>
      </c>
      <c r="E21617" s="4" t="s">
        <v>7</v>
      </c>
      <c r="F21617" s="4" t="s">
        <v>12</v>
      </c>
    </row>
    <row r="21618" spans="1:10">
      <c r="A21618" t="n">
        <v>210454</v>
      </c>
      <c r="B21618" s="10" t="n">
        <v>5</v>
      </c>
      <c r="C21618" s="7" t="n">
        <v>30</v>
      </c>
      <c r="D21618" s="7" t="n">
        <v>10310</v>
      </c>
      <c r="E21618" s="7" t="n">
        <v>1</v>
      </c>
      <c r="F21618" s="11" t="n">
        <f t="normal" ca="1">A21622</f>
        <v>0</v>
      </c>
    </row>
    <row r="21619" spans="1:10">
      <c r="A21619" t="s">
        <v>4</v>
      </c>
      <c r="B21619" s="4" t="s">
        <v>5</v>
      </c>
      <c r="C21619" s="4" t="s">
        <v>7</v>
      </c>
      <c r="D21619" s="4" t="s">
        <v>7</v>
      </c>
      <c r="E21619" s="4" t="s">
        <v>7</v>
      </c>
      <c r="F21619" s="4" t="s">
        <v>7</v>
      </c>
      <c r="G21619" s="4" t="s">
        <v>15</v>
      </c>
      <c r="H21619" s="4" t="s">
        <v>7</v>
      </c>
      <c r="I21619" s="4" t="s">
        <v>7</v>
      </c>
      <c r="J21619" s="4" t="s">
        <v>7</v>
      </c>
    </row>
    <row r="21620" spans="1:10">
      <c r="A21620" t="n">
        <v>210463</v>
      </c>
      <c r="B21620" s="74" t="n">
        <v>18</v>
      </c>
      <c r="C21620" s="7" t="n">
        <v>1</v>
      </c>
      <c r="D21620" s="7" t="n">
        <v>35</v>
      </c>
      <c r="E21620" s="7" t="n">
        <v>1</v>
      </c>
      <c r="F21620" s="7" t="n">
        <v>0</v>
      </c>
      <c r="G21620" s="7" t="n">
        <v>1</v>
      </c>
      <c r="H21620" s="7" t="n">
        <v>12</v>
      </c>
      <c r="I21620" s="7" t="n">
        <v>19</v>
      </c>
      <c r="J21620" s="7" t="n">
        <v>1</v>
      </c>
    </row>
    <row r="21621" spans="1:10">
      <c r="A21621" t="s">
        <v>4</v>
      </c>
      <c r="B21621" s="4" t="s">
        <v>5</v>
      </c>
      <c r="C21621" s="4" t="s">
        <v>7</v>
      </c>
      <c r="D21621" s="4" t="s">
        <v>11</v>
      </c>
      <c r="E21621" s="4" t="s">
        <v>7</v>
      </c>
      <c r="F21621" s="4" t="s">
        <v>12</v>
      </c>
    </row>
    <row r="21622" spans="1:10">
      <c r="A21622" t="n">
        <v>210475</v>
      </c>
      <c r="B21622" s="10" t="n">
        <v>5</v>
      </c>
      <c r="C21622" s="7" t="n">
        <v>30</v>
      </c>
      <c r="D21622" s="7" t="n">
        <v>10311</v>
      </c>
      <c r="E21622" s="7" t="n">
        <v>1</v>
      </c>
      <c r="F21622" s="11" t="n">
        <f t="normal" ca="1">A21626</f>
        <v>0</v>
      </c>
    </row>
    <row r="21623" spans="1:10">
      <c r="A21623" t="s">
        <v>4</v>
      </c>
      <c r="B21623" s="4" t="s">
        <v>5</v>
      </c>
      <c r="C21623" s="4" t="s">
        <v>7</v>
      </c>
      <c r="D21623" s="4" t="s">
        <v>7</v>
      </c>
      <c r="E21623" s="4" t="s">
        <v>7</v>
      </c>
      <c r="F21623" s="4" t="s">
        <v>7</v>
      </c>
      <c r="G21623" s="4" t="s">
        <v>15</v>
      </c>
      <c r="H21623" s="4" t="s">
        <v>7</v>
      </c>
      <c r="I21623" s="4" t="s">
        <v>7</v>
      </c>
      <c r="J21623" s="4" t="s">
        <v>7</v>
      </c>
    </row>
    <row r="21624" spans="1:10">
      <c r="A21624" t="n">
        <v>210484</v>
      </c>
      <c r="B21624" s="74" t="n">
        <v>18</v>
      </c>
      <c r="C21624" s="7" t="n">
        <v>1</v>
      </c>
      <c r="D21624" s="7" t="n">
        <v>35</v>
      </c>
      <c r="E21624" s="7" t="n">
        <v>1</v>
      </c>
      <c r="F21624" s="7" t="n">
        <v>0</v>
      </c>
      <c r="G21624" s="7" t="n">
        <v>1</v>
      </c>
      <c r="H21624" s="7" t="n">
        <v>12</v>
      </c>
      <c r="I21624" s="7" t="n">
        <v>19</v>
      </c>
      <c r="J21624" s="7" t="n">
        <v>1</v>
      </c>
    </row>
    <row r="21625" spans="1:10">
      <c r="A21625" t="s">
        <v>4</v>
      </c>
      <c r="B21625" s="4" t="s">
        <v>5</v>
      </c>
      <c r="C21625" s="4" t="s">
        <v>7</v>
      </c>
      <c r="D21625" s="4" t="s">
        <v>11</v>
      </c>
      <c r="E21625" s="4" t="s">
        <v>7</v>
      </c>
      <c r="F21625" s="4" t="s">
        <v>12</v>
      </c>
    </row>
    <row r="21626" spans="1:10">
      <c r="A21626" t="n">
        <v>210496</v>
      </c>
      <c r="B21626" s="10" t="n">
        <v>5</v>
      </c>
      <c r="C21626" s="7" t="n">
        <v>30</v>
      </c>
      <c r="D21626" s="7" t="n">
        <v>10312</v>
      </c>
      <c r="E21626" s="7" t="n">
        <v>1</v>
      </c>
      <c r="F21626" s="11" t="n">
        <f t="normal" ca="1">A21630</f>
        <v>0</v>
      </c>
    </row>
    <row r="21627" spans="1:10">
      <c r="A21627" t="s">
        <v>4</v>
      </c>
      <c r="B21627" s="4" t="s">
        <v>5</v>
      </c>
      <c r="C21627" s="4" t="s">
        <v>7</v>
      </c>
      <c r="D21627" s="4" t="s">
        <v>7</v>
      </c>
      <c r="E21627" s="4" t="s">
        <v>7</v>
      </c>
      <c r="F21627" s="4" t="s">
        <v>7</v>
      </c>
      <c r="G21627" s="4" t="s">
        <v>15</v>
      </c>
      <c r="H21627" s="4" t="s">
        <v>7</v>
      </c>
      <c r="I21627" s="4" t="s">
        <v>7</v>
      </c>
      <c r="J21627" s="4" t="s">
        <v>7</v>
      </c>
    </row>
    <row r="21628" spans="1:10">
      <c r="A21628" t="n">
        <v>210505</v>
      </c>
      <c r="B21628" s="74" t="n">
        <v>18</v>
      </c>
      <c r="C21628" s="7" t="n">
        <v>1</v>
      </c>
      <c r="D21628" s="7" t="n">
        <v>35</v>
      </c>
      <c r="E21628" s="7" t="n">
        <v>1</v>
      </c>
      <c r="F21628" s="7" t="n">
        <v>0</v>
      </c>
      <c r="G21628" s="7" t="n">
        <v>1</v>
      </c>
      <c r="H21628" s="7" t="n">
        <v>12</v>
      </c>
      <c r="I21628" s="7" t="n">
        <v>19</v>
      </c>
      <c r="J21628" s="7" t="n">
        <v>1</v>
      </c>
    </row>
    <row r="21629" spans="1:10">
      <c r="A21629" t="s">
        <v>4</v>
      </c>
      <c r="B21629" s="4" t="s">
        <v>5</v>
      </c>
      <c r="C21629" s="4" t="s">
        <v>7</v>
      </c>
      <c r="D21629" s="4" t="s">
        <v>11</v>
      </c>
      <c r="E21629" s="4" t="s">
        <v>7</v>
      </c>
      <c r="F21629" s="4" t="s">
        <v>12</v>
      </c>
    </row>
    <row r="21630" spans="1:10">
      <c r="A21630" t="n">
        <v>210517</v>
      </c>
      <c r="B21630" s="10" t="n">
        <v>5</v>
      </c>
      <c r="C21630" s="7" t="n">
        <v>30</v>
      </c>
      <c r="D21630" s="7" t="n">
        <v>10313</v>
      </c>
      <c r="E21630" s="7" t="n">
        <v>1</v>
      </c>
      <c r="F21630" s="11" t="n">
        <f t="normal" ca="1">A21634</f>
        <v>0</v>
      </c>
    </row>
    <row r="21631" spans="1:10">
      <c r="A21631" t="s">
        <v>4</v>
      </c>
      <c r="B21631" s="4" t="s">
        <v>5</v>
      </c>
      <c r="C21631" s="4" t="s">
        <v>7</v>
      </c>
      <c r="D21631" s="4" t="s">
        <v>7</v>
      </c>
      <c r="E21631" s="4" t="s">
        <v>7</v>
      </c>
      <c r="F21631" s="4" t="s">
        <v>7</v>
      </c>
      <c r="G21631" s="4" t="s">
        <v>15</v>
      </c>
      <c r="H21631" s="4" t="s">
        <v>7</v>
      </c>
      <c r="I21631" s="4" t="s">
        <v>7</v>
      </c>
      <c r="J21631" s="4" t="s">
        <v>7</v>
      </c>
    </row>
    <row r="21632" spans="1:10">
      <c r="A21632" t="n">
        <v>210526</v>
      </c>
      <c r="B21632" s="74" t="n">
        <v>18</v>
      </c>
      <c r="C21632" s="7" t="n">
        <v>1</v>
      </c>
      <c r="D21632" s="7" t="n">
        <v>35</v>
      </c>
      <c r="E21632" s="7" t="n">
        <v>1</v>
      </c>
      <c r="F21632" s="7" t="n">
        <v>0</v>
      </c>
      <c r="G21632" s="7" t="n">
        <v>1</v>
      </c>
      <c r="H21632" s="7" t="n">
        <v>12</v>
      </c>
      <c r="I21632" s="7" t="n">
        <v>19</v>
      </c>
      <c r="J21632" s="7" t="n">
        <v>1</v>
      </c>
    </row>
    <row r="21633" spans="1:10">
      <c r="A21633" t="s">
        <v>4</v>
      </c>
      <c r="B21633" s="4" t="s">
        <v>5</v>
      </c>
      <c r="C21633" s="4" t="s">
        <v>7</v>
      </c>
      <c r="D21633" s="4" t="s">
        <v>11</v>
      </c>
      <c r="E21633" s="4" t="s">
        <v>7</v>
      </c>
      <c r="F21633" s="4" t="s">
        <v>12</v>
      </c>
    </row>
    <row r="21634" spans="1:10">
      <c r="A21634" t="n">
        <v>210538</v>
      </c>
      <c r="B21634" s="10" t="n">
        <v>5</v>
      </c>
      <c r="C21634" s="7" t="n">
        <v>30</v>
      </c>
      <c r="D21634" s="7" t="n">
        <v>10314</v>
      </c>
      <c r="E21634" s="7" t="n">
        <v>1</v>
      </c>
      <c r="F21634" s="11" t="n">
        <f t="normal" ca="1">A21638</f>
        <v>0</v>
      </c>
    </row>
    <row r="21635" spans="1:10">
      <c r="A21635" t="s">
        <v>4</v>
      </c>
      <c r="B21635" s="4" t="s">
        <v>5</v>
      </c>
      <c r="C21635" s="4" t="s">
        <v>7</v>
      </c>
      <c r="D21635" s="4" t="s">
        <v>7</v>
      </c>
      <c r="E21635" s="4" t="s">
        <v>7</v>
      </c>
      <c r="F21635" s="4" t="s">
        <v>7</v>
      </c>
      <c r="G21635" s="4" t="s">
        <v>15</v>
      </c>
      <c r="H21635" s="4" t="s">
        <v>7</v>
      </c>
      <c r="I21635" s="4" t="s">
        <v>7</v>
      </c>
      <c r="J21635" s="4" t="s">
        <v>7</v>
      </c>
    </row>
    <row r="21636" spans="1:10">
      <c r="A21636" t="n">
        <v>210547</v>
      </c>
      <c r="B21636" s="74" t="n">
        <v>18</v>
      </c>
      <c r="C21636" s="7" t="n">
        <v>1</v>
      </c>
      <c r="D21636" s="7" t="n">
        <v>35</v>
      </c>
      <c r="E21636" s="7" t="n">
        <v>1</v>
      </c>
      <c r="F21636" s="7" t="n">
        <v>0</v>
      </c>
      <c r="G21636" s="7" t="n">
        <v>1</v>
      </c>
      <c r="H21636" s="7" t="n">
        <v>12</v>
      </c>
      <c r="I21636" s="7" t="n">
        <v>19</v>
      </c>
      <c r="J21636" s="7" t="n">
        <v>1</v>
      </c>
    </row>
    <row r="21637" spans="1:10">
      <c r="A21637" t="s">
        <v>4</v>
      </c>
      <c r="B21637" s="4" t="s">
        <v>5</v>
      </c>
      <c r="C21637" s="4" t="s">
        <v>7</v>
      </c>
      <c r="D21637" s="4" t="s">
        <v>11</v>
      </c>
      <c r="E21637" s="4" t="s">
        <v>7</v>
      </c>
      <c r="F21637" s="4" t="s">
        <v>12</v>
      </c>
    </row>
    <row r="21638" spans="1:10">
      <c r="A21638" t="n">
        <v>210559</v>
      </c>
      <c r="B21638" s="10" t="n">
        <v>5</v>
      </c>
      <c r="C21638" s="7" t="n">
        <v>30</v>
      </c>
      <c r="D21638" s="7" t="n">
        <v>10315</v>
      </c>
      <c r="E21638" s="7" t="n">
        <v>1</v>
      </c>
      <c r="F21638" s="11" t="n">
        <f t="normal" ca="1">A21642</f>
        <v>0</v>
      </c>
    </row>
    <row r="21639" spans="1:10">
      <c r="A21639" t="s">
        <v>4</v>
      </c>
      <c r="B21639" s="4" t="s">
        <v>5</v>
      </c>
      <c r="C21639" s="4" t="s">
        <v>7</v>
      </c>
      <c r="D21639" s="4" t="s">
        <v>7</v>
      </c>
      <c r="E21639" s="4" t="s">
        <v>7</v>
      </c>
      <c r="F21639" s="4" t="s">
        <v>7</v>
      </c>
      <c r="G21639" s="4" t="s">
        <v>15</v>
      </c>
      <c r="H21639" s="4" t="s">
        <v>7</v>
      </c>
      <c r="I21639" s="4" t="s">
        <v>7</v>
      </c>
      <c r="J21639" s="4" t="s">
        <v>7</v>
      </c>
    </row>
    <row r="21640" spans="1:10">
      <c r="A21640" t="n">
        <v>210568</v>
      </c>
      <c r="B21640" s="74" t="n">
        <v>18</v>
      </c>
      <c r="C21640" s="7" t="n">
        <v>1</v>
      </c>
      <c r="D21640" s="7" t="n">
        <v>35</v>
      </c>
      <c r="E21640" s="7" t="n">
        <v>1</v>
      </c>
      <c r="F21640" s="7" t="n">
        <v>0</v>
      </c>
      <c r="G21640" s="7" t="n">
        <v>1</v>
      </c>
      <c r="H21640" s="7" t="n">
        <v>12</v>
      </c>
      <c r="I21640" s="7" t="n">
        <v>19</v>
      </c>
      <c r="J21640" s="7" t="n">
        <v>1</v>
      </c>
    </row>
    <row r="21641" spans="1:10">
      <c r="A21641" t="s">
        <v>4</v>
      </c>
      <c r="B21641" s="4" t="s">
        <v>5</v>
      </c>
      <c r="C21641" s="4" t="s">
        <v>7</v>
      </c>
      <c r="D21641" s="20" t="s">
        <v>35</v>
      </c>
      <c r="E21641" s="4" t="s">
        <v>5</v>
      </c>
      <c r="F21641" s="4" t="s">
        <v>7</v>
      </c>
      <c r="G21641" s="4" t="s">
        <v>11</v>
      </c>
      <c r="H21641" s="4" t="s">
        <v>15</v>
      </c>
      <c r="I21641" s="20" t="s">
        <v>36</v>
      </c>
      <c r="J21641" s="4" t="s">
        <v>7</v>
      </c>
      <c r="K21641" s="4" t="s">
        <v>11</v>
      </c>
      <c r="L21641" s="4" t="s">
        <v>7</v>
      </c>
      <c r="M21641" s="4" t="s">
        <v>7</v>
      </c>
      <c r="N21641" s="4" t="s">
        <v>7</v>
      </c>
      <c r="O21641" s="4" t="s">
        <v>12</v>
      </c>
    </row>
    <row r="21642" spans="1:10">
      <c r="A21642" t="n">
        <v>210580</v>
      </c>
      <c r="B21642" s="10" t="n">
        <v>5</v>
      </c>
      <c r="C21642" s="7" t="n">
        <v>28</v>
      </c>
      <c r="D21642" s="20" t="s">
        <v>3</v>
      </c>
      <c r="E21642" s="21" t="n">
        <v>101</v>
      </c>
      <c r="F21642" s="7" t="n">
        <v>11</v>
      </c>
      <c r="G21642" s="7" t="n">
        <v>106</v>
      </c>
      <c r="H21642" s="7" t="n">
        <v>0</v>
      </c>
      <c r="I21642" s="20" t="s">
        <v>3</v>
      </c>
      <c r="J21642" s="7" t="n">
        <v>30</v>
      </c>
      <c r="K21642" s="7" t="n">
        <v>10743</v>
      </c>
      <c r="L21642" s="7" t="n">
        <v>8</v>
      </c>
      <c r="M21642" s="7" t="n">
        <v>9</v>
      </c>
      <c r="N21642" s="7" t="n">
        <v>1</v>
      </c>
      <c r="O21642" s="11" t="n">
        <f t="normal" ca="1">A21670</f>
        <v>0</v>
      </c>
    </row>
    <row r="21643" spans="1:10">
      <c r="A21643" t="s">
        <v>4</v>
      </c>
      <c r="B21643" s="4" t="s">
        <v>5</v>
      </c>
      <c r="C21643" s="4" t="s">
        <v>7</v>
      </c>
      <c r="D21643" s="4" t="s">
        <v>11</v>
      </c>
      <c r="E21643" s="4" t="s">
        <v>8</v>
      </c>
    </row>
    <row r="21644" spans="1:10">
      <c r="A21644" t="n">
        <v>210600</v>
      </c>
      <c r="B21644" s="38" t="n">
        <v>51</v>
      </c>
      <c r="C21644" s="7" t="n">
        <v>4</v>
      </c>
      <c r="D21644" s="7" t="n">
        <v>0</v>
      </c>
      <c r="E21644" s="7" t="s">
        <v>1299</v>
      </c>
    </row>
    <row r="21645" spans="1:10">
      <c r="A21645" t="s">
        <v>4</v>
      </c>
      <c r="B21645" s="4" t="s">
        <v>5</v>
      </c>
      <c r="C21645" s="4" t="s">
        <v>11</v>
      </c>
    </row>
    <row r="21646" spans="1:10">
      <c r="A21646" t="n">
        <v>210615</v>
      </c>
      <c r="B21646" s="29" t="n">
        <v>16</v>
      </c>
      <c r="C21646" s="7" t="n">
        <v>0</v>
      </c>
    </row>
    <row r="21647" spans="1:10">
      <c r="A21647" t="s">
        <v>4</v>
      </c>
      <c r="B21647" s="4" t="s">
        <v>5</v>
      </c>
      <c r="C21647" s="4" t="s">
        <v>11</v>
      </c>
      <c r="D21647" s="4" t="s">
        <v>55</v>
      </c>
      <c r="E21647" s="4" t="s">
        <v>7</v>
      </c>
      <c r="F21647" s="4" t="s">
        <v>7</v>
      </c>
      <c r="G21647" s="4" t="s">
        <v>55</v>
      </c>
      <c r="H21647" s="4" t="s">
        <v>7</v>
      </c>
      <c r="I21647" s="4" t="s">
        <v>7</v>
      </c>
    </row>
    <row r="21648" spans="1:10">
      <c r="A21648" t="n">
        <v>210618</v>
      </c>
      <c r="B21648" s="55" t="n">
        <v>26</v>
      </c>
      <c r="C21648" s="7" t="n">
        <v>0</v>
      </c>
      <c r="D21648" s="7" t="s">
        <v>1796</v>
      </c>
      <c r="E21648" s="7" t="n">
        <v>2</v>
      </c>
      <c r="F21648" s="7" t="n">
        <v>3</v>
      </c>
      <c r="G21648" s="7" t="s">
        <v>1797</v>
      </c>
      <c r="H21648" s="7" t="n">
        <v>2</v>
      </c>
      <c r="I21648" s="7" t="n">
        <v>0</v>
      </c>
    </row>
    <row r="21649" spans="1:15">
      <c r="A21649" t="s">
        <v>4</v>
      </c>
      <c r="B21649" s="4" t="s">
        <v>5</v>
      </c>
    </row>
    <row r="21650" spans="1:15">
      <c r="A21650" t="n">
        <v>210798</v>
      </c>
      <c r="B21650" s="27" t="n">
        <v>28</v>
      </c>
    </row>
    <row r="21651" spans="1:15">
      <c r="A21651" t="s">
        <v>4</v>
      </c>
      <c r="B21651" s="4" t="s">
        <v>5</v>
      </c>
      <c r="C21651" s="4" t="s">
        <v>7</v>
      </c>
      <c r="D21651" s="4" t="s">
        <v>11</v>
      </c>
      <c r="E21651" s="4" t="s">
        <v>13</v>
      </c>
    </row>
    <row r="21652" spans="1:15">
      <c r="A21652" t="n">
        <v>210799</v>
      </c>
      <c r="B21652" s="23" t="n">
        <v>58</v>
      </c>
      <c r="C21652" s="7" t="n">
        <v>0</v>
      </c>
      <c r="D21652" s="7" t="n">
        <v>300</v>
      </c>
      <c r="E21652" s="7" t="n">
        <v>0.300000011920929</v>
      </c>
    </row>
    <row r="21653" spans="1:15">
      <c r="A21653" t="s">
        <v>4</v>
      </c>
      <c r="B21653" s="4" t="s">
        <v>5</v>
      </c>
      <c r="C21653" s="4" t="s">
        <v>7</v>
      </c>
      <c r="D21653" s="4" t="s">
        <v>11</v>
      </c>
    </row>
    <row r="21654" spans="1:15">
      <c r="A21654" t="n">
        <v>210807</v>
      </c>
      <c r="B21654" s="23" t="n">
        <v>58</v>
      </c>
      <c r="C21654" s="7" t="n">
        <v>255</v>
      </c>
      <c r="D21654" s="7" t="n">
        <v>0</v>
      </c>
    </row>
    <row r="21655" spans="1:15">
      <c r="A21655" t="s">
        <v>4</v>
      </c>
      <c r="B21655" s="4" t="s">
        <v>5</v>
      </c>
      <c r="C21655" s="4" t="s">
        <v>7</v>
      </c>
      <c r="D21655" s="4" t="s">
        <v>11</v>
      </c>
      <c r="E21655" s="4" t="s">
        <v>13</v>
      </c>
      <c r="F21655" s="4" t="s">
        <v>11</v>
      </c>
      <c r="G21655" s="4" t="s">
        <v>15</v>
      </c>
      <c r="H21655" s="4" t="s">
        <v>15</v>
      </c>
      <c r="I21655" s="4" t="s">
        <v>11</v>
      </c>
      <c r="J21655" s="4" t="s">
        <v>11</v>
      </c>
      <c r="K21655" s="4" t="s">
        <v>15</v>
      </c>
      <c r="L21655" s="4" t="s">
        <v>15</v>
      </c>
      <c r="M21655" s="4" t="s">
        <v>15</v>
      </c>
      <c r="N21655" s="4" t="s">
        <v>15</v>
      </c>
      <c r="O21655" s="4" t="s">
        <v>8</v>
      </c>
    </row>
    <row r="21656" spans="1:15">
      <c r="A21656" t="n">
        <v>210811</v>
      </c>
      <c r="B21656" s="57" t="n">
        <v>50</v>
      </c>
      <c r="C21656" s="7" t="n">
        <v>0</v>
      </c>
      <c r="D21656" s="7" t="n">
        <v>12105</v>
      </c>
      <c r="E21656" s="7" t="n">
        <v>0.699999988079071</v>
      </c>
      <c r="F21656" s="7" t="n">
        <v>0</v>
      </c>
      <c r="G21656" s="7" t="n">
        <v>0</v>
      </c>
      <c r="H21656" s="7" t="n">
        <v>0</v>
      </c>
      <c r="I21656" s="7" t="n">
        <v>0</v>
      </c>
      <c r="J21656" s="7" t="n">
        <v>65533</v>
      </c>
      <c r="K21656" s="7" t="n">
        <v>0</v>
      </c>
      <c r="L21656" s="7" t="n">
        <v>0</v>
      </c>
      <c r="M21656" s="7" t="n">
        <v>0</v>
      </c>
      <c r="N21656" s="7" t="n">
        <v>0</v>
      </c>
      <c r="O21656" s="7" t="s">
        <v>16</v>
      </c>
    </row>
    <row r="21657" spans="1:15">
      <c r="A21657" t="s">
        <v>4</v>
      </c>
      <c r="B21657" s="4" t="s">
        <v>5</v>
      </c>
      <c r="C21657" s="4" t="s">
        <v>7</v>
      </c>
      <c r="D21657" s="4" t="s">
        <v>11</v>
      </c>
      <c r="E21657" s="4" t="s">
        <v>11</v>
      </c>
      <c r="F21657" s="4" t="s">
        <v>11</v>
      </c>
      <c r="G21657" s="4" t="s">
        <v>11</v>
      </c>
      <c r="H21657" s="4" t="s">
        <v>7</v>
      </c>
    </row>
    <row r="21658" spans="1:15">
      <c r="A21658" t="n">
        <v>210850</v>
      </c>
      <c r="B21658" s="31" t="n">
        <v>25</v>
      </c>
      <c r="C21658" s="7" t="n">
        <v>5</v>
      </c>
      <c r="D21658" s="7" t="n">
        <v>65535</v>
      </c>
      <c r="E21658" s="7" t="n">
        <v>500</v>
      </c>
      <c r="F21658" s="7" t="n">
        <v>800</v>
      </c>
      <c r="G21658" s="7" t="n">
        <v>140</v>
      </c>
      <c r="H21658" s="7" t="n">
        <v>0</v>
      </c>
    </row>
    <row r="21659" spans="1:15">
      <c r="A21659" t="s">
        <v>4</v>
      </c>
      <c r="B21659" s="4" t="s">
        <v>5</v>
      </c>
      <c r="C21659" s="4" t="s">
        <v>11</v>
      </c>
      <c r="D21659" s="4" t="s">
        <v>7</v>
      </c>
      <c r="E21659" s="4" t="s">
        <v>55</v>
      </c>
      <c r="F21659" s="4" t="s">
        <v>7</v>
      </c>
      <c r="G21659" s="4" t="s">
        <v>7</v>
      </c>
      <c r="H21659" s="4" t="s">
        <v>7</v>
      </c>
    </row>
    <row r="21660" spans="1:15">
      <c r="A21660" t="n">
        <v>210861</v>
      </c>
      <c r="B21660" s="32" t="n">
        <v>24</v>
      </c>
      <c r="C21660" s="7" t="n">
        <v>65533</v>
      </c>
      <c r="D21660" s="7" t="n">
        <v>11</v>
      </c>
      <c r="E21660" s="7" t="s">
        <v>1798</v>
      </c>
      <c r="F21660" s="7" t="n">
        <v>8</v>
      </c>
      <c r="G21660" s="7" t="n">
        <v>2</v>
      </c>
      <c r="H21660" s="7" t="n">
        <v>0</v>
      </c>
    </row>
    <row r="21661" spans="1:15">
      <c r="A21661" t="s">
        <v>4</v>
      </c>
      <c r="B21661" s="4" t="s">
        <v>5</v>
      </c>
    </row>
    <row r="21662" spans="1:15">
      <c r="A21662" t="n">
        <v>210945</v>
      </c>
      <c r="B21662" s="27" t="n">
        <v>28</v>
      </c>
    </row>
    <row r="21663" spans="1:15">
      <c r="A21663" t="s">
        <v>4</v>
      </c>
      <c r="B21663" s="4" t="s">
        <v>5</v>
      </c>
      <c r="C21663" s="4" t="s">
        <v>7</v>
      </c>
    </row>
    <row r="21664" spans="1:15">
      <c r="A21664" t="n">
        <v>210946</v>
      </c>
      <c r="B21664" s="33" t="n">
        <v>27</v>
      </c>
      <c r="C21664" s="7" t="n">
        <v>0</v>
      </c>
    </row>
    <row r="21665" spans="1:15">
      <c r="A21665" t="s">
        <v>4</v>
      </c>
      <c r="B21665" s="4" t="s">
        <v>5</v>
      </c>
      <c r="C21665" s="4" t="s">
        <v>7</v>
      </c>
      <c r="D21665" s="4" t="s">
        <v>11</v>
      </c>
      <c r="E21665" s="4" t="s">
        <v>11</v>
      </c>
      <c r="F21665" s="4" t="s">
        <v>11</v>
      </c>
      <c r="G21665" s="4" t="s">
        <v>11</v>
      </c>
      <c r="H21665" s="4" t="s">
        <v>7</v>
      </c>
    </row>
    <row r="21666" spans="1:15">
      <c r="A21666" t="n">
        <v>210948</v>
      </c>
      <c r="B21666" s="31" t="n">
        <v>25</v>
      </c>
      <c r="C21666" s="7" t="n">
        <v>5</v>
      </c>
      <c r="D21666" s="7" t="n">
        <v>65535</v>
      </c>
      <c r="E21666" s="7" t="n">
        <v>65535</v>
      </c>
      <c r="F21666" s="7" t="n">
        <v>65535</v>
      </c>
      <c r="G21666" s="7" t="n">
        <v>65535</v>
      </c>
      <c r="H21666" s="7" t="n">
        <v>0</v>
      </c>
    </row>
    <row r="21667" spans="1:15">
      <c r="A21667" t="s">
        <v>4</v>
      </c>
      <c r="B21667" s="4" t="s">
        <v>5</v>
      </c>
      <c r="C21667" s="4" t="s">
        <v>12</v>
      </c>
    </row>
    <row r="21668" spans="1:15">
      <c r="A21668" t="n">
        <v>210959</v>
      </c>
      <c r="B21668" s="19" t="n">
        <v>3</v>
      </c>
      <c r="C21668" s="11" t="n">
        <f t="normal" ca="1">A21752</f>
        <v>0</v>
      </c>
    </row>
    <row r="21669" spans="1:15">
      <c r="A21669" t="s">
        <v>4</v>
      </c>
      <c r="B21669" s="4" t="s">
        <v>5</v>
      </c>
      <c r="C21669" s="4" t="s">
        <v>7</v>
      </c>
      <c r="D21669" s="4" t="s">
        <v>7</v>
      </c>
      <c r="E21669" s="4" t="s">
        <v>7</v>
      </c>
      <c r="F21669" s="4" t="s">
        <v>15</v>
      </c>
      <c r="G21669" s="4" t="s">
        <v>7</v>
      </c>
      <c r="H21669" s="4" t="s">
        <v>7</v>
      </c>
      <c r="I21669" s="4" t="s">
        <v>12</v>
      </c>
    </row>
    <row r="21670" spans="1:15">
      <c r="A21670" t="n">
        <v>210964</v>
      </c>
      <c r="B21670" s="10" t="n">
        <v>5</v>
      </c>
      <c r="C21670" s="7" t="n">
        <v>35</v>
      </c>
      <c r="D21670" s="7" t="n">
        <v>1</v>
      </c>
      <c r="E21670" s="7" t="n">
        <v>0</v>
      </c>
      <c r="F21670" s="7" t="n">
        <v>12</v>
      </c>
      <c r="G21670" s="7" t="n">
        <v>3</v>
      </c>
      <c r="H21670" s="7" t="n">
        <v>1</v>
      </c>
      <c r="I21670" s="11" t="n">
        <f t="normal" ca="1">A21682</f>
        <v>0</v>
      </c>
    </row>
    <row r="21671" spans="1:15">
      <c r="A21671" t="s">
        <v>4</v>
      </c>
      <c r="B21671" s="4" t="s">
        <v>5</v>
      </c>
      <c r="C21671" s="4" t="s">
        <v>7</v>
      </c>
      <c r="D21671" s="4" t="s">
        <v>11</v>
      </c>
      <c r="E21671" s="4" t="s">
        <v>8</v>
      </c>
    </row>
    <row r="21672" spans="1:15">
      <c r="A21672" t="n">
        <v>210978</v>
      </c>
      <c r="B21672" s="38" t="n">
        <v>51</v>
      </c>
      <c r="C21672" s="7" t="n">
        <v>4</v>
      </c>
      <c r="D21672" s="7" t="n">
        <v>0</v>
      </c>
      <c r="E21672" s="7" t="s">
        <v>264</v>
      </c>
    </row>
    <row r="21673" spans="1:15">
      <c r="A21673" t="s">
        <v>4</v>
      </c>
      <c r="B21673" s="4" t="s">
        <v>5</v>
      </c>
      <c r="C21673" s="4" t="s">
        <v>11</v>
      </c>
    </row>
    <row r="21674" spans="1:15">
      <c r="A21674" t="n">
        <v>210993</v>
      </c>
      <c r="B21674" s="29" t="n">
        <v>16</v>
      </c>
      <c r="C21674" s="7" t="n">
        <v>0</v>
      </c>
    </row>
    <row r="21675" spans="1:15">
      <c r="A21675" t="s">
        <v>4</v>
      </c>
      <c r="B21675" s="4" t="s">
        <v>5</v>
      </c>
      <c r="C21675" s="4" t="s">
        <v>11</v>
      </c>
      <c r="D21675" s="4" t="s">
        <v>55</v>
      </c>
      <c r="E21675" s="4" t="s">
        <v>7</v>
      </c>
      <c r="F21675" s="4" t="s">
        <v>7</v>
      </c>
      <c r="G21675" s="4" t="s">
        <v>55</v>
      </c>
      <c r="H21675" s="4" t="s">
        <v>7</v>
      </c>
      <c r="I21675" s="4" t="s">
        <v>7</v>
      </c>
    </row>
    <row r="21676" spans="1:15">
      <c r="A21676" t="n">
        <v>210996</v>
      </c>
      <c r="B21676" s="55" t="n">
        <v>26</v>
      </c>
      <c r="C21676" s="7" t="n">
        <v>0</v>
      </c>
      <c r="D21676" s="7" t="s">
        <v>1799</v>
      </c>
      <c r="E21676" s="7" t="n">
        <v>2</v>
      </c>
      <c r="F21676" s="7" t="n">
        <v>3</v>
      </c>
      <c r="G21676" s="7" t="s">
        <v>1800</v>
      </c>
      <c r="H21676" s="7" t="n">
        <v>2</v>
      </c>
      <c r="I21676" s="7" t="n">
        <v>0</v>
      </c>
    </row>
    <row r="21677" spans="1:15">
      <c r="A21677" t="s">
        <v>4</v>
      </c>
      <c r="B21677" s="4" t="s">
        <v>5</v>
      </c>
    </row>
    <row r="21678" spans="1:15">
      <c r="A21678" t="n">
        <v>211171</v>
      </c>
      <c r="B21678" s="27" t="n">
        <v>28</v>
      </c>
    </row>
    <row r="21679" spans="1:15">
      <c r="A21679" t="s">
        <v>4</v>
      </c>
      <c r="B21679" s="4" t="s">
        <v>5</v>
      </c>
      <c r="C21679" s="4" t="s">
        <v>12</v>
      </c>
    </row>
    <row r="21680" spans="1:15">
      <c r="A21680" t="n">
        <v>211172</v>
      </c>
      <c r="B21680" s="19" t="n">
        <v>3</v>
      </c>
      <c r="C21680" s="11" t="n">
        <f t="normal" ca="1">A21690</f>
        <v>0</v>
      </c>
    </row>
    <row r="21681" spans="1:9">
      <c r="A21681" t="s">
        <v>4</v>
      </c>
      <c r="B21681" s="4" t="s">
        <v>5</v>
      </c>
      <c r="C21681" s="4" t="s">
        <v>7</v>
      </c>
      <c r="D21681" s="4" t="s">
        <v>11</v>
      </c>
      <c r="E21681" s="4" t="s">
        <v>8</v>
      </c>
    </row>
    <row r="21682" spans="1:9">
      <c r="A21682" t="n">
        <v>211177</v>
      </c>
      <c r="B21682" s="38" t="n">
        <v>51</v>
      </c>
      <c r="C21682" s="7" t="n">
        <v>4</v>
      </c>
      <c r="D21682" s="7" t="n">
        <v>0</v>
      </c>
      <c r="E21682" s="7" t="s">
        <v>264</v>
      </c>
    </row>
    <row r="21683" spans="1:9">
      <c r="A21683" t="s">
        <v>4</v>
      </c>
      <c r="B21683" s="4" t="s">
        <v>5</v>
      </c>
      <c r="C21683" s="4" t="s">
        <v>11</v>
      </c>
    </row>
    <row r="21684" spans="1:9">
      <c r="A21684" t="n">
        <v>211192</v>
      </c>
      <c r="B21684" s="29" t="n">
        <v>16</v>
      </c>
      <c r="C21684" s="7" t="n">
        <v>0</v>
      </c>
    </row>
    <row r="21685" spans="1:9">
      <c r="A21685" t="s">
        <v>4</v>
      </c>
      <c r="B21685" s="4" t="s">
        <v>5</v>
      </c>
      <c r="C21685" s="4" t="s">
        <v>11</v>
      </c>
      <c r="D21685" s="4" t="s">
        <v>55</v>
      </c>
      <c r="E21685" s="4" t="s">
        <v>7</v>
      </c>
      <c r="F21685" s="4" t="s">
        <v>7</v>
      </c>
    </row>
    <row r="21686" spans="1:9">
      <c r="A21686" t="n">
        <v>211195</v>
      </c>
      <c r="B21686" s="55" t="n">
        <v>26</v>
      </c>
      <c r="C21686" s="7" t="n">
        <v>0</v>
      </c>
      <c r="D21686" s="7" t="s">
        <v>1801</v>
      </c>
      <c r="E21686" s="7" t="n">
        <v>2</v>
      </c>
      <c r="F21686" s="7" t="n">
        <v>0</v>
      </c>
    </row>
    <row r="21687" spans="1:9">
      <c r="A21687" t="s">
        <v>4</v>
      </c>
      <c r="B21687" s="4" t="s">
        <v>5</v>
      </c>
    </row>
    <row r="21688" spans="1:9">
      <c r="A21688" t="n">
        <v>211281</v>
      </c>
      <c r="B21688" s="27" t="n">
        <v>28</v>
      </c>
    </row>
    <row r="21689" spans="1:9">
      <c r="A21689" t="s">
        <v>4</v>
      </c>
      <c r="B21689" s="4" t="s">
        <v>5</v>
      </c>
      <c r="C21689" s="4" t="s">
        <v>7</v>
      </c>
      <c r="D21689" s="4" t="s">
        <v>11</v>
      </c>
      <c r="E21689" s="4" t="s">
        <v>13</v>
      </c>
    </row>
    <row r="21690" spans="1:9">
      <c r="A21690" t="n">
        <v>211282</v>
      </c>
      <c r="B21690" s="23" t="n">
        <v>58</v>
      </c>
      <c r="C21690" s="7" t="n">
        <v>0</v>
      </c>
      <c r="D21690" s="7" t="n">
        <v>300</v>
      </c>
      <c r="E21690" s="7" t="n">
        <v>0.300000011920929</v>
      </c>
    </row>
    <row r="21691" spans="1:9">
      <c r="A21691" t="s">
        <v>4</v>
      </c>
      <c r="B21691" s="4" t="s">
        <v>5</v>
      </c>
      <c r="C21691" s="4" t="s">
        <v>7</v>
      </c>
      <c r="D21691" s="4" t="s">
        <v>11</v>
      </c>
    </row>
    <row r="21692" spans="1:9">
      <c r="A21692" t="n">
        <v>211290</v>
      </c>
      <c r="B21692" s="23" t="n">
        <v>58</v>
      </c>
      <c r="C21692" s="7" t="n">
        <v>255</v>
      </c>
      <c r="D21692" s="7" t="n">
        <v>0</v>
      </c>
    </row>
    <row r="21693" spans="1:9">
      <c r="A21693" t="s">
        <v>4</v>
      </c>
      <c r="B21693" s="4" t="s">
        <v>5</v>
      </c>
      <c r="C21693" s="4" t="s">
        <v>7</v>
      </c>
      <c r="D21693" s="4" t="s">
        <v>11</v>
      </c>
      <c r="E21693" s="4" t="s">
        <v>13</v>
      </c>
      <c r="F21693" s="4" t="s">
        <v>11</v>
      </c>
      <c r="G21693" s="4" t="s">
        <v>15</v>
      </c>
      <c r="H21693" s="4" t="s">
        <v>15</v>
      </c>
      <c r="I21693" s="4" t="s">
        <v>11</v>
      </c>
      <c r="J21693" s="4" t="s">
        <v>11</v>
      </c>
      <c r="K21693" s="4" t="s">
        <v>15</v>
      </c>
      <c r="L21693" s="4" t="s">
        <v>15</v>
      </c>
      <c r="M21693" s="4" t="s">
        <v>15</v>
      </c>
      <c r="N21693" s="4" t="s">
        <v>15</v>
      </c>
      <c r="O21693" s="4" t="s">
        <v>8</v>
      </c>
    </row>
    <row r="21694" spans="1:9">
      <c r="A21694" t="n">
        <v>211294</v>
      </c>
      <c r="B21694" s="57" t="n">
        <v>50</v>
      </c>
      <c r="C21694" s="7" t="n">
        <v>0</v>
      </c>
      <c r="D21694" s="7" t="n">
        <v>12105</v>
      </c>
      <c r="E21694" s="7" t="n">
        <v>0.699999988079071</v>
      </c>
      <c r="F21694" s="7" t="n">
        <v>0</v>
      </c>
      <c r="G21694" s="7" t="n">
        <v>0</v>
      </c>
      <c r="H21694" s="7" t="n">
        <v>0</v>
      </c>
      <c r="I21694" s="7" t="n">
        <v>0</v>
      </c>
      <c r="J21694" s="7" t="n">
        <v>65533</v>
      </c>
      <c r="K21694" s="7" t="n">
        <v>0</v>
      </c>
      <c r="L21694" s="7" t="n">
        <v>0</v>
      </c>
      <c r="M21694" s="7" t="n">
        <v>0</v>
      </c>
      <c r="N21694" s="7" t="n">
        <v>0</v>
      </c>
      <c r="O21694" s="7" t="s">
        <v>16</v>
      </c>
    </row>
    <row r="21695" spans="1:9">
      <c r="A21695" t="s">
        <v>4</v>
      </c>
      <c r="B21695" s="4" t="s">
        <v>5</v>
      </c>
      <c r="C21695" s="4" t="s">
        <v>7</v>
      </c>
      <c r="D21695" s="4" t="s">
        <v>11</v>
      </c>
      <c r="E21695" s="4" t="s">
        <v>11</v>
      </c>
      <c r="F21695" s="4" t="s">
        <v>11</v>
      </c>
      <c r="G21695" s="4" t="s">
        <v>11</v>
      </c>
      <c r="H21695" s="4" t="s">
        <v>7</v>
      </c>
    </row>
    <row r="21696" spans="1:9">
      <c r="A21696" t="n">
        <v>211333</v>
      </c>
      <c r="B21696" s="31" t="n">
        <v>25</v>
      </c>
      <c r="C21696" s="7" t="n">
        <v>5</v>
      </c>
      <c r="D21696" s="7" t="n">
        <v>65535</v>
      </c>
      <c r="E21696" s="7" t="n">
        <v>500</v>
      </c>
      <c r="F21696" s="7" t="n">
        <v>800</v>
      </c>
      <c r="G21696" s="7" t="n">
        <v>140</v>
      </c>
      <c r="H21696" s="7" t="n">
        <v>0</v>
      </c>
    </row>
    <row r="21697" spans="1:15">
      <c r="A21697" t="s">
        <v>4</v>
      </c>
      <c r="B21697" s="4" t="s">
        <v>5</v>
      </c>
      <c r="C21697" s="4" t="s">
        <v>11</v>
      </c>
      <c r="D21697" s="4" t="s">
        <v>7</v>
      </c>
      <c r="E21697" s="4" t="s">
        <v>55</v>
      </c>
      <c r="F21697" s="4" t="s">
        <v>7</v>
      </c>
      <c r="G21697" s="4" t="s">
        <v>7</v>
      </c>
      <c r="H21697" s="4" t="s">
        <v>7</v>
      </c>
    </row>
    <row r="21698" spans="1:15">
      <c r="A21698" t="n">
        <v>211344</v>
      </c>
      <c r="B21698" s="32" t="n">
        <v>24</v>
      </c>
      <c r="C21698" s="7" t="n">
        <v>65533</v>
      </c>
      <c r="D21698" s="7" t="n">
        <v>11</v>
      </c>
      <c r="E21698" s="7" t="s">
        <v>1802</v>
      </c>
      <c r="F21698" s="7" t="n">
        <v>8</v>
      </c>
      <c r="G21698" s="7" t="n">
        <v>2</v>
      </c>
      <c r="H21698" s="7" t="n">
        <v>0</v>
      </c>
    </row>
    <row r="21699" spans="1:15">
      <c r="A21699" t="s">
        <v>4</v>
      </c>
      <c r="B21699" s="4" t="s">
        <v>5</v>
      </c>
    </row>
    <row r="21700" spans="1:15">
      <c r="A21700" t="n">
        <v>211409</v>
      </c>
      <c r="B21700" s="27" t="n">
        <v>28</v>
      </c>
    </row>
    <row r="21701" spans="1:15">
      <c r="A21701" t="s">
        <v>4</v>
      </c>
      <c r="B21701" s="4" t="s">
        <v>5</v>
      </c>
      <c r="C21701" s="4" t="s">
        <v>7</v>
      </c>
    </row>
    <row r="21702" spans="1:15">
      <c r="A21702" t="n">
        <v>211410</v>
      </c>
      <c r="B21702" s="33" t="n">
        <v>27</v>
      </c>
      <c r="C21702" s="7" t="n">
        <v>0</v>
      </c>
    </row>
    <row r="21703" spans="1:15">
      <c r="A21703" t="s">
        <v>4</v>
      </c>
      <c r="B21703" s="4" t="s">
        <v>5</v>
      </c>
      <c r="C21703" s="4" t="s">
        <v>7</v>
      </c>
      <c r="D21703" s="4" t="s">
        <v>11</v>
      </c>
      <c r="E21703" s="4" t="s">
        <v>11</v>
      </c>
      <c r="F21703" s="4" t="s">
        <v>11</v>
      </c>
      <c r="G21703" s="4" t="s">
        <v>11</v>
      </c>
      <c r="H21703" s="4" t="s">
        <v>7</v>
      </c>
    </row>
    <row r="21704" spans="1:15">
      <c r="A21704" t="n">
        <v>211412</v>
      </c>
      <c r="B21704" s="31" t="n">
        <v>25</v>
      </c>
      <c r="C21704" s="7" t="n">
        <v>5</v>
      </c>
      <c r="D21704" s="7" t="n">
        <v>65535</v>
      </c>
      <c r="E21704" s="7" t="n">
        <v>65535</v>
      </c>
      <c r="F21704" s="7" t="n">
        <v>65535</v>
      </c>
      <c r="G21704" s="7" t="n">
        <v>65535</v>
      </c>
      <c r="H21704" s="7" t="n">
        <v>0</v>
      </c>
    </row>
    <row r="21705" spans="1:15">
      <c r="A21705" t="s">
        <v>4</v>
      </c>
      <c r="B21705" s="4" t="s">
        <v>5</v>
      </c>
      <c r="C21705" s="4" t="s">
        <v>7</v>
      </c>
      <c r="D21705" s="4" t="s">
        <v>11</v>
      </c>
      <c r="E21705" s="4" t="s">
        <v>11</v>
      </c>
      <c r="F21705" s="4" t="s">
        <v>11</v>
      </c>
      <c r="G21705" s="4" t="s">
        <v>11</v>
      </c>
      <c r="H21705" s="4" t="s">
        <v>7</v>
      </c>
    </row>
    <row r="21706" spans="1:15">
      <c r="A21706" t="n">
        <v>211423</v>
      </c>
      <c r="B21706" s="31" t="n">
        <v>25</v>
      </c>
      <c r="C21706" s="7" t="n">
        <v>5</v>
      </c>
      <c r="D21706" s="7" t="n">
        <v>65535</v>
      </c>
      <c r="E21706" s="7" t="n">
        <v>160</v>
      </c>
      <c r="F21706" s="7" t="n">
        <v>65535</v>
      </c>
      <c r="G21706" s="7" t="n">
        <v>65535</v>
      </c>
      <c r="H21706" s="7" t="n">
        <v>0</v>
      </c>
    </row>
    <row r="21707" spans="1:15">
      <c r="A21707" t="s">
        <v>4</v>
      </c>
      <c r="B21707" s="4" t="s">
        <v>5</v>
      </c>
      <c r="C21707" s="4" t="s">
        <v>7</v>
      </c>
      <c r="D21707" s="4" t="s">
        <v>7</v>
      </c>
      <c r="E21707" s="4" t="s">
        <v>15</v>
      </c>
      <c r="F21707" s="4" t="s">
        <v>7</v>
      </c>
      <c r="G21707" s="4" t="s">
        <v>7</v>
      </c>
    </row>
    <row r="21708" spans="1:15">
      <c r="A21708" t="n">
        <v>211434</v>
      </c>
      <c r="B21708" s="74" t="n">
        <v>18</v>
      </c>
      <c r="C21708" s="7" t="n">
        <v>0</v>
      </c>
      <c r="D21708" s="7" t="n">
        <v>0</v>
      </c>
      <c r="E21708" s="7" t="n">
        <v>0</v>
      </c>
      <c r="F21708" s="7" t="n">
        <v>19</v>
      </c>
      <c r="G21708" s="7" t="n">
        <v>1</v>
      </c>
    </row>
    <row r="21709" spans="1:15">
      <c r="A21709" t="s">
        <v>4</v>
      </c>
      <c r="B21709" s="4" t="s">
        <v>5</v>
      </c>
      <c r="C21709" s="4" t="s">
        <v>7</v>
      </c>
      <c r="D21709" s="4" t="s">
        <v>7</v>
      </c>
      <c r="E21709" s="4" t="s">
        <v>11</v>
      </c>
      <c r="F21709" s="4" t="s">
        <v>13</v>
      </c>
    </row>
    <row r="21710" spans="1:15">
      <c r="A21710" t="n">
        <v>211443</v>
      </c>
      <c r="B21710" s="84" t="n">
        <v>107</v>
      </c>
      <c r="C21710" s="7" t="n">
        <v>0</v>
      </c>
      <c r="D21710" s="7" t="n">
        <v>0</v>
      </c>
      <c r="E21710" s="7" t="n">
        <v>0</v>
      </c>
      <c r="F21710" s="7" t="n">
        <v>32</v>
      </c>
    </row>
    <row r="21711" spans="1:15">
      <c r="A21711" t="s">
        <v>4</v>
      </c>
      <c r="B21711" s="4" t="s">
        <v>5</v>
      </c>
      <c r="C21711" s="4" t="s">
        <v>7</v>
      </c>
      <c r="D21711" s="4" t="s">
        <v>7</v>
      </c>
      <c r="E21711" s="4" t="s">
        <v>8</v>
      </c>
      <c r="F21711" s="4" t="s">
        <v>11</v>
      </c>
    </row>
    <row r="21712" spans="1:15">
      <c r="A21712" t="n">
        <v>211452</v>
      </c>
      <c r="B21712" s="84" t="n">
        <v>107</v>
      </c>
      <c r="C21712" s="7" t="n">
        <v>1</v>
      </c>
      <c r="D21712" s="7" t="n">
        <v>0</v>
      </c>
      <c r="E21712" s="7" t="s">
        <v>1803</v>
      </c>
      <c r="F21712" s="7" t="n">
        <v>1</v>
      </c>
    </row>
    <row r="21713" spans="1:8">
      <c r="A21713" t="s">
        <v>4</v>
      </c>
      <c r="B21713" s="4" t="s">
        <v>5</v>
      </c>
      <c r="C21713" s="4" t="s">
        <v>7</v>
      </c>
      <c r="D21713" s="4" t="s">
        <v>7</v>
      </c>
      <c r="E21713" s="4" t="s">
        <v>8</v>
      </c>
      <c r="F21713" s="4" t="s">
        <v>11</v>
      </c>
    </row>
    <row r="21714" spans="1:8">
      <c r="A21714" t="n">
        <v>211462</v>
      </c>
      <c r="B21714" s="84" t="n">
        <v>107</v>
      </c>
      <c r="C21714" s="7" t="n">
        <v>1</v>
      </c>
      <c r="D21714" s="7" t="n">
        <v>0</v>
      </c>
      <c r="E21714" s="7" t="s">
        <v>1804</v>
      </c>
      <c r="F21714" s="7" t="n">
        <v>2</v>
      </c>
    </row>
    <row r="21715" spans="1:8">
      <c r="A21715" t="s">
        <v>4</v>
      </c>
      <c r="B21715" s="4" t="s">
        <v>5</v>
      </c>
      <c r="C21715" s="4" t="s">
        <v>7</v>
      </c>
      <c r="D21715" s="4" t="s">
        <v>7</v>
      </c>
      <c r="E21715" s="4" t="s">
        <v>7</v>
      </c>
      <c r="F21715" s="4" t="s">
        <v>11</v>
      </c>
      <c r="G21715" s="4" t="s">
        <v>11</v>
      </c>
      <c r="H21715" s="4" t="s">
        <v>7</v>
      </c>
    </row>
    <row r="21716" spans="1:8">
      <c r="A21716" t="n">
        <v>211478</v>
      </c>
      <c r="B21716" s="84" t="n">
        <v>107</v>
      </c>
      <c r="C21716" s="7" t="n">
        <v>2</v>
      </c>
      <c r="D21716" s="7" t="n">
        <v>0</v>
      </c>
      <c r="E21716" s="7" t="n">
        <v>1</v>
      </c>
      <c r="F21716" s="7" t="n">
        <v>65535</v>
      </c>
      <c r="G21716" s="7" t="n">
        <v>65535</v>
      </c>
      <c r="H21716" s="7" t="n">
        <v>0</v>
      </c>
    </row>
    <row r="21717" spans="1:8">
      <c r="A21717" t="s">
        <v>4</v>
      </c>
      <c r="B21717" s="4" t="s">
        <v>5</v>
      </c>
      <c r="C21717" s="4" t="s">
        <v>7</v>
      </c>
      <c r="D21717" s="4" t="s">
        <v>7</v>
      </c>
      <c r="E21717" s="4" t="s">
        <v>7</v>
      </c>
    </row>
    <row r="21718" spans="1:8">
      <c r="A21718" t="n">
        <v>211487</v>
      </c>
      <c r="B21718" s="84" t="n">
        <v>107</v>
      </c>
      <c r="C21718" s="7" t="n">
        <v>4</v>
      </c>
      <c r="D21718" s="7" t="n">
        <v>0</v>
      </c>
      <c r="E21718" s="7" t="n">
        <v>0</v>
      </c>
    </row>
    <row r="21719" spans="1:8">
      <c r="A21719" t="s">
        <v>4</v>
      </c>
      <c r="B21719" s="4" t="s">
        <v>5</v>
      </c>
      <c r="C21719" s="4" t="s">
        <v>7</v>
      </c>
      <c r="D21719" s="4" t="s">
        <v>7</v>
      </c>
    </row>
    <row r="21720" spans="1:8">
      <c r="A21720" t="n">
        <v>211491</v>
      </c>
      <c r="B21720" s="84" t="n">
        <v>107</v>
      </c>
      <c r="C21720" s="7" t="n">
        <v>3</v>
      </c>
      <c r="D21720" s="7" t="n">
        <v>0</v>
      </c>
    </row>
    <row r="21721" spans="1:8">
      <c r="A21721" t="s">
        <v>4</v>
      </c>
      <c r="B21721" s="4" t="s">
        <v>5</v>
      </c>
      <c r="C21721" s="4" t="s">
        <v>7</v>
      </c>
    </row>
    <row r="21722" spans="1:8">
      <c r="A21722" t="n">
        <v>211494</v>
      </c>
      <c r="B21722" s="33" t="n">
        <v>27</v>
      </c>
      <c r="C21722" s="7" t="n">
        <v>0</v>
      </c>
    </row>
    <row r="21723" spans="1:8">
      <c r="A21723" t="s">
        <v>4</v>
      </c>
      <c r="B21723" s="4" t="s">
        <v>5</v>
      </c>
      <c r="C21723" s="4" t="s">
        <v>7</v>
      </c>
      <c r="D21723" s="4" t="s">
        <v>11</v>
      </c>
      <c r="E21723" s="4" t="s">
        <v>11</v>
      </c>
      <c r="F21723" s="4" t="s">
        <v>11</v>
      </c>
      <c r="G21723" s="4" t="s">
        <v>11</v>
      </c>
      <c r="H21723" s="4" t="s">
        <v>7</v>
      </c>
    </row>
    <row r="21724" spans="1:8">
      <c r="A21724" t="n">
        <v>211496</v>
      </c>
      <c r="B21724" s="31" t="n">
        <v>25</v>
      </c>
      <c r="C21724" s="7" t="n">
        <v>5</v>
      </c>
      <c r="D21724" s="7" t="n">
        <v>65535</v>
      </c>
      <c r="E21724" s="7" t="n">
        <v>65535</v>
      </c>
      <c r="F21724" s="7" t="n">
        <v>65535</v>
      </c>
      <c r="G21724" s="7" t="n">
        <v>65535</v>
      </c>
      <c r="H21724" s="7" t="n">
        <v>0</v>
      </c>
    </row>
    <row r="21725" spans="1:8">
      <c r="A21725" t="s">
        <v>4</v>
      </c>
      <c r="B21725" s="4" t="s">
        <v>5</v>
      </c>
      <c r="C21725" s="4" t="s">
        <v>7</v>
      </c>
      <c r="D21725" s="4" t="s">
        <v>7</v>
      </c>
      <c r="E21725" s="4" t="s">
        <v>7</v>
      </c>
      <c r="F21725" s="4" t="s">
        <v>15</v>
      </c>
      <c r="G21725" s="4" t="s">
        <v>7</v>
      </c>
      <c r="H21725" s="4" t="s">
        <v>7</v>
      </c>
      <c r="I21725" s="4" t="s">
        <v>12</v>
      </c>
    </row>
    <row r="21726" spans="1:8">
      <c r="A21726" t="n">
        <v>211507</v>
      </c>
      <c r="B21726" s="10" t="n">
        <v>5</v>
      </c>
      <c r="C21726" s="7" t="n">
        <v>35</v>
      </c>
      <c r="D21726" s="7" t="n">
        <v>0</v>
      </c>
      <c r="E21726" s="7" t="n">
        <v>0</v>
      </c>
      <c r="F21726" s="7" t="n">
        <v>1</v>
      </c>
      <c r="G21726" s="7" t="n">
        <v>2</v>
      </c>
      <c r="H21726" s="7" t="n">
        <v>1</v>
      </c>
      <c r="I21726" s="11" t="n">
        <f t="normal" ca="1">A21752</f>
        <v>0</v>
      </c>
    </row>
    <row r="21727" spans="1:8">
      <c r="A21727" t="s">
        <v>4</v>
      </c>
      <c r="B21727" s="4" t="s">
        <v>5</v>
      </c>
      <c r="C21727" s="4" t="s">
        <v>7</v>
      </c>
      <c r="D21727" s="4" t="s">
        <v>11</v>
      </c>
      <c r="E21727" s="4" t="s">
        <v>15</v>
      </c>
    </row>
    <row r="21728" spans="1:8">
      <c r="A21728" t="n">
        <v>211521</v>
      </c>
      <c r="B21728" s="21" t="n">
        <v>101</v>
      </c>
      <c r="C21728" s="7" t="n">
        <v>1</v>
      </c>
      <c r="D21728" s="7" t="n">
        <v>106</v>
      </c>
      <c r="E21728" s="7" t="n">
        <v>99</v>
      </c>
    </row>
    <row r="21729" spans="1:9">
      <c r="A21729" t="s">
        <v>4</v>
      </c>
      <c r="B21729" s="4" t="s">
        <v>5</v>
      </c>
      <c r="C21729" s="4" t="s">
        <v>7</v>
      </c>
      <c r="D21729" s="4" t="s">
        <v>11</v>
      </c>
      <c r="E21729" s="4" t="s">
        <v>13</v>
      </c>
    </row>
    <row r="21730" spans="1:9">
      <c r="A21730" t="n">
        <v>211529</v>
      </c>
      <c r="B21730" s="23" t="n">
        <v>58</v>
      </c>
      <c r="C21730" s="7" t="n">
        <v>100</v>
      </c>
      <c r="D21730" s="7" t="n">
        <v>300</v>
      </c>
      <c r="E21730" s="7" t="n">
        <v>0.300000011920929</v>
      </c>
    </row>
    <row r="21731" spans="1:9">
      <c r="A21731" t="s">
        <v>4</v>
      </c>
      <c r="B21731" s="4" t="s">
        <v>5</v>
      </c>
      <c r="C21731" s="4" t="s">
        <v>7</v>
      </c>
      <c r="D21731" s="4" t="s">
        <v>11</v>
      </c>
    </row>
    <row r="21732" spans="1:9">
      <c r="A21732" t="n">
        <v>211537</v>
      </c>
      <c r="B21732" s="23" t="n">
        <v>58</v>
      </c>
      <c r="C21732" s="7" t="n">
        <v>255</v>
      </c>
      <c r="D21732" s="7" t="n">
        <v>0</v>
      </c>
    </row>
    <row r="21733" spans="1:9">
      <c r="A21733" t="s">
        <v>4</v>
      </c>
      <c r="B21733" s="4" t="s">
        <v>5</v>
      </c>
      <c r="C21733" s="4" t="s">
        <v>7</v>
      </c>
      <c r="D21733" s="4" t="s">
        <v>7</v>
      </c>
      <c r="E21733" s="4" t="s">
        <v>13</v>
      </c>
      <c r="F21733" s="4" t="s">
        <v>13</v>
      </c>
      <c r="G21733" s="4" t="s">
        <v>13</v>
      </c>
      <c r="H21733" s="4" t="s">
        <v>11</v>
      </c>
    </row>
    <row r="21734" spans="1:9">
      <c r="A21734" t="n">
        <v>211541</v>
      </c>
      <c r="B21734" s="51" t="n">
        <v>45</v>
      </c>
      <c r="C21734" s="7" t="n">
        <v>2</v>
      </c>
      <c r="D21734" s="7" t="n">
        <v>3</v>
      </c>
      <c r="E21734" s="7" t="n">
        <v>-4.13000011444092</v>
      </c>
      <c r="F21734" s="7" t="n">
        <v>7.05999994277954</v>
      </c>
      <c r="G21734" s="7" t="n">
        <v>31.9200000762939</v>
      </c>
      <c r="H21734" s="7" t="n">
        <v>4000</v>
      </c>
    </row>
    <row r="21735" spans="1:9">
      <c r="A21735" t="s">
        <v>4</v>
      </c>
      <c r="B21735" s="4" t="s">
        <v>5</v>
      </c>
      <c r="C21735" s="4" t="s">
        <v>8</v>
      </c>
      <c r="D21735" s="4" t="s">
        <v>8</v>
      </c>
    </row>
    <row r="21736" spans="1:9">
      <c r="A21736" t="n">
        <v>211558</v>
      </c>
      <c r="B21736" s="52" t="n">
        <v>70</v>
      </c>
      <c r="C21736" s="7" t="s">
        <v>24</v>
      </c>
      <c r="D21736" s="7" t="s">
        <v>109</v>
      </c>
    </row>
    <row r="21737" spans="1:9">
      <c r="A21737" t="s">
        <v>4</v>
      </c>
      <c r="B21737" s="4" t="s">
        <v>5</v>
      </c>
      <c r="C21737" s="4" t="s">
        <v>11</v>
      </c>
      <c r="D21737" s="4" t="s">
        <v>11</v>
      </c>
      <c r="E21737" s="4" t="s">
        <v>13</v>
      </c>
      <c r="F21737" s="4" t="s">
        <v>13</v>
      </c>
      <c r="G21737" s="4" t="s">
        <v>13</v>
      </c>
      <c r="H21737" s="4" t="s">
        <v>13</v>
      </c>
      <c r="I21737" s="4" t="s">
        <v>7</v>
      </c>
      <c r="J21737" s="4" t="s">
        <v>11</v>
      </c>
    </row>
    <row r="21738" spans="1:9">
      <c r="A21738" t="n">
        <v>211575</v>
      </c>
      <c r="B21738" s="53" t="n">
        <v>55</v>
      </c>
      <c r="C21738" s="7" t="n">
        <v>0</v>
      </c>
      <c r="D21738" s="7" t="n">
        <v>65533</v>
      </c>
      <c r="E21738" s="7" t="n">
        <v>-2</v>
      </c>
      <c r="F21738" s="7" t="n">
        <v>5</v>
      </c>
      <c r="G21738" s="7" t="n">
        <v>32</v>
      </c>
      <c r="H21738" s="7" t="n">
        <v>1.20000004768372</v>
      </c>
      <c r="I21738" s="7" t="n">
        <v>1</v>
      </c>
      <c r="J21738" s="7" t="n">
        <v>0</v>
      </c>
    </row>
    <row r="21739" spans="1:9">
      <c r="A21739" t="s">
        <v>4</v>
      </c>
      <c r="B21739" s="4" t="s">
        <v>5</v>
      </c>
      <c r="C21739" s="4" t="s">
        <v>11</v>
      </c>
      <c r="D21739" s="4" t="s">
        <v>7</v>
      </c>
    </row>
    <row r="21740" spans="1:9">
      <c r="A21740" t="n">
        <v>211599</v>
      </c>
      <c r="B21740" s="54" t="n">
        <v>56</v>
      </c>
      <c r="C21740" s="7" t="n">
        <v>0</v>
      </c>
      <c r="D21740" s="7" t="n">
        <v>0</v>
      </c>
    </row>
    <row r="21741" spans="1:9">
      <c r="A21741" t="s">
        <v>4</v>
      </c>
      <c r="B21741" s="4" t="s">
        <v>5</v>
      </c>
      <c r="C21741" s="4" t="s">
        <v>8</v>
      </c>
      <c r="D21741" s="4" t="s">
        <v>8</v>
      </c>
    </row>
    <row r="21742" spans="1:9">
      <c r="A21742" t="n">
        <v>211603</v>
      </c>
      <c r="B21742" s="52" t="n">
        <v>70</v>
      </c>
      <c r="C21742" s="7" t="s">
        <v>24</v>
      </c>
      <c r="D21742" s="7" t="s">
        <v>1805</v>
      </c>
    </row>
    <row r="21743" spans="1:9">
      <c r="A21743" t="s">
        <v>4</v>
      </c>
      <c r="B21743" s="4" t="s">
        <v>5</v>
      </c>
      <c r="C21743" s="4" t="s">
        <v>7</v>
      </c>
      <c r="D21743" s="4" t="s">
        <v>11</v>
      </c>
      <c r="E21743" s="4" t="s">
        <v>13</v>
      </c>
    </row>
    <row r="21744" spans="1:9">
      <c r="A21744" t="n">
        <v>211621</v>
      </c>
      <c r="B21744" s="23" t="n">
        <v>58</v>
      </c>
      <c r="C21744" s="7" t="n">
        <v>0</v>
      </c>
      <c r="D21744" s="7" t="n">
        <v>2000</v>
      </c>
      <c r="E21744" s="7" t="n">
        <v>1</v>
      </c>
    </row>
    <row r="21745" spans="1:10">
      <c r="A21745" t="s">
        <v>4</v>
      </c>
      <c r="B21745" s="4" t="s">
        <v>5</v>
      </c>
      <c r="C21745" s="4" t="s">
        <v>7</v>
      </c>
      <c r="D21745" s="4" t="s">
        <v>11</v>
      </c>
    </row>
    <row r="21746" spans="1:10">
      <c r="A21746" t="n">
        <v>211629</v>
      </c>
      <c r="B21746" s="23" t="n">
        <v>58</v>
      </c>
      <c r="C21746" s="7" t="n">
        <v>255</v>
      </c>
      <c r="D21746" s="7" t="n">
        <v>0</v>
      </c>
    </row>
    <row r="21747" spans="1:10">
      <c r="A21747" t="s">
        <v>4</v>
      </c>
      <c r="B21747" s="4" t="s">
        <v>5</v>
      </c>
      <c r="C21747" s="4" t="s">
        <v>7</v>
      </c>
      <c r="D21747" s="4" t="s">
        <v>11</v>
      </c>
    </row>
    <row r="21748" spans="1:10">
      <c r="A21748" t="n">
        <v>211633</v>
      </c>
      <c r="B21748" s="8" t="n">
        <v>162</v>
      </c>
      <c r="C21748" s="7" t="n">
        <v>1</v>
      </c>
      <c r="D21748" s="7" t="n">
        <v>24590</v>
      </c>
    </row>
    <row r="21749" spans="1:10">
      <c r="A21749" t="s">
        <v>4</v>
      </c>
      <c r="B21749" s="4" t="s">
        <v>5</v>
      </c>
      <c r="C21749" s="4" t="s">
        <v>12</v>
      </c>
    </row>
    <row r="21750" spans="1:10">
      <c r="A21750" t="n">
        <v>211637</v>
      </c>
      <c r="B21750" s="19" t="n">
        <v>3</v>
      </c>
      <c r="C21750" s="11" t="n">
        <f t="normal" ca="1">A21752</f>
        <v>0</v>
      </c>
    </row>
    <row r="21751" spans="1:10">
      <c r="A21751" t="s">
        <v>4</v>
      </c>
      <c r="B21751" s="4" t="s">
        <v>5</v>
      </c>
      <c r="C21751" s="4" t="s">
        <v>7</v>
      </c>
      <c r="D21751" s="4" t="s">
        <v>11</v>
      </c>
      <c r="E21751" s="4" t="s">
        <v>13</v>
      </c>
    </row>
    <row r="21752" spans="1:10">
      <c r="A21752" t="n">
        <v>211642</v>
      </c>
      <c r="B21752" s="23" t="n">
        <v>58</v>
      </c>
      <c r="C21752" s="7" t="n">
        <v>0</v>
      </c>
      <c r="D21752" s="7" t="n">
        <v>1000</v>
      </c>
      <c r="E21752" s="7" t="n">
        <v>1</v>
      </c>
    </row>
    <row r="21753" spans="1:10">
      <c r="A21753" t="s">
        <v>4</v>
      </c>
      <c r="B21753" s="4" t="s">
        <v>5</v>
      </c>
      <c r="C21753" s="4" t="s">
        <v>7</v>
      </c>
      <c r="D21753" s="4" t="s">
        <v>11</v>
      </c>
    </row>
    <row r="21754" spans="1:10">
      <c r="A21754" t="n">
        <v>211650</v>
      </c>
      <c r="B21754" s="23" t="n">
        <v>58</v>
      </c>
      <c r="C21754" s="7" t="n">
        <v>255</v>
      </c>
      <c r="D21754" s="7" t="n">
        <v>0</v>
      </c>
    </row>
    <row r="21755" spans="1:10">
      <c r="A21755" t="s">
        <v>4</v>
      </c>
      <c r="B21755" s="4" t="s">
        <v>5</v>
      </c>
      <c r="C21755" s="4" t="s">
        <v>7</v>
      </c>
      <c r="D21755" s="4" t="s">
        <v>7</v>
      </c>
      <c r="E21755" s="4" t="s">
        <v>13</v>
      </c>
      <c r="F21755" s="4" t="s">
        <v>13</v>
      </c>
      <c r="G21755" s="4" t="s">
        <v>13</v>
      </c>
      <c r="H21755" s="4" t="s">
        <v>11</v>
      </c>
      <c r="I21755" s="4" t="s">
        <v>7</v>
      </c>
    </row>
    <row r="21756" spans="1:10">
      <c r="A21756" t="n">
        <v>211654</v>
      </c>
      <c r="B21756" s="51" t="n">
        <v>45</v>
      </c>
      <c r="C21756" s="7" t="n">
        <v>4</v>
      </c>
      <c r="D21756" s="7" t="n">
        <v>3</v>
      </c>
      <c r="E21756" s="7" t="n">
        <v>7</v>
      </c>
      <c r="F21756" s="7" t="n">
        <v>270.940002441406</v>
      </c>
      <c r="G21756" s="7" t="n">
        <v>0</v>
      </c>
      <c r="H21756" s="7" t="n">
        <v>0</v>
      </c>
      <c r="I21756" s="7" t="n">
        <v>1</v>
      </c>
    </row>
    <row r="21757" spans="1:10">
      <c r="A21757" t="s">
        <v>4</v>
      </c>
      <c r="B21757" s="4" t="s">
        <v>5</v>
      </c>
      <c r="C21757" s="4" t="s">
        <v>11</v>
      </c>
      <c r="D21757" s="4" t="s">
        <v>13</v>
      </c>
      <c r="E21757" s="4" t="s">
        <v>13</v>
      </c>
      <c r="F21757" s="4" t="s">
        <v>13</v>
      </c>
      <c r="G21757" s="4" t="s">
        <v>13</v>
      </c>
    </row>
    <row r="21758" spans="1:10">
      <c r="A21758" t="n">
        <v>211672</v>
      </c>
      <c r="B21758" s="36" t="n">
        <v>46</v>
      </c>
      <c r="C21758" s="7" t="n">
        <v>61456</v>
      </c>
      <c r="D21758" s="7" t="n">
        <v>-5</v>
      </c>
      <c r="E21758" s="7" t="n">
        <v>5</v>
      </c>
      <c r="F21758" s="7" t="n">
        <v>32</v>
      </c>
      <c r="G21758" s="7" t="n">
        <v>90</v>
      </c>
    </row>
    <row r="21759" spans="1:10">
      <c r="A21759" t="s">
        <v>4</v>
      </c>
      <c r="B21759" s="4" t="s">
        <v>5</v>
      </c>
      <c r="C21759" s="4" t="s">
        <v>7</v>
      </c>
      <c r="D21759" s="4" t="s">
        <v>8</v>
      </c>
    </row>
    <row r="21760" spans="1:10">
      <c r="A21760" t="n">
        <v>211691</v>
      </c>
      <c r="B21760" s="6" t="n">
        <v>2</v>
      </c>
      <c r="C21760" s="7" t="n">
        <v>10</v>
      </c>
      <c r="D21760" s="7" t="s">
        <v>119</v>
      </c>
    </row>
    <row r="21761" spans="1:9">
      <c r="A21761" t="s">
        <v>4</v>
      </c>
      <c r="B21761" s="4" t="s">
        <v>5</v>
      </c>
      <c r="C21761" s="4" t="s">
        <v>11</v>
      </c>
    </row>
    <row r="21762" spans="1:9">
      <c r="A21762" t="n">
        <v>211706</v>
      </c>
      <c r="B21762" s="29" t="n">
        <v>16</v>
      </c>
      <c r="C21762" s="7" t="n">
        <v>0</v>
      </c>
    </row>
    <row r="21763" spans="1:9">
      <c r="A21763" t="s">
        <v>4</v>
      </c>
      <c r="B21763" s="4" t="s">
        <v>5</v>
      </c>
      <c r="C21763" s="4" t="s">
        <v>7</v>
      </c>
      <c r="D21763" s="4" t="s">
        <v>11</v>
      </c>
    </row>
    <row r="21764" spans="1:9">
      <c r="A21764" t="n">
        <v>211709</v>
      </c>
      <c r="B21764" s="23" t="n">
        <v>58</v>
      </c>
      <c r="C21764" s="7" t="n">
        <v>105</v>
      </c>
      <c r="D21764" s="7" t="n">
        <v>300</v>
      </c>
    </row>
    <row r="21765" spans="1:9">
      <c r="A21765" t="s">
        <v>4</v>
      </c>
      <c r="B21765" s="4" t="s">
        <v>5</v>
      </c>
      <c r="C21765" s="4" t="s">
        <v>13</v>
      </c>
      <c r="D21765" s="4" t="s">
        <v>11</v>
      </c>
    </row>
    <row r="21766" spans="1:9">
      <c r="A21766" t="n">
        <v>211713</v>
      </c>
      <c r="B21766" s="46" t="n">
        <v>103</v>
      </c>
      <c r="C21766" s="7" t="n">
        <v>1</v>
      </c>
      <c r="D21766" s="7" t="n">
        <v>300</v>
      </c>
    </row>
    <row r="21767" spans="1:9">
      <c r="A21767" t="s">
        <v>4</v>
      </c>
      <c r="B21767" s="4" t="s">
        <v>5</v>
      </c>
      <c r="C21767" s="4" t="s">
        <v>7</v>
      </c>
      <c r="D21767" s="4" t="s">
        <v>11</v>
      </c>
    </row>
    <row r="21768" spans="1:9">
      <c r="A21768" t="n">
        <v>211720</v>
      </c>
      <c r="B21768" s="48" t="n">
        <v>72</v>
      </c>
      <c r="C21768" s="7" t="n">
        <v>4</v>
      </c>
      <c r="D21768" s="7" t="n">
        <v>0</v>
      </c>
    </row>
    <row r="21769" spans="1:9">
      <c r="A21769" t="s">
        <v>4</v>
      </c>
      <c r="B21769" s="4" t="s">
        <v>5</v>
      </c>
      <c r="C21769" s="4" t="s">
        <v>15</v>
      </c>
    </row>
    <row r="21770" spans="1:9">
      <c r="A21770" t="n">
        <v>211724</v>
      </c>
      <c r="B21770" s="61" t="n">
        <v>15</v>
      </c>
      <c r="C21770" s="7" t="n">
        <v>1073741824</v>
      </c>
    </row>
    <row r="21771" spans="1:9">
      <c r="A21771" t="s">
        <v>4</v>
      </c>
      <c r="B21771" s="4" t="s">
        <v>5</v>
      </c>
      <c r="C21771" s="4" t="s">
        <v>7</v>
      </c>
    </row>
    <row r="21772" spans="1:9">
      <c r="A21772" t="n">
        <v>211729</v>
      </c>
      <c r="B21772" s="47" t="n">
        <v>64</v>
      </c>
      <c r="C21772" s="7" t="n">
        <v>3</v>
      </c>
    </row>
    <row r="21773" spans="1:9">
      <c r="A21773" t="s">
        <v>4</v>
      </c>
      <c r="B21773" s="4" t="s">
        <v>5</v>
      </c>
      <c r="C21773" s="4" t="s">
        <v>7</v>
      </c>
    </row>
    <row r="21774" spans="1:9">
      <c r="A21774" t="n">
        <v>211731</v>
      </c>
      <c r="B21774" s="45" t="n">
        <v>74</v>
      </c>
      <c r="C21774" s="7" t="n">
        <v>67</v>
      </c>
    </row>
    <row r="21775" spans="1:9">
      <c r="A21775" t="s">
        <v>4</v>
      </c>
      <c r="B21775" s="4" t="s">
        <v>5</v>
      </c>
      <c r="C21775" s="4" t="s">
        <v>7</v>
      </c>
      <c r="D21775" s="4" t="s">
        <v>7</v>
      </c>
      <c r="E21775" s="4" t="s">
        <v>11</v>
      </c>
    </row>
    <row r="21776" spans="1:9">
      <c r="A21776" t="n">
        <v>211733</v>
      </c>
      <c r="B21776" s="51" t="n">
        <v>45</v>
      </c>
      <c r="C21776" s="7" t="n">
        <v>8</v>
      </c>
      <c r="D21776" s="7" t="n">
        <v>1</v>
      </c>
      <c r="E21776" s="7" t="n">
        <v>0</v>
      </c>
    </row>
    <row r="21777" spans="1:5">
      <c r="A21777" t="s">
        <v>4</v>
      </c>
      <c r="B21777" s="4" t="s">
        <v>5</v>
      </c>
      <c r="C21777" s="4" t="s">
        <v>11</v>
      </c>
    </row>
    <row r="21778" spans="1:5">
      <c r="A21778" t="n">
        <v>211738</v>
      </c>
      <c r="B21778" s="12" t="n">
        <v>13</v>
      </c>
      <c r="C21778" s="7" t="n">
        <v>6409</v>
      </c>
    </row>
    <row r="21779" spans="1:5">
      <c r="A21779" t="s">
        <v>4</v>
      </c>
      <c r="B21779" s="4" t="s">
        <v>5</v>
      </c>
      <c r="C21779" s="4" t="s">
        <v>11</v>
      </c>
    </row>
    <row r="21780" spans="1:5">
      <c r="A21780" t="n">
        <v>211741</v>
      </c>
      <c r="B21780" s="12" t="n">
        <v>13</v>
      </c>
      <c r="C21780" s="7" t="n">
        <v>6408</v>
      </c>
    </row>
    <row r="21781" spans="1:5">
      <c r="A21781" t="s">
        <v>4</v>
      </c>
      <c r="B21781" s="4" t="s">
        <v>5</v>
      </c>
      <c r="C21781" s="4" t="s">
        <v>11</v>
      </c>
    </row>
    <row r="21782" spans="1:5">
      <c r="A21782" t="n">
        <v>211744</v>
      </c>
      <c r="B21782" s="43" t="n">
        <v>12</v>
      </c>
      <c r="C21782" s="7" t="n">
        <v>6464</v>
      </c>
    </row>
    <row r="21783" spans="1:5">
      <c r="A21783" t="s">
        <v>4</v>
      </c>
      <c r="B21783" s="4" t="s">
        <v>5</v>
      </c>
      <c r="C21783" s="4" t="s">
        <v>11</v>
      </c>
    </row>
    <row r="21784" spans="1:5">
      <c r="A21784" t="n">
        <v>211747</v>
      </c>
      <c r="B21784" s="12" t="n">
        <v>13</v>
      </c>
      <c r="C21784" s="7" t="n">
        <v>6465</v>
      </c>
    </row>
    <row r="21785" spans="1:5">
      <c r="A21785" t="s">
        <v>4</v>
      </c>
      <c r="B21785" s="4" t="s">
        <v>5</v>
      </c>
      <c r="C21785" s="4" t="s">
        <v>11</v>
      </c>
    </row>
    <row r="21786" spans="1:5">
      <c r="A21786" t="n">
        <v>211750</v>
      </c>
      <c r="B21786" s="12" t="n">
        <v>13</v>
      </c>
      <c r="C21786" s="7" t="n">
        <v>6466</v>
      </c>
    </row>
    <row r="21787" spans="1:5">
      <c r="A21787" t="s">
        <v>4</v>
      </c>
      <c r="B21787" s="4" t="s">
        <v>5</v>
      </c>
      <c r="C21787" s="4" t="s">
        <v>11</v>
      </c>
    </row>
    <row r="21788" spans="1:5">
      <c r="A21788" t="n">
        <v>211753</v>
      </c>
      <c r="B21788" s="12" t="n">
        <v>13</v>
      </c>
      <c r="C21788" s="7" t="n">
        <v>6467</v>
      </c>
    </row>
    <row r="21789" spans="1:5">
      <c r="A21789" t="s">
        <v>4</v>
      </c>
      <c r="B21789" s="4" t="s">
        <v>5</v>
      </c>
      <c r="C21789" s="4" t="s">
        <v>11</v>
      </c>
    </row>
    <row r="21790" spans="1:5">
      <c r="A21790" t="n">
        <v>211756</v>
      </c>
      <c r="B21790" s="12" t="n">
        <v>13</v>
      </c>
      <c r="C21790" s="7" t="n">
        <v>6468</v>
      </c>
    </row>
    <row r="21791" spans="1:5">
      <c r="A21791" t="s">
        <v>4</v>
      </c>
      <c r="B21791" s="4" t="s">
        <v>5</v>
      </c>
      <c r="C21791" s="4" t="s">
        <v>11</v>
      </c>
    </row>
    <row r="21792" spans="1:5">
      <c r="A21792" t="n">
        <v>211759</v>
      </c>
      <c r="B21792" s="12" t="n">
        <v>13</v>
      </c>
      <c r="C21792" s="7" t="n">
        <v>6469</v>
      </c>
    </row>
    <row r="21793" spans="1:3">
      <c r="A21793" t="s">
        <v>4</v>
      </c>
      <c r="B21793" s="4" t="s">
        <v>5</v>
      </c>
      <c r="C21793" s="4" t="s">
        <v>11</v>
      </c>
    </row>
    <row r="21794" spans="1:3">
      <c r="A21794" t="n">
        <v>211762</v>
      </c>
      <c r="B21794" s="12" t="n">
        <v>13</v>
      </c>
      <c r="C21794" s="7" t="n">
        <v>6470</v>
      </c>
    </row>
    <row r="21795" spans="1:3">
      <c r="A21795" t="s">
        <v>4</v>
      </c>
      <c r="B21795" s="4" t="s">
        <v>5</v>
      </c>
      <c r="C21795" s="4" t="s">
        <v>11</v>
      </c>
    </row>
    <row r="21796" spans="1:3">
      <c r="A21796" t="n">
        <v>211765</v>
      </c>
      <c r="B21796" s="12" t="n">
        <v>13</v>
      </c>
      <c r="C21796" s="7" t="n">
        <v>6471</v>
      </c>
    </row>
    <row r="21797" spans="1:3">
      <c r="A21797" t="s">
        <v>4</v>
      </c>
      <c r="B21797" s="4" t="s">
        <v>5</v>
      </c>
      <c r="C21797" s="4" t="s">
        <v>7</v>
      </c>
    </row>
    <row r="21798" spans="1:3">
      <c r="A21798" t="n">
        <v>211768</v>
      </c>
      <c r="B21798" s="45" t="n">
        <v>74</v>
      </c>
      <c r="C21798" s="7" t="n">
        <v>18</v>
      </c>
    </row>
    <row r="21799" spans="1:3">
      <c r="A21799" t="s">
        <v>4</v>
      </c>
      <c r="B21799" s="4" t="s">
        <v>5</v>
      </c>
      <c r="C21799" s="4" t="s">
        <v>7</v>
      </c>
    </row>
    <row r="21800" spans="1:3">
      <c r="A21800" t="n">
        <v>211770</v>
      </c>
      <c r="B21800" s="45" t="n">
        <v>74</v>
      </c>
      <c r="C21800" s="7" t="n">
        <v>45</v>
      </c>
    </row>
    <row r="21801" spans="1:3">
      <c r="A21801" t="s">
        <v>4</v>
      </c>
      <c r="B21801" s="4" t="s">
        <v>5</v>
      </c>
      <c r="C21801" s="4" t="s">
        <v>11</v>
      </c>
    </row>
    <row r="21802" spans="1:3">
      <c r="A21802" t="n">
        <v>211772</v>
      </c>
      <c r="B21802" s="29" t="n">
        <v>16</v>
      </c>
      <c r="C21802" s="7" t="n">
        <v>0</v>
      </c>
    </row>
    <row r="21803" spans="1:3">
      <c r="A21803" t="s">
        <v>4</v>
      </c>
      <c r="B21803" s="4" t="s">
        <v>5</v>
      </c>
      <c r="C21803" s="4" t="s">
        <v>7</v>
      </c>
      <c r="D21803" s="4" t="s">
        <v>7</v>
      </c>
      <c r="E21803" s="4" t="s">
        <v>7</v>
      </c>
      <c r="F21803" s="4" t="s">
        <v>7</v>
      </c>
    </row>
    <row r="21804" spans="1:3">
      <c r="A21804" t="n">
        <v>211775</v>
      </c>
      <c r="B21804" s="9" t="n">
        <v>14</v>
      </c>
      <c r="C21804" s="7" t="n">
        <v>0</v>
      </c>
      <c r="D21804" s="7" t="n">
        <v>8</v>
      </c>
      <c r="E21804" s="7" t="n">
        <v>0</v>
      </c>
      <c r="F21804" s="7" t="n">
        <v>0</v>
      </c>
    </row>
    <row r="21805" spans="1:3">
      <c r="A21805" t="s">
        <v>4</v>
      </c>
      <c r="B21805" s="4" t="s">
        <v>5</v>
      </c>
      <c r="C21805" s="4" t="s">
        <v>7</v>
      </c>
      <c r="D21805" s="4" t="s">
        <v>8</v>
      </c>
    </row>
    <row r="21806" spans="1:3">
      <c r="A21806" t="n">
        <v>211780</v>
      </c>
      <c r="B21806" s="6" t="n">
        <v>2</v>
      </c>
      <c r="C21806" s="7" t="n">
        <v>11</v>
      </c>
      <c r="D21806" s="7" t="s">
        <v>14</v>
      </c>
    </row>
    <row r="21807" spans="1:3">
      <c r="A21807" t="s">
        <v>4</v>
      </c>
      <c r="B21807" s="4" t="s">
        <v>5</v>
      </c>
      <c r="C21807" s="4" t="s">
        <v>11</v>
      </c>
    </row>
    <row r="21808" spans="1:3">
      <c r="A21808" t="n">
        <v>211794</v>
      </c>
      <c r="B21808" s="29" t="n">
        <v>16</v>
      </c>
      <c r="C21808" s="7" t="n">
        <v>0</v>
      </c>
    </row>
    <row r="21809" spans="1:6">
      <c r="A21809" t="s">
        <v>4</v>
      </c>
      <c r="B21809" s="4" t="s">
        <v>5</v>
      </c>
      <c r="C21809" s="4" t="s">
        <v>7</v>
      </c>
      <c r="D21809" s="4" t="s">
        <v>8</v>
      </c>
    </row>
    <row r="21810" spans="1:6">
      <c r="A21810" t="n">
        <v>211797</v>
      </c>
      <c r="B21810" s="6" t="n">
        <v>2</v>
      </c>
      <c r="C21810" s="7" t="n">
        <v>11</v>
      </c>
      <c r="D21810" s="7" t="s">
        <v>120</v>
      </c>
    </row>
    <row r="21811" spans="1:6">
      <c r="A21811" t="s">
        <v>4</v>
      </c>
      <c r="B21811" s="4" t="s">
        <v>5</v>
      </c>
      <c r="C21811" s="4" t="s">
        <v>11</v>
      </c>
    </row>
    <row r="21812" spans="1:6">
      <c r="A21812" t="n">
        <v>211806</v>
      </c>
      <c r="B21812" s="29" t="n">
        <v>16</v>
      </c>
      <c r="C21812" s="7" t="n">
        <v>0</v>
      </c>
    </row>
    <row r="21813" spans="1:6">
      <c r="A21813" t="s">
        <v>4</v>
      </c>
      <c r="B21813" s="4" t="s">
        <v>5</v>
      </c>
      <c r="C21813" s="4" t="s">
        <v>15</v>
      </c>
    </row>
    <row r="21814" spans="1:6">
      <c r="A21814" t="n">
        <v>211809</v>
      </c>
      <c r="B21814" s="61" t="n">
        <v>15</v>
      </c>
      <c r="C21814" s="7" t="n">
        <v>2048</v>
      </c>
    </row>
    <row r="21815" spans="1:6">
      <c r="A21815" t="s">
        <v>4</v>
      </c>
      <c r="B21815" s="4" t="s">
        <v>5</v>
      </c>
      <c r="C21815" s="4" t="s">
        <v>7</v>
      </c>
      <c r="D21815" s="4" t="s">
        <v>8</v>
      </c>
    </row>
    <row r="21816" spans="1:6">
      <c r="A21816" t="n">
        <v>211814</v>
      </c>
      <c r="B21816" s="6" t="n">
        <v>2</v>
      </c>
      <c r="C21816" s="7" t="n">
        <v>10</v>
      </c>
      <c r="D21816" s="7" t="s">
        <v>52</v>
      </c>
    </row>
    <row r="21817" spans="1:6">
      <c r="A21817" t="s">
        <v>4</v>
      </c>
      <c r="B21817" s="4" t="s">
        <v>5</v>
      </c>
      <c r="C21817" s="4" t="s">
        <v>11</v>
      </c>
    </row>
    <row r="21818" spans="1:6">
      <c r="A21818" t="n">
        <v>211832</v>
      </c>
      <c r="B21818" s="29" t="n">
        <v>16</v>
      </c>
      <c r="C21818" s="7" t="n">
        <v>0</v>
      </c>
    </row>
    <row r="21819" spans="1:6">
      <c r="A21819" t="s">
        <v>4</v>
      </c>
      <c r="B21819" s="4" t="s">
        <v>5</v>
      </c>
      <c r="C21819" s="4" t="s">
        <v>7</v>
      </c>
      <c r="D21819" s="4" t="s">
        <v>8</v>
      </c>
    </row>
    <row r="21820" spans="1:6">
      <c r="A21820" t="n">
        <v>211835</v>
      </c>
      <c r="B21820" s="6" t="n">
        <v>2</v>
      </c>
      <c r="C21820" s="7" t="n">
        <v>10</v>
      </c>
      <c r="D21820" s="7" t="s">
        <v>53</v>
      </c>
    </row>
    <row r="21821" spans="1:6">
      <c r="A21821" t="s">
        <v>4</v>
      </c>
      <c r="B21821" s="4" t="s">
        <v>5</v>
      </c>
      <c r="C21821" s="4" t="s">
        <v>11</v>
      </c>
    </row>
    <row r="21822" spans="1:6">
      <c r="A21822" t="n">
        <v>211854</v>
      </c>
      <c r="B21822" s="29" t="n">
        <v>16</v>
      </c>
      <c r="C21822" s="7" t="n">
        <v>0</v>
      </c>
    </row>
    <row r="21823" spans="1:6">
      <c r="A21823" t="s">
        <v>4</v>
      </c>
      <c r="B21823" s="4" t="s">
        <v>5</v>
      </c>
      <c r="C21823" s="4" t="s">
        <v>7</v>
      </c>
      <c r="D21823" s="4" t="s">
        <v>11</v>
      </c>
      <c r="E21823" s="4" t="s">
        <v>13</v>
      </c>
    </row>
    <row r="21824" spans="1:6">
      <c r="A21824" t="n">
        <v>211857</v>
      </c>
      <c r="B21824" s="23" t="n">
        <v>58</v>
      </c>
      <c r="C21824" s="7" t="n">
        <v>100</v>
      </c>
      <c r="D21824" s="7" t="n">
        <v>300</v>
      </c>
      <c r="E21824" s="7" t="n">
        <v>1</v>
      </c>
    </row>
    <row r="21825" spans="1:5">
      <c r="A21825" t="s">
        <v>4</v>
      </c>
      <c r="B21825" s="4" t="s">
        <v>5</v>
      </c>
      <c r="C21825" s="4" t="s">
        <v>7</v>
      </c>
      <c r="D21825" s="4" t="s">
        <v>11</v>
      </c>
    </row>
    <row r="21826" spans="1:5">
      <c r="A21826" t="n">
        <v>211865</v>
      </c>
      <c r="B21826" s="23" t="n">
        <v>58</v>
      </c>
      <c r="C21826" s="7" t="n">
        <v>255</v>
      </c>
      <c r="D21826" s="7" t="n">
        <v>0</v>
      </c>
    </row>
    <row r="21827" spans="1:5">
      <c r="A21827" t="s">
        <v>4</v>
      </c>
      <c r="B21827" s="4" t="s">
        <v>5</v>
      </c>
      <c r="C21827" s="4" t="s">
        <v>7</v>
      </c>
    </row>
    <row r="21828" spans="1:5">
      <c r="A21828" t="n">
        <v>211869</v>
      </c>
      <c r="B21828" s="30" t="n">
        <v>23</v>
      </c>
      <c r="C21828" s="7" t="n">
        <v>0</v>
      </c>
    </row>
    <row r="21829" spans="1:5">
      <c r="A21829" t="s">
        <v>4</v>
      </c>
      <c r="B21829" s="4" t="s">
        <v>5</v>
      </c>
    </row>
    <row r="21830" spans="1:5">
      <c r="A21830" t="n">
        <v>211871</v>
      </c>
      <c r="B21830" s="5" t="n">
        <v>1</v>
      </c>
    </row>
    <row r="21831" spans="1:5" s="3" customFormat="1" customHeight="0">
      <c r="A21831" s="3" t="s">
        <v>2</v>
      </c>
      <c r="B21831" s="3" t="s">
        <v>1806</v>
      </c>
    </row>
    <row r="21832" spans="1:5">
      <c r="A21832" t="s">
        <v>4</v>
      </c>
      <c r="B21832" s="4" t="s">
        <v>5</v>
      </c>
      <c r="C21832" s="4" t="s">
        <v>7</v>
      </c>
      <c r="D21832" s="4" t="s">
        <v>7</v>
      </c>
      <c r="E21832" s="4" t="s">
        <v>7</v>
      </c>
      <c r="F21832" s="4" t="s">
        <v>7</v>
      </c>
    </row>
    <row r="21833" spans="1:5">
      <c r="A21833" t="n">
        <v>211872</v>
      </c>
      <c r="B21833" s="9" t="n">
        <v>14</v>
      </c>
      <c r="C21833" s="7" t="n">
        <v>2</v>
      </c>
      <c r="D21833" s="7" t="n">
        <v>0</v>
      </c>
      <c r="E21833" s="7" t="n">
        <v>0</v>
      </c>
      <c r="F21833" s="7" t="n">
        <v>0</v>
      </c>
    </row>
    <row r="21834" spans="1:5">
      <c r="A21834" t="s">
        <v>4</v>
      </c>
      <c r="B21834" s="4" t="s">
        <v>5</v>
      </c>
      <c r="C21834" s="4" t="s">
        <v>7</v>
      </c>
      <c r="D21834" s="20" t="s">
        <v>35</v>
      </c>
      <c r="E21834" s="4" t="s">
        <v>5</v>
      </c>
      <c r="F21834" s="4" t="s">
        <v>7</v>
      </c>
      <c r="G21834" s="4" t="s">
        <v>11</v>
      </c>
      <c r="H21834" s="20" t="s">
        <v>36</v>
      </c>
      <c r="I21834" s="4" t="s">
        <v>7</v>
      </c>
      <c r="J21834" s="4" t="s">
        <v>15</v>
      </c>
      <c r="K21834" s="4" t="s">
        <v>7</v>
      </c>
      <c r="L21834" s="4" t="s">
        <v>7</v>
      </c>
      <c r="M21834" s="20" t="s">
        <v>35</v>
      </c>
      <c r="N21834" s="4" t="s">
        <v>5</v>
      </c>
      <c r="O21834" s="4" t="s">
        <v>7</v>
      </c>
      <c r="P21834" s="4" t="s">
        <v>11</v>
      </c>
      <c r="Q21834" s="20" t="s">
        <v>36</v>
      </c>
      <c r="R21834" s="4" t="s">
        <v>7</v>
      </c>
      <c r="S21834" s="4" t="s">
        <v>15</v>
      </c>
      <c r="T21834" s="4" t="s">
        <v>7</v>
      </c>
      <c r="U21834" s="4" t="s">
        <v>7</v>
      </c>
      <c r="V21834" s="4" t="s">
        <v>7</v>
      </c>
      <c r="W21834" s="4" t="s">
        <v>12</v>
      </c>
    </row>
    <row r="21835" spans="1:5">
      <c r="A21835" t="n">
        <v>211877</v>
      </c>
      <c r="B21835" s="10" t="n">
        <v>5</v>
      </c>
      <c r="C21835" s="7" t="n">
        <v>28</v>
      </c>
      <c r="D21835" s="20" t="s">
        <v>3</v>
      </c>
      <c r="E21835" s="8" t="n">
        <v>162</v>
      </c>
      <c r="F21835" s="7" t="n">
        <v>3</v>
      </c>
      <c r="G21835" s="7" t="n">
        <v>33162</v>
      </c>
      <c r="H21835" s="20" t="s">
        <v>3</v>
      </c>
      <c r="I21835" s="7" t="n">
        <v>0</v>
      </c>
      <c r="J21835" s="7" t="n">
        <v>1</v>
      </c>
      <c r="K21835" s="7" t="n">
        <v>2</v>
      </c>
      <c r="L21835" s="7" t="n">
        <v>28</v>
      </c>
      <c r="M21835" s="20" t="s">
        <v>3</v>
      </c>
      <c r="N21835" s="8" t="n">
        <v>162</v>
      </c>
      <c r="O21835" s="7" t="n">
        <v>3</v>
      </c>
      <c r="P21835" s="7" t="n">
        <v>33162</v>
      </c>
      <c r="Q21835" s="20" t="s">
        <v>3</v>
      </c>
      <c r="R21835" s="7" t="n">
        <v>0</v>
      </c>
      <c r="S21835" s="7" t="n">
        <v>2</v>
      </c>
      <c r="T21835" s="7" t="n">
        <v>2</v>
      </c>
      <c r="U21835" s="7" t="n">
        <v>11</v>
      </c>
      <c r="V21835" s="7" t="n">
        <v>1</v>
      </c>
      <c r="W21835" s="11" t="n">
        <f t="normal" ca="1">A21839</f>
        <v>0</v>
      </c>
    </row>
    <row r="21836" spans="1:5">
      <c r="A21836" t="s">
        <v>4</v>
      </c>
      <c r="B21836" s="4" t="s">
        <v>5</v>
      </c>
      <c r="C21836" s="4" t="s">
        <v>7</v>
      </c>
      <c r="D21836" s="4" t="s">
        <v>11</v>
      </c>
      <c r="E21836" s="4" t="s">
        <v>13</v>
      </c>
    </row>
    <row r="21837" spans="1:5">
      <c r="A21837" t="n">
        <v>211906</v>
      </c>
      <c r="B21837" s="23" t="n">
        <v>58</v>
      </c>
      <c r="C21837" s="7" t="n">
        <v>0</v>
      </c>
      <c r="D21837" s="7" t="n">
        <v>0</v>
      </c>
      <c r="E21837" s="7" t="n">
        <v>1</v>
      </c>
    </row>
    <row r="21838" spans="1:5">
      <c r="A21838" t="s">
        <v>4</v>
      </c>
      <c r="B21838" s="4" t="s">
        <v>5</v>
      </c>
      <c r="C21838" s="4" t="s">
        <v>7</v>
      </c>
      <c r="D21838" s="20" t="s">
        <v>35</v>
      </c>
      <c r="E21838" s="4" t="s">
        <v>5</v>
      </c>
      <c r="F21838" s="4" t="s">
        <v>7</v>
      </c>
      <c r="G21838" s="4" t="s">
        <v>11</v>
      </c>
      <c r="H21838" s="20" t="s">
        <v>36</v>
      </c>
      <c r="I21838" s="4" t="s">
        <v>7</v>
      </c>
      <c r="J21838" s="4" t="s">
        <v>15</v>
      </c>
      <c r="K21838" s="4" t="s">
        <v>7</v>
      </c>
      <c r="L21838" s="4" t="s">
        <v>7</v>
      </c>
      <c r="M21838" s="20" t="s">
        <v>35</v>
      </c>
      <c r="N21838" s="4" t="s">
        <v>5</v>
      </c>
      <c r="O21838" s="4" t="s">
        <v>7</v>
      </c>
      <c r="P21838" s="4" t="s">
        <v>11</v>
      </c>
      <c r="Q21838" s="20" t="s">
        <v>36</v>
      </c>
      <c r="R21838" s="4" t="s">
        <v>7</v>
      </c>
      <c r="S21838" s="4" t="s">
        <v>15</v>
      </c>
      <c r="T21838" s="4" t="s">
        <v>7</v>
      </c>
      <c r="U21838" s="4" t="s">
        <v>7</v>
      </c>
      <c r="V21838" s="4" t="s">
        <v>7</v>
      </c>
      <c r="W21838" s="4" t="s">
        <v>12</v>
      </c>
    </row>
    <row r="21839" spans="1:5">
      <c r="A21839" t="n">
        <v>211914</v>
      </c>
      <c r="B21839" s="10" t="n">
        <v>5</v>
      </c>
      <c r="C21839" s="7" t="n">
        <v>28</v>
      </c>
      <c r="D21839" s="20" t="s">
        <v>3</v>
      </c>
      <c r="E21839" s="8" t="n">
        <v>162</v>
      </c>
      <c r="F21839" s="7" t="n">
        <v>3</v>
      </c>
      <c r="G21839" s="7" t="n">
        <v>33162</v>
      </c>
      <c r="H21839" s="20" t="s">
        <v>3</v>
      </c>
      <c r="I21839" s="7" t="n">
        <v>0</v>
      </c>
      <c r="J21839" s="7" t="n">
        <v>1</v>
      </c>
      <c r="K21839" s="7" t="n">
        <v>3</v>
      </c>
      <c r="L21839" s="7" t="n">
        <v>28</v>
      </c>
      <c r="M21839" s="20" t="s">
        <v>3</v>
      </c>
      <c r="N21839" s="8" t="n">
        <v>162</v>
      </c>
      <c r="O21839" s="7" t="n">
        <v>3</v>
      </c>
      <c r="P21839" s="7" t="n">
        <v>33162</v>
      </c>
      <c r="Q21839" s="20" t="s">
        <v>3</v>
      </c>
      <c r="R21839" s="7" t="n">
        <v>0</v>
      </c>
      <c r="S21839" s="7" t="n">
        <v>2</v>
      </c>
      <c r="T21839" s="7" t="n">
        <v>3</v>
      </c>
      <c r="U21839" s="7" t="n">
        <v>9</v>
      </c>
      <c r="V21839" s="7" t="n">
        <v>1</v>
      </c>
      <c r="W21839" s="11" t="n">
        <f t="normal" ca="1">A21849</f>
        <v>0</v>
      </c>
    </row>
    <row r="21840" spans="1:5">
      <c r="A21840" t="s">
        <v>4</v>
      </c>
      <c r="B21840" s="4" t="s">
        <v>5</v>
      </c>
      <c r="C21840" s="4" t="s">
        <v>7</v>
      </c>
      <c r="D21840" s="20" t="s">
        <v>35</v>
      </c>
      <c r="E21840" s="4" t="s">
        <v>5</v>
      </c>
      <c r="F21840" s="4" t="s">
        <v>11</v>
      </c>
      <c r="G21840" s="4" t="s">
        <v>7</v>
      </c>
      <c r="H21840" s="4" t="s">
        <v>7</v>
      </c>
      <c r="I21840" s="4" t="s">
        <v>8</v>
      </c>
      <c r="J21840" s="20" t="s">
        <v>36</v>
      </c>
      <c r="K21840" s="4" t="s">
        <v>7</v>
      </c>
      <c r="L21840" s="4" t="s">
        <v>7</v>
      </c>
      <c r="M21840" s="20" t="s">
        <v>35</v>
      </c>
      <c r="N21840" s="4" t="s">
        <v>5</v>
      </c>
      <c r="O21840" s="4" t="s">
        <v>7</v>
      </c>
      <c r="P21840" s="20" t="s">
        <v>36</v>
      </c>
      <c r="Q21840" s="4" t="s">
        <v>7</v>
      </c>
      <c r="R21840" s="4" t="s">
        <v>15</v>
      </c>
      <c r="S21840" s="4" t="s">
        <v>7</v>
      </c>
      <c r="T21840" s="4" t="s">
        <v>7</v>
      </c>
      <c r="U21840" s="4" t="s">
        <v>7</v>
      </c>
      <c r="V21840" s="20" t="s">
        <v>35</v>
      </c>
      <c r="W21840" s="4" t="s">
        <v>5</v>
      </c>
      <c r="X21840" s="4" t="s">
        <v>7</v>
      </c>
      <c r="Y21840" s="20" t="s">
        <v>36</v>
      </c>
      <c r="Z21840" s="4" t="s">
        <v>7</v>
      </c>
      <c r="AA21840" s="4" t="s">
        <v>15</v>
      </c>
      <c r="AB21840" s="4" t="s">
        <v>7</v>
      </c>
      <c r="AC21840" s="4" t="s">
        <v>7</v>
      </c>
      <c r="AD21840" s="4" t="s">
        <v>7</v>
      </c>
      <c r="AE21840" s="4" t="s">
        <v>12</v>
      </c>
    </row>
    <row r="21841" spans="1:31">
      <c r="A21841" t="n">
        <v>211943</v>
      </c>
      <c r="B21841" s="10" t="n">
        <v>5</v>
      </c>
      <c r="C21841" s="7" t="n">
        <v>28</v>
      </c>
      <c r="D21841" s="20" t="s">
        <v>3</v>
      </c>
      <c r="E21841" s="41" t="n">
        <v>47</v>
      </c>
      <c r="F21841" s="7" t="n">
        <v>61456</v>
      </c>
      <c r="G21841" s="7" t="n">
        <v>2</v>
      </c>
      <c r="H21841" s="7" t="n">
        <v>0</v>
      </c>
      <c r="I21841" s="7" t="s">
        <v>105</v>
      </c>
      <c r="J21841" s="20" t="s">
        <v>3</v>
      </c>
      <c r="K21841" s="7" t="n">
        <v>8</v>
      </c>
      <c r="L21841" s="7" t="n">
        <v>28</v>
      </c>
      <c r="M21841" s="20" t="s">
        <v>3</v>
      </c>
      <c r="N21841" s="45" t="n">
        <v>74</v>
      </c>
      <c r="O21841" s="7" t="n">
        <v>65</v>
      </c>
      <c r="P21841" s="20" t="s">
        <v>3</v>
      </c>
      <c r="Q21841" s="7" t="n">
        <v>0</v>
      </c>
      <c r="R21841" s="7" t="n">
        <v>1</v>
      </c>
      <c r="S21841" s="7" t="n">
        <v>3</v>
      </c>
      <c r="T21841" s="7" t="n">
        <v>9</v>
      </c>
      <c r="U21841" s="7" t="n">
        <v>28</v>
      </c>
      <c r="V21841" s="20" t="s">
        <v>3</v>
      </c>
      <c r="W21841" s="45" t="n">
        <v>74</v>
      </c>
      <c r="X21841" s="7" t="n">
        <v>65</v>
      </c>
      <c r="Y21841" s="20" t="s">
        <v>3</v>
      </c>
      <c r="Z21841" s="7" t="n">
        <v>0</v>
      </c>
      <c r="AA21841" s="7" t="n">
        <v>2</v>
      </c>
      <c r="AB21841" s="7" t="n">
        <v>3</v>
      </c>
      <c r="AC21841" s="7" t="n">
        <v>9</v>
      </c>
      <c r="AD21841" s="7" t="n">
        <v>1</v>
      </c>
      <c r="AE21841" s="11" t="n">
        <f t="normal" ca="1">A21845</f>
        <v>0</v>
      </c>
    </row>
    <row r="21842" spans="1:31">
      <c r="A21842" t="s">
        <v>4</v>
      </c>
      <c r="B21842" s="4" t="s">
        <v>5</v>
      </c>
      <c r="C21842" s="4" t="s">
        <v>11</v>
      </c>
      <c r="D21842" s="4" t="s">
        <v>7</v>
      </c>
      <c r="E21842" s="4" t="s">
        <v>7</v>
      </c>
      <c r="F21842" s="4" t="s">
        <v>8</v>
      </c>
    </row>
    <row r="21843" spans="1:31">
      <c r="A21843" t="n">
        <v>211991</v>
      </c>
      <c r="B21843" s="41" t="n">
        <v>47</v>
      </c>
      <c r="C21843" s="7" t="n">
        <v>61456</v>
      </c>
      <c r="D21843" s="7" t="n">
        <v>0</v>
      </c>
      <c r="E21843" s="7" t="n">
        <v>0</v>
      </c>
      <c r="F21843" s="7" t="s">
        <v>106</v>
      </c>
    </row>
    <row r="21844" spans="1:31">
      <c r="A21844" t="s">
        <v>4</v>
      </c>
      <c r="B21844" s="4" t="s">
        <v>5</v>
      </c>
      <c r="C21844" s="4" t="s">
        <v>7</v>
      </c>
      <c r="D21844" s="4" t="s">
        <v>11</v>
      </c>
      <c r="E21844" s="4" t="s">
        <v>13</v>
      </c>
    </row>
    <row r="21845" spans="1:31">
      <c r="A21845" t="n">
        <v>212004</v>
      </c>
      <c r="B21845" s="23" t="n">
        <v>58</v>
      </c>
      <c r="C21845" s="7" t="n">
        <v>0</v>
      </c>
      <c r="D21845" s="7" t="n">
        <v>300</v>
      </c>
      <c r="E21845" s="7" t="n">
        <v>1</v>
      </c>
    </row>
    <row r="21846" spans="1:31">
      <c r="A21846" t="s">
        <v>4</v>
      </c>
      <c r="B21846" s="4" t="s">
        <v>5</v>
      </c>
      <c r="C21846" s="4" t="s">
        <v>7</v>
      </c>
      <c r="D21846" s="4" t="s">
        <v>11</v>
      </c>
    </row>
    <row r="21847" spans="1:31">
      <c r="A21847" t="n">
        <v>212012</v>
      </c>
      <c r="B21847" s="23" t="n">
        <v>58</v>
      </c>
      <c r="C21847" s="7" t="n">
        <v>255</v>
      </c>
      <c r="D21847" s="7" t="n">
        <v>0</v>
      </c>
    </row>
    <row r="21848" spans="1:31">
      <c r="A21848" t="s">
        <v>4</v>
      </c>
      <c r="B21848" s="4" t="s">
        <v>5</v>
      </c>
      <c r="C21848" s="4" t="s">
        <v>7</v>
      </c>
      <c r="D21848" s="4" t="s">
        <v>7</v>
      </c>
      <c r="E21848" s="4" t="s">
        <v>7</v>
      </c>
      <c r="F21848" s="4" t="s">
        <v>7</v>
      </c>
    </row>
    <row r="21849" spans="1:31">
      <c r="A21849" t="n">
        <v>212016</v>
      </c>
      <c r="B21849" s="9" t="n">
        <v>14</v>
      </c>
      <c r="C21849" s="7" t="n">
        <v>0</v>
      </c>
      <c r="D21849" s="7" t="n">
        <v>0</v>
      </c>
      <c r="E21849" s="7" t="n">
        <v>0</v>
      </c>
      <c r="F21849" s="7" t="n">
        <v>64</v>
      </c>
    </row>
    <row r="21850" spans="1:31">
      <c r="A21850" t="s">
        <v>4</v>
      </c>
      <c r="B21850" s="4" t="s">
        <v>5</v>
      </c>
      <c r="C21850" s="4" t="s">
        <v>7</v>
      </c>
      <c r="D21850" s="4" t="s">
        <v>11</v>
      </c>
    </row>
    <row r="21851" spans="1:31">
      <c r="A21851" t="n">
        <v>212021</v>
      </c>
      <c r="B21851" s="22" t="n">
        <v>22</v>
      </c>
      <c r="C21851" s="7" t="n">
        <v>0</v>
      </c>
      <c r="D21851" s="7" t="n">
        <v>33162</v>
      </c>
    </row>
    <row r="21852" spans="1:31">
      <c r="A21852" t="s">
        <v>4</v>
      </c>
      <c r="B21852" s="4" t="s">
        <v>5</v>
      </c>
      <c r="C21852" s="4" t="s">
        <v>7</v>
      </c>
      <c r="D21852" s="4" t="s">
        <v>11</v>
      </c>
    </row>
    <row r="21853" spans="1:31">
      <c r="A21853" t="n">
        <v>212025</v>
      </c>
      <c r="B21853" s="23" t="n">
        <v>58</v>
      </c>
      <c r="C21853" s="7" t="n">
        <v>5</v>
      </c>
      <c r="D21853" s="7" t="n">
        <v>300</v>
      </c>
    </row>
    <row r="21854" spans="1:31">
      <c r="A21854" t="s">
        <v>4</v>
      </c>
      <c r="B21854" s="4" t="s">
        <v>5</v>
      </c>
      <c r="C21854" s="4" t="s">
        <v>13</v>
      </c>
      <c r="D21854" s="4" t="s">
        <v>11</v>
      </c>
    </row>
    <row r="21855" spans="1:31">
      <c r="A21855" t="n">
        <v>212029</v>
      </c>
      <c r="B21855" s="46" t="n">
        <v>103</v>
      </c>
      <c r="C21855" s="7" t="n">
        <v>0</v>
      </c>
      <c r="D21855" s="7" t="n">
        <v>300</v>
      </c>
    </row>
    <row r="21856" spans="1:31">
      <c r="A21856" t="s">
        <v>4</v>
      </c>
      <c r="B21856" s="4" t="s">
        <v>5</v>
      </c>
      <c r="C21856" s="4" t="s">
        <v>7</v>
      </c>
    </row>
    <row r="21857" spans="1:31">
      <c r="A21857" t="n">
        <v>212036</v>
      </c>
      <c r="B21857" s="47" t="n">
        <v>64</v>
      </c>
      <c r="C21857" s="7" t="n">
        <v>7</v>
      </c>
    </row>
    <row r="21858" spans="1:31">
      <c r="A21858" t="s">
        <v>4</v>
      </c>
      <c r="B21858" s="4" t="s">
        <v>5</v>
      </c>
      <c r="C21858" s="4" t="s">
        <v>7</v>
      </c>
      <c r="D21858" s="4" t="s">
        <v>11</v>
      </c>
    </row>
    <row r="21859" spans="1:31">
      <c r="A21859" t="n">
        <v>212038</v>
      </c>
      <c r="B21859" s="48" t="n">
        <v>72</v>
      </c>
      <c r="C21859" s="7" t="n">
        <v>5</v>
      </c>
      <c r="D21859" s="7" t="n">
        <v>0</v>
      </c>
    </row>
    <row r="21860" spans="1:31">
      <c r="A21860" t="s">
        <v>4</v>
      </c>
      <c r="B21860" s="4" t="s">
        <v>5</v>
      </c>
      <c r="C21860" s="4" t="s">
        <v>7</v>
      </c>
      <c r="D21860" s="20" t="s">
        <v>35</v>
      </c>
      <c r="E21860" s="4" t="s">
        <v>5</v>
      </c>
      <c r="F21860" s="4" t="s">
        <v>7</v>
      </c>
      <c r="G21860" s="4" t="s">
        <v>11</v>
      </c>
      <c r="H21860" s="20" t="s">
        <v>36</v>
      </c>
      <c r="I21860" s="4" t="s">
        <v>7</v>
      </c>
      <c r="J21860" s="4" t="s">
        <v>15</v>
      </c>
      <c r="K21860" s="4" t="s">
        <v>7</v>
      </c>
      <c r="L21860" s="4" t="s">
        <v>7</v>
      </c>
      <c r="M21860" s="4" t="s">
        <v>12</v>
      </c>
    </row>
    <row r="21861" spans="1:31">
      <c r="A21861" t="n">
        <v>212042</v>
      </c>
      <c r="B21861" s="10" t="n">
        <v>5</v>
      </c>
      <c r="C21861" s="7" t="n">
        <v>28</v>
      </c>
      <c r="D21861" s="20" t="s">
        <v>3</v>
      </c>
      <c r="E21861" s="8" t="n">
        <v>162</v>
      </c>
      <c r="F21861" s="7" t="n">
        <v>4</v>
      </c>
      <c r="G21861" s="7" t="n">
        <v>33162</v>
      </c>
      <c r="H21861" s="20" t="s">
        <v>3</v>
      </c>
      <c r="I21861" s="7" t="n">
        <v>0</v>
      </c>
      <c r="J21861" s="7" t="n">
        <v>1</v>
      </c>
      <c r="K21861" s="7" t="n">
        <v>2</v>
      </c>
      <c r="L21861" s="7" t="n">
        <v>1</v>
      </c>
      <c r="M21861" s="11" t="n">
        <f t="normal" ca="1">A21867</f>
        <v>0</v>
      </c>
    </row>
    <row r="21862" spans="1:31">
      <c r="A21862" t="s">
        <v>4</v>
      </c>
      <c r="B21862" s="4" t="s">
        <v>5</v>
      </c>
      <c r="C21862" s="4" t="s">
        <v>7</v>
      </c>
      <c r="D21862" s="4" t="s">
        <v>8</v>
      </c>
    </row>
    <row r="21863" spans="1:31">
      <c r="A21863" t="n">
        <v>212059</v>
      </c>
      <c r="B21863" s="6" t="n">
        <v>2</v>
      </c>
      <c r="C21863" s="7" t="n">
        <v>10</v>
      </c>
      <c r="D21863" s="7" t="s">
        <v>107</v>
      </c>
    </row>
    <row r="21864" spans="1:31">
      <c r="A21864" t="s">
        <v>4</v>
      </c>
      <c r="B21864" s="4" t="s">
        <v>5</v>
      </c>
      <c r="C21864" s="4" t="s">
        <v>11</v>
      </c>
    </row>
    <row r="21865" spans="1:31">
      <c r="A21865" t="n">
        <v>212076</v>
      </c>
      <c r="B21865" s="29" t="n">
        <v>16</v>
      </c>
      <c r="C21865" s="7" t="n">
        <v>0</v>
      </c>
    </row>
    <row r="21866" spans="1:31">
      <c r="A21866" t="s">
        <v>4</v>
      </c>
      <c r="B21866" s="4" t="s">
        <v>5</v>
      </c>
      <c r="C21866" s="4" t="s">
        <v>11</v>
      </c>
      <c r="D21866" s="4" t="s">
        <v>7</v>
      </c>
      <c r="E21866" s="4" t="s">
        <v>7</v>
      </c>
      <c r="F21866" s="4" t="s">
        <v>8</v>
      </c>
    </row>
    <row r="21867" spans="1:31">
      <c r="A21867" t="n">
        <v>212079</v>
      </c>
      <c r="B21867" s="50" t="n">
        <v>20</v>
      </c>
      <c r="C21867" s="7" t="n">
        <v>0</v>
      </c>
      <c r="D21867" s="7" t="n">
        <v>3</v>
      </c>
      <c r="E21867" s="7" t="n">
        <v>10</v>
      </c>
      <c r="F21867" s="7" t="s">
        <v>108</v>
      </c>
    </row>
    <row r="21868" spans="1:31">
      <c r="A21868" t="s">
        <v>4</v>
      </c>
      <c r="B21868" s="4" t="s">
        <v>5</v>
      </c>
      <c r="C21868" s="4" t="s">
        <v>11</v>
      </c>
    </row>
    <row r="21869" spans="1:31">
      <c r="A21869" t="n">
        <v>212097</v>
      </c>
      <c r="B21869" s="29" t="n">
        <v>16</v>
      </c>
      <c r="C21869" s="7" t="n">
        <v>0</v>
      </c>
    </row>
    <row r="21870" spans="1:31">
      <c r="A21870" t="s">
        <v>4</v>
      </c>
      <c r="B21870" s="4" t="s">
        <v>5</v>
      </c>
      <c r="C21870" s="4" t="s">
        <v>11</v>
      </c>
      <c r="D21870" s="4" t="s">
        <v>13</v>
      </c>
      <c r="E21870" s="4" t="s">
        <v>13</v>
      </c>
      <c r="F21870" s="4" t="s">
        <v>13</v>
      </c>
      <c r="G21870" s="4" t="s">
        <v>13</v>
      </c>
    </row>
    <row r="21871" spans="1:31">
      <c r="A21871" t="n">
        <v>212100</v>
      </c>
      <c r="B21871" s="36" t="n">
        <v>46</v>
      </c>
      <c r="C21871" s="7" t="n">
        <v>0</v>
      </c>
      <c r="D21871" s="7" t="n">
        <v>-8.96000003814697</v>
      </c>
      <c r="E21871" s="7" t="n">
        <v>5</v>
      </c>
      <c r="F21871" s="7" t="n">
        <v>32.0400009155273</v>
      </c>
      <c r="G21871" s="7" t="n">
        <v>270</v>
      </c>
    </row>
    <row r="21872" spans="1:31">
      <c r="A21872" t="s">
        <v>4</v>
      </c>
      <c r="B21872" s="4" t="s">
        <v>5</v>
      </c>
      <c r="C21872" s="4" t="s">
        <v>11</v>
      </c>
      <c r="D21872" s="4" t="s">
        <v>13</v>
      </c>
      <c r="E21872" s="4" t="s">
        <v>13</v>
      </c>
      <c r="F21872" s="4" t="s">
        <v>13</v>
      </c>
      <c r="G21872" s="4" t="s">
        <v>11</v>
      </c>
      <c r="H21872" s="4" t="s">
        <v>11</v>
      </c>
    </row>
    <row r="21873" spans="1:13">
      <c r="A21873" t="n">
        <v>212119</v>
      </c>
      <c r="B21873" s="37" t="n">
        <v>60</v>
      </c>
      <c r="C21873" s="7" t="n">
        <v>0</v>
      </c>
      <c r="D21873" s="7" t="n">
        <v>0</v>
      </c>
      <c r="E21873" s="7" t="n">
        <v>15</v>
      </c>
      <c r="F21873" s="7" t="n">
        <v>0</v>
      </c>
      <c r="G21873" s="7" t="n">
        <v>0</v>
      </c>
      <c r="H21873" s="7" t="n">
        <v>0</v>
      </c>
    </row>
    <row r="21874" spans="1:13">
      <c r="A21874" t="s">
        <v>4</v>
      </c>
      <c r="B21874" s="4" t="s">
        <v>5</v>
      </c>
      <c r="C21874" s="4" t="s">
        <v>7</v>
      </c>
      <c r="D21874" s="4" t="s">
        <v>7</v>
      </c>
      <c r="E21874" s="4" t="s">
        <v>13</v>
      </c>
      <c r="F21874" s="4" t="s">
        <v>13</v>
      </c>
      <c r="G21874" s="4" t="s">
        <v>13</v>
      </c>
      <c r="H21874" s="4" t="s">
        <v>11</v>
      </c>
    </row>
    <row r="21875" spans="1:13">
      <c r="A21875" t="n">
        <v>212138</v>
      </c>
      <c r="B21875" s="51" t="n">
        <v>45</v>
      </c>
      <c r="C21875" s="7" t="n">
        <v>2</v>
      </c>
      <c r="D21875" s="7" t="n">
        <v>3</v>
      </c>
      <c r="E21875" s="7" t="n">
        <v>-9.51000022888184</v>
      </c>
      <c r="F21875" s="7" t="n">
        <v>6.90999984741211</v>
      </c>
      <c r="G21875" s="7" t="n">
        <v>32.0099983215332</v>
      </c>
      <c r="H21875" s="7" t="n">
        <v>0</v>
      </c>
    </row>
    <row r="21876" spans="1:13">
      <c r="A21876" t="s">
        <v>4</v>
      </c>
      <c r="B21876" s="4" t="s">
        <v>5</v>
      </c>
      <c r="C21876" s="4" t="s">
        <v>7</v>
      </c>
      <c r="D21876" s="4" t="s">
        <v>7</v>
      </c>
      <c r="E21876" s="4" t="s">
        <v>13</v>
      </c>
      <c r="F21876" s="4" t="s">
        <v>13</v>
      </c>
      <c r="G21876" s="4" t="s">
        <v>13</v>
      </c>
      <c r="H21876" s="4" t="s">
        <v>11</v>
      </c>
      <c r="I21876" s="4" t="s">
        <v>7</v>
      </c>
    </row>
    <row r="21877" spans="1:13">
      <c r="A21877" t="n">
        <v>212155</v>
      </c>
      <c r="B21877" s="51" t="n">
        <v>45</v>
      </c>
      <c r="C21877" s="7" t="n">
        <v>4</v>
      </c>
      <c r="D21877" s="7" t="n">
        <v>3</v>
      </c>
      <c r="E21877" s="7" t="n">
        <v>358.109985351563</v>
      </c>
      <c r="F21877" s="7" t="n">
        <v>36.8600006103516</v>
      </c>
      <c r="G21877" s="7" t="n">
        <v>0</v>
      </c>
      <c r="H21877" s="7" t="n">
        <v>0</v>
      </c>
      <c r="I21877" s="7" t="n">
        <v>0</v>
      </c>
    </row>
    <row r="21878" spans="1:13">
      <c r="A21878" t="s">
        <v>4</v>
      </c>
      <c r="B21878" s="4" t="s">
        <v>5</v>
      </c>
      <c r="C21878" s="4" t="s">
        <v>7</v>
      </c>
      <c r="D21878" s="4" t="s">
        <v>7</v>
      </c>
      <c r="E21878" s="4" t="s">
        <v>13</v>
      </c>
      <c r="F21878" s="4" t="s">
        <v>11</v>
      </c>
    </row>
    <row r="21879" spans="1:13">
      <c r="A21879" t="n">
        <v>212173</v>
      </c>
      <c r="B21879" s="51" t="n">
        <v>45</v>
      </c>
      <c r="C21879" s="7" t="n">
        <v>5</v>
      </c>
      <c r="D21879" s="7" t="n">
        <v>3</v>
      </c>
      <c r="E21879" s="7" t="n">
        <v>3.70000004768372</v>
      </c>
      <c r="F21879" s="7" t="n">
        <v>0</v>
      </c>
    </row>
    <row r="21880" spans="1:13">
      <c r="A21880" t="s">
        <v>4</v>
      </c>
      <c r="B21880" s="4" t="s">
        <v>5</v>
      </c>
      <c r="C21880" s="4" t="s">
        <v>7</v>
      </c>
      <c r="D21880" s="4" t="s">
        <v>7</v>
      </c>
      <c r="E21880" s="4" t="s">
        <v>13</v>
      </c>
      <c r="F21880" s="4" t="s">
        <v>11</v>
      </c>
    </row>
    <row r="21881" spans="1:13">
      <c r="A21881" t="n">
        <v>212182</v>
      </c>
      <c r="B21881" s="51" t="n">
        <v>45</v>
      </c>
      <c r="C21881" s="7" t="n">
        <v>11</v>
      </c>
      <c r="D21881" s="7" t="n">
        <v>3</v>
      </c>
      <c r="E21881" s="7" t="n">
        <v>34</v>
      </c>
      <c r="F21881" s="7" t="n">
        <v>0</v>
      </c>
    </row>
    <row r="21882" spans="1:13">
      <c r="A21882" t="s">
        <v>4</v>
      </c>
      <c r="B21882" s="4" t="s">
        <v>5</v>
      </c>
      <c r="C21882" s="4" t="s">
        <v>7</v>
      </c>
      <c r="D21882" s="4" t="s">
        <v>7</v>
      </c>
      <c r="E21882" s="4" t="s">
        <v>13</v>
      </c>
      <c r="F21882" s="4" t="s">
        <v>13</v>
      </c>
      <c r="G21882" s="4" t="s">
        <v>13</v>
      </c>
      <c r="H21882" s="4" t="s">
        <v>11</v>
      </c>
    </row>
    <row r="21883" spans="1:13">
      <c r="A21883" t="n">
        <v>212191</v>
      </c>
      <c r="B21883" s="51" t="n">
        <v>45</v>
      </c>
      <c r="C21883" s="7" t="n">
        <v>2</v>
      </c>
      <c r="D21883" s="7" t="n">
        <v>3</v>
      </c>
      <c r="E21883" s="7" t="n">
        <v>-9.51000022888184</v>
      </c>
      <c r="F21883" s="7" t="n">
        <v>6.3899998664856</v>
      </c>
      <c r="G21883" s="7" t="n">
        <v>32.0099983215332</v>
      </c>
      <c r="H21883" s="7" t="n">
        <v>3000</v>
      </c>
    </row>
    <row r="21884" spans="1:13">
      <c r="A21884" t="s">
        <v>4</v>
      </c>
      <c r="B21884" s="4" t="s">
        <v>5</v>
      </c>
      <c r="C21884" s="4" t="s">
        <v>7</v>
      </c>
      <c r="D21884" s="4" t="s">
        <v>11</v>
      </c>
      <c r="E21884" s="4" t="s">
        <v>13</v>
      </c>
    </row>
    <row r="21885" spans="1:13">
      <c r="A21885" t="n">
        <v>212208</v>
      </c>
      <c r="B21885" s="23" t="n">
        <v>58</v>
      </c>
      <c r="C21885" s="7" t="n">
        <v>100</v>
      </c>
      <c r="D21885" s="7" t="n">
        <v>1000</v>
      </c>
      <c r="E21885" s="7" t="n">
        <v>1</v>
      </c>
    </row>
    <row r="21886" spans="1:13">
      <c r="A21886" t="s">
        <v>4</v>
      </c>
      <c r="B21886" s="4" t="s">
        <v>5</v>
      </c>
      <c r="C21886" s="4" t="s">
        <v>7</v>
      </c>
      <c r="D21886" s="4" t="s">
        <v>11</v>
      </c>
    </row>
    <row r="21887" spans="1:13">
      <c r="A21887" t="n">
        <v>212216</v>
      </c>
      <c r="B21887" s="23" t="n">
        <v>58</v>
      </c>
      <c r="C21887" s="7" t="n">
        <v>255</v>
      </c>
      <c r="D21887" s="7" t="n">
        <v>0</v>
      </c>
    </row>
    <row r="21888" spans="1:13">
      <c r="A21888" t="s">
        <v>4</v>
      </c>
      <c r="B21888" s="4" t="s">
        <v>5</v>
      </c>
      <c r="C21888" s="4" t="s">
        <v>7</v>
      </c>
      <c r="D21888" s="4" t="s">
        <v>11</v>
      </c>
    </row>
    <row r="21889" spans="1:9">
      <c r="A21889" t="n">
        <v>212220</v>
      </c>
      <c r="B21889" s="51" t="n">
        <v>45</v>
      </c>
      <c r="C21889" s="7" t="n">
        <v>7</v>
      </c>
      <c r="D21889" s="7" t="n">
        <v>255</v>
      </c>
    </row>
    <row r="21890" spans="1:9">
      <c r="A21890" t="s">
        <v>4</v>
      </c>
      <c r="B21890" s="4" t="s">
        <v>5</v>
      </c>
      <c r="C21890" s="4" t="s">
        <v>7</v>
      </c>
      <c r="D21890" s="4" t="s">
        <v>11</v>
      </c>
      <c r="E21890" s="4" t="s">
        <v>8</v>
      </c>
    </row>
    <row r="21891" spans="1:9">
      <c r="A21891" t="n">
        <v>212224</v>
      </c>
      <c r="B21891" s="38" t="n">
        <v>51</v>
      </c>
      <c r="C21891" s="7" t="n">
        <v>4</v>
      </c>
      <c r="D21891" s="7" t="n">
        <v>0</v>
      </c>
      <c r="E21891" s="7" t="s">
        <v>158</v>
      </c>
    </row>
    <row r="21892" spans="1:9">
      <c r="A21892" t="s">
        <v>4</v>
      </c>
      <c r="B21892" s="4" t="s">
        <v>5</v>
      </c>
      <c r="C21892" s="4" t="s">
        <v>11</v>
      </c>
    </row>
    <row r="21893" spans="1:9">
      <c r="A21893" t="n">
        <v>212238</v>
      </c>
      <c r="B21893" s="29" t="n">
        <v>16</v>
      </c>
      <c r="C21893" s="7" t="n">
        <v>0</v>
      </c>
    </row>
    <row r="21894" spans="1:9">
      <c r="A21894" t="s">
        <v>4</v>
      </c>
      <c r="B21894" s="4" t="s">
        <v>5</v>
      </c>
      <c r="C21894" s="4" t="s">
        <v>11</v>
      </c>
      <c r="D21894" s="4" t="s">
        <v>7</v>
      </c>
      <c r="E21894" s="4" t="s">
        <v>15</v>
      </c>
      <c r="F21894" s="4" t="s">
        <v>55</v>
      </c>
      <c r="G21894" s="4" t="s">
        <v>7</v>
      </c>
      <c r="H21894" s="4" t="s">
        <v>7</v>
      </c>
    </row>
    <row r="21895" spans="1:9">
      <c r="A21895" t="n">
        <v>212241</v>
      </c>
      <c r="B21895" s="55" t="n">
        <v>26</v>
      </c>
      <c r="C21895" s="7" t="n">
        <v>0</v>
      </c>
      <c r="D21895" s="7" t="n">
        <v>17</v>
      </c>
      <c r="E21895" s="7" t="n">
        <v>64787</v>
      </c>
      <c r="F21895" s="7" t="s">
        <v>1807</v>
      </c>
      <c r="G21895" s="7" t="n">
        <v>2</v>
      </c>
      <c r="H21895" s="7" t="n">
        <v>0</v>
      </c>
    </row>
    <row r="21896" spans="1:9">
      <c r="A21896" t="s">
        <v>4</v>
      </c>
      <c r="B21896" s="4" t="s">
        <v>5</v>
      </c>
    </row>
    <row r="21897" spans="1:9">
      <c r="A21897" t="n">
        <v>212277</v>
      </c>
      <c r="B21897" s="27" t="n">
        <v>28</v>
      </c>
    </row>
    <row r="21898" spans="1:9">
      <c r="A21898" t="s">
        <v>4</v>
      </c>
      <c r="B21898" s="4" t="s">
        <v>5</v>
      </c>
      <c r="C21898" s="4" t="s">
        <v>11</v>
      </c>
      <c r="D21898" s="4" t="s">
        <v>7</v>
      </c>
      <c r="E21898" s="4" t="s">
        <v>13</v>
      </c>
      <c r="F21898" s="4" t="s">
        <v>11</v>
      </c>
    </row>
    <row r="21899" spans="1:9">
      <c r="A21899" t="n">
        <v>212278</v>
      </c>
      <c r="B21899" s="56" t="n">
        <v>59</v>
      </c>
      <c r="C21899" s="7" t="n">
        <v>0</v>
      </c>
      <c r="D21899" s="7" t="n">
        <v>9</v>
      </c>
      <c r="E21899" s="7" t="n">
        <v>0.150000005960464</v>
      </c>
      <c r="F21899" s="7" t="n">
        <v>0</v>
      </c>
    </row>
    <row r="21900" spans="1:9">
      <c r="A21900" t="s">
        <v>4</v>
      </c>
      <c r="B21900" s="4" t="s">
        <v>5</v>
      </c>
      <c r="C21900" s="4" t="s">
        <v>11</v>
      </c>
    </row>
    <row r="21901" spans="1:9">
      <c r="A21901" t="n">
        <v>212288</v>
      </c>
      <c r="B21901" s="29" t="n">
        <v>16</v>
      </c>
      <c r="C21901" s="7" t="n">
        <v>1500</v>
      </c>
    </row>
    <row r="21902" spans="1:9">
      <c r="A21902" t="s">
        <v>4</v>
      </c>
      <c r="B21902" s="4" t="s">
        <v>5</v>
      </c>
      <c r="C21902" s="4" t="s">
        <v>7</v>
      </c>
      <c r="D21902" s="4" t="s">
        <v>11</v>
      </c>
      <c r="E21902" s="4" t="s">
        <v>8</v>
      </c>
    </row>
    <row r="21903" spans="1:9">
      <c r="A21903" t="n">
        <v>212291</v>
      </c>
      <c r="B21903" s="38" t="n">
        <v>51</v>
      </c>
      <c r="C21903" s="7" t="n">
        <v>4</v>
      </c>
      <c r="D21903" s="7" t="n">
        <v>0</v>
      </c>
      <c r="E21903" s="7" t="s">
        <v>264</v>
      </c>
    </row>
    <row r="21904" spans="1:9">
      <c r="A21904" t="s">
        <v>4</v>
      </c>
      <c r="B21904" s="4" t="s">
        <v>5</v>
      </c>
      <c r="C21904" s="4" t="s">
        <v>11</v>
      </c>
    </row>
    <row r="21905" spans="1:8">
      <c r="A21905" t="n">
        <v>212306</v>
      </c>
      <c r="B21905" s="29" t="n">
        <v>16</v>
      </c>
      <c r="C21905" s="7" t="n">
        <v>0</v>
      </c>
    </row>
    <row r="21906" spans="1:8">
      <c r="A21906" t="s">
        <v>4</v>
      </c>
      <c r="B21906" s="4" t="s">
        <v>5</v>
      </c>
      <c r="C21906" s="4" t="s">
        <v>11</v>
      </c>
      <c r="D21906" s="4" t="s">
        <v>7</v>
      </c>
      <c r="E21906" s="4" t="s">
        <v>15</v>
      </c>
      <c r="F21906" s="4" t="s">
        <v>55</v>
      </c>
      <c r="G21906" s="4" t="s">
        <v>7</v>
      </c>
      <c r="H21906" s="4" t="s">
        <v>7</v>
      </c>
      <c r="I21906" s="4" t="s">
        <v>7</v>
      </c>
      <c r="J21906" s="4" t="s">
        <v>15</v>
      </c>
      <c r="K21906" s="4" t="s">
        <v>55</v>
      </c>
      <c r="L21906" s="4" t="s">
        <v>7</v>
      </c>
      <c r="M21906" s="4" t="s">
        <v>7</v>
      </c>
    </row>
    <row r="21907" spans="1:8">
      <c r="A21907" t="n">
        <v>212309</v>
      </c>
      <c r="B21907" s="55" t="n">
        <v>26</v>
      </c>
      <c r="C21907" s="7" t="n">
        <v>0</v>
      </c>
      <c r="D21907" s="7" t="n">
        <v>17</v>
      </c>
      <c r="E21907" s="7" t="n">
        <v>64788</v>
      </c>
      <c r="F21907" s="7" t="s">
        <v>1808</v>
      </c>
      <c r="G21907" s="7" t="n">
        <v>2</v>
      </c>
      <c r="H21907" s="7" t="n">
        <v>3</v>
      </c>
      <c r="I21907" s="7" t="n">
        <v>17</v>
      </c>
      <c r="J21907" s="7" t="n">
        <v>64789</v>
      </c>
      <c r="K21907" s="7" t="s">
        <v>1809</v>
      </c>
      <c r="L21907" s="7" t="n">
        <v>2</v>
      </c>
      <c r="M21907" s="7" t="n">
        <v>0</v>
      </c>
    </row>
    <row r="21908" spans="1:8">
      <c r="A21908" t="s">
        <v>4</v>
      </c>
      <c r="B21908" s="4" t="s">
        <v>5</v>
      </c>
    </row>
    <row r="21909" spans="1:8">
      <c r="A21909" t="n">
        <v>212439</v>
      </c>
      <c r="B21909" s="27" t="n">
        <v>28</v>
      </c>
    </row>
    <row r="21910" spans="1:8">
      <c r="A21910" t="s">
        <v>4</v>
      </c>
      <c r="B21910" s="4" t="s">
        <v>5</v>
      </c>
      <c r="C21910" s="4" t="s">
        <v>11</v>
      </c>
    </row>
    <row r="21911" spans="1:8">
      <c r="A21911" t="n">
        <v>212440</v>
      </c>
      <c r="B21911" s="43" t="n">
        <v>12</v>
      </c>
      <c r="C21911" s="7" t="n">
        <v>10316</v>
      </c>
    </row>
    <row r="21912" spans="1:8">
      <c r="A21912" t="s">
        <v>4</v>
      </c>
      <c r="B21912" s="4" t="s">
        <v>5</v>
      </c>
      <c r="C21912" s="4" t="s">
        <v>7</v>
      </c>
      <c r="D21912" s="4" t="s">
        <v>11</v>
      </c>
      <c r="E21912" s="4" t="s">
        <v>13</v>
      </c>
    </row>
    <row r="21913" spans="1:8">
      <c r="A21913" t="n">
        <v>212443</v>
      </c>
      <c r="B21913" s="23" t="n">
        <v>58</v>
      </c>
      <c r="C21913" s="7" t="n">
        <v>0</v>
      </c>
      <c r="D21913" s="7" t="n">
        <v>1000</v>
      </c>
      <c r="E21913" s="7" t="n">
        <v>1</v>
      </c>
    </row>
    <row r="21914" spans="1:8">
      <c r="A21914" t="s">
        <v>4</v>
      </c>
      <c r="B21914" s="4" t="s">
        <v>5</v>
      </c>
      <c r="C21914" s="4" t="s">
        <v>7</v>
      </c>
      <c r="D21914" s="4" t="s">
        <v>11</v>
      </c>
    </row>
    <row r="21915" spans="1:8">
      <c r="A21915" t="n">
        <v>212451</v>
      </c>
      <c r="B21915" s="23" t="n">
        <v>58</v>
      </c>
      <c r="C21915" s="7" t="n">
        <v>255</v>
      </c>
      <c r="D21915" s="7" t="n">
        <v>0</v>
      </c>
    </row>
    <row r="21916" spans="1:8">
      <c r="A21916" t="s">
        <v>4</v>
      </c>
      <c r="B21916" s="4" t="s">
        <v>5</v>
      </c>
      <c r="C21916" s="4" t="s">
        <v>7</v>
      </c>
      <c r="D21916" s="4" t="s">
        <v>7</v>
      </c>
      <c r="E21916" s="4" t="s">
        <v>13</v>
      </c>
      <c r="F21916" s="4" t="s">
        <v>13</v>
      </c>
      <c r="G21916" s="4" t="s">
        <v>13</v>
      </c>
      <c r="H21916" s="4" t="s">
        <v>11</v>
      </c>
      <c r="I21916" s="4" t="s">
        <v>7</v>
      </c>
    </row>
    <row r="21917" spans="1:8">
      <c r="A21917" t="n">
        <v>212455</v>
      </c>
      <c r="B21917" s="51" t="n">
        <v>45</v>
      </c>
      <c r="C21917" s="7" t="n">
        <v>4</v>
      </c>
      <c r="D21917" s="7" t="n">
        <v>3</v>
      </c>
      <c r="E21917" s="7" t="n">
        <v>7</v>
      </c>
      <c r="F21917" s="7" t="n">
        <v>66.1399993896484</v>
      </c>
      <c r="G21917" s="7" t="n">
        <v>0</v>
      </c>
      <c r="H21917" s="7" t="n">
        <v>0</v>
      </c>
      <c r="I21917" s="7" t="n">
        <v>0</v>
      </c>
    </row>
    <row r="21918" spans="1:8">
      <c r="A21918" t="s">
        <v>4</v>
      </c>
      <c r="B21918" s="4" t="s">
        <v>5</v>
      </c>
      <c r="C21918" s="4" t="s">
        <v>11</v>
      </c>
      <c r="D21918" s="4" t="s">
        <v>13</v>
      </c>
      <c r="E21918" s="4" t="s">
        <v>13</v>
      </c>
      <c r="F21918" s="4" t="s">
        <v>13</v>
      </c>
      <c r="G21918" s="4" t="s">
        <v>13</v>
      </c>
    </row>
    <row r="21919" spans="1:8">
      <c r="A21919" t="n">
        <v>212473</v>
      </c>
      <c r="B21919" s="36" t="n">
        <v>46</v>
      </c>
      <c r="C21919" s="7" t="n">
        <v>61456</v>
      </c>
      <c r="D21919" s="7" t="n">
        <v>-8.98999977111816</v>
      </c>
      <c r="E21919" s="7" t="n">
        <v>5</v>
      </c>
      <c r="F21919" s="7" t="n">
        <v>32.0499992370605</v>
      </c>
      <c r="G21919" s="7" t="n">
        <v>90</v>
      </c>
    </row>
    <row r="21920" spans="1:8">
      <c r="A21920" t="s">
        <v>4</v>
      </c>
      <c r="B21920" s="4" t="s">
        <v>5</v>
      </c>
      <c r="C21920" s="4" t="s">
        <v>7</v>
      </c>
      <c r="D21920" s="4" t="s">
        <v>8</v>
      </c>
    </row>
    <row r="21921" spans="1:13">
      <c r="A21921" t="n">
        <v>212492</v>
      </c>
      <c r="B21921" s="6" t="n">
        <v>2</v>
      </c>
      <c r="C21921" s="7" t="n">
        <v>10</v>
      </c>
      <c r="D21921" s="7" t="s">
        <v>119</v>
      </c>
    </row>
    <row r="21922" spans="1:13">
      <c r="A21922" t="s">
        <v>4</v>
      </c>
      <c r="B21922" s="4" t="s">
        <v>5</v>
      </c>
      <c r="C21922" s="4" t="s">
        <v>11</v>
      </c>
    </row>
    <row r="21923" spans="1:13">
      <c r="A21923" t="n">
        <v>212507</v>
      </c>
      <c r="B21923" s="29" t="n">
        <v>16</v>
      </c>
      <c r="C21923" s="7" t="n">
        <v>0</v>
      </c>
    </row>
    <row r="21924" spans="1:13">
      <c r="A21924" t="s">
        <v>4</v>
      </c>
      <c r="B21924" s="4" t="s">
        <v>5</v>
      </c>
      <c r="C21924" s="4" t="s">
        <v>7</v>
      </c>
      <c r="D21924" s="4" t="s">
        <v>11</v>
      </c>
    </row>
    <row r="21925" spans="1:13">
      <c r="A21925" t="n">
        <v>212510</v>
      </c>
      <c r="B21925" s="23" t="n">
        <v>58</v>
      </c>
      <c r="C21925" s="7" t="n">
        <v>105</v>
      </c>
      <c r="D21925" s="7" t="n">
        <v>300</v>
      </c>
    </row>
    <row r="21926" spans="1:13">
      <c r="A21926" t="s">
        <v>4</v>
      </c>
      <c r="B21926" s="4" t="s">
        <v>5</v>
      </c>
      <c r="C21926" s="4" t="s">
        <v>13</v>
      </c>
      <c r="D21926" s="4" t="s">
        <v>11</v>
      </c>
    </row>
    <row r="21927" spans="1:13">
      <c r="A21927" t="n">
        <v>212514</v>
      </c>
      <c r="B21927" s="46" t="n">
        <v>103</v>
      </c>
      <c r="C21927" s="7" t="n">
        <v>1</v>
      </c>
      <c r="D21927" s="7" t="n">
        <v>300</v>
      </c>
    </row>
    <row r="21928" spans="1:13">
      <c r="A21928" t="s">
        <v>4</v>
      </c>
      <c r="B21928" s="4" t="s">
        <v>5</v>
      </c>
      <c r="C21928" s="4" t="s">
        <v>7</v>
      </c>
      <c r="D21928" s="4" t="s">
        <v>11</v>
      </c>
    </row>
    <row r="21929" spans="1:13">
      <c r="A21929" t="n">
        <v>212521</v>
      </c>
      <c r="B21929" s="48" t="n">
        <v>72</v>
      </c>
      <c r="C21929" s="7" t="n">
        <v>4</v>
      </c>
      <c r="D21929" s="7" t="n">
        <v>0</v>
      </c>
    </row>
    <row r="21930" spans="1:13">
      <c r="A21930" t="s">
        <v>4</v>
      </c>
      <c r="B21930" s="4" t="s">
        <v>5</v>
      </c>
      <c r="C21930" s="4" t="s">
        <v>15</v>
      </c>
    </row>
    <row r="21931" spans="1:13">
      <c r="A21931" t="n">
        <v>212525</v>
      </c>
      <c r="B21931" s="61" t="n">
        <v>15</v>
      </c>
      <c r="C21931" s="7" t="n">
        <v>1073741824</v>
      </c>
    </row>
    <row r="21932" spans="1:13">
      <c r="A21932" t="s">
        <v>4</v>
      </c>
      <c r="B21932" s="4" t="s">
        <v>5</v>
      </c>
      <c r="C21932" s="4" t="s">
        <v>7</v>
      </c>
    </row>
    <row r="21933" spans="1:13">
      <c r="A21933" t="n">
        <v>212530</v>
      </c>
      <c r="B21933" s="47" t="n">
        <v>64</v>
      </c>
      <c r="C21933" s="7" t="n">
        <v>3</v>
      </c>
    </row>
    <row r="21934" spans="1:13">
      <c r="A21934" t="s">
        <v>4</v>
      </c>
      <c r="B21934" s="4" t="s">
        <v>5</v>
      </c>
      <c r="C21934" s="4" t="s">
        <v>7</v>
      </c>
    </row>
    <row r="21935" spans="1:13">
      <c r="A21935" t="n">
        <v>212532</v>
      </c>
      <c r="B21935" s="45" t="n">
        <v>74</v>
      </c>
      <c r="C21935" s="7" t="n">
        <v>67</v>
      </c>
    </row>
    <row r="21936" spans="1:13">
      <c r="A21936" t="s">
        <v>4</v>
      </c>
      <c r="B21936" s="4" t="s">
        <v>5</v>
      </c>
      <c r="C21936" s="4" t="s">
        <v>7</v>
      </c>
      <c r="D21936" s="4" t="s">
        <v>7</v>
      </c>
      <c r="E21936" s="4" t="s">
        <v>11</v>
      </c>
    </row>
    <row r="21937" spans="1:5">
      <c r="A21937" t="n">
        <v>212534</v>
      </c>
      <c r="B21937" s="51" t="n">
        <v>45</v>
      </c>
      <c r="C21937" s="7" t="n">
        <v>8</v>
      </c>
      <c r="D21937" s="7" t="n">
        <v>1</v>
      </c>
      <c r="E21937" s="7" t="n">
        <v>0</v>
      </c>
    </row>
    <row r="21938" spans="1:5">
      <c r="A21938" t="s">
        <v>4</v>
      </c>
      <c r="B21938" s="4" t="s">
        <v>5</v>
      </c>
      <c r="C21938" s="4" t="s">
        <v>11</v>
      </c>
    </row>
    <row r="21939" spans="1:5">
      <c r="A21939" t="n">
        <v>212539</v>
      </c>
      <c r="B21939" s="12" t="n">
        <v>13</v>
      </c>
      <c r="C21939" s="7" t="n">
        <v>6409</v>
      </c>
    </row>
    <row r="21940" spans="1:5">
      <c r="A21940" t="s">
        <v>4</v>
      </c>
      <c r="B21940" s="4" t="s">
        <v>5</v>
      </c>
      <c r="C21940" s="4" t="s">
        <v>11</v>
      </c>
    </row>
    <row r="21941" spans="1:5">
      <c r="A21941" t="n">
        <v>212542</v>
      </c>
      <c r="B21941" s="12" t="n">
        <v>13</v>
      </c>
      <c r="C21941" s="7" t="n">
        <v>6408</v>
      </c>
    </row>
    <row r="21942" spans="1:5">
      <c r="A21942" t="s">
        <v>4</v>
      </c>
      <c r="B21942" s="4" t="s">
        <v>5</v>
      </c>
      <c r="C21942" s="4" t="s">
        <v>11</v>
      </c>
    </row>
    <row r="21943" spans="1:5">
      <c r="A21943" t="n">
        <v>212545</v>
      </c>
      <c r="B21943" s="43" t="n">
        <v>12</v>
      </c>
      <c r="C21943" s="7" t="n">
        <v>6464</v>
      </c>
    </row>
    <row r="21944" spans="1:5">
      <c r="A21944" t="s">
        <v>4</v>
      </c>
      <c r="B21944" s="4" t="s">
        <v>5</v>
      </c>
      <c r="C21944" s="4" t="s">
        <v>11</v>
      </c>
    </row>
    <row r="21945" spans="1:5">
      <c r="A21945" t="n">
        <v>212548</v>
      </c>
      <c r="B21945" s="12" t="n">
        <v>13</v>
      </c>
      <c r="C21945" s="7" t="n">
        <v>6465</v>
      </c>
    </row>
    <row r="21946" spans="1:5">
      <c r="A21946" t="s">
        <v>4</v>
      </c>
      <c r="B21946" s="4" t="s">
        <v>5</v>
      </c>
      <c r="C21946" s="4" t="s">
        <v>11</v>
      </c>
    </row>
    <row r="21947" spans="1:5">
      <c r="A21947" t="n">
        <v>212551</v>
      </c>
      <c r="B21947" s="12" t="n">
        <v>13</v>
      </c>
      <c r="C21947" s="7" t="n">
        <v>6466</v>
      </c>
    </row>
    <row r="21948" spans="1:5">
      <c r="A21948" t="s">
        <v>4</v>
      </c>
      <c r="B21948" s="4" t="s">
        <v>5</v>
      </c>
      <c r="C21948" s="4" t="s">
        <v>11</v>
      </c>
    </row>
    <row r="21949" spans="1:5">
      <c r="A21949" t="n">
        <v>212554</v>
      </c>
      <c r="B21949" s="12" t="n">
        <v>13</v>
      </c>
      <c r="C21949" s="7" t="n">
        <v>6467</v>
      </c>
    </row>
    <row r="21950" spans="1:5">
      <c r="A21950" t="s">
        <v>4</v>
      </c>
      <c r="B21950" s="4" t="s">
        <v>5</v>
      </c>
      <c r="C21950" s="4" t="s">
        <v>11</v>
      </c>
    </row>
    <row r="21951" spans="1:5">
      <c r="A21951" t="n">
        <v>212557</v>
      </c>
      <c r="B21951" s="12" t="n">
        <v>13</v>
      </c>
      <c r="C21951" s="7" t="n">
        <v>6468</v>
      </c>
    </row>
    <row r="21952" spans="1:5">
      <c r="A21952" t="s">
        <v>4</v>
      </c>
      <c r="B21952" s="4" t="s">
        <v>5</v>
      </c>
      <c r="C21952" s="4" t="s">
        <v>11</v>
      </c>
    </row>
    <row r="21953" spans="1:5">
      <c r="A21953" t="n">
        <v>212560</v>
      </c>
      <c r="B21953" s="12" t="n">
        <v>13</v>
      </c>
      <c r="C21953" s="7" t="n">
        <v>6469</v>
      </c>
    </row>
    <row r="21954" spans="1:5">
      <c r="A21954" t="s">
        <v>4</v>
      </c>
      <c r="B21954" s="4" t="s">
        <v>5</v>
      </c>
      <c r="C21954" s="4" t="s">
        <v>11</v>
      </c>
    </row>
    <row r="21955" spans="1:5">
      <c r="A21955" t="n">
        <v>212563</v>
      </c>
      <c r="B21955" s="12" t="n">
        <v>13</v>
      </c>
      <c r="C21955" s="7" t="n">
        <v>6470</v>
      </c>
    </row>
    <row r="21956" spans="1:5">
      <c r="A21956" t="s">
        <v>4</v>
      </c>
      <c r="B21956" s="4" t="s">
        <v>5</v>
      </c>
      <c r="C21956" s="4" t="s">
        <v>11</v>
      </c>
    </row>
    <row r="21957" spans="1:5">
      <c r="A21957" t="n">
        <v>212566</v>
      </c>
      <c r="B21957" s="12" t="n">
        <v>13</v>
      </c>
      <c r="C21957" s="7" t="n">
        <v>6471</v>
      </c>
    </row>
    <row r="21958" spans="1:5">
      <c r="A21958" t="s">
        <v>4</v>
      </c>
      <c r="B21958" s="4" t="s">
        <v>5</v>
      </c>
      <c r="C21958" s="4" t="s">
        <v>7</v>
      </c>
    </row>
    <row r="21959" spans="1:5">
      <c r="A21959" t="n">
        <v>212569</v>
      </c>
      <c r="B21959" s="45" t="n">
        <v>74</v>
      </c>
      <c r="C21959" s="7" t="n">
        <v>18</v>
      </c>
    </row>
    <row r="21960" spans="1:5">
      <c r="A21960" t="s">
        <v>4</v>
      </c>
      <c r="B21960" s="4" t="s">
        <v>5</v>
      </c>
      <c r="C21960" s="4" t="s">
        <v>7</v>
      </c>
    </row>
    <row r="21961" spans="1:5">
      <c r="A21961" t="n">
        <v>212571</v>
      </c>
      <c r="B21961" s="45" t="n">
        <v>74</v>
      </c>
      <c r="C21961" s="7" t="n">
        <v>45</v>
      </c>
    </row>
    <row r="21962" spans="1:5">
      <c r="A21962" t="s">
        <v>4</v>
      </c>
      <c r="B21962" s="4" t="s">
        <v>5</v>
      </c>
      <c r="C21962" s="4" t="s">
        <v>11</v>
      </c>
    </row>
    <row r="21963" spans="1:5">
      <c r="A21963" t="n">
        <v>212573</v>
      </c>
      <c r="B21963" s="29" t="n">
        <v>16</v>
      </c>
      <c r="C21963" s="7" t="n">
        <v>0</v>
      </c>
    </row>
    <row r="21964" spans="1:5">
      <c r="A21964" t="s">
        <v>4</v>
      </c>
      <c r="B21964" s="4" t="s">
        <v>5</v>
      </c>
      <c r="C21964" s="4" t="s">
        <v>7</v>
      </c>
      <c r="D21964" s="4" t="s">
        <v>7</v>
      </c>
      <c r="E21964" s="4" t="s">
        <v>7</v>
      </c>
      <c r="F21964" s="4" t="s">
        <v>7</v>
      </c>
    </row>
    <row r="21965" spans="1:5">
      <c r="A21965" t="n">
        <v>212576</v>
      </c>
      <c r="B21965" s="9" t="n">
        <v>14</v>
      </c>
      <c r="C21965" s="7" t="n">
        <v>0</v>
      </c>
      <c r="D21965" s="7" t="n">
        <v>8</v>
      </c>
      <c r="E21965" s="7" t="n">
        <v>0</v>
      </c>
      <c r="F21965" s="7" t="n">
        <v>0</v>
      </c>
    </row>
    <row r="21966" spans="1:5">
      <c r="A21966" t="s">
        <v>4</v>
      </c>
      <c r="B21966" s="4" t="s">
        <v>5</v>
      </c>
      <c r="C21966" s="4" t="s">
        <v>7</v>
      </c>
      <c r="D21966" s="4" t="s">
        <v>8</v>
      </c>
    </row>
    <row r="21967" spans="1:5">
      <c r="A21967" t="n">
        <v>212581</v>
      </c>
      <c r="B21967" s="6" t="n">
        <v>2</v>
      </c>
      <c r="C21967" s="7" t="n">
        <v>11</v>
      </c>
      <c r="D21967" s="7" t="s">
        <v>14</v>
      </c>
    </row>
    <row r="21968" spans="1:5">
      <c r="A21968" t="s">
        <v>4</v>
      </c>
      <c r="B21968" s="4" t="s">
        <v>5</v>
      </c>
      <c r="C21968" s="4" t="s">
        <v>11</v>
      </c>
    </row>
    <row r="21969" spans="1:6">
      <c r="A21969" t="n">
        <v>212595</v>
      </c>
      <c r="B21969" s="29" t="n">
        <v>16</v>
      </c>
      <c r="C21969" s="7" t="n">
        <v>0</v>
      </c>
    </row>
    <row r="21970" spans="1:6">
      <c r="A21970" t="s">
        <v>4</v>
      </c>
      <c r="B21970" s="4" t="s">
        <v>5</v>
      </c>
      <c r="C21970" s="4" t="s">
        <v>7</v>
      </c>
      <c r="D21970" s="4" t="s">
        <v>8</v>
      </c>
    </row>
    <row r="21971" spans="1:6">
      <c r="A21971" t="n">
        <v>212598</v>
      </c>
      <c r="B21971" s="6" t="n">
        <v>2</v>
      </c>
      <c r="C21971" s="7" t="n">
        <v>11</v>
      </c>
      <c r="D21971" s="7" t="s">
        <v>120</v>
      </c>
    </row>
    <row r="21972" spans="1:6">
      <c r="A21972" t="s">
        <v>4</v>
      </c>
      <c r="B21972" s="4" t="s">
        <v>5</v>
      </c>
      <c r="C21972" s="4" t="s">
        <v>11</v>
      </c>
    </row>
    <row r="21973" spans="1:6">
      <c r="A21973" t="n">
        <v>212607</v>
      </c>
      <c r="B21973" s="29" t="n">
        <v>16</v>
      </c>
      <c r="C21973" s="7" t="n">
        <v>0</v>
      </c>
    </row>
    <row r="21974" spans="1:6">
      <c r="A21974" t="s">
        <v>4</v>
      </c>
      <c r="B21974" s="4" t="s">
        <v>5</v>
      </c>
      <c r="C21974" s="4" t="s">
        <v>15</v>
      </c>
    </row>
    <row r="21975" spans="1:6">
      <c r="A21975" t="n">
        <v>212610</v>
      </c>
      <c r="B21975" s="61" t="n">
        <v>15</v>
      </c>
      <c r="C21975" s="7" t="n">
        <v>2048</v>
      </c>
    </row>
    <row r="21976" spans="1:6">
      <c r="A21976" t="s">
        <v>4</v>
      </c>
      <c r="B21976" s="4" t="s">
        <v>5</v>
      </c>
      <c r="C21976" s="4" t="s">
        <v>7</v>
      </c>
      <c r="D21976" s="4" t="s">
        <v>8</v>
      </c>
    </row>
    <row r="21977" spans="1:6">
      <c r="A21977" t="n">
        <v>212615</v>
      </c>
      <c r="B21977" s="6" t="n">
        <v>2</v>
      </c>
      <c r="C21977" s="7" t="n">
        <v>10</v>
      </c>
      <c r="D21977" s="7" t="s">
        <v>52</v>
      </c>
    </row>
    <row r="21978" spans="1:6">
      <c r="A21978" t="s">
        <v>4</v>
      </c>
      <c r="B21978" s="4" t="s">
        <v>5</v>
      </c>
      <c r="C21978" s="4" t="s">
        <v>11</v>
      </c>
    </row>
    <row r="21979" spans="1:6">
      <c r="A21979" t="n">
        <v>212633</v>
      </c>
      <c r="B21979" s="29" t="n">
        <v>16</v>
      </c>
      <c r="C21979" s="7" t="n">
        <v>0</v>
      </c>
    </row>
    <row r="21980" spans="1:6">
      <c r="A21980" t="s">
        <v>4</v>
      </c>
      <c r="B21980" s="4" t="s">
        <v>5</v>
      </c>
      <c r="C21980" s="4" t="s">
        <v>7</v>
      </c>
      <c r="D21980" s="4" t="s">
        <v>8</v>
      </c>
    </row>
    <row r="21981" spans="1:6">
      <c r="A21981" t="n">
        <v>212636</v>
      </c>
      <c r="B21981" s="6" t="n">
        <v>2</v>
      </c>
      <c r="C21981" s="7" t="n">
        <v>10</v>
      </c>
      <c r="D21981" s="7" t="s">
        <v>53</v>
      </c>
    </row>
    <row r="21982" spans="1:6">
      <c r="A21982" t="s">
        <v>4</v>
      </c>
      <c r="B21982" s="4" t="s">
        <v>5</v>
      </c>
      <c r="C21982" s="4" t="s">
        <v>11</v>
      </c>
    </row>
    <row r="21983" spans="1:6">
      <c r="A21983" t="n">
        <v>212655</v>
      </c>
      <c r="B21983" s="29" t="n">
        <v>16</v>
      </c>
      <c r="C21983" s="7" t="n">
        <v>0</v>
      </c>
    </row>
    <row r="21984" spans="1:6">
      <c r="A21984" t="s">
        <v>4</v>
      </c>
      <c r="B21984" s="4" t="s">
        <v>5</v>
      </c>
      <c r="C21984" s="4" t="s">
        <v>7</v>
      </c>
      <c r="D21984" s="4" t="s">
        <v>11</v>
      </c>
      <c r="E21984" s="4" t="s">
        <v>13</v>
      </c>
    </row>
    <row r="21985" spans="1:5">
      <c r="A21985" t="n">
        <v>212658</v>
      </c>
      <c r="B21985" s="23" t="n">
        <v>58</v>
      </c>
      <c r="C21985" s="7" t="n">
        <v>100</v>
      </c>
      <c r="D21985" s="7" t="n">
        <v>300</v>
      </c>
      <c r="E21985" s="7" t="n">
        <v>1</v>
      </c>
    </row>
    <row r="21986" spans="1:5">
      <c r="A21986" t="s">
        <v>4</v>
      </c>
      <c r="B21986" s="4" t="s">
        <v>5</v>
      </c>
      <c r="C21986" s="4" t="s">
        <v>7</v>
      </c>
      <c r="D21986" s="4" t="s">
        <v>11</v>
      </c>
    </row>
    <row r="21987" spans="1:5">
      <c r="A21987" t="n">
        <v>212666</v>
      </c>
      <c r="B21987" s="23" t="n">
        <v>58</v>
      </c>
      <c r="C21987" s="7" t="n">
        <v>255</v>
      </c>
      <c r="D21987" s="7" t="n">
        <v>0</v>
      </c>
    </row>
    <row r="21988" spans="1:5">
      <c r="A21988" t="s">
        <v>4</v>
      </c>
      <c r="B21988" s="4" t="s">
        <v>5</v>
      </c>
      <c r="C21988" s="4" t="s">
        <v>7</v>
      </c>
    </row>
    <row r="21989" spans="1:5">
      <c r="A21989" t="n">
        <v>212670</v>
      </c>
      <c r="B21989" s="30" t="n">
        <v>23</v>
      </c>
      <c r="C21989" s="7" t="n">
        <v>0</v>
      </c>
    </row>
    <row r="21990" spans="1:5">
      <c r="A21990" t="s">
        <v>4</v>
      </c>
      <c r="B21990" s="4" t="s">
        <v>5</v>
      </c>
    </row>
    <row r="21991" spans="1:5">
      <c r="A21991" t="n">
        <v>212672</v>
      </c>
      <c r="B21991" s="5" t="n">
        <v>1</v>
      </c>
    </row>
    <row r="21992" spans="1:5" s="3" customFormat="1" customHeight="0">
      <c r="A21992" s="3" t="s">
        <v>2</v>
      </c>
      <c r="B21992" s="3" t="s">
        <v>1810</v>
      </c>
    </row>
    <row r="21993" spans="1:5">
      <c r="A21993" t="s">
        <v>4</v>
      </c>
      <c r="B21993" s="4" t="s">
        <v>5</v>
      </c>
      <c r="C21993" s="4" t="s">
        <v>7</v>
      </c>
      <c r="D21993" s="4" t="s">
        <v>7</v>
      </c>
      <c r="E21993" s="4" t="s">
        <v>7</v>
      </c>
      <c r="F21993" s="4" t="s">
        <v>7</v>
      </c>
    </row>
    <row r="21994" spans="1:5">
      <c r="A21994" t="n">
        <v>212676</v>
      </c>
      <c r="B21994" s="9" t="n">
        <v>14</v>
      </c>
      <c r="C21994" s="7" t="n">
        <v>2</v>
      </c>
      <c r="D21994" s="7" t="n">
        <v>0</v>
      </c>
      <c r="E21994" s="7" t="n">
        <v>0</v>
      </c>
      <c r="F21994" s="7" t="n">
        <v>0</v>
      </c>
    </row>
    <row r="21995" spans="1:5">
      <c r="A21995" t="s">
        <v>4</v>
      </c>
      <c r="B21995" s="4" t="s">
        <v>5</v>
      </c>
      <c r="C21995" s="4" t="s">
        <v>7</v>
      </c>
      <c r="D21995" s="20" t="s">
        <v>35</v>
      </c>
      <c r="E21995" s="4" t="s">
        <v>5</v>
      </c>
      <c r="F21995" s="4" t="s">
        <v>7</v>
      </c>
      <c r="G21995" s="4" t="s">
        <v>11</v>
      </c>
      <c r="H21995" s="20" t="s">
        <v>36</v>
      </c>
      <c r="I21995" s="4" t="s">
        <v>7</v>
      </c>
      <c r="J21995" s="4" t="s">
        <v>15</v>
      </c>
      <c r="K21995" s="4" t="s">
        <v>7</v>
      </c>
      <c r="L21995" s="4" t="s">
        <v>7</v>
      </c>
      <c r="M21995" s="20" t="s">
        <v>35</v>
      </c>
      <c r="N21995" s="4" t="s">
        <v>5</v>
      </c>
      <c r="O21995" s="4" t="s">
        <v>7</v>
      </c>
      <c r="P21995" s="4" t="s">
        <v>11</v>
      </c>
      <c r="Q21995" s="20" t="s">
        <v>36</v>
      </c>
      <c r="R21995" s="4" t="s">
        <v>7</v>
      </c>
      <c r="S21995" s="4" t="s">
        <v>15</v>
      </c>
      <c r="T21995" s="4" t="s">
        <v>7</v>
      </c>
      <c r="U21995" s="4" t="s">
        <v>7</v>
      </c>
      <c r="V21995" s="4" t="s">
        <v>7</v>
      </c>
      <c r="W21995" s="4" t="s">
        <v>12</v>
      </c>
    </row>
    <row r="21996" spans="1:5">
      <c r="A21996" t="n">
        <v>212681</v>
      </c>
      <c r="B21996" s="10" t="n">
        <v>5</v>
      </c>
      <c r="C21996" s="7" t="n">
        <v>28</v>
      </c>
      <c r="D21996" s="20" t="s">
        <v>3</v>
      </c>
      <c r="E21996" s="8" t="n">
        <v>162</v>
      </c>
      <c r="F21996" s="7" t="n">
        <v>3</v>
      </c>
      <c r="G21996" s="7" t="n">
        <v>33163</v>
      </c>
      <c r="H21996" s="20" t="s">
        <v>3</v>
      </c>
      <c r="I21996" s="7" t="n">
        <v>0</v>
      </c>
      <c r="J21996" s="7" t="n">
        <v>1</v>
      </c>
      <c r="K21996" s="7" t="n">
        <v>2</v>
      </c>
      <c r="L21996" s="7" t="n">
        <v>28</v>
      </c>
      <c r="M21996" s="20" t="s">
        <v>3</v>
      </c>
      <c r="N21996" s="8" t="n">
        <v>162</v>
      </c>
      <c r="O21996" s="7" t="n">
        <v>3</v>
      </c>
      <c r="P21996" s="7" t="n">
        <v>33163</v>
      </c>
      <c r="Q21996" s="20" t="s">
        <v>3</v>
      </c>
      <c r="R21996" s="7" t="n">
        <v>0</v>
      </c>
      <c r="S21996" s="7" t="n">
        <v>2</v>
      </c>
      <c r="T21996" s="7" t="n">
        <v>2</v>
      </c>
      <c r="U21996" s="7" t="n">
        <v>11</v>
      </c>
      <c r="V21996" s="7" t="n">
        <v>1</v>
      </c>
      <c r="W21996" s="11" t="n">
        <f t="normal" ca="1">A22000</f>
        <v>0</v>
      </c>
    </row>
    <row r="21997" spans="1:5">
      <c r="A21997" t="s">
        <v>4</v>
      </c>
      <c r="B21997" s="4" t="s">
        <v>5</v>
      </c>
      <c r="C21997" s="4" t="s">
        <v>7</v>
      </c>
      <c r="D21997" s="4" t="s">
        <v>11</v>
      </c>
      <c r="E21997" s="4" t="s">
        <v>13</v>
      </c>
    </row>
    <row r="21998" spans="1:5">
      <c r="A21998" t="n">
        <v>212710</v>
      </c>
      <c r="B21998" s="23" t="n">
        <v>58</v>
      </c>
      <c r="C21998" s="7" t="n">
        <v>0</v>
      </c>
      <c r="D21998" s="7" t="n">
        <v>0</v>
      </c>
      <c r="E21998" s="7" t="n">
        <v>1</v>
      </c>
    </row>
    <row r="21999" spans="1:5">
      <c r="A21999" t="s">
        <v>4</v>
      </c>
      <c r="B21999" s="4" t="s">
        <v>5</v>
      </c>
      <c r="C21999" s="4" t="s">
        <v>7</v>
      </c>
      <c r="D21999" s="20" t="s">
        <v>35</v>
      </c>
      <c r="E21999" s="4" t="s">
        <v>5</v>
      </c>
      <c r="F21999" s="4" t="s">
        <v>7</v>
      </c>
      <c r="G21999" s="4" t="s">
        <v>11</v>
      </c>
      <c r="H21999" s="20" t="s">
        <v>36</v>
      </c>
      <c r="I21999" s="4" t="s">
        <v>7</v>
      </c>
      <c r="J21999" s="4" t="s">
        <v>15</v>
      </c>
      <c r="K21999" s="4" t="s">
        <v>7</v>
      </c>
      <c r="L21999" s="4" t="s">
        <v>7</v>
      </c>
      <c r="M21999" s="20" t="s">
        <v>35</v>
      </c>
      <c r="N21999" s="4" t="s">
        <v>5</v>
      </c>
      <c r="O21999" s="4" t="s">
        <v>7</v>
      </c>
      <c r="P21999" s="4" t="s">
        <v>11</v>
      </c>
      <c r="Q21999" s="20" t="s">
        <v>36</v>
      </c>
      <c r="R21999" s="4" t="s">
        <v>7</v>
      </c>
      <c r="S21999" s="4" t="s">
        <v>15</v>
      </c>
      <c r="T21999" s="4" t="s">
        <v>7</v>
      </c>
      <c r="U21999" s="4" t="s">
        <v>7</v>
      </c>
      <c r="V21999" s="4" t="s">
        <v>7</v>
      </c>
      <c r="W21999" s="4" t="s">
        <v>12</v>
      </c>
    </row>
    <row r="22000" spans="1:5">
      <c r="A22000" t="n">
        <v>212718</v>
      </c>
      <c r="B22000" s="10" t="n">
        <v>5</v>
      </c>
      <c r="C22000" s="7" t="n">
        <v>28</v>
      </c>
      <c r="D22000" s="20" t="s">
        <v>3</v>
      </c>
      <c r="E22000" s="8" t="n">
        <v>162</v>
      </c>
      <c r="F22000" s="7" t="n">
        <v>3</v>
      </c>
      <c r="G22000" s="7" t="n">
        <v>33163</v>
      </c>
      <c r="H22000" s="20" t="s">
        <v>3</v>
      </c>
      <c r="I22000" s="7" t="n">
        <v>0</v>
      </c>
      <c r="J22000" s="7" t="n">
        <v>1</v>
      </c>
      <c r="K22000" s="7" t="n">
        <v>3</v>
      </c>
      <c r="L22000" s="7" t="n">
        <v>28</v>
      </c>
      <c r="M22000" s="20" t="s">
        <v>3</v>
      </c>
      <c r="N22000" s="8" t="n">
        <v>162</v>
      </c>
      <c r="O22000" s="7" t="n">
        <v>3</v>
      </c>
      <c r="P22000" s="7" t="n">
        <v>33163</v>
      </c>
      <c r="Q22000" s="20" t="s">
        <v>3</v>
      </c>
      <c r="R22000" s="7" t="n">
        <v>0</v>
      </c>
      <c r="S22000" s="7" t="n">
        <v>2</v>
      </c>
      <c r="T22000" s="7" t="n">
        <v>3</v>
      </c>
      <c r="U22000" s="7" t="n">
        <v>9</v>
      </c>
      <c r="V22000" s="7" t="n">
        <v>1</v>
      </c>
      <c r="W22000" s="11" t="n">
        <f t="normal" ca="1">A22010</f>
        <v>0</v>
      </c>
    </row>
    <row r="22001" spans="1:23">
      <c r="A22001" t="s">
        <v>4</v>
      </c>
      <c r="B22001" s="4" t="s">
        <v>5</v>
      </c>
      <c r="C22001" s="4" t="s">
        <v>7</v>
      </c>
      <c r="D22001" s="20" t="s">
        <v>35</v>
      </c>
      <c r="E22001" s="4" t="s">
        <v>5</v>
      </c>
      <c r="F22001" s="4" t="s">
        <v>11</v>
      </c>
      <c r="G22001" s="4" t="s">
        <v>7</v>
      </c>
      <c r="H22001" s="4" t="s">
        <v>7</v>
      </c>
      <c r="I22001" s="4" t="s">
        <v>8</v>
      </c>
      <c r="J22001" s="20" t="s">
        <v>36</v>
      </c>
      <c r="K22001" s="4" t="s">
        <v>7</v>
      </c>
      <c r="L22001" s="4" t="s">
        <v>7</v>
      </c>
      <c r="M22001" s="20" t="s">
        <v>35</v>
      </c>
      <c r="N22001" s="4" t="s">
        <v>5</v>
      </c>
      <c r="O22001" s="4" t="s">
        <v>7</v>
      </c>
      <c r="P22001" s="20" t="s">
        <v>36</v>
      </c>
      <c r="Q22001" s="4" t="s">
        <v>7</v>
      </c>
      <c r="R22001" s="4" t="s">
        <v>15</v>
      </c>
      <c r="S22001" s="4" t="s">
        <v>7</v>
      </c>
      <c r="T22001" s="4" t="s">
        <v>7</v>
      </c>
      <c r="U22001" s="4" t="s">
        <v>7</v>
      </c>
      <c r="V22001" s="20" t="s">
        <v>35</v>
      </c>
      <c r="W22001" s="4" t="s">
        <v>5</v>
      </c>
      <c r="X22001" s="4" t="s">
        <v>7</v>
      </c>
      <c r="Y22001" s="20" t="s">
        <v>36</v>
      </c>
      <c r="Z22001" s="4" t="s">
        <v>7</v>
      </c>
      <c r="AA22001" s="4" t="s">
        <v>15</v>
      </c>
      <c r="AB22001" s="4" t="s">
        <v>7</v>
      </c>
      <c r="AC22001" s="4" t="s">
        <v>7</v>
      </c>
      <c r="AD22001" s="4" t="s">
        <v>7</v>
      </c>
      <c r="AE22001" s="4" t="s">
        <v>12</v>
      </c>
    </row>
    <row r="22002" spans="1:23">
      <c r="A22002" t="n">
        <v>212747</v>
      </c>
      <c r="B22002" s="10" t="n">
        <v>5</v>
      </c>
      <c r="C22002" s="7" t="n">
        <v>28</v>
      </c>
      <c r="D22002" s="20" t="s">
        <v>3</v>
      </c>
      <c r="E22002" s="41" t="n">
        <v>47</v>
      </c>
      <c r="F22002" s="7" t="n">
        <v>61456</v>
      </c>
      <c r="G22002" s="7" t="n">
        <v>2</v>
      </c>
      <c r="H22002" s="7" t="n">
        <v>0</v>
      </c>
      <c r="I22002" s="7" t="s">
        <v>105</v>
      </c>
      <c r="J22002" s="20" t="s">
        <v>3</v>
      </c>
      <c r="K22002" s="7" t="n">
        <v>8</v>
      </c>
      <c r="L22002" s="7" t="n">
        <v>28</v>
      </c>
      <c r="M22002" s="20" t="s">
        <v>3</v>
      </c>
      <c r="N22002" s="45" t="n">
        <v>74</v>
      </c>
      <c r="O22002" s="7" t="n">
        <v>65</v>
      </c>
      <c r="P22002" s="20" t="s">
        <v>3</v>
      </c>
      <c r="Q22002" s="7" t="n">
        <v>0</v>
      </c>
      <c r="R22002" s="7" t="n">
        <v>1</v>
      </c>
      <c r="S22002" s="7" t="n">
        <v>3</v>
      </c>
      <c r="T22002" s="7" t="n">
        <v>9</v>
      </c>
      <c r="U22002" s="7" t="n">
        <v>28</v>
      </c>
      <c r="V22002" s="20" t="s">
        <v>3</v>
      </c>
      <c r="W22002" s="45" t="n">
        <v>74</v>
      </c>
      <c r="X22002" s="7" t="n">
        <v>65</v>
      </c>
      <c r="Y22002" s="20" t="s">
        <v>3</v>
      </c>
      <c r="Z22002" s="7" t="n">
        <v>0</v>
      </c>
      <c r="AA22002" s="7" t="n">
        <v>2</v>
      </c>
      <c r="AB22002" s="7" t="n">
        <v>3</v>
      </c>
      <c r="AC22002" s="7" t="n">
        <v>9</v>
      </c>
      <c r="AD22002" s="7" t="n">
        <v>1</v>
      </c>
      <c r="AE22002" s="11" t="n">
        <f t="normal" ca="1">A22006</f>
        <v>0</v>
      </c>
    </row>
    <row r="22003" spans="1:23">
      <c r="A22003" t="s">
        <v>4</v>
      </c>
      <c r="B22003" s="4" t="s">
        <v>5</v>
      </c>
      <c r="C22003" s="4" t="s">
        <v>11</v>
      </c>
      <c r="D22003" s="4" t="s">
        <v>7</v>
      </c>
      <c r="E22003" s="4" t="s">
        <v>7</v>
      </c>
      <c r="F22003" s="4" t="s">
        <v>8</v>
      </c>
    </row>
    <row r="22004" spans="1:23">
      <c r="A22004" t="n">
        <v>212795</v>
      </c>
      <c r="B22004" s="41" t="n">
        <v>47</v>
      </c>
      <c r="C22004" s="7" t="n">
        <v>61456</v>
      </c>
      <c r="D22004" s="7" t="n">
        <v>0</v>
      </c>
      <c r="E22004" s="7" t="n">
        <v>0</v>
      </c>
      <c r="F22004" s="7" t="s">
        <v>106</v>
      </c>
    </row>
    <row r="22005" spans="1:23">
      <c r="A22005" t="s">
        <v>4</v>
      </c>
      <c r="B22005" s="4" t="s">
        <v>5</v>
      </c>
      <c r="C22005" s="4" t="s">
        <v>7</v>
      </c>
      <c r="D22005" s="4" t="s">
        <v>11</v>
      </c>
      <c r="E22005" s="4" t="s">
        <v>13</v>
      </c>
    </row>
    <row r="22006" spans="1:23">
      <c r="A22006" t="n">
        <v>212808</v>
      </c>
      <c r="B22006" s="23" t="n">
        <v>58</v>
      </c>
      <c r="C22006" s="7" t="n">
        <v>0</v>
      </c>
      <c r="D22006" s="7" t="n">
        <v>300</v>
      </c>
      <c r="E22006" s="7" t="n">
        <v>1</v>
      </c>
    </row>
    <row r="22007" spans="1:23">
      <c r="A22007" t="s">
        <v>4</v>
      </c>
      <c r="B22007" s="4" t="s">
        <v>5</v>
      </c>
      <c r="C22007" s="4" t="s">
        <v>7</v>
      </c>
      <c r="D22007" s="4" t="s">
        <v>11</v>
      </c>
    </row>
    <row r="22008" spans="1:23">
      <c r="A22008" t="n">
        <v>212816</v>
      </c>
      <c r="B22008" s="23" t="n">
        <v>58</v>
      </c>
      <c r="C22008" s="7" t="n">
        <v>255</v>
      </c>
      <c r="D22008" s="7" t="n">
        <v>0</v>
      </c>
    </row>
    <row r="22009" spans="1:23">
      <c r="A22009" t="s">
        <v>4</v>
      </c>
      <c r="B22009" s="4" t="s">
        <v>5</v>
      </c>
      <c r="C22009" s="4" t="s">
        <v>7</v>
      </c>
      <c r="D22009" s="4" t="s">
        <v>7</v>
      </c>
      <c r="E22009" s="4" t="s">
        <v>7</v>
      </c>
      <c r="F22009" s="4" t="s">
        <v>7</v>
      </c>
    </row>
    <row r="22010" spans="1:23">
      <c r="A22010" t="n">
        <v>212820</v>
      </c>
      <c r="B22010" s="9" t="n">
        <v>14</v>
      </c>
      <c r="C22010" s="7" t="n">
        <v>0</v>
      </c>
      <c r="D22010" s="7" t="n">
        <v>0</v>
      </c>
      <c r="E22010" s="7" t="n">
        <v>0</v>
      </c>
      <c r="F22010" s="7" t="n">
        <v>64</v>
      </c>
    </row>
    <row r="22011" spans="1:23">
      <c r="A22011" t="s">
        <v>4</v>
      </c>
      <c r="B22011" s="4" t="s">
        <v>5</v>
      </c>
      <c r="C22011" s="4" t="s">
        <v>7</v>
      </c>
      <c r="D22011" s="4" t="s">
        <v>11</v>
      </c>
    </row>
    <row r="22012" spans="1:23">
      <c r="A22012" t="n">
        <v>212825</v>
      </c>
      <c r="B22012" s="22" t="n">
        <v>22</v>
      </c>
      <c r="C22012" s="7" t="n">
        <v>0</v>
      </c>
      <c r="D22012" s="7" t="n">
        <v>33163</v>
      </c>
    </row>
    <row r="22013" spans="1:23">
      <c r="A22013" t="s">
        <v>4</v>
      </c>
      <c r="B22013" s="4" t="s">
        <v>5</v>
      </c>
      <c r="C22013" s="4" t="s">
        <v>7</v>
      </c>
      <c r="D22013" s="4" t="s">
        <v>11</v>
      </c>
    </row>
    <row r="22014" spans="1:23">
      <c r="A22014" t="n">
        <v>212829</v>
      </c>
      <c r="B22014" s="23" t="n">
        <v>58</v>
      </c>
      <c r="C22014" s="7" t="n">
        <v>5</v>
      </c>
      <c r="D22014" s="7" t="n">
        <v>300</v>
      </c>
    </row>
    <row r="22015" spans="1:23">
      <c r="A22015" t="s">
        <v>4</v>
      </c>
      <c r="B22015" s="4" t="s">
        <v>5</v>
      </c>
      <c r="C22015" s="4" t="s">
        <v>13</v>
      </c>
      <c r="D22015" s="4" t="s">
        <v>11</v>
      </c>
    </row>
    <row r="22016" spans="1:23">
      <c r="A22016" t="n">
        <v>212833</v>
      </c>
      <c r="B22016" s="46" t="n">
        <v>103</v>
      </c>
      <c r="C22016" s="7" t="n">
        <v>0</v>
      </c>
      <c r="D22016" s="7" t="n">
        <v>300</v>
      </c>
    </row>
    <row r="22017" spans="1:31">
      <c r="A22017" t="s">
        <v>4</v>
      </c>
      <c r="B22017" s="4" t="s">
        <v>5</v>
      </c>
      <c r="C22017" s="4" t="s">
        <v>7</v>
      </c>
    </row>
    <row r="22018" spans="1:31">
      <c r="A22018" t="n">
        <v>212840</v>
      </c>
      <c r="B22018" s="47" t="n">
        <v>64</v>
      </c>
      <c r="C22018" s="7" t="n">
        <v>7</v>
      </c>
    </row>
    <row r="22019" spans="1:31">
      <c r="A22019" t="s">
        <v>4</v>
      </c>
      <c r="B22019" s="4" t="s">
        <v>5</v>
      </c>
      <c r="C22019" s="4" t="s">
        <v>7</v>
      </c>
      <c r="D22019" s="4" t="s">
        <v>11</v>
      </c>
    </row>
    <row r="22020" spans="1:31">
      <c r="A22020" t="n">
        <v>212842</v>
      </c>
      <c r="B22020" s="48" t="n">
        <v>72</v>
      </c>
      <c r="C22020" s="7" t="n">
        <v>5</v>
      </c>
      <c r="D22020" s="7" t="n">
        <v>0</v>
      </c>
    </row>
    <row r="22021" spans="1:31">
      <c r="A22021" t="s">
        <v>4</v>
      </c>
      <c r="B22021" s="4" t="s">
        <v>5</v>
      </c>
      <c r="C22021" s="4" t="s">
        <v>7</v>
      </c>
      <c r="D22021" s="20" t="s">
        <v>35</v>
      </c>
      <c r="E22021" s="4" t="s">
        <v>5</v>
      </c>
      <c r="F22021" s="4" t="s">
        <v>7</v>
      </c>
      <c r="G22021" s="4" t="s">
        <v>11</v>
      </c>
      <c r="H22021" s="20" t="s">
        <v>36</v>
      </c>
      <c r="I22021" s="4" t="s">
        <v>7</v>
      </c>
      <c r="J22021" s="4" t="s">
        <v>15</v>
      </c>
      <c r="K22021" s="4" t="s">
        <v>7</v>
      </c>
      <c r="L22021" s="4" t="s">
        <v>7</v>
      </c>
      <c r="M22021" s="4" t="s">
        <v>12</v>
      </c>
    </row>
    <row r="22022" spans="1:31">
      <c r="A22022" t="n">
        <v>212846</v>
      </c>
      <c r="B22022" s="10" t="n">
        <v>5</v>
      </c>
      <c r="C22022" s="7" t="n">
        <v>28</v>
      </c>
      <c r="D22022" s="20" t="s">
        <v>3</v>
      </c>
      <c r="E22022" s="8" t="n">
        <v>162</v>
      </c>
      <c r="F22022" s="7" t="n">
        <v>4</v>
      </c>
      <c r="G22022" s="7" t="n">
        <v>33163</v>
      </c>
      <c r="H22022" s="20" t="s">
        <v>3</v>
      </c>
      <c r="I22022" s="7" t="n">
        <v>0</v>
      </c>
      <c r="J22022" s="7" t="n">
        <v>1</v>
      </c>
      <c r="K22022" s="7" t="n">
        <v>2</v>
      </c>
      <c r="L22022" s="7" t="n">
        <v>1</v>
      </c>
      <c r="M22022" s="11" t="n">
        <f t="normal" ca="1">A22028</f>
        <v>0</v>
      </c>
    </row>
    <row r="22023" spans="1:31">
      <c r="A22023" t="s">
        <v>4</v>
      </c>
      <c r="B22023" s="4" t="s">
        <v>5</v>
      </c>
      <c r="C22023" s="4" t="s">
        <v>7</v>
      </c>
      <c r="D22023" s="4" t="s">
        <v>8</v>
      </c>
    </row>
    <row r="22024" spans="1:31">
      <c r="A22024" t="n">
        <v>212863</v>
      </c>
      <c r="B22024" s="6" t="n">
        <v>2</v>
      </c>
      <c r="C22024" s="7" t="n">
        <v>10</v>
      </c>
      <c r="D22024" s="7" t="s">
        <v>107</v>
      </c>
    </row>
    <row r="22025" spans="1:31">
      <c r="A22025" t="s">
        <v>4</v>
      </c>
      <c r="B22025" s="4" t="s">
        <v>5</v>
      </c>
      <c r="C22025" s="4" t="s">
        <v>11</v>
      </c>
    </row>
    <row r="22026" spans="1:31">
      <c r="A22026" t="n">
        <v>212880</v>
      </c>
      <c r="B22026" s="29" t="n">
        <v>16</v>
      </c>
      <c r="C22026" s="7" t="n">
        <v>0</v>
      </c>
    </row>
    <row r="22027" spans="1:31">
      <c r="A22027" t="s">
        <v>4</v>
      </c>
      <c r="B22027" s="4" t="s">
        <v>5</v>
      </c>
      <c r="C22027" s="4" t="s">
        <v>7</v>
      </c>
      <c r="D22027" s="4" t="s">
        <v>11</v>
      </c>
      <c r="E22027" s="4" t="s">
        <v>11</v>
      </c>
      <c r="F22027" s="4" t="s">
        <v>11</v>
      </c>
      <c r="G22027" s="4" t="s">
        <v>11</v>
      </c>
      <c r="H22027" s="4" t="s">
        <v>11</v>
      </c>
      <c r="I22027" s="4" t="s">
        <v>11</v>
      </c>
      <c r="J22027" s="4" t="s">
        <v>11</v>
      </c>
      <c r="K22027" s="4" t="s">
        <v>11</v>
      </c>
      <c r="L22027" s="4" t="s">
        <v>11</v>
      </c>
      <c r="M22027" s="4" t="s">
        <v>11</v>
      </c>
      <c r="N22027" s="4" t="s">
        <v>15</v>
      </c>
      <c r="O22027" s="4" t="s">
        <v>15</v>
      </c>
      <c r="P22027" s="4" t="s">
        <v>15</v>
      </c>
      <c r="Q22027" s="4" t="s">
        <v>15</v>
      </c>
      <c r="R22027" s="4" t="s">
        <v>7</v>
      </c>
      <c r="S22027" s="4" t="s">
        <v>8</v>
      </c>
    </row>
    <row r="22028" spans="1:31">
      <c r="A22028" t="n">
        <v>212883</v>
      </c>
      <c r="B22028" s="24" t="n">
        <v>75</v>
      </c>
      <c r="C22028" s="7" t="n">
        <v>0</v>
      </c>
      <c r="D22028" s="7" t="n">
        <v>0</v>
      </c>
      <c r="E22028" s="7" t="n">
        <v>0</v>
      </c>
      <c r="F22028" s="7" t="n">
        <v>1024</v>
      </c>
      <c r="G22028" s="7" t="n">
        <v>720</v>
      </c>
      <c r="H22028" s="7" t="n">
        <v>0</v>
      </c>
      <c r="I22028" s="7" t="n">
        <v>0</v>
      </c>
      <c r="J22028" s="7" t="n">
        <v>0</v>
      </c>
      <c r="K22028" s="7" t="n">
        <v>0</v>
      </c>
      <c r="L22028" s="7" t="n">
        <v>1024</v>
      </c>
      <c r="M22028" s="7" t="n">
        <v>720</v>
      </c>
      <c r="N22028" s="7" t="n">
        <v>1065353216</v>
      </c>
      <c r="O22028" s="7" t="n">
        <v>1065353216</v>
      </c>
      <c r="P22028" s="7" t="n">
        <v>1065353216</v>
      </c>
      <c r="Q22028" s="7" t="n">
        <v>0</v>
      </c>
      <c r="R22028" s="7" t="n">
        <v>0</v>
      </c>
      <c r="S22028" s="7" t="s">
        <v>1811</v>
      </c>
    </row>
    <row r="22029" spans="1:31">
      <c r="A22029" t="s">
        <v>4</v>
      </c>
      <c r="B22029" s="4" t="s">
        <v>5</v>
      </c>
      <c r="C22029" s="4" t="s">
        <v>7</v>
      </c>
      <c r="D22029" s="4" t="s">
        <v>7</v>
      </c>
      <c r="E22029" s="4" t="s">
        <v>7</v>
      </c>
      <c r="F22029" s="4" t="s">
        <v>13</v>
      </c>
      <c r="G22029" s="4" t="s">
        <v>13</v>
      </c>
      <c r="H22029" s="4" t="s">
        <v>13</v>
      </c>
      <c r="I22029" s="4" t="s">
        <v>13</v>
      </c>
      <c r="J22029" s="4" t="s">
        <v>13</v>
      </c>
    </row>
    <row r="22030" spans="1:31">
      <c r="A22030" t="n">
        <v>212932</v>
      </c>
      <c r="B22030" s="25" t="n">
        <v>76</v>
      </c>
      <c r="C22030" s="7" t="n">
        <v>0</v>
      </c>
      <c r="D22030" s="7" t="n">
        <v>9</v>
      </c>
      <c r="E22030" s="7" t="n">
        <v>2</v>
      </c>
      <c r="F22030" s="7" t="n">
        <v>0</v>
      </c>
      <c r="G22030" s="7" t="n">
        <v>0</v>
      </c>
      <c r="H22030" s="7" t="n">
        <v>0</v>
      </c>
      <c r="I22030" s="7" t="n">
        <v>0</v>
      </c>
      <c r="J22030" s="7" t="n">
        <v>0</v>
      </c>
    </row>
    <row r="22031" spans="1:31">
      <c r="A22031" t="s">
        <v>4</v>
      </c>
      <c r="B22031" s="4" t="s">
        <v>5</v>
      </c>
      <c r="C22031" s="4" t="s">
        <v>11</v>
      </c>
      <c r="D22031" s="4" t="s">
        <v>8</v>
      </c>
      <c r="E22031" s="4" t="s">
        <v>8</v>
      </c>
      <c r="F22031" s="4" t="s">
        <v>8</v>
      </c>
      <c r="G22031" s="4" t="s">
        <v>7</v>
      </c>
      <c r="H22031" s="4" t="s">
        <v>15</v>
      </c>
      <c r="I22031" s="4" t="s">
        <v>13</v>
      </c>
      <c r="J22031" s="4" t="s">
        <v>13</v>
      </c>
      <c r="K22031" s="4" t="s">
        <v>13</v>
      </c>
      <c r="L22031" s="4" t="s">
        <v>13</v>
      </c>
      <c r="M22031" s="4" t="s">
        <v>13</v>
      </c>
      <c r="N22031" s="4" t="s">
        <v>13</v>
      </c>
      <c r="O22031" s="4" t="s">
        <v>13</v>
      </c>
      <c r="P22031" s="4" t="s">
        <v>8</v>
      </c>
      <c r="Q22031" s="4" t="s">
        <v>8</v>
      </c>
      <c r="R22031" s="4" t="s">
        <v>15</v>
      </c>
      <c r="S22031" s="4" t="s">
        <v>7</v>
      </c>
      <c r="T22031" s="4" t="s">
        <v>15</v>
      </c>
      <c r="U22031" s="4" t="s">
        <v>15</v>
      </c>
      <c r="V22031" s="4" t="s">
        <v>11</v>
      </c>
    </row>
    <row r="22032" spans="1:31">
      <c r="A22032" t="n">
        <v>212956</v>
      </c>
      <c r="B22032" s="62" t="n">
        <v>19</v>
      </c>
      <c r="C22032" s="7" t="n">
        <v>1000</v>
      </c>
      <c r="D22032" s="7" t="s">
        <v>124</v>
      </c>
      <c r="E22032" s="7" t="s">
        <v>1812</v>
      </c>
      <c r="F22032" s="7" t="s">
        <v>16</v>
      </c>
      <c r="G22032" s="7" t="n">
        <v>0</v>
      </c>
      <c r="H22032" s="7" t="n">
        <v>1</v>
      </c>
      <c r="I22032" s="7" t="n">
        <v>0</v>
      </c>
      <c r="J22032" s="7" t="n">
        <v>0</v>
      </c>
      <c r="K22032" s="7" t="n">
        <v>0</v>
      </c>
      <c r="L22032" s="7" t="n">
        <v>0</v>
      </c>
      <c r="M22032" s="7" t="n">
        <v>1</v>
      </c>
      <c r="N22032" s="7" t="n">
        <v>1.60000002384186</v>
      </c>
      <c r="O22032" s="7" t="n">
        <v>0.0900000035762787</v>
      </c>
      <c r="P22032" s="7" t="s">
        <v>16</v>
      </c>
      <c r="Q22032" s="7" t="s">
        <v>16</v>
      </c>
      <c r="R22032" s="7" t="n">
        <v>-1</v>
      </c>
      <c r="S22032" s="7" t="n">
        <v>0</v>
      </c>
      <c r="T22032" s="7" t="n">
        <v>0</v>
      </c>
      <c r="U22032" s="7" t="n">
        <v>0</v>
      </c>
      <c r="V22032" s="7" t="n">
        <v>0</v>
      </c>
    </row>
    <row r="22033" spans="1:22">
      <c r="A22033" t="s">
        <v>4</v>
      </c>
      <c r="B22033" s="4" t="s">
        <v>5</v>
      </c>
      <c r="C22033" s="4" t="s">
        <v>11</v>
      </c>
      <c r="D22033" s="4" t="s">
        <v>7</v>
      </c>
      <c r="E22033" s="4" t="s">
        <v>7</v>
      </c>
      <c r="F22033" s="4" t="s">
        <v>8</v>
      </c>
    </row>
    <row r="22034" spans="1:22">
      <c r="A22034" t="n">
        <v>213024</v>
      </c>
      <c r="B22034" s="50" t="n">
        <v>20</v>
      </c>
      <c r="C22034" s="7" t="n">
        <v>0</v>
      </c>
      <c r="D22034" s="7" t="n">
        <v>3</v>
      </c>
      <c r="E22034" s="7" t="n">
        <v>10</v>
      </c>
      <c r="F22034" s="7" t="s">
        <v>108</v>
      </c>
    </row>
    <row r="22035" spans="1:22">
      <c r="A22035" t="s">
        <v>4</v>
      </c>
      <c r="B22035" s="4" t="s">
        <v>5</v>
      </c>
      <c r="C22035" s="4" t="s">
        <v>11</v>
      </c>
    </row>
    <row r="22036" spans="1:22">
      <c r="A22036" t="n">
        <v>213042</v>
      </c>
      <c r="B22036" s="29" t="n">
        <v>16</v>
      </c>
      <c r="C22036" s="7" t="n">
        <v>0</v>
      </c>
    </row>
    <row r="22037" spans="1:22">
      <c r="A22037" t="s">
        <v>4</v>
      </c>
      <c r="B22037" s="4" t="s">
        <v>5</v>
      </c>
      <c r="C22037" s="4" t="s">
        <v>11</v>
      </c>
      <c r="D22037" s="4" t="s">
        <v>7</v>
      </c>
      <c r="E22037" s="4" t="s">
        <v>7</v>
      </c>
      <c r="F22037" s="4" t="s">
        <v>8</v>
      </c>
    </row>
    <row r="22038" spans="1:22">
      <c r="A22038" t="n">
        <v>213045</v>
      </c>
      <c r="B22038" s="50" t="n">
        <v>20</v>
      </c>
      <c r="C22038" s="7" t="n">
        <v>1000</v>
      </c>
      <c r="D22038" s="7" t="n">
        <v>3</v>
      </c>
      <c r="E22038" s="7" t="n">
        <v>10</v>
      </c>
      <c r="F22038" s="7" t="s">
        <v>108</v>
      </c>
    </row>
    <row r="22039" spans="1:22">
      <c r="A22039" t="s">
        <v>4</v>
      </c>
      <c r="B22039" s="4" t="s">
        <v>5</v>
      </c>
      <c r="C22039" s="4" t="s">
        <v>11</v>
      </c>
    </row>
    <row r="22040" spans="1:22">
      <c r="A22040" t="n">
        <v>213063</v>
      </c>
      <c r="B22040" s="29" t="n">
        <v>16</v>
      </c>
      <c r="C22040" s="7" t="n">
        <v>0</v>
      </c>
    </row>
    <row r="22041" spans="1:22">
      <c r="A22041" t="s">
        <v>4</v>
      </c>
      <c r="B22041" s="4" t="s">
        <v>5</v>
      </c>
      <c r="C22041" s="4" t="s">
        <v>7</v>
      </c>
    </row>
    <row r="22042" spans="1:22">
      <c r="A22042" t="n">
        <v>213066</v>
      </c>
      <c r="B22042" s="49" t="n">
        <v>116</v>
      </c>
      <c r="C22042" s="7" t="n">
        <v>0</v>
      </c>
    </row>
    <row r="22043" spans="1:22">
      <c r="A22043" t="s">
        <v>4</v>
      </c>
      <c r="B22043" s="4" t="s">
        <v>5</v>
      </c>
      <c r="C22043" s="4" t="s">
        <v>7</v>
      </c>
      <c r="D22043" s="4" t="s">
        <v>11</v>
      </c>
    </row>
    <row r="22044" spans="1:22">
      <c r="A22044" t="n">
        <v>213068</v>
      </c>
      <c r="B22044" s="49" t="n">
        <v>116</v>
      </c>
      <c r="C22044" s="7" t="n">
        <v>2</v>
      </c>
      <c r="D22044" s="7" t="n">
        <v>1</v>
      </c>
    </row>
    <row r="22045" spans="1:22">
      <c r="A22045" t="s">
        <v>4</v>
      </c>
      <c r="B22045" s="4" t="s">
        <v>5</v>
      </c>
      <c r="C22045" s="4" t="s">
        <v>7</v>
      </c>
      <c r="D22045" s="4" t="s">
        <v>15</v>
      </c>
    </row>
    <row r="22046" spans="1:22">
      <c r="A22046" t="n">
        <v>213072</v>
      </c>
      <c r="B22046" s="49" t="n">
        <v>116</v>
      </c>
      <c r="C22046" s="7" t="n">
        <v>5</v>
      </c>
      <c r="D22046" s="7" t="n">
        <v>1097859072</v>
      </c>
    </row>
    <row r="22047" spans="1:22">
      <c r="A22047" t="s">
        <v>4</v>
      </c>
      <c r="B22047" s="4" t="s">
        <v>5</v>
      </c>
      <c r="C22047" s="4" t="s">
        <v>7</v>
      </c>
      <c r="D22047" s="4" t="s">
        <v>11</v>
      </c>
    </row>
    <row r="22048" spans="1:22">
      <c r="A22048" t="n">
        <v>213078</v>
      </c>
      <c r="B22048" s="49" t="n">
        <v>116</v>
      </c>
      <c r="C22048" s="7" t="n">
        <v>6</v>
      </c>
      <c r="D22048" s="7" t="n">
        <v>1</v>
      </c>
    </row>
    <row r="22049" spans="1:6">
      <c r="A22049" t="s">
        <v>4</v>
      </c>
      <c r="B22049" s="4" t="s">
        <v>5</v>
      </c>
      <c r="C22049" s="4" t="s">
        <v>11</v>
      </c>
      <c r="D22049" s="4" t="s">
        <v>13</v>
      </c>
      <c r="E22049" s="4" t="s">
        <v>13</v>
      </c>
      <c r="F22049" s="4" t="s">
        <v>13</v>
      </c>
      <c r="G22049" s="4" t="s">
        <v>13</v>
      </c>
    </row>
    <row r="22050" spans="1:6">
      <c r="A22050" t="n">
        <v>213082</v>
      </c>
      <c r="B22050" s="36" t="n">
        <v>46</v>
      </c>
      <c r="C22050" s="7" t="n">
        <v>0</v>
      </c>
      <c r="D22050" s="7" t="n">
        <v>-11.289999961853</v>
      </c>
      <c r="E22050" s="7" t="n">
        <v>5.01000022888184</v>
      </c>
      <c r="F22050" s="7" t="n">
        <v>32.0400009155273</v>
      </c>
      <c r="G22050" s="7" t="n">
        <v>270</v>
      </c>
    </row>
    <row r="22051" spans="1:6">
      <c r="A22051" t="s">
        <v>4</v>
      </c>
      <c r="B22051" s="4" t="s">
        <v>5</v>
      </c>
      <c r="C22051" s="4" t="s">
        <v>7</v>
      </c>
      <c r="D22051" s="4" t="s">
        <v>7</v>
      </c>
      <c r="E22051" s="4" t="s">
        <v>13</v>
      </c>
      <c r="F22051" s="4" t="s">
        <v>13</v>
      </c>
      <c r="G22051" s="4" t="s">
        <v>13</v>
      </c>
      <c r="H22051" s="4" t="s">
        <v>11</v>
      </c>
    </row>
    <row r="22052" spans="1:6">
      <c r="A22052" t="n">
        <v>213101</v>
      </c>
      <c r="B22052" s="51" t="n">
        <v>45</v>
      </c>
      <c r="C22052" s="7" t="n">
        <v>2</v>
      </c>
      <c r="D22052" s="7" t="n">
        <v>3</v>
      </c>
      <c r="E22052" s="7" t="n">
        <v>-13.0799999237061</v>
      </c>
      <c r="F22052" s="7" t="n">
        <v>6.40999984741211</v>
      </c>
      <c r="G22052" s="7" t="n">
        <v>32.1399993896484</v>
      </c>
      <c r="H22052" s="7" t="n">
        <v>0</v>
      </c>
    </row>
    <row r="22053" spans="1:6">
      <c r="A22053" t="s">
        <v>4</v>
      </c>
      <c r="B22053" s="4" t="s">
        <v>5</v>
      </c>
      <c r="C22053" s="4" t="s">
        <v>7</v>
      </c>
      <c r="D22053" s="4" t="s">
        <v>7</v>
      </c>
      <c r="E22053" s="4" t="s">
        <v>13</v>
      </c>
      <c r="F22053" s="4" t="s">
        <v>13</v>
      </c>
      <c r="G22053" s="4" t="s">
        <v>13</v>
      </c>
      <c r="H22053" s="4" t="s">
        <v>11</v>
      </c>
      <c r="I22053" s="4" t="s">
        <v>7</v>
      </c>
    </row>
    <row r="22054" spans="1:6">
      <c r="A22054" t="n">
        <v>213118</v>
      </c>
      <c r="B22054" s="51" t="n">
        <v>45</v>
      </c>
      <c r="C22054" s="7" t="n">
        <v>4</v>
      </c>
      <c r="D22054" s="7" t="n">
        <v>3</v>
      </c>
      <c r="E22054" s="7" t="n">
        <v>6.19999980926514</v>
      </c>
      <c r="F22054" s="7" t="n">
        <v>332.730010986328</v>
      </c>
      <c r="G22054" s="7" t="n">
        <v>0</v>
      </c>
      <c r="H22054" s="7" t="n">
        <v>0</v>
      </c>
      <c r="I22054" s="7" t="n">
        <v>0</v>
      </c>
    </row>
    <row r="22055" spans="1:6">
      <c r="A22055" t="s">
        <v>4</v>
      </c>
      <c r="B22055" s="4" t="s">
        <v>5</v>
      </c>
      <c r="C22055" s="4" t="s">
        <v>7</v>
      </c>
      <c r="D22055" s="4" t="s">
        <v>7</v>
      </c>
      <c r="E22055" s="4" t="s">
        <v>13</v>
      </c>
      <c r="F22055" s="4" t="s">
        <v>11</v>
      </c>
    </row>
    <row r="22056" spans="1:6">
      <c r="A22056" t="n">
        <v>213136</v>
      </c>
      <c r="B22056" s="51" t="n">
        <v>45</v>
      </c>
      <c r="C22056" s="7" t="n">
        <v>5</v>
      </c>
      <c r="D22056" s="7" t="n">
        <v>3</v>
      </c>
      <c r="E22056" s="7" t="n">
        <v>2.90000009536743</v>
      </c>
      <c r="F22056" s="7" t="n">
        <v>0</v>
      </c>
    </row>
    <row r="22057" spans="1:6">
      <c r="A22057" t="s">
        <v>4</v>
      </c>
      <c r="B22057" s="4" t="s">
        <v>5</v>
      </c>
      <c r="C22057" s="4" t="s">
        <v>7</v>
      </c>
      <c r="D22057" s="4" t="s">
        <v>7</v>
      </c>
      <c r="E22057" s="4" t="s">
        <v>13</v>
      </c>
      <c r="F22057" s="4" t="s">
        <v>11</v>
      </c>
    </row>
    <row r="22058" spans="1:6">
      <c r="A22058" t="n">
        <v>213145</v>
      </c>
      <c r="B22058" s="51" t="n">
        <v>45</v>
      </c>
      <c r="C22058" s="7" t="n">
        <v>11</v>
      </c>
      <c r="D22058" s="7" t="n">
        <v>3</v>
      </c>
      <c r="E22058" s="7" t="n">
        <v>34</v>
      </c>
      <c r="F22058" s="7" t="n">
        <v>0</v>
      </c>
    </row>
    <row r="22059" spans="1:6">
      <c r="A22059" t="s">
        <v>4</v>
      </c>
      <c r="B22059" s="4" t="s">
        <v>5</v>
      </c>
      <c r="C22059" s="4" t="s">
        <v>7</v>
      </c>
      <c r="D22059" s="4" t="s">
        <v>7</v>
      </c>
      <c r="E22059" s="4" t="s">
        <v>13</v>
      </c>
      <c r="F22059" s="4" t="s">
        <v>13</v>
      </c>
      <c r="G22059" s="4" t="s">
        <v>13</v>
      </c>
      <c r="H22059" s="4" t="s">
        <v>11</v>
      </c>
    </row>
    <row r="22060" spans="1:6">
      <c r="A22060" t="n">
        <v>213154</v>
      </c>
      <c r="B22060" s="51" t="n">
        <v>45</v>
      </c>
      <c r="C22060" s="7" t="n">
        <v>2</v>
      </c>
      <c r="D22060" s="7" t="n">
        <v>3</v>
      </c>
      <c r="E22060" s="7" t="n">
        <v>-17.1599998474121</v>
      </c>
      <c r="F22060" s="7" t="n">
        <v>6.40999984741211</v>
      </c>
      <c r="G22060" s="7" t="n">
        <v>33.3600006103516</v>
      </c>
      <c r="H22060" s="7" t="n">
        <v>8000</v>
      </c>
    </row>
    <row r="22061" spans="1:6">
      <c r="A22061" t="s">
        <v>4</v>
      </c>
      <c r="B22061" s="4" t="s">
        <v>5</v>
      </c>
      <c r="C22061" s="4" t="s">
        <v>7</v>
      </c>
      <c r="D22061" s="4" t="s">
        <v>7</v>
      </c>
      <c r="E22061" s="4" t="s">
        <v>13</v>
      </c>
      <c r="F22061" s="4" t="s">
        <v>13</v>
      </c>
      <c r="G22061" s="4" t="s">
        <v>13</v>
      </c>
      <c r="H22061" s="4" t="s">
        <v>11</v>
      </c>
      <c r="I22061" s="4" t="s">
        <v>7</v>
      </c>
    </row>
    <row r="22062" spans="1:6">
      <c r="A22062" t="n">
        <v>213171</v>
      </c>
      <c r="B22062" s="51" t="n">
        <v>45</v>
      </c>
      <c r="C22062" s="7" t="n">
        <v>4</v>
      </c>
      <c r="D22062" s="7" t="n">
        <v>3</v>
      </c>
      <c r="E22062" s="7" t="n">
        <v>6.19999980926514</v>
      </c>
      <c r="F22062" s="7" t="n">
        <v>460.410003662109</v>
      </c>
      <c r="G22062" s="7" t="n">
        <v>0</v>
      </c>
      <c r="H22062" s="7" t="n">
        <v>8000</v>
      </c>
      <c r="I22062" s="7" t="n">
        <v>0</v>
      </c>
    </row>
    <row r="22063" spans="1:6">
      <c r="A22063" t="s">
        <v>4</v>
      </c>
      <c r="B22063" s="4" t="s">
        <v>5</v>
      </c>
      <c r="C22063" s="4" t="s">
        <v>8</v>
      </c>
      <c r="D22063" s="4" t="s">
        <v>8</v>
      </c>
    </row>
    <row r="22064" spans="1:6">
      <c r="A22064" t="n">
        <v>213189</v>
      </c>
      <c r="B22064" s="52" t="n">
        <v>70</v>
      </c>
      <c r="C22064" s="7" t="s">
        <v>25</v>
      </c>
      <c r="D22064" s="7" t="s">
        <v>1182</v>
      </c>
    </row>
    <row r="22065" spans="1:9">
      <c r="A22065" t="s">
        <v>4</v>
      </c>
      <c r="B22065" s="4" t="s">
        <v>5</v>
      </c>
      <c r="C22065" s="4" t="s">
        <v>7</v>
      </c>
      <c r="D22065" s="4" t="s">
        <v>11</v>
      </c>
      <c r="E22065" s="4" t="s">
        <v>8</v>
      </c>
      <c r="F22065" s="4" t="s">
        <v>8</v>
      </c>
      <c r="G22065" s="4" t="s">
        <v>8</v>
      </c>
      <c r="H22065" s="4" t="s">
        <v>8</v>
      </c>
    </row>
    <row r="22066" spans="1:9">
      <c r="A22066" t="n">
        <v>213208</v>
      </c>
      <c r="B22066" s="38" t="n">
        <v>51</v>
      </c>
      <c r="C22066" s="7" t="n">
        <v>3</v>
      </c>
      <c r="D22066" s="7" t="n">
        <v>0</v>
      </c>
      <c r="E22066" s="7" t="s">
        <v>79</v>
      </c>
      <c r="F22066" s="7" t="s">
        <v>79</v>
      </c>
      <c r="G22066" s="7" t="s">
        <v>78</v>
      </c>
      <c r="H22066" s="7" t="s">
        <v>79</v>
      </c>
    </row>
    <row r="22067" spans="1:9">
      <c r="A22067" t="s">
        <v>4</v>
      </c>
      <c r="B22067" s="4" t="s">
        <v>5</v>
      </c>
      <c r="C22067" s="4" t="s">
        <v>11</v>
      </c>
      <c r="D22067" s="4" t="s">
        <v>11</v>
      </c>
      <c r="E22067" s="4" t="s">
        <v>13</v>
      </c>
      <c r="F22067" s="4" t="s">
        <v>13</v>
      </c>
      <c r="G22067" s="4" t="s">
        <v>13</v>
      </c>
      <c r="H22067" s="4" t="s">
        <v>13</v>
      </c>
      <c r="I22067" s="4" t="s">
        <v>7</v>
      </c>
      <c r="J22067" s="4" t="s">
        <v>11</v>
      </c>
    </row>
    <row r="22068" spans="1:9">
      <c r="A22068" t="n">
        <v>213221</v>
      </c>
      <c r="B22068" s="53" t="n">
        <v>55</v>
      </c>
      <c r="C22068" s="7" t="n">
        <v>0</v>
      </c>
      <c r="D22068" s="7" t="n">
        <v>65533</v>
      </c>
      <c r="E22068" s="7" t="n">
        <v>-13.0100002288818</v>
      </c>
      <c r="F22068" s="7" t="n">
        <v>5.01000022888184</v>
      </c>
      <c r="G22068" s="7" t="n">
        <v>32.0400009155273</v>
      </c>
      <c r="H22068" s="7" t="n">
        <v>0.699999988079071</v>
      </c>
      <c r="I22068" s="7" t="n">
        <v>1</v>
      </c>
      <c r="J22068" s="7" t="n">
        <v>0</v>
      </c>
    </row>
    <row r="22069" spans="1:9">
      <c r="A22069" t="s">
        <v>4</v>
      </c>
      <c r="B22069" s="4" t="s">
        <v>5</v>
      </c>
      <c r="C22069" s="4" t="s">
        <v>7</v>
      </c>
      <c r="D22069" s="4" t="s">
        <v>11</v>
      </c>
      <c r="E22069" s="4" t="s">
        <v>13</v>
      </c>
    </row>
    <row r="22070" spans="1:9">
      <c r="A22070" t="n">
        <v>213245</v>
      </c>
      <c r="B22070" s="23" t="n">
        <v>58</v>
      </c>
      <c r="C22070" s="7" t="n">
        <v>100</v>
      </c>
      <c r="D22070" s="7" t="n">
        <v>1000</v>
      </c>
      <c r="E22070" s="7" t="n">
        <v>1</v>
      </c>
    </row>
    <row r="22071" spans="1:9">
      <c r="A22071" t="s">
        <v>4</v>
      </c>
      <c r="B22071" s="4" t="s">
        <v>5</v>
      </c>
      <c r="C22071" s="4" t="s">
        <v>7</v>
      </c>
      <c r="D22071" s="4" t="s">
        <v>11</v>
      </c>
    </row>
    <row r="22072" spans="1:9">
      <c r="A22072" t="n">
        <v>213253</v>
      </c>
      <c r="B22072" s="23" t="n">
        <v>58</v>
      </c>
      <c r="C22072" s="7" t="n">
        <v>255</v>
      </c>
      <c r="D22072" s="7" t="n">
        <v>0</v>
      </c>
    </row>
    <row r="22073" spans="1:9">
      <c r="A22073" t="s">
        <v>4</v>
      </c>
      <c r="B22073" s="4" t="s">
        <v>5</v>
      </c>
      <c r="C22073" s="4" t="s">
        <v>7</v>
      </c>
      <c r="D22073" s="4" t="s">
        <v>11</v>
      </c>
    </row>
    <row r="22074" spans="1:9">
      <c r="A22074" t="n">
        <v>213257</v>
      </c>
      <c r="B22074" s="51" t="n">
        <v>45</v>
      </c>
      <c r="C22074" s="7" t="n">
        <v>7</v>
      </c>
      <c r="D22074" s="7" t="n">
        <v>255</v>
      </c>
    </row>
    <row r="22075" spans="1:9">
      <c r="A22075" t="s">
        <v>4</v>
      </c>
      <c r="B22075" s="4" t="s">
        <v>5</v>
      </c>
      <c r="C22075" s="4" t="s">
        <v>7</v>
      </c>
      <c r="D22075" s="4" t="s">
        <v>11</v>
      </c>
      <c r="E22075" s="4" t="s">
        <v>13</v>
      </c>
    </row>
    <row r="22076" spans="1:9">
      <c r="A22076" t="n">
        <v>213261</v>
      </c>
      <c r="B22076" s="23" t="n">
        <v>58</v>
      </c>
      <c r="C22076" s="7" t="n">
        <v>101</v>
      </c>
      <c r="D22076" s="7" t="n">
        <v>1000</v>
      </c>
      <c r="E22076" s="7" t="n">
        <v>1</v>
      </c>
    </row>
    <row r="22077" spans="1:9">
      <c r="A22077" t="s">
        <v>4</v>
      </c>
      <c r="B22077" s="4" t="s">
        <v>5</v>
      </c>
      <c r="C22077" s="4" t="s">
        <v>7</v>
      </c>
      <c r="D22077" s="4" t="s">
        <v>11</v>
      </c>
    </row>
    <row r="22078" spans="1:9">
      <c r="A22078" t="n">
        <v>213269</v>
      </c>
      <c r="B22078" s="23" t="n">
        <v>58</v>
      </c>
      <c r="C22078" s="7" t="n">
        <v>254</v>
      </c>
      <c r="D22078" s="7" t="n">
        <v>0</v>
      </c>
    </row>
    <row r="22079" spans="1:9">
      <c r="A22079" t="s">
        <v>4</v>
      </c>
      <c r="B22079" s="4" t="s">
        <v>5</v>
      </c>
      <c r="C22079" s="4" t="s">
        <v>11</v>
      </c>
      <c r="D22079" s="4" t="s">
        <v>7</v>
      </c>
      <c r="E22079" s="4" t="s">
        <v>8</v>
      </c>
      <c r="F22079" s="4" t="s">
        <v>13</v>
      </c>
      <c r="G22079" s="4" t="s">
        <v>13</v>
      </c>
      <c r="H22079" s="4" t="s">
        <v>13</v>
      </c>
    </row>
    <row r="22080" spans="1:9">
      <c r="A22080" t="n">
        <v>213273</v>
      </c>
      <c r="B22080" s="42" t="n">
        <v>48</v>
      </c>
      <c r="C22080" s="7" t="n">
        <v>0</v>
      </c>
      <c r="D22080" s="7" t="n">
        <v>0</v>
      </c>
      <c r="E22080" s="7" t="s">
        <v>275</v>
      </c>
      <c r="F22080" s="7" t="n">
        <v>0</v>
      </c>
      <c r="G22080" s="7" t="n">
        <v>1</v>
      </c>
      <c r="H22080" s="7" t="n">
        <v>0</v>
      </c>
    </row>
    <row r="22081" spans="1:10">
      <c r="A22081" t="s">
        <v>4</v>
      </c>
      <c r="B22081" s="4" t="s">
        <v>5</v>
      </c>
      <c r="C22081" s="4" t="s">
        <v>7</v>
      </c>
      <c r="D22081" s="4" t="s">
        <v>7</v>
      </c>
      <c r="E22081" s="4" t="s">
        <v>13</v>
      </c>
      <c r="F22081" s="4" t="s">
        <v>13</v>
      </c>
      <c r="G22081" s="4" t="s">
        <v>13</v>
      </c>
      <c r="H22081" s="4" t="s">
        <v>11</v>
      </c>
      <c r="I22081" s="4" t="s">
        <v>7</v>
      </c>
    </row>
    <row r="22082" spans="1:10">
      <c r="A22082" t="n">
        <v>213298</v>
      </c>
      <c r="B22082" s="51" t="n">
        <v>45</v>
      </c>
      <c r="C22082" s="7" t="n">
        <v>4</v>
      </c>
      <c r="D22082" s="7" t="n">
        <v>3</v>
      </c>
      <c r="E22082" s="7" t="n">
        <v>356.239990234375</v>
      </c>
      <c r="F22082" s="7" t="n">
        <v>249.199996948242</v>
      </c>
      <c r="G22082" s="7" t="n">
        <v>356</v>
      </c>
      <c r="H22082" s="7" t="n">
        <v>0</v>
      </c>
      <c r="I22082" s="7" t="n">
        <v>0</v>
      </c>
    </row>
    <row r="22083" spans="1:10">
      <c r="A22083" t="s">
        <v>4</v>
      </c>
      <c r="B22083" s="4" t="s">
        <v>5</v>
      </c>
      <c r="C22083" s="4" t="s">
        <v>7</v>
      </c>
      <c r="D22083" s="4" t="s">
        <v>7</v>
      </c>
      <c r="E22083" s="4" t="s">
        <v>13</v>
      </c>
      <c r="F22083" s="4" t="s">
        <v>11</v>
      </c>
    </row>
    <row r="22084" spans="1:10">
      <c r="A22084" t="n">
        <v>213316</v>
      </c>
      <c r="B22084" s="51" t="n">
        <v>45</v>
      </c>
      <c r="C22084" s="7" t="n">
        <v>5</v>
      </c>
      <c r="D22084" s="7" t="n">
        <v>3</v>
      </c>
      <c r="E22084" s="7" t="n">
        <v>1.70000004768372</v>
      </c>
      <c r="F22084" s="7" t="n">
        <v>0</v>
      </c>
    </row>
    <row r="22085" spans="1:10">
      <c r="A22085" t="s">
        <v>4</v>
      </c>
      <c r="B22085" s="4" t="s">
        <v>5</v>
      </c>
      <c r="C22085" s="4" t="s">
        <v>7</v>
      </c>
      <c r="D22085" s="4" t="s">
        <v>7</v>
      </c>
      <c r="E22085" s="4" t="s">
        <v>13</v>
      </c>
      <c r="F22085" s="4" t="s">
        <v>11</v>
      </c>
    </row>
    <row r="22086" spans="1:10">
      <c r="A22086" t="n">
        <v>213325</v>
      </c>
      <c r="B22086" s="51" t="n">
        <v>45</v>
      </c>
      <c r="C22086" s="7" t="n">
        <v>11</v>
      </c>
      <c r="D22086" s="7" t="n">
        <v>3</v>
      </c>
      <c r="E22086" s="7" t="n">
        <v>34</v>
      </c>
      <c r="F22086" s="7" t="n">
        <v>0</v>
      </c>
    </row>
    <row r="22087" spans="1:10">
      <c r="A22087" t="s">
        <v>4</v>
      </c>
      <c r="B22087" s="4" t="s">
        <v>5</v>
      </c>
      <c r="C22087" s="4" t="s">
        <v>7</v>
      </c>
      <c r="D22087" s="4" t="s">
        <v>7</v>
      </c>
      <c r="E22087" s="4" t="s">
        <v>13</v>
      </c>
      <c r="F22087" s="4" t="s">
        <v>13</v>
      </c>
      <c r="G22087" s="4" t="s">
        <v>13</v>
      </c>
      <c r="H22087" s="4" t="s">
        <v>11</v>
      </c>
    </row>
    <row r="22088" spans="1:10">
      <c r="A22088" t="n">
        <v>213334</v>
      </c>
      <c r="B22088" s="51" t="n">
        <v>45</v>
      </c>
      <c r="C22088" s="7" t="n">
        <v>2</v>
      </c>
      <c r="D22088" s="7" t="n">
        <v>3</v>
      </c>
      <c r="E22088" s="7" t="n">
        <v>-13.0799999237061</v>
      </c>
      <c r="F22088" s="7" t="n">
        <v>6.71999979019165</v>
      </c>
      <c r="G22088" s="7" t="n">
        <v>32.0699996948242</v>
      </c>
      <c r="H22088" s="7" t="n">
        <v>0</v>
      </c>
    </row>
    <row r="22089" spans="1:10">
      <c r="A22089" t="s">
        <v>4</v>
      </c>
      <c r="B22089" s="4" t="s">
        <v>5</v>
      </c>
      <c r="C22089" s="4" t="s">
        <v>7</v>
      </c>
      <c r="D22089" s="4" t="s">
        <v>7</v>
      </c>
      <c r="E22089" s="4" t="s">
        <v>13</v>
      </c>
      <c r="F22089" s="4" t="s">
        <v>13</v>
      </c>
      <c r="G22089" s="4" t="s">
        <v>13</v>
      </c>
      <c r="H22089" s="4" t="s">
        <v>11</v>
      </c>
    </row>
    <row r="22090" spans="1:10">
      <c r="A22090" t="n">
        <v>213351</v>
      </c>
      <c r="B22090" s="51" t="n">
        <v>45</v>
      </c>
      <c r="C22090" s="7" t="n">
        <v>2</v>
      </c>
      <c r="D22090" s="7" t="n">
        <v>3</v>
      </c>
      <c r="E22090" s="7" t="n">
        <v>-13.0799999237061</v>
      </c>
      <c r="F22090" s="7" t="n">
        <v>6.40999984741211</v>
      </c>
      <c r="G22090" s="7" t="n">
        <v>32.0699996948242</v>
      </c>
      <c r="H22090" s="7" t="n">
        <v>3000</v>
      </c>
    </row>
    <row r="22091" spans="1:10">
      <c r="A22091" t="s">
        <v>4</v>
      </c>
      <c r="B22091" s="4" t="s">
        <v>5</v>
      </c>
      <c r="C22091" s="4" t="s">
        <v>7</v>
      </c>
    </row>
    <row r="22092" spans="1:10">
      <c r="A22092" t="n">
        <v>213368</v>
      </c>
      <c r="B22092" s="49" t="n">
        <v>116</v>
      </c>
      <c r="C22092" s="7" t="n">
        <v>0</v>
      </c>
    </row>
    <row r="22093" spans="1:10">
      <c r="A22093" t="s">
        <v>4</v>
      </c>
      <c r="B22093" s="4" t="s">
        <v>5</v>
      </c>
      <c r="C22093" s="4" t="s">
        <v>7</v>
      </c>
      <c r="D22093" s="4" t="s">
        <v>11</v>
      </c>
    </row>
    <row r="22094" spans="1:10">
      <c r="A22094" t="n">
        <v>213370</v>
      </c>
      <c r="B22094" s="49" t="n">
        <v>116</v>
      </c>
      <c r="C22094" s="7" t="n">
        <v>2</v>
      </c>
      <c r="D22094" s="7" t="n">
        <v>1</v>
      </c>
    </row>
    <row r="22095" spans="1:10">
      <c r="A22095" t="s">
        <v>4</v>
      </c>
      <c r="B22095" s="4" t="s">
        <v>5</v>
      </c>
      <c r="C22095" s="4" t="s">
        <v>7</v>
      </c>
      <c r="D22095" s="4" t="s">
        <v>15</v>
      </c>
    </row>
    <row r="22096" spans="1:10">
      <c r="A22096" t="n">
        <v>213374</v>
      </c>
      <c r="B22096" s="49" t="n">
        <v>116</v>
      </c>
      <c r="C22096" s="7" t="n">
        <v>5</v>
      </c>
      <c r="D22096" s="7" t="n">
        <v>1092616192</v>
      </c>
    </row>
    <row r="22097" spans="1:9">
      <c r="A22097" t="s">
        <v>4</v>
      </c>
      <c r="B22097" s="4" t="s">
        <v>5</v>
      </c>
      <c r="C22097" s="4" t="s">
        <v>7</v>
      </c>
      <c r="D22097" s="4" t="s">
        <v>11</v>
      </c>
    </row>
    <row r="22098" spans="1:9">
      <c r="A22098" t="n">
        <v>213380</v>
      </c>
      <c r="B22098" s="49" t="n">
        <v>116</v>
      </c>
      <c r="C22098" s="7" t="n">
        <v>6</v>
      </c>
      <c r="D22098" s="7" t="n">
        <v>1</v>
      </c>
    </row>
    <row r="22099" spans="1:9">
      <c r="A22099" t="s">
        <v>4</v>
      </c>
      <c r="B22099" s="4" t="s">
        <v>5</v>
      </c>
      <c r="C22099" s="4" t="s">
        <v>7</v>
      </c>
      <c r="D22099" s="4" t="s">
        <v>11</v>
      </c>
      <c r="E22099" s="4" t="s">
        <v>8</v>
      </c>
      <c r="F22099" s="4" t="s">
        <v>8</v>
      </c>
      <c r="G22099" s="4" t="s">
        <v>8</v>
      </c>
      <c r="H22099" s="4" t="s">
        <v>8</v>
      </c>
    </row>
    <row r="22100" spans="1:9">
      <c r="A22100" t="n">
        <v>213384</v>
      </c>
      <c r="B22100" s="38" t="n">
        <v>51</v>
      </c>
      <c r="C22100" s="7" t="n">
        <v>3</v>
      </c>
      <c r="D22100" s="7" t="n">
        <v>0</v>
      </c>
      <c r="E22100" s="7" t="s">
        <v>86</v>
      </c>
      <c r="F22100" s="7" t="s">
        <v>79</v>
      </c>
      <c r="G22100" s="7" t="s">
        <v>78</v>
      </c>
      <c r="H22100" s="7" t="s">
        <v>79</v>
      </c>
    </row>
    <row r="22101" spans="1:9">
      <c r="A22101" t="s">
        <v>4</v>
      </c>
      <c r="B22101" s="4" t="s">
        <v>5</v>
      </c>
      <c r="C22101" s="4" t="s">
        <v>7</v>
      </c>
      <c r="D22101" s="4" t="s">
        <v>11</v>
      </c>
    </row>
    <row r="22102" spans="1:9">
      <c r="A22102" t="n">
        <v>213397</v>
      </c>
      <c r="B22102" s="23" t="n">
        <v>58</v>
      </c>
      <c r="C22102" s="7" t="n">
        <v>255</v>
      </c>
      <c r="D22102" s="7" t="n">
        <v>0</v>
      </c>
    </row>
    <row r="22103" spans="1:9">
      <c r="A22103" t="s">
        <v>4</v>
      </c>
      <c r="B22103" s="4" t="s">
        <v>5</v>
      </c>
      <c r="C22103" s="4" t="s">
        <v>7</v>
      </c>
      <c r="D22103" s="4" t="s">
        <v>11</v>
      </c>
    </row>
    <row r="22104" spans="1:9">
      <c r="A22104" t="n">
        <v>213401</v>
      </c>
      <c r="B22104" s="51" t="n">
        <v>45</v>
      </c>
      <c r="C22104" s="7" t="n">
        <v>7</v>
      </c>
      <c r="D22104" s="7" t="n">
        <v>255</v>
      </c>
    </row>
    <row r="22105" spans="1:9">
      <c r="A22105" t="s">
        <v>4</v>
      </c>
      <c r="B22105" s="4" t="s">
        <v>5</v>
      </c>
      <c r="C22105" s="4" t="s">
        <v>7</v>
      </c>
      <c r="D22105" s="4" t="s">
        <v>11</v>
      </c>
      <c r="E22105" s="4" t="s">
        <v>8</v>
      </c>
    </row>
    <row r="22106" spans="1:9">
      <c r="A22106" t="n">
        <v>213405</v>
      </c>
      <c r="B22106" s="38" t="n">
        <v>51</v>
      </c>
      <c r="C22106" s="7" t="n">
        <v>4</v>
      </c>
      <c r="D22106" s="7" t="n">
        <v>0</v>
      </c>
      <c r="E22106" s="7" t="s">
        <v>1813</v>
      </c>
    </row>
    <row r="22107" spans="1:9">
      <c r="A22107" t="s">
        <v>4</v>
      </c>
      <c r="B22107" s="4" t="s">
        <v>5</v>
      </c>
      <c r="C22107" s="4" t="s">
        <v>11</v>
      </c>
    </row>
    <row r="22108" spans="1:9">
      <c r="A22108" t="n">
        <v>213420</v>
      </c>
      <c r="B22108" s="29" t="n">
        <v>16</v>
      </c>
      <c r="C22108" s="7" t="n">
        <v>0</v>
      </c>
    </row>
    <row r="22109" spans="1:9">
      <c r="A22109" t="s">
        <v>4</v>
      </c>
      <c r="B22109" s="4" t="s">
        <v>5</v>
      </c>
      <c r="C22109" s="4" t="s">
        <v>11</v>
      </c>
      <c r="D22109" s="4" t="s">
        <v>7</v>
      </c>
      <c r="E22109" s="4" t="s">
        <v>15</v>
      </c>
      <c r="F22109" s="4" t="s">
        <v>55</v>
      </c>
      <c r="G22109" s="4" t="s">
        <v>7</v>
      </c>
      <c r="H22109" s="4" t="s">
        <v>7</v>
      </c>
    </row>
    <row r="22110" spans="1:9">
      <c r="A22110" t="n">
        <v>213423</v>
      </c>
      <c r="B22110" s="55" t="n">
        <v>26</v>
      </c>
      <c r="C22110" s="7" t="n">
        <v>0</v>
      </c>
      <c r="D22110" s="7" t="n">
        <v>17</v>
      </c>
      <c r="E22110" s="7" t="n">
        <v>64268</v>
      </c>
      <c r="F22110" s="7" t="s">
        <v>1814</v>
      </c>
      <c r="G22110" s="7" t="n">
        <v>2</v>
      </c>
      <c r="H22110" s="7" t="n">
        <v>0</v>
      </c>
    </row>
    <row r="22111" spans="1:9">
      <c r="A22111" t="s">
        <v>4</v>
      </c>
      <c r="B22111" s="4" t="s">
        <v>5</v>
      </c>
    </row>
    <row r="22112" spans="1:9">
      <c r="A22112" t="n">
        <v>213444</v>
      </c>
      <c r="B22112" s="27" t="n">
        <v>28</v>
      </c>
    </row>
    <row r="22113" spans="1:8">
      <c r="A22113" t="s">
        <v>4</v>
      </c>
      <c r="B22113" s="4" t="s">
        <v>5</v>
      </c>
      <c r="C22113" s="4" t="s">
        <v>11</v>
      </c>
      <c r="D22113" s="4" t="s">
        <v>7</v>
      </c>
    </row>
    <row r="22114" spans="1:8">
      <c r="A22114" t="n">
        <v>213445</v>
      </c>
      <c r="B22114" s="68" t="n">
        <v>89</v>
      </c>
      <c r="C22114" s="7" t="n">
        <v>65533</v>
      </c>
      <c r="D22114" s="7" t="n">
        <v>1</v>
      </c>
    </row>
    <row r="22115" spans="1:8">
      <c r="A22115" t="s">
        <v>4</v>
      </c>
      <c r="B22115" s="4" t="s">
        <v>5</v>
      </c>
      <c r="C22115" s="4" t="s">
        <v>7</v>
      </c>
      <c r="D22115" s="4" t="s">
        <v>7</v>
      </c>
      <c r="E22115" s="4" t="s">
        <v>7</v>
      </c>
      <c r="F22115" s="4" t="s">
        <v>13</v>
      </c>
      <c r="G22115" s="4" t="s">
        <v>13</v>
      </c>
      <c r="H22115" s="4" t="s">
        <v>13</v>
      </c>
      <c r="I22115" s="4" t="s">
        <v>13</v>
      </c>
      <c r="J22115" s="4" t="s">
        <v>13</v>
      </c>
    </row>
    <row r="22116" spans="1:8">
      <c r="A22116" t="n">
        <v>213449</v>
      </c>
      <c r="B22116" s="25" t="n">
        <v>76</v>
      </c>
      <c r="C22116" s="7" t="n">
        <v>0</v>
      </c>
      <c r="D22116" s="7" t="n">
        <v>3</v>
      </c>
      <c r="E22116" s="7" t="n">
        <v>0</v>
      </c>
      <c r="F22116" s="7" t="n">
        <v>1</v>
      </c>
      <c r="G22116" s="7" t="n">
        <v>1</v>
      </c>
      <c r="H22116" s="7" t="n">
        <v>1</v>
      </c>
      <c r="I22116" s="7" t="n">
        <v>1</v>
      </c>
      <c r="J22116" s="7" t="n">
        <v>2000</v>
      </c>
    </row>
    <row r="22117" spans="1:8">
      <c r="A22117" t="s">
        <v>4</v>
      </c>
      <c r="B22117" s="4" t="s">
        <v>5</v>
      </c>
      <c r="C22117" s="4" t="s">
        <v>7</v>
      </c>
      <c r="D22117" s="4" t="s">
        <v>13</v>
      </c>
      <c r="E22117" s="4" t="s">
        <v>11</v>
      </c>
      <c r="F22117" s="4" t="s">
        <v>7</v>
      </c>
    </row>
    <row r="22118" spans="1:8">
      <c r="A22118" t="n">
        <v>213473</v>
      </c>
      <c r="B22118" s="13" t="n">
        <v>49</v>
      </c>
      <c r="C22118" s="7" t="n">
        <v>3</v>
      </c>
      <c r="D22118" s="7" t="n">
        <v>0.5</v>
      </c>
      <c r="E22118" s="7" t="n">
        <v>1000</v>
      </c>
      <c r="F22118" s="7" t="n">
        <v>0</v>
      </c>
    </row>
    <row r="22119" spans="1:8">
      <c r="A22119" t="s">
        <v>4</v>
      </c>
      <c r="B22119" s="4" t="s">
        <v>5</v>
      </c>
      <c r="C22119" s="4" t="s">
        <v>7</v>
      </c>
      <c r="D22119" s="4" t="s">
        <v>7</v>
      </c>
    </row>
    <row r="22120" spans="1:8">
      <c r="A22120" t="n">
        <v>213482</v>
      </c>
      <c r="B22120" s="26" t="n">
        <v>77</v>
      </c>
      <c r="C22120" s="7" t="n">
        <v>0</v>
      </c>
      <c r="D22120" s="7" t="n">
        <v>3</v>
      </c>
    </row>
    <row r="22121" spans="1:8">
      <c r="A22121" t="s">
        <v>4</v>
      </c>
      <c r="B22121" s="4" t="s">
        <v>5</v>
      </c>
      <c r="C22121" s="4" t="s">
        <v>7</v>
      </c>
      <c r="D22121" s="4" t="s">
        <v>11</v>
      </c>
      <c r="E22121" s="4" t="s">
        <v>13</v>
      </c>
    </row>
    <row r="22122" spans="1:8">
      <c r="A22122" t="n">
        <v>213485</v>
      </c>
      <c r="B22122" s="23" t="n">
        <v>58</v>
      </c>
      <c r="C22122" s="7" t="n">
        <v>0</v>
      </c>
      <c r="D22122" s="7" t="n">
        <v>0</v>
      </c>
      <c r="E22122" s="7" t="n">
        <v>1</v>
      </c>
    </row>
    <row r="22123" spans="1:8">
      <c r="A22123" t="s">
        <v>4</v>
      </c>
      <c r="B22123" s="4" t="s">
        <v>5</v>
      </c>
      <c r="C22123" s="4" t="s">
        <v>11</v>
      </c>
    </row>
    <row r="22124" spans="1:8">
      <c r="A22124" t="n">
        <v>213493</v>
      </c>
      <c r="B22124" s="29" t="n">
        <v>16</v>
      </c>
      <c r="C22124" s="7" t="n">
        <v>500</v>
      </c>
    </row>
    <row r="22125" spans="1:8">
      <c r="A22125" t="s">
        <v>4</v>
      </c>
      <c r="B22125" s="4" t="s">
        <v>5</v>
      </c>
      <c r="C22125" s="4" t="s">
        <v>7</v>
      </c>
      <c r="D22125" s="4" t="s">
        <v>7</v>
      </c>
      <c r="E22125" s="4" t="s">
        <v>7</v>
      </c>
      <c r="F22125" s="4" t="s">
        <v>13</v>
      </c>
      <c r="G22125" s="4" t="s">
        <v>13</v>
      </c>
      <c r="H22125" s="4" t="s">
        <v>13</v>
      </c>
      <c r="I22125" s="4" t="s">
        <v>13</v>
      </c>
      <c r="J22125" s="4" t="s">
        <v>13</v>
      </c>
    </row>
    <row r="22126" spans="1:8">
      <c r="A22126" t="n">
        <v>213496</v>
      </c>
      <c r="B22126" s="25" t="n">
        <v>76</v>
      </c>
      <c r="C22126" s="7" t="n">
        <v>0</v>
      </c>
      <c r="D22126" s="7" t="n">
        <v>3</v>
      </c>
      <c r="E22126" s="7" t="n">
        <v>0</v>
      </c>
      <c r="F22126" s="7" t="n">
        <v>1</v>
      </c>
      <c r="G22126" s="7" t="n">
        <v>1</v>
      </c>
      <c r="H22126" s="7" t="n">
        <v>1</v>
      </c>
      <c r="I22126" s="7" t="n">
        <v>0</v>
      </c>
      <c r="J22126" s="7" t="n">
        <v>1500</v>
      </c>
    </row>
    <row r="22127" spans="1:8">
      <c r="A22127" t="s">
        <v>4</v>
      </c>
      <c r="B22127" s="4" t="s">
        <v>5</v>
      </c>
      <c r="C22127" s="4" t="s">
        <v>11</v>
      </c>
    </row>
    <row r="22128" spans="1:8">
      <c r="A22128" t="n">
        <v>213520</v>
      </c>
      <c r="B22128" s="29" t="n">
        <v>16</v>
      </c>
      <c r="C22128" s="7" t="n">
        <v>1000</v>
      </c>
    </row>
    <row r="22129" spans="1:10">
      <c r="A22129" t="s">
        <v>4</v>
      </c>
      <c r="B22129" s="4" t="s">
        <v>5</v>
      </c>
      <c r="C22129" s="4" t="s">
        <v>7</v>
      </c>
      <c r="D22129" s="4" t="s">
        <v>11</v>
      </c>
      <c r="E22129" s="4" t="s">
        <v>11</v>
      </c>
      <c r="F22129" s="4" t="s">
        <v>11</v>
      </c>
      <c r="G22129" s="4" t="s">
        <v>11</v>
      </c>
      <c r="H22129" s="4" t="s">
        <v>7</v>
      </c>
    </row>
    <row r="22130" spans="1:10">
      <c r="A22130" t="n">
        <v>213523</v>
      </c>
      <c r="B22130" s="31" t="n">
        <v>25</v>
      </c>
      <c r="C22130" s="7" t="n">
        <v>5</v>
      </c>
      <c r="D22130" s="7" t="n">
        <v>65535</v>
      </c>
      <c r="E22130" s="7" t="n">
        <v>65535</v>
      </c>
      <c r="F22130" s="7" t="n">
        <v>65535</v>
      </c>
      <c r="G22130" s="7" t="n">
        <v>65535</v>
      </c>
      <c r="H22130" s="7" t="n">
        <v>100</v>
      </c>
    </row>
    <row r="22131" spans="1:10">
      <c r="A22131" t="s">
        <v>4</v>
      </c>
      <c r="B22131" s="4" t="s">
        <v>5</v>
      </c>
      <c r="C22131" s="4" t="s">
        <v>11</v>
      </c>
      <c r="D22131" s="4" t="s">
        <v>7</v>
      </c>
      <c r="E22131" s="4" t="s">
        <v>7</v>
      </c>
      <c r="F22131" s="4" t="s">
        <v>15</v>
      </c>
      <c r="G22131" s="4" t="s">
        <v>55</v>
      </c>
      <c r="H22131" s="4" t="s">
        <v>7</v>
      </c>
      <c r="I22131" s="4" t="s">
        <v>7</v>
      </c>
    </row>
    <row r="22132" spans="1:10">
      <c r="A22132" t="n">
        <v>213534</v>
      </c>
      <c r="B22132" s="32" t="n">
        <v>24</v>
      </c>
      <c r="C22132" s="7" t="n">
        <v>65533</v>
      </c>
      <c r="D22132" s="7" t="n">
        <v>7</v>
      </c>
      <c r="E22132" s="7" t="n">
        <v>17</v>
      </c>
      <c r="F22132" s="7" t="n">
        <v>28610</v>
      </c>
      <c r="G22132" s="7" t="s">
        <v>1815</v>
      </c>
      <c r="H22132" s="7" t="n">
        <v>2</v>
      </c>
      <c r="I22132" s="7" t="n">
        <v>0</v>
      </c>
    </row>
    <row r="22133" spans="1:10">
      <c r="A22133" t="s">
        <v>4</v>
      </c>
      <c r="B22133" s="4" t="s">
        <v>5</v>
      </c>
    </row>
    <row r="22134" spans="1:10">
      <c r="A22134" t="n">
        <v>213620</v>
      </c>
      <c r="B22134" s="27" t="n">
        <v>28</v>
      </c>
    </row>
    <row r="22135" spans="1:10">
      <c r="A22135" t="s">
        <v>4</v>
      </c>
      <c r="B22135" s="4" t="s">
        <v>5</v>
      </c>
      <c r="C22135" s="4" t="s">
        <v>7</v>
      </c>
    </row>
    <row r="22136" spans="1:10">
      <c r="A22136" t="n">
        <v>213621</v>
      </c>
      <c r="B22136" s="33" t="n">
        <v>27</v>
      </c>
      <c r="C22136" s="7" t="n">
        <v>0</v>
      </c>
    </row>
    <row r="22137" spans="1:10">
      <c r="A22137" t="s">
        <v>4</v>
      </c>
      <c r="B22137" s="4" t="s">
        <v>5</v>
      </c>
      <c r="C22137" s="4" t="s">
        <v>11</v>
      </c>
    </row>
    <row r="22138" spans="1:10">
      <c r="A22138" t="n">
        <v>213623</v>
      </c>
      <c r="B22138" s="29" t="n">
        <v>16</v>
      </c>
      <c r="C22138" s="7" t="n">
        <v>300</v>
      </c>
    </row>
    <row r="22139" spans="1:10">
      <c r="A22139" t="s">
        <v>4</v>
      </c>
      <c r="B22139" s="4" t="s">
        <v>5</v>
      </c>
      <c r="C22139" s="4" t="s">
        <v>11</v>
      </c>
      <c r="D22139" s="4" t="s">
        <v>7</v>
      </c>
      <c r="E22139" s="4" t="s">
        <v>7</v>
      </c>
      <c r="F22139" s="4" t="s">
        <v>15</v>
      </c>
      <c r="G22139" s="4" t="s">
        <v>55</v>
      </c>
      <c r="H22139" s="4" t="s">
        <v>7</v>
      </c>
      <c r="I22139" s="4" t="s">
        <v>7</v>
      </c>
    </row>
    <row r="22140" spans="1:10">
      <c r="A22140" t="n">
        <v>213626</v>
      </c>
      <c r="B22140" s="32" t="n">
        <v>24</v>
      </c>
      <c r="C22140" s="7" t="n">
        <v>65533</v>
      </c>
      <c r="D22140" s="7" t="n">
        <v>7</v>
      </c>
      <c r="E22140" s="7" t="n">
        <v>17</v>
      </c>
      <c r="F22140" s="7" t="n">
        <v>28611</v>
      </c>
      <c r="G22140" s="7" t="s">
        <v>1816</v>
      </c>
      <c r="H22140" s="7" t="n">
        <v>2</v>
      </c>
      <c r="I22140" s="7" t="n">
        <v>0</v>
      </c>
    </row>
    <row r="22141" spans="1:10">
      <c r="A22141" t="s">
        <v>4</v>
      </c>
      <c r="B22141" s="4" t="s">
        <v>5</v>
      </c>
    </row>
    <row r="22142" spans="1:10">
      <c r="A22142" t="n">
        <v>213677</v>
      </c>
      <c r="B22142" s="27" t="n">
        <v>28</v>
      </c>
    </row>
    <row r="22143" spans="1:10">
      <c r="A22143" t="s">
        <v>4</v>
      </c>
      <c r="B22143" s="4" t="s">
        <v>5</v>
      </c>
      <c r="C22143" s="4" t="s">
        <v>7</v>
      </c>
    </row>
    <row r="22144" spans="1:10">
      <c r="A22144" t="n">
        <v>213678</v>
      </c>
      <c r="B22144" s="33" t="n">
        <v>27</v>
      </c>
      <c r="C22144" s="7" t="n">
        <v>0</v>
      </c>
    </row>
    <row r="22145" spans="1:9">
      <c r="A22145" t="s">
        <v>4</v>
      </c>
      <c r="B22145" s="4" t="s">
        <v>5</v>
      </c>
      <c r="C22145" s="4" t="s">
        <v>11</v>
      </c>
    </row>
    <row r="22146" spans="1:9">
      <c r="A22146" t="n">
        <v>213680</v>
      </c>
      <c r="B22146" s="29" t="n">
        <v>16</v>
      </c>
      <c r="C22146" s="7" t="n">
        <v>300</v>
      </c>
    </row>
    <row r="22147" spans="1:9">
      <c r="A22147" t="s">
        <v>4</v>
      </c>
      <c r="B22147" s="4" t="s">
        <v>5</v>
      </c>
      <c r="C22147" s="4" t="s">
        <v>11</v>
      </c>
      <c r="D22147" s="4" t="s">
        <v>7</v>
      </c>
      <c r="E22147" s="4" t="s">
        <v>7</v>
      </c>
      <c r="F22147" s="4" t="s">
        <v>15</v>
      </c>
      <c r="G22147" s="4" t="s">
        <v>55</v>
      </c>
      <c r="H22147" s="4" t="s">
        <v>7</v>
      </c>
      <c r="I22147" s="4" t="s">
        <v>7</v>
      </c>
    </row>
    <row r="22148" spans="1:9">
      <c r="A22148" t="n">
        <v>213683</v>
      </c>
      <c r="B22148" s="32" t="n">
        <v>24</v>
      </c>
      <c r="C22148" s="7" t="n">
        <v>65533</v>
      </c>
      <c r="D22148" s="7" t="n">
        <v>7</v>
      </c>
      <c r="E22148" s="7" t="n">
        <v>17</v>
      </c>
      <c r="F22148" s="7" t="n">
        <v>28612</v>
      </c>
      <c r="G22148" s="7" t="s">
        <v>1817</v>
      </c>
      <c r="H22148" s="7" t="n">
        <v>2</v>
      </c>
      <c r="I22148" s="7" t="n">
        <v>0</v>
      </c>
    </row>
    <row r="22149" spans="1:9">
      <c r="A22149" t="s">
        <v>4</v>
      </c>
      <c r="B22149" s="4" t="s">
        <v>5</v>
      </c>
    </row>
    <row r="22150" spans="1:9">
      <c r="A22150" t="n">
        <v>213746</v>
      </c>
      <c r="B22150" s="27" t="n">
        <v>28</v>
      </c>
    </row>
    <row r="22151" spans="1:9">
      <c r="A22151" t="s">
        <v>4</v>
      </c>
      <c r="B22151" s="4" t="s">
        <v>5</v>
      </c>
      <c r="C22151" s="4" t="s">
        <v>7</v>
      </c>
    </row>
    <row r="22152" spans="1:9">
      <c r="A22152" t="n">
        <v>213747</v>
      </c>
      <c r="B22152" s="33" t="n">
        <v>27</v>
      </c>
      <c r="C22152" s="7" t="n">
        <v>0</v>
      </c>
    </row>
    <row r="22153" spans="1:9">
      <c r="A22153" t="s">
        <v>4</v>
      </c>
      <c r="B22153" s="4" t="s">
        <v>5</v>
      </c>
      <c r="C22153" s="4" t="s">
        <v>7</v>
      </c>
      <c r="D22153" s="4" t="s">
        <v>11</v>
      </c>
      <c r="E22153" s="4" t="s">
        <v>8</v>
      </c>
      <c r="F22153" s="4" t="s">
        <v>8</v>
      </c>
      <c r="G22153" s="4" t="s">
        <v>8</v>
      </c>
      <c r="H22153" s="4" t="s">
        <v>8</v>
      </c>
    </row>
    <row r="22154" spans="1:9">
      <c r="A22154" t="n">
        <v>213749</v>
      </c>
      <c r="B22154" s="38" t="n">
        <v>51</v>
      </c>
      <c r="C22154" s="7" t="n">
        <v>3</v>
      </c>
      <c r="D22154" s="7" t="n">
        <v>0</v>
      </c>
      <c r="E22154" s="7" t="s">
        <v>86</v>
      </c>
      <c r="F22154" s="7" t="s">
        <v>79</v>
      </c>
      <c r="G22154" s="7" t="s">
        <v>78</v>
      </c>
      <c r="H22154" s="7" t="s">
        <v>79</v>
      </c>
    </row>
    <row r="22155" spans="1:9">
      <c r="A22155" t="s">
        <v>4</v>
      </c>
      <c r="B22155" s="4" t="s">
        <v>5</v>
      </c>
      <c r="C22155" s="4" t="s">
        <v>7</v>
      </c>
      <c r="D22155" s="4" t="s">
        <v>7</v>
      </c>
      <c r="E22155" s="4" t="s">
        <v>13</v>
      </c>
      <c r="F22155" s="4" t="s">
        <v>13</v>
      </c>
      <c r="G22155" s="4" t="s">
        <v>13</v>
      </c>
      <c r="H22155" s="4" t="s">
        <v>11</v>
      </c>
      <c r="I22155" s="4" t="s">
        <v>7</v>
      </c>
    </row>
    <row r="22156" spans="1:9">
      <c r="A22156" t="n">
        <v>213762</v>
      </c>
      <c r="B22156" s="51" t="n">
        <v>45</v>
      </c>
      <c r="C22156" s="7" t="n">
        <v>4</v>
      </c>
      <c r="D22156" s="7" t="n">
        <v>3</v>
      </c>
      <c r="E22156" s="7" t="n">
        <v>356.239990234375</v>
      </c>
      <c r="F22156" s="7" t="n">
        <v>258.390014648438</v>
      </c>
      <c r="G22156" s="7" t="n">
        <v>356</v>
      </c>
      <c r="H22156" s="7" t="n">
        <v>60000</v>
      </c>
      <c r="I22156" s="7" t="n">
        <v>1</v>
      </c>
    </row>
    <row r="22157" spans="1:9">
      <c r="A22157" t="s">
        <v>4</v>
      </c>
      <c r="B22157" s="4" t="s">
        <v>5</v>
      </c>
      <c r="C22157" s="4" t="s">
        <v>7</v>
      </c>
      <c r="D22157" s="4" t="s">
        <v>11</v>
      </c>
      <c r="E22157" s="4" t="s">
        <v>13</v>
      </c>
    </row>
    <row r="22158" spans="1:9">
      <c r="A22158" t="n">
        <v>213780</v>
      </c>
      <c r="B22158" s="23" t="n">
        <v>58</v>
      </c>
      <c r="C22158" s="7" t="n">
        <v>100</v>
      </c>
      <c r="D22158" s="7" t="n">
        <v>1000</v>
      </c>
      <c r="E22158" s="7" t="n">
        <v>1</v>
      </c>
    </row>
    <row r="22159" spans="1:9">
      <c r="A22159" t="s">
        <v>4</v>
      </c>
      <c r="B22159" s="4" t="s">
        <v>5</v>
      </c>
      <c r="C22159" s="4" t="s">
        <v>7</v>
      </c>
      <c r="D22159" s="4" t="s">
        <v>13</v>
      </c>
      <c r="E22159" s="4" t="s">
        <v>11</v>
      </c>
      <c r="F22159" s="4" t="s">
        <v>7</v>
      </c>
    </row>
    <row r="22160" spans="1:9">
      <c r="A22160" t="n">
        <v>213788</v>
      </c>
      <c r="B22160" s="13" t="n">
        <v>49</v>
      </c>
      <c r="C22160" s="7" t="n">
        <v>3</v>
      </c>
      <c r="D22160" s="7" t="n">
        <v>1</v>
      </c>
      <c r="E22160" s="7" t="n">
        <v>1000</v>
      </c>
      <c r="F22160" s="7" t="n">
        <v>0</v>
      </c>
    </row>
    <row r="22161" spans="1:9">
      <c r="A22161" t="s">
        <v>4</v>
      </c>
      <c r="B22161" s="4" t="s">
        <v>5</v>
      </c>
      <c r="C22161" s="4" t="s">
        <v>7</v>
      </c>
      <c r="D22161" s="4" t="s">
        <v>11</v>
      </c>
    </row>
    <row r="22162" spans="1:9">
      <c r="A22162" t="n">
        <v>213797</v>
      </c>
      <c r="B22162" s="23" t="n">
        <v>58</v>
      </c>
      <c r="C22162" s="7" t="n">
        <v>255</v>
      </c>
      <c r="D22162" s="7" t="n">
        <v>0</v>
      </c>
    </row>
    <row r="22163" spans="1:9">
      <c r="A22163" t="s">
        <v>4</v>
      </c>
      <c r="B22163" s="4" t="s">
        <v>5</v>
      </c>
      <c r="C22163" s="4" t="s">
        <v>11</v>
      </c>
    </row>
    <row r="22164" spans="1:9">
      <c r="A22164" t="n">
        <v>213801</v>
      </c>
      <c r="B22164" s="29" t="n">
        <v>16</v>
      </c>
      <c r="C22164" s="7" t="n">
        <v>500</v>
      </c>
    </row>
    <row r="22165" spans="1:9">
      <c r="A22165" t="s">
        <v>4</v>
      </c>
      <c r="B22165" s="4" t="s">
        <v>5</v>
      </c>
      <c r="C22165" s="4" t="s">
        <v>7</v>
      </c>
      <c r="D22165" s="4" t="s">
        <v>11</v>
      </c>
      <c r="E22165" s="4" t="s">
        <v>8</v>
      </c>
    </row>
    <row r="22166" spans="1:9">
      <c r="A22166" t="n">
        <v>213804</v>
      </c>
      <c r="B22166" s="38" t="n">
        <v>51</v>
      </c>
      <c r="C22166" s="7" t="n">
        <v>4</v>
      </c>
      <c r="D22166" s="7" t="n">
        <v>0</v>
      </c>
      <c r="E22166" s="7" t="s">
        <v>264</v>
      </c>
    </row>
    <row r="22167" spans="1:9">
      <c r="A22167" t="s">
        <v>4</v>
      </c>
      <c r="B22167" s="4" t="s">
        <v>5</v>
      </c>
      <c r="C22167" s="4" t="s">
        <v>11</v>
      </c>
    </row>
    <row r="22168" spans="1:9">
      <c r="A22168" t="n">
        <v>213819</v>
      </c>
      <c r="B22168" s="29" t="n">
        <v>16</v>
      </c>
      <c r="C22168" s="7" t="n">
        <v>0</v>
      </c>
    </row>
    <row r="22169" spans="1:9">
      <c r="A22169" t="s">
        <v>4</v>
      </c>
      <c r="B22169" s="4" t="s">
        <v>5</v>
      </c>
      <c r="C22169" s="4" t="s">
        <v>11</v>
      </c>
      <c r="D22169" s="4" t="s">
        <v>7</v>
      </c>
      <c r="E22169" s="4" t="s">
        <v>15</v>
      </c>
      <c r="F22169" s="4" t="s">
        <v>55</v>
      </c>
      <c r="G22169" s="4" t="s">
        <v>7</v>
      </c>
      <c r="H22169" s="4" t="s">
        <v>7</v>
      </c>
      <c r="I22169" s="4" t="s">
        <v>7</v>
      </c>
      <c r="J22169" s="4" t="s">
        <v>15</v>
      </c>
      <c r="K22169" s="4" t="s">
        <v>55</v>
      </c>
      <c r="L22169" s="4" t="s">
        <v>7</v>
      </c>
      <c r="M22169" s="4" t="s">
        <v>7</v>
      </c>
      <c r="N22169" s="4" t="s">
        <v>7</v>
      </c>
      <c r="O22169" s="4" t="s">
        <v>15</v>
      </c>
      <c r="P22169" s="4" t="s">
        <v>55</v>
      </c>
      <c r="Q22169" s="4" t="s">
        <v>7</v>
      </c>
      <c r="R22169" s="4" t="s">
        <v>7</v>
      </c>
    </row>
    <row r="22170" spans="1:9">
      <c r="A22170" t="n">
        <v>213822</v>
      </c>
      <c r="B22170" s="55" t="n">
        <v>26</v>
      </c>
      <c r="C22170" s="7" t="n">
        <v>0</v>
      </c>
      <c r="D22170" s="7" t="n">
        <v>17</v>
      </c>
      <c r="E22170" s="7" t="n">
        <v>64790</v>
      </c>
      <c r="F22170" s="7" t="s">
        <v>1818</v>
      </c>
      <c r="G22170" s="7" t="n">
        <v>2</v>
      </c>
      <c r="H22170" s="7" t="n">
        <v>3</v>
      </c>
      <c r="I22170" s="7" t="n">
        <v>17</v>
      </c>
      <c r="J22170" s="7" t="n">
        <v>64791</v>
      </c>
      <c r="K22170" s="7" t="s">
        <v>1819</v>
      </c>
      <c r="L22170" s="7" t="n">
        <v>2</v>
      </c>
      <c r="M22170" s="7" t="n">
        <v>3</v>
      </c>
      <c r="N22170" s="7" t="n">
        <v>17</v>
      </c>
      <c r="O22170" s="7" t="n">
        <v>64792</v>
      </c>
      <c r="P22170" s="7" t="s">
        <v>1820</v>
      </c>
      <c r="Q22170" s="7" t="n">
        <v>2</v>
      </c>
      <c r="R22170" s="7" t="n">
        <v>0</v>
      </c>
    </row>
    <row r="22171" spans="1:9">
      <c r="A22171" t="s">
        <v>4</v>
      </c>
      <c r="B22171" s="4" t="s">
        <v>5</v>
      </c>
    </row>
    <row r="22172" spans="1:9">
      <c r="A22172" t="n">
        <v>214073</v>
      </c>
      <c r="B22172" s="27" t="n">
        <v>28</v>
      </c>
    </row>
    <row r="22173" spans="1:9">
      <c r="A22173" t="s">
        <v>4</v>
      </c>
      <c r="B22173" s="4" t="s">
        <v>5</v>
      </c>
      <c r="C22173" s="4" t="s">
        <v>11</v>
      </c>
      <c r="D22173" s="4" t="s">
        <v>7</v>
      </c>
    </row>
    <row r="22174" spans="1:9">
      <c r="A22174" t="n">
        <v>214074</v>
      </c>
      <c r="B22174" s="68" t="n">
        <v>89</v>
      </c>
      <c r="C22174" s="7" t="n">
        <v>65533</v>
      </c>
      <c r="D22174" s="7" t="n">
        <v>1</v>
      </c>
    </row>
    <row r="22175" spans="1:9">
      <c r="A22175" t="s">
        <v>4</v>
      </c>
      <c r="B22175" s="4" t="s">
        <v>5</v>
      </c>
      <c r="C22175" s="4" t="s">
        <v>7</v>
      </c>
      <c r="D22175" s="4" t="s">
        <v>11</v>
      </c>
      <c r="E22175" s="4" t="s">
        <v>8</v>
      </c>
      <c r="F22175" s="4" t="s">
        <v>8</v>
      </c>
      <c r="G22175" s="4" t="s">
        <v>8</v>
      </c>
      <c r="H22175" s="4" t="s">
        <v>8</v>
      </c>
    </row>
    <row r="22176" spans="1:9">
      <c r="A22176" t="n">
        <v>214078</v>
      </c>
      <c r="B22176" s="38" t="n">
        <v>51</v>
      </c>
      <c r="C22176" s="7" t="n">
        <v>3</v>
      </c>
      <c r="D22176" s="7" t="n">
        <v>0</v>
      </c>
      <c r="E22176" s="7" t="s">
        <v>372</v>
      </c>
      <c r="F22176" s="7" t="s">
        <v>99</v>
      </c>
      <c r="G22176" s="7" t="s">
        <v>78</v>
      </c>
      <c r="H22176" s="7" t="s">
        <v>79</v>
      </c>
    </row>
    <row r="22177" spans="1:18">
      <c r="A22177" t="s">
        <v>4</v>
      </c>
      <c r="B22177" s="4" t="s">
        <v>5</v>
      </c>
      <c r="C22177" s="4" t="s">
        <v>11</v>
      </c>
      <c r="D22177" s="4" t="s">
        <v>7</v>
      </c>
      <c r="E22177" s="4" t="s">
        <v>13</v>
      </c>
      <c r="F22177" s="4" t="s">
        <v>11</v>
      </c>
    </row>
    <row r="22178" spans="1:18">
      <c r="A22178" t="n">
        <v>214091</v>
      </c>
      <c r="B22178" s="56" t="n">
        <v>59</v>
      </c>
      <c r="C22178" s="7" t="n">
        <v>0</v>
      </c>
      <c r="D22178" s="7" t="n">
        <v>9</v>
      </c>
      <c r="E22178" s="7" t="n">
        <v>0.150000005960464</v>
      </c>
      <c r="F22178" s="7" t="n">
        <v>0</v>
      </c>
    </row>
    <row r="22179" spans="1:18">
      <c r="A22179" t="s">
        <v>4</v>
      </c>
      <c r="B22179" s="4" t="s">
        <v>5</v>
      </c>
      <c r="C22179" s="4" t="s">
        <v>11</v>
      </c>
    </row>
    <row r="22180" spans="1:18">
      <c r="A22180" t="n">
        <v>214101</v>
      </c>
      <c r="B22180" s="29" t="n">
        <v>16</v>
      </c>
      <c r="C22180" s="7" t="n">
        <v>2000</v>
      </c>
    </row>
    <row r="22181" spans="1:18">
      <c r="A22181" t="s">
        <v>4</v>
      </c>
      <c r="B22181" s="4" t="s">
        <v>5</v>
      </c>
      <c r="C22181" s="4" t="s">
        <v>7</v>
      </c>
      <c r="D22181" s="4" t="s">
        <v>11</v>
      </c>
      <c r="E22181" s="4" t="s">
        <v>8</v>
      </c>
    </row>
    <row r="22182" spans="1:18">
      <c r="A22182" t="n">
        <v>214104</v>
      </c>
      <c r="B22182" s="38" t="n">
        <v>51</v>
      </c>
      <c r="C22182" s="7" t="n">
        <v>4</v>
      </c>
      <c r="D22182" s="7" t="n">
        <v>0</v>
      </c>
      <c r="E22182" s="7" t="s">
        <v>16</v>
      </c>
    </row>
    <row r="22183" spans="1:18">
      <c r="A22183" t="s">
        <v>4</v>
      </c>
      <c r="B22183" s="4" t="s">
        <v>5</v>
      </c>
      <c r="C22183" s="4" t="s">
        <v>11</v>
      </c>
    </row>
    <row r="22184" spans="1:18">
      <c r="A22184" t="n">
        <v>214109</v>
      </c>
      <c r="B22184" s="29" t="n">
        <v>16</v>
      </c>
      <c r="C22184" s="7" t="n">
        <v>0</v>
      </c>
    </row>
    <row r="22185" spans="1:18">
      <c r="A22185" t="s">
        <v>4</v>
      </c>
      <c r="B22185" s="4" t="s">
        <v>5</v>
      </c>
      <c r="C22185" s="4" t="s">
        <v>11</v>
      </c>
      <c r="D22185" s="4" t="s">
        <v>7</v>
      </c>
      <c r="E22185" s="4" t="s">
        <v>15</v>
      </c>
      <c r="F22185" s="4" t="s">
        <v>55</v>
      </c>
      <c r="G22185" s="4" t="s">
        <v>7</v>
      </c>
      <c r="H22185" s="4" t="s">
        <v>7</v>
      </c>
      <c r="I22185" s="4" t="s">
        <v>7</v>
      </c>
      <c r="J22185" s="4" t="s">
        <v>15</v>
      </c>
      <c r="K22185" s="4" t="s">
        <v>55</v>
      </c>
      <c r="L22185" s="4" t="s">
        <v>7</v>
      </c>
      <c r="M22185" s="4" t="s">
        <v>7</v>
      </c>
      <c r="N22185" s="4" t="s">
        <v>7</v>
      </c>
      <c r="O22185" s="4" t="s">
        <v>15</v>
      </c>
      <c r="P22185" s="4" t="s">
        <v>55</v>
      </c>
      <c r="Q22185" s="4" t="s">
        <v>7</v>
      </c>
      <c r="R22185" s="4" t="s">
        <v>7</v>
      </c>
      <c r="S22185" s="4" t="s">
        <v>7</v>
      </c>
      <c r="T22185" s="4" t="s">
        <v>15</v>
      </c>
      <c r="U22185" s="4" t="s">
        <v>55</v>
      </c>
      <c r="V22185" s="4" t="s">
        <v>7</v>
      </c>
      <c r="W22185" s="4" t="s">
        <v>7</v>
      </c>
    </row>
    <row r="22186" spans="1:18">
      <c r="A22186" t="n">
        <v>214112</v>
      </c>
      <c r="B22186" s="55" t="n">
        <v>26</v>
      </c>
      <c r="C22186" s="7" t="n">
        <v>0</v>
      </c>
      <c r="D22186" s="7" t="n">
        <v>17</v>
      </c>
      <c r="E22186" s="7" t="n">
        <v>64793</v>
      </c>
      <c r="F22186" s="7" t="s">
        <v>1821</v>
      </c>
      <c r="G22186" s="7" t="n">
        <v>2</v>
      </c>
      <c r="H22186" s="7" t="n">
        <v>3</v>
      </c>
      <c r="I22186" s="7" t="n">
        <v>17</v>
      </c>
      <c r="J22186" s="7" t="n">
        <v>64794</v>
      </c>
      <c r="K22186" s="7" t="s">
        <v>1822</v>
      </c>
      <c r="L22186" s="7" t="n">
        <v>2</v>
      </c>
      <c r="M22186" s="7" t="n">
        <v>3</v>
      </c>
      <c r="N22186" s="7" t="n">
        <v>17</v>
      </c>
      <c r="O22186" s="7" t="n">
        <v>64795</v>
      </c>
      <c r="P22186" s="7" t="s">
        <v>1823</v>
      </c>
      <c r="Q22186" s="7" t="n">
        <v>2</v>
      </c>
      <c r="R22186" s="7" t="n">
        <v>3</v>
      </c>
      <c r="S22186" s="7" t="n">
        <v>17</v>
      </c>
      <c r="T22186" s="7" t="n">
        <v>64796</v>
      </c>
      <c r="U22186" s="7" t="s">
        <v>1824</v>
      </c>
      <c r="V22186" s="7" t="n">
        <v>2</v>
      </c>
      <c r="W22186" s="7" t="n">
        <v>0</v>
      </c>
    </row>
    <row r="22187" spans="1:18">
      <c r="A22187" t="s">
        <v>4</v>
      </c>
      <c r="B22187" s="4" t="s">
        <v>5</v>
      </c>
    </row>
    <row r="22188" spans="1:18">
      <c r="A22188" t="n">
        <v>214534</v>
      </c>
      <c r="B22188" s="27" t="n">
        <v>28</v>
      </c>
    </row>
    <row r="22189" spans="1:18">
      <c r="A22189" t="s">
        <v>4</v>
      </c>
      <c r="B22189" s="4" t="s">
        <v>5</v>
      </c>
      <c r="C22189" s="4" t="s">
        <v>11</v>
      </c>
      <c r="D22189" s="4" t="s">
        <v>7</v>
      </c>
    </row>
    <row r="22190" spans="1:18">
      <c r="A22190" t="n">
        <v>214535</v>
      </c>
      <c r="B22190" s="68" t="n">
        <v>89</v>
      </c>
      <c r="C22190" s="7" t="n">
        <v>65533</v>
      </c>
      <c r="D22190" s="7" t="n">
        <v>1</v>
      </c>
    </row>
    <row r="22191" spans="1:18">
      <c r="A22191" t="s">
        <v>4</v>
      </c>
      <c r="B22191" s="4" t="s">
        <v>5</v>
      </c>
      <c r="C22191" s="4" t="s">
        <v>7</v>
      </c>
      <c r="D22191" s="4" t="s">
        <v>11</v>
      </c>
      <c r="E22191" s="4" t="s">
        <v>8</v>
      </c>
      <c r="F22191" s="4" t="s">
        <v>8</v>
      </c>
      <c r="G22191" s="4" t="s">
        <v>8</v>
      </c>
      <c r="H22191" s="4" t="s">
        <v>8</v>
      </c>
    </row>
    <row r="22192" spans="1:18">
      <c r="A22192" t="n">
        <v>214539</v>
      </c>
      <c r="B22192" s="38" t="n">
        <v>51</v>
      </c>
      <c r="C22192" s="7" t="n">
        <v>3</v>
      </c>
      <c r="D22192" s="7" t="n">
        <v>0</v>
      </c>
      <c r="E22192" s="7" t="s">
        <v>99</v>
      </c>
      <c r="F22192" s="7" t="s">
        <v>99</v>
      </c>
      <c r="G22192" s="7" t="s">
        <v>78</v>
      </c>
      <c r="H22192" s="7" t="s">
        <v>79</v>
      </c>
    </row>
    <row r="22193" spans="1:23">
      <c r="A22193" t="s">
        <v>4</v>
      </c>
      <c r="B22193" s="4" t="s">
        <v>5</v>
      </c>
      <c r="C22193" s="4" t="s">
        <v>11</v>
      </c>
    </row>
    <row r="22194" spans="1:23">
      <c r="A22194" t="n">
        <v>214552</v>
      </c>
      <c r="B22194" s="29" t="n">
        <v>16</v>
      </c>
      <c r="C22194" s="7" t="n">
        <v>300</v>
      </c>
    </row>
    <row r="22195" spans="1:23">
      <c r="A22195" t="s">
        <v>4</v>
      </c>
      <c r="B22195" s="4" t="s">
        <v>5</v>
      </c>
      <c r="C22195" s="4" t="s">
        <v>11</v>
      </c>
      <c r="D22195" s="4" t="s">
        <v>13</v>
      </c>
      <c r="E22195" s="4" t="s">
        <v>13</v>
      </c>
      <c r="F22195" s="4" t="s">
        <v>7</v>
      </c>
    </row>
    <row r="22196" spans="1:23">
      <c r="A22196" t="n">
        <v>214555</v>
      </c>
      <c r="B22196" s="65" t="n">
        <v>52</v>
      </c>
      <c r="C22196" s="7" t="n">
        <v>0</v>
      </c>
      <c r="D22196" s="7" t="n">
        <v>90</v>
      </c>
      <c r="E22196" s="7" t="n">
        <v>5</v>
      </c>
      <c r="F22196" s="7" t="n">
        <v>0</v>
      </c>
    </row>
    <row r="22197" spans="1:23">
      <c r="A22197" t="s">
        <v>4</v>
      </c>
      <c r="B22197" s="4" t="s">
        <v>5</v>
      </c>
      <c r="C22197" s="4" t="s">
        <v>11</v>
      </c>
    </row>
    <row r="22198" spans="1:23">
      <c r="A22198" t="n">
        <v>214567</v>
      </c>
      <c r="B22198" s="66" t="n">
        <v>54</v>
      </c>
      <c r="C22198" s="7" t="n">
        <v>0</v>
      </c>
    </row>
    <row r="22199" spans="1:23">
      <c r="A22199" t="s">
        <v>4</v>
      </c>
      <c r="B22199" s="4" t="s">
        <v>5</v>
      </c>
      <c r="C22199" s="4" t="s">
        <v>11</v>
      </c>
    </row>
    <row r="22200" spans="1:23">
      <c r="A22200" t="n">
        <v>214570</v>
      </c>
      <c r="B22200" s="29" t="n">
        <v>16</v>
      </c>
      <c r="C22200" s="7" t="n">
        <v>400</v>
      </c>
    </row>
    <row r="22201" spans="1:23">
      <c r="A22201" t="s">
        <v>4</v>
      </c>
      <c r="B22201" s="4" t="s">
        <v>5</v>
      </c>
      <c r="C22201" s="4" t="s">
        <v>11</v>
      </c>
      <c r="D22201" s="4" t="s">
        <v>11</v>
      </c>
      <c r="E22201" s="4" t="s">
        <v>13</v>
      </c>
      <c r="F22201" s="4" t="s">
        <v>13</v>
      </c>
      <c r="G22201" s="4" t="s">
        <v>13</v>
      </c>
      <c r="H22201" s="4" t="s">
        <v>13</v>
      </c>
      <c r="I22201" s="4" t="s">
        <v>7</v>
      </c>
      <c r="J22201" s="4" t="s">
        <v>11</v>
      </c>
    </row>
    <row r="22202" spans="1:23">
      <c r="A22202" t="n">
        <v>214573</v>
      </c>
      <c r="B22202" s="53" t="n">
        <v>55</v>
      </c>
      <c r="C22202" s="7" t="n">
        <v>0</v>
      </c>
      <c r="D22202" s="7" t="n">
        <v>65024</v>
      </c>
      <c r="E22202" s="7" t="n">
        <v>0</v>
      </c>
      <c r="F22202" s="7" t="n">
        <v>0</v>
      </c>
      <c r="G22202" s="7" t="n">
        <v>1.89999997615814</v>
      </c>
      <c r="H22202" s="7" t="n">
        <v>0.600000023841858</v>
      </c>
      <c r="I22202" s="7" t="n">
        <v>1</v>
      </c>
      <c r="J22202" s="7" t="n">
        <v>0</v>
      </c>
    </row>
    <row r="22203" spans="1:23">
      <c r="A22203" t="s">
        <v>4</v>
      </c>
      <c r="B22203" s="4" t="s">
        <v>5</v>
      </c>
      <c r="C22203" s="4" t="s">
        <v>7</v>
      </c>
      <c r="D22203" s="4" t="s">
        <v>7</v>
      </c>
      <c r="E22203" s="4" t="s">
        <v>13</v>
      </c>
      <c r="F22203" s="4" t="s">
        <v>11</v>
      </c>
    </row>
    <row r="22204" spans="1:23">
      <c r="A22204" t="n">
        <v>214597</v>
      </c>
      <c r="B22204" s="51" t="n">
        <v>45</v>
      </c>
      <c r="C22204" s="7" t="n">
        <v>5</v>
      </c>
      <c r="D22204" s="7" t="n">
        <v>3</v>
      </c>
      <c r="E22204" s="7" t="n">
        <v>1.89999997615814</v>
      </c>
      <c r="F22204" s="7" t="n">
        <v>2500</v>
      </c>
    </row>
    <row r="22205" spans="1:23">
      <c r="A22205" t="s">
        <v>4</v>
      </c>
      <c r="B22205" s="4" t="s">
        <v>5</v>
      </c>
      <c r="C22205" s="4" t="s">
        <v>11</v>
      </c>
    </row>
    <row r="22206" spans="1:23">
      <c r="A22206" t="n">
        <v>214606</v>
      </c>
      <c r="B22206" s="29" t="n">
        <v>16</v>
      </c>
      <c r="C22206" s="7" t="n">
        <v>500</v>
      </c>
    </row>
    <row r="22207" spans="1:23">
      <c r="A22207" t="s">
        <v>4</v>
      </c>
      <c r="B22207" s="4" t="s">
        <v>5</v>
      </c>
      <c r="C22207" s="4" t="s">
        <v>7</v>
      </c>
      <c r="D22207" s="4" t="s">
        <v>11</v>
      </c>
      <c r="E22207" s="4" t="s">
        <v>13</v>
      </c>
    </row>
    <row r="22208" spans="1:23">
      <c r="A22208" t="n">
        <v>214609</v>
      </c>
      <c r="B22208" s="23" t="n">
        <v>58</v>
      </c>
      <c r="C22208" s="7" t="n">
        <v>0</v>
      </c>
      <c r="D22208" s="7" t="n">
        <v>2000</v>
      </c>
      <c r="E22208" s="7" t="n">
        <v>1</v>
      </c>
    </row>
    <row r="22209" spans="1:10">
      <c r="A22209" t="s">
        <v>4</v>
      </c>
      <c r="B22209" s="4" t="s">
        <v>5</v>
      </c>
      <c r="C22209" s="4" t="s">
        <v>7</v>
      </c>
      <c r="D22209" s="4" t="s">
        <v>11</v>
      </c>
    </row>
    <row r="22210" spans="1:10">
      <c r="A22210" t="n">
        <v>214617</v>
      </c>
      <c r="B22210" s="23" t="n">
        <v>58</v>
      </c>
      <c r="C22210" s="7" t="n">
        <v>255</v>
      </c>
      <c r="D22210" s="7" t="n">
        <v>0</v>
      </c>
    </row>
    <row r="22211" spans="1:10">
      <c r="A22211" t="s">
        <v>4</v>
      </c>
      <c r="B22211" s="4" t="s">
        <v>5</v>
      </c>
      <c r="C22211" s="4" t="s">
        <v>7</v>
      </c>
      <c r="D22211" s="4" t="s">
        <v>13</v>
      </c>
      <c r="E22211" s="4" t="s">
        <v>11</v>
      </c>
      <c r="F22211" s="4" t="s">
        <v>7</v>
      </c>
    </row>
    <row r="22212" spans="1:10">
      <c r="A22212" t="n">
        <v>214621</v>
      </c>
      <c r="B22212" s="13" t="n">
        <v>49</v>
      </c>
      <c r="C22212" s="7" t="n">
        <v>3</v>
      </c>
      <c r="D22212" s="7" t="n">
        <v>1</v>
      </c>
      <c r="E22212" s="7" t="n">
        <v>500</v>
      </c>
      <c r="F22212" s="7" t="n">
        <v>0</v>
      </c>
    </row>
    <row r="22213" spans="1:10">
      <c r="A22213" t="s">
        <v>4</v>
      </c>
      <c r="B22213" s="4" t="s">
        <v>5</v>
      </c>
      <c r="C22213" s="4" t="s">
        <v>11</v>
      </c>
      <c r="D22213" s="4" t="s">
        <v>7</v>
      </c>
    </row>
    <row r="22214" spans="1:10">
      <c r="A22214" t="n">
        <v>214630</v>
      </c>
      <c r="B22214" s="54" t="n">
        <v>56</v>
      </c>
      <c r="C22214" s="7" t="n">
        <v>0</v>
      </c>
      <c r="D22214" s="7" t="n">
        <v>1</v>
      </c>
    </row>
    <row r="22215" spans="1:10">
      <c r="A22215" t="s">
        <v>4</v>
      </c>
      <c r="B22215" s="4" t="s">
        <v>5</v>
      </c>
      <c r="C22215" s="4" t="s">
        <v>11</v>
      </c>
    </row>
    <row r="22216" spans="1:10">
      <c r="A22216" t="n">
        <v>214634</v>
      </c>
      <c r="B22216" s="29" t="n">
        <v>16</v>
      </c>
      <c r="C22216" s="7" t="n">
        <v>1000</v>
      </c>
    </row>
    <row r="22217" spans="1:10">
      <c r="A22217" t="s">
        <v>4</v>
      </c>
      <c r="B22217" s="4" t="s">
        <v>5</v>
      </c>
      <c r="C22217" s="4" t="s">
        <v>7</v>
      </c>
    </row>
    <row r="22218" spans="1:10">
      <c r="A22218" t="n">
        <v>214637</v>
      </c>
      <c r="B22218" s="28" t="n">
        <v>78</v>
      </c>
      <c r="C22218" s="7" t="n">
        <v>255</v>
      </c>
    </row>
    <row r="22219" spans="1:10">
      <c r="A22219" t="s">
        <v>4</v>
      </c>
      <c r="B22219" s="4" t="s">
        <v>5</v>
      </c>
      <c r="C22219" s="4" t="s">
        <v>11</v>
      </c>
    </row>
    <row r="22220" spans="1:10">
      <c r="A22220" t="n">
        <v>214639</v>
      </c>
      <c r="B22220" s="43" t="n">
        <v>12</v>
      </c>
      <c r="C22220" s="7" t="n">
        <v>10317</v>
      </c>
    </row>
    <row r="22221" spans="1:10">
      <c r="A22221" t="s">
        <v>4</v>
      </c>
      <c r="B22221" s="4" t="s">
        <v>5</v>
      </c>
      <c r="C22221" s="4" t="s">
        <v>8</v>
      </c>
      <c r="D22221" s="4" t="s">
        <v>8</v>
      </c>
    </row>
    <row r="22222" spans="1:10">
      <c r="A22222" t="n">
        <v>214642</v>
      </c>
      <c r="B22222" s="52" t="n">
        <v>70</v>
      </c>
      <c r="C22222" s="7" t="s">
        <v>25</v>
      </c>
      <c r="D22222" s="7" t="s">
        <v>118</v>
      </c>
    </row>
    <row r="22223" spans="1:10">
      <c r="A22223" t="s">
        <v>4</v>
      </c>
      <c r="B22223" s="4" t="s">
        <v>5</v>
      </c>
      <c r="C22223" s="4" t="s">
        <v>7</v>
      </c>
      <c r="D22223" s="4" t="s">
        <v>8</v>
      </c>
      <c r="E22223" s="4" t="s">
        <v>11</v>
      </c>
    </row>
    <row r="22224" spans="1:10">
      <c r="A22224" t="n">
        <v>214658</v>
      </c>
      <c r="B22224" s="15" t="n">
        <v>94</v>
      </c>
      <c r="C22224" s="7" t="n">
        <v>1</v>
      </c>
      <c r="D22224" s="7" t="s">
        <v>25</v>
      </c>
      <c r="E22224" s="7" t="n">
        <v>16</v>
      </c>
    </row>
    <row r="22225" spans="1:6">
      <c r="A22225" t="s">
        <v>4</v>
      </c>
      <c r="B22225" s="4" t="s">
        <v>5</v>
      </c>
      <c r="C22225" s="4" t="s">
        <v>7</v>
      </c>
      <c r="D22225" s="4" t="s">
        <v>8</v>
      </c>
      <c r="E22225" s="4" t="s">
        <v>11</v>
      </c>
    </row>
    <row r="22226" spans="1:6">
      <c r="A22226" t="n">
        <v>214672</v>
      </c>
      <c r="B22226" s="15" t="n">
        <v>94</v>
      </c>
      <c r="C22226" s="7" t="n">
        <v>1</v>
      </c>
      <c r="D22226" s="7" t="s">
        <v>25</v>
      </c>
      <c r="E22226" s="7" t="n">
        <v>512</v>
      </c>
    </row>
    <row r="22227" spans="1:6">
      <c r="A22227" t="s">
        <v>4</v>
      </c>
      <c r="B22227" s="4" t="s">
        <v>5</v>
      </c>
      <c r="C22227" s="4" t="s">
        <v>11</v>
      </c>
      <c r="D22227" s="4" t="s">
        <v>13</v>
      </c>
      <c r="E22227" s="4" t="s">
        <v>13</v>
      </c>
      <c r="F22227" s="4" t="s">
        <v>13</v>
      </c>
      <c r="G22227" s="4" t="s">
        <v>13</v>
      </c>
    </row>
    <row r="22228" spans="1:6">
      <c r="A22228" t="n">
        <v>214686</v>
      </c>
      <c r="B22228" s="36" t="n">
        <v>46</v>
      </c>
      <c r="C22228" s="7" t="n">
        <v>61456</v>
      </c>
      <c r="D22228" s="7" t="n">
        <v>-9.15999984741211</v>
      </c>
      <c r="E22228" s="7" t="n">
        <v>5</v>
      </c>
      <c r="F22228" s="7" t="n">
        <v>32.0400009155273</v>
      </c>
      <c r="G22228" s="7" t="n">
        <v>90</v>
      </c>
    </row>
    <row r="22229" spans="1:6">
      <c r="A22229" t="s">
        <v>4</v>
      </c>
      <c r="B22229" s="4" t="s">
        <v>5</v>
      </c>
      <c r="C22229" s="4" t="s">
        <v>7</v>
      </c>
      <c r="D22229" s="4" t="s">
        <v>7</v>
      </c>
      <c r="E22229" s="4" t="s">
        <v>13</v>
      </c>
      <c r="F22229" s="4" t="s">
        <v>13</v>
      </c>
      <c r="G22229" s="4" t="s">
        <v>13</v>
      </c>
      <c r="H22229" s="4" t="s">
        <v>11</v>
      </c>
      <c r="I22229" s="4" t="s">
        <v>7</v>
      </c>
    </row>
    <row r="22230" spans="1:6">
      <c r="A22230" t="n">
        <v>214705</v>
      </c>
      <c r="B22230" s="51" t="n">
        <v>45</v>
      </c>
      <c r="C22230" s="7" t="n">
        <v>4</v>
      </c>
      <c r="D22230" s="7" t="n">
        <v>3</v>
      </c>
      <c r="E22230" s="7" t="n">
        <v>4.55999994277954</v>
      </c>
      <c r="F22230" s="7" t="n">
        <v>76.9899978637695</v>
      </c>
      <c r="G22230" s="7" t="n">
        <v>0</v>
      </c>
      <c r="H22230" s="7" t="n">
        <v>0</v>
      </c>
      <c r="I22230" s="7" t="n">
        <v>0</v>
      </c>
    </row>
    <row r="22231" spans="1:6">
      <c r="A22231" t="s">
        <v>4</v>
      </c>
      <c r="B22231" s="4" t="s">
        <v>5</v>
      </c>
      <c r="C22231" s="4" t="s">
        <v>7</v>
      </c>
      <c r="D22231" s="4" t="s">
        <v>8</v>
      </c>
    </row>
    <row r="22232" spans="1:6">
      <c r="A22232" t="n">
        <v>214723</v>
      </c>
      <c r="B22232" s="6" t="n">
        <v>2</v>
      </c>
      <c r="C22232" s="7" t="n">
        <v>10</v>
      </c>
      <c r="D22232" s="7" t="s">
        <v>119</v>
      </c>
    </row>
    <row r="22233" spans="1:6">
      <c r="A22233" t="s">
        <v>4</v>
      </c>
      <c r="B22233" s="4" t="s">
        <v>5</v>
      </c>
      <c r="C22233" s="4" t="s">
        <v>11</v>
      </c>
    </row>
    <row r="22234" spans="1:6">
      <c r="A22234" t="n">
        <v>214738</v>
      </c>
      <c r="B22234" s="29" t="n">
        <v>16</v>
      </c>
      <c r="C22234" s="7" t="n">
        <v>0</v>
      </c>
    </row>
    <row r="22235" spans="1:6">
      <c r="A22235" t="s">
        <v>4</v>
      </c>
      <c r="B22235" s="4" t="s">
        <v>5</v>
      </c>
      <c r="C22235" s="4" t="s">
        <v>7</v>
      </c>
      <c r="D22235" s="4" t="s">
        <v>11</v>
      </c>
    </row>
    <row r="22236" spans="1:6">
      <c r="A22236" t="n">
        <v>214741</v>
      </c>
      <c r="B22236" s="23" t="n">
        <v>58</v>
      </c>
      <c r="C22236" s="7" t="n">
        <v>105</v>
      </c>
      <c r="D22236" s="7" t="n">
        <v>300</v>
      </c>
    </row>
    <row r="22237" spans="1:6">
      <c r="A22237" t="s">
        <v>4</v>
      </c>
      <c r="B22237" s="4" t="s">
        <v>5</v>
      </c>
      <c r="C22237" s="4" t="s">
        <v>13</v>
      </c>
      <c r="D22237" s="4" t="s">
        <v>11</v>
      </c>
    </row>
    <row r="22238" spans="1:6">
      <c r="A22238" t="n">
        <v>214745</v>
      </c>
      <c r="B22238" s="46" t="n">
        <v>103</v>
      </c>
      <c r="C22238" s="7" t="n">
        <v>1</v>
      </c>
      <c r="D22238" s="7" t="n">
        <v>300</v>
      </c>
    </row>
    <row r="22239" spans="1:6">
      <c r="A22239" t="s">
        <v>4</v>
      </c>
      <c r="B22239" s="4" t="s">
        <v>5</v>
      </c>
      <c r="C22239" s="4" t="s">
        <v>7</v>
      </c>
      <c r="D22239" s="4" t="s">
        <v>11</v>
      </c>
    </row>
    <row r="22240" spans="1:6">
      <c r="A22240" t="n">
        <v>214752</v>
      </c>
      <c r="B22240" s="48" t="n">
        <v>72</v>
      </c>
      <c r="C22240" s="7" t="n">
        <v>4</v>
      </c>
      <c r="D22240" s="7" t="n">
        <v>0</v>
      </c>
    </row>
    <row r="22241" spans="1:9">
      <c r="A22241" t="s">
        <v>4</v>
      </c>
      <c r="B22241" s="4" t="s">
        <v>5</v>
      </c>
      <c r="C22241" s="4" t="s">
        <v>15</v>
      </c>
    </row>
    <row r="22242" spans="1:9">
      <c r="A22242" t="n">
        <v>214756</v>
      </c>
      <c r="B22242" s="61" t="n">
        <v>15</v>
      </c>
      <c r="C22242" s="7" t="n">
        <v>1073741824</v>
      </c>
    </row>
    <row r="22243" spans="1:9">
      <c r="A22243" t="s">
        <v>4</v>
      </c>
      <c r="B22243" s="4" t="s">
        <v>5</v>
      </c>
      <c r="C22243" s="4" t="s">
        <v>7</v>
      </c>
    </row>
    <row r="22244" spans="1:9">
      <c r="A22244" t="n">
        <v>214761</v>
      </c>
      <c r="B22244" s="47" t="n">
        <v>64</v>
      </c>
      <c r="C22244" s="7" t="n">
        <v>3</v>
      </c>
    </row>
    <row r="22245" spans="1:9">
      <c r="A22245" t="s">
        <v>4</v>
      </c>
      <c r="B22245" s="4" t="s">
        <v>5</v>
      </c>
      <c r="C22245" s="4" t="s">
        <v>7</v>
      </c>
    </row>
    <row r="22246" spans="1:9">
      <c r="A22246" t="n">
        <v>214763</v>
      </c>
      <c r="B22246" s="45" t="n">
        <v>74</v>
      </c>
      <c r="C22246" s="7" t="n">
        <v>67</v>
      </c>
    </row>
    <row r="22247" spans="1:9">
      <c r="A22247" t="s">
        <v>4</v>
      </c>
      <c r="B22247" s="4" t="s">
        <v>5</v>
      </c>
      <c r="C22247" s="4" t="s">
        <v>7</v>
      </c>
      <c r="D22247" s="4" t="s">
        <v>7</v>
      </c>
      <c r="E22247" s="4" t="s">
        <v>11</v>
      </c>
    </row>
    <row r="22248" spans="1:9">
      <c r="A22248" t="n">
        <v>214765</v>
      </c>
      <c r="B22248" s="51" t="n">
        <v>45</v>
      </c>
      <c r="C22248" s="7" t="n">
        <v>8</v>
      </c>
      <c r="D22248" s="7" t="n">
        <v>1</v>
      </c>
      <c r="E22248" s="7" t="n">
        <v>0</v>
      </c>
    </row>
    <row r="22249" spans="1:9">
      <c r="A22249" t="s">
        <v>4</v>
      </c>
      <c r="B22249" s="4" t="s">
        <v>5</v>
      </c>
      <c r="C22249" s="4" t="s">
        <v>11</v>
      </c>
    </row>
    <row r="22250" spans="1:9">
      <c r="A22250" t="n">
        <v>214770</v>
      </c>
      <c r="B22250" s="12" t="n">
        <v>13</v>
      </c>
      <c r="C22250" s="7" t="n">
        <v>6409</v>
      </c>
    </row>
    <row r="22251" spans="1:9">
      <c r="A22251" t="s">
        <v>4</v>
      </c>
      <c r="B22251" s="4" t="s">
        <v>5</v>
      </c>
      <c r="C22251" s="4" t="s">
        <v>11</v>
      </c>
    </row>
    <row r="22252" spans="1:9">
      <c r="A22252" t="n">
        <v>214773</v>
      </c>
      <c r="B22252" s="12" t="n">
        <v>13</v>
      </c>
      <c r="C22252" s="7" t="n">
        <v>6408</v>
      </c>
    </row>
    <row r="22253" spans="1:9">
      <c r="A22253" t="s">
        <v>4</v>
      </c>
      <c r="B22253" s="4" t="s">
        <v>5</v>
      </c>
      <c r="C22253" s="4" t="s">
        <v>11</v>
      </c>
    </row>
    <row r="22254" spans="1:9">
      <c r="A22254" t="n">
        <v>214776</v>
      </c>
      <c r="B22254" s="43" t="n">
        <v>12</v>
      </c>
      <c r="C22254" s="7" t="n">
        <v>6464</v>
      </c>
    </row>
    <row r="22255" spans="1:9">
      <c r="A22255" t="s">
        <v>4</v>
      </c>
      <c r="B22255" s="4" t="s">
        <v>5</v>
      </c>
      <c r="C22255" s="4" t="s">
        <v>11</v>
      </c>
    </row>
    <row r="22256" spans="1:9">
      <c r="A22256" t="n">
        <v>214779</v>
      </c>
      <c r="B22256" s="12" t="n">
        <v>13</v>
      </c>
      <c r="C22256" s="7" t="n">
        <v>6465</v>
      </c>
    </row>
    <row r="22257" spans="1:5">
      <c r="A22257" t="s">
        <v>4</v>
      </c>
      <c r="B22257" s="4" t="s">
        <v>5</v>
      </c>
      <c r="C22257" s="4" t="s">
        <v>11</v>
      </c>
    </row>
    <row r="22258" spans="1:5">
      <c r="A22258" t="n">
        <v>214782</v>
      </c>
      <c r="B22258" s="12" t="n">
        <v>13</v>
      </c>
      <c r="C22258" s="7" t="n">
        <v>6466</v>
      </c>
    </row>
    <row r="22259" spans="1:5">
      <c r="A22259" t="s">
        <v>4</v>
      </c>
      <c r="B22259" s="4" t="s">
        <v>5</v>
      </c>
      <c r="C22259" s="4" t="s">
        <v>11</v>
      </c>
    </row>
    <row r="22260" spans="1:5">
      <c r="A22260" t="n">
        <v>214785</v>
      </c>
      <c r="B22260" s="12" t="n">
        <v>13</v>
      </c>
      <c r="C22260" s="7" t="n">
        <v>6467</v>
      </c>
    </row>
    <row r="22261" spans="1:5">
      <c r="A22261" t="s">
        <v>4</v>
      </c>
      <c r="B22261" s="4" t="s">
        <v>5</v>
      </c>
      <c r="C22261" s="4" t="s">
        <v>11</v>
      </c>
    </row>
    <row r="22262" spans="1:5">
      <c r="A22262" t="n">
        <v>214788</v>
      </c>
      <c r="B22262" s="12" t="n">
        <v>13</v>
      </c>
      <c r="C22262" s="7" t="n">
        <v>6468</v>
      </c>
    </row>
    <row r="22263" spans="1:5">
      <c r="A22263" t="s">
        <v>4</v>
      </c>
      <c r="B22263" s="4" t="s">
        <v>5</v>
      </c>
      <c r="C22263" s="4" t="s">
        <v>11</v>
      </c>
    </row>
    <row r="22264" spans="1:5">
      <c r="A22264" t="n">
        <v>214791</v>
      </c>
      <c r="B22264" s="12" t="n">
        <v>13</v>
      </c>
      <c r="C22264" s="7" t="n">
        <v>6469</v>
      </c>
    </row>
    <row r="22265" spans="1:5">
      <c r="A22265" t="s">
        <v>4</v>
      </c>
      <c r="B22265" s="4" t="s">
        <v>5</v>
      </c>
      <c r="C22265" s="4" t="s">
        <v>11</v>
      </c>
    </row>
    <row r="22266" spans="1:5">
      <c r="A22266" t="n">
        <v>214794</v>
      </c>
      <c r="B22266" s="12" t="n">
        <v>13</v>
      </c>
      <c r="C22266" s="7" t="n">
        <v>6470</v>
      </c>
    </row>
    <row r="22267" spans="1:5">
      <c r="A22267" t="s">
        <v>4</v>
      </c>
      <c r="B22267" s="4" t="s">
        <v>5</v>
      </c>
      <c r="C22267" s="4" t="s">
        <v>11</v>
      </c>
    </row>
    <row r="22268" spans="1:5">
      <c r="A22268" t="n">
        <v>214797</v>
      </c>
      <c r="B22268" s="12" t="n">
        <v>13</v>
      </c>
      <c r="C22268" s="7" t="n">
        <v>6471</v>
      </c>
    </row>
    <row r="22269" spans="1:5">
      <c r="A22269" t="s">
        <v>4</v>
      </c>
      <c r="B22269" s="4" t="s">
        <v>5</v>
      </c>
      <c r="C22269" s="4" t="s">
        <v>7</v>
      </c>
    </row>
    <row r="22270" spans="1:5">
      <c r="A22270" t="n">
        <v>214800</v>
      </c>
      <c r="B22270" s="45" t="n">
        <v>74</v>
      </c>
      <c r="C22270" s="7" t="n">
        <v>18</v>
      </c>
    </row>
    <row r="22271" spans="1:5">
      <c r="A22271" t="s">
        <v>4</v>
      </c>
      <c r="B22271" s="4" t="s">
        <v>5</v>
      </c>
      <c r="C22271" s="4" t="s">
        <v>7</v>
      </c>
    </row>
    <row r="22272" spans="1:5">
      <c r="A22272" t="n">
        <v>214802</v>
      </c>
      <c r="B22272" s="45" t="n">
        <v>74</v>
      </c>
      <c r="C22272" s="7" t="n">
        <v>45</v>
      </c>
    </row>
    <row r="22273" spans="1:3">
      <c r="A22273" t="s">
        <v>4</v>
      </c>
      <c r="B22273" s="4" t="s">
        <v>5</v>
      </c>
      <c r="C22273" s="4" t="s">
        <v>11</v>
      </c>
    </row>
    <row r="22274" spans="1:3">
      <c r="A22274" t="n">
        <v>214804</v>
      </c>
      <c r="B22274" s="29" t="n">
        <v>16</v>
      </c>
      <c r="C22274" s="7" t="n">
        <v>0</v>
      </c>
    </row>
    <row r="22275" spans="1:3">
      <c r="A22275" t="s">
        <v>4</v>
      </c>
      <c r="B22275" s="4" t="s">
        <v>5</v>
      </c>
      <c r="C22275" s="4" t="s">
        <v>7</v>
      </c>
      <c r="D22275" s="4" t="s">
        <v>7</v>
      </c>
      <c r="E22275" s="4" t="s">
        <v>7</v>
      </c>
      <c r="F22275" s="4" t="s">
        <v>7</v>
      </c>
    </row>
    <row r="22276" spans="1:3">
      <c r="A22276" t="n">
        <v>214807</v>
      </c>
      <c r="B22276" s="9" t="n">
        <v>14</v>
      </c>
      <c r="C22276" s="7" t="n">
        <v>0</v>
      </c>
      <c r="D22276" s="7" t="n">
        <v>8</v>
      </c>
      <c r="E22276" s="7" t="n">
        <v>0</v>
      </c>
      <c r="F22276" s="7" t="n">
        <v>0</v>
      </c>
    </row>
    <row r="22277" spans="1:3">
      <c r="A22277" t="s">
        <v>4</v>
      </c>
      <c r="B22277" s="4" t="s">
        <v>5</v>
      </c>
      <c r="C22277" s="4" t="s">
        <v>7</v>
      </c>
      <c r="D22277" s="4" t="s">
        <v>8</v>
      </c>
    </row>
    <row r="22278" spans="1:3">
      <c r="A22278" t="n">
        <v>214812</v>
      </c>
      <c r="B22278" s="6" t="n">
        <v>2</v>
      </c>
      <c r="C22278" s="7" t="n">
        <v>11</v>
      </c>
      <c r="D22278" s="7" t="s">
        <v>14</v>
      </c>
    </row>
    <row r="22279" spans="1:3">
      <c r="A22279" t="s">
        <v>4</v>
      </c>
      <c r="B22279" s="4" t="s">
        <v>5</v>
      </c>
      <c r="C22279" s="4" t="s">
        <v>11</v>
      </c>
    </row>
    <row r="22280" spans="1:3">
      <c r="A22280" t="n">
        <v>214826</v>
      </c>
      <c r="B22280" s="29" t="n">
        <v>16</v>
      </c>
      <c r="C22280" s="7" t="n">
        <v>0</v>
      </c>
    </row>
    <row r="22281" spans="1:3">
      <c r="A22281" t="s">
        <v>4</v>
      </c>
      <c r="B22281" s="4" t="s">
        <v>5</v>
      </c>
      <c r="C22281" s="4" t="s">
        <v>7</v>
      </c>
      <c r="D22281" s="4" t="s">
        <v>8</v>
      </c>
    </row>
    <row r="22282" spans="1:3">
      <c r="A22282" t="n">
        <v>214829</v>
      </c>
      <c r="B22282" s="6" t="n">
        <v>2</v>
      </c>
      <c r="C22282" s="7" t="n">
        <v>11</v>
      </c>
      <c r="D22282" s="7" t="s">
        <v>120</v>
      </c>
    </row>
    <row r="22283" spans="1:3">
      <c r="A22283" t="s">
        <v>4</v>
      </c>
      <c r="B22283" s="4" t="s">
        <v>5</v>
      </c>
      <c r="C22283" s="4" t="s">
        <v>11</v>
      </c>
    </row>
    <row r="22284" spans="1:3">
      <c r="A22284" t="n">
        <v>214838</v>
      </c>
      <c r="B22284" s="29" t="n">
        <v>16</v>
      </c>
      <c r="C22284" s="7" t="n">
        <v>0</v>
      </c>
    </row>
    <row r="22285" spans="1:3">
      <c r="A22285" t="s">
        <v>4</v>
      </c>
      <c r="B22285" s="4" t="s">
        <v>5</v>
      </c>
      <c r="C22285" s="4" t="s">
        <v>15</v>
      </c>
    </row>
    <row r="22286" spans="1:3">
      <c r="A22286" t="n">
        <v>214841</v>
      </c>
      <c r="B22286" s="61" t="n">
        <v>15</v>
      </c>
      <c r="C22286" s="7" t="n">
        <v>2048</v>
      </c>
    </row>
    <row r="22287" spans="1:3">
      <c r="A22287" t="s">
        <v>4</v>
      </c>
      <c r="B22287" s="4" t="s">
        <v>5</v>
      </c>
      <c r="C22287" s="4" t="s">
        <v>7</v>
      </c>
      <c r="D22287" s="4" t="s">
        <v>8</v>
      </c>
    </row>
    <row r="22288" spans="1:3">
      <c r="A22288" t="n">
        <v>214846</v>
      </c>
      <c r="B22288" s="6" t="n">
        <v>2</v>
      </c>
      <c r="C22288" s="7" t="n">
        <v>10</v>
      </c>
      <c r="D22288" s="7" t="s">
        <v>52</v>
      </c>
    </row>
    <row r="22289" spans="1:6">
      <c r="A22289" t="s">
        <v>4</v>
      </c>
      <c r="B22289" s="4" t="s">
        <v>5</v>
      </c>
      <c r="C22289" s="4" t="s">
        <v>11</v>
      </c>
    </row>
    <row r="22290" spans="1:6">
      <c r="A22290" t="n">
        <v>214864</v>
      </c>
      <c r="B22290" s="29" t="n">
        <v>16</v>
      </c>
      <c r="C22290" s="7" t="n">
        <v>0</v>
      </c>
    </row>
    <row r="22291" spans="1:6">
      <c r="A22291" t="s">
        <v>4</v>
      </c>
      <c r="B22291" s="4" t="s">
        <v>5</v>
      </c>
      <c r="C22291" s="4" t="s">
        <v>7</v>
      </c>
      <c r="D22291" s="4" t="s">
        <v>8</v>
      </c>
    </row>
    <row r="22292" spans="1:6">
      <c r="A22292" t="n">
        <v>214867</v>
      </c>
      <c r="B22292" s="6" t="n">
        <v>2</v>
      </c>
      <c r="C22292" s="7" t="n">
        <v>10</v>
      </c>
      <c r="D22292" s="7" t="s">
        <v>53</v>
      </c>
    </row>
    <row r="22293" spans="1:6">
      <c r="A22293" t="s">
        <v>4</v>
      </c>
      <c r="B22293" s="4" t="s">
        <v>5</v>
      </c>
      <c r="C22293" s="4" t="s">
        <v>11</v>
      </c>
    </row>
    <row r="22294" spans="1:6">
      <c r="A22294" t="n">
        <v>214886</v>
      </c>
      <c r="B22294" s="29" t="n">
        <v>16</v>
      </c>
      <c r="C22294" s="7" t="n">
        <v>0</v>
      </c>
    </row>
    <row r="22295" spans="1:6">
      <c r="A22295" t="s">
        <v>4</v>
      </c>
      <c r="B22295" s="4" t="s">
        <v>5</v>
      </c>
      <c r="C22295" s="4" t="s">
        <v>7</v>
      </c>
      <c r="D22295" s="4" t="s">
        <v>11</v>
      </c>
      <c r="E22295" s="4" t="s">
        <v>13</v>
      </c>
    </row>
    <row r="22296" spans="1:6">
      <c r="A22296" t="n">
        <v>214889</v>
      </c>
      <c r="B22296" s="23" t="n">
        <v>58</v>
      </c>
      <c r="C22296" s="7" t="n">
        <v>100</v>
      </c>
      <c r="D22296" s="7" t="n">
        <v>300</v>
      </c>
      <c r="E22296" s="7" t="n">
        <v>1</v>
      </c>
    </row>
    <row r="22297" spans="1:6">
      <c r="A22297" t="s">
        <v>4</v>
      </c>
      <c r="B22297" s="4" t="s">
        <v>5</v>
      </c>
      <c r="C22297" s="4" t="s">
        <v>7</v>
      </c>
      <c r="D22297" s="4" t="s">
        <v>11</v>
      </c>
    </row>
    <row r="22298" spans="1:6">
      <c r="A22298" t="n">
        <v>214897</v>
      </c>
      <c r="B22298" s="23" t="n">
        <v>58</v>
      </c>
      <c r="C22298" s="7" t="n">
        <v>255</v>
      </c>
      <c r="D22298" s="7" t="n">
        <v>0</v>
      </c>
    </row>
    <row r="22299" spans="1:6">
      <c r="A22299" t="s">
        <v>4</v>
      </c>
      <c r="B22299" s="4" t="s">
        <v>5</v>
      </c>
      <c r="C22299" s="4" t="s">
        <v>7</v>
      </c>
    </row>
    <row r="22300" spans="1:6">
      <c r="A22300" t="n">
        <v>214901</v>
      </c>
      <c r="B22300" s="30" t="n">
        <v>23</v>
      </c>
      <c r="C22300" s="7" t="n">
        <v>0</v>
      </c>
    </row>
    <row r="22301" spans="1:6">
      <c r="A22301" t="s">
        <v>4</v>
      </c>
      <c r="B22301" s="4" t="s">
        <v>5</v>
      </c>
    </row>
    <row r="22302" spans="1:6">
      <c r="A22302" t="n">
        <v>214903</v>
      </c>
      <c r="B22302" s="5" t="n">
        <v>1</v>
      </c>
    </row>
    <row r="22303" spans="1:6" s="3" customFormat="1" customHeight="0">
      <c r="A22303" s="3" t="s">
        <v>2</v>
      </c>
      <c r="B22303" s="3" t="s">
        <v>1825</v>
      </c>
    </row>
    <row r="22304" spans="1:6">
      <c r="A22304" t="s">
        <v>4</v>
      </c>
      <c r="B22304" s="4" t="s">
        <v>5</v>
      </c>
      <c r="C22304" s="4" t="s">
        <v>7</v>
      </c>
      <c r="D22304" s="4" t="s">
        <v>11</v>
      </c>
      <c r="E22304" s="4" t="s">
        <v>7</v>
      </c>
      <c r="F22304" s="4" t="s">
        <v>12</v>
      </c>
    </row>
    <row r="22305" spans="1:6">
      <c r="A22305" t="n">
        <v>214904</v>
      </c>
      <c r="B22305" s="10" t="n">
        <v>5</v>
      </c>
      <c r="C22305" s="7" t="n">
        <v>30</v>
      </c>
      <c r="D22305" s="7" t="n">
        <v>10317</v>
      </c>
      <c r="E22305" s="7" t="n">
        <v>1</v>
      </c>
      <c r="F22305" s="11" t="n">
        <f t="normal" ca="1">A22315</f>
        <v>0</v>
      </c>
    </row>
    <row r="22306" spans="1:6">
      <c r="A22306" t="s">
        <v>4</v>
      </c>
      <c r="B22306" s="4" t="s">
        <v>5</v>
      </c>
      <c r="C22306" s="4" t="s">
        <v>7</v>
      </c>
      <c r="D22306" s="4" t="s">
        <v>8</v>
      </c>
      <c r="E22306" s="4" t="s">
        <v>11</v>
      </c>
    </row>
    <row r="22307" spans="1:6">
      <c r="A22307" t="n">
        <v>214913</v>
      </c>
      <c r="B22307" s="15" t="n">
        <v>94</v>
      </c>
      <c r="C22307" s="7" t="n">
        <v>1</v>
      </c>
      <c r="D22307" s="7" t="s">
        <v>25</v>
      </c>
      <c r="E22307" s="7" t="n">
        <v>16</v>
      </c>
    </row>
    <row r="22308" spans="1:6">
      <c r="A22308" t="s">
        <v>4</v>
      </c>
      <c r="B22308" s="4" t="s">
        <v>5</v>
      </c>
      <c r="C22308" s="4" t="s">
        <v>7</v>
      </c>
      <c r="D22308" s="4" t="s">
        <v>8</v>
      </c>
      <c r="E22308" s="4" t="s">
        <v>11</v>
      </c>
    </row>
    <row r="22309" spans="1:6">
      <c r="A22309" t="n">
        <v>214927</v>
      </c>
      <c r="B22309" s="15" t="n">
        <v>94</v>
      </c>
      <c r="C22309" s="7" t="n">
        <v>1</v>
      </c>
      <c r="D22309" s="7" t="s">
        <v>25</v>
      </c>
      <c r="E22309" s="7" t="n">
        <v>512</v>
      </c>
    </row>
    <row r="22310" spans="1:6">
      <c r="A22310" t="s">
        <v>4</v>
      </c>
      <c r="B22310" s="4" t="s">
        <v>5</v>
      </c>
      <c r="C22310" s="4" t="s">
        <v>7</v>
      </c>
      <c r="D22310" s="4" t="s">
        <v>8</v>
      </c>
      <c r="E22310" s="4" t="s">
        <v>11</v>
      </c>
    </row>
    <row r="22311" spans="1:6">
      <c r="A22311" t="n">
        <v>214941</v>
      </c>
      <c r="B22311" s="16" t="n">
        <v>91</v>
      </c>
      <c r="C22311" s="7" t="n">
        <v>0</v>
      </c>
      <c r="D22311" s="7" t="s">
        <v>27</v>
      </c>
      <c r="E22311" s="7" t="n">
        <v>1</v>
      </c>
    </row>
    <row r="22312" spans="1:6">
      <c r="A22312" t="s">
        <v>4</v>
      </c>
      <c r="B22312" s="4" t="s">
        <v>5</v>
      </c>
      <c r="C22312" s="4" t="s">
        <v>12</v>
      </c>
    </row>
    <row r="22313" spans="1:6">
      <c r="A22313" t="n">
        <v>214957</v>
      </c>
      <c r="B22313" s="19" t="n">
        <v>3</v>
      </c>
      <c r="C22313" s="11" t="n">
        <f t="normal" ca="1">A22381</f>
        <v>0</v>
      </c>
    </row>
    <row r="22314" spans="1:6">
      <c r="A22314" t="s">
        <v>4</v>
      </c>
      <c r="B22314" s="4" t="s">
        <v>5</v>
      </c>
      <c r="C22314" s="4" t="s">
        <v>7</v>
      </c>
      <c r="D22314" s="4" t="s">
        <v>7</v>
      </c>
      <c r="E22314" s="4" t="s">
        <v>15</v>
      </c>
      <c r="F22314" s="4" t="s">
        <v>7</v>
      </c>
      <c r="G22314" s="4" t="s">
        <v>7</v>
      </c>
    </row>
    <row r="22315" spans="1:6">
      <c r="A22315" t="n">
        <v>214962</v>
      </c>
      <c r="B22315" s="74" t="n">
        <v>18</v>
      </c>
      <c r="C22315" s="7" t="n">
        <v>1</v>
      </c>
      <c r="D22315" s="7" t="n">
        <v>0</v>
      </c>
      <c r="E22315" s="7" t="n">
        <v>0</v>
      </c>
      <c r="F22315" s="7" t="n">
        <v>19</v>
      </c>
      <c r="G22315" s="7" t="n">
        <v>1</v>
      </c>
    </row>
    <row r="22316" spans="1:6">
      <c r="A22316" t="s">
        <v>4</v>
      </c>
      <c r="B22316" s="4" t="s">
        <v>5</v>
      </c>
      <c r="C22316" s="4" t="s">
        <v>7</v>
      </c>
      <c r="D22316" s="4" t="s">
        <v>11</v>
      </c>
      <c r="E22316" s="4" t="s">
        <v>7</v>
      </c>
      <c r="F22316" s="4" t="s">
        <v>12</v>
      </c>
    </row>
    <row r="22317" spans="1:6">
      <c r="A22317" t="n">
        <v>214971</v>
      </c>
      <c r="B22317" s="10" t="n">
        <v>5</v>
      </c>
      <c r="C22317" s="7" t="n">
        <v>30</v>
      </c>
      <c r="D22317" s="7" t="n">
        <v>10304</v>
      </c>
      <c r="E22317" s="7" t="n">
        <v>1</v>
      </c>
      <c r="F22317" s="11" t="n">
        <f t="normal" ca="1">A22321</f>
        <v>0</v>
      </c>
    </row>
    <row r="22318" spans="1:6">
      <c r="A22318" t="s">
        <v>4</v>
      </c>
      <c r="B22318" s="4" t="s">
        <v>5</v>
      </c>
      <c r="C22318" s="4" t="s">
        <v>7</v>
      </c>
      <c r="D22318" s="4" t="s">
        <v>7</v>
      </c>
      <c r="E22318" s="4" t="s">
        <v>7</v>
      </c>
      <c r="F22318" s="4" t="s">
        <v>7</v>
      </c>
      <c r="G22318" s="4" t="s">
        <v>15</v>
      </c>
      <c r="H22318" s="4" t="s">
        <v>7</v>
      </c>
      <c r="I22318" s="4" t="s">
        <v>7</v>
      </c>
      <c r="J22318" s="4" t="s">
        <v>7</v>
      </c>
    </row>
    <row r="22319" spans="1:6">
      <c r="A22319" t="n">
        <v>214980</v>
      </c>
      <c r="B22319" s="74" t="n">
        <v>18</v>
      </c>
      <c r="C22319" s="7" t="n">
        <v>1</v>
      </c>
      <c r="D22319" s="7" t="n">
        <v>35</v>
      </c>
      <c r="E22319" s="7" t="n">
        <v>1</v>
      </c>
      <c r="F22319" s="7" t="n">
        <v>0</v>
      </c>
      <c r="G22319" s="7" t="n">
        <v>1</v>
      </c>
      <c r="H22319" s="7" t="n">
        <v>12</v>
      </c>
      <c r="I22319" s="7" t="n">
        <v>19</v>
      </c>
      <c r="J22319" s="7" t="n">
        <v>1</v>
      </c>
    </row>
    <row r="22320" spans="1:6">
      <c r="A22320" t="s">
        <v>4</v>
      </c>
      <c r="B22320" s="4" t="s">
        <v>5</v>
      </c>
      <c r="C22320" s="4" t="s">
        <v>7</v>
      </c>
      <c r="D22320" s="4" t="s">
        <v>11</v>
      </c>
      <c r="E22320" s="4" t="s">
        <v>7</v>
      </c>
      <c r="F22320" s="4" t="s">
        <v>12</v>
      </c>
    </row>
    <row r="22321" spans="1:10">
      <c r="A22321" t="n">
        <v>214992</v>
      </c>
      <c r="B22321" s="10" t="n">
        <v>5</v>
      </c>
      <c r="C22321" s="7" t="n">
        <v>30</v>
      </c>
      <c r="D22321" s="7" t="n">
        <v>10305</v>
      </c>
      <c r="E22321" s="7" t="n">
        <v>1</v>
      </c>
      <c r="F22321" s="11" t="n">
        <f t="normal" ca="1">A22325</f>
        <v>0</v>
      </c>
    </row>
    <row r="22322" spans="1:10">
      <c r="A22322" t="s">
        <v>4</v>
      </c>
      <c r="B22322" s="4" t="s">
        <v>5</v>
      </c>
      <c r="C22322" s="4" t="s">
        <v>7</v>
      </c>
      <c r="D22322" s="4" t="s">
        <v>7</v>
      </c>
      <c r="E22322" s="4" t="s">
        <v>7</v>
      </c>
      <c r="F22322" s="4" t="s">
        <v>7</v>
      </c>
      <c r="G22322" s="4" t="s">
        <v>15</v>
      </c>
      <c r="H22322" s="4" t="s">
        <v>7</v>
      </c>
      <c r="I22322" s="4" t="s">
        <v>7</v>
      </c>
      <c r="J22322" s="4" t="s">
        <v>7</v>
      </c>
    </row>
    <row r="22323" spans="1:10">
      <c r="A22323" t="n">
        <v>215001</v>
      </c>
      <c r="B22323" s="74" t="n">
        <v>18</v>
      </c>
      <c r="C22323" s="7" t="n">
        <v>1</v>
      </c>
      <c r="D22323" s="7" t="n">
        <v>35</v>
      </c>
      <c r="E22323" s="7" t="n">
        <v>1</v>
      </c>
      <c r="F22323" s="7" t="n">
        <v>0</v>
      </c>
      <c r="G22323" s="7" t="n">
        <v>1</v>
      </c>
      <c r="H22323" s="7" t="n">
        <v>12</v>
      </c>
      <c r="I22323" s="7" t="n">
        <v>19</v>
      </c>
      <c r="J22323" s="7" t="n">
        <v>1</v>
      </c>
    </row>
    <row r="22324" spans="1:10">
      <c r="A22324" t="s">
        <v>4</v>
      </c>
      <c r="B22324" s="4" t="s">
        <v>5</v>
      </c>
      <c r="C22324" s="4" t="s">
        <v>7</v>
      </c>
      <c r="D22324" s="4" t="s">
        <v>11</v>
      </c>
      <c r="E22324" s="4" t="s">
        <v>7</v>
      </c>
      <c r="F22324" s="4" t="s">
        <v>12</v>
      </c>
    </row>
    <row r="22325" spans="1:10">
      <c r="A22325" t="n">
        <v>215013</v>
      </c>
      <c r="B22325" s="10" t="n">
        <v>5</v>
      </c>
      <c r="C22325" s="7" t="n">
        <v>30</v>
      </c>
      <c r="D22325" s="7" t="n">
        <v>10306</v>
      </c>
      <c r="E22325" s="7" t="n">
        <v>1</v>
      </c>
      <c r="F22325" s="11" t="n">
        <f t="normal" ca="1">A22329</f>
        <v>0</v>
      </c>
    </row>
    <row r="22326" spans="1:10">
      <c r="A22326" t="s">
        <v>4</v>
      </c>
      <c r="B22326" s="4" t="s">
        <v>5</v>
      </c>
      <c r="C22326" s="4" t="s">
        <v>7</v>
      </c>
      <c r="D22326" s="4" t="s">
        <v>7</v>
      </c>
      <c r="E22326" s="4" t="s">
        <v>7</v>
      </c>
      <c r="F22326" s="4" t="s">
        <v>7</v>
      </c>
      <c r="G22326" s="4" t="s">
        <v>15</v>
      </c>
      <c r="H22326" s="4" t="s">
        <v>7</v>
      </c>
      <c r="I22326" s="4" t="s">
        <v>7</v>
      </c>
      <c r="J22326" s="4" t="s">
        <v>7</v>
      </c>
    </row>
    <row r="22327" spans="1:10">
      <c r="A22327" t="n">
        <v>215022</v>
      </c>
      <c r="B22327" s="74" t="n">
        <v>18</v>
      </c>
      <c r="C22327" s="7" t="n">
        <v>1</v>
      </c>
      <c r="D22327" s="7" t="n">
        <v>35</v>
      </c>
      <c r="E22327" s="7" t="n">
        <v>1</v>
      </c>
      <c r="F22327" s="7" t="n">
        <v>0</v>
      </c>
      <c r="G22327" s="7" t="n">
        <v>1</v>
      </c>
      <c r="H22327" s="7" t="n">
        <v>12</v>
      </c>
      <c r="I22327" s="7" t="n">
        <v>19</v>
      </c>
      <c r="J22327" s="7" t="n">
        <v>1</v>
      </c>
    </row>
    <row r="22328" spans="1:10">
      <c r="A22328" t="s">
        <v>4</v>
      </c>
      <c r="B22328" s="4" t="s">
        <v>5</v>
      </c>
      <c r="C22328" s="4" t="s">
        <v>7</v>
      </c>
      <c r="D22328" s="4" t="s">
        <v>11</v>
      </c>
      <c r="E22328" s="4" t="s">
        <v>7</v>
      </c>
      <c r="F22328" s="4" t="s">
        <v>12</v>
      </c>
    </row>
    <row r="22329" spans="1:10">
      <c r="A22329" t="n">
        <v>215034</v>
      </c>
      <c r="B22329" s="10" t="n">
        <v>5</v>
      </c>
      <c r="C22329" s="7" t="n">
        <v>30</v>
      </c>
      <c r="D22329" s="7" t="n">
        <v>10307</v>
      </c>
      <c r="E22329" s="7" t="n">
        <v>1</v>
      </c>
      <c r="F22329" s="11" t="n">
        <f t="normal" ca="1">A22333</f>
        <v>0</v>
      </c>
    </row>
    <row r="22330" spans="1:10">
      <c r="A22330" t="s">
        <v>4</v>
      </c>
      <c r="B22330" s="4" t="s">
        <v>5</v>
      </c>
      <c r="C22330" s="4" t="s">
        <v>7</v>
      </c>
      <c r="D22330" s="4" t="s">
        <v>7</v>
      </c>
      <c r="E22330" s="4" t="s">
        <v>7</v>
      </c>
      <c r="F22330" s="4" t="s">
        <v>7</v>
      </c>
      <c r="G22330" s="4" t="s">
        <v>15</v>
      </c>
      <c r="H22330" s="4" t="s">
        <v>7</v>
      </c>
      <c r="I22330" s="4" t="s">
        <v>7</v>
      </c>
      <c r="J22330" s="4" t="s">
        <v>7</v>
      </c>
    </row>
    <row r="22331" spans="1:10">
      <c r="A22331" t="n">
        <v>215043</v>
      </c>
      <c r="B22331" s="74" t="n">
        <v>18</v>
      </c>
      <c r="C22331" s="7" t="n">
        <v>1</v>
      </c>
      <c r="D22331" s="7" t="n">
        <v>35</v>
      </c>
      <c r="E22331" s="7" t="n">
        <v>1</v>
      </c>
      <c r="F22331" s="7" t="n">
        <v>0</v>
      </c>
      <c r="G22331" s="7" t="n">
        <v>1</v>
      </c>
      <c r="H22331" s="7" t="n">
        <v>12</v>
      </c>
      <c r="I22331" s="7" t="n">
        <v>19</v>
      </c>
      <c r="J22331" s="7" t="n">
        <v>1</v>
      </c>
    </row>
    <row r="22332" spans="1:10">
      <c r="A22332" t="s">
        <v>4</v>
      </c>
      <c r="B22332" s="4" t="s">
        <v>5</v>
      </c>
      <c r="C22332" s="4" t="s">
        <v>7</v>
      </c>
      <c r="D22332" s="4" t="s">
        <v>11</v>
      </c>
      <c r="E22332" s="4" t="s">
        <v>7</v>
      </c>
      <c r="F22332" s="4" t="s">
        <v>12</v>
      </c>
    </row>
    <row r="22333" spans="1:10">
      <c r="A22333" t="n">
        <v>215055</v>
      </c>
      <c r="B22333" s="10" t="n">
        <v>5</v>
      </c>
      <c r="C22333" s="7" t="n">
        <v>30</v>
      </c>
      <c r="D22333" s="7" t="n">
        <v>10308</v>
      </c>
      <c r="E22333" s="7" t="n">
        <v>1</v>
      </c>
      <c r="F22333" s="11" t="n">
        <f t="normal" ca="1">A22337</f>
        <v>0</v>
      </c>
    </row>
    <row r="22334" spans="1:10">
      <c r="A22334" t="s">
        <v>4</v>
      </c>
      <c r="B22334" s="4" t="s">
        <v>5</v>
      </c>
      <c r="C22334" s="4" t="s">
        <v>7</v>
      </c>
      <c r="D22334" s="4" t="s">
        <v>7</v>
      </c>
      <c r="E22334" s="4" t="s">
        <v>7</v>
      </c>
      <c r="F22334" s="4" t="s">
        <v>7</v>
      </c>
      <c r="G22334" s="4" t="s">
        <v>15</v>
      </c>
      <c r="H22334" s="4" t="s">
        <v>7</v>
      </c>
      <c r="I22334" s="4" t="s">
        <v>7</v>
      </c>
      <c r="J22334" s="4" t="s">
        <v>7</v>
      </c>
    </row>
    <row r="22335" spans="1:10">
      <c r="A22335" t="n">
        <v>215064</v>
      </c>
      <c r="B22335" s="74" t="n">
        <v>18</v>
      </c>
      <c r="C22335" s="7" t="n">
        <v>1</v>
      </c>
      <c r="D22335" s="7" t="n">
        <v>35</v>
      </c>
      <c r="E22335" s="7" t="n">
        <v>1</v>
      </c>
      <c r="F22335" s="7" t="n">
        <v>0</v>
      </c>
      <c r="G22335" s="7" t="n">
        <v>1</v>
      </c>
      <c r="H22335" s="7" t="n">
        <v>12</v>
      </c>
      <c r="I22335" s="7" t="n">
        <v>19</v>
      </c>
      <c r="J22335" s="7" t="n">
        <v>1</v>
      </c>
    </row>
    <row r="22336" spans="1:10">
      <c r="A22336" t="s">
        <v>4</v>
      </c>
      <c r="B22336" s="4" t="s">
        <v>5</v>
      </c>
      <c r="C22336" s="4" t="s">
        <v>7</v>
      </c>
      <c r="D22336" s="4" t="s">
        <v>11</v>
      </c>
      <c r="E22336" s="4" t="s">
        <v>7</v>
      </c>
      <c r="F22336" s="4" t="s">
        <v>12</v>
      </c>
    </row>
    <row r="22337" spans="1:10">
      <c r="A22337" t="n">
        <v>215076</v>
      </c>
      <c r="B22337" s="10" t="n">
        <v>5</v>
      </c>
      <c r="C22337" s="7" t="n">
        <v>30</v>
      </c>
      <c r="D22337" s="7" t="n">
        <v>10309</v>
      </c>
      <c r="E22337" s="7" t="n">
        <v>1</v>
      </c>
      <c r="F22337" s="11" t="n">
        <f t="normal" ca="1">A22341</f>
        <v>0</v>
      </c>
    </row>
    <row r="22338" spans="1:10">
      <c r="A22338" t="s">
        <v>4</v>
      </c>
      <c r="B22338" s="4" t="s">
        <v>5</v>
      </c>
      <c r="C22338" s="4" t="s">
        <v>7</v>
      </c>
      <c r="D22338" s="4" t="s">
        <v>7</v>
      </c>
      <c r="E22338" s="4" t="s">
        <v>7</v>
      </c>
      <c r="F22338" s="4" t="s">
        <v>7</v>
      </c>
      <c r="G22338" s="4" t="s">
        <v>15</v>
      </c>
      <c r="H22338" s="4" t="s">
        <v>7</v>
      </c>
      <c r="I22338" s="4" t="s">
        <v>7</v>
      </c>
      <c r="J22338" s="4" t="s">
        <v>7</v>
      </c>
    </row>
    <row r="22339" spans="1:10">
      <c r="A22339" t="n">
        <v>215085</v>
      </c>
      <c r="B22339" s="74" t="n">
        <v>18</v>
      </c>
      <c r="C22339" s="7" t="n">
        <v>1</v>
      </c>
      <c r="D22339" s="7" t="n">
        <v>35</v>
      </c>
      <c r="E22339" s="7" t="n">
        <v>1</v>
      </c>
      <c r="F22339" s="7" t="n">
        <v>0</v>
      </c>
      <c r="G22339" s="7" t="n">
        <v>1</v>
      </c>
      <c r="H22339" s="7" t="n">
        <v>12</v>
      </c>
      <c r="I22339" s="7" t="n">
        <v>19</v>
      </c>
      <c r="J22339" s="7" t="n">
        <v>1</v>
      </c>
    </row>
    <row r="22340" spans="1:10">
      <c r="A22340" t="s">
        <v>4</v>
      </c>
      <c r="B22340" s="4" t="s">
        <v>5</v>
      </c>
      <c r="C22340" s="4" t="s">
        <v>7</v>
      </c>
      <c r="D22340" s="4" t="s">
        <v>11</v>
      </c>
      <c r="E22340" s="4" t="s">
        <v>7</v>
      </c>
      <c r="F22340" s="4" t="s">
        <v>12</v>
      </c>
    </row>
    <row r="22341" spans="1:10">
      <c r="A22341" t="n">
        <v>215097</v>
      </c>
      <c r="B22341" s="10" t="n">
        <v>5</v>
      </c>
      <c r="C22341" s="7" t="n">
        <v>30</v>
      </c>
      <c r="D22341" s="7" t="n">
        <v>10310</v>
      </c>
      <c r="E22341" s="7" t="n">
        <v>1</v>
      </c>
      <c r="F22341" s="11" t="n">
        <f t="normal" ca="1">A22345</f>
        <v>0</v>
      </c>
    </row>
    <row r="22342" spans="1:10">
      <c r="A22342" t="s">
        <v>4</v>
      </c>
      <c r="B22342" s="4" t="s">
        <v>5</v>
      </c>
      <c r="C22342" s="4" t="s">
        <v>7</v>
      </c>
      <c r="D22342" s="4" t="s">
        <v>7</v>
      </c>
      <c r="E22342" s="4" t="s">
        <v>7</v>
      </c>
      <c r="F22342" s="4" t="s">
        <v>7</v>
      </c>
      <c r="G22342" s="4" t="s">
        <v>15</v>
      </c>
      <c r="H22342" s="4" t="s">
        <v>7</v>
      </c>
      <c r="I22342" s="4" t="s">
        <v>7</v>
      </c>
      <c r="J22342" s="4" t="s">
        <v>7</v>
      </c>
    </row>
    <row r="22343" spans="1:10">
      <c r="A22343" t="n">
        <v>215106</v>
      </c>
      <c r="B22343" s="74" t="n">
        <v>18</v>
      </c>
      <c r="C22343" s="7" t="n">
        <v>1</v>
      </c>
      <c r="D22343" s="7" t="n">
        <v>35</v>
      </c>
      <c r="E22343" s="7" t="n">
        <v>1</v>
      </c>
      <c r="F22343" s="7" t="n">
        <v>0</v>
      </c>
      <c r="G22343" s="7" t="n">
        <v>1</v>
      </c>
      <c r="H22343" s="7" t="n">
        <v>12</v>
      </c>
      <c r="I22343" s="7" t="n">
        <v>19</v>
      </c>
      <c r="J22343" s="7" t="n">
        <v>1</v>
      </c>
    </row>
    <row r="22344" spans="1:10">
      <c r="A22344" t="s">
        <v>4</v>
      </c>
      <c r="B22344" s="4" t="s">
        <v>5</v>
      </c>
      <c r="C22344" s="4" t="s">
        <v>7</v>
      </c>
      <c r="D22344" s="4" t="s">
        <v>11</v>
      </c>
      <c r="E22344" s="4" t="s">
        <v>7</v>
      </c>
      <c r="F22344" s="4" t="s">
        <v>12</v>
      </c>
    </row>
    <row r="22345" spans="1:10">
      <c r="A22345" t="n">
        <v>215118</v>
      </c>
      <c r="B22345" s="10" t="n">
        <v>5</v>
      </c>
      <c r="C22345" s="7" t="n">
        <v>30</v>
      </c>
      <c r="D22345" s="7" t="n">
        <v>10311</v>
      </c>
      <c r="E22345" s="7" t="n">
        <v>1</v>
      </c>
      <c r="F22345" s="11" t="n">
        <f t="normal" ca="1">A22349</f>
        <v>0</v>
      </c>
    </row>
    <row r="22346" spans="1:10">
      <c r="A22346" t="s">
        <v>4</v>
      </c>
      <c r="B22346" s="4" t="s">
        <v>5</v>
      </c>
      <c r="C22346" s="4" t="s">
        <v>7</v>
      </c>
      <c r="D22346" s="4" t="s">
        <v>7</v>
      </c>
      <c r="E22346" s="4" t="s">
        <v>7</v>
      </c>
      <c r="F22346" s="4" t="s">
        <v>7</v>
      </c>
      <c r="G22346" s="4" t="s">
        <v>15</v>
      </c>
      <c r="H22346" s="4" t="s">
        <v>7</v>
      </c>
      <c r="I22346" s="4" t="s">
        <v>7</v>
      </c>
      <c r="J22346" s="4" t="s">
        <v>7</v>
      </c>
    </row>
    <row r="22347" spans="1:10">
      <c r="A22347" t="n">
        <v>215127</v>
      </c>
      <c r="B22347" s="74" t="n">
        <v>18</v>
      </c>
      <c r="C22347" s="7" t="n">
        <v>1</v>
      </c>
      <c r="D22347" s="7" t="n">
        <v>35</v>
      </c>
      <c r="E22347" s="7" t="n">
        <v>1</v>
      </c>
      <c r="F22347" s="7" t="n">
        <v>0</v>
      </c>
      <c r="G22347" s="7" t="n">
        <v>1</v>
      </c>
      <c r="H22347" s="7" t="n">
        <v>12</v>
      </c>
      <c r="I22347" s="7" t="n">
        <v>19</v>
      </c>
      <c r="J22347" s="7" t="n">
        <v>1</v>
      </c>
    </row>
    <row r="22348" spans="1:10">
      <c r="A22348" t="s">
        <v>4</v>
      </c>
      <c r="B22348" s="4" t="s">
        <v>5</v>
      </c>
      <c r="C22348" s="4" t="s">
        <v>7</v>
      </c>
      <c r="D22348" s="4" t="s">
        <v>11</v>
      </c>
      <c r="E22348" s="4" t="s">
        <v>7</v>
      </c>
      <c r="F22348" s="4" t="s">
        <v>12</v>
      </c>
    </row>
    <row r="22349" spans="1:10">
      <c r="A22349" t="n">
        <v>215139</v>
      </c>
      <c r="B22349" s="10" t="n">
        <v>5</v>
      </c>
      <c r="C22349" s="7" t="n">
        <v>30</v>
      </c>
      <c r="D22349" s="7" t="n">
        <v>10312</v>
      </c>
      <c r="E22349" s="7" t="n">
        <v>1</v>
      </c>
      <c r="F22349" s="11" t="n">
        <f t="normal" ca="1">A22353</f>
        <v>0</v>
      </c>
    </row>
    <row r="22350" spans="1:10">
      <c r="A22350" t="s">
        <v>4</v>
      </c>
      <c r="B22350" s="4" t="s">
        <v>5</v>
      </c>
      <c r="C22350" s="4" t="s">
        <v>7</v>
      </c>
      <c r="D22350" s="4" t="s">
        <v>7</v>
      </c>
      <c r="E22350" s="4" t="s">
        <v>7</v>
      </c>
      <c r="F22350" s="4" t="s">
        <v>7</v>
      </c>
      <c r="G22350" s="4" t="s">
        <v>15</v>
      </c>
      <c r="H22350" s="4" t="s">
        <v>7</v>
      </c>
      <c r="I22350" s="4" t="s">
        <v>7</v>
      </c>
      <c r="J22350" s="4" t="s">
        <v>7</v>
      </c>
    </row>
    <row r="22351" spans="1:10">
      <c r="A22351" t="n">
        <v>215148</v>
      </c>
      <c r="B22351" s="74" t="n">
        <v>18</v>
      </c>
      <c r="C22351" s="7" t="n">
        <v>1</v>
      </c>
      <c r="D22351" s="7" t="n">
        <v>35</v>
      </c>
      <c r="E22351" s="7" t="n">
        <v>1</v>
      </c>
      <c r="F22351" s="7" t="n">
        <v>0</v>
      </c>
      <c r="G22351" s="7" t="n">
        <v>1</v>
      </c>
      <c r="H22351" s="7" t="n">
        <v>12</v>
      </c>
      <c r="I22351" s="7" t="n">
        <v>19</v>
      </c>
      <c r="J22351" s="7" t="n">
        <v>1</v>
      </c>
    </row>
    <row r="22352" spans="1:10">
      <c r="A22352" t="s">
        <v>4</v>
      </c>
      <c r="B22352" s="4" t="s">
        <v>5</v>
      </c>
      <c r="C22352" s="4" t="s">
        <v>7</v>
      </c>
      <c r="D22352" s="4" t="s">
        <v>11</v>
      </c>
      <c r="E22352" s="4" t="s">
        <v>7</v>
      </c>
      <c r="F22352" s="4" t="s">
        <v>12</v>
      </c>
    </row>
    <row r="22353" spans="1:10">
      <c r="A22353" t="n">
        <v>215160</v>
      </c>
      <c r="B22353" s="10" t="n">
        <v>5</v>
      </c>
      <c r="C22353" s="7" t="n">
        <v>30</v>
      </c>
      <c r="D22353" s="7" t="n">
        <v>10313</v>
      </c>
      <c r="E22353" s="7" t="n">
        <v>1</v>
      </c>
      <c r="F22353" s="11" t="n">
        <f t="normal" ca="1">A22357</f>
        <v>0</v>
      </c>
    </row>
    <row r="22354" spans="1:10">
      <c r="A22354" t="s">
        <v>4</v>
      </c>
      <c r="B22354" s="4" t="s">
        <v>5</v>
      </c>
      <c r="C22354" s="4" t="s">
        <v>7</v>
      </c>
      <c r="D22354" s="4" t="s">
        <v>7</v>
      </c>
      <c r="E22354" s="4" t="s">
        <v>7</v>
      </c>
      <c r="F22354" s="4" t="s">
        <v>7</v>
      </c>
      <c r="G22354" s="4" t="s">
        <v>15</v>
      </c>
      <c r="H22354" s="4" t="s">
        <v>7</v>
      </c>
      <c r="I22354" s="4" t="s">
        <v>7</v>
      </c>
      <c r="J22354" s="4" t="s">
        <v>7</v>
      </c>
    </row>
    <row r="22355" spans="1:10">
      <c r="A22355" t="n">
        <v>215169</v>
      </c>
      <c r="B22355" s="74" t="n">
        <v>18</v>
      </c>
      <c r="C22355" s="7" t="n">
        <v>1</v>
      </c>
      <c r="D22355" s="7" t="n">
        <v>35</v>
      </c>
      <c r="E22355" s="7" t="n">
        <v>1</v>
      </c>
      <c r="F22355" s="7" t="n">
        <v>0</v>
      </c>
      <c r="G22355" s="7" t="n">
        <v>1</v>
      </c>
      <c r="H22355" s="7" t="n">
        <v>12</v>
      </c>
      <c r="I22355" s="7" t="n">
        <v>19</v>
      </c>
      <c r="J22355" s="7" t="n">
        <v>1</v>
      </c>
    </row>
    <row r="22356" spans="1:10">
      <c r="A22356" t="s">
        <v>4</v>
      </c>
      <c r="B22356" s="4" t="s">
        <v>5</v>
      </c>
      <c r="C22356" s="4" t="s">
        <v>7</v>
      </c>
      <c r="D22356" s="4" t="s">
        <v>11</v>
      </c>
      <c r="E22356" s="4" t="s">
        <v>7</v>
      </c>
      <c r="F22356" s="4" t="s">
        <v>12</v>
      </c>
    </row>
    <row r="22357" spans="1:10">
      <c r="A22357" t="n">
        <v>215181</v>
      </c>
      <c r="B22357" s="10" t="n">
        <v>5</v>
      </c>
      <c r="C22357" s="7" t="n">
        <v>30</v>
      </c>
      <c r="D22357" s="7" t="n">
        <v>10314</v>
      </c>
      <c r="E22357" s="7" t="n">
        <v>1</v>
      </c>
      <c r="F22357" s="11" t="n">
        <f t="normal" ca="1">A22361</f>
        <v>0</v>
      </c>
    </row>
    <row r="22358" spans="1:10">
      <c r="A22358" t="s">
        <v>4</v>
      </c>
      <c r="B22358" s="4" t="s">
        <v>5</v>
      </c>
      <c r="C22358" s="4" t="s">
        <v>7</v>
      </c>
      <c r="D22358" s="4" t="s">
        <v>7</v>
      </c>
      <c r="E22358" s="4" t="s">
        <v>7</v>
      </c>
      <c r="F22358" s="4" t="s">
        <v>7</v>
      </c>
      <c r="G22358" s="4" t="s">
        <v>15</v>
      </c>
      <c r="H22358" s="4" t="s">
        <v>7</v>
      </c>
      <c r="I22358" s="4" t="s">
        <v>7</v>
      </c>
      <c r="J22358" s="4" t="s">
        <v>7</v>
      </c>
    </row>
    <row r="22359" spans="1:10">
      <c r="A22359" t="n">
        <v>215190</v>
      </c>
      <c r="B22359" s="74" t="n">
        <v>18</v>
      </c>
      <c r="C22359" s="7" t="n">
        <v>1</v>
      </c>
      <c r="D22359" s="7" t="n">
        <v>35</v>
      </c>
      <c r="E22359" s="7" t="n">
        <v>1</v>
      </c>
      <c r="F22359" s="7" t="n">
        <v>0</v>
      </c>
      <c r="G22359" s="7" t="n">
        <v>1</v>
      </c>
      <c r="H22359" s="7" t="n">
        <v>12</v>
      </c>
      <c r="I22359" s="7" t="n">
        <v>19</v>
      </c>
      <c r="J22359" s="7" t="n">
        <v>1</v>
      </c>
    </row>
    <row r="22360" spans="1:10">
      <c r="A22360" t="s">
        <v>4</v>
      </c>
      <c r="B22360" s="4" t="s">
        <v>5</v>
      </c>
      <c r="C22360" s="4" t="s">
        <v>7</v>
      </c>
      <c r="D22360" s="4" t="s">
        <v>11</v>
      </c>
      <c r="E22360" s="4" t="s">
        <v>7</v>
      </c>
      <c r="F22360" s="4" t="s">
        <v>12</v>
      </c>
    </row>
    <row r="22361" spans="1:10">
      <c r="A22361" t="n">
        <v>215202</v>
      </c>
      <c r="B22361" s="10" t="n">
        <v>5</v>
      </c>
      <c r="C22361" s="7" t="n">
        <v>30</v>
      </c>
      <c r="D22361" s="7" t="n">
        <v>10315</v>
      </c>
      <c r="E22361" s="7" t="n">
        <v>1</v>
      </c>
      <c r="F22361" s="11" t="n">
        <f t="normal" ca="1">A22365</f>
        <v>0</v>
      </c>
    </row>
    <row r="22362" spans="1:10">
      <c r="A22362" t="s">
        <v>4</v>
      </c>
      <c r="B22362" s="4" t="s">
        <v>5</v>
      </c>
      <c r="C22362" s="4" t="s">
        <v>7</v>
      </c>
      <c r="D22362" s="4" t="s">
        <v>7</v>
      </c>
      <c r="E22362" s="4" t="s">
        <v>7</v>
      </c>
      <c r="F22362" s="4" t="s">
        <v>7</v>
      </c>
      <c r="G22362" s="4" t="s">
        <v>15</v>
      </c>
      <c r="H22362" s="4" t="s">
        <v>7</v>
      </c>
      <c r="I22362" s="4" t="s">
        <v>7</v>
      </c>
      <c r="J22362" s="4" t="s">
        <v>7</v>
      </c>
    </row>
    <row r="22363" spans="1:10">
      <c r="A22363" t="n">
        <v>215211</v>
      </c>
      <c r="B22363" s="74" t="n">
        <v>18</v>
      </c>
      <c r="C22363" s="7" t="n">
        <v>1</v>
      </c>
      <c r="D22363" s="7" t="n">
        <v>35</v>
      </c>
      <c r="E22363" s="7" t="n">
        <v>1</v>
      </c>
      <c r="F22363" s="7" t="n">
        <v>0</v>
      </c>
      <c r="G22363" s="7" t="n">
        <v>1</v>
      </c>
      <c r="H22363" s="7" t="n">
        <v>12</v>
      </c>
      <c r="I22363" s="7" t="n">
        <v>19</v>
      </c>
      <c r="J22363" s="7" t="n">
        <v>1</v>
      </c>
    </row>
    <row r="22364" spans="1:10">
      <c r="A22364" t="s">
        <v>4</v>
      </c>
      <c r="B22364" s="4" t="s">
        <v>5</v>
      </c>
      <c r="C22364" s="4" t="s">
        <v>7</v>
      </c>
      <c r="D22364" s="4" t="s">
        <v>7</v>
      </c>
      <c r="E22364" s="4" t="s">
        <v>7</v>
      </c>
      <c r="F22364" s="4" t="s">
        <v>15</v>
      </c>
      <c r="G22364" s="4" t="s">
        <v>7</v>
      </c>
      <c r="H22364" s="4" t="s">
        <v>7</v>
      </c>
      <c r="I22364" s="4" t="s">
        <v>12</v>
      </c>
    </row>
    <row r="22365" spans="1:10">
      <c r="A22365" t="n">
        <v>215223</v>
      </c>
      <c r="B22365" s="10" t="n">
        <v>5</v>
      </c>
      <c r="C22365" s="7" t="n">
        <v>35</v>
      </c>
      <c r="D22365" s="7" t="n">
        <v>1</v>
      </c>
      <c r="E22365" s="7" t="n">
        <v>0</v>
      </c>
      <c r="F22365" s="7" t="n">
        <v>12</v>
      </c>
      <c r="G22365" s="7" t="n">
        <v>2</v>
      </c>
      <c r="H22365" s="7" t="n">
        <v>1</v>
      </c>
      <c r="I22365" s="11" t="n">
        <f t="normal" ca="1">A22375</f>
        <v>0</v>
      </c>
    </row>
    <row r="22366" spans="1:10">
      <c r="A22366" t="s">
        <v>4</v>
      </c>
      <c r="B22366" s="4" t="s">
        <v>5</v>
      </c>
      <c r="C22366" s="4" t="s">
        <v>7</v>
      </c>
      <c r="D22366" s="4" t="s">
        <v>8</v>
      </c>
      <c r="E22366" s="4" t="s">
        <v>11</v>
      </c>
    </row>
    <row r="22367" spans="1:10">
      <c r="A22367" t="n">
        <v>215237</v>
      </c>
      <c r="B22367" s="15" t="n">
        <v>94</v>
      </c>
      <c r="C22367" s="7" t="n">
        <v>0</v>
      </c>
      <c r="D22367" s="7" t="s">
        <v>25</v>
      </c>
      <c r="E22367" s="7" t="n">
        <v>16</v>
      </c>
    </row>
    <row r="22368" spans="1:10">
      <c r="A22368" t="s">
        <v>4</v>
      </c>
      <c r="B22368" s="4" t="s">
        <v>5</v>
      </c>
      <c r="C22368" s="4" t="s">
        <v>7</v>
      </c>
      <c r="D22368" s="4" t="s">
        <v>8</v>
      </c>
      <c r="E22368" s="4" t="s">
        <v>11</v>
      </c>
    </row>
    <row r="22369" spans="1:10">
      <c r="A22369" t="n">
        <v>215251</v>
      </c>
      <c r="B22369" s="15" t="n">
        <v>94</v>
      </c>
      <c r="C22369" s="7" t="n">
        <v>0</v>
      </c>
      <c r="D22369" s="7" t="s">
        <v>25</v>
      </c>
      <c r="E22369" s="7" t="n">
        <v>512</v>
      </c>
    </row>
    <row r="22370" spans="1:10">
      <c r="A22370" t="s">
        <v>4</v>
      </c>
      <c r="B22370" s="4" t="s">
        <v>5</v>
      </c>
      <c r="C22370" s="4" t="s">
        <v>7</v>
      </c>
      <c r="D22370" s="4" t="s">
        <v>8</v>
      </c>
      <c r="E22370" s="4" t="s">
        <v>11</v>
      </c>
    </row>
    <row r="22371" spans="1:10">
      <c r="A22371" t="n">
        <v>215265</v>
      </c>
      <c r="B22371" s="16" t="n">
        <v>91</v>
      </c>
      <c r="C22371" s="7" t="n">
        <v>1</v>
      </c>
      <c r="D22371" s="7" t="s">
        <v>27</v>
      </c>
      <c r="E22371" s="7" t="n">
        <v>1</v>
      </c>
    </row>
    <row r="22372" spans="1:10">
      <c r="A22372" t="s">
        <v>4</v>
      </c>
      <c r="B22372" s="4" t="s">
        <v>5</v>
      </c>
      <c r="C22372" s="4" t="s">
        <v>12</v>
      </c>
    </row>
    <row r="22373" spans="1:10">
      <c r="A22373" t="n">
        <v>215281</v>
      </c>
      <c r="B22373" s="19" t="n">
        <v>3</v>
      </c>
      <c r="C22373" s="11" t="n">
        <f t="normal" ca="1">A22381</f>
        <v>0</v>
      </c>
    </row>
    <row r="22374" spans="1:10">
      <c r="A22374" t="s">
        <v>4</v>
      </c>
      <c r="B22374" s="4" t="s">
        <v>5</v>
      </c>
      <c r="C22374" s="4" t="s">
        <v>7</v>
      </c>
      <c r="D22374" s="4" t="s">
        <v>8</v>
      </c>
      <c r="E22374" s="4" t="s">
        <v>11</v>
      </c>
    </row>
    <row r="22375" spans="1:10">
      <c r="A22375" t="n">
        <v>215286</v>
      </c>
      <c r="B22375" s="15" t="n">
        <v>94</v>
      </c>
      <c r="C22375" s="7" t="n">
        <v>1</v>
      </c>
      <c r="D22375" s="7" t="s">
        <v>25</v>
      </c>
      <c r="E22375" s="7" t="n">
        <v>16</v>
      </c>
    </row>
    <row r="22376" spans="1:10">
      <c r="A22376" t="s">
        <v>4</v>
      </c>
      <c r="B22376" s="4" t="s">
        <v>5</v>
      </c>
      <c r="C22376" s="4" t="s">
        <v>7</v>
      </c>
      <c r="D22376" s="4" t="s">
        <v>8</v>
      </c>
      <c r="E22376" s="4" t="s">
        <v>11</v>
      </c>
    </row>
    <row r="22377" spans="1:10">
      <c r="A22377" t="n">
        <v>215300</v>
      </c>
      <c r="B22377" s="15" t="n">
        <v>94</v>
      </c>
      <c r="C22377" s="7" t="n">
        <v>1</v>
      </c>
      <c r="D22377" s="7" t="s">
        <v>25</v>
      </c>
      <c r="E22377" s="7" t="n">
        <v>512</v>
      </c>
    </row>
    <row r="22378" spans="1:10">
      <c r="A22378" t="s">
        <v>4</v>
      </c>
      <c r="B22378" s="4" t="s">
        <v>5</v>
      </c>
      <c r="C22378" s="4" t="s">
        <v>7</v>
      </c>
      <c r="D22378" s="4" t="s">
        <v>8</v>
      </c>
      <c r="E22378" s="4" t="s">
        <v>11</v>
      </c>
    </row>
    <row r="22379" spans="1:10">
      <c r="A22379" t="n">
        <v>215314</v>
      </c>
      <c r="B22379" s="16" t="n">
        <v>91</v>
      </c>
      <c r="C22379" s="7" t="n">
        <v>0</v>
      </c>
      <c r="D22379" s="7" t="s">
        <v>27</v>
      </c>
      <c r="E22379" s="7" t="n">
        <v>1</v>
      </c>
    </row>
    <row r="22380" spans="1:10">
      <c r="A22380" t="s">
        <v>4</v>
      </c>
      <c r="B22380" s="4" t="s">
        <v>5</v>
      </c>
    </row>
    <row r="22381" spans="1:10">
      <c r="A22381" t="n">
        <v>215330</v>
      </c>
      <c r="B22381" s="5" t="n">
        <v>1</v>
      </c>
    </row>
    <row r="22382" spans="1:10" s="3" customFormat="1" customHeight="0">
      <c r="A22382" s="3" t="s">
        <v>2</v>
      </c>
      <c r="B22382" s="3" t="s">
        <v>1826</v>
      </c>
    </row>
    <row r="22383" spans="1:10">
      <c r="A22383" t="s">
        <v>4</v>
      </c>
      <c r="B22383" s="4" t="s">
        <v>5</v>
      </c>
      <c r="C22383" s="4" t="s">
        <v>7</v>
      </c>
      <c r="D22383" s="4" t="s">
        <v>11</v>
      </c>
      <c r="E22383" s="4" t="s">
        <v>7</v>
      </c>
      <c r="F22383" s="4" t="s">
        <v>11</v>
      </c>
      <c r="G22383" s="4" t="s">
        <v>7</v>
      </c>
      <c r="H22383" s="4" t="s">
        <v>7</v>
      </c>
      <c r="I22383" s="4" t="s">
        <v>7</v>
      </c>
      <c r="J22383" s="4" t="s">
        <v>12</v>
      </c>
    </row>
    <row r="22384" spans="1:10">
      <c r="A22384" t="n">
        <v>215332</v>
      </c>
      <c r="B22384" s="10" t="n">
        <v>5</v>
      </c>
      <c r="C22384" s="7" t="n">
        <v>30</v>
      </c>
      <c r="D22384" s="7" t="n">
        <v>10993</v>
      </c>
      <c r="E22384" s="7" t="n">
        <v>30</v>
      </c>
      <c r="F22384" s="7" t="n">
        <v>10994</v>
      </c>
      <c r="G22384" s="7" t="n">
        <v>8</v>
      </c>
      <c r="H22384" s="7" t="n">
        <v>9</v>
      </c>
      <c r="I22384" s="7" t="n">
        <v>1</v>
      </c>
      <c r="J22384" s="11" t="n">
        <f t="normal" ca="1">A22452</f>
        <v>0</v>
      </c>
    </row>
    <row r="22385" spans="1:10">
      <c r="A22385" t="s">
        <v>4</v>
      </c>
      <c r="B22385" s="4" t="s">
        <v>5</v>
      </c>
      <c r="C22385" s="4" t="s">
        <v>7</v>
      </c>
      <c r="D22385" s="4" t="s">
        <v>11</v>
      </c>
      <c r="E22385" s="4" t="s">
        <v>7</v>
      </c>
      <c r="F22385" s="4" t="s">
        <v>12</v>
      </c>
    </row>
    <row r="22386" spans="1:10">
      <c r="A22386" t="n">
        <v>215346</v>
      </c>
      <c r="B22386" s="10" t="n">
        <v>5</v>
      </c>
      <c r="C22386" s="7" t="n">
        <v>30</v>
      </c>
      <c r="D22386" s="7" t="n">
        <v>10317</v>
      </c>
      <c r="E22386" s="7" t="n">
        <v>1</v>
      </c>
      <c r="F22386" s="11" t="n">
        <f t="normal" ca="1">A22418</f>
        <v>0</v>
      </c>
    </row>
    <row r="22387" spans="1:10">
      <c r="A22387" t="s">
        <v>4</v>
      </c>
      <c r="B22387" s="4" t="s">
        <v>5</v>
      </c>
      <c r="C22387" s="4" t="s">
        <v>7</v>
      </c>
      <c r="D22387" s="4" t="s">
        <v>11</v>
      </c>
    </row>
    <row r="22388" spans="1:10">
      <c r="A22388" t="n">
        <v>215355</v>
      </c>
      <c r="B22388" s="22" t="n">
        <v>22</v>
      </c>
      <c r="C22388" s="7" t="n">
        <v>20</v>
      </c>
      <c r="D22388" s="7" t="n">
        <v>0</v>
      </c>
    </row>
    <row r="22389" spans="1:10">
      <c r="A22389" t="s">
        <v>4</v>
      </c>
      <c r="B22389" s="4" t="s">
        <v>5</v>
      </c>
      <c r="C22389" s="4" t="s">
        <v>7</v>
      </c>
      <c r="D22389" s="4" t="s">
        <v>11</v>
      </c>
      <c r="E22389" s="4" t="s">
        <v>8</v>
      </c>
    </row>
    <row r="22390" spans="1:10">
      <c r="A22390" t="n">
        <v>215359</v>
      </c>
      <c r="B22390" s="38" t="n">
        <v>51</v>
      </c>
      <c r="C22390" s="7" t="n">
        <v>4</v>
      </c>
      <c r="D22390" s="7" t="n">
        <v>0</v>
      </c>
      <c r="E22390" s="7" t="s">
        <v>264</v>
      </c>
    </row>
    <row r="22391" spans="1:10">
      <c r="A22391" t="s">
        <v>4</v>
      </c>
      <c r="B22391" s="4" t="s">
        <v>5</v>
      </c>
      <c r="C22391" s="4" t="s">
        <v>11</v>
      </c>
    </row>
    <row r="22392" spans="1:10">
      <c r="A22392" t="n">
        <v>215374</v>
      </c>
      <c r="B22392" s="29" t="n">
        <v>16</v>
      </c>
      <c r="C22392" s="7" t="n">
        <v>0</v>
      </c>
    </row>
    <row r="22393" spans="1:10">
      <c r="A22393" t="s">
        <v>4</v>
      </c>
      <c r="B22393" s="4" t="s">
        <v>5</v>
      </c>
      <c r="C22393" s="4" t="s">
        <v>11</v>
      </c>
      <c r="D22393" s="4" t="s">
        <v>7</v>
      </c>
      <c r="E22393" s="4" t="s">
        <v>15</v>
      </c>
      <c r="F22393" s="4" t="s">
        <v>55</v>
      </c>
      <c r="G22393" s="4" t="s">
        <v>7</v>
      </c>
      <c r="H22393" s="4" t="s">
        <v>7</v>
      </c>
      <c r="I22393" s="4" t="s">
        <v>7</v>
      </c>
      <c r="J22393" s="4" t="s">
        <v>15</v>
      </c>
      <c r="K22393" s="4" t="s">
        <v>55</v>
      </c>
      <c r="L22393" s="4" t="s">
        <v>7</v>
      </c>
      <c r="M22393" s="4" t="s">
        <v>7</v>
      </c>
    </row>
    <row r="22394" spans="1:10">
      <c r="A22394" t="n">
        <v>215377</v>
      </c>
      <c r="B22394" s="55" t="n">
        <v>26</v>
      </c>
      <c r="C22394" s="7" t="n">
        <v>0</v>
      </c>
      <c r="D22394" s="7" t="n">
        <v>17</v>
      </c>
      <c r="E22394" s="7" t="n">
        <v>64797</v>
      </c>
      <c r="F22394" s="7" t="s">
        <v>1827</v>
      </c>
      <c r="G22394" s="7" t="n">
        <v>2</v>
      </c>
      <c r="H22394" s="7" t="n">
        <v>3</v>
      </c>
      <c r="I22394" s="7" t="n">
        <v>17</v>
      </c>
      <c r="J22394" s="7" t="n">
        <v>64798</v>
      </c>
      <c r="K22394" s="7" t="s">
        <v>1828</v>
      </c>
      <c r="L22394" s="7" t="n">
        <v>2</v>
      </c>
      <c r="M22394" s="7" t="n">
        <v>0</v>
      </c>
    </row>
    <row r="22395" spans="1:10">
      <c r="A22395" t="s">
        <v>4</v>
      </c>
      <c r="B22395" s="4" t="s">
        <v>5</v>
      </c>
    </row>
    <row r="22396" spans="1:10">
      <c r="A22396" t="n">
        <v>215591</v>
      </c>
      <c r="B22396" s="27" t="n">
        <v>28</v>
      </c>
    </row>
    <row r="22397" spans="1:10">
      <c r="A22397" t="s">
        <v>4</v>
      </c>
      <c r="B22397" s="4" t="s">
        <v>5</v>
      </c>
      <c r="C22397" s="4" t="s">
        <v>11</v>
      </c>
      <c r="D22397" s="4" t="s">
        <v>7</v>
      </c>
    </row>
    <row r="22398" spans="1:10">
      <c r="A22398" t="n">
        <v>215592</v>
      </c>
      <c r="B22398" s="68" t="n">
        <v>89</v>
      </c>
      <c r="C22398" s="7" t="n">
        <v>65533</v>
      </c>
      <c r="D22398" s="7" t="n">
        <v>1</v>
      </c>
    </row>
    <row r="22399" spans="1:10">
      <c r="A22399" t="s">
        <v>4</v>
      </c>
      <c r="B22399" s="4" t="s">
        <v>5</v>
      </c>
      <c r="C22399" s="4" t="s">
        <v>7</v>
      </c>
      <c r="D22399" s="4" t="s">
        <v>11</v>
      </c>
      <c r="E22399" s="4" t="s">
        <v>8</v>
      </c>
      <c r="F22399" s="4" t="s">
        <v>8</v>
      </c>
      <c r="G22399" s="4" t="s">
        <v>8</v>
      </c>
      <c r="H22399" s="4" t="s">
        <v>8</v>
      </c>
    </row>
    <row r="22400" spans="1:10">
      <c r="A22400" t="n">
        <v>215596</v>
      </c>
      <c r="B22400" s="38" t="n">
        <v>51</v>
      </c>
      <c r="C22400" s="7" t="n">
        <v>3</v>
      </c>
      <c r="D22400" s="7" t="n">
        <v>0</v>
      </c>
      <c r="E22400" s="7" t="s">
        <v>79</v>
      </c>
      <c r="F22400" s="7" t="s">
        <v>79</v>
      </c>
      <c r="G22400" s="7" t="s">
        <v>78</v>
      </c>
      <c r="H22400" s="7" t="s">
        <v>79</v>
      </c>
    </row>
    <row r="22401" spans="1:13">
      <c r="A22401" t="s">
        <v>4</v>
      </c>
      <c r="B22401" s="4" t="s">
        <v>5</v>
      </c>
      <c r="C22401" s="4" t="s">
        <v>7</v>
      </c>
      <c r="D22401" s="4" t="s">
        <v>8</v>
      </c>
    </row>
    <row r="22402" spans="1:13">
      <c r="A22402" t="n">
        <v>215609</v>
      </c>
      <c r="B22402" s="6" t="n">
        <v>2</v>
      </c>
      <c r="C22402" s="7" t="n">
        <v>10</v>
      </c>
      <c r="D22402" s="7" t="s">
        <v>51</v>
      </c>
    </row>
    <row r="22403" spans="1:13">
      <c r="A22403" t="s">
        <v>4</v>
      </c>
      <c r="B22403" s="4" t="s">
        <v>5</v>
      </c>
      <c r="C22403" s="4" t="s">
        <v>11</v>
      </c>
    </row>
    <row r="22404" spans="1:13">
      <c r="A22404" t="n">
        <v>215632</v>
      </c>
      <c r="B22404" s="29" t="n">
        <v>16</v>
      </c>
      <c r="C22404" s="7" t="n">
        <v>0</v>
      </c>
    </row>
    <row r="22405" spans="1:13">
      <c r="A22405" t="s">
        <v>4</v>
      </c>
      <c r="B22405" s="4" t="s">
        <v>5</v>
      </c>
      <c r="C22405" s="4" t="s">
        <v>7</v>
      </c>
      <c r="D22405" s="4" t="s">
        <v>8</v>
      </c>
    </row>
    <row r="22406" spans="1:13">
      <c r="A22406" t="n">
        <v>215635</v>
      </c>
      <c r="B22406" s="6" t="n">
        <v>2</v>
      </c>
      <c r="C22406" s="7" t="n">
        <v>10</v>
      </c>
      <c r="D22406" s="7" t="s">
        <v>52</v>
      </c>
    </row>
    <row r="22407" spans="1:13">
      <c r="A22407" t="s">
        <v>4</v>
      </c>
      <c r="B22407" s="4" t="s">
        <v>5</v>
      </c>
      <c r="C22407" s="4" t="s">
        <v>11</v>
      </c>
    </row>
    <row r="22408" spans="1:13">
      <c r="A22408" t="n">
        <v>215653</v>
      </c>
      <c r="B22408" s="29" t="n">
        <v>16</v>
      </c>
      <c r="C22408" s="7" t="n">
        <v>0</v>
      </c>
    </row>
    <row r="22409" spans="1:13">
      <c r="A22409" t="s">
        <v>4</v>
      </c>
      <c r="B22409" s="4" t="s">
        <v>5</v>
      </c>
      <c r="C22409" s="4" t="s">
        <v>7</v>
      </c>
      <c r="D22409" s="4" t="s">
        <v>8</v>
      </c>
    </row>
    <row r="22410" spans="1:13">
      <c r="A22410" t="n">
        <v>215656</v>
      </c>
      <c r="B22410" s="6" t="n">
        <v>2</v>
      </c>
      <c r="C22410" s="7" t="n">
        <v>10</v>
      </c>
      <c r="D22410" s="7" t="s">
        <v>53</v>
      </c>
    </row>
    <row r="22411" spans="1:13">
      <c r="A22411" t="s">
        <v>4</v>
      </c>
      <c r="B22411" s="4" t="s">
        <v>5</v>
      </c>
      <c r="C22411" s="4" t="s">
        <v>11</v>
      </c>
    </row>
    <row r="22412" spans="1:13">
      <c r="A22412" t="n">
        <v>215675</v>
      </c>
      <c r="B22412" s="29" t="n">
        <v>16</v>
      </c>
      <c r="C22412" s="7" t="n">
        <v>0</v>
      </c>
    </row>
    <row r="22413" spans="1:13">
      <c r="A22413" t="s">
        <v>4</v>
      </c>
      <c r="B22413" s="4" t="s">
        <v>5</v>
      </c>
      <c r="C22413" s="4" t="s">
        <v>7</v>
      </c>
    </row>
    <row r="22414" spans="1:13">
      <c r="A22414" t="n">
        <v>215678</v>
      </c>
      <c r="B22414" s="30" t="n">
        <v>23</v>
      </c>
      <c r="C22414" s="7" t="n">
        <v>20</v>
      </c>
    </row>
    <row r="22415" spans="1:13">
      <c r="A22415" t="s">
        <v>4</v>
      </c>
      <c r="B22415" s="4" t="s">
        <v>5</v>
      </c>
      <c r="C22415" s="4" t="s">
        <v>12</v>
      </c>
    </row>
    <row r="22416" spans="1:13">
      <c r="A22416" t="n">
        <v>215680</v>
      </c>
      <c r="B22416" s="19" t="n">
        <v>3</v>
      </c>
      <c r="C22416" s="11" t="n">
        <f t="normal" ca="1">A22452</f>
        <v>0</v>
      </c>
    </row>
    <row r="22417" spans="1:4">
      <c r="A22417" t="s">
        <v>4</v>
      </c>
      <c r="B22417" s="4" t="s">
        <v>5</v>
      </c>
      <c r="C22417" s="4" t="s">
        <v>7</v>
      </c>
      <c r="D22417" s="4" t="s">
        <v>11</v>
      </c>
      <c r="E22417" s="4" t="s">
        <v>7</v>
      </c>
      <c r="F22417" s="4" t="s">
        <v>7</v>
      </c>
      <c r="G22417" s="4" t="s">
        <v>12</v>
      </c>
    </row>
    <row r="22418" spans="1:4">
      <c r="A22418" t="n">
        <v>215685</v>
      </c>
      <c r="B22418" s="10" t="n">
        <v>5</v>
      </c>
      <c r="C22418" s="7" t="n">
        <v>30</v>
      </c>
      <c r="D22418" s="7" t="n">
        <v>10316</v>
      </c>
      <c r="E22418" s="7" t="n">
        <v>8</v>
      </c>
      <c r="F22418" s="7" t="n">
        <v>1</v>
      </c>
      <c r="G22418" s="11" t="n">
        <f t="normal" ca="1">A22424</f>
        <v>0</v>
      </c>
    </row>
    <row r="22419" spans="1:4">
      <c r="A22419" t="s">
        <v>4</v>
      </c>
      <c r="B22419" s="4" t="s">
        <v>5</v>
      </c>
      <c r="C22419" s="4" t="s">
        <v>7</v>
      </c>
      <c r="D22419" s="4" t="s">
        <v>11</v>
      </c>
    </row>
    <row r="22420" spans="1:4">
      <c r="A22420" t="n">
        <v>215695</v>
      </c>
      <c r="B22420" s="8" t="n">
        <v>162</v>
      </c>
      <c r="C22420" s="7" t="n">
        <v>1</v>
      </c>
      <c r="D22420" s="7" t="n">
        <v>33162</v>
      </c>
    </row>
    <row r="22421" spans="1:4">
      <c r="A22421" t="s">
        <v>4</v>
      </c>
      <c r="B22421" s="4" t="s">
        <v>5</v>
      </c>
      <c r="C22421" s="4" t="s">
        <v>12</v>
      </c>
    </row>
    <row r="22422" spans="1:4">
      <c r="A22422" t="n">
        <v>215699</v>
      </c>
      <c r="B22422" s="19" t="n">
        <v>3</v>
      </c>
      <c r="C22422" s="11" t="n">
        <f t="normal" ca="1">A22452</f>
        <v>0</v>
      </c>
    </row>
    <row r="22423" spans="1:4">
      <c r="A22423" t="s">
        <v>4</v>
      </c>
      <c r="B22423" s="4" t="s">
        <v>5</v>
      </c>
      <c r="C22423" s="4" t="s">
        <v>7</v>
      </c>
      <c r="D22423" s="4" t="s">
        <v>11</v>
      </c>
    </row>
    <row r="22424" spans="1:4">
      <c r="A22424" t="n">
        <v>215704</v>
      </c>
      <c r="B22424" s="22" t="n">
        <v>22</v>
      </c>
      <c r="C22424" s="7" t="n">
        <v>20</v>
      </c>
      <c r="D22424" s="7" t="n">
        <v>0</v>
      </c>
    </row>
    <row r="22425" spans="1:4">
      <c r="A22425" t="s">
        <v>4</v>
      </c>
      <c r="B22425" s="4" t="s">
        <v>5</v>
      </c>
      <c r="C22425" s="4" t="s">
        <v>7</v>
      </c>
      <c r="D22425" s="4" t="s">
        <v>11</v>
      </c>
      <c r="E22425" s="4" t="s">
        <v>8</v>
      </c>
    </row>
    <row r="22426" spans="1:4">
      <c r="A22426" t="n">
        <v>215708</v>
      </c>
      <c r="B22426" s="38" t="n">
        <v>51</v>
      </c>
      <c r="C22426" s="7" t="n">
        <v>4</v>
      </c>
      <c r="D22426" s="7" t="n">
        <v>0</v>
      </c>
      <c r="E22426" s="7" t="s">
        <v>264</v>
      </c>
    </row>
    <row r="22427" spans="1:4">
      <c r="A22427" t="s">
        <v>4</v>
      </c>
      <c r="B22427" s="4" t="s">
        <v>5</v>
      </c>
      <c r="C22427" s="4" t="s">
        <v>11</v>
      </c>
    </row>
    <row r="22428" spans="1:4">
      <c r="A22428" t="n">
        <v>215723</v>
      </c>
      <c r="B22428" s="29" t="n">
        <v>16</v>
      </c>
      <c r="C22428" s="7" t="n">
        <v>0</v>
      </c>
    </row>
    <row r="22429" spans="1:4">
      <c r="A22429" t="s">
        <v>4</v>
      </c>
      <c r="B22429" s="4" t="s">
        <v>5</v>
      </c>
      <c r="C22429" s="4" t="s">
        <v>11</v>
      </c>
      <c r="D22429" s="4" t="s">
        <v>7</v>
      </c>
      <c r="E22429" s="4" t="s">
        <v>15</v>
      </c>
      <c r="F22429" s="4" t="s">
        <v>55</v>
      </c>
      <c r="G22429" s="4" t="s">
        <v>7</v>
      </c>
      <c r="H22429" s="4" t="s">
        <v>7</v>
      </c>
      <c r="I22429" s="4" t="s">
        <v>7</v>
      </c>
      <c r="J22429" s="4" t="s">
        <v>15</v>
      </c>
      <c r="K22429" s="4" t="s">
        <v>55</v>
      </c>
      <c r="L22429" s="4" t="s">
        <v>7</v>
      </c>
      <c r="M22429" s="4" t="s">
        <v>7</v>
      </c>
    </row>
    <row r="22430" spans="1:4">
      <c r="A22430" t="n">
        <v>215726</v>
      </c>
      <c r="B22430" s="55" t="n">
        <v>26</v>
      </c>
      <c r="C22430" s="7" t="n">
        <v>0</v>
      </c>
      <c r="D22430" s="7" t="n">
        <v>17</v>
      </c>
      <c r="E22430" s="7" t="n">
        <v>64799</v>
      </c>
      <c r="F22430" s="7" t="s">
        <v>1829</v>
      </c>
      <c r="G22430" s="7" t="n">
        <v>2</v>
      </c>
      <c r="H22430" s="7" t="n">
        <v>3</v>
      </c>
      <c r="I22430" s="7" t="n">
        <v>17</v>
      </c>
      <c r="J22430" s="7" t="n">
        <v>64800</v>
      </c>
      <c r="K22430" s="7" t="s">
        <v>1830</v>
      </c>
      <c r="L22430" s="7" t="n">
        <v>2</v>
      </c>
      <c r="M22430" s="7" t="n">
        <v>0</v>
      </c>
    </row>
    <row r="22431" spans="1:4">
      <c r="A22431" t="s">
        <v>4</v>
      </c>
      <c r="B22431" s="4" t="s">
        <v>5</v>
      </c>
    </row>
    <row r="22432" spans="1:4">
      <c r="A22432" t="n">
        <v>215828</v>
      </c>
      <c r="B22432" s="27" t="n">
        <v>28</v>
      </c>
    </row>
    <row r="22433" spans="1:13">
      <c r="A22433" t="s">
        <v>4</v>
      </c>
      <c r="B22433" s="4" t="s">
        <v>5</v>
      </c>
      <c r="C22433" s="4" t="s">
        <v>11</v>
      </c>
      <c r="D22433" s="4" t="s">
        <v>7</v>
      </c>
    </row>
    <row r="22434" spans="1:13">
      <c r="A22434" t="n">
        <v>215829</v>
      </c>
      <c r="B22434" s="68" t="n">
        <v>89</v>
      </c>
      <c r="C22434" s="7" t="n">
        <v>65533</v>
      </c>
      <c r="D22434" s="7" t="n">
        <v>1</v>
      </c>
    </row>
    <row r="22435" spans="1:13">
      <c r="A22435" t="s">
        <v>4</v>
      </c>
      <c r="B22435" s="4" t="s">
        <v>5</v>
      </c>
      <c r="C22435" s="4" t="s">
        <v>7</v>
      </c>
      <c r="D22435" s="4" t="s">
        <v>11</v>
      </c>
      <c r="E22435" s="4" t="s">
        <v>8</v>
      </c>
      <c r="F22435" s="4" t="s">
        <v>8</v>
      </c>
      <c r="G22435" s="4" t="s">
        <v>8</v>
      </c>
      <c r="H22435" s="4" t="s">
        <v>8</v>
      </c>
    </row>
    <row r="22436" spans="1:13">
      <c r="A22436" t="n">
        <v>215833</v>
      </c>
      <c r="B22436" s="38" t="n">
        <v>51</v>
      </c>
      <c r="C22436" s="7" t="n">
        <v>3</v>
      </c>
      <c r="D22436" s="7" t="n">
        <v>0</v>
      </c>
      <c r="E22436" s="7" t="s">
        <v>79</v>
      </c>
      <c r="F22436" s="7" t="s">
        <v>79</v>
      </c>
      <c r="G22436" s="7" t="s">
        <v>78</v>
      </c>
      <c r="H22436" s="7" t="s">
        <v>79</v>
      </c>
    </row>
    <row r="22437" spans="1:13">
      <c r="A22437" t="s">
        <v>4</v>
      </c>
      <c r="B22437" s="4" t="s">
        <v>5</v>
      </c>
      <c r="C22437" s="4" t="s">
        <v>7</v>
      </c>
      <c r="D22437" s="4" t="s">
        <v>8</v>
      </c>
    </row>
    <row r="22438" spans="1:13">
      <c r="A22438" t="n">
        <v>215846</v>
      </c>
      <c r="B22438" s="6" t="n">
        <v>2</v>
      </c>
      <c r="C22438" s="7" t="n">
        <v>10</v>
      </c>
      <c r="D22438" s="7" t="s">
        <v>51</v>
      </c>
    </row>
    <row r="22439" spans="1:13">
      <c r="A22439" t="s">
        <v>4</v>
      </c>
      <c r="B22439" s="4" t="s">
        <v>5</v>
      </c>
      <c r="C22439" s="4" t="s">
        <v>11</v>
      </c>
    </row>
    <row r="22440" spans="1:13">
      <c r="A22440" t="n">
        <v>215869</v>
      </c>
      <c r="B22440" s="29" t="n">
        <v>16</v>
      </c>
      <c r="C22440" s="7" t="n">
        <v>0</v>
      </c>
    </row>
    <row r="22441" spans="1:13">
      <c r="A22441" t="s">
        <v>4</v>
      </c>
      <c r="B22441" s="4" t="s">
        <v>5</v>
      </c>
      <c r="C22441" s="4" t="s">
        <v>7</v>
      </c>
      <c r="D22441" s="4" t="s">
        <v>8</v>
      </c>
    </row>
    <row r="22442" spans="1:13">
      <c r="A22442" t="n">
        <v>215872</v>
      </c>
      <c r="B22442" s="6" t="n">
        <v>2</v>
      </c>
      <c r="C22442" s="7" t="n">
        <v>10</v>
      </c>
      <c r="D22442" s="7" t="s">
        <v>52</v>
      </c>
    </row>
    <row r="22443" spans="1:13">
      <c r="A22443" t="s">
        <v>4</v>
      </c>
      <c r="B22443" s="4" t="s">
        <v>5</v>
      </c>
      <c r="C22443" s="4" t="s">
        <v>11</v>
      </c>
    </row>
    <row r="22444" spans="1:13">
      <c r="A22444" t="n">
        <v>215890</v>
      </c>
      <c r="B22444" s="29" t="n">
        <v>16</v>
      </c>
      <c r="C22444" s="7" t="n">
        <v>0</v>
      </c>
    </row>
    <row r="22445" spans="1:13">
      <c r="A22445" t="s">
        <v>4</v>
      </c>
      <c r="B22445" s="4" t="s">
        <v>5</v>
      </c>
      <c r="C22445" s="4" t="s">
        <v>7</v>
      </c>
      <c r="D22445" s="4" t="s">
        <v>8</v>
      </c>
    </row>
    <row r="22446" spans="1:13">
      <c r="A22446" t="n">
        <v>215893</v>
      </c>
      <c r="B22446" s="6" t="n">
        <v>2</v>
      </c>
      <c r="C22446" s="7" t="n">
        <v>10</v>
      </c>
      <c r="D22446" s="7" t="s">
        <v>53</v>
      </c>
    </row>
    <row r="22447" spans="1:13">
      <c r="A22447" t="s">
        <v>4</v>
      </c>
      <c r="B22447" s="4" t="s">
        <v>5</v>
      </c>
      <c r="C22447" s="4" t="s">
        <v>11</v>
      </c>
    </row>
    <row r="22448" spans="1:13">
      <c r="A22448" t="n">
        <v>215912</v>
      </c>
      <c r="B22448" s="29" t="n">
        <v>16</v>
      </c>
      <c r="C22448" s="7" t="n">
        <v>0</v>
      </c>
    </row>
    <row r="22449" spans="1:8">
      <c r="A22449" t="s">
        <v>4</v>
      </c>
      <c r="B22449" s="4" t="s">
        <v>5</v>
      </c>
      <c r="C22449" s="4" t="s">
        <v>7</v>
      </c>
    </row>
    <row r="22450" spans="1:8">
      <c r="A22450" t="n">
        <v>215915</v>
      </c>
      <c r="B22450" s="30" t="n">
        <v>23</v>
      </c>
      <c r="C22450" s="7" t="n">
        <v>20</v>
      </c>
    </row>
    <row r="22451" spans="1:8">
      <c r="A22451" t="s">
        <v>4</v>
      </c>
      <c r="B22451" s="4" t="s">
        <v>5</v>
      </c>
    </row>
    <row r="22452" spans="1:8">
      <c r="A22452" t="n">
        <v>215917</v>
      </c>
      <c r="B22452" s="5" t="n">
        <v>1</v>
      </c>
    </row>
    <row r="22453" spans="1:8" s="3" customFormat="1" customHeight="0">
      <c r="A22453" s="3" t="s">
        <v>2</v>
      </c>
      <c r="B22453" s="3" t="s">
        <v>1831</v>
      </c>
    </row>
    <row r="22454" spans="1:8">
      <c r="A22454" t="s">
        <v>4</v>
      </c>
      <c r="B22454" s="4" t="s">
        <v>5</v>
      </c>
      <c r="C22454" s="4" t="s">
        <v>7</v>
      </c>
      <c r="D22454" s="4" t="s">
        <v>11</v>
      </c>
    </row>
    <row r="22455" spans="1:8">
      <c r="A22455" t="n">
        <v>215920</v>
      </c>
      <c r="B22455" s="22" t="n">
        <v>22</v>
      </c>
      <c r="C22455" s="7" t="n">
        <v>0</v>
      </c>
      <c r="D22455" s="7" t="n">
        <v>0</v>
      </c>
    </row>
    <row r="22456" spans="1:8">
      <c r="A22456" t="s">
        <v>4</v>
      </c>
      <c r="B22456" s="4" t="s">
        <v>5</v>
      </c>
      <c r="C22456" s="4" t="s">
        <v>7</v>
      </c>
      <c r="D22456" s="4" t="s">
        <v>11</v>
      </c>
    </row>
    <row r="22457" spans="1:8">
      <c r="A22457" t="n">
        <v>215924</v>
      </c>
      <c r="B22457" s="23" t="n">
        <v>58</v>
      </c>
      <c r="C22457" s="7" t="n">
        <v>5</v>
      </c>
      <c r="D22457" s="7" t="n">
        <v>300</v>
      </c>
    </row>
    <row r="22458" spans="1:8">
      <c r="A22458" t="s">
        <v>4</v>
      </c>
      <c r="B22458" s="4" t="s">
        <v>5</v>
      </c>
      <c r="C22458" s="4" t="s">
        <v>13</v>
      </c>
      <c r="D22458" s="4" t="s">
        <v>11</v>
      </c>
    </row>
    <row r="22459" spans="1:8">
      <c r="A22459" t="n">
        <v>215928</v>
      </c>
      <c r="B22459" s="46" t="n">
        <v>103</v>
      </c>
      <c r="C22459" s="7" t="n">
        <v>0</v>
      </c>
      <c r="D22459" s="7" t="n">
        <v>300</v>
      </c>
    </row>
    <row r="22460" spans="1:8">
      <c r="A22460" t="s">
        <v>4</v>
      </c>
      <c r="B22460" s="4" t="s">
        <v>5</v>
      </c>
      <c r="C22460" s="4" t="s">
        <v>7</v>
      </c>
      <c r="D22460" s="4" t="s">
        <v>13</v>
      </c>
      <c r="E22460" s="4" t="s">
        <v>11</v>
      </c>
      <c r="F22460" s="4" t="s">
        <v>7</v>
      </c>
    </row>
    <row r="22461" spans="1:8">
      <c r="A22461" t="n">
        <v>215935</v>
      </c>
      <c r="B22461" s="13" t="n">
        <v>49</v>
      </c>
      <c r="C22461" s="7" t="n">
        <v>3</v>
      </c>
      <c r="D22461" s="7" t="n">
        <v>0.699999988079071</v>
      </c>
      <c r="E22461" s="7" t="n">
        <v>500</v>
      </c>
      <c r="F22461" s="7" t="n">
        <v>0</v>
      </c>
    </row>
    <row r="22462" spans="1:8">
      <c r="A22462" t="s">
        <v>4</v>
      </c>
      <c r="B22462" s="4" t="s">
        <v>5</v>
      </c>
      <c r="C22462" s="4" t="s">
        <v>7</v>
      </c>
      <c r="D22462" s="4" t="s">
        <v>11</v>
      </c>
    </row>
    <row r="22463" spans="1:8">
      <c r="A22463" t="n">
        <v>215944</v>
      </c>
      <c r="B22463" s="23" t="n">
        <v>58</v>
      </c>
      <c r="C22463" s="7" t="n">
        <v>10</v>
      </c>
      <c r="D22463" s="7" t="n">
        <v>300</v>
      </c>
    </row>
    <row r="22464" spans="1:8">
      <c r="A22464" t="s">
        <v>4</v>
      </c>
      <c r="B22464" s="4" t="s">
        <v>5</v>
      </c>
      <c r="C22464" s="4" t="s">
        <v>7</v>
      </c>
      <c r="D22464" s="4" t="s">
        <v>11</v>
      </c>
    </row>
    <row r="22465" spans="1:6">
      <c r="A22465" t="n">
        <v>215948</v>
      </c>
      <c r="B22465" s="23" t="n">
        <v>58</v>
      </c>
      <c r="C22465" s="7" t="n">
        <v>12</v>
      </c>
      <c r="D22465" s="7" t="n">
        <v>0</v>
      </c>
    </row>
    <row r="22466" spans="1:6">
      <c r="A22466" t="s">
        <v>4</v>
      </c>
      <c r="B22466" s="4" t="s">
        <v>5</v>
      </c>
      <c r="C22466" s="4" t="s">
        <v>7</v>
      </c>
    </row>
    <row r="22467" spans="1:6">
      <c r="A22467" t="n">
        <v>215952</v>
      </c>
      <c r="B22467" s="47" t="n">
        <v>64</v>
      </c>
      <c r="C22467" s="7" t="n">
        <v>7</v>
      </c>
    </row>
    <row r="22468" spans="1:6">
      <c r="A22468" t="s">
        <v>4</v>
      </c>
      <c r="B22468" s="4" t="s">
        <v>5</v>
      </c>
      <c r="C22468" s="4" t="s">
        <v>7</v>
      </c>
      <c r="D22468" s="4" t="s">
        <v>11</v>
      </c>
      <c r="E22468" s="4" t="s">
        <v>11</v>
      </c>
      <c r="F22468" s="4" t="s">
        <v>7</v>
      </c>
    </row>
    <row r="22469" spans="1:6">
      <c r="A22469" t="n">
        <v>215954</v>
      </c>
      <c r="B22469" s="31" t="n">
        <v>25</v>
      </c>
      <c r="C22469" s="7" t="n">
        <v>1</v>
      </c>
      <c r="D22469" s="7" t="n">
        <v>65535</v>
      </c>
      <c r="E22469" s="7" t="n">
        <v>420</v>
      </c>
      <c r="F22469" s="7" t="n">
        <v>5</v>
      </c>
    </row>
    <row r="22470" spans="1:6">
      <c r="A22470" t="s">
        <v>4</v>
      </c>
      <c r="B22470" s="4" t="s">
        <v>5</v>
      </c>
      <c r="C22470" s="4" t="s">
        <v>7</v>
      </c>
      <c r="D22470" s="4" t="s">
        <v>11</v>
      </c>
      <c r="E22470" s="4" t="s">
        <v>8</v>
      </c>
    </row>
    <row r="22471" spans="1:6">
      <c r="A22471" t="n">
        <v>215961</v>
      </c>
      <c r="B22471" s="38" t="n">
        <v>51</v>
      </c>
      <c r="C22471" s="7" t="n">
        <v>4</v>
      </c>
      <c r="D22471" s="7" t="n">
        <v>0</v>
      </c>
      <c r="E22471" s="7" t="s">
        <v>137</v>
      </c>
    </row>
    <row r="22472" spans="1:6">
      <c r="A22472" t="s">
        <v>4</v>
      </c>
      <c r="B22472" s="4" t="s">
        <v>5</v>
      </c>
      <c r="C22472" s="4" t="s">
        <v>11</v>
      </c>
    </row>
    <row r="22473" spans="1:6">
      <c r="A22473" t="n">
        <v>215974</v>
      </c>
      <c r="B22473" s="29" t="n">
        <v>16</v>
      </c>
      <c r="C22473" s="7" t="n">
        <v>0</v>
      </c>
    </row>
    <row r="22474" spans="1:6">
      <c r="A22474" t="s">
        <v>4</v>
      </c>
      <c r="B22474" s="4" t="s">
        <v>5</v>
      </c>
      <c r="C22474" s="4" t="s">
        <v>11</v>
      </c>
      <c r="D22474" s="4" t="s">
        <v>55</v>
      </c>
      <c r="E22474" s="4" t="s">
        <v>7</v>
      </c>
      <c r="F22474" s="4" t="s">
        <v>7</v>
      </c>
    </row>
    <row r="22475" spans="1:6">
      <c r="A22475" t="n">
        <v>215977</v>
      </c>
      <c r="B22475" s="55" t="n">
        <v>26</v>
      </c>
      <c r="C22475" s="7" t="n">
        <v>0</v>
      </c>
      <c r="D22475" s="7" t="s">
        <v>1832</v>
      </c>
      <c r="E22475" s="7" t="n">
        <v>2</v>
      </c>
      <c r="F22475" s="7" t="n">
        <v>0</v>
      </c>
    </row>
    <row r="22476" spans="1:6">
      <c r="A22476" t="s">
        <v>4</v>
      </c>
      <c r="B22476" s="4" t="s">
        <v>5</v>
      </c>
    </row>
    <row r="22477" spans="1:6">
      <c r="A22477" t="n">
        <v>216021</v>
      </c>
      <c r="B22477" s="27" t="n">
        <v>28</v>
      </c>
    </row>
    <row r="22478" spans="1:6">
      <c r="A22478" t="s">
        <v>4</v>
      </c>
      <c r="B22478" s="4" t="s">
        <v>5</v>
      </c>
      <c r="C22478" s="4" t="s">
        <v>11</v>
      </c>
      <c r="D22478" s="4" t="s">
        <v>7</v>
      </c>
    </row>
    <row r="22479" spans="1:6">
      <c r="A22479" t="n">
        <v>216022</v>
      </c>
      <c r="B22479" s="68" t="n">
        <v>89</v>
      </c>
      <c r="C22479" s="7" t="n">
        <v>65533</v>
      </c>
      <c r="D22479" s="7" t="n">
        <v>1</v>
      </c>
    </row>
    <row r="22480" spans="1:6">
      <c r="A22480" t="s">
        <v>4</v>
      </c>
      <c r="B22480" s="4" t="s">
        <v>5</v>
      </c>
      <c r="C22480" s="4" t="s">
        <v>11</v>
      </c>
      <c r="D22480" s="4" t="s">
        <v>13</v>
      </c>
      <c r="E22480" s="4" t="s">
        <v>13</v>
      </c>
      <c r="F22480" s="4" t="s">
        <v>13</v>
      </c>
      <c r="G22480" s="4" t="s">
        <v>13</v>
      </c>
    </row>
    <row r="22481" spans="1:7">
      <c r="A22481" t="n">
        <v>216026</v>
      </c>
      <c r="B22481" s="36" t="n">
        <v>46</v>
      </c>
      <c r="C22481" s="7" t="n">
        <v>61456</v>
      </c>
      <c r="D22481" s="7" t="n">
        <v>5.57000017166138</v>
      </c>
      <c r="E22481" s="7" t="n">
        <v>0</v>
      </c>
      <c r="F22481" s="7" t="n">
        <v>46.0900001525879</v>
      </c>
      <c r="G22481" s="7" t="n">
        <v>270.399993896484</v>
      </c>
    </row>
    <row r="22482" spans="1:7">
      <c r="A22482" t="s">
        <v>4</v>
      </c>
      <c r="B22482" s="4" t="s">
        <v>5</v>
      </c>
      <c r="C22482" s="4" t="s">
        <v>11</v>
      </c>
      <c r="D22482" s="4" t="s">
        <v>13</v>
      </c>
      <c r="E22482" s="4" t="s">
        <v>13</v>
      </c>
      <c r="F22482" s="4" t="s">
        <v>13</v>
      </c>
      <c r="G22482" s="4" t="s">
        <v>13</v>
      </c>
    </row>
    <row r="22483" spans="1:7">
      <c r="A22483" t="n">
        <v>216045</v>
      </c>
      <c r="B22483" s="36" t="n">
        <v>46</v>
      </c>
      <c r="C22483" s="7" t="n">
        <v>61457</v>
      </c>
      <c r="D22483" s="7" t="n">
        <v>5.57000017166138</v>
      </c>
      <c r="E22483" s="7" t="n">
        <v>0</v>
      </c>
      <c r="F22483" s="7" t="n">
        <v>46.0900001525879</v>
      </c>
      <c r="G22483" s="7" t="n">
        <v>270.399993896484</v>
      </c>
    </row>
    <row r="22484" spans="1:7">
      <c r="A22484" t="s">
        <v>4</v>
      </c>
      <c r="B22484" s="4" t="s">
        <v>5</v>
      </c>
      <c r="C22484" s="4" t="s">
        <v>7</v>
      </c>
      <c r="D22484" s="4" t="s">
        <v>7</v>
      </c>
      <c r="E22484" s="4" t="s">
        <v>11</v>
      </c>
    </row>
    <row r="22485" spans="1:7">
      <c r="A22485" t="n">
        <v>216064</v>
      </c>
      <c r="B22485" s="51" t="n">
        <v>45</v>
      </c>
      <c r="C22485" s="7" t="n">
        <v>8</v>
      </c>
      <c r="D22485" s="7" t="n">
        <v>1</v>
      </c>
      <c r="E22485" s="7" t="n">
        <v>0</v>
      </c>
    </row>
    <row r="22486" spans="1:7">
      <c r="A22486" t="s">
        <v>4</v>
      </c>
      <c r="B22486" s="4" t="s">
        <v>5</v>
      </c>
      <c r="C22486" s="4" t="s">
        <v>7</v>
      </c>
      <c r="D22486" s="4" t="s">
        <v>11</v>
      </c>
      <c r="E22486" s="4" t="s">
        <v>11</v>
      </c>
      <c r="F22486" s="4" t="s">
        <v>7</v>
      </c>
    </row>
    <row r="22487" spans="1:7">
      <c r="A22487" t="n">
        <v>216069</v>
      </c>
      <c r="B22487" s="31" t="n">
        <v>25</v>
      </c>
      <c r="C22487" s="7" t="n">
        <v>1</v>
      </c>
      <c r="D22487" s="7" t="n">
        <v>65535</v>
      </c>
      <c r="E22487" s="7" t="n">
        <v>65535</v>
      </c>
      <c r="F22487" s="7" t="n">
        <v>0</v>
      </c>
    </row>
    <row r="22488" spans="1:7">
      <c r="A22488" t="s">
        <v>4</v>
      </c>
      <c r="B22488" s="4" t="s">
        <v>5</v>
      </c>
      <c r="C22488" s="4" t="s">
        <v>7</v>
      </c>
      <c r="D22488" s="4" t="s">
        <v>8</v>
      </c>
    </row>
    <row r="22489" spans="1:7">
      <c r="A22489" t="n">
        <v>216076</v>
      </c>
      <c r="B22489" s="6" t="n">
        <v>2</v>
      </c>
      <c r="C22489" s="7" t="n">
        <v>10</v>
      </c>
      <c r="D22489" s="7" t="s">
        <v>51</v>
      </c>
    </row>
    <row r="22490" spans="1:7">
      <c r="A22490" t="s">
        <v>4</v>
      </c>
      <c r="B22490" s="4" t="s">
        <v>5</v>
      </c>
      <c r="C22490" s="4" t="s">
        <v>7</v>
      </c>
      <c r="D22490" s="4" t="s">
        <v>11</v>
      </c>
    </row>
    <row r="22491" spans="1:7">
      <c r="A22491" t="n">
        <v>216099</v>
      </c>
      <c r="B22491" s="23" t="n">
        <v>58</v>
      </c>
      <c r="C22491" s="7" t="n">
        <v>105</v>
      </c>
      <c r="D22491" s="7" t="n">
        <v>300</v>
      </c>
    </row>
    <row r="22492" spans="1:7">
      <c r="A22492" t="s">
        <v>4</v>
      </c>
      <c r="B22492" s="4" t="s">
        <v>5</v>
      </c>
      <c r="C22492" s="4" t="s">
        <v>13</v>
      </c>
      <c r="D22492" s="4" t="s">
        <v>11</v>
      </c>
    </row>
    <row r="22493" spans="1:7">
      <c r="A22493" t="n">
        <v>216103</v>
      </c>
      <c r="B22493" s="46" t="n">
        <v>103</v>
      </c>
      <c r="C22493" s="7" t="n">
        <v>1</v>
      </c>
      <c r="D22493" s="7" t="n">
        <v>300</v>
      </c>
    </row>
    <row r="22494" spans="1:7">
      <c r="A22494" t="s">
        <v>4</v>
      </c>
      <c r="B22494" s="4" t="s">
        <v>5</v>
      </c>
      <c r="C22494" s="4" t="s">
        <v>7</v>
      </c>
    </row>
    <row r="22495" spans="1:7">
      <c r="A22495" t="n">
        <v>216110</v>
      </c>
      <c r="B22495" s="45" t="n">
        <v>74</v>
      </c>
      <c r="C22495" s="7" t="n">
        <v>67</v>
      </c>
    </row>
    <row r="22496" spans="1:7">
      <c r="A22496" t="s">
        <v>4</v>
      </c>
      <c r="B22496" s="4" t="s">
        <v>5</v>
      </c>
      <c r="C22496" s="4" t="s">
        <v>7</v>
      </c>
      <c r="D22496" s="4" t="s">
        <v>13</v>
      </c>
      <c r="E22496" s="4" t="s">
        <v>11</v>
      </c>
      <c r="F22496" s="4" t="s">
        <v>7</v>
      </c>
    </row>
    <row r="22497" spans="1:7">
      <c r="A22497" t="n">
        <v>216112</v>
      </c>
      <c r="B22497" s="13" t="n">
        <v>49</v>
      </c>
      <c r="C22497" s="7" t="n">
        <v>3</v>
      </c>
      <c r="D22497" s="7" t="n">
        <v>1</v>
      </c>
      <c r="E22497" s="7" t="n">
        <v>500</v>
      </c>
      <c r="F22497" s="7" t="n">
        <v>0</v>
      </c>
    </row>
    <row r="22498" spans="1:7">
      <c r="A22498" t="s">
        <v>4</v>
      </c>
      <c r="B22498" s="4" t="s">
        <v>5</v>
      </c>
      <c r="C22498" s="4" t="s">
        <v>7</v>
      </c>
      <c r="D22498" s="4" t="s">
        <v>11</v>
      </c>
    </row>
    <row r="22499" spans="1:7">
      <c r="A22499" t="n">
        <v>216121</v>
      </c>
      <c r="B22499" s="23" t="n">
        <v>58</v>
      </c>
      <c r="C22499" s="7" t="n">
        <v>11</v>
      </c>
      <c r="D22499" s="7" t="n">
        <v>300</v>
      </c>
    </row>
    <row r="22500" spans="1:7">
      <c r="A22500" t="s">
        <v>4</v>
      </c>
      <c r="B22500" s="4" t="s">
        <v>5</v>
      </c>
      <c r="C22500" s="4" t="s">
        <v>7</v>
      </c>
      <c r="D22500" s="4" t="s">
        <v>11</v>
      </c>
    </row>
    <row r="22501" spans="1:7">
      <c r="A22501" t="n">
        <v>216125</v>
      </c>
      <c r="B22501" s="23" t="n">
        <v>58</v>
      </c>
      <c r="C22501" s="7" t="n">
        <v>12</v>
      </c>
      <c r="D22501" s="7" t="n">
        <v>0</v>
      </c>
    </row>
    <row r="22502" spans="1:7">
      <c r="A22502" t="s">
        <v>4</v>
      </c>
      <c r="B22502" s="4" t="s">
        <v>5</v>
      </c>
      <c r="C22502" s="4" t="s">
        <v>7</v>
      </c>
    </row>
    <row r="22503" spans="1:7">
      <c r="A22503" t="n">
        <v>216129</v>
      </c>
      <c r="B22503" s="45" t="n">
        <v>74</v>
      </c>
      <c r="C22503" s="7" t="n">
        <v>46</v>
      </c>
    </row>
    <row r="22504" spans="1:7">
      <c r="A22504" t="s">
        <v>4</v>
      </c>
      <c r="B22504" s="4" t="s">
        <v>5</v>
      </c>
      <c r="C22504" s="4" t="s">
        <v>7</v>
      </c>
    </row>
    <row r="22505" spans="1:7">
      <c r="A22505" t="n">
        <v>216131</v>
      </c>
      <c r="B22505" s="30" t="n">
        <v>23</v>
      </c>
      <c r="C22505" s="7" t="n">
        <v>0</v>
      </c>
    </row>
    <row r="22506" spans="1:7">
      <c r="A22506" t="s">
        <v>4</v>
      </c>
      <c r="B22506" s="4" t="s">
        <v>5</v>
      </c>
      <c r="C22506" s="4" t="s">
        <v>7</v>
      </c>
      <c r="D22506" s="4" t="s">
        <v>15</v>
      </c>
    </row>
    <row r="22507" spans="1:7">
      <c r="A22507" t="n">
        <v>216133</v>
      </c>
      <c r="B22507" s="45" t="n">
        <v>74</v>
      </c>
      <c r="C22507" s="7" t="n">
        <v>52</v>
      </c>
      <c r="D22507" s="7" t="n">
        <v>8192</v>
      </c>
    </row>
    <row r="22508" spans="1:7">
      <c r="A22508" t="s">
        <v>4</v>
      </c>
      <c r="B22508" s="4" t="s">
        <v>5</v>
      </c>
    </row>
    <row r="22509" spans="1:7">
      <c r="A22509" t="n">
        <v>216139</v>
      </c>
      <c r="B22509" s="5" t="n">
        <v>1</v>
      </c>
    </row>
    <row r="22510" spans="1:7" s="3" customFormat="1" customHeight="0">
      <c r="A22510" s="3" t="s">
        <v>2</v>
      </c>
      <c r="B22510" s="3" t="s">
        <v>1833</v>
      </c>
    </row>
    <row r="22511" spans="1:7">
      <c r="A22511" t="s">
        <v>4</v>
      </c>
      <c r="B22511" s="4" t="s">
        <v>5</v>
      </c>
      <c r="C22511" s="4" t="s">
        <v>7</v>
      </c>
      <c r="D22511" s="4" t="s">
        <v>7</v>
      </c>
      <c r="E22511" s="4" t="s">
        <v>7</v>
      </c>
      <c r="F22511" s="4" t="s">
        <v>7</v>
      </c>
    </row>
    <row r="22512" spans="1:7">
      <c r="A22512" t="n">
        <v>216140</v>
      </c>
      <c r="B22512" s="9" t="n">
        <v>14</v>
      </c>
      <c r="C22512" s="7" t="n">
        <v>2</v>
      </c>
      <c r="D22512" s="7" t="n">
        <v>0</v>
      </c>
      <c r="E22512" s="7" t="n">
        <v>0</v>
      </c>
      <c r="F22512" s="7" t="n">
        <v>0</v>
      </c>
    </row>
    <row r="22513" spans="1:6">
      <c r="A22513" t="s">
        <v>4</v>
      </c>
      <c r="B22513" s="4" t="s">
        <v>5</v>
      </c>
      <c r="C22513" s="4" t="s">
        <v>7</v>
      </c>
      <c r="D22513" s="20" t="s">
        <v>35</v>
      </c>
      <c r="E22513" s="4" t="s">
        <v>5</v>
      </c>
      <c r="F22513" s="4" t="s">
        <v>7</v>
      </c>
      <c r="G22513" s="4" t="s">
        <v>11</v>
      </c>
      <c r="H22513" s="20" t="s">
        <v>36</v>
      </c>
      <c r="I22513" s="4" t="s">
        <v>7</v>
      </c>
      <c r="J22513" s="4" t="s">
        <v>15</v>
      </c>
      <c r="K22513" s="4" t="s">
        <v>7</v>
      </c>
      <c r="L22513" s="4" t="s">
        <v>7</v>
      </c>
      <c r="M22513" s="20" t="s">
        <v>35</v>
      </c>
      <c r="N22513" s="4" t="s">
        <v>5</v>
      </c>
      <c r="O22513" s="4" t="s">
        <v>7</v>
      </c>
      <c r="P22513" s="4" t="s">
        <v>11</v>
      </c>
      <c r="Q22513" s="20" t="s">
        <v>36</v>
      </c>
      <c r="R22513" s="4" t="s">
        <v>7</v>
      </c>
      <c r="S22513" s="4" t="s">
        <v>15</v>
      </c>
      <c r="T22513" s="4" t="s">
        <v>7</v>
      </c>
      <c r="U22513" s="4" t="s">
        <v>7</v>
      </c>
      <c r="V22513" s="4" t="s">
        <v>7</v>
      </c>
      <c r="W22513" s="4" t="s">
        <v>12</v>
      </c>
    </row>
    <row r="22514" spans="1:6">
      <c r="A22514" t="n">
        <v>216145</v>
      </c>
      <c r="B22514" s="10" t="n">
        <v>5</v>
      </c>
      <c r="C22514" s="7" t="n">
        <v>28</v>
      </c>
      <c r="D22514" s="20" t="s">
        <v>3</v>
      </c>
      <c r="E22514" s="8" t="n">
        <v>162</v>
      </c>
      <c r="F22514" s="7" t="n">
        <v>3</v>
      </c>
      <c r="G22514" s="7" t="n">
        <v>36865</v>
      </c>
      <c r="H22514" s="20" t="s">
        <v>3</v>
      </c>
      <c r="I22514" s="7" t="n">
        <v>0</v>
      </c>
      <c r="J22514" s="7" t="n">
        <v>1</v>
      </c>
      <c r="K22514" s="7" t="n">
        <v>2</v>
      </c>
      <c r="L22514" s="7" t="n">
        <v>28</v>
      </c>
      <c r="M22514" s="20" t="s">
        <v>3</v>
      </c>
      <c r="N22514" s="8" t="n">
        <v>162</v>
      </c>
      <c r="O22514" s="7" t="n">
        <v>3</v>
      </c>
      <c r="P22514" s="7" t="n">
        <v>36865</v>
      </c>
      <c r="Q22514" s="20" t="s">
        <v>3</v>
      </c>
      <c r="R22514" s="7" t="n">
        <v>0</v>
      </c>
      <c r="S22514" s="7" t="n">
        <v>2</v>
      </c>
      <c r="T22514" s="7" t="n">
        <v>2</v>
      </c>
      <c r="U22514" s="7" t="n">
        <v>11</v>
      </c>
      <c r="V22514" s="7" t="n">
        <v>1</v>
      </c>
      <c r="W22514" s="11" t="n">
        <f t="normal" ca="1">A22518</f>
        <v>0</v>
      </c>
    </row>
    <row r="22515" spans="1:6">
      <c r="A22515" t="s">
        <v>4</v>
      </c>
      <c r="B22515" s="4" t="s">
        <v>5</v>
      </c>
      <c r="C22515" s="4" t="s">
        <v>7</v>
      </c>
      <c r="D22515" s="4" t="s">
        <v>11</v>
      </c>
      <c r="E22515" s="4" t="s">
        <v>13</v>
      </c>
    </row>
    <row r="22516" spans="1:6">
      <c r="A22516" t="n">
        <v>216174</v>
      </c>
      <c r="B22516" s="23" t="n">
        <v>58</v>
      </c>
      <c r="C22516" s="7" t="n">
        <v>0</v>
      </c>
      <c r="D22516" s="7" t="n">
        <v>0</v>
      </c>
      <c r="E22516" s="7" t="n">
        <v>1</v>
      </c>
    </row>
    <row r="22517" spans="1:6">
      <c r="A22517" t="s">
        <v>4</v>
      </c>
      <c r="B22517" s="4" t="s">
        <v>5</v>
      </c>
      <c r="C22517" s="4" t="s">
        <v>7</v>
      </c>
      <c r="D22517" s="20" t="s">
        <v>35</v>
      </c>
      <c r="E22517" s="4" t="s">
        <v>5</v>
      </c>
      <c r="F22517" s="4" t="s">
        <v>7</v>
      </c>
      <c r="G22517" s="4" t="s">
        <v>11</v>
      </c>
      <c r="H22517" s="20" t="s">
        <v>36</v>
      </c>
      <c r="I22517" s="4" t="s">
        <v>7</v>
      </c>
      <c r="J22517" s="4" t="s">
        <v>15</v>
      </c>
      <c r="K22517" s="4" t="s">
        <v>7</v>
      </c>
      <c r="L22517" s="4" t="s">
        <v>7</v>
      </c>
      <c r="M22517" s="20" t="s">
        <v>35</v>
      </c>
      <c r="N22517" s="4" t="s">
        <v>5</v>
      </c>
      <c r="O22517" s="4" t="s">
        <v>7</v>
      </c>
      <c r="P22517" s="4" t="s">
        <v>11</v>
      </c>
      <c r="Q22517" s="20" t="s">
        <v>36</v>
      </c>
      <c r="R22517" s="4" t="s">
        <v>7</v>
      </c>
      <c r="S22517" s="4" t="s">
        <v>15</v>
      </c>
      <c r="T22517" s="4" t="s">
        <v>7</v>
      </c>
      <c r="U22517" s="4" t="s">
        <v>7</v>
      </c>
      <c r="V22517" s="4" t="s">
        <v>7</v>
      </c>
      <c r="W22517" s="4" t="s">
        <v>12</v>
      </c>
    </row>
    <row r="22518" spans="1:6">
      <c r="A22518" t="n">
        <v>216182</v>
      </c>
      <c r="B22518" s="10" t="n">
        <v>5</v>
      </c>
      <c r="C22518" s="7" t="n">
        <v>28</v>
      </c>
      <c r="D22518" s="20" t="s">
        <v>3</v>
      </c>
      <c r="E22518" s="8" t="n">
        <v>162</v>
      </c>
      <c r="F22518" s="7" t="n">
        <v>3</v>
      </c>
      <c r="G22518" s="7" t="n">
        <v>36865</v>
      </c>
      <c r="H22518" s="20" t="s">
        <v>3</v>
      </c>
      <c r="I22518" s="7" t="n">
        <v>0</v>
      </c>
      <c r="J22518" s="7" t="n">
        <v>1</v>
      </c>
      <c r="K22518" s="7" t="n">
        <v>3</v>
      </c>
      <c r="L22518" s="7" t="n">
        <v>28</v>
      </c>
      <c r="M22518" s="20" t="s">
        <v>3</v>
      </c>
      <c r="N22518" s="8" t="n">
        <v>162</v>
      </c>
      <c r="O22518" s="7" t="n">
        <v>3</v>
      </c>
      <c r="P22518" s="7" t="n">
        <v>36865</v>
      </c>
      <c r="Q22518" s="20" t="s">
        <v>3</v>
      </c>
      <c r="R22518" s="7" t="n">
        <v>0</v>
      </c>
      <c r="S22518" s="7" t="n">
        <v>2</v>
      </c>
      <c r="T22518" s="7" t="n">
        <v>3</v>
      </c>
      <c r="U22518" s="7" t="n">
        <v>9</v>
      </c>
      <c r="V22518" s="7" t="n">
        <v>1</v>
      </c>
      <c r="W22518" s="11" t="n">
        <f t="normal" ca="1">A22528</f>
        <v>0</v>
      </c>
    </row>
    <row r="22519" spans="1:6">
      <c r="A22519" t="s">
        <v>4</v>
      </c>
      <c r="B22519" s="4" t="s">
        <v>5</v>
      </c>
      <c r="C22519" s="4" t="s">
        <v>7</v>
      </c>
      <c r="D22519" s="20" t="s">
        <v>35</v>
      </c>
      <c r="E22519" s="4" t="s">
        <v>5</v>
      </c>
      <c r="F22519" s="4" t="s">
        <v>11</v>
      </c>
      <c r="G22519" s="4" t="s">
        <v>7</v>
      </c>
      <c r="H22519" s="4" t="s">
        <v>7</v>
      </c>
      <c r="I22519" s="4" t="s">
        <v>8</v>
      </c>
      <c r="J22519" s="20" t="s">
        <v>36</v>
      </c>
      <c r="K22519" s="4" t="s">
        <v>7</v>
      </c>
      <c r="L22519" s="4" t="s">
        <v>7</v>
      </c>
      <c r="M22519" s="20" t="s">
        <v>35</v>
      </c>
      <c r="N22519" s="4" t="s">
        <v>5</v>
      </c>
      <c r="O22519" s="4" t="s">
        <v>7</v>
      </c>
      <c r="P22519" s="20" t="s">
        <v>36</v>
      </c>
      <c r="Q22519" s="4" t="s">
        <v>7</v>
      </c>
      <c r="R22519" s="4" t="s">
        <v>15</v>
      </c>
      <c r="S22519" s="4" t="s">
        <v>7</v>
      </c>
      <c r="T22519" s="4" t="s">
        <v>7</v>
      </c>
      <c r="U22519" s="4" t="s">
        <v>7</v>
      </c>
      <c r="V22519" s="20" t="s">
        <v>35</v>
      </c>
      <c r="W22519" s="4" t="s">
        <v>5</v>
      </c>
      <c r="X22519" s="4" t="s">
        <v>7</v>
      </c>
      <c r="Y22519" s="20" t="s">
        <v>36</v>
      </c>
      <c r="Z22519" s="4" t="s">
        <v>7</v>
      </c>
      <c r="AA22519" s="4" t="s">
        <v>15</v>
      </c>
      <c r="AB22519" s="4" t="s">
        <v>7</v>
      </c>
      <c r="AC22519" s="4" t="s">
        <v>7</v>
      </c>
      <c r="AD22519" s="4" t="s">
        <v>7</v>
      </c>
      <c r="AE22519" s="4" t="s">
        <v>12</v>
      </c>
    </row>
    <row r="22520" spans="1:6">
      <c r="A22520" t="n">
        <v>216211</v>
      </c>
      <c r="B22520" s="10" t="n">
        <v>5</v>
      </c>
      <c r="C22520" s="7" t="n">
        <v>28</v>
      </c>
      <c r="D22520" s="20" t="s">
        <v>3</v>
      </c>
      <c r="E22520" s="41" t="n">
        <v>47</v>
      </c>
      <c r="F22520" s="7" t="n">
        <v>61456</v>
      </c>
      <c r="G22520" s="7" t="n">
        <v>2</v>
      </c>
      <c r="H22520" s="7" t="n">
        <v>0</v>
      </c>
      <c r="I22520" s="7" t="s">
        <v>105</v>
      </c>
      <c r="J22520" s="20" t="s">
        <v>3</v>
      </c>
      <c r="K22520" s="7" t="n">
        <v>8</v>
      </c>
      <c r="L22520" s="7" t="n">
        <v>28</v>
      </c>
      <c r="M22520" s="20" t="s">
        <v>3</v>
      </c>
      <c r="N22520" s="45" t="n">
        <v>74</v>
      </c>
      <c r="O22520" s="7" t="n">
        <v>65</v>
      </c>
      <c r="P22520" s="20" t="s">
        <v>3</v>
      </c>
      <c r="Q22520" s="7" t="n">
        <v>0</v>
      </c>
      <c r="R22520" s="7" t="n">
        <v>1</v>
      </c>
      <c r="S22520" s="7" t="n">
        <v>3</v>
      </c>
      <c r="T22520" s="7" t="n">
        <v>9</v>
      </c>
      <c r="U22520" s="7" t="n">
        <v>28</v>
      </c>
      <c r="V22520" s="20" t="s">
        <v>3</v>
      </c>
      <c r="W22520" s="45" t="n">
        <v>74</v>
      </c>
      <c r="X22520" s="7" t="n">
        <v>65</v>
      </c>
      <c r="Y22520" s="20" t="s">
        <v>3</v>
      </c>
      <c r="Z22520" s="7" t="n">
        <v>0</v>
      </c>
      <c r="AA22520" s="7" t="n">
        <v>2</v>
      </c>
      <c r="AB22520" s="7" t="n">
        <v>3</v>
      </c>
      <c r="AC22520" s="7" t="n">
        <v>9</v>
      </c>
      <c r="AD22520" s="7" t="n">
        <v>1</v>
      </c>
      <c r="AE22520" s="11" t="n">
        <f t="normal" ca="1">A22524</f>
        <v>0</v>
      </c>
    </row>
    <row r="22521" spans="1:6">
      <c r="A22521" t="s">
        <v>4</v>
      </c>
      <c r="B22521" s="4" t="s">
        <v>5</v>
      </c>
      <c r="C22521" s="4" t="s">
        <v>11</v>
      </c>
      <c r="D22521" s="4" t="s">
        <v>7</v>
      </c>
      <c r="E22521" s="4" t="s">
        <v>7</v>
      </c>
      <c r="F22521" s="4" t="s">
        <v>8</v>
      </c>
    </row>
    <row r="22522" spans="1:6">
      <c r="A22522" t="n">
        <v>216259</v>
      </c>
      <c r="B22522" s="41" t="n">
        <v>47</v>
      </c>
      <c r="C22522" s="7" t="n">
        <v>61456</v>
      </c>
      <c r="D22522" s="7" t="n">
        <v>0</v>
      </c>
      <c r="E22522" s="7" t="n">
        <v>0</v>
      </c>
      <c r="F22522" s="7" t="s">
        <v>106</v>
      </c>
    </row>
    <row r="22523" spans="1:6">
      <c r="A22523" t="s">
        <v>4</v>
      </c>
      <c r="B22523" s="4" t="s">
        <v>5</v>
      </c>
      <c r="C22523" s="4" t="s">
        <v>7</v>
      </c>
      <c r="D22523" s="4" t="s">
        <v>11</v>
      </c>
      <c r="E22523" s="4" t="s">
        <v>13</v>
      </c>
    </row>
    <row r="22524" spans="1:6">
      <c r="A22524" t="n">
        <v>216272</v>
      </c>
      <c r="B22524" s="23" t="n">
        <v>58</v>
      </c>
      <c r="C22524" s="7" t="n">
        <v>0</v>
      </c>
      <c r="D22524" s="7" t="n">
        <v>300</v>
      </c>
      <c r="E22524" s="7" t="n">
        <v>1</v>
      </c>
    </row>
    <row r="22525" spans="1:6">
      <c r="A22525" t="s">
        <v>4</v>
      </c>
      <c r="B22525" s="4" t="s">
        <v>5</v>
      </c>
      <c r="C22525" s="4" t="s">
        <v>7</v>
      </c>
      <c r="D22525" s="4" t="s">
        <v>11</v>
      </c>
    </row>
    <row r="22526" spans="1:6">
      <c r="A22526" t="n">
        <v>216280</v>
      </c>
      <c r="B22526" s="23" t="n">
        <v>58</v>
      </c>
      <c r="C22526" s="7" t="n">
        <v>255</v>
      </c>
      <c r="D22526" s="7" t="n">
        <v>0</v>
      </c>
    </row>
    <row r="22527" spans="1:6">
      <c r="A22527" t="s">
        <v>4</v>
      </c>
      <c r="B22527" s="4" t="s">
        <v>5</v>
      </c>
      <c r="C22527" s="4" t="s">
        <v>7</v>
      </c>
      <c r="D22527" s="4" t="s">
        <v>7</v>
      </c>
      <c r="E22527" s="4" t="s">
        <v>7</v>
      </c>
      <c r="F22527" s="4" t="s">
        <v>7</v>
      </c>
    </row>
    <row r="22528" spans="1:6">
      <c r="A22528" t="n">
        <v>216284</v>
      </c>
      <c r="B22528" s="9" t="n">
        <v>14</v>
      </c>
      <c r="C22528" s="7" t="n">
        <v>0</v>
      </c>
      <c r="D22528" s="7" t="n">
        <v>0</v>
      </c>
      <c r="E22528" s="7" t="n">
        <v>0</v>
      </c>
      <c r="F22528" s="7" t="n">
        <v>64</v>
      </c>
    </row>
    <row r="22529" spans="1:31">
      <c r="A22529" t="s">
        <v>4</v>
      </c>
      <c r="B22529" s="4" t="s">
        <v>5</v>
      </c>
      <c r="C22529" s="4" t="s">
        <v>7</v>
      </c>
      <c r="D22529" s="4" t="s">
        <v>11</v>
      </c>
    </row>
    <row r="22530" spans="1:31">
      <c r="A22530" t="n">
        <v>216289</v>
      </c>
      <c r="B22530" s="22" t="n">
        <v>22</v>
      </c>
      <c r="C22530" s="7" t="n">
        <v>0</v>
      </c>
      <c r="D22530" s="7" t="n">
        <v>36865</v>
      </c>
    </row>
    <row r="22531" spans="1:31">
      <c r="A22531" t="s">
        <v>4</v>
      </c>
      <c r="B22531" s="4" t="s">
        <v>5</v>
      </c>
      <c r="C22531" s="4" t="s">
        <v>7</v>
      </c>
      <c r="D22531" s="4" t="s">
        <v>11</v>
      </c>
    </row>
    <row r="22532" spans="1:31">
      <c r="A22532" t="n">
        <v>216293</v>
      </c>
      <c r="B22532" s="23" t="n">
        <v>58</v>
      </c>
      <c r="C22532" s="7" t="n">
        <v>5</v>
      </c>
      <c r="D22532" s="7" t="n">
        <v>300</v>
      </c>
    </row>
    <row r="22533" spans="1:31">
      <c r="A22533" t="s">
        <v>4</v>
      </c>
      <c r="B22533" s="4" t="s">
        <v>5</v>
      </c>
      <c r="C22533" s="4" t="s">
        <v>13</v>
      </c>
      <c r="D22533" s="4" t="s">
        <v>11</v>
      </c>
    </row>
    <row r="22534" spans="1:31">
      <c r="A22534" t="n">
        <v>216297</v>
      </c>
      <c r="B22534" s="46" t="n">
        <v>103</v>
      </c>
      <c r="C22534" s="7" t="n">
        <v>0</v>
      </c>
      <c r="D22534" s="7" t="n">
        <v>300</v>
      </c>
    </row>
    <row r="22535" spans="1:31">
      <c r="A22535" t="s">
        <v>4</v>
      </c>
      <c r="B22535" s="4" t="s">
        <v>5</v>
      </c>
      <c r="C22535" s="4" t="s">
        <v>7</v>
      </c>
    </row>
    <row r="22536" spans="1:31">
      <c r="A22536" t="n">
        <v>216304</v>
      </c>
      <c r="B22536" s="47" t="n">
        <v>64</v>
      </c>
      <c r="C22536" s="7" t="n">
        <v>7</v>
      </c>
    </row>
    <row r="22537" spans="1:31">
      <c r="A22537" t="s">
        <v>4</v>
      </c>
      <c r="B22537" s="4" t="s">
        <v>5</v>
      </c>
      <c r="C22537" s="4" t="s">
        <v>7</v>
      </c>
      <c r="D22537" s="4" t="s">
        <v>11</v>
      </c>
    </row>
    <row r="22538" spans="1:31">
      <c r="A22538" t="n">
        <v>216306</v>
      </c>
      <c r="B22538" s="48" t="n">
        <v>72</v>
      </c>
      <c r="C22538" s="7" t="n">
        <v>5</v>
      </c>
      <c r="D22538" s="7" t="n">
        <v>0</v>
      </c>
    </row>
    <row r="22539" spans="1:31">
      <c r="A22539" t="s">
        <v>4</v>
      </c>
      <c r="B22539" s="4" t="s">
        <v>5</v>
      </c>
      <c r="C22539" s="4" t="s">
        <v>7</v>
      </c>
      <c r="D22539" s="20" t="s">
        <v>35</v>
      </c>
      <c r="E22539" s="4" t="s">
        <v>5</v>
      </c>
      <c r="F22539" s="4" t="s">
        <v>7</v>
      </c>
      <c r="G22539" s="4" t="s">
        <v>11</v>
      </c>
      <c r="H22539" s="20" t="s">
        <v>36</v>
      </c>
      <c r="I22539" s="4" t="s">
        <v>7</v>
      </c>
      <c r="J22539" s="4" t="s">
        <v>15</v>
      </c>
      <c r="K22539" s="4" t="s">
        <v>7</v>
      </c>
      <c r="L22539" s="4" t="s">
        <v>7</v>
      </c>
      <c r="M22539" s="4" t="s">
        <v>12</v>
      </c>
    </row>
    <row r="22540" spans="1:31">
      <c r="A22540" t="n">
        <v>216310</v>
      </c>
      <c r="B22540" s="10" t="n">
        <v>5</v>
      </c>
      <c r="C22540" s="7" t="n">
        <v>28</v>
      </c>
      <c r="D22540" s="20" t="s">
        <v>3</v>
      </c>
      <c r="E22540" s="8" t="n">
        <v>162</v>
      </c>
      <c r="F22540" s="7" t="n">
        <v>4</v>
      </c>
      <c r="G22540" s="7" t="n">
        <v>36865</v>
      </c>
      <c r="H22540" s="20" t="s">
        <v>3</v>
      </c>
      <c r="I22540" s="7" t="n">
        <v>0</v>
      </c>
      <c r="J22540" s="7" t="n">
        <v>1</v>
      </c>
      <c r="K22540" s="7" t="n">
        <v>2</v>
      </c>
      <c r="L22540" s="7" t="n">
        <v>1</v>
      </c>
      <c r="M22540" s="11" t="n">
        <f t="normal" ca="1">A22546</f>
        <v>0</v>
      </c>
    </row>
    <row r="22541" spans="1:31">
      <c r="A22541" t="s">
        <v>4</v>
      </c>
      <c r="B22541" s="4" t="s">
        <v>5</v>
      </c>
      <c r="C22541" s="4" t="s">
        <v>7</v>
      </c>
      <c r="D22541" s="4" t="s">
        <v>8</v>
      </c>
    </row>
    <row r="22542" spans="1:31">
      <c r="A22542" t="n">
        <v>216327</v>
      </c>
      <c r="B22542" s="6" t="n">
        <v>2</v>
      </c>
      <c r="C22542" s="7" t="n">
        <v>10</v>
      </c>
      <c r="D22542" s="7" t="s">
        <v>107</v>
      </c>
    </row>
    <row r="22543" spans="1:31">
      <c r="A22543" t="s">
        <v>4</v>
      </c>
      <c r="B22543" s="4" t="s">
        <v>5</v>
      </c>
      <c r="C22543" s="4" t="s">
        <v>11</v>
      </c>
    </row>
    <row r="22544" spans="1:31">
      <c r="A22544" t="n">
        <v>216344</v>
      </c>
      <c r="B22544" s="29" t="n">
        <v>16</v>
      </c>
      <c r="C22544" s="7" t="n">
        <v>0</v>
      </c>
    </row>
    <row r="22545" spans="1:13">
      <c r="A22545" t="s">
        <v>4</v>
      </c>
      <c r="B22545" s="4" t="s">
        <v>5</v>
      </c>
      <c r="C22545" s="4" t="s">
        <v>7</v>
      </c>
      <c r="D22545" s="4" t="s">
        <v>11</v>
      </c>
      <c r="E22545" s="4" t="s">
        <v>11</v>
      </c>
      <c r="F22545" s="4" t="s">
        <v>11</v>
      </c>
      <c r="G22545" s="4" t="s">
        <v>11</v>
      </c>
      <c r="H22545" s="4" t="s">
        <v>11</v>
      </c>
      <c r="I22545" s="4" t="s">
        <v>11</v>
      </c>
      <c r="J22545" s="4" t="s">
        <v>11</v>
      </c>
      <c r="K22545" s="4" t="s">
        <v>11</v>
      </c>
      <c r="L22545" s="4" t="s">
        <v>11</v>
      </c>
      <c r="M22545" s="4" t="s">
        <v>11</v>
      </c>
      <c r="N22545" s="4" t="s">
        <v>15</v>
      </c>
      <c r="O22545" s="4" t="s">
        <v>15</v>
      </c>
      <c r="P22545" s="4" t="s">
        <v>15</v>
      </c>
      <c r="Q22545" s="4" t="s">
        <v>15</v>
      </c>
      <c r="R22545" s="4" t="s">
        <v>7</v>
      </c>
      <c r="S22545" s="4" t="s">
        <v>8</v>
      </c>
    </row>
    <row r="22546" spans="1:13">
      <c r="A22546" t="n">
        <v>216347</v>
      </c>
      <c r="B22546" s="24" t="n">
        <v>75</v>
      </c>
      <c r="C22546" s="7" t="n">
        <v>0</v>
      </c>
      <c r="D22546" s="7" t="n">
        <v>484</v>
      </c>
      <c r="E22546" s="7" t="n">
        <v>328</v>
      </c>
      <c r="F22546" s="7" t="n">
        <v>996</v>
      </c>
      <c r="G22546" s="7" t="n">
        <v>392</v>
      </c>
      <c r="H22546" s="7" t="n">
        <v>0</v>
      </c>
      <c r="I22546" s="7" t="n">
        <v>0</v>
      </c>
      <c r="J22546" s="7" t="n">
        <v>0</v>
      </c>
      <c r="K22546" s="7" t="n">
        <v>448</v>
      </c>
      <c r="L22546" s="7" t="n">
        <v>512</v>
      </c>
      <c r="M22546" s="7" t="n">
        <v>512</v>
      </c>
      <c r="N22546" s="7" t="n">
        <v>1065353216</v>
      </c>
      <c r="O22546" s="7" t="n">
        <v>1065353216</v>
      </c>
      <c r="P22546" s="7" t="n">
        <v>1065353216</v>
      </c>
      <c r="Q22546" s="7" t="n">
        <v>0</v>
      </c>
      <c r="R22546" s="7" t="n">
        <v>0</v>
      </c>
      <c r="S22546" s="7" t="s">
        <v>271</v>
      </c>
    </row>
    <row r="22547" spans="1:13">
      <c r="A22547" t="s">
        <v>4</v>
      </c>
      <c r="B22547" s="4" t="s">
        <v>5</v>
      </c>
      <c r="C22547" s="4" t="s">
        <v>7</v>
      </c>
      <c r="D22547" s="4" t="s">
        <v>11</v>
      </c>
      <c r="E22547" s="4" t="s">
        <v>11</v>
      </c>
      <c r="F22547" s="4" t="s">
        <v>11</v>
      </c>
      <c r="G22547" s="4" t="s">
        <v>11</v>
      </c>
      <c r="H22547" s="4" t="s">
        <v>11</v>
      </c>
      <c r="I22547" s="4" t="s">
        <v>11</v>
      </c>
      <c r="J22547" s="4" t="s">
        <v>11</v>
      </c>
      <c r="K22547" s="4" t="s">
        <v>11</v>
      </c>
      <c r="L22547" s="4" t="s">
        <v>11</v>
      </c>
      <c r="M22547" s="4" t="s">
        <v>11</v>
      </c>
      <c r="N22547" s="4" t="s">
        <v>15</v>
      </c>
      <c r="O22547" s="4" t="s">
        <v>15</v>
      </c>
      <c r="P22547" s="4" t="s">
        <v>15</v>
      </c>
      <c r="Q22547" s="4" t="s">
        <v>15</v>
      </c>
      <c r="R22547" s="4" t="s">
        <v>7</v>
      </c>
      <c r="S22547" s="4" t="s">
        <v>8</v>
      </c>
    </row>
    <row r="22548" spans="1:13">
      <c r="A22548" t="n">
        <v>216396</v>
      </c>
      <c r="B22548" s="24" t="n">
        <v>75</v>
      </c>
      <c r="C22548" s="7" t="n">
        <v>1</v>
      </c>
      <c r="D22548" s="7" t="n">
        <v>0</v>
      </c>
      <c r="E22548" s="7" t="n">
        <v>0</v>
      </c>
      <c r="F22548" s="7" t="n">
        <v>1024</v>
      </c>
      <c r="G22548" s="7" t="n">
        <v>720</v>
      </c>
      <c r="H22548" s="7" t="n">
        <v>0</v>
      </c>
      <c r="I22548" s="7" t="n">
        <v>0</v>
      </c>
      <c r="J22548" s="7" t="n">
        <v>0</v>
      </c>
      <c r="K22548" s="7" t="n">
        <v>0</v>
      </c>
      <c r="L22548" s="7" t="n">
        <v>1024</v>
      </c>
      <c r="M22548" s="7" t="n">
        <v>720</v>
      </c>
      <c r="N22548" s="7" t="n">
        <v>1065353216</v>
      </c>
      <c r="O22548" s="7" t="n">
        <v>1065353216</v>
      </c>
      <c r="P22548" s="7" t="n">
        <v>1065353216</v>
      </c>
      <c r="Q22548" s="7" t="n">
        <v>0</v>
      </c>
      <c r="R22548" s="7" t="n">
        <v>0</v>
      </c>
      <c r="S22548" s="7" t="s">
        <v>272</v>
      </c>
    </row>
    <row r="22549" spans="1:13">
      <c r="A22549" t="s">
        <v>4</v>
      </c>
      <c r="B22549" s="4" t="s">
        <v>5</v>
      </c>
      <c r="C22549" s="4" t="s">
        <v>7</v>
      </c>
      <c r="D22549" s="4" t="s">
        <v>7</v>
      </c>
      <c r="E22549" s="4" t="s">
        <v>7</v>
      </c>
      <c r="F22549" s="4" t="s">
        <v>13</v>
      </c>
      <c r="G22549" s="4" t="s">
        <v>13</v>
      </c>
      <c r="H22549" s="4" t="s">
        <v>13</v>
      </c>
      <c r="I22549" s="4" t="s">
        <v>13</v>
      </c>
      <c r="J22549" s="4" t="s">
        <v>13</v>
      </c>
    </row>
    <row r="22550" spans="1:13">
      <c r="A22550" t="n">
        <v>216445</v>
      </c>
      <c r="B22550" s="25" t="n">
        <v>76</v>
      </c>
      <c r="C22550" s="7" t="n">
        <v>1</v>
      </c>
      <c r="D22550" s="7" t="n">
        <v>9</v>
      </c>
      <c r="E22550" s="7" t="n">
        <v>2</v>
      </c>
      <c r="F22550" s="7" t="n">
        <v>0</v>
      </c>
      <c r="G22550" s="7" t="n">
        <v>0</v>
      </c>
      <c r="H22550" s="7" t="n">
        <v>0</v>
      </c>
      <c r="I22550" s="7" t="n">
        <v>0</v>
      </c>
      <c r="J22550" s="7" t="n">
        <v>0</v>
      </c>
    </row>
    <row r="22551" spans="1:13">
      <c r="A22551" t="s">
        <v>4</v>
      </c>
      <c r="B22551" s="4" t="s">
        <v>5</v>
      </c>
      <c r="C22551" s="4" t="s">
        <v>11</v>
      </c>
      <c r="D22551" s="4" t="s">
        <v>8</v>
      </c>
      <c r="E22551" s="4" t="s">
        <v>8</v>
      </c>
      <c r="F22551" s="4" t="s">
        <v>8</v>
      </c>
      <c r="G22551" s="4" t="s">
        <v>7</v>
      </c>
      <c r="H22551" s="4" t="s">
        <v>15</v>
      </c>
      <c r="I22551" s="4" t="s">
        <v>13</v>
      </c>
      <c r="J22551" s="4" t="s">
        <v>13</v>
      </c>
      <c r="K22551" s="4" t="s">
        <v>13</v>
      </c>
      <c r="L22551" s="4" t="s">
        <v>13</v>
      </c>
      <c r="M22551" s="4" t="s">
        <v>13</v>
      </c>
      <c r="N22551" s="4" t="s">
        <v>13</v>
      </c>
      <c r="O22551" s="4" t="s">
        <v>13</v>
      </c>
      <c r="P22551" s="4" t="s">
        <v>8</v>
      </c>
      <c r="Q22551" s="4" t="s">
        <v>8</v>
      </c>
      <c r="R22551" s="4" t="s">
        <v>15</v>
      </c>
      <c r="S22551" s="4" t="s">
        <v>7</v>
      </c>
      <c r="T22551" s="4" t="s">
        <v>15</v>
      </c>
      <c r="U22551" s="4" t="s">
        <v>15</v>
      </c>
      <c r="V22551" s="4" t="s">
        <v>11</v>
      </c>
    </row>
    <row r="22552" spans="1:13">
      <c r="A22552" t="n">
        <v>216469</v>
      </c>
      <c r="B22552" s="62" t="n">
        <v>19</v>
      </c>
      <c r="C22552" s="7" t="n">
        <v>1</v>
      </c>
      <c r="D22552" s="7" t="s">
        <v>273</v>
      </c>
      <c r="E22552" s="7" t="s">
        <v>274</v>
      </c>
      <c r="F22552" s="7" t="s">
        <v>16</v>
      </c>
      <c r="G22552" s="7" t="n">
        <v>0</v>
      </c>
      <c r="H22552" s="7" t="n">
        <v>1</v>
      </c>
      <c r="I22552" s="7" t="n">
        <v>0</v>
      </c>
      <c r="J22552" s="7" t="n">
        <v>0</v>
      </c>
      <c r="K22552" s="7" t="n">
        <v>0</v>
      </c>
      <c r="L22552" s="7" t="n">
        <v>0</v>
      </c>
      <c r="M22552" s="7" t="n">
        <v>1</v>
      </c>
      <c r="N22552" s="7" t="n">
        <v>1.60000002384186</v>
      </c>
      <c r="O22552" s="7" t="n">
        <v>0.0900000035762787</v>
      </c>
      <c r="P22552" s="7" t="s">
        <v>16</v>
      </c>
      <c r="Q22552" s="7" t="s">
        <v>16</v>
      </c>
      <c r="R22552" s="7" t="n">
        <v>-1</v>
      </c>
      <c r="S22552" s="7" t="n">
        <v>0</v>
      </c>
      <c r="T22552" s="7" t="n">
        <v>0</v>
      </c>
      <c r="U22552" s="7" t="n">
        <v>0</v>
      </c>
      <c r="V22552" s="7" t="n">
        <v>0</v>
      </c>
    </row>
    <row r="22553" spans="1:13">
      <c r="A22553" t="s">
        <v>4</v>
      </c>
      <c r="B22553" s="4" t="s">
        <v>5</v>
      </c>
      <c r="C22553" s="4" t="s">
        <v>11</v>
      </c>
      <c r="D22553" s="4" t="s">
        <v>7</v>
      </c>
      <c r="E22553" s="4" t="s">
        <v>7</v>
      </c>
      <c r="F22553" s="4" t="s">
        <v>8</v>
      </c>
    </row>
    <row r="22554" spans="1:13">
      <c r="A22554" t="n">
        <v>216542</v>
      </c>
      <c r="B22554" s="50" t="n">
        <v>20</v>
      </c>
      <c r="C22554" s="7" t="n">
        <v>0</v>
      </c>
      <c r="D22554" s="7" t="n">
        <v>3</v>
      </c>
      <c r="E22554" s="7" t="n">
        <v>10</v>
      </c>
      <c r="F22554" s="7" t="s">
        <v>108</v>
      </c>
    </row>
    <row r="22555" spans="1:13">
      <c r="A22555" t="s">
        <v>4</v>
      </c>
      <c r="B22555" s="4" t="s">
        <v>5</v>
      </c>
      <c r="C22555" s="4" t="s">
        <v>11</v>
      </c>
    </row>
    <row r="22556" spans="1:13">
      <c r="A22556" t="n">
        <v>216560</v>
      </c>
      <c r="B22556" s="29" t="n">
        <v>16</v>
      </c>
      <c r="C22556" s="7" t="n">
        <v>0</v>
      </c>
    </row>
    <row r="22557" spans="1:13">
      <c r="A22557" t="s">
        <v>4</v>
      </c>
      <c r="B22557" s="4" t="s">
        <v>5</v>
      </c>
      <c r="C22557" s="4" t="s">
        <v>11</v>
      </c>
      <c r="D22557" s="4" t="s">
        <v>7</v>
      </c>
      <c r="E22557" s="4" t="s">
        <v>7</v>
      </c>
      <c r="F22557" s="4" t="s">
        <v>8</v>
      </c>
    </row>
    <row r="22558" spans="1:13">
      <c r="A22558" t="n">
        <v>216563</v>
      </c>
      <c r="B22558" s="50" t="n">
        <v>20</v>
      </c>
      <c r="C22558" s="7" t="n">
        <v>1</v>
      </c>
      <c r="D22558" s="7" t="n">
        <v>3</v>
      </c>
      <c r="E22558" s="7" t="n">
        <v>10</v>
      </c>
      <c r="F22558" s="7" t="s">
        <v>108</v>
      </c>
    </row>
    <row r="22559" spans="1:13">
      <c r="A22559" t="s">
        <v>4</v>
      </c>
      <c r="B22559" s="4" t="s">
        <v>5</v>
      </c>
      <c r="C22559" s="4" t="s">
        <v>11</v>
      </c>
    </row>
    <row r="22560" spans="1:13">
      <c r="A22560" t="n">
        <v>216581</v>
      </c>
      <c r="B22560" s="29" t="n">
        <v>16</v>
      </c>
      <c r="C22560" s="7" t="n">
        <v>0</v>
      </c>
    </row>
    <row r="22561" spans="1:22">
      <c r="A22561" t="s">
        <v>4</v>
      </c>
      <c r="B22561" s="4" t="s">
        <v>5</v>
      </c>
      <c r="C22561" s="4" t="s">
        <v>11</v>
      </c>
      <c r="D22561" s="4" t="s">
        <v>15</v>
      </c>
    </row>
    <row r="22562" spans="1:22">
      <c r="A22562" t="n">
        <v>216584</v>
      </c>
      <c r="B22562" s="39" t="n">
        <v>43</v>
      </c>
      <c r="C22562" s="7" t="n">
        <v>1</v>
      </c>
      <c r="D22562" s="7" t="n">
        <v>1</v>
      </c>
    </row>
    <row r="22563" spans="1:22">
      <c r="A22563" t="s">
        <v>4</v>
      </c>
      <c r="B22563" s="4" t="s">
        <v>5</v>
      </c>
      <c r="C22563" s="4" t="s">
        <v>7</v>
      </c>
    </row>
    <row r="22564" spans="1:22">
      <c r="A22564" t="n">
        <v>216591</v>
      </c>
      <c r="B22564" s="49" t="n">
        <v>116</v>
      </c>
      <c r="C22564" s="7" t="n">
        <v>0</v>
      </c>
    </row>
    <row r="22565" spans="1:22">
      <c r="A22565" t="s">
        <v>4</v>
      </c>
      <c r="B22565" s="4" t="s">
        <v>5</v>
      </c>
      <c r="C22565" s="4" t="s">
        <v>7</v>
      </c>
      <c r="D22565" s="4" t="s">
        <v>11</v>
      </c>
    </row>
    <row r="22566" spans="1:22">
      <c r="A22566" t="n">
        <v>216593</v>
      </c>
      <c r="B22566" s="49" t="n">
        <v>116</v>
      </c>
      <c r="C22566" s="7" t="n">
        <v>2</v>
      </c>
      <c r="D22566" s="7" t="n">
        <v>1</v>
      </c>
    </row>
    <row r="22567" spans="1:22">
      <c r="A22567" t="s">
        <v>4</v>
      </c>
      <c r="B22567" s="4" t="s">
        <v>5</v>
      </c>
      <c r="C22567" s="4" t="s">
        <v>7</v>
      </c>
      <c r="D22567" s="4" t="s">
        <v>15</v>
      </c>
    </row>
    <row r="22568" spans="1:22">
      <c r="A22568" t="n">
        <v>216597</v>
      </c>
      <c r="B22568" s="49" t="n">
        <v>116</v>
      </c>
      <c r="C22568" s="7" t="n">
        <v>5</v>
      </c>
      <c r="D22568" s="7" t="n">
        <v>1106247680</v>
      </c>
    </row>
    <row r="22569" spans="1:22">
      <c r="A22569" t="s">
        <v>4</v>
      </c>
      <c r="B22569" s="4" t="s">
        <v>5</v>
      </c>
      <c r="C22569" s="4" t="s">
        <v>7</v>
      </c>
      <c r="D22569" s="4" t="s">
        <v>11</v>
      </c>
    </row>
    <row r="22570" spans="1:22">
      <c r="A22570" t="n">
        <v>216603</v>
      </c>
      <c r="B22570" s="49" t="n">
        <v>116</v>
      </c>
      <c r="C22570" s="7" t="n">
        <v>6</v>
      </c>
      <c r="D22570" s="7" t="n">
        <v>1</v>
      </c>
    </row>
    <row r="22571" spans="1:22">
      <c r="A22571" t="s">
        <v>4</v>
      </c>
      <c r="B22571" s="4" t="s">
        <v>5</v>
      </c>
      <c r="C22571" s="4" t="s">
        <v>7</v>
      </c>
      <c r="D22571" s="4" t="s">
        <v>11</v>
      </c>
      <c r="E22571" s="4" t="s">
        <v>11</v>
      </c>
      <c r="F22571" s="4" t="s">
        <v>15</v>
      </c>
    </row>
    <row r="22572" spans="1:22">
      <c r="A22572" t="n">
        <v>216607</v>
      </c>
      <c r="B22572" s="76" t="n">
        <v>84</v>
      </c>
      <c r="C22572" s="7" t="n">
        <v>0</v>
      </c>
      <c r="D22572" s="7" t="n">
        <v>0</v>
      </c>
      <c r="E22572" s="7" t="n">
        <v>0</v>
      </c>
      <c r="F22572" s="7" t="n">
        <v>1045220557</v>
      </c>
    </row>
    <row r="22573" spans="1:22">
      <c r="A22573" t="s">
        <v>4</v>
      </c>
      <c r="B22573" s="4" t="s">
        <v>5</v>
      </c>
      <c r="C22573" s="4" t="s">
        <v>11</v>
      </c>
      <c r="D22573" s="4" t="s">
        <v>13</v>
      </c>
      <c r="E22573" s="4" t="s">
        <v>13</v>
      </c>
      <c r="F22573" s="4" t="s">
        <v>13</v>
      </c>
      <c r="G22573" s="4" t="s">
        <v>13</v>
      </c>
    </row>
    <row r="22574" spans="1:22">
      <c r="A22574" t="n">
        <v>216617</v>
      </c>
      <c r="B22574" s="36" t="n">
        <v>46</v>
      </c>
      <c r="C22574" s="7" t="n">
        <v>1</v>
      </c>
      <c r="D22574" s="7" t="n">
        <v>7.6100001335144</v>
      </c>
      <c r="E22574" s="7" t="n">
        <v>0</v>
      </c>
      <c r="F22574" s="7" t="n">
        <v>46.0200004577637</v>
      </c>
      <c r="G22574" s="7" t="n">
        <v>272.200012207031</v>
      </c>
    </row>
    <row r="22575" spans="1:22">
      <c r="A22575" t="s">
        <v>4</v>
      </c>
      <c r="B22575" s="4" t="s">
        <v>5</v>
      </c>
      <c r="C22575" s="4" t="s">
        <v>11</v>
      </c>
      <c r="D22575" s="4" t="s">
        <v>13</v>
      </c>
      <c r="E22575" s="4" t="s">
        <v>13</v>
      </c>
      <c r="F22575" s="4" t="s">
        <v>13</v>
      </c>
      <c r="G22575" s="4" t="s">
        <v>13</v>
      </c>
    </row>
    <row r="22576" spans="1:22">
      <c r="A22576" t="n">
        <v>216636</v>
      </c>
      <c r="B22576" s="36" t="n">
        <v>46</v>
      </c>
      <c r="C22576" s="7" t="n">
        <v>0</v>
      </c>
      <c r="D22576" s="7" t="n">
        <v>4.78000020980835</v>
      </c>
      <c r="E22576" s="7" t="n">
        <v>0</v>
      </c>
      <c r="F22576" s="7" t="n">
        <v>45.3300018310547</v>
      </c>
      <c r="G22576" s="7" t="n">
        <v>-102.300003051758</v>
      </c>
    </row>
    <row r="22577" spans="1:7">
      <c r="A22577" t="s">
        <v>4</v>
      </c>
      <c r="B22577" s="4" t="s">
        <v>5</v>
      </c>
      <c r="C22577" s="4" t="s">
        <v>11</v>
      </c>
      <c r="D22577" s="4" t="s">
        <v>7</v>
      </c>
      <c r="E22577" s="4" t="s">
        <v>8</v>
      </c>
      <c r="F22577" s="4" t="s">
        <v>13</v>
      </c>
      <c r="G22577" s="4" t="s">
        <v>13</v>
      </c>
      <c r="H22577" s="4" t="s">
        <v>13</v>
      </c>
    </row>
    <row r="22578" spans="1:7">
      <c r="A22578" t="n">
        <v>216655</v>
      </c>
      <c r="B22578" s="42" t="n">
        <v>48</v>
      </c>
      <c r="C22578" s="7" t="n">
        <v>0</v>
      </c>
      <c r="D22578" s="7" t="n">
        <v>0</v>
      </c>
      <c r="E22578" s="7" t="s">
        <v>275</v>
      </c>
      <c r="F22578" s="7" t="n">
        <v>0</v>
      </c>
      <c r="G22578" s="7" t="n">
        <v>1</v>
      </c>
      <c r="H22578" s="7" t="n">
        <v>0</v>
      </c>
    </row>
    <row r="22579" spans="1:7">
      <c r="A22579" t="s">
        <v>4</v>
      </c>
      <c r="B22579" s="4" t="s">
        <v>5</v>
      </c>
      <c r="C22579" s="4" t="s">
        <v>7</v>
      </c>
      <c r="D22579" s="4" t="s">
        <v>11</v>
      </c>
      <c r="E22579" s="4" t="s">
        <v>8</v>
      </c>
      <c r="F22579" s="4" t="s">
        <v>8</v>
      </c>
      <c r="G22579" s="4" t="s">
        <v>8</v>
      </c>
      <c r="H22579" s="4" t="s">
        <v>8</v>
      </c>
    </row>
    <row r="22580" spans="1:7">
      <c r="A22580" t="n">
        <v>216680</v>
      </c>
      <c r="B22580" s="38" t="n">
        <v>51</v>
      </c>
      <c r="C22580" s="7" t="n">
        <v>3</v>
      </c>
      <c r="D22580" s="7" t="n">
        <v>0</v>
      </c>
      <c r="E22580" s="7" t="s">
        <v>101</v>
      </c>
      <c r="F22580" s="7" t="s">
        <v>99</v>
      </c>
      <c r="G22580" s="7" t="s">
        <v>78</v>
      </c>
      <c r="H22580" s="7" t="s">
        <v>79</v>
      </c>
    </row>
    <row r="22581" spans="1:7">
      <c r="A22581" t="s">
        <v>4</v>
      </c>
      <c r="B22581" s="4" t="s">
        <v>5</v>
      </c>
      <c r="C22581" s="4" t="s">
        <v>7</v>
      </c>
      <c r="D22581" s="4" t="s">
        <v>11</v>
      </c>
      <c r="E22581" s="4" t="s">
        <v>8</v>
      </c>
      <c r="F22581" s="4" t="s">
        <v>8</v>
      </c>
      <c r="G22581" s="4" t="s">
        <v>8</v>
      </c>
      <c r="H22581" s="4" t="s">
        <v>8</v>
      </c>
    </row>
    <row r="22582" spans="1:7">
      <c r="A22582" t="n">
        <v>216701</v>
      </c>
      <c r="B22582" s="38" t="n">
        <v>51</v>
      </c>
      <c r="C22582" s="7" t="n">
        <v>3</v>
      </c>
      <c r="D22582" s="7" t="n">
        <v>1</v>
      </c>
      <c r="E22582" s="7" t="s">
        <v>101</v>
      </c>
      <c r="F22582" s="7" t="s">
        <v>232</v>
      </c>
      <c r="G22582" s="7" t="s">
        <v>78</v>
      </c>
      <c r="H22582" s="7" t="s">
        <v>79</v>
      </c>
    </row>
    <row r="22583" spans="1:7">
      <c r="A22583" t="s">
        <v>4</v>
      </c>
      <c r="B22583" s="4" t="s">
        <v>5</v>
      </c>
      <c r="C22583" s="4" t="s">
        <v>7</v>
      </c>
      <c r="D22583" s="4" t="s">
        <v>11</v>
      </c>
      <c r="E22583" s="4" t="s">
        <v>7</v>
      </c>
      <c r="F22583" s="4" t="s">
        <v>8</v>
      </c>
      <c r="G22583" s="4" t="s">
        <v>8</v>
      </c>
      <c r="H22583" s="4" t="s">
        <v>8</v>
      </c>
      <c r="I22583" s="4" t="s">
        <v>8</v>
      </c>
      <c r="J22583" s="4" t="s">
        <v>8</v>
      </c>
      <c r="K22583" s="4" t="s">
        <v>8</v>
      </c>
      <c r="L22583" s="4" t="s">
        <v>8</v>
      </c>
      <c r="M22583" s="4" t="s">
        <v>8</v>
      </c>
      <c r="N22583" s="4" t="s">
        <v>8</v>
      </c>
      <c r="O22583" s="4" t="s">
        <v>8</v>
      </c>
      <c r="P22583" s="4" t="s">
        <v>8</v>
      </c>
      <c r="Q22583" s="4" t="s">
        <v>8</v>
      </c>
      <c r="R22583" s="4" t="s">
        <v>8</v>
      </c>
      <c r="S22583" s="4" t="s">
        <v>8</v>
      </c>
      <c r="T22583" s="4" t="s">
        <v>8</v>
      </c>
      <c r="U22583" s="4" t="s">
        <v>8</v>
      </c>
    </row>
    <row r="22584" spans="1:7">
      <c r="A22584" t="n">
        <v>216722</v>
      </c>
      <c r="B22584" s="40" t="n">
        <v>36</v>
      </c>
      <c r="C22584" s="7" t="n">
        <v>8</v>
      </c>
      <c r="D22584" s="7" t="n">
        <v>0</v>
      </c>
      <c r="E22584" s="7" t="n">
        <v>0</v>
      </c>
      <c r="F22584" s="7" t="s">
        <v>276</v>
      </c>
      <c r="G22584" s="7" t="s">
        <v>277</v>
      </c>
      <c r="H22584" s="7" t="s">
        <v>278</v>
      </c>
      <c r="I22584" s="7" t="s">
        <v>16</v>
      </c>
      <c r="J22584" s="7" t="s">
        <v>16</v>
      </c>
      <c r="K22584" s="7" t="s">
        <v>16</v>
      </c>
      <c r="L22584" s="7" t="s">
        <v>16</v>
      </c>
      <c r="M22584" s="7" t="s">
        <v>16</v>
      </c>
      <c r="N22584" s="7" t="s">
        <v>16</v>
      </c>
      <c r="O22584" s="7" t="s">
        <v>16</v>
      </c>
      <c r="P22584" s="7" t="s">
        <v>16</v>
      </c>
      <c r="Q22584" s="7" t="s">
        <v>16</v>
      </c>
      <c r="R22584" s="7" t="s">
        <v>16</v>
      </c>
      <c r="S22584" s="7" t="s">
        <v>16</v>
      </c>
      <c r="T22584" s="7" t="s">
        <v>16</v>
      </c>
      <c r="U22584" s="7" t="s">
        <v>16</v>
      </c>
    </row>
    <row r="22585" spans="1:7">
      <c r="A22585" t="s">
        <v>4</v>
      </c>
      <c r="B22585" s="4" t="s">
        <v>5</v>
      </c>
      <c r="C22585" s="4" t="s">
        <v>7</v>
      </c>
      <c r="D22585" s="4" t="s">
        <v>11</v>
      </c>
      <c r="E22585" s="4" t="s">
        <v>7</v>
      </c>
      <c r="F22585" s="4" t="s">
        <v>8</v>
      </c>
      <c r="G22585" s="4" t="s">
        <v>8</v>
      </c>
      <c r="H22585" s="4" t="s">
        <v>8</v>
      </c>
      <c r="I22585" s="4" t="s">
        <v>8</v>
      </c>
      <c r="J22585" s="4" t="s">
        <v>8</v>
      </c>
      <c r="K22585" s="4" t="s">
        <v>8</v>
      </c>
      <c r="L22585" s="4" t="s">
        <v>8</v>
      </c>
      <c r="M22585" s="4" t="s">
        <v>8</v>
      </c>
      <c r="N22585" s="4" t="s">
        <v>8</v>
      </c>
      <c r="O22585" s="4" t="s">
        <v>8</v>
      </c>
      <c r="P22585" s="4" t="s">
        <v>8</v>
      </c>
      <c r="Q22585" s="4" t="s">
        <v>8</v>
      </c>
      <c r="R22585" s="4" t="s">
        <v>8</v>
      </c>
      <c r="S22585" s="4" t="s">
        <v>8</v>
      </c>
      <c r="T22585" s="4" t="s">
        <v>8</v>
      </c>
      <c r="U22585" s="4" t="s">
        <v>8</v>
      </c>
    </row>
    <row r="22586" spans="1:7">
      <c r="A22586" t="n">
        <v>216770</v>
      </c>
      <c r="B22586" s="40" t="n">
        <v>36</v>
      </c>
      <c r="C22586" s="7" t="n">
        <v>8</v>
      </c>
      <c r="D22586" s="7" t="n">
        <v>1</v>
      </c>
      <c r="E22586" s="7" t="n">
        <v>0</v>
      </c>
      <c r="F22586" s="7" t="s">
        <v>276</v>
      </c>
      <c r="G22586" s="7" t="s">
        <v>277</v>
      </c>
      <c r="H22586" s="7" t="s">
        <v>278</v>
      </c>
      <c r="I22586" s="7" t="s">
        <v>16</v>
      </c>
      <c r="J22586" s="7" t="s">
        <v>16</v>
      </c>
      <c r="K22586" s="7" t="s">
        <v>16</v>
      </c>
      <c r="L22586" s="7" t="s">
        <v>16</v>
      </c>
      <c r="M22586" s="7" t="s">
        <v>16</v>
      </c>
      <c r="N22586" s="7" t="s">
        <v>16</v>
      </c>
      <c r="O22586" s="7" t="s">
        <v>16</v>
      </c>
      <c r="P22586" s="7" t="s">
        <v>16</v>
      </c>
      <c r="Q22586" s="7" t="s">
        <v>16</v>
      </c>
      <c r="R22586" s="7" t="s">
        <v>16</v>
      </c>
      <c r="S22586" s="7" t="s">
        <v>16</v>
      </c>
      <c r="T22586" s="7" t="s">
        <v>16</v>
      </c>
      <c r="U22586" s="7" t="s">
        <v>16</v>
      </c>
    </row>
    <row r="22587" spans="1:7">
      <c r="A22587" t="s">
        <v>4</v>
      </c>
      <c r="B22587" s="4" t="s">
        <v>5</v>
      </c>
      <c r="C22587" s="4" t="s">
        <v>7</v>
      </c>
      <c r="D22587" s="4" t="s">
        <v>7</v>
      </c>
      <c r="E22587" s="4" t="s">
        <v>13</v>
      </c>
      <c r="F22587" s="4" t="s">
        <v>13</v>
      </c>
      <c r="G22587" s="4" t="s">
        <v>13</v>
      </c>
      <c r="H22587" s="4" t="s">
        <v>11</v>
      </c>
    </row>
    <row r="22588" spans="1:7">
      <c r="A22588" t="n">
        <v>216818</v>
      </c>
      <c r="B22588" s="51" t="n">
        <v>45</v>
      </c>
      <c r="C22588" s="7" t="n">
        <v>2</v>
      </c>
      <c r="D22588" s="7" t="n">
        <v>3</v>
      </c>
      <c r="E22588" s="7" t="n">
        <v>-3</v>
      </c>
      <c r="F22588" s="7" t="n">
        <v>2.89000010490417</v>
      </c>
      <c r="G22588" s="7" t="n">
        <v>41.3699989318848</v>
      </c>
      <c r="H22588" s="7" t="n">
        <v>0</v>
      </c>
    </row>
    <row r="22589" spans="1:7">
      <c r="A22589" t="s">
        <v>4</v>
      </c>
      <c r="B22589" s="4" t="s">
        <v>5</v>
      </c>
      <c r="C22589" s="4" t="s">
        <v>7</v>
      </c>
      <c r="D22589" s="4" t="s">
        <v>7</v>
      </c>
      <c r="E22589" s="4" t="s">
        <v>13</v>
      </c>
      <c r="F22589" s="4" t="s">
        <v>13</v>
      </c>
      <c r="G22589" s="4" t="s">
        <v>13</v>
      </c>
      <c r="H22589" s="4" t="s">
        <v>11</v>
      </c>
      <c r="I22589" s="4" t="s">
        <v>7</v>
      </c>
    </row>
    <row r="22590" spans="1:7">
      <c r="A22590" t="n">
        <v>216835</v>
      </c>
      <c r="B22590" s="51" t="n">
        <v>45</v>
      </c>
      <c r="C22590" s="7" t="n">
        <v>4</v>
      </c>
      <c r="D22590" s="7" t="n">
        <v>3</v>
      </c>
      <c r="E22590" s="7" t="n">
        <v>0.649999976158142</v>
      </c>
      <c r="F22590" s="7" t="n">
        <v>105.529998779297</v>
      </c>
      <c r="G22590" s="7" t="n">
        <v>0</v>
      </c>
      <c r="H22590" s="7" t="n">
        <v>0</v>
      </c>
      <c r="I22590" s="7" t="n">
        <v>0</v>
      </c>
    </row>
    <row r="22591" spans="1:7">
      <c r="A22591" t="s">
        <v>4</v>
      </c>
      <c r="B22591" s="4" t="s">
        <v>5</v>
      </c>
      <c r="C22591" s="4" t="s">
        <v>7</v>
      </c>
      <c r="D22591" s="4" t="s">
        <v>7</v>
      </c>
      <c r="E22591" s="4" t="s">
        <v>13</v>
      </c>
      <c r="F22591" s="4" t="s">
        <v>11</v>
      </c>
    </row>
    <row r="22592" spans="1:7">
      <c r="A22592" t="n">
        <v>216853</v>
      </c>
      <c r="B22592" s="51" t="n">
        <v>45</v>
      </c>
      <c r="C22592" s="7" t="n">
        <v>5</v>
      </c>
      <c r="D22592" s="7" t="n">
        <v>3</v>
      </c>
      <c r="E22592" s="7" t="n">
        <v>2.40000009536743</v>
      </c>
      <c r="F22592" s="7" t="n">
        <v>0</v>
      </c>
    </row>
    <row r="22593" spans="1:21">
      <c r="A22593" t="s">
        <v>4</v>
      </c>
      <c r="B22593" s="4" t="s">
        <v>5</v>
      </c>
      <c r="C22593" s="4" t="s">
        <v>7</v>
      </c>
      <c r="D22593" s="4" t="s">
        <v>7</v>
      </c>
      <c r="E22593" s="4" t="s">
        <v>13</v>
      </c>
      <c r="F22593" s="4" t="s">
        <v>11</v>
      </c>
    </row>
    <row r="22594" spans="1:21">
      <c r="A22594" t="n">
        <v>216862</v>
      </c>
      <c r="B22594" s="51" t="n">
        <v>45</v>
      </c>
      <c r="C22594" s="7" t="n">
        <v>11</v>
      </c>
      <c r="D22594" s="7" t="n">
        <v>3</v>
      </c>
      <c r="E22594" s="7" t="n">
        <v>33.4000015258789</v>
      </c>
      <c r="F22594" s="7" t="n">
        <v>0</v>
      </c>
    </row>
    <row r="22595" spans="1:21">
      <c r="A22595" t="s">
        <v>4</v>
      </c>
      <c r="B22595" s="4" t="s">
        <v>5</v>
      </c>
      <c r="C22595" s="4" t="s">
        <v>11</v>
      </c>
      <c r="D22595" s="4" t="s">
        <v>13</v>
      </c>
      <c r="E22595" s="4" t="s">
        <v>13</v>
      </c>
      <c r="F22595" s="4" t="s">
        <v>13</v>
      </c>
      <c r="G22595" s="4" t="s">
        <v>11</v>
      </c>
      <c r="H22595" s="4" t="s">
        <v>11</v>
      </c>
    </row>
    <row r="22596" spans="1:21">
      <c r="A22596" t="n">
        <v>216871</v>
      </c>
      <c r="B22596" s="37" t="n">
        <v>60</v>
      </c>
      <c r="C22596" s="7" t="n">
        <v>0</v>
      </c>
      <c r="D22596" s="7" t="n">
        <v>0</v>
      </c>
      <c r="E22596" s="7" t="n">
        <v>20</v>
      </c>
      <c r="F22596" s="7" t="n">
        <v>0</v>
      </c>
      <c r="G22596" s="7" t="n">
        <v>0</v>
      </c>
      <c r="H22596" s="7" t="n">
        <v>0</v>
      </c>
    </row>
    <row r="22597" spans="1:21">
      <c r="A22597" t="s">
        <v>4</v>
      </c>
      <c r="B22597" s="4" t="s">
        <v>5</v>
      </c>
      <c r="C22597" s="4" t="s">
        <v>7</v>
      </c>
      <c r="D22597" s="4" t="s">
        <v>7</v>
      </c>
      <c r="E22597" s="4" t="s">
        <v>7</v>
      </c>
      <c r="F22597" s="4" t="s">
        <v>13</v>
      </c>
      <c r="G22597" s="4" t="s">
        <v>13</v>
      </c>
      <c r="H22597" s="4" t="s">
        <v>13</v>
      </c>
      <c r="I22597" s="4" t="s">
        <v>13</v>
      </c>
      <c r="J22597" s="4" t="s">
        <v>13</v>
      </c>
    </row>
    <row r="22598" spans="1:21">
      <c r="A22598" t="n">
        <v>216890</v>
      </c>
      <c r="B22598" s="25" t="n">
        <v>76</v>
      </c>
      <c r="C22598" s="7" t="n">
        <v>0</v>
      </c>
      <c r="D22598" s="7" t="n">
        <v>3</v>
      </c>
      <c r="E22598" s="7" t="n">
        <v>2</v>
      </c>
      <c r="F22598" s="7" t="n">
        <v>1</v>
      </c>
      <c r="G22598" s="7" t="n">
        <v>1</v>
      </c>
      <c r="H22598" s="7" t="n">
        <v>1</v>
      </c>
      <c r="I22598" s="7" t="n">
        <v>1</v>
      </c>
      <c r="J22598" s="7" t="n">
        <v>2000</v>
      </c>
    </row>
    <row r="22599" spans="1:21">
      <c r="A22599" t="s">
        <v>4</v>
      </c>
      <c r="B22599" s="4" t="s">
        <v>5</v>
      </c>
      <c r="C22599" s="4" t="s">
        <v>7</v>
      </c>
      <c r="D22599" s="4" t="s">
        <v>7</v>
      </c>
      <c r="E22599" s="4" t="s">
        <v>7</v>
      </c>
      <c r="F22599" s="4" t="s">
        <v>13</v>
      </c>
      <c r="G22599" s="4" t="s">
        <v>13</v>
      </c>
      <c r="H22599" s="4" t="s">
        <v>13</v>
      </c>
      <c r="I22599" s="4" t="s">
        <v>13</v>
      </c>
      <c r="J22599" s="4" t="s">
        <v>13</v>
      </c>
    </row>
    <row r="22600" spans="1:21">
      <c r="A22600" t="n">
        <v>216914</v>
      </c>
      <c r="B22600" s="25" t="n">
        <v>76</v>
      </c>
      <c r="C22600" s="7" t="n">
        <v>0</v>
      </c>
      <c r="D22600" s="7" t="n">
        <v>0</v>
      </c>
      <c r="E22600" s="7" t="n">
        <v>2</v>
      </c>
      <c r="F22600" s="7" t="n">
        <v>64</v>
      </c>
      <c r="G22600" s="7" t="n">
        <v>0</v>
      </c>
      <c r="H22600" s="7" t="n">
        <v>2000</v>
      </c>
      <c r="I22600" s="7" t="n">
        <v>0</v>
      </c>
      <c r="J22600" s="7" t="n">
        <v>0</v>
      </c>
    </row>
    <row r="22601" spans="1:21">
      <c r="A22601" t="s">
        <v>4</v>
      </c>
      <c r="B22601" s="4" t="s">
        <v>5</v>
      </c>
      <c r="C22601" s="4" t="s">
        <v>7</v>
      </c>
      <c r="D22601" s="4" t="s">
        <v>7</v>
      </c>
    </row>
    <row r="22602" spans="1:21">
      <c r="A22602" t="n">
        <v>216938</v>
      </c>
      <c r="B22602" s="26" t="n">
        <v>77</v>
      </c>
      <c r="C22602" s="7" t="n">
        <v>0</v>
      </c>
      <c r="D22602" s="7" t="n">
        <v>3</v>
      </c>
    </row>
    <row r="22603" spans="1:21">
      <c r="A22603" t="s">
        <v>4</v>
      </c>
      <c r="B22603" s="4" t="s">
        <v>5</v>
      </c>
      <c r="C22603" s="4" t="s">
        <v>7</v>
      </c>
      <c r="D22603" s="4" t="s">
        <v>7</v>
      </c>
    </row>
    <row r="22604" spans="1:21">
      <c r="A22604" t="n">
        <v>216941</v>
      </c>
      <c r="B22604" s="26" t="n">
        <v>77</v>
      </c>
      <c r="C22604" s="7" t="n">
        <v>0</v>
      </c>
      <c r="D22604" s="7" t="n">
        <v>0</v>
      </c>
    </row>
    <row r="22605" spans="1:21">
      <c r="A22605" t="s">
        <v>4</v>
      </c>
      <c r="B22605" s="4" t="s">
        <v>5</v>
      </c>
      <c r="C22605" s="4" t="s">
        <v>11</v>
      </c>
    </row>
    <row r="22606" spans="1:21">
      <c r="A22606" t="n">
        <v>216944</v>
      </c>
      <c r="B22606" s="29" t="n">
        <v>16</v>
      </c>
      <c r="C22606" s="7" t="n">
        <v>2000</v>
      </c>
    </row>
    <row r="22607" spans="1:21">
      <c r="A22607" t="s">
        <v>4</v>
      </c>
      <c r="B22607" s="4" t="s">
        <v>5</v>
      </c>
      <c r="C22607" s="4" t="s">
        <v>7</v>
      </c>
      <c r="D22607" s="4" t="s">
        <v>11</v>
      </c>
      <c r="E22607" s="4" t="s">
        <v>15</v>
      </c>
      <c r="F22607" s="4" t="s">
        <v>11</v>
      </c>
      <c r="G22607" s="4" t="s">
        <v>15</v>
      </c>
      <c r="H22607" s="4" t="s">
        <v>7</v>
      </c>
    </row>
    <row r="22608" spans="1:21">
      <c r="A22608" t="n">
        <v>216947</v>
      </c>
      <c r="B22608" s="13" t="n">
        <v>49</v>
      </c>
      <c r="C22608" s="7" t="n">
        <v>0</v>
      </c>
      <c r="D22608" s="7" t="n">
        <v>514</v>
      </c>
      <c r="E22608" s="7" t="n">
        <v>1065353216</v>
      </c>
      <c r="F22608" s="7" t="n">
        <v>0</v>
      </c>
      <c r="G22608" s="7" t="n">
        <v>0</v>
      </c>
      <c r="H22608" s="7" t="n">
        <v>0</v>
      </c>
    </row>
    <row r="22609" spans="1:10">
      <c r="A22609" t="s">
        <v>4</v>
      </c>
      <c r="B22609" s="4" t="s">
        <v>5</v>
      </c>
      <c r="C22609" s="4" t="s">
        <v>7</v>
      </c>
      <c r="D22609" s="4" t="s">
        <v>7</v>
      </c>
      <c r="E22609" s="4" t="s">
        <v>7</v>
      </c>
      <c r="F22609" s="4" t="s">
        <v>13</v>
      </c>
      <c r="G22609" s="4" t="s">
        <v>13</v>
      </c>
      <c r="H22609" s="4" t="s">
        <v>13</v>
      </c>
      <c r="I22609" s="4" t="s">
        <v>13</v>
      </c>
      <c r="J22609" s="4" t="s">
        <v>13</v>
      </c>
    </row>
    <row r="22610" spans="1:10">
      <c r="A22610" t="n">
        <v>216962</v>
      </c>
      <c r="B22610" s="25" t="n">
        <v>76</v>
      </c>
      <c r="C22610" s="7" t="n">
        <v>0</v>
      </c>
      <c r="D22610" s="7" t="n">
        <v>3</v>
      </c>
      <c r="E22610" s="7" t="n">
        <v>1</v>
      </c>
      <c r="F22610" s="7" t="n">
        <v>1</v>
      </c>
      <c r="G22610" s="7" t="n">
        <v>1</v>
      </c>
      <c r="H22610" s="7" t="n">
        <v>1</v>
      </c>
      <c r="I22610" s="7" t="n">
        <v>0</v>
      </c>
      <c r="J22610" s="7" t="n">
        <v>2000</v>
      </c>
    </row>
    <row r="22611" spans="1:10">
      <c r="A22611" t="s">
        <v>4</v>
      </c>
      <c r="B22611" s="4" t="s">
        <v>5</v>
      </c>
      <c r="C22611" s="4" t="s">
        <v>7</v>
      </c>
      <c r="D22611" s="4" t="s">
        <v>7</v>
      </c>
      <c r="E22611" s="4" t="s">
        <v>7</v>
      </c>
      <c r="F22611" s="4" t="s">
        <v>13</v>
      </c>
      <c r="G22611" s="4" t="s">
        <v>13</v>
      </c>
      <c r="H22611" s="4" t="s">
        <v>13</v>
      </c>
      <c r="I22611" s="4" t="s">
        <v>13</v>
      </c>
      <c r="J22611" s="4" t="s">
        <v>13</v>
      </c>
    </row>
    <row r="22612" spans="1:10">
      <c r="A22612" t="n">
        <v>216986</v>
      </c>
      <c r="B22612" s="25" t="n">
        <v>76</v>
      </c>
      <c r="C22612" s="7" t="n">
        <v>0</v>
      </c>
      <c r="D22612" s="7" t="n">
        <v>0</v>
      </c>
      <c r="E22612" s="7" t="n">
        <v>1</v>
      </c>
      <c r="F22612" s="7" t="n">
        <v>128</v>
      </c>
      <c r="G22612" s="7" t="n">
        <v>0</v>
      </c>
      <c r="H22612" s="7" t="n">
        <v>2000</v>
      </c>
      <c r="I22612" s="7" t="n">
        <v>0</v>
      </c>
      <c r="J22612" s="7" t="n">
        <v>0</v>
      </c>
    </row>
    <row r="22613" spans="1:10">
      <c r="A22613" t="s">
        <v>4</v>
      </c>
      <c r="B22613" s="4" t="s">
        <v>5</v>
      </c>
      <c r="C22613" s="4" t="s">
        <v>7</v>
      </c>
      <c r="D22613" s="4" t="s">
        <v>7</v>
      </c>
    </row>
    <row r="22614" spans="1:10">
      <c r="A22614" t="n">
        <v>217010</v>
      </c>
      <c r="B22614" s="26" t="n">
        <v>77</v>
      </c>
      <c r="C22614" s="7" t="n">
        <v>0</v>
      </c>
      <c r="D22614" s="7" t="n">
        <v>3</v>
      </c>
    </row>
    <row r="22615" spans="1:10">
      <c r="A22615" t="s">
        <v>4</v>
      </c>
      <c r="B22615" s="4" t="s">
        <v>5</v>
      </c>
      <c r="C22615" s="4" t="s">
        <v>7</v>
      </c>
      <c r="D22615" s="4" t="s">
        <v>7</v>
      </c>
    </row>
    <row r="22616" spans="1:10">
      <c r="A22616" t="n">
        <v>217013</v>
      </c>
      <c r="B22616" s="26" t="n">
        <v>77</v>
      </c>
      <c r="C22616" s="7" t="n">
        <v>0</v>
      </c>
      <c r="D22616" s="7" t="n">
        <v>0</v>
      </c>
    </row>
    <row r="22617" spans="1:10">
      <c r="A22617" t="s">
        <v>4</v>
      </c>
      <c r="B22617" s="4" t="s">
        <v>5</v>
      </c>
      <c r="C22617" s="4" t="s">
        <v>7</v>
      </c>
      <c r="D22617" s="4" t="s">
        <v>7</v>
      </c>
      <c r="E22617" s="4" t="s">
        <v>13</v>
      </c>
      <c r="F22617" s="4" t="s">
        <v>13</v>
      </c>
      <c r="G22617" s="4" t="s">
        <v>13</v>
      </c>
      <c r="H22617" s="4" t="s">
        <v>11</v>
      </c>
    </row>
    <row r="22618" spans="1:10">
      <c r="A22618" t="n">
        <v>217016</v>
      </c>
      <c r="B22618" s="51" t="n">
        <v>45</v>
      </c>
      <c r="C22618" s="7" t="n">
        <v>2</v>
      </c>
      <c r="D22618" s="7" t="n">
        <v>3</v>
      </c>
      <c r="E22618" s="7" t="n">
        <v>5.23999977111816</v>
      </c>
      <c r="F22618" s="7" t="n">
        <v>2.15000009536743</v>
      </c>
      <c r="G22618" s="7" t="n">
        <v>43.8600006103516</v>
      </c>
      <c r="H22618" s="7" t="n">
        <v>8000</v>
      </c>
    </row>
    <row r="22619" spans="1:10">
      <c r="A22619" t="s">
        <v>4</v>
      </c>
      <c r="B22619" s="4" t="s">
        <v>5</v>
      </c>
      <c r="C22619" s="4" t="s">
        <v>7</v>
      </c>
      <c r="D22619" s="4" t="s">
        <v>7</v>
      </c>
      <c r="E22619" s="4" t="s">
        <v>13</v>
      </c>
      <c r="F22619" s="4" t="s">
        <v>13</v>
      </c>
      <c r="G22619" s="4" t="s">
        <v>13</v>
      </c>
      <c r="H22619" s="4" t="s">
        <v>11</v>
      </c>
      <c r="I22619" s="4" t="s">
        <v>7</v>
      </c>
    </row>
    <row r="22620" spans="1:10">
      <c r="A22620" t="n">
        <v>217033</v>
      </c>
      <c r="B22620" s="51" t="n">
        <v>45</v>
      </c>
      <c r="C22620" s="7" t="n">
        <v>4</v>
      </c>
      <c r="D22620" s="7" t="n">
        <v>3</v>
      </c>
      <c r="E22620" s="7" t="n">
        <v>12.4799995422363</v>
      </c>
      <c r="F22620" s="7" t="n">
        <v>144.25</v>
      </c>
      <c r="G22620" s="7" t="n">
        <v>0</v>
      </c>
      <c r="H22620" s="7" t="n">
        <v>8000</v>
      </c>
      <c r="I22620" s="7" t="n">
        <v>0</v>
      </c>
    </row>
    <row r="22621" spans="1:10">
      <c r="A22621" t="s">
        <v>4</v>
      </c>
      <c r="B22621" s="4" t="s">
        <v>5</v>
      </c>
      <c r="C22621" s="4" t="s">
        <v>7</v>
      </c>
      <c r="D22621" s="4" t="s">
        <v>7</v>
      </c>
      <c r="E22621" s="4" t="s">
        <v>13</v>
      </c>
      <c r="F22621" s="4" t="s">
        <v>11</v>
      </c>
    </row>
    <row r="22622" spans="1:10">
      <c r="A22622" t="n">
        <v>217051</v>
      </c>
      <c r="B22622" s="51" t="n">
        <v>45</v>
      </c>
      <c r="C22622" s="7" t="n">
        <v>5</v>
      </c>
      <c r="D22622" s="7" t="n">
        <v>3</v>
      </c>
      <c r="E22622" s="7" t="n">
        <v>2.40000009536743</v>
      </c>
      <c r="F22622" s="7" t="n">
        <v>8000</v>
      </c>
    </row>
    <row r="22623" spans="1:10">
      <c r="A22623" t="s">
        <v>4</v>
      </c>
      <c r="B22623" s="4" t="s">
        <v>5</v>
      </c>
      <c r="C22623" s="4" t="s">
        <v>7</v>
      </c>
      <c r="D22623" s="4" t="s">
        <v>7</v>
      </c>
      <c r="E22623" s="4" t="s">
        <v>13</v>
      </c>
      <c r="F22623" s="4" t="s">
        <v>11</v>
      </c>
    </row>
    <row r="22624" spans="1:10">
      <c r="A22624" t="n">
        <v>217060</v>
      </c>
      <c r="B22624" s="51" t="n">
        <v>45</v>
      </c>
      <c r="C22624" s="7" t="n">
        <v>11</v>
      </c>
      <c r="D22624" s="7" t="n">
        <v>3</v>
      </c>
      <c r="E22624" s="7" t="n">
        <v>33.4000015258789</v>
      </c>
      <c r="F22624" s="7" t="n">
        <v>8000</v>
      </c>
    </row>
    <row r="22625" spans="1:10">
      <c r="A22625" t="s">
        <v>4</v>
      </c>
      <c r="B22625" s="4" t="s">
        <v>5</v>
      </c>
      <c r="C22625" s="4" t="s">
        <v>7</v>
      </c>
      <c r="D22625" s="4" t="s">
        <v>11</v>
      </c>
      <c r="E22625" s="4" t="s">
        <v>13</v>
      </c>
    </row>
    <row r="22626" spans="1:10">
      <c r="A22626" t="n">
        <v>217069</v>
      </c>
      <c r="B22626" s="23" t="n">
        <v>58</v>
      </c>
      <c r="C22626" s="7" t="n">
        <v>100</v>
      </c>
      <c r="D22626" s="7" t="n">
        <v>1000</v>
      </c>
      <c r="E22626" s="7" t="n">
        <v>1</v>
      </c>
    </row>
    <row r="22627" spans="1:10">
      <c r="A22627" t="s">
        <v>4</v>
      </c>
      <c r="B22627" s="4" t="s">
        <v>5</v>
      </c>
      <c r="C22627" s="4" t="s">
        <v>7</v>
      </c>
      <c r="D22627" s="4" t="s">
        <v>11</v>
      </c>
    </row>
    <row r="22628" spans="1:10">
      <c r="A22628" t="n">
        <v>217077</v>
      </c>
      <c r="B22628" s="23" t="n">
        <v>58</v>
      </c>
      <c r="C22628" s="7" t="n">
        <v>255</v>
      </c>
      <c r="D22628" s="7" t="n">
        <v>0</v>
      </c>
    </row>
    <row r="22629" spans="1:10">
      <c r="A22629" t="s">
        <v>4</v>
      </c>
      <c r="B22629" s="4" t="s">
        <v>5</v>
      </c>
      <c r="C22629" s="4" t="s">
        <v>7</v>
      </c>
      <c r="D22629" s="4" t="s">
        <v>11</v>
      </c>
    </row>
    <row r="22630" spans="1:10">
      <c r="A22630" t="n">
        <v>217081</v>
      </c>
      <c r="B22630" s="51" t="n">
        <v>45</v>
      </c>
      <c r="C22630" s="7" t="n">
        <v>7</v>
      </c>
      <c r="D22630" s="7" t="n">
        <v>255</v>
      </c>
    </row>
    <row r="22631" spans="1:10">
      <c r="A22631" t="s">
        <v>4</v>
      </c>
      <c r="B22631" s="4" t="s">
        <v>5</v>
      </c>
      <c r="C22631" s="4" t="s">
        <v>7</v>
      </c>
      <c r="D22631" s="4" t="s">
        <v>11</v>
      </c>
      <c r="E22631" s="4" t="s">
        <v>13</v>
      </c>
    </row>
    <row r="22632" spans="1:10">
      <c r="A22632" t="n">
        <v>217085</v>
      </c>
      <c r="B22632" s="23" t="n">
        <v>58</v>
      </c>
      <c r="C22632" s="7" t="n">
        <v>101</v>
      </c>
      <c r="D22632" s="7" t="n">
        <v>800</v>
      </c>
      <c r="E22632" s="7" t="n">
        <v>1</v>
      </c>
    </row>
    <row r="22633" spans="1:10">
      <c r="A22633" t="s">
        <v>4</v>
      </c>
      <c r="B22633" s="4" t="s">
        <v>5</v>
      </c>
      <c r="C22633" s="4" t="s">
        <v>7</v>
      </c>
      <c r="D22633" s="4" t="s">
        <v>11</v>
      </c>
    </row>
    <row r="22634" spans="1:10">
      <c r="A22634" t="n">
        <v>217093</v>
      </c>
      <c r="B22634" s="23" t="n">
        <v>58</v>
      </c>
      <c r="C22634" s="7" t="n">
        <v>254</v>
      </c>
      <c r="D22634" s="7" t="n">
        <v>0</v>
      </c>
    </row>
    <row r="22635" spans="1:10">
      <c r="A22635" t="s">
        <v>4</v>
      </c>
      <c r="B22635" s="4" t="s">
        <v>5</v>
      </c>
      <c r="C22635" s="4" t="s">
        <v>7</v>
      </c>
      <c r="D22635" s="4" t="s">
        <v>7</v>
      </c>
      <c r="E22635" s="4" t="s">
        <v>13</v>
      </c>
      <c r="F22635" s="4" t="s">
        <v>13</v>
      </c>
      <c r="G22635" s="4" t="s">
        <v>13</v>
      </c>
      <c r="H22635" s="4" t="s">
        <v>11</v>
      </c>
    </row>
    <row r="22636" spans="1:10">
      <c r="A22636" t="n">
        <v>217097</v>
      </c>
      <c r="B22636" s="51" t="n">
        <v>45</v>
      </c>
      <c r="C22636" s="7" t="n">
        <v>2</v>
      </c>
      <c r="D22636" s="7" t="n">
        <v>3</v>
      </c>
      <c r="E22636" s="7" t="n">
        <v>4.26999998092651</v>
      </c>
      <c r="F22636" s="7" t="n">
        <v>2.44000005722046</v>
      </c>
      <c r="G22636" s="7" t="n">
        <v>44.1500015258789</v>
      </c>
      <c r="H22636" s="7" t="n">
        <v>0</v>
      </c>
    </row>
    <row r="22637" spans="1:10">
      <c r="A22637" t="s">
        <v>4</v>
      </c>
      <c r="B22637" s="4" t="s">
        <v>5</v>
      </c>
      <c r="C22637" s="4" t="s">
        <v>7</v>
      </c>
      <c r="D22637" s="4" t="s">
        <v>7</v>
      </c>
      <c r="E22637" s="4" t="s">
        <v>13</v>
      </c>
      <c r="F22637" s="4" t="s">
        <v>13</v>
      </c>
      <c r="G22637" s="4" t="s">
        <v>13</v>
      </c>
      <c r="H22637" s="4" t="s">
        <v>11</v>
      </c>
      <c r="I22637" s="4" t="s">
        <v>7</v>
      </c>
    </row>
    <row r="22638" spans="1:10">
      <c r="A22638" t="n">
        <v>217114</v>
      </c>
      <c r="B22638" s="51" t="n">
        <v>45</v>
      </c>
      <c r="C22638" s="7" t="n">
        <v>4</v>
      </c>
      <c r="D22638" s="7" t="n">
        <v>3</v>
      </c>
      <c r="E22638" s="7" t="n">
        <v>357.880004882813</v>
      </c>
      <c r="F22638" s="7" t="n">
        <v>321.779998779297</v>
      </c>
      <c r="G22638" s="7" t="n">
        <v>0</v>
      </c>
      <c r="H22638" s="7" t="n">
        <v>0</v>
      </c>
      <c r="I22638" s="7" t="n">
        <v>0</v>
      </c>
    </row>
    <row r="22639" spans="1:10">
      <c r="A22639" t="s">
        <v>4</v>
      </c>
      <c r="B22639" s="4" t="s">
        <v>5</v>
      </c>
      <c r="C22639" s="4" t="s">
        <v>7</v>
      </c>
      <c r="D22639" s="4" t="s">
        <v>7</v>
      </c>
      <c r="E22639" s="4" t="s">
        <v>13</v>
      </c>
      <c r="F22639" s="4" t="s">
        <v>11</v>
      </c>
    </row>
    <row r="22640" spans="1:10">
      <c r="A22640" t="n">
        <v>217132</v>
      </c>
      <c r="B22640" s="51" t="n">
        <v>45</v>
      </c>
      <c r="C22640" s="7" t="n">
        <v>5</v>
      </c>
      <c r="D22640" s="7" t="n">
        <v>3</v>
      </c>
      <c r="E22640" s="7" t="n">
        <v>2.40000009536743</v>
      </c>
      <c r="F22640" s="7" t="n">
        <v>0</v>
      </c>
    </row>
    <row r="22641" spans="1:9">
      <c r="A22641" t="s">
        <v>4</v>
      </c>
      <c r="B22641" s="4" t="s">
        <v>5</v>
      </c>
      <c r="C22641" s="4" t="s">
        <v>7</v>
      </c>
      <c r="D22641" s="4" t="s">
        <v>7</v>
      </c>
      <c r="E22641" s="4" t="s">
        <v>13</v>
      </c>
      <c r="F22641" s="4" t="s">
        <v>11</v>
      </c>
    </row>
    <row r="22642" spans="1:9">
      <c r="A22642" t="n">
        <v>217141</v>
      </c>
      <c r="B22642" s="51" t="n">
        <v>45</v>
      </c>
      <c r="C22642" s="7" t="n">
        <v>11</v>
      </c>
      <c r="D22642" s="7" t="n">
        <v>3</v>
      </c>
      <c r="E22642" s="7" t="n">
        <v>33.4000015258789</v>
      </c>
      <c r="F22642" s="7" t="n">
        <v>0</v>
      </c>
    </row>
    <row r="22643" spans="1:9">
      <c r="A22643" t="s">
        <v>4</v>
      </c>
      <c r="B22643" s="4" t="s">
        <v>5</v>
      </c>
      <c r="C22643" s="4" t="s">
        <v>7</v>
      </c>
      <c r="D22643" s="4" t="s">
        <v>7</v>
      </c>
      <c r="E22643" s="4" t="s">
        <v>13</v>
      </c>
      <c r="F22643" s="4" t="s">
        <v>13</v>
      </c>
      <c r="G22643" s="4" t="s">
        <v>13</v>
      </c>
      <c r="H22643" s="4" t="s">
        <v>11</v>
      </c>
    </row>
    <row r="22644" spans="1:9">
      <c r="A22644" t="n">
        <v>217150</v>
      </c>
      <c r="B22644" s="51" t="n">
        <v>45</v>
      </c>
      <c r="C22644" s="7" t="n">
        <v>2</v>
      </c>
      <c r="D22644" s="7" t="n">
        <v>3</v>
      </c>
      <c r="E22644" s="7" t="n">
        <v>4.76999998092651</v>
      </c>
      <c r="F22644" s="7" t="n">
        <v>1.45000004768372</v>
      </c>
      <c r="G22644" s="7" t="n">
        <v>45.2599983215332</v>
      </c>
      <c r="H22644" s="7" t="n">
        <v>8000</v>
      </c>
    </row>
    <row r="22645" spans="1:9">
      <c r="A22645" t="s">
        <v>4</v>
      </c>
      <c r="B22645" s="4" t="s">
        <v>5</v>
      </c>
      <c r="C22645" s="4" t="s">
        <v>7</v>
      </c>
      <c r="D22645" s="4" t="s">
        <v>7</v>
      </c>
      <c r="E22645" s="4" t="s">
        <v>13</v>
      </c>
      <c r="F22645" s="4" t="s">
        <v>13</v>
      </c>
      <c r="G22645" s="4" t="s">
        <v>13</v>
      </c>
      <c r="H22645" s="4" t="s">
        <v>11</v>
      </c>
      <c r="I22645" s="4" t="s">
        <v>7</v>
      </c>
    </row>
    <row r="22646" spans="1:9">
      <c r="A22646" t="n">
        <v>217167</v>
      </c>
      <c r="B22646" s="51" t="n">
        <v>45</v>
      </c>
      <c r="C22646" s="7" t="n">
        <v>4</v>
      </c>
      <c r="D22646" s="7" t="n">
        <v>3</v>
      </c>
      <c r="E22646" s="7" t="n">
        <v>358.660003662109</v>
      </c>
      <c r="F22646" s="7" t="n">
        <v>283.079986572266</v>
      </c>
      <c r="G22646" s="7" t="n">
        <v>0</v>
      </c>
      <c r="H22646" s="7" t="n">
        <v>8000</v>
      </c>
      <c r="I22646" s="7" t="n">
        <v>0</v>
      </c>
    </row>
    <row r="22647" spans="1:9">
      <c r="A22647" t="s">
        <v>4</v>
      </c>
      <c r="B22647" s="4" t="s">
        <v>5</v>
      </c>
      <c r="C22647" s="4" t="s">
        <v>7</v>
      </c>
      <c r="D22647" s="4" t="s">
        <v>7</v>
      </c>
      <c r="E22647" s="4" t="s">
        <v>13</v>
      </c>
      <c r="F22647" s="4" t="s">
        <v>11</v>
      </c>
    </row>
    <row r="22648" spans="1:9">
      <c r="A22648" t="n">
        <v>217185</v>
      </c>
      <c r="B22648" s="51" t="n">
        <v>45</v>
      </c>
      <c r="C22648" s="7" t="n">
        <v>5</v>
      </c>
      <c r="D22648" s="7" t="n">
        <v>3</v>
      </c>
      <c r="E22648" s="7" t="n">
        <v>2</v>
      </c>
      <c r="F22648" s="7" t="n">
        <v>8000</v>
      </c>
    </row>
    <row r="22649" spans="1:9">
      <c r="A22649" t="s">
        <v>4</v>
      </c>
      <c r="B22649" s="4" t="s">
        <v>5</v>
      </c>
      <c r="C22649" s="4" t="s">
        <v>7</v>
      </c>
      <c r="D22649" s="4" t="s">
        <v>11</v>
      </c>
    </row>
    <row r="22650" spans="1:9">
      <c r="A22650" t="n">
        <v>217194</v>
      </c>
      <c r="B22650" s="23" t="n">
        <v>58</v>
      </c>
      <c r="C22650" s="7" t="n">
        <v>255</v>
      </c>
      <c r="D22650" s="7" t="n">
        <v>0</v>
      </c>
    </row>
    <row r="22651" spans="1:9">
      <c r="A22651" t="s">
        <v>4</v>
      </c>
      <c r="B22651" s="4" t="s">
        <v>5</v>
      </c>
      <c r="C22651" s="4" t="s">
        <v>7</v>
      </c>
      <c r="D22651" s="4" t="s">
        <v>11</v>
      </c>
    </row>
    <row r="22652" spans="1:9">
      <c r="A22652" t="n">
        <v>217198</v>
      </c>
      <c r="B22652" s="51" t="n">
        <v>45</v>
      </c>
      <c r="C22652" s="7" t="n">
        <v>7</v>
      </c>
      <c r="D22652" s="7" t="n">
        <v>255</v>
      </c>
    </row>
    <row r="22653" spans="1:9">
      <c r="A22653" t="s">
        <v>4</v>
      </c>
      <c r="B22653" s="4" t="s">
        <v>5</v>
      </c>
      <c r="C22653" s="4" t="s">
        <v>7</v>
      </c>
      <c r="D22653" s="4" t="s">
        <v>11</v>
      </c>
      <c r="E22653" s="4" t="s">
        <v>13</v>
      </c>
    </row>
    <row r="22654" spans="1:9">
      <c r="A22654" t="n">
        <v>217202</v>
      </c>
      <c r="B22654" s="23" t="n">
        <v>58</v>
      </c>
      <c r="C22654" s="7" t="n">
        <v>101</v>
      </c>
      <c r="D22654" s="7" t="n">
        <v>800</v>
      </c>
      <c r="E22654" s="7" t="n">
        <v>1</v>
      </c>
    </row>
    <row r="22655" spans="1:9">
      <c r="A22655" t="s">
        <v>4</v>
      </c>
      <c r="B22655" s="4" t="s">
        <v>5</v>
      </c>
      <c r="C22655" s="4" t="s">
        <v>7</v>
      </c>
      <c r="D22655" s="4" t="s">
        <v>11</v>
      </c>
    </row>
    <row r="22656" spans="1:9">
      <c r="A22656" t="n">
        <v>217210</v>
      </c>
      <c r="B22656" s="23" t="n">
        <v>58</v>
      </c>
      <c r="C22656" s="7" t="n">
        <v>254</v>
      </c>
      <c r="D22656" s="7" t="n">
        <v>0</v>
      </c>
    </row>
    <row r="22657" spans="1:9">
      <c r="A22657" t="s">
        <v>4</v>
      </c>
      <c r="B22657" s="4" t="s">
        <v>5</v>
      </c>
      <c r="C22657" s="4" t="s">
        <v>7</v>
      </c>
      <c r="D22657" s="4" t="s">
        <v>7</v>
      </c>
      <c r="E22657" s="4" t="s">
        <v>13</v>
      </c>
      <c r="F22657" s="4" t="s">
        <v>13</v>
      </c>
      <c r="G22657" s="4" t="s">
        <v>13</v>
      </c>
      <c r="H22657" s="4" t="s">
        <v>11</v>
      </c>
    </row>
    <row r="22658" spans="1:9">
      <c r="A22658" t="n">
        <v>217214</v>
      </c>
      <c r="B22658" s="51" t="n">
        <v>45</v>
      </c>
      <c r="C22658" s="7" t="n">
        <v>2</v>
      </c>
      <c r="D22658" s="7" t="n">
        <v>3</v>
      </c>
      <c r="E22658" s="7" t="n">
        <v>4.73999977111816</v>
      </c>
      <c r="F22658" s="7" t="n">
        <v>1.37000000476837</v>
      </c>
      <c r="G22658" s="7" t="n">
        <v>45.310001373291</v>
      </c>
      <c r="H22658" s="7" t="n">
        <v>0</v>
      </c>
    </row>
    <row r="22659" spans="1:9">
      <c r="A22659" t="s">
        <v>4</v>
      </c>
      <c r="B22659" s="4" t="s">
        <v>5</v>
      </c>
      <c r="C22659" s="4" t="s">
        <v>7</v>
      </c>
      <c r="D22659" s="4" t="s">
        <v>7</v>
      </c>
      <c r="E22659" s="4" t="s">
        <v>13</v>
      </c>
      <c r="F22659" s="4" t="s">
        <v>13</v>
      </c>
      <c r="G22659" s="4" t="s">
        <v>13</v>
      </c>
      <c r="H22659" s="4" t="s">
        <v>11</v>
      </c>
      <c r="I22659" s="4" t="s">
        <v>7</v>
      </c>
    </row>
    <row r="22660" spans="1:9">
      <c r="A22660" t="n">
        <v>217231</v>
      </c>
      <c r="B22660" s="51" t="n">
        <v>45</v>
      </c>
      <c r="C22660" s="7" t="n">
        <v>4</v>
      </c>
      <c r="D22660" s="7" t="n">
        <v>3</v>
      </c>
      <c r="E22660" s="7" t="n">
        <v>4.3899998664856</v>
      </c>
      <c r="F22660" s="7" t="n">
        <v>107.779998779297</v>
      </c>
      <c r="G22660" s="7" t="n">
        <v>0</v>
      </c>
      <c r="H22660" s="7" t="n">
        <v>0</v>
      </c>
      <c r="I22660" s="7" t="n">
        <v>0</v>
      </c>
    </row>
    <row r="22661" spans="1:9">
      <c r="A22661" t="s">
        <v>4</v>
      </c>
      <c r="B22661" s="4" t="s">
        <v>5</v>
      </c>
      <c r="C22661" s="4" t="s">
        <v>7</v>
      </c>
      <c r="D22661" s="4" t="s">
        <v>7</v>
      </c>
      <c r="E22661" s="4" t="s">
        <v>13</v>
      </c>
      <c r="F22661" s="4" t="s">
        <v>11</v>
      </c>
    </row>
    <row r="22662" spans="1:9">
      <c r="A22662" t="n">
        <v>217249</v>
      </c>
      <c r="B22662" s="51" t="n">
        <v>45</v>
      </c>
      <c r="C22662" s="7" t="n">
        <v>5</v>
      </c>
      <c r="D22662" s="7" t="n">
        <v>3</v>
      </c>
      <c r="E22662" s="7" t="n">
        <v>2</v>
      </c>
      <c r="F22662" s="7" t="n">
        <v>0</v>
      </c>
    </row>
    <row r="22663" spans="1:9">
      <c r="A22663" t="s">
        <v>4</v>
      </c>
      <c r="B22663" s="4" t="s">
        <v>5</v>
      </c>
      <c r="C22663" s="4" t="s">
        <v>7</v>
      </c>
      <c r="D22663" s="4" t="s">
        <v>7</v>
      </c>
      <c r="E22663" s="4" t="s">
        <v>13</v>
      </c>
      <c r="F22663" s="4" t="s">
        <v>11</v>
      </c>
    </row>
    <row r="22664" spans="1:9">
      <c r="A22664" t="n">
        <v>217258</v>
      </c>
      <c r="B22664" s="51" t="n">
        <v>45</v>
      </c>
      <c r="C22664" s="7" t="n">
        <v>11</v>
      </c>
      <c r="D22664" s="7" t="n">
        <v>3</v>
      </c>
      <c r="E22664" s="7" t="n">
        <v>33.4000015258789</v>
      </c>
      <c r="F22664" s="7" t="n">
        <v>0</v>
      </c>
    </row>
    <row r="22665" spans="1:9">
      <c r="A22665" t="s">
        <v>4</v>
      </c>
      <c r="B22665" s="4" t="s">
        <v>5</v>
      </c>
      <c r="C22665" s="4" t="s">
        <v>11</v>
      </c>
      <c r="D22665" s="4" t="s">
        <v>15</v>
      </c>
    </row>
    <row r="22666" spans="1:9">
      <c r="A22666" t="n">
        <v>217267</v>
      </c>
      <c r="B22666" s="63" t="n">
        <v>44</v>
      </c>
      <c r="C22666" s="7" t="n">
        <v>1</v>
      </c>
      <c r="D22666" s="7" t="n">
        <v>1</v>
      </c>
    </row>
    <row r="22667" spans="1:9">
      <c r="A22667" t="s">
        <v>4</v>
      </c>
      <c r="B22667" s="4" t="s">
        <v>5</v>
      </c>
      <c r="C22667" s="4" t="s">
        <v>7</v>
      </c>
      <c r="D22667" s="4" t="s">
        <v>11</v>
      </c>
    </row>
    <row r="22668" spans="1:9">
      <c r="A22668" t="n">
        <v>217274</v>
      </c>
      <c r="B22668" s="23" t="n">
        <v>58</v>
      </c>
      <c r="C22668" s="7" t="n">
        <v>255</v>
      </c>
      <c r="D22668" s="7" t="n">
        <v>0</v>
      </c>
    </row>
    <row r="22669" spans="1:9">
      <c r="A22669" t="s">
        <v>4</v>
      </c>
      <c r="B22669" s="4" t="s">
        <v>5</v>
      </c>
      <c r="C22669" s="4" t="s">
        <v>8</v>
      </c>
      <c r="D22669" s="4" t="s">
        <v>8</v>
      </c>
    </row>
    <row r="22670" spans="1:9">
      <c r="A22670" t="n">
        <v>217278</v>
      </c>
      <c r="B22670" s="52" t="n">
        <v>70</v>
      </c>
      <c r="C22670" s="7" t="s">
        <v>279</v>
      </c>
      <c r="D22670" s="7" t="s">
        <v>280</v>
      </c>
    </row>
    <row r="22671" spans="1:9">
      <c r="A22671" t="s">
        <v>4</v>
      </c>
      <c r="B22671" s="4" t="s">
        <v>5</v>
      </c>
      <c r="C22671" s="4" t="s">
        <v>11</v>
      </c>
    </row>
    <row r="22672" spans="1:9">
      <c r="A22672" t="n">
        <v>217295</v>
      </c>
      <c r="B22672" s="29" t="n">
        <v>16</v>
      </c>
      <c r="C22672" s="7" t="n">
        <v>1000</v>
      </c>
    </row>
    <row r="22673" spans="1:9">
      <c r="A22673" t="s">
        <v>4</v>
      </c>
      <c r="B22673" s="4" t="s">
        <v>5</v>
      </c>
      <c r="C22673" s="4" t="s">
        <v>7</v>
      </c>
      <c r="D22673" s="4" t="s">
        <v>11</v>
      </c>
      <c r="E22673" s="4" t="s">
        <v>11</v>
      </c>
      <c r="F22673" s="4" t="s">
        <v>7</v>
      </c>
    </row>
    <row r="22674" spans="1:9">
      <c r="A22674" t="n">
        <v>217298</v>
      </c>
      <c r="B22674" s="31" t="n">
        <v>25</v>
      </c>
      <c r="C22674" s="7" t="n">
        <v>1</v>
      </c>
      <c r="D22674" s="7" t="n">
        <v>100</v>
      </c>
      <c r="E22674" s="7" t="n">
        <v>500</v>
      </c>
      <c r="F22674" s="7" t="n">
        <v>5</v>
      </c>
    </row>
    <row r="22675" spans="1:9">
      <c r="A22675" t="s">
        <v>4</v>
      </c>
      <c r="B22675" s="4" t="s">
        <v>5</v>
      </c>
      <c r="C22675" s="4" t="s">
        <v>8</v>
      </c>
      <c r="D22675" s="4" t="s">
        <v>11</v>
      </c>
    </row>
    <row r="22676" spans="1:9">
      <c r="A22676" t="n">
        <v>217305</v>
      </c>
      <c r="B22676" s="67" t="n">
        <v>29</v>
      </c>
      <c r="C22676" s="7" t="s">
        <v>281</v>
      </c>
      <c r="D22676" s="7" t="n">
        <v>65533</v>
      </c>
    </row>
    <row r="22677" spans="1:9">
      <c r="A22677" t="s">
        <v>4</v>
      </c>
      <c r="B22677" s="4" t="s">
        <v>5</v>
      </c>
      <c r="C22677" s="4" t="s">
        <v>7</v>
      </c>
      <c r="D22677" s="4" t="s">
        <v>11</v>
      </c>
      <c r="E22677" s="4" t="s">
        <v>8</v>
      </c>
    </row>
    <row r="22678" spans="1:9">
      <c r="A22678" t="n">
        <v>217314</v>
      </c>
      <c r="B22678" s="38" t="n">
        <v>51</v>
      </c>
      <c r="C22678" s="7" t="n">
        <v>4</v>
      </c>
      <c r="D22678" s="7" t="n">
        <v>1</v>
      </c>
      <c r="E22678" s="7" t="s">
        <v>16</v>
      </c>
    </row>
    <row r="22679" spans="1:9">
      <c r="A22679" t="s">
        <v>4</v>
      </c>
      <c r="B22679" s="4" t="s">
        <v>5</v>
      </c>
      <c r="C22679" s="4" t="s">
        <v>11</v>
      </c>
    </row>
    <row r="22680" spans="1:9">
      <c r="A22680" t="n">
        <v>217319</v>
      </c>
      <c r="B22680" s="29" t="n">
        <v>16</v>
      </c>
      <c r="C22680" s="7" t="n">
        <v>0</v>
      </c>
    </row>
    <row r="22681" spans="1:9">
      <c r="A22681" t="s">
        <v>4</v>
      </c>
      <c r="B22681" s="4" t="s">
        <v>5</v>
      </c>
      <c r="C22681" s="4" t="s">
        <v>11</v>
      </c>
      <c r="D22681" s="4" t="s">
        <v>7</v>
      </c>
      <c r="E22681" s="4" t="s">
        <v>15</v>
      </c>
      <c r="F22681" s="4" t="s">
        <v>55</v>
      </c>
      <c r="G22681" s="4" t="s">
        <v>7</v>
      </c>
      <c r="H22681" s="4" t="s">
        <v>7</v>
      </c>
    </row>
    <row r="22682" spans="1:9">
      <c r="A22682" t="n">
        <v>217322</v>
      </c>
      <c r="B22682" s="55" t="n">
        <v>26</v>
      </c>
      <c r="C22682" s="7" t="n">
        <v>1</v>
      </c>
      <c r="D22682" s="7" t="n">
        <v>17</v>
      </c>
      <c r="E22682" s="7" t="n">
        <v>63768</v>
      </c>
      <c r="F22682" s="7" t="s">
        <v>282</v>
      </c>
      <c r="G22682" s="7" t="n">
        <v>2</v>
      </c>
      <c r="H22682" s="7" t="n">
        <v>0</v>
      </c>
    </row>
    <row r="22683" spans="1:9">
      <c r="A22683" t="s">
        <v>4</v>
      </c>
      <c r="B22683" s="4" t="s">
        <v>5</v>
      </c>
    </row>
    <row r="22684" spans="1:9">
      <c r="A22684" t="n">
        <v>217360</v>
      </c>
      <c r="B22684" s="27" t="n">
        <v>28</v>
      </c>
    </row>
    <row r="22685" spans="1:9">
      <c r="A22685" t="s">
        <v>4</v>
      </c>
      <c r="B22685" s="4" t="s">
        <v>5</v>
      </c>
      <c r="C22685" s="4" t="s">
        <v>11</v>
      </c>
      <c r="D22685" s="4" t="s">
        <v>7</v>
      </c>
    </row>
    <row r="22686" spans="1:9">
      <c r="A22686" t="n">
        <v>217361</v>
      </c>
      <c r="B22686" s="68" t="n">
        <v>89</v>
      </c>
      <c r="C22686" s="7" t="n">
        <v>65533</v>
      </c>
      <c r="D22686" s="7" t="n">
        <v>1</v>
      </c>
    </row>
    <row r="22687" spans="1:9">
      <c r="A22687" t="s">
        <v>4</v>
      </c>
      <c r="B22687" s="4" t="s">
        <v>5</v>
      </c>
      <c r="C22687" s="4" t="s">
        <v>7</v>
      </c>
      <c r="D22687" s="4" t="s">
        <v>11</v>
      </c>
      <c r="E22687" s="4" t="s">
        <v>11</v>
      </c>
      <c r="F22687" s="4" t="s">
        <v>7</v>
      </c>
    </row>
    <row r="22688" spans="1:9">
      <c r="A22688" t="n">
        <v>217365</v>
      </c>
      <c r="B22688" s="31" t="n">
        <v>25</v>
      </c>
      <c r="C22688" s="7" t="n">
        <v>1</v>
      </c>
      <c r="D22688" s="7" t="n">
        <v>65535</v>
      </c>
      <c r="E22688" s="7" t="n">
        <v>65535</v>
      </c>
      <c r="F22688" s="7" t="n">
        <v>0</v>
      </c>
    </row>
    <row r="22689" spans="1:8">
      <c r="A22689" t="s">
        <v>4</v>
      </c>
      <c r="B22689" s="4" t="s">
        <v>5</v>
      </c>
      <c r="C22689" s="4" t="s">
        <v>8</v>
      </c>
      <c r="D22689" s="4" t="s">
        <v>11</v>
      </c>
    </row>
    <row r="22690" spans="1:8">
      <c r="A22690" t="n">
        <v>217372</v>
      </c>
      <c r="B22690" s="67" t="n">
        <v>29</v>
      </c>
      <c r="C22690" s="7" t="s">
        <v>16</v>
      </c>
      <c r="D22690" s="7" t="n">
        <v>65533</v>
      </c>
    </row>
    <row r="22691" spans="1:8">
      <c r="A22691" t="s">
        <v>4</v>
      </c>
      <c r="B22691" s="4" t="s">
        <v>5</v>
      </c>
      <c r="C22691" s="4" t="s">
        <v>11</v>
      </c>
      <c r="D22691" s="4" t="s">
        <v>7</v>
      </c>
      <c r="E22691" s="4" t="s">
        <v>13</v>
      </c>
      <c r="F22691" s="4" t="s">
        <v>11</v>
      </c>
    </row>
    <row r="22692" spans="1:8">
      <c r="A22692" t="n">
        <v>217376</v>
      </c>
      <c r="B22692" s="56" t="n">
        <v>59</v>
      </c>
      <c r="C22692" s="7" t="n">
        <v>0</v>
      </c>
      <c r="D22692" s="7" t="n">
        <v>13</v>
      </c>
      <c r="E22692" s="7" t="n">
        <v>0.150000005960464</v>
      </c>
      <c r="F22692" s="7" t="n">
        <v>0</v>
      </c>
    </row>
    <row r="22693" spans="1:8">
      <c r="A22693" t="s">
        <v>4</v>
      </c>
      <c r="B22693" s="4" t="s">
        <v>5</v>
      </c>
      <c r="C22693" s="4" t="s">
        <v>11</v>
      </c>
    </row>
    <row r="22694" spans="1:8">
      <c r="A22694" t="n">
        <v>217386</v>
      </c>
      <c r="B22694" s="29" t="n">
        <v>16</v>
      </c>
      <c r="C22694" s="7" t="n">
        <v>1000</v>
      </c>
    </row>
    <row r="22695" spans="1:8">
      <c r="A22695" t="s">
        <v>4</v>
      </c>
      <c r="B22695" s="4" t="s">
        <v>5</v>
      </c>
      <c r="C22695" s="4" t="s">
        <v>11</v>
      </c>
      <c r="D22695" s="4" t="s">
        <v>13</v>
      </c>
      <c r="E22695" s="4" t="s">
        <v>13</v>
      </c>
      <c r="F22695" s="4" t="s">
        <v>13</v>
      </c>
      <c r="G22695" s="4" t="s">
        <v>11</v>
      </c>
      <c r="H22695" s="4" t="s">
        <v>11</v>
      </c>
    </row>
    <row r="22696" spans="1:8">
      <c r="A22696" t="n">
        <v>217389</v>
      </c>
      <c r="B22696" s="37" t="n">
        <v>60</v>
      </c>
      <c r="C22696" s="7" t="n">
        <v>0</v>
      </c>
      <c r="D22696" s="7" t="n">
        <v>0</v>
      </c>
      <c r="E22696" s="7" t="n">
        <v>0</v>
      </c>
      <c r="F22696" s="7" t="n">
        <v>0</v>
      </c>
      <c r="G22696" s="7" t="n">
        <v>1000</v>
      </c>
      <c r="H22696" s="7" t="n">
        <v>0</v>
      </c>
    </row>
    <row r="22697" spans="1:8">
      <c r="A22697" t="s">
        <v>4</v>
      </c>
      <c r="B22697" s="4" t="s">
        <v>5</v>
      </c>
      <c r="C22697" s="4" t="s">
        <v>11</v>
      </c>
      <c r="D22697" s="4" t="s">
        <v>11</v>
      </c>
      <c r="E22697" s="4" t="s">
        <v>11</v>
      </c>
    </row>
    <row r="22698" spans="1:8">
      <c r="A22698" t="n">
        <v>217408</v>
      </c>
      <c r="B22698" s="72" t="n">
        <v>61</v>
      </c>
      <c r="C22698" s="7" t="n">
        <v>0</v>
      </c>
      <c r="D22698" s="7" t="n">
        <v>1</v>
      </c>
      <c r="E22698" s="7" t="n">
        <v>1000</v>
      </c>
    </row>
    <row r="22699" spans="1:8">
      <c r="A22699" t="s">
        <v>4</v>
      </c>
      <c r="B22699" s="4" t="s">
        <v>5</v>
      </c>
      <c r="C22699" s="4" t="s">
        <v>11</v>
      </c>
      <c r="D22699" s="4" t="s">
        <v>11</v>
      </c>
      <c r="E22699" s="4" t="s">
        <v>11</v>
      </c>
    </row>
    <row r="22700" spans="1:8">
      <c r="A22700" t="n">
        <v>217415</v>
      </c>
      <c r="B22700" s="72" t="n">
        <v>61</v>
      </c>
      <c r="C22700" s="7" t="n">
        <v>1</v>
      </c>
      <c r="D22700" s="7" t="n">
        <v>0</v>
      </c>
      <c r="E22700" s="7" t="n">
        <v>1000</v>
      </c>
    </row>
    <row r="22701" spans="1:8">
      <c r="A22701" t="s">
        <v>4</v>
      </c>
      <c r="B22701" s="4" t="s">
        <v>5</v>
      </c>
      <c r="C22701" s="4" t="s">
        <v>11</v>
      </c>
      <c r="D22701" s="4" t="s">
        <v>13</v>
      </c>
      <c r="E22701" s="4" t="s">
        <v>13</v>
      </c>
      <c r="F22701" s="4" t="s">
        <v>7</v>
      </c>
    </row>
    <row r="22702" spans="1:8">
      <c r="A22702" t="n">
        <v>217422</v>
      </c>
      <c r="B22702" s="65" t="n">
        <v>52</v>
      </c>
      <c r="C22702" s="7" t="n">
        <v>0</v>
      </c>
      <c r="D22702" s="7" t="n">
        <v>332.399993896484</v>
      </c>
      <c r="E22702" s="7" t="n">
        <v>5</v>
      </c>
      <c r="F22702" s="7" t="n">
        <v>0</v>
      </c>
    </row>
    <row r="22703" spans="1:8">
      <c r="A22703" t="s">
        <v>4</v>
      </c>
      <c r="B22703" s="4" t="s">
        <v>5</v>
      </c>
      <c r="C22703" s="4" t="s">
        <v>11</v>
      </c>
    </row>
    <row r="22704" spans="1:8">
      <c r="A22704" t="n">
        <v>217434</v>
      </c>
      <c r="B22704" s="66" t="n">
        <v>54</v>
      </c>
      <c r="C22704" s="7" t="n">
        <v>0</v>
      </c>
    </row>
    <row r="22705" spans="1:8">
      <c r="A22705" t="s">
        <v>4</v>
      </c>
      <c r="B22705" s="4" t="s">
        <v>5</v>
      </c>
      <c r="C22705" s="4" t="s">
        <v>7</v>
      </c>
      <c r="D22705" s="4" t="s">
        <v>11</v>
      </c>
      <c r="E22705" s="4" t="s">
        <v>13</v>
      </c>
    </row>
    <row r="22706" spans="1:8">
      <c r="A22706" t="n">
        <v>217437</v>
      </c>
      <c r="B22706" s="23" t="n">
        <v>58</v>
      </c>
      <c r="C22706" s="7" t="n">
        <v>101</v>
      </c>
      <c r="D22706" s="7" t="n">
        <v>500</v>
      </c>
      <c r="E22706" s="7" t="n">
        <v>1</v>
      </c>
    </row>
    <row r="22707" spans="1:8">
      <c r="A22707" t="s">
        <v>4</v>
      </c>
      <c r="B22707" s="4" t="s">
        <v>5</v>
      </c>
      <c r="C22707" s="4" t="s">
        <v>7</v>
      </c>
      <c r="D22707" s="4" t="s">
        <v>11</v>
      </c>
    </row>
    <row r="22708" spans="1:8">
      <c r="A22708" t="n">
        <v>217445</v>
      </c>
      <c r="B22708" s="23" t="n">
        <v>58</v>
      </c>
      <c r="C22708" s="7" t="n">
        <v>254</v>
      </c>
      <c r="D22708" s="7" t="n">
        <v>0</v>
      </c>
    </row>
    <row r="22709" spans="1:8">
      <c r="A22709" t="s">
        <v>4</v>
      </c>
      <c r="B22709" s="4" t="s">
        <v>5</v>
      </c>
      <c r="C22709" s="4" t="s">
        <v>7</v>
      </c>
      <c r="D22709" s="4" t="s">
        <v>7</v>
      </c>
      <c r="E22709" s="4" t="s">
        <v>13</v>
      </c>
      <c r="F22709" s="4" t="s">
        <v>13</v>
      </c>
      <c r="G22709" s="4" t="s">
        <v>13</v>
      </c>
      <c r="H22709" s="4" t="s">
        <v>11</v>
      </c>
    </row>
    <row r="22710" spans="1:8">
      <c r="A22710" t="n">
        <v>217449</v>
      </c>
      <c r="B22710" s="51" t="n">
        <v>45</v>
      </c>
      <c r="C22710" s="7" t="n">
        <v>2</v>
      </c>
      <c r="D22710" s="7" t="n">
        <v>3</v>
      </c>
      <c r="E22710" s="7" t="n">
        <v>4.92999982833862</v>
      </c>
      <c r="F22710" s="7" t="n">
        <v>1.46000003814697</v>
      </c>
      <c r="G22710" s="7" t="n">
        <v>45.6699981689453</v>
      </c>
      <c r="H22710" s="7" t="n">
        <v>0</v>
      </c>
    </row>
    <row r="22711" spans="1:8">
      <c r="A22711" t="s">
        <v>4</v>
      </c>
      <c r="B22711" s="4" t="s">
        <v>5</v>
      </c>
      <c r="C22711" s="4" t="s">
        <v>7</v>
      </c>
      <c r="D22711" s="4" t="s">
        <v>7</v>
      </c>
      <c r="E22711" s="4" t="s">
        <v>13</v>
      </c>
      <c r="F22711" s="4" t="s">
        <v>13</v>
      </c>
      <c r="G22711" s="4" t="s">
        <v>13</v>
      </c>
      <c r="H22711" s="4" t="s">
        <v>11</v>
      </c>
      <c r="I22711" s="4" t="s">
        <v>7</v>
      </c>
    </row>
    <row r="22712" spans="1:8">
      <c r="A22712" t="n">
        <v>217466</v>
      </c>
      <c r="B22712" s="51" t="n">
        <v>45</v>
      </c>
      <c r="C22712" s="7" t="n">
        <v>4</v>
      </c>
      <c r="D22712" s="7" t="n">
        <v>3</v>
      </c>
      <c r="E22712" s="7" t="n">
        <v>5.69000005722046</v>
      </c>
      <c r="F22712" s="7" t="n">
        <v>260.239990234375</v>
      </c>
      <c r="G22712" s="7" t="n">
        <v>0</v>
      </c>
      <c r="H22712" s="7" t="n">
        <v>0</v>
      </c>
      <c r="I22712" s="7" t="n">
        <v>0</v>
      </c>
    </row>
    <row r="22713" spans="1:8">
      <c r="A22713" t="s">
        <v>4</v>
      </c>
      <c r="B22713" s="4" t="s">
        <v>5</v>
      </c>
      <c r="C22713" s="4" t="s">
        <v>7</v>
      </c>
      <c r="D22713" s="4" t="s">
        <v>7</v>
      </c>
      <c r="E22713" s="4" t="s">
        <v>13</v>
      </c>
      <c r="F22713" s="4" t="s">
        <v>11</v>
      </c>
    </row>
    <row r="22714" spans="1:8">
      <c r="A22714" t="n">
        <v>217484</v>
      </c>
      <c r="B22714" s="51" t="n">
        <v>45</v>
      </c>
      <c r="C22714" s="7" t="n">
        <v>5</v>
      </c>
      <c r="D22714" s="7" t="n">
        <v>3</v>
      </c>
      <c r="E22714" s="7" t="n">
        <v>1.70000004768372</v>
      </c>
      <c r="F22714" s="7" t="n">
        <v>0</v>
      </c>
    </row>
    <row r="22715" spans="1:8">
      <c r="A22715" t="s">
        <v>4</v>
      </c>
      <c r="B22715" s="4" t="s">
        <v>5</v>
      </c>
      <c r="C22715" s="4" t="s">
        <v>7</v>
      </c>
      <c r="D22715" s="4" t="s">
        <v>7</v>
      </c>
      <c r="E22715" s="4" t="s">
        <v>13</v>
      </c>
      <c r="F22715" s="4" t="s">
        <v>11</v>
      </c>
    </row>
    <row r="22716" spans="1:8">
      <c r="A22716" t="n">
        <v>217493</v>
      </c>
      <c r="B22716" s="51" t="n">
        <v>45</v>
      </c>
      <c r="C22716" s="7" t="n">
        <v>11</v>
      </c>
      <c r="D22716" s="7" t="n">
        <v>3</v>
      </c>
      <c r="E22716" s="7" t="n">
        <v>34</v>
      </c>
      <c r="F22716" s="7" t="n">
        <v>0</v>
      </c>
    </row>
    <row r="22717" spans="1:8">
      <c r="A22717" t="s">
        <v>4</v>
      </c>
      <c r="B22717" s="4" t="s">
        <v>5</v>
      </c>
      <c r="C22717" s="4" t="s">
        <v>7</v>
      </c>
      <c r="D22717" s="4" t="s">
        <v>7</v>
      </c>
      <c r="E22717" s="4" t="s">
        <v>13</v>
      </c>
      <c r="F22717" s="4" t="s">
        <v>13</v>
      </c>
      <c r="G22717" s="4" t="s">
        <v>13</v>
      </c>
      <c r="H22717" s="4" t="s">
        <v>11</v>
      </c>
    </row>
    <row r="22718" spans="1:8">
      <c r="A22718" t="n">
        <v>217502</v>
      </c>
      <c r="B22718" s="51" t="n">
        <v>45</v>
      </c>
      <c r="C22718" s="7" t="n">
        <v>2</v>
      </c>
      <c r="D22718" s="7" t="n">
        <v>3</v>
      </c>
      <c r="E22718" s="7" t="n">
        <v>4.84999990463257</v>
      </c>
      <c r="F22718" s="7" t="n">
        <v>1.4099999666214</v>
      </c>
      <c r="G22718" s="7" t="n">
        <v>45.7999992370605</v>
      </c>
      <c r="H22718" s="7" t="n">
        <v>5500</v>
      </c>
    </row>
    <row r="22719" spans="1:8">
      <c r="A22719" t="s">
        <v>4</v>
      </c>
      <c r="B22719" s="4" t="s">
        <v>5</v>
      </c>
      <c r="C22719" s="4" t="s">
        <v>7</v>
      </c>
      <c r="D22719" s="4" t="s">
        <v>7</v>
      </c>
      <c r="E22719" s="4" t="s">
        <v>13</v>
      </c>
      <c r="F22719" s="4" t="s">
        <v>13</v>
      </c>
      <c r="G22719" s="4" t="s">
        <v>13</v>
      </c>
      <c r="H22719" s="4" t="s">
        <v>11</v>
      </c>
      <c r="I22719" s="4" t="s">
        <v>7</v>
      </c>
    </row>
    <row r="22720" spans="1:8">
      <c r="A22720" t="n">
        <v>217519</v>
      </c>
      <c r="B22720" s="51" t="n">
        <v>45</v>
      </c>
      <c r="C22720" s="7" t="n">
        <v>4</v>
      </c>
      <c r="D22720" s="7" t="n">
        <v>3</v>
      </c>
      <c r="E22720" s="7" t="n">
        <v>5.46999979019165</v>
      </c>
      <c r="F22720" s="7" t="n">
        <v>232.490005493164</v>
      </c>
      <c r="G22720" s="7" t="n">
        <v>0</v>
      </c>
      <c r="H22720" s="7" t="n">
        <v>5500</v>
      </c>
      <c r="I22720" s="7" t="n">
        <v>0</v>
      </c>
    </row>
    <row r="22721" spans="1:9">
      <c r="A22721" t="s">
        <v>4</v>
      </c>
      <c r="B22721" s="4" t="s">
        <v>5</v>
      </c>
      <c r="C22721" s="4" t="s">
        <v>11</v>
      </c>
      <c r="D22721" s="4" t="s">
        <v>7</v>
      </c>
      <c r="E22721" s="4" t="s">
        <v>7</v>
      </c>
      <c r="F22721" s="4" t="s">
        <v>8</v>
      </c>
    </row>
    <row r="22722" spans="1:9">
      <c r="A22722" t="n">
        <v>217537</v>
      </c>
      <c r="B22722" s="50" t="n">
        <v>20</v>
      </c>
      <c r="C22722" s="7" t="n">
        <v>1</v>
      </c>
      <c r="D22722" s="7" t="n">
        <v>2</v>
      </c>
      <c r="E22722" s="7" t="n">
        <v>11</v>
      </c>
      <c r="F22722" s="7" t="s">
        <v>283</v>
      </c>
    </row>
    <row r="22723" spans="1:9">
      <c r="A22723" t="s">
        <v>4</v>
      </c>
      <c r="B22723" s="4" t="s">
        <v>5</v>
      </c>
      <c r="C22723" s="4" t="s">
        <v>7</v>
      </c>
    </row>
    <row r="22724" spans="1:9">
      <c r="A22724" t="n">
        <v>217564</v>
      </c>
      <c r="B22724" s="49" t="n">
        <v>116</v>
      </c>
      <c r="C22724" s="7" t="n">
        <v>0</v>
      </c>
    </row>
    <row r="22725" spans="1:9">
      <c r="A22725" t="s">
        <v>4</v>
      </c>
      <c r="B22725" s="4" t="s">
        <v>5</v>
      </c>
      <c r="C22725" s="4" t="s">
        <v>7</v>
      </c>
      <c r="D22725" s="4" t="s">
        <v>11</v>
      </c>
    </row>
    <row r="22726" spans="1:9">
      <c r="A22726" t="n">
        <v>217566</v>
      </c>
      <c r="B22726" s="49" t="n">
        <v>116</v>
      </c>
      <c r="C22726" s="7" t="n">
        <v>2</v>
      </c>
      <c r="D22726" s="7" t="n">
        <v>1</v>
      </c>
    </row>
    <row r="22727" spans="1:9">
      <c r="A22727" t="s">
        <v>4</v>
      </c>
      <c r="B22727" s="4" t="s">
        <v>5</v>
      </c>
      <c r="C22727" s="4" t="s">
        <v>7</v>
      </c>
      <c r="D22727" s="4" t="s">
        <v>15</v>
      </c>
    </row>
    <row r="22728" spans="1:9">
      <c r="A22728" t="n">
        <v>217570</v>
      </c>
      <c r="B22728" s="49" t="n">
        <v>116</v>
      </c>
      <c r="C22728" s="7" t="n">
        <v>5</v>
      </c>
      <c r="D22728" s="7" t="n">
        <v>1084227584</v>
      </c>
    </row>
    <row r="22729" spans="1:9">
      <c r="A22729" t="s">
        <v>4</v>
      </c>
      <c r="B22729" s="4" t="s">
        <v>5</v>
      </c>
      <c r="C22729" s="4" t="s">
        <v>7</v>
      </c>
      <c r="D22729" s="4" t="s">
        <v>11</v>
      </c>
    </row>
    <row r="22730" spans="1:9">
      <c r="A22730" t="n">
        <v>217576</v>
      </c>
      <c r="B22730" s="49" t="n">
        <v>116</v>
      </c>
      <c r="C22730" s="7" t="n">
        <v>6</v>
      </c>
      <c r="D22730" s="7" t="n">
        <v>1</v>
      </c>
    </row>
    <row r="22731" spans="1:9">
      <c r="A22731" t="s">
        <v>4</v>
      </c>
      <c r="B22731" s="4" t="s">
        <v>5</v>
      </c>
      <c r="C22731" s="4" t="s">
        <v>7</v>
      </c>
      <c r="D22731" s="4" t="s">
        <v>11</v>
      </c>
    </row>
    <row r="22732" spans="1:9">
      <c r="A22732" t="n">
        <v>217580</v>
      </c>
      <c r="B22732" s="23" t="n">
        <v>58</v>
      </c>
      <c r="C22732" s="7" t="n">
        <v>255</v>
      </c>
      <c r="D22732" s="7" t="n">
        <v>0</v>
      </c>
    </row>
    <row r="22733" spans="1:9">
      <c r="A22733" t="s">
        <v>4</v>
      </c>
      <c r="B22733" s="4" t="s">
        <v>5</v>
      </c>
      <c r="C22733" s="4" t="s">
        <v>11</v>
      </c>
    </row>
    <row r="22734" spans="1:9">
      <c r="A22734" t="n">
        <v>217584</v>
      </c>
      <c r="B22734" s="29" t="n">
        <v>16</v>
      </c>
      <c r="C22734" s="7" t="n">
        <v>800</v>
      </c>
    </row>
    <row r="22735" spans="1:9">
      <c r="A22735" t="s">
        <v>4</v>
      </c>
      <c r="B22735" s="4" t="s">
        <v>5</v>
      </c>
      <c r="C22735" s="4" t="s">
        <v>8</v>
      </c>
      <c r="D22735" s="4" t="s">
        <v>8</v>
      </c>
    </row>
    <row r="22736" spans="1:9">
      <c r="A22736" t="n">
        <v>217587</v>
      </c>
      <c r="B22736" s="52" t="n">
        <v>70</v>
      </c>
      <c r="C22736" s="7" t="s">
        <v>279</v>
      </c>
      <c r="D22736" s="7" t="s">
        <v>284</v>
      </c>
    </row>
    <row r="22737" spans="1:6">
      <c r="A22737" t="s">
        <v>4</v>
      </c>
      <c r="B22737" s="4" t="s">
        <v>5</v>
      </c>
      <c r="C22737" s="4" t="s">
        <v>7</v>
      </c>
      <c r="D22737" s="4" t="s">
        <v>11</v>
      </c>
    </row>
    <row r="22738" spans="1:6">
      <c r="A22738" t="n">
        <v>217605</v>
      </c>
      <c r="B22738" s="51" t="n">
        <v>45</v>
      </c>
      <c r="C22738" s="7" t="n">
        <v>7</v>
      </c>
      <c r="D22738" s="7" t="n">
        <v>255</v>
      </c>
    </row>
    <row r="22739" spans="1:6">
      <c r="A22739" t="s">
        <v>4</v>
      </c>
      <c r="B22739" s="4" t="s">
        <v>5</v>
      </c>
      <c r="C22739" s="4" t="s">
        <v>7</v>
      </c>
      <c r="D22739" s="4" t="s">
        <v>11</v>
      </c>
      <c r="E22739" s="4" t="s">
        <v>8</v>
      </c>
    </row>
    <row r="22740" spans="1:6">
      <c r="A22740" t="n">
        <v>217609</v>
      </c>
      <c r="B22740" s="38" t="n">
        <v>51</v>
      </c>
      <c r="C22740" s="7" t="n">
        <v>4</v>
      </c>
      <c r="D22740" s="7" t="n">
        <v>0</v>
      </c>
      <c r="E22740" s="7" t="s">
        <v>285</v>
      </c>
    </row>
    <row r="22741" spans="1:6">
      <c r="A22741" t="s">
        <v>4</v>
      </c>
      <c r="B22741" s="4" t="s">
        <v>5</v>
      </c>
      <c r="C22741" s="4" t="s">
        <v>11</v>
      </c>
    </row>
    <row r="22742" spans="1:6">
      <c r="A22742" t="n">
        <v>217622</v>
      </c>
      <c r="B22742" s="29" t="n">
        <v>16</v>
      </c>
      <c r="C22742" s="7" t="n">
        <v>0</v>
      </c>
    </row>
    <row r="22743" spans="1:6">
      <c r="A22743" t="s">
        <v>4</v>
      </c>
      <c r="B22743" s="4" t="s">
        <v>5</v>
      </c>
      <c r="C22743" s="4" t="s">
        <v>11</v>
      </c>
      <c r="D22743" s="4" t="s">
        <v>7</v>
      </c>
      <c r="E22743" s="4" t="s">
        <v>15</v>
      </c>
      <c r="F22743" s="4" t="s">
        <v>55</v>
      </c>
      <c r="G22743" s="4" t="s">
        <v>7</v>
      </c>
      <c r="H22743" s="4" t="s">
        <v>7</v>
      </c>
      <c r="I22743" s="4" t="s">
        <v>7</v>
      </c>
      <c r="J22743" s="4" t="s">
        <v>15</v>
      </c>
      <c r="K22743" s="4" t="s">
        <v>55</v>
      </c>
      <c r="L22743" s="4" t="s">
        <v>7</v>
      </c>
      <c r="M22743" s="4" t="s">
        <v>7</v>
      </c>
    </row>
    <row r="22744" spans="1:6">
      <c r="A22744" t="n">
        <v>217625</v>
      </c>
      <c r="B22744" s="55" t="n">
        <v>26</v>
      </c>
      <c r="C22744" s="7" t="n">
        <v>0</v>
      </c>
      <c r="D22744" s="7" t="n">
        <v>17</v>
      </c>
      <c r="E22744" s="7" t="n">
        <v>63769</v>
      </c>
      <c r="F22744" s="7" t="s">
        <v>286</v>
      </c>
      <c r="G22744" s="7" t="n">
        <v>2</v>
      </c>
      <c r="H22744" s="7" t="n">
        <v>3</v>
      </c>
      <c r="I22744" s="7" t="n">
        <v>17</v>
      </c>
      <c r="J22744" s="7" t="n">
        <v>63770</v>
      </c>
      <c r="K22744" s="7" t="s">
        <v>287</v>
      </c>
      <c r="L22744" s="7" t="n">
        <v>2</v>
      </c>
      <c r="M22744" s="7" t="n">
        <v>0</v>
      </c>
    </row>
    <row r="22745" spans="1:6">
      <c r="A22745" t="s">
        <v>4</v>
      </c>
      <c r="B22745" s="4" t="s">
        <v>5</v>
      </c>
    </row>
    <row r="22746" spans="1:6">
      <c r="A22746" t="n">
        <v>217757</v>
      </c>
      <c r="B22746" s="27" t="n">
        <v>28</v>
      </c>
    </row>
    <row r="22747" spans="1:6">
      <c r="A22747" t="s">
        <v>4</v>
      </c>
      <c r="B22747" s="4" t="s">
        <v>5</v>
      </c>
      <c r="C22747" s="4" t="s">
        <v>7</v>
      </c>
      <c r="D22747" s="4" t="s">
        <v>11</v>
      </c>
      <c r="E22747" s="4" t="s">
        <v>13</v>
      </c>
    </row>
    <row r="22748" spans="1:6">
      <c r="A22748" t="n">
        <v>217758</v>
      </c>
      <c r="B22748" s="23" t="n">
        <v>58</v>
      </c>
      <c r="C22748" s="7" t="n">
        <v>101</v>
      </c>
      <c r="D22748" s="7" t="n">
        <v>500</v>
      </c>
      <c r="E22748" s="7" t="n">
        <v>1</v>
      </c>
    </row>
    <row r="22749" spans="1:6">
      <c r="A22749" t="s">
        <v>4</v>
      </c>
      <c r="B22749" s="4" t="s">
        <v>5</v>
      </c>
      <c r="C22749" s="4" t="s">
        <v>7</v>
      </c>
      <c r="D22749" s="4" t="s">
        <v>11</v>
      </c>
    </row>
    <row r="22750" spans="1:6">
      <c r="A22750" t="n">
        <v>217766</v>
      </c>
      <c r="B22750" s="23" t="n">
        <v>58</v>
      </c>
      <c r="C22750" s="7" t="n">
        <v>254</v>
      </c>
      <c r="D22750" s="7" t="n">
        <v>0</v>
      </c>
    </row>
    <row r="22751" spans="1:6">
      <c r="A22751" t="s">
        <v>4</v>
      </c>
      <c r="B22751" s="4" t="s">
        <v>5</v>
      </c>
      <c r="C22751" s="4" t="s">
        <v>7</v>
      </c>
      <c r="D22751" s="4" t="s">
        <v>7</v>
      </c>
      <c r="E22751" s="4" t="s">
        <v>13</v>
      </c>
      <c r="F22751" s="4" t="s">
        <v>13</v>
      </c>
      <c r="G22751" s="4" t="s">
        <v>13</v>
      </c>
      <c r="H22751" s="4" t="s">
        <v>11</v>
      </c>
    </row>
    <row r="22752" spans="1:6">
      <c r="A22752" t="n">
        <v>217770</v>
      </c>
      <c r="B22752" s="51" t="n">
        <v>45</v>
      </c>
      <c r="C22752" s="7" t="n">
        <v>2</v>
      </c>
      <c r="D22752" s="7" t="n">
        <v>3</v>
      </c>
      <c r="E22752" s="7" t="n">
        <v>4.96999979019165</v>
      </c>
      <c r="F22752" s="7" t="n">
        <v>1.37999999523163</v>
      </c>
      <c r="G22752" s="7" t="n">
        <v>46.3800010681152</v>
      </c>
      <c r="H22752" s="7" t="n">
        <v>0</v>
      </c>
    </row>
    <row r="22753" spans="1:13">
      <c r="A22753" t="s">
        <v>4</v>
      </c>
      <c r="B22753" s="4" t="s">
        <v>5</v>
      </c>
      <c r="C22753" s="4" t="s">
        <v>7</v>
      </c>
      <c r="D22753" s="4" t="s">
        <v>7</v>
      </c>
      <c r="E22753" s="4" t="s">
        <v>13</v>
      </c>
      <c r="F22753" s="4" t="s">
        <v>13</v>
      </c>
      <c r="G22753" s="4" t="s">
        <v>13</v>
      </c>
      <c r="H22753" s="4" t="s">
        <v>11</v>
      </c>
      <c r="I22753" s="4" t="s">
        <v>7</v>
      </c>
    </row>
    <row r="22754" spans="1:13">
      <c r="A22754" t="n">
        <v>217787</v>
      </c>
      <c r="B22754" s="51" t="n">
        <v>45</v>
      </c>
      <c r="C22754" s="7" t="n">
        <v>4</v>
      </c>
      <c r="D22754" s="7" t="n">
        <v>3</v>
      </c>
      <c r="E22754" s="7" t="n">
        <v>8.30000019073486</v>
      </c>
      <c r="F22754" s="7" t="n">
        <v>213.210006713867</v>
      </c>
      <c r="G22754" s="7" t="n">
        <v>0</v>
      </c>
      <c r="H22754" s="7" t="n">
        <v>0</v>
      </c>
      <c r="I22754" s="7" t="n">
        <v>0</v>
      </c>
    </row>
    <row r="22755" spans="1:13">
      <c r="A22755" t="s">
        <v>4</v>
      </c>
      <c r="B22755" s="4" t="s">
        <v>5</v>
      </c>
      <c r="C22755" s="4" t="s">
        <v>7</v>
      </c>
      <c r="D22755" s="4" t="s">
        <v>7</v>
      </c>
      <c r="E22755" s="4" t="s">
        <v>13</v>
      </c>
      <c r="F22755" s="4" t="s">
        <v>11</v>
      </c>
    </row>
    <row r="22756" spans="1:13">
      <c r="A22756" t="n">
        <v>217805</v>
      </c>
      <c r="B22756" s="51" t="n">
        <v>45</v>
      </c>
      <c r="C22756" s="7" t="n">
        <v>5</v>
      </c>
      <c r="D22756" s="7" t="n">
        <v>3</v>
      </c>
      <c r="E22756" s="7" t="n">
        <v>1</v>
      </c>
      <c r="F22756" s="7" t="n">
        <v>0</v>
      </c>
    </row>
    <row r="22757" spans="1:13">
      <c r="A22757" t="s">
        <v>4</v>
      </c>
      <c r="B22757" s="4" t="s">
        <v>5</v>
      </c>
      <c r="C22757" s="4" t="s">
        <v>7</v>
      </c>
      <c r="D22757" s="4" t="s">
        <v>7</v>
      </c>
      <c r="E22757" s="4" t="s">
        <v>13</v>
      </c>
      <c r="F22757" s="4" t="s">
        <v>11</v>
      </c>
    </row>
    <row r="22758" spans="1:13">
      <c r="A22758" t="n">
        <v>217814</v>
      </c>
      <c r="B22758" s="51" t="n">
        <v>45</v>
      </c>
      <c r="C22758" s="7" t="n">
        <v>11</v>
      </c>
      <c r="D22758" s="7" t="n">
        <v>3</v>
      </c>
      <c r="E22758" s="7" t="n">
        <v>34</v>
      </c>
      <c r="F22758" s="7" t="n">
        <v>0</v>
      </c>
    </row>
    <row r="22759" spans="1:13">
      <c r="A22759" t="s">
        <v>4</v>
      </c>
      <c r="B22759" s="4" t="s">
        <v>5</v>
      </c>
      <c r="C22759" s="4" t="s">
        <v>7</v>
      </c>
      <c r="D22759" s="4" t="s">
        <v>11</v>
      </c>
    </row>
    <row r="22760" spans="1:13">
      <c r="A22760" t="n">
        <v>217823</v>
      </c>
      <c r="B22760" s="23" t="n">
        <v>58</v>
      </c>
      <c r="C22760" s="7" t="n">
        <v>255</v>
      </c>
      <c r="D22760" s="7" t="n">
        <v>0</v>
      </c>
    </row>
    <row r="22761" spans="1:13">
      <c r="A22761" t="s">
        <v>4</v>
      </c>
      <c r="B22761" s="4" t="s">
        <v>5</v>
      </c>
      <c r="C22761" s="4" t="s">
        <v>7</v>
      </c>
      <c r="D22761" s="4" t="s">
        <v>11</v>
      </c>
      <c r="E22761" s="4" t="s">
        <v>8</v>
      </c>
    </row>
    <row r="22762" spans="1:13">
      <c r="A22762" t="n">
        <v>217827</v>
      </c>
      <c r="B22762" s="38" t="n">
        <v>51</v>
      </c>
      <c r="C22762" s="7" t="n">
        <v>4</v>
      </c>
      <c r="D22762" s="7" t="n">
        <v>1</v>
      </c>
      <c r="E22762" s="7" t="s">
        <v>288</v>
      </c>
    </row>
    <row r="22763" spans="1:13">
      <c r="A22763" t="s">
        <v>4</v>
      </c>
      <c r="B22763" s="4" t="s">
        <v>5</v>
      </c>
      <c r="C22763" s="4" t="s">
        <v>11</v>
      </c>
    </row>
    <row r="22764" spans="1:13">
      <c r="A22764" t="n">
        <v>217840</v>
      </c>
      <c r="B22764" s="29" t="n">
        <v>16</v>
      </c>
      <c r="C22764" s="7" t="n">
        <v>0</v>
      </c>
    </row>
    <row r="22765" spans="1:13">
      <c r="A22765" t="s">
        <v>4</v>
      </c>
      <c r="B22765" s="4" t="s">
        <v>5</v>
      </c>
      <c r="C22765" s="4" t="s">
        <v>11</v>
      </c>
      <c r="D22765" s="4" t="s">
        <v>7</v>
      </c>
      <c r="E22765" s="4" t="s">
        <v>15</v>
      </c>
      <c r="F22765" s="4" t="s">
        <v>55</v>
      </c>
      <c r="G22765" s="4" t="s">
        <v>7</v>
      </c>
      <c r="H22765" s="4" t="s">
        <v>7</v>
      </c>
      <c r="I22765" s="4" t="s">
        <v>7</v>
      </c>
      <c r="J22765" s="4" t="s">
        <v>15</v>
      </c>
      <c r="K22765" s="4" t="s">
        <v>55</v>
      </c>
      <c r="L22765" s="4" t="s">
        <v>7</v>
      </c>
      <c r="M22765" s="4" t="s">
        <v>7</v>
      </c>
      <c r="N22765" s="4" t="s">
        <v>7</v>
      </c>
      <c r="O22765" s="4" t="s">
        <v>15</v>
      </c>
      <c r="P22765" s="4" t="s">
        <v>55</v>
      </c>
      <c r="Q22765" s="4" t="s">
        <v>7</v>
      </c>
      <c r="R22765" s="4" t="s">
        <v>7</v>
      </c>
    </row>
    <row r="22766" spans="1:13">
      <c r="A22766" t="n">
        <v>217843</v>
      </c>
      <c r="B22766" s="55" t="n">
        <v>26</v>
      </c>
      <c r="C22766" s="7" t="n">
        <v>1</v>
      </c>
      <c r="D22766" s="7" t="n">
        <v>17</v>
      </c>
      <c r="E22766" s="7" t="n">
        <v>63771</v>
      </c>
      <c r="F22766" s="7" t="s">
        <v>289</v>
      </c>
      <c r="G22766" s="7" t="n">
        <v>2</v>
      </c>
      <c r="H22766" s="7" t="n">
        <v>3</v>
      </c>
      <c r="I22766" s="7" t="n">
        <v>17</v>
      </c>
      <c r="J22766" s="7" t="n">
        <v>63772</v>
      </c>
      <c r="K22766" s="7" t="s">
        <v>290</v>
      </c>
      <c r="L22766" s="7" t="n">
        <v>2</v>
      </c>
      <c r="M22766" s="7" t="n">
        <v>3</v>
      </c>
      <c r="N22766" s="7" t="n">
        <v>17</v>
      </c>
      <c r="O22766" s="7" t="n">
        <v>63773</v>
      </c>
      <c r="P22766" s="7" t="s">
        <v>291</v>
      </c>
      <c r="Q22766" s="7" t="n">
        <v>2</v>
      </c>
      <c r="R22766" s="7" t="n">
        <v>0</v>
      </c>
    </row>
    <row r="22767" spans="1:13">
      <c r="A22767" t="s">
        <v>4</v>
      </c>
      <c r="B22767" s="4" t="s">
        <v>5</v>
      </c>
    </row>
    <row r="22768" spans="1:13">
      <c r="A22768" t="n">
        <v>218184</v>
      </c>
      <c r="B22768" s="27" t="n">
        <v>28</v>
      </c>
    </row>
    <row r="22769" spans="1:18">
      <c r="A22769" t="s">
        <v>4</v>
      </c>
      <c r="B22769" s="4" t="s">
        <v>5</v>
      </c>
      <c r="C22769" s="4" t="s">
        <v>7</v>
      </c>
      <c r="D22769" s="4" t="s">
        <v>11</v>
      </c>
      <c r="E22769" s="4" t="s">
        <v>8</v>
      </c>
    </row>
    <row r="22770" spans="1:18">
      <c r="A22770" t="n">
        <v>218185</v>
      </c>
      <c r="B22770" s="38" t="n">
        <v>51</v>
      </c>
      <c r="C22770" s="7" t="n">
        <v>4</v>
      </c>
      <c r="D22770" s="7" t="n">
        <v>0</v>
      </c>
      <c r="E22770" s="7" t="s">
        <v>173</v>
      </c>
    </row>
    <row r="22771" spans="1:18">
      <c r="A22771" t="s">
        <v>4</v>
      </c>
      <c r="B22771" s="4" t="s">
        <v>5</v>
      </c>
      <c r="C22771" s="4" t="s">
        <v>11</v>
      </c>
    </row>
    <row r="22772" spans="1:18">
      <c r="A22772" t="n">
        <v>218198</v>
      </c>
      <c r="B22772" s="29" t="n">
        <v>16</v>
      </c>
      <c r="C22772" s="7" t="n">
        <v>0</v>
      </c>
    </row>
    <row r="22773" spans="1:18">
      <c r="A22773" t="s">
        <v>4</v>
      </c>
      <c r="B22773" s="4" t="s">
        <v>5</v>
      </c>
      <c r="C22773" s="4" t="s">
        <v>11</v>
      </c>
      <c r="D22773" s="4" t="s">
        <v>7</v>
      </c>
      <c r="E22773" s="4" t="s">
        <v>15</v>
      </c>
      <c r="F22773" s="4" t="s">
        <v>55</v>
      </c>
      <c r="G22773" s="4" t="s">
        <v>7</v>
      </c>
      <c r="H22773" s="4" t="s">
        <v>7</v>
      </c>
    </row>
    <row r="22774" spans="1:18">
      <c r="A22774" t="n">
        <v>218201</v>
      </c>
      <c r="B22774" s="55" t="n">
        <v>26</v>
      </c>
      <c r="C22774" s="7" t="n">
        <v>0</v>
      </c>
      <c r="D22774" s="7" t="n">
        <v>17</v>
      </c>
      <c r="E22774" s="7" t="n">
        <v>63774</v>
      </c>
      <c r="F22774" s="7" t="s">
        <v>292</v>
      </c>
      <c r="G22774" s="7" t="n">
        <v>2</v>
      </c>
      <c r="H22774" s="7" t="n">
        <v>0</v>
      </c>
    </row>
    <row r="22775" spans="1:18">
      <c r="A22775" t="s">
        <v>4</v>
      </c>
      <c r="B22775" s="4" t="s">
        <v>5</v>
      </c>
    </row>
    <row r="22776" spans="1:18">
      <c r="A22776" t="n">
        <v>218253</v>
      </c>
      <c r="B22776" s="27" t="n">
        <v>28</v>
      </c>
    </row>
    <row r="22777" spans="1:18">
      <c r="A22777" t="s">
        <v>4</v>
      </c>
      <c r="B22777" s="4" t="s">
        <v>5</v>
      </c>
      <c r="C22777" s="4" t="s">
        <v>7</v>
      </c>
      <c r="D22777" s="4" t="s">
        <v>11</v>
      </c>
      <c r="E22777" s="4" t="s">
        <v>8</v>
      </c>
      <c r="F22777" s="4" t="s">
        <v>8</v>
      </c>
      <c r="G22777" s="4" t="s">
        <v>8</v>
      </c>
      <c r="H22777" s="4" t="s">
        <v>8</v>
      </c>
    </row>
    <row r="22778" spans="1:18">
      <c r="A22778" t="n">
        <v>218254</v>
      </c>
      <c r="B22778" s="38" t="n">
        <v>51</v>
      </c>
      <c r="C22778" s="7" t="n">
        <v>3</v>
      </c>
      <c r="D22778" s="7" t="n">
        <v>1</v>
      </c>
      <c r="E22778" s="7" t="s">
        <v>154</v>
      </c>
      <c r="F22778" s="7" t="s">
        <v>79</v>
      </c>
      <c r="G22778" s="7" t="s">
        <v>16</v>
      </c>
      <c r="H22778" s="7" t="s">
        <v>68</v>
      </c>
    </row>
    <row r="22779" spans="1:18">
      <c r="A22779" t="s">
        <v>4</v>
      </c>
      <c r="B22779" s="4" t="s">
        <v>5</v>
      </c>
      <c r="C22779" s="4" t="s">
        <v>11</v>
      </c>
      <c r="D22779" s="4" t="s">
        <v>7</v>
      </c>
      <c r="E22779" s="4" t="s">
        <v>13</v>
      </c>
      <c r="F22779" s="4" t="s">
        <v>11</v>
      </c>
    </row>
    <row r="22780" spans="1:18">
      <c r="A22780" t="n">
        <v>218265</v>
      </c>
      <c r="B22780" s="56" t="n">
        <v>59</v>
      </c>
      <c r="C22780" s="7" t="n">
        <v>1</v>
      </c>
      <c r="D22780" s="7" t="n">
        <v>14</v>
      </c>
      <c r="E22780" s="7" t="n">
        <v>0.150000005960464</v>
      </c>
      <c r="F22780" s="7" t="n">
        <v>0</v>
      </c>
    </row>
    <row r="22781" spans="1:18">
      <c r="A22781" t="s">
        <v>4</v>
      </c>
      <c r="B22781" s="4" t="s">
        <v>5</v>
      </c>
      <c r="C22781" s="4" t="s">
        <v>11</v>
      </c>
    </row>
    <row r="22782" spans="1:18">
      <c r="A22782" t="n">
        <v>218275</v>
      </c>
      <c r="B22782" s="29" t="n">
        <v>16</v>
      </c>
      <c r="C22782" s="7" t="n">
        <v>1000</v>
      </c>
    </row>
    <row r="22783" spans="1:18">
      <c r="A22783" t="s">
        <v>4</v>
      </c>
      <c r="B22783" s="4" t="s">
        <v>5</v>
      </c>
      <c r="C22783" s="4" t="s">
        <v>7</v>
      </c>
      <c r="D22783" s="4" t="s">
        <v>11</v>
      </c>
      <c r="E22783" s="4" t="s">
        <v>8</v>
      </c>
    </row>
    <row r="22784" spans="1:18">
      <c r="A22784" t="n">
        <v>218278</v>
      </c>
      <c r="B22784" s="38" t="n">
        <v>51</v>
      </c>
      <c r="C22784" s="7" t="n">
        <v>4</v>
      </c>
      <c r="D22784" s="7" t="n">
        <v>1</v>
      </c>
      <c r="E22784" s="7" t="s">
        <v>293</v>
      </c>
    </row>
    <row r="22785" spans="1:8">
      <c r="A22785" t="s">
        <v>4</v>
      </c>
      <c r="B22785" s="4" t="s">
        <v>5</v>
      </c>
      <c r="C22785" s="4" t="s">
        <v>11</v>
      </c>
    </row>
    <row r="22786" spans="1:8">
      <c r="A22786" t="n">
        <v>218297</v>
      </c>
      <c r="B22786" s="29" t="n">
        <v>16</v>
      </c>
      <c r="C22786" s="7" t="n">
        <v>0</v>
      </c>
    </row>
    <row r="22787" spans="1:8">
      <c r="A22787" t="s">
        <v>4</v>
      </c>
      <c r="B22787" s="4" t="s">
        <v>5</v>
      </c>
      <c r="C22787" s="4" t="s">
        <v>11</v>
      </c>
      <c r="D22787" s="4" t="s">
        <v>7</v>
      </c>
      <c r="E22787" s="4" t="s">
        <v>15</v>
      </c>
      <c r="F22787" s="4" t="s">
        <v>55</v>
      </c>
      <c r="G22787" s="4" t="s">
        <v>7</v>
      </c>
      <c r="H22787" s="4" t="s">
        <v>7</v>
      </c>
    </row>
    <row r="22788" spans="1:8">
      <c r="A22788" t="n">
        <v>218300</v>
      </c>
      <c r="B22788" s="55" t="n">
        <v>26</v>
      </c>
      <c r="C22788" s="7" t="n">
        <v>1</v>
      </c>
      <c r="D22788" s="7" t="n">
        <v>17</v>
      </c>
      <c r="E22788" s="7" t="n">
        <v>63775</v>
      </c>
      <c r="F22788" s="7" t="s">
        <v>294</v>
      </c>
      <c r="G22788" s="7" t="n">
        <v>2</v>
      </c>
      <c r="H22788" s="7" t="n">
        <v>0</v>
      </c>
    </row>
    <row r="22789" spans="1:8">
      <c r="A22789" t="s">
        <v>4</v>
      </c>
      <c r="B22789" s="4" t="s">
        <v>5</v>
      </c>
    </row>
    <row r="22790" spans="1:8">
      <c r="A22790" t="n">
        <v>218335</v>
      </c>
      <c r="B22790" s="27" t="n">
        <v>28</v>
      </c>
    </row>
    <row r="22791" spans="1:8">
      <c r="A22791" t="s">
        <v>4</v>
      </c>
      <c r="B22791" s="4" t="s">
        <v>5</v>
      </c>
      <c r="C22791" s="4" t="s">
        <v>7</v>
      </c>
      <c r="D22791" s="4" t="s">
        <v>11</v>
      </c>
      <c r="E22791" s="4" t="s">
        <v>8</v>
      </c>
      <c r="F22791" s="4" t="s">
        <v>8</v>
      </c>
      <c r="G22791" s="4" t="s">
        <v>8</v>
      </c>
      <c r="H22791" s="4" t="s">
        <v>8</v>
      </c>
    </row>
    <row r="22792" spans="1:8">
      <c r="A22792" t="n">
        <v>218336</v>
      </c>
      <c r="B22792" s="38" t="n">
        <v>51</v>
      </c>
      <c r="C22792" s="7" t="n">
        <v>3</v>
      </c>
      <c r="D22792" s="7" t="n">
        <v>1</v>
      </c>
      <c r="E22792" s="7" t="s">
        <v>295</v>
      </c>
      <c r="F22792" s="7" t="s">
        <v>99</v>
      </c>
      <c r="G22792" s="7" t="s">
        <v>78</v>
      </c>
      <c r="H22792" s="7" t="s">
        <v>79</v>
      </c>
    </row>
    <row r="22793" spans="1:8">
      <c r="A22793" t="s">
        <v>4</v>
      </c>
      <c r="B22793" s="4" t="s">
        <v>5</v>
      </c>
      <c r="C22793" s="4" t="s">
        <v>11</v>
      </c>
      <c r="D22793" s="4" t="s">
        <v>13</v>
      </c>
      <c r="E22793" s="4" t="s">
        <v>13</v>
      </c>
      <c r="F22793" s="4" t="s">
        <v>13</v>
      </c>
      <c r="G22793" s="4" t="s">
        <v>11</v>
      </c>
      <c r="H22793" s="4" t="s">
        <v>11</v>
      </c>
    </row>
    <row r="22794" spans="1:8">
      <c r="A22794" t="n">
        <v>218349</v>
      </c>
      <c r="B22794" s="37" t="n">
        <v>60</v>
      </c>
      <c r="C22794" s="7" t="n">
        <v>1</v>
      </c>
      <c r="D22794" s="7" t="n">
        <v>-45</v>
      </c>
      <c r="E22794" s="7" t="n">
        <v>0</v>
      </c>
      <c r="F22794" s="7" t="n">
        <v>0</v>
      </c>
      <c r="G22794" s="7" t="n">
        <v>1000</v>
      </c>
      <c r="H22794" s="7" t="n">
        <v>0</v>
      </c>
    </row>
    <row r="22795" spans="1:8">
      <c r="A22795" t="s">
        <v>4</v>
      </c>
      <c r="B22795" s="4" t="s">
        <v>5</v>
      </c>
      <c r="C22795" s="4" t="s">
        <v>11</v>
      </c>
    </row>
    <row r="22796" spans="1:8">
      <c r="A22796" t="n">
        <v>218368</v>
      </c>
      <c r="B22796" s="29" t="n">
        <v>16</v>
      </c>
      <c r="C22796" s="7" t="n">
        <v>1000</v>
      </c>
    </row>
    <row r="22797" spans="1:8">
      <c r="A22797" t="s">
        <v>4</v>
      </c>
      <c r="B22797" s="4" t="s">
        <v>5</v>
      </c>
      <c r="C22797" s="4" t="s">
        <v>7</v>
      </c>
      <c r="D22797" s="4" t="s">
        <v>11</v>
      </c>
      <c r="E22797" s="4" t="s">
        <v>8</v>
      </c>
      <c r="F22797" s="4" t="s">
        <v>8</v>
      </c>
      <c r="G22797" s="4" t="s">
        <v>8</v>
      </c>
      <c r="H22797" s="4" t="s">
        <v>8</v>
      </c>
    </row>
    <row r="22798" spans="1:8">
      <c r="A22798" t="n">
        <v>218371</v>
      </c>
      <c r="B22798" s="38" t="n">
        <v>51</v>
      </c>
      <c r="C22798" s="7" t="n">
        <v>3</v>
      </c>
      <c r="D22798" s="7" t="n">
        <v>1</v>
      </c>
      <c r="E22798" s="7" t="s">
        <v>296</v>
      </c>
      <c r="F22798" s="7" t="s">
        <v>99</v>
      </c>
      <c r="G22798" s="7" t="s">
        <v>78</v>
      </c>
      <c r="H22798" s="7" t="s">
        <v>79</v>
      </c>
    </row>
    <row r="22799" spans="1:8">
      <c r="A22799" t="s">
        <v>4</v>
      </c>
      <c r="B22799" s="4" t="s">
        <v>5</v>
      </c>
      <c r="C22799" s="4" t="s">
        <v>11</v>
      </c>
      <c r="D22799" s="4" t="s">
        <v>13</v>
      </c>
      <c r="E22799" s="4" t="s">
        <v>13</v>
      </c>
      <c r="F22799" s="4" t="s">
        <v>13</v>
      </c>
      <c r="G22799" s="4" t="s">
        <v>11</v>
      </c>
      <c r="H22799" s="4" t="s">
        <v>11</v>
      </c>
    </row>
    <row r="22800" spans="1:8">
      <c r="A22800" t="n">
        <v>218385</v>
      </c>
      <c r="B22800" s="37" t="n">
        <v>60</v>
      </c>
      <c r="C22800" s="7" t="n">
        <v>1</v>
      </c>
      <c r="D22800" s="7" t="n">
        <v>45</v>
      </c>
      <c r="E22800" s="7" t="n">
        <v>0</v>
      </c>
      <c r="F22800" s="7" t="n">
        <v>0</v>
      </c>
      <c r="G22800" s="7" t="n">
        <v>1000</v>
      </c>
      <c r="H22800" s="7" t="n">
        <v>0</v>
      </c>
    </row>
    <row r="22801" spans="1:8">
      <c r="A22801" t="s">
        <v>4</v>
      </c>
      <c r="B22801" s="4" t="s">
        <v>5</v>
      </c>
      <c r="C22801" s="4" t="s">
        <v>11</v>
      </c>
    </row>
    <row r="22802" spans="1:8">
      <c r="A22802" t="n">
        <v>218404</v>
      </c>
      <c r="B22802" s="29" t="n">
        <v>16</v>
      </c>
      <c r="C22802" s="7" t="n">
        <v>1200</v>
      </c>
    </row>
    <row r="22803" spans="1:8">
      <c r="A22803" t="s">
        <v>4</v>
      </c>
      <c r="B22803" s="4" t="s">
        <v>5</v>
      </c>
      <c r="C22803" s="4" t="s">
        <v>7</v>
      </c>
      <c r="D22803" s="4" t="s">
        <v>11</v>
      </c>
      <c r="E22803" s="4" t="s">
        <v>8</v>
      </c>
      <c r="F22803" s="4" t="s">
        <v>8</v>
      </c>
      <c r="G22803" s="4" t="s">
        <v>8</v>
      </c>
      <c r="H22803" s="4" t="s">
        <v>8</v>
      </c>
    </row>
    <row r="22804" spans="1:8">
      <c r="A22804" t="n">
        <v>218407</v>
      </c>
      <c r="B22804" s="38" t="n">
        <v>51</v>
      </c>
      <c r="C22804" s="7" t="n">
        <v>3</v>
      </c>
      <c r="D22804" s="7" t="n">
        <v>1</v>
      </c>
      <c r="E22804" s="7" t="s">
        <v>86</v>
      </c>
      <c r="F22804" s="7" t="s">
        <v>99</v>
      </c>
      <c r="G22804" s="7" t="s">
        <v>78</v>
      </c>
      <c r="H22804" s="7" t="s">
        <v>79</v>
      </c>
    </row>
    <row r="22805" spans="1:8">
      <c r="A22805" t="s">
        <v>4</v>
      </c>
      <c r="B22805" s="4" t="s">
        <v>5</v>
      </c>
      <c r="C22805" s="4" t="s">
        <v>11</v>
      </c>
      <c r="D22805" s="4" t="s">
        <v>13</v>
      </c>
      <c r="E22805" s="4" t="s">
        <v>13</v>
      </c>
      <c r="F22805" s="4" t="s">
        <v>13</v>
      </c>
      <c r="G22805" s="4" t="s">
        <v>11</v>
      </c>
      <c r="H22805" s="4" t="s">
        <v>11</v>
      </c>
    </row>
    <row r="22806" spans="1:8">
      <c r="A22806" t="n">
        <v>218420</v>
      </c>
      <c r="B22806" s="37" t="n">
        <v>60</v>
      </c>
      <c r="C22806" s="7" t="n">
        <v>1</v>
      </c>
      <c r="D22806" s="7" t="n">
        <v>0</v>
      </c>
      <c r="E22806" s="7" t="n">
        <v>0</v>
      </c>
      <c r="F22806" s="7" t="n">
        <v>0</v>
      </c>
      <c r="G22806" s="7" t="n">
        <v>1000</v>
      </c>
      <c r="H22806" s="7" t="n">
        <v>0</v>
      </c>
    </row>
    <row r="22807" spans="1:8">
      <c r="A22807" t="s">
        <v>4</v>
      </c>
      <c r="B22807" s="4" t="s">
        <v>5</v>
      </c>
      <c r="C22807" s="4" t="s">
        <v>11</v>
      </c>
    </row>
    <row r="22808" spans="1:8">
      <c r="A22808" t="n">
        <v>218439</v>
      </c>
      <c r="B22808" s="29" t="n">
        <v>16</v>
      </c>
      <c r="C22808" s="7" t="n">
        <v>1000</v>
      </c>
    </row>
    <row r="22809" spans="1:8">
      <c r="A22809" t="s">
        <v>4</v>
      </c>
      <c r="B22809" s="4" t="s">
        <v>5</v>
      </c>
      <c r="C22809" s="4" t="s">
        <v>7</v>
      </c>
      <c r="D22809" s="4" t="s">
        <v>11</v>
      </c>
      <c r="E22809" s="4" t="s">
        <v>8</v>
      </c>
    </row>
    <row r="22810" spans="1:8">
      <c r="A22810" t="n">
        <v>218442</v>
      </c>
      <c r="B22810" s="38" t="n">
        <v>51</v>
      </c>
      <c r="C22810" s="7" t="n">
        <v>4</v>
      </c>
      <c r="D22810" s="7" t="n">
        <v>1</v>
      </c>
      <c r="E22810" s="7" t="s">
        <v>179</v>
      </c>
    </row>
    <row r="22811" spans="1:8">
      <c r="A22811" t="s">
        <v>4</v>
      </c>
      <c r="B22811" s="4" t="s">
        <v>5</v>
      </c>
      <c r="C22811" s="4" t="s">
        <v>11</v>
      </c>
    </row>
    <row r="22812" spans="1:8">
      <c r="A22812" t="n">
        <v>218456</v>
      </c>
      <c r="B22812" s="29" t="n">
        <v>16</v>
      </c>
      <c r="C22812" s="7" t="n">
        <v>0</v>
      </c>
    </row>
    <row r="22813" spans="1:8">
      <c r="A22813" t="s">
        <v>4</v>
      </c>
      <c r="B22813" s="4" t="s">
        <v>5</v>
      </c>
      <c r="C22813" s="4" t="s">
        <v>11</v>
      </c>
      <c r="D22813" s="4" t="s">
        <v>7</v>
      </c>
      <c r="E22813" s="4" t="s">
        <v>15</v>
      </c>
      <c r="F22813" s="4" t="s">
        <v>55</v>
      </c>
      <c r="G22813" s="4" t="s">
        <v>7</v>
      </c>
      <c r="H22813" s="4" t="s">
        <v>7</v>
      </c>
      <c r="I22813" s="4" t="s">
        <v>7</v>
      </c>
      <c r="J22813" s="4" t="s">
        <v>15</v>
      </c>
      <c r="K22813" s="4" t="s">
        <v>55</v>
      </c>
      <c r="L22813" s="4" t="s">
        <v>7</v>
      </c>
      <c r="M22813" s="4" t="s">
        <v>7</v>
      </c>
    </row>
    <row r="22814" spans="1:8">
      <c r="A22814" t="n">
        <v>218459</v>
      </c>
      <c r="B22814" s="55" t="n">
        <v>26</v>
      </c>
      <c r="C22814" s="7" t="n">
        <v>1</v>
      </c>
      <c r="D22814" s="7" t="n">
        <v>17</v>
      </c>
      <c r="E22814" s="7" t="n">
        <v>63776</v>
      </c>
      <c r="F22814" s="7" t="s">
        <v>297</v>
      </c>
      <c r="G22814" s="7" t="n">
        <v>2</v>
      </c>
      <c r="H22814" s="7" t="n">
        <v>3</v>
      </c>
      <c r="I22814" s="7" t="n">
        <v>17</v>
      </c>
      <c r="J22814" s="7" t="n">
        <v>63777</v>
      </c>
      <c r="K22814" s="7" t="s">
        <v>298</v>
      </c>
      <c r="L22814" s="7" t="n">
        <v>2</v>
      </c>
      <c r="M22814" s="7" t="n">
        <v>0</v>
      </c>
    </row>
    <row r="22815" spans="1:8">
      <c r="A22815" t="s">
        <v>4</v>
      </c>
      <c r="B22815" s="4" t="s">
        <v>5</v>
      </c>
    </row>
    <row r="22816" spans="1:8">
      <c r="A22816" t="n">
        <v>218693</v>
      </c>
      <c r="B22816" s="27" t="n">
        <v>28</v>
      </c>
    </row>
    <row r="22817" spans="1:13">
      <c r="A22817" t="s">
        <v>4</v>
      </c>
      <c r="B22817" s="4" t="s">
        <v>5</v>
      </c>
      <c r="C22817" s="4" t="s">
        <v>7</v>
      </c>
      <c r="D22817" s="4" t="s">
        <v>11</v>
      </c>
      <c r="E22817" s="4" t="s">
        <v>8</v>
      </c>
    </row>
    <row r="22818" spans="1:13">
      <c r="A22818" t="n">
        <v>218694</v>
      </c>
      <c r="B22818" s="38" t="n">
        <v>51</v>
      </c>
      <c r="C22818" s="7" t="n">
        <v>4</v>
      </c>
      <c r="D22818" s="7" t="n">
        <v>0</v>
      </c>
      <c r="E22818" s="7" t="s">
        <v>179</v>
      </c>
    </row>
    <row r="22819" spans="1:13">
      <c r="A22819" t="s">
        <v>4</v>
      </c>
      <c r="B22819" s="4" t="s">
        <v>5</v>
      </c>
      <c r="C22819" s="4" t="s">
        <v>11</v>
      </c>
    </row>
    <row r="22820" spans="1:13">
      <c r="A22820" t="n">
        <v>218708</v>
      </c>
      <c r="B22820" s="29" t="n">
        <v>16</v>
      </c>
      <c r="C22820" s="7" t="n">
        <v>0</v>
      </c>
    </row>
    <row r="22821" spans="1:13">
      <c r="A22821" t="s">
        <v>4</v>
      </c>
      <c r="B22821" s="4" t="s">
        <v>5</v>
      </c>
      <c r="C22821" s="4" t="s">
        <v>11</v>
      </c>
      <c r="D22821" s="4" t="s">
        <v>7</v>
      </c>
      <c r="E22821" s="4" t="s">
        <v>15</v>
      </c>
      <c r="F22821" s="4" t="s">
        <v>55</v>
      </c>
      <c r="G22821" s="4" t="s">
        <v>7</v>
      </c>
      <c r="H22821" s="4" t="s">
        <v>7</v>
      </c>
      <c r="I22821" s="4" t="s">
        <v>7</v>
      </c>
      <c r="J22821" s="4" t="s">
        <v>15</v>
      </c>
      <c r="K22821" s="4" t="s">
        <v>55</v>
      </c>
      <c r="L22821" s="4" t="s">
        <v>7</v>
      </c>
      <c r="M22821" s="4" t="s">
        <v>7</v>
      </c>
      <c r="N22821" s="4" t="s">
        <v>7</v>
      </c>
      <c r="O22821" s="4" t="s">
        <v>15</v>
      </c>
      <c r="P22821" s="4" t="s">
        <v>55</v>
      </c>
      <c r="Q22821" s="4" t="s">
        <v>7</v>
      </c>
      <c r="R22821" s="4" t="s">
        <v>7</v>
      </c>
    </row>
    <row r="22822" spans="1:13">
      <c r="A22822" t="n">
        <v>218711</v>
      </c>
      <c r="B22822" s="55" t="n">
        <v>26</v>
      </c>
      <c r="C22822" s="7" t="n">
        <v>0</v>
      </c>
      <c r="D22822" s="7" t="n">
        <v>17</v>
      </c>
      <c r="E22822" s="7" t="n">
        <v>63778</v>
      </c>
      <c r="F22822" s="7" t="s">
        <v>299</v>
      </c>
      <c r="G22822" s="7" t="n">
        <v>2</v>
      </c>
      <c r="H22822" s="7" t="n">
        <v>3</v>
      </c>
      <c r="I22822" s="7" t="n">
        <v>17</v>
      </c>
      <c r="J22822" s="7" t="n">
        <v>63779</v>
      </c>
      <c r="K22822" s="7" t="s">
        <v>300</v>
      </c>
      <c r="L22822" s="7" t="n">
        <v>2</v>
      </c>
      <c r="M22822" s="7" t="n">
        <v>3</v>
      </c>
      <c r="N22822" s="7" t="n">
        <v>17</v>
      </c>
      <c r="O22822" s="7" t="n">
        <v>63780</v>
      </c>
      <c r="P22822" s="7" t="s">
        <v>301</v>
      </c>
      <c r="Q22822" s="7" t="n">
        <v>2</v>
      </c>
      <c r="R22822" s="7" t="n">
        <v>0</v>
      </c>
    </row>
    <row r="22823" spans="1:13">
      <c r="A22823" t="s">
        <v>4</v>
      </c>
      <c r="B22823" s="4" t="s">
        <v>5</v>
      </c>
    </row>
    <row r="22824" spans="1:13">
      <c r="A22824" t="n">
        <v>218926</v>
      </c>
      <c r="B22824" s="27" t="n">
        <v>28</v>
      </c>
    </row>
    <row r="22825" spans="1:13">
      <c r="A22825" t="s">
        <v>4</v>
      </c>
      <c r="B22825" s="4" t="s">
        <v>5</v>
      </c>
      <c r="C22825" s="4" t="s">
        <v>7</v>
      </c>
      <c r="D22825" s="4" t="s">
        <v>11</v>
      </c>
      <c r="E22825" s="4" t="s">
        <v>8</v>
      </c>
    </row>
    <row r="22826" spans="1:13">
      <c r="A22826" t="n">
        <v>218927</v>
      </c>
      <c r="B22826" s="38" t="n">
        <v>51</v>
      </c>
      <c r="C22826" s="7" t="n">
        <v>4</v>
      </c>
      <c r="D22826" s="7" t="n">
        <v>1</v>
      </c>
      <c r="E22826" s="7" t="s">
        <v>238</v>
      </c>
    </row>
    <row r="22827" spans="1:13">
      <c r="A22827" t="s">
        <v>4</v>
      </c>
      <c r="B22827" s="4" t="s">
        <v>5</v>
      </c>
      <c r="C22827" s="4" t="s">
        <v>11</v>
      </c>
    </row>
    <row r="22828" spans="1:13">
      <c r="A22828" t="n">
        <v>218941</v>
      </c>
      <c r="B22828" s="29" t="n">
        <v>16</v>
      </c>
      <c r="C22828" s="7" t="n">
        <v>0</v>
      </c>
    </row>
    <row r="22829" spans="1:13">
      <c r="A22829" t="s">
        <v>4</v>
      </c>
      <c r="B22829" s="4" t="s">
        <v>5</v>
      </c>
      <c r="C22829" s="4" t="s">
        <v>11</v>
      </c>
      <c r="D22829" s="4" t="s">
        <v>7</v>
      </c>
      <c r="E22829" s="4" t="s">
        <v>15</v>
      </c>
      <c r="F22829" s="4" t="s">
        <v>55</v>
      </c>
      <c r="G22829" s="4" t="s">
        <v>7</v>
      </c>
      <c r="H22829" s="4" t="s">
        <v>7</v>
      </c>
    </row>
    <row r="22830" spans="1:13">
      <c r="A22830" t="n">
        <v>218944</v>
      </c>
      <c r="B22830" s="55" t="n">
        <v>26</v>
      </c>
      <c r="C22830" s="7" t="n">
        <v>1</v>
      </c>
      <c r="D22830" s="7" t="n">
        <v>17</v>
      </c>
      <c r="E22830" s="7" t="n">
        <v>63781</v>
      </c>
      <c r="F22830" s="7" t="s">
        <v>302</v>
      </c>
      <c r="G22830" s="7" t="n">
        <v>2</v>
      </c>
      <c r="H22830" s="7" t="n">
        <v>0</v>
      </c>
    </row>
    <row r="22831" spans="1:13">
      <c r="A22831" t="s">
        <v>4</v>
      </c>
      <c r="B22831" s="4" t="s">
        <v>5</v>
      </c>
    </row>
    <row r="22832" spans="1:13">
      <c r="A22832" t="n">
        <v>218976</v>
      </c>
      <c r="B22832" s="27" t="n">
        <v>28</v>
      </c>
    </row>
    <row r="22833" spans="1:18">
      <c r="A22833" t="s">
        <v>4</v>
      </c>
      <c r="B22833" s="4" t="s">
        <v>5</v>
      </c>
      <c r="C22833" s="4" t="s">
        <v>11</v>
      </c>
      <c r="D22833" s="4" t="s">
        <v>7</v>
      </c>
    </row>
    <row r="22834" spans="1:18">
      <c r="A22834" t="n">
        <v>218977</v>
      </c>
      <c r="B22834" s="68" t="n">
        <v>89</v>
      </c>
      <c r="C22834" s="7" t="n">
        <v>65533</v>
      </c>
      <c r="D22834" s="7" t="n">
        <v>1</v>
      </c>
    </row>
    <row r="22835" spans="1:18">
      <c r="A22835" t="s">
        <v>4</v>
      </c>
      <c r="B22835" s="4" t="s">
        <v>5</v>
      </c>
      <c r="C22835" s="4" t="s">
        <v>7</v>
      </c>
      <c r="D22835" s="4" t="s">
        <v>11</v>
      </c>
      <c r="E22835" s="4" t="s">
        <v>13</v>
      </c>
    </row>
    <row r="22836" spans="1:18">
      <c r="A22836" t="n">
        <v>218981</v>
      </c>
      <c r="B22836" s="23" t="n">
        <v>58</v>
      </c>
      <c r="C22836" s="7" t="n">
        <v>101</v>
      </c>
      <c r="D22836" s="7" t="n">
        <v>500</v>
      </c>
      <c r="E22836" s="7" t="n">
        <v>1</v>
      </c>
    </row>
    <row r="22837" spans="1:18">
      <c r="A22837" t="s">
        <v>4</v>
      </c>
      <c r="B22837" s="4" t="s">
        <v>5</v>
      </c>
      <c r="C22837" s="4" t="s">
        <v>7</v>
      </c>
      <c r="D22837" s="4" t="s">
        <v>11</v>
      </c>
    </row>
    <row r="22838" spans="1:18">
      <c r="A22838" t="n">
        <v>218989</v>
      </c>
      <c r="B22838" s="23" t="n">
        <v>58</v>
      </c>
      <c r="C22838" s="7" t="n">
        <v>254</v>
      </c>
      <c r="D22838" s="7" t="n">
        <v>0</v>
      </c>
    </row>
    <row r="22839" spans="1:18">
      <c r="A22839" t="s">
        <v>4</v>
      </c>
      <c r="B22839" s="4" t="s">
        <v>5</v>
      </c>
      <c r="C22839" s="4" t="s">
        <v>7</v>
      </c>
      <c r="D22839" s="4" t="s">
        <v>11</v>
      </c>
      <c r="E22839" s="4" t="s">
        <v>8</v>
      </c>
      <c r="F22839" s="4" t="s">
        <v>8</v>
      </c>
      <c r="G22839" s="4" t="s">
        <v>8</v>
      </c>
      <c r="H22839" s="4" t="s">
        <v>8</v>
      </c>
    </row>
    <row r="22840" spans="1:18">
      <c r="A22840" t="n">
        <v>218993</v>
      </c>
      <c r="B22840" s="38" t="n">
        <v>51</v>
      </c>
      <c r="C22840" s="7" t="n">
        <v>3</v>
      </c>
      <c r="D22840" s="7" t="n">
        <v>0</v>
      </c>
      <c r="E22840" s="7" t="s">
        <v>65</v>
      </c>
      <c r="F22840" s="7" t="s">
        <v>99</v>
      </c>
      <c r="G22840" s="7" t="s">
        <v>78</v>
      </c>
      <c r="H22840" s="7" t="s">
        <v>79</v>
      </c>
    </row>
    <row r="22841" spans="1:18">
      <c r="A22841" t="s">
        <v>4</v>
      </c>
      <c r="B22841" s="4" t="s">
        <v>5</v>
      </c>
      <c r="C22841" s="4" t="s">
        <v>7</v>
      </c>
      <c r="D22841" s="4" t="s">
        <v>11</v>
      </c>
      <c r="E22841" s="4" t="s">
        <v>8</v>
      </c>
      <c r="F22841" s="4" t="s">
        <v>8</v>
      </c>
      <c r="G22841" s="4" t="s">
        <v>8</v>
      </c>
      <c r="H22841" s="4" t="s">
        <v>8</v>
      </c>
    </row>
    <row r="22842" spans="1:18">
      <c r="A22842" t="n">
        <v>219014</v>
      </c>
      <c r="B22842" s="38" t="n">
        <v>51</v>
      </c>
      <c r="C22842" s="7" t="n">
        <v>3</v>
      </c>
      <c r="D22842" s="7" t="n">
        <v>1</v>
      </c>
      <c r="E22842" s="7" t="s">
        <v>65</v>
      </c>
      <c r="F22842" s="7" t="s">
        <v>99</v>
      </c>
      <c r="G22842" s="7" t="s">
        <v>78</v>
      </c>
      <c r="H22842" s="7" t="s">
        <v>79</v>
      </c>
    </row>
    <row r="22843" spans="1:18">
      <c r="A22843" t="s">
        <v>4</v>
      </c>
      <c r="B22843" s="4" t="s">
        <v>5</v>
      </c>
      <c r="C22843" s="4" t="s">
        <v>11</v>
      </c>
      <c r="D22843" s="4" t="s">
        <v>11</v>
      </c>
      <c r="E22843" s="4" t="s">
        <v>11</v>
      </c>
    </row>
    <row r="22844" spans="1:18">
      <c r="A22844" t="n">
        <v>219035</v>
      </c>
      <c r="B22844" s="72" t="n">
        <v>61</v>
      </c>
      <c r="C22844" s="7" t="n">
        <v>0</v>
      </c>
      <c r="D22844" s="7" t="n">
        <v>65533</v>
      </c>
      <c r="E22844" s="7" t="n">
        <v>0</v>
      </c>
    </row>
    <row r="22845" spans="1:18">
      <c r="A22845" t="s">
        <v>4</v>
      </c>
      <c r="B22845" s="4" t="s">
        <v>5</v>
      </c>
      <c r="C22845" s="4" t="s">
        <v>11</v>
      </c>
      <c r="D22845" s="4" t="s">
        <v>11</v>
      </c>
      <c r="E22845" s="4" t="s">
        <v>11</v>
      </c>
    </row>
    <row r="22846" spans="1:18">
      <c r="A22846" t="n">
        <v>219042</v>
      </c>
      <c r="B22846" s="72" t="n">
        <v>61</v>
      </c>
      <c r="C22846" s="7" t="n">
        <v>1</v>
      </c>
      <c r="D22846" s="7" t="n">
        <v>65533</v>
      </c>
      <c r="E22846" s="7" t="n">
        <v>0</v>
      </c>
    </row>
    <row r="22847" spans="1:18">
      <c r="A22847" t="s">
        <v>4</v>
      </c>
      <c r="B22847" s="4" t="s">
        <v>5</v>
      </c>
      <c r="C22847" s="4" t="s">
        <v>7</v>
      </c>
    </row>
    <row r="22848" spans="1:18">
      <c r="A22848" t="n">
        <v>219049</v>
      </c>
      <c r="B22848" s="49" t="n">
        <v>116</v>
      </c>
      <c r="C22848" s="7" t="n">
        <v>0</v>
      </c>
    </row>
    <row r="22849" spans="1:8">
      <c r="A22849" t="s">
        <v>4</v>
      </c>
      <c r="B22849" s="4" t="s">
        <v>5</v>
      </c>
      <c r="C22849" s="4" t="s">
        <v>7</v>
      </c>
      <c r="D22849" s="4" t="s">
        <v>11</v>
      </c>
    </row>
    <row r="22850" spans="1:8">
      <c r="A22850" t="n">
        <v>219051</v>
      </c>
      <c r="B22850" s="49" t="n">
        <v>116</v>
      </c>
      <c r="C22850" s="7" t="n">
        <v>2</v>
      </c>
      <c r="D22850" s="7" t="n">
        <v>1</v>
      </c>
    </row>
    <row r="22851" spans="1:8">
      <c r="A22851" t="s">
        <v>4</v>
      </c>
      <c r="B22851" s="4" t="s">
        <v>5</v>
      </c>
      <c r="C22851" s="4" t="s">
        <v>7</v>
      </c>
      <c r="D22851" s="4" t="s">
        <v>15</v>
      </c>
    </row>
    <row r="22852" spans="1:8">
      <c r="A22852" t="n">
        <v>219055</v>
      </c>
      <c r="B22852" s="49" t="n">
        <v>116</v>
      </c>
      <c r="C22852" s="7" t="n">
        <v>5</v>
      </c>
      <c r="D22852" s="7" t="n">
        <v>1106247680</v>
      </c>
    </row>
    <row r="22853" spans="1:8">
      <c r="A22853" t="s">
        <v>4</v>
      </c>
      <c r="B22853" s="4" t="s">
        <v>5</v>
      </c>
      <c r="C22853" s="4" t="s">
        <v>7</v>
      </c>
      <c r="D22853" s="4" t="s">
        <v>11</v>
      </c>
    </row>
    <row r="22854" spans="1:8">
      <c r="A22854" t="n">
        <v>219061</v>
      </c>
      <c r="B22854" s="49" t="n">
        <v>116</v>
      </c>
      <c r="C22854" s="7" t="n">
        <v>6</v>
      </c>
      <c r="D22854" s="7" t="n">
        <v>1</v>
      </c>
    </row>
    <row r="22855" spans="1:8">
      <c r="A22855" t="s">
        <v>4</v>
      </c>
      <c r="B22855" s="4" t="s">
        <v>5</v>
      </c>
      <c r="C22855" s="4" t="s">
        <v>7</v>
      </c>
      <c r="D22855" s="4" t="s">
        <v>7</v>
      </c>
      <c r="E22855" s="4" t="s">
        <v>13</v>
      </c>
      <c r="F22855" s="4" t="s">
        <v>13</v>
      </c>
      <c r="G22855" s="4" t="s">
        <v>13</v>
      </c>
      <c r="H22855" s="4" t="s">
        <v>11</v>
      </c>
    </row>
    <row r="22856" spans="1:8">
      <c r="A22856" t="n">
        <v>219065</v>
      </c>
      <c r="B22856" s="51" t="n">
        <v>45</v>
      </c>
      <c r="C22856" s="7" t="n">
        <v>2</v>
      </c>
      <c r="D22856" s="7" t="n">
        <v>3</v>
      </c>
      <c r="E22856" s="7" t="n">
        <v>4.53000020980835</v>
      </c>
      <c r="F22856" s="7" t="n">
        <v>1.30999994277954</v>
      </c>
      <c r="G22856" s="7" t="n">
        <v>46.2700004577637</v>
      </c>
      <c r="H22856" s="7" t="n">
        <v>0</v>
      </c>
    </row>
    <row r="22857" spans="1:8">
      <c r="A22857" t="s">
        <v>4</v>
      </c>
      <c r="B22857" s="4" t="s">
        <v>5</v>
      </c>
      <c r="C22857" s="4" t="s">
        <v>7</v>
      </c>
      <c r="D22857" s="4" t="s">
        <v>7</v>
      </c>
      <c r="E22857" s="4" t="s">
        <v>13</v>
      </c>
      <c r="F22857" s="4" t="s">
        <v>13</v>
      </c>
      <c r="G22857" s="4" t="s">
        <v>13</v>
      </c>
      <c r="H22857" s="4" t="s">
        <v>11</v>
      </c>
      <c r="I22857" s="4" t="s">
        <v>7</v>
      </c>
    </row>
    <row r="22858" spans="1:8">
      <c r="A22858" t="n">
        <v>219082</v>
      </c>
      <c r="B22858" s="51" t="n">
        <v>45</v>
      </c>
      <c r="C22858" s="7" t="n">
        <v>4</v>
      </c>
      <c r="D22858" s="7" t="n">
        <v>3</v>
      </c>
      <c r="E22858" s="7" t="n">
        <v>12.8699998855591</v>
      </c>
      <c r="F22858" s="7" t="n">
        <v>80.0199966430664</v>
      </c>
      <c r="G22858" s="7" t="n">
        <v>0</v>
      </c>
      <c r="H22858" s="7" t="n">
        <v>0</v>
      </c>
      <c r="I22858" s="7" t="n">
        <v>0</v>
      </c>
    </row>
    <row r="22859" spans="1:8">
      <c r="A22859" t="s">
        <v>4</v>
      </c>
      <c r="B22859" s="4" t="s">
        <v>5</v>
      </c>
      <c r="C22859" s="4" t="s">
        <v>7</v>
      </c>
      <c r="D22859" s="4" t="s">
        <v>7</v>
      </c>
      <c r="E22859" s="4" t="s">
        <v>13</v>
      </c>
      <c r="F22859" s="4" t="s">
        <v>11</v>
      </c>
    </row>
    <row r="22860" spans="1:8">
      <c r="A22860" t="n">
        <v>219100</v>
      </c>
      <c r="B22860" s="51" t="n">
        <v>45</v>
      </c>
      <c r="C22860" s="7" t="n">
        <v>5</v>
      </c>
      <c r="D22860" s="7" t="n">
        <v>3</v>
      </c>
      <c r="E22860" s="7" t="n">
        <v>3</v>
      </c>
      <c r="F22860" s="7" t="n">
        <v>0</v>
      </c>
    </row>
    <row r="22861" spans="1:8">
      <c r="A22861" t="s">
        <v>4</v>
      </c>
      <c r="B22861" s="4" t="s">
        <v>5</v>
      </c>
      <c r="C22861" s="4" t="s">
        <v>7</v>
      </c>
      <c r="D22861" s="4" t="s">
        <v>7</v>
      </c>
      <c r="E22861" s="4" t="s">
        <v>13</v>
      </c>
      <c r="F22861" s="4" t="s">
        <v>11</v>
      </c>
    </row>
    <row r="22862" spans="1:8">
      <c r="A22862" t="n">
        <v>219109</v>
      </c>
      <c r="B22862" s="51" t="n">
        <v>45</v>
      </c>
      <c r="C22862" s="7" t="n">
        <v>11</v>
      </c>
      <c r="D22862" s="7" t="n">
        <v>3</v>
      </c>
      <c r="E22862" s="7" t="n">
        <v>34</v>
      </c>
      <c r="F22862" s="7" t="n">
        <v>0</v>
      </c>
    </row>
    <row r="22863" spans="1:8">
      <c r="A22863" t="s">
        <v>4</v>
      </c>
      <c r="B22863" s="4" t="s">
        <v>5</v>
      </c>
      <c r="C22863" s="4" t="s">
        <v>7</v>
      </c>
      <c r="D22863" s="4" t="s">
        <v>7</v>
      </c>
      <c r="E22863" s="4" t="s">
        <v>13</v>
      </c>
      <c r="F22863" s="4" t="s">
        <v>13</v>
      </c>
      <c r="G22863" s="4" t="s">
        <v>13</v>
      </c>
      <c r="H22863" s="4" t="s">
        <v>11</v>
      </c>
    </row>
    <row r="22864" spans="1:8">
      <c r="A22864" t="n">
        <v>219118</v>
      </c>
      <c r="B22864" s="51" t="n">
        <v>45</v>
      </c>
      <c r="C22864" s="7" t="n">
        <v>2</v>
      </c>
      <c r="D22864" s="7" t="n">
        <v>3</v>
      </c>
      <c r="E22864" s="7" t="n">
        <v>4.53000020980835</v>
      </c>
      <c r="F22864" s="7" t="n">
        <v>2.30999994277954</v>
      </c>
      <c r="G22864" s="7" t="n">
        <v>46.2700004577637</v>
      </c>
      <c r="H22864" s="7" t="n">
        <v>5000</v>
      </c>
    </row>
    <row r="22865" spans="1:9">
      <c r="A22865" t="s">
        <v>4</v>
      </c>
      <c r="B22865" s="4" t="s">
        <v>5</v>
      </c>
      <c r="C22865" s="4" t="s">
        <v>7</v>
      </c>
      <c r="D22865" s="4" t="s">
        <v>11</v>
      </c>
    </row>
    <row r="22866" spans="1:9">
      <c r="A22866" t="n">
        <v>219135</v>
      </c>
      <c r="B22866" s="23" t="n">
        <v>58</v>
      </c>
      <c r="C22866" s="7" t="n">
        <v>255</v>
      </c>
      <c r="D22866" s="7" t="n">
        <v>0</v>
      </c>
    </row>
    <row r="22867" spans="1:9">
      <c r="A22867" t="s">
        <v>4</v>
      </c>
      <c r="B22867" s="4" t="s">
        <v>5</v>
      </c>
      <c r="C22867" s="4" t="s">
        <v>11</v>
      </c>
      <c r="D22867" s="4" t="s">
        <v>13</v>
      </c>
      <c r="E22867" s="4" t="s">
        <v>13</v>
      </c>
      <c r="F22867" s="4" t="s">
        <v>7</v>
      </c>
    </row>
    <row r="22868" spans="1:9">
      <c r="A22868" t="n">
        <v>219139</v>
      </c>
      <c r="B22868" s="65" t="n">
        <v>52</v>
      </c>
      <c r="C22868" s="7" t="n">
        <v>0</v>
      </c>
      <c r="D22868" s="7" t="n">
        <v>255</v>
      </c>
      <c r="E22868" s="7" t="n">
        <v>5</v>
      </c>
      <c r="F22868" s="7" t="n">
        <v>0</v>
      </c>
    </row>
    <row r="22869" spans="1:9">
      <c r="A22869" t="s">
        <v>4</v>
      </c>
      <c r="B22869" s="4" t="s">
        <v>5</v>
      </c>
      <c r="C22869" s="4" t="s">
        <v>11</v>
      </c>
    </row>
    <row r="22870" spans="1:9">
      <c r="A22870" t="n">
        <v>219151</v>
      </c>
      <c r="B22870" s="29" t="n">
        <v>16</v>
      </c>
      <c r="C22870" s="7" t="n">
        <v>100</v>
      </c>
    </row>
    <row r="22871" spans="1:9">
      <c r="A22871" t="s">
        <v>4</v>
      </c>
      <c r="B22871" s="4" t="s">
        <v>5</v>
      </c>
      <c r="C22871" s="4" t="s">
        <v>11</v>
      </c>
      <c r="D22871" s="4" t="s">
        <v>13</v>
      </c>
      <c r="E22871" s="4" t="s">
        <v>13</v>
      </c>
      <c r="F22871" s="4" t="s">
        <v>7</v>
      </c>
    </row>
    <row r="22872" spans="1:9">
      <c r="A22872" t="n">
        <v>219154</v>
      </c>
      <c r="B22872" s="65" t="n">
        <v>52</v>
      </c>
      <c r="C22872" s="7" t="n">
        <v>1</v>
      </c>
      <c r="D22872" s="7" t="n">
        <v>255</v>
      </c>
      <c r="E22872" s="7" t="n">
        <v>5</v>
      </c>
      <c r="F22872" s="7" t="n">
        <v>0</v>
      </c>
    </row>
    <row r="22873" spans="1:9">
      <c r="A22873" t="s">
        <v>4</v>
      </c>
      <c r="B22873" s="4" t="s">
        <v>5</v>
      </c>
      <c r="C22873" s="4" t="s">
        <v>11</v>
      </c>
    </row>
    <row r="22874" spans="1:9">
      <c r="A22874" t="n">
        <v>219166</v>
      </c>
      <c r="B22874" s="66" t="n">
        <v>54</v>
      </c>
      <c r="C22874" s="7" t="n">
        <v>0</v>
      </c>
    </row>
    <row r="22875" spans="1:9">
      <c r="A22875" t="s">
        <v>4</v>
      </c>
      <c r="B22875" s="4" t="s">
        <v>5</v>
      </c>
      <c r="C22875" s="4" t="s">
        <v>11</v>
      </c>
      <c r="D22875" s="4" t="s">
        <v>11</v>
      </c>
      <c r="E22875" s="4" t="s">
        <v>13</v>
      </c>
      <c r="F22875" s="4" t="s">
        <v>13</v>
      </c>
      <c r="G22875" s="4" t="s">
        <v>13</v>
      </c>
      <c r="H22875" s="4" t="s">
        <v>13</v>
      </c>
      <c r="I22875" s="4" t="s">
        <v>7</v>
      </c>
      <c r="J22875" s="4" t="s">
        <v>11</v>
      </c>
    </row>
    <row r="22876" spans="1:9">
      <c r="A22876" t="n">
        <v>219169</v>
      </c>
      <c r="B22876" s="53" t="n">
        <v>55</v>
      </c>
      <c r="C22876" s="7" t="n">
        <v>0</v>
      </c>
      <c r="D22876" s="7" t="n">
        <v>65024</v>
      </c>
      <c r="E22876" s="7" t="n">
        <v>0</v>
      </c>
      <c r="F22876" s="7" t="n">
        <v>0</v>
      </c>
      <c r="G22876" s="7" t="n">
        <v>6</v>
      </c>
      <c r="H22876" s="7" t="n">
        <v>1.20000004768372</v>
      </c>
      <c r="I22876" s="7" t="n">
        <v>1</v>
      </c>
      <c r="J22876" s="7" t="n">
        <v>0</v>
      </c>
    </row>
    <row r="22877" spans="1:9">
      <c r="A22877" t="s">
        <v>4</v>
      </c>
      <c r="B22877" s="4" t="s">
        <v>5</v>
      </c>
      <c r="C22877" s="4" t="s">
        <v>11</v>
      </c>
    </row>
    <row r="22878" spans="1:9">
      <c r="A22878" t="n">
        <v>219193</v>
      </c>
      <c r="B22878" s="66" t="n">
        <v>54</v>
      </c>
      <c r="C22878" s="7" t="n">
        <v>1</v>
      </c>
    </row>
    <row r="22879" spans="1:9">
      <c r="A22879" t="s">
        <v>4</v>
      </c>
      <c r="B22879" s="4" t="s">
        <v>5</v>
      </c>
      <c r="C22879" s="4" t="s">
        <v>11</v>
      </c>
    </row>
    <row r="22880" spans="1:9">
      <c r="A22880" t="n">
        <v>219196</v>
      </c>
      <c r="B22880" s="29" t="n">
        <v>16</v>
      </c>
      <c r="C22880" s="7" t="n">
        <v>200</v>
      </c>
    </row>
    <row r="22881" spans="1:10">
      <c r="A22881" t="s">
        <v>4</v>
      </c>
      <c r="B22881" s="4" t="s">
        <v>5</v>
      </c>
      <c r="C22881" s="4" t="s">
        <v>11</v>
      </c>
      <c r="D22881" s="4" t="s">
        <v>11</v>
      </c>
      <c r="E22881" s="4" t="s">
        <v>13</v>
      </c>
      <c r="F22881" s="4" t="s">
        <v>13</v>
      </c>
      <c r="G22881" s="4" t="s">
        <v>13</v>
      </c>
      <c r="H22881" s="4" t="s">
        <v>13</v>
      </c>
      <c r="I22881" s="4" t="s">
        <v>7</v>
      </c>
      <c r="J22881" s="4" t="s">
        <v>11</v>
      </c>
    </row>
    <row r="22882" spans="1:10">
      <c r="A22882" t="n">
        <v>219199</v>
      </c>
      <c r="B22882" s="53" t="n">
        <v>55</v>
      </c>
      <c r="C22882" s="7" t="n">
        <v>1</v>
      </c>
      <c r="D22882" s="7" t="n">
        <v>65024</v>
      </c>
      <c r="E22882" s="7" t="n">
        <v>0</v>
      </c>
      <c r="F22882" s="7" t="n">
        <v>0</v>
      </c>
      <c r="G22882" s="7" t="n">
        <v>6</v>
      </c>
      <c r="H22882" s="7" t="n">
        <v>1.20000004768372</v>
      </c>
      <c r="I22882" s="7" t="n">
        <v>1</v>
      </c>
      <c r="J22882" s="7" t="n">
        <v>0</v>
      </c>
    </row>
    <row r="22883" spans="1:10">
      <c r="A22883" t="s">
        <v>4</v>
      </c>
      <c r="B22883" s="4" t="s">
        <v>5</v>
      </c>
      <c r="C22883" s="4" t="s">
        <v>11</v>
      </c>
    </row>
    <row r="22884" spans="1:10">
      <c r="A22884" t="n">
        <v>219223</v>
      </c>
      <c r="B22884" s="29" t="n">
        <v>16</v>
      </c>
      <c r="C22884" s="7" t="n">
        <v>2000</v>
      </c>
    </row>
    <row r="22885" spans="1:10">
      <c r="A22885" t="s">
        <v>4</v>
      </c>
      <c r="B22885" s="4" t="s">
        <v>5</v>
      </c>
      <c r="C22885" s="4" t="s">
        <v>7</v>
      </c>
      <c r="D22885" s="4" t="s">
        <v>11</v>
      </c>
      <c r="E22885" s="4" t="s">
        <v>13</v>
      </c>
    </row>
    <row r="22886" spans="1:10">
      <c r="A22886" t="n">
        <v>219226</v>
      </c>
      <c r="B22886" s="23" t="n">
        <v>58</v>
      </c>
      <c r="C22886" s="7" t="n">
        <v>0</v>
      </c>
      <c r="D22886" s="7" t="n">
        <v>1000</v>
      </c>
      <c r="E22886" s="7" t="n">
        <v>1</v>
      </c>
    </row>
    <row r="22887" spans="1:10">
      <c r="A22887" t="s">
        <v>4</v>
      </c>
      <c r="B22887" s="4" t="s">
        <v>5</v>
      </c>
      <c r="C22887" s="4" t="s">
        <v>7</v>
      </c>
      <c r="D22887" s="4" t="s">
        <v>11</v>
      </c>
    </row>
    <row r="22888" spans="1:10">
      <c r="A22888" t="n">
        <v>219234</v>
      </c>
      <c r="B22888" s="23" t="n">
        <v>58</v>
      </c>
      <c r="C22888" s="7" t="n">
        <v>255</v>
      </c>
      <c r="D22888" s="7" t="n">
        <v>0</v>
      </c>
    </row>
    <row r="22889" spans="1:10">
      <c r="A22889" t="s">
        <v>4</v>
      </c>
      <c r="B22889" s="4" t="s">
        <v>5</v>
      </c>
      <c r="C22889" s="4" t="s">
        <v>11</v>
      </c>
      <c r="D22889" s="4" t="s">
        <v>7</v>
      </c>
    </row>
    <row r="22890" spans="1:10">
      <c r="A22890" t="n">
        <v>219238</v>
      </c>
      <c r="B22890" s="54" t="n">
        <v>56</v>
      </c>
      <c r="C22890" s="7" t="n">
        <v>0</v>
      </c>
      <c r="D22890" s="7" t="n">
        <v>1</v>
      </c>
    </row>
    <row r="22891" spans="1:10">
      <c r="A22891" t="s">
        <v>4</v>
      </c>
      <c r="B22891" s="4" t="s">
        <v>5</v>
      </c>
      <c r="C22891" s="4" t="s">
        <v>11</v>
      </c>
      <c r="D22891" s="4" t="s">
        <v>7</v>
      </c>
    </row>
    <row r="22892" spans="1:10">
      <c r="A22892" t="n">
        <v>219242</v>
      </c>
      <c r="B22892" s="54" t="n">
        <v>56</v>
      </c>
      <c r="C22892" s="7" t="n">
        <v>1</v>
      </c>
      <c r="D22892" s="7" t="n">
        <v>1</v>
      </c>
    </row>
    <row r="22893" spans="1:10">
      <c r="A22893" t="s">
        <v>4</v>
      </c>
      <c r="B22893" s="4" t="s">
        <v>5</v>
      </c>
      <c r="C22893" s="4" t="s">
        <v>11</v>
      </c>
      <c r="D22893" s="4" t="s">
        <v>13</v>
      </c>
      <c r="E22893" s="4" t="s">
        <v>13</v>
      </c>
      <c r="F22893" s="4" t="s">
        <v>13</v>
      </c>
      <c r="G22893" s="4" t="s">
        <v>13</v>
      </c>
    </row>
    <row r="22894" spans="1:10">
      <c r="A22894" t="n">
        <v>219246</v>
      </c>
      <c r="B22894" s="36" t="n">
        <v>46</v>
      </c>
      <c r="C22894" s="7" t="n">
        <v>0</v>
      </c>
      <c r="D22894" s="7" t="n">
        <v>-2.77999997138977</v>
      </c>
      <c r="E22894" s="7" t="n">
        <v>10.0100002288818</v>
      </c>
      <c r="F22894" s="7" t="n">
        <v>47.6399993896484</v>
      </c>
      <c r="G22894" s="7" t="n">
        <v>96</v>
      </c>
    </row>
    <row r="22895" spans="1:10">
      <c r="A22895" t="s">
        <v>4</v>
      </c>
      <c r="B22895" s="4" t="s">
        <v>5</v>
      </c>
      <c r="C22895" s="4" t="s">
        <v>11</v>
      </c>
      <c r="D22895" s="4" t="s">
        <v>13</v>
      </c>
      <c r="E22895" s="4" t="s">
        <v>13</v>
      </c>
      <c r="F22895" s="4" t="s">
        <v>13</v>
      </c>
      <c r="G22895" s="4" t="s">
        <v>13</v>
      </c>
    </row>
    <row r="22896" spans="1:10">
      <c r="A22896" t="n">
        <v>219265</v>
      </c>
      <c r="B22896" s="36" t="n">
        <v>46</v>
      </c>
      <c r="C22896" s="7" t="n">
        <v>1</v>
      </c>
      <c r="D22896" s="7" t="n">
        <v>-1.98000001907349</v>
      </c>
      <c r="E22896" s="7" t="n">
        <v>10.0100002288818</v>
      </c>
      <c r="F22896" s="7" t="n">
        <v>48.060001373291</v>
      </c>
      <c r="G22896" s="7" t="n">
        <v>90.1999969482422</v>
      </c>
    </row>
    <row r="22897" spans="1:10">
      <c r="A22897" t="s">
        <v>4</v>
      </c>
      <c r="B22897" s="4" t="s">
        <v>5</v>
      </c>
      <c r="C22897" s="4" t="s">
        <v>11</v>
      </c>
      <c r="D22897" s="4" t="s">
        <v>11</v>
      </c>
      <c r="E22897" s="4" t="s">
        <v>11</v>
      </c>
    </row>
    <row r="22898" spans="1:10">
      <c r="A22898" t="n">
        <v>219284</v>
      </c>
      <c r="B22898" s="72" t="n">
        <v>61</v>
      </c>
      <c r="C22898" s="7" t="n">
        <v>0</v>
      </c>
      <c r="D22898" s="7" t="n">
        <v>65533</v>
      </c>
      <c r="E22898" s="7" t="n">
        <v>0</v>
      </c>
    </row>
    <row r="22899" spans="1:10">
      <c r="A22899" t="s">
        <v>4</v>
      </c>
      <c r="B22899" s="4" t="s">
        <v>5</v>
      </c>
      <c r="C22899" s="4" t="s">
        <v>11</v>
      </c>
      <c r="D22899" s="4" t="s">
        <v>11</v>
      </c>
      <c r="E22899" s="4" t="s">
        <v>11</v>
      </c>
    </row>
    <row r="22900" spans="1:10">
      <c r="A22900" t="n">
        <v>219291</v>
      </c>
      <c r="B22900" s="72" t="n">
        <v>61</v>
      </c>
      <c r="C22900" s="7" t="n">
        <v>1</v>
      </c>
      <c r="D22900" s="7" t="n">
        <v>65533</v>
      </c>
      <c r="E22900" s="7" t="n">
        <v>0</v>
      </c>
    </row>
    <row r="22901" spans="1:10">
      <c r="A22901" t="s">
        <v>4</v>
      </c>
      <c r="B22901" s="4" t="s">
        <v>5</v>
      </c>
      <c r="C22901" s="4" t="s">
        <v>7</v>
      </c>
      <c r="D22901" s="4" t="s">
        <v>7</v>
      </c>
      <c r="E22901" s="4" t="s">
        <v>13</v>
      </c>
      <c r="F22901" s="4" t="s">
        <v>13</v>
      </c>
      <c r="G22901" s="4" t="s">
        <v>13</v>
      </c>
      <c r="H22901" s="4" t="s">
        <v>11</v>
      </c>
    </row>
    <row r="22902" spans="1:10">
      <c r="A22902" t="n">
        <v>219298</v>
      </c>
      <c r="B22902" s="51" t="n">
        <v>45</v>
      </c>
      <c r="C22902" s="7" t="n">
        <v>2</v>
      </c>
      <c r="D22902" s="7" t="n">
        <v>3</v>
      </c>
      <c r="E22902" s="7" t="n">
        <v>3.94000005722046</v>
      </c>
      <c r="F22902" s="7" t="n">
        <v>11.8299999237061</v>
      </c>
      <c r="G22902" s="7" t="n">
        <v>48.8800010681152</v>
      </c>
      <c r="H22902" s="7" t="n">
        <v>0</v>
      </c>
    </row>
    <row r="22903" spans="1:10">
      <c r="A22903" t="s">
        <v>4</v>
      </c>
      <c r="B22903" s="4" t="s">
        <v>5</v>
      </c>
      <c r="C22903" s="4" t="s">
        <v>7</v>
      </c>
      <c r="D22903" s="4" t="s">
        <v>7</v>
      </c>
      <c r="E22903" s="4" t="s">
        <v>13</v>
      </c>
      <c r="F22903" s="4" t="s">
        <v>13</v>
      </c>
      <c r="G22903" s="4" t="s">
        <v>13</v>
      </c>
      <c r="H22903" s="4" t="s">
        <v>11</v>
      </c>
      <c r="I22903" s="4" t="s">
        <v>7</v>
      </c>
    </row>
    <row r="22904" spans="1:10">
      <c r="A22904" t="n">
        <v>219315</v>
      </c>
      <c r="B22904" s="51" t="n">
        <v>45</v>
      </c>
      <c r="C22904" s="7" t="n">
        <v>4</v>
      </c>
      <c r="D22904" s="7" t="n">
        <v>3</v>
      </c>
      <c r="E22904" s="7" t="n">
        <v>356.399993896484</v>
      </c>
      <c r="F22904" s="7" t="n">
        <v>282.329986572266</v>
      </c>
      <c r="G22904" s="7" t="n">
        <v>0</v>
      </c>
      <c r="H22904" s="7" t="n">
        <v>0</v>
      </c>
      <c r="I22904" s="7" t="n">
        <v>0</v>
      </c>
    </row>
    <row r="22905" spans="1:10">
      <c r="A22905" t="s">
        <v>4</v>
      </c>
      <c r="B22905" s="4" t="s">
        <v>5</v>
      </c>
      <c r="C22905" s="4" t="s">
        <v>7</v>
      </c>
      <c r="D22905" s="4" t="s">
        <v>7</v>
      </c>
      <c r="E22905" s="4" t="s">
        <v>13</v>
      </c>
      <c r="F22905" s="4" t="s">
        <v>11</v>
      </c>
    </row>
    <row r="22906" spans="1:10">
      <c r="A22906" t="n">
        <v>219333</v>
      </c>
      <c r="B22906" s="51" t="n">
        <v>45</v>
      </c>
      <c r="C22906" s="7" t="n">
        <v>5</v>
      </c>
      <c r="D22906" s="7" t="n">
        <v>3</v>
      </c>
      <c r="E22906" s="7" t="n">
        <v>4.40000009536743</v>
      </c>
      <c r="F22906" s="7" t="n">
        <v>0</v>
      </c>
    </row>
    <row r="22907" spans="1:10">
      <c r="A22907" t="s">
        <v>4</v>
      </c>
      <c r="B22907" s="4" t="s">
        <v>5</v>
      </c>
      <c r="C22907" s="4" t="s">
        <v>7</v>
      </c>
      <c r="D22907" s="4" t="s">
        <v>7</v>
      </c>
      <c r="E22907" s="4" t="s">
        <v>13</v>
      </c>
      <c r="F22907" s="4" t="s">
        <v>11</v>
      </c>
    </row>
    <row r="22908" spans="1:10">
      <c r="A22908" t="n">
        <v>219342</v>
      </c>
      <c r="B22908" s="51" t="n">
        <v>45</v>
      </c>
      <c r="C22908" s="7" t="n">
        <v>11</v>
      </c>
      <c r="D22908" s="7" t="n">
        <v>3</v>
      </c>
      <c r="E22908" s="7" t="n">
        <v>34</v>
      </c>
      <c r="F22908" s="7" t="n">
        <v>0</v>
      </c>
    </row>
    <row r="22909" spans="1:10">
      <c r="A22909" t="s">
        <v>4</v>
      </c>
      <c r="B22909" s="4" t="s">
        <v>5</v>
      </c>
      <c r="C22909" s="4" t="s">
        <v>7</v>
      </c>
      <c r="D22909" s="4" t="s">
        <v>7</v>
      </c>
      <c r="E22909" s="4" t="s">
        <v>13</v>
      </c>
      <c r="F22909" s="4" t="s">
        <v>13</v>
      </c>
      <c r="G22909" s="4" t="s">
        <v>13</v>
      </c>
      <c r="H22909" s="4" t="s">
        <v>11</v>
      </c>
    </row>
    <row r="22910" spans="1:10">
      <c r="A22910" t="n">
        <v>219351</v>
      </c>
      <c r="B22910" s="51" t="n">
        <v>45</v>
      </c>
      <c r="C22910" s="7" t="n">
        <v>2</v>
      </c>
      <c r="D22910" s="7" t="n">
        <v>3</v>
      </c>
      <c r="E22910" s="7" t="n">
        <v>-1.36000001430511</v>
      </c>
      <c r="F22910" s="7" t="n">
        <v>11.1700000762939</v>
      </c>
      <c r="G22910" s="7" t="n">
        <v>47.4199981689453</v>
      </c>
      <c r="H22910" s="7" t="n">
        <v>6000</v>
      </c>
    </row>
    <row r="22911" spans="1:10">
      <c r="A22911" t="s">
        <v>4</v>
      </c>
      <c r="B22911" s="4" t="s">
        <v>5</v>
      </c>
      <c r="C22911" s="4" t="s">
        <v>7</v>
      </c>
      <c r="D22911" s="4" t="s">
        <v>7</v>
      </c>
      <c r="E22911" s="4" t="s">
        <v>13</v>
      </c>
      <c r="F22911" s="4" t="s">
        <v>13</v>
      </c>
      <c r="G22911" s="4" t="s">
        <v>13</v>
      </c>
      <c r="H22911" s="4" t="s">
        <v>11</v>
      </c>
      <c r="I22911" s="4" t="s">
        <v>7</v>
      </c>
    </row>
    <row r="22912" spans="1:10">
      <c r="A22912" t="n">
        <v>219368</v>
      </c>
      <c r="B22912" s="51" t="n">
        <v>45</v>
      </c>
      <c r="C22912" s="7" t="n">
        <v>4</v>
      </c>
      <c r="D22912" s="7" t="n">
        <v>3</v>
      </c>
      <c r="E22912" s="7" t="n">
        <v>358.589996337891</v>
      </c>
      <c r="F22912" s="7" t="n">
        <v>319.309997558594</v>
      </c>
      <c r="G22912" s="7" t="n">
        <v>0</v>
      </c>
      <c r="H22912" s="7" t="n">
        <v>6000</v>
      </c>
      <c r="I22912" s="7" t="n">
        <v>1</v>
      </c>
    </row>
    <row r="22913" spans="1:9">
      <c r="A22913" t="s">
        <v>4</v>
      </c>
      <c r="B22913" s="4" t="s">
        <v>5</v>
      </c>
      <c r="C22913" s="4" t="s">
        <v>7</v>
      </c>
      <c r="D22913" s="4" t="s">
        <v>7</v>
      </c>
      <c r="E22913" s="4" t="s">
        <v>13</v>
      </c>
      <c r="F22913" s="4" t="s">
        <v>11</v>
      </c>
    </row>
    <row r="22914" spans="1:9">
      <c r="A22914" t="n">
        <v>219386</v>
      </c>
      <c r="B22914" s="51" t="n">
        <v>45</v>
      </c>
      <c r="C22914" s="7" t="n">
        <v>5</v>
      </c>
      <c r="D22914" s="7" t="n">
        <v>3</v>
      </c>
      <c r="E22914" s="7" t="n">
        <v>3.59999990463257</v>
      </c>
      <c r="F22914" s="7" t="n">
        <v>6000</v>
      </c>
    </row>
    <row r="22915" spans="1:9">
      <c r="A22915" t="s">
        <v>4</v>
      </c>
      <c r="B22915" s="4" t="s">
        <v>5</v>
      </c>
      <c r="C22915" s="4" t="s">
        <v>7</v>
      </c>
      <c r="D22915" s="4" t="s">
        <v>11</v>
      </c>
      <c r="E22915" s="4" t="s">
        <v>13</v>
      </c>
    </row>
    <row r="22916" spans="1:9">
      <c r="A22916" t="n">
        <v>219395</v>
      </c>
      <c r="B22916" s="23" t="n">
        <v>58</v>
      </c>
      <c r="C22916" s="7" t="n">
        <v>100</v>
      </c>
      <c r="D22916" s="7" t="n">
        <v>1000</v>
      </c>
      <c r="E22916" s="7" t="n">
        <v>1</v>
      </c>
    </row>
    <row r="22917" spans="1:9">
      <c r="A22917" t="s">
        <v>4</v>
      </c>
      <c r="B22917" s="4" t="s">
        <v>5</v>
      </c>
      <c r="C22917" s="4" t="s">
        <v>7</v>
      </c>
      <c r="D22917" s="4" t="s">
        <v>11</v>
      </c>
    </row>
    <row r="22918" spans="1:9">
      <c r="A22918" t="n">
        <v>219403</v>
      </c>
      <c r="B22918" s="23" t="n">
        <v>58</v>
      </c>
      <c r="C22918" s="7" t="n">
        <v>255</v>
      </c>
      <c r="D22918" s="7" t="n">
        <v>0</v>
      </c>
    </row>
    <row r="22919" spans="1:9">
      <c r="A22919" t="s">
        <v>4</v>
      </c>
      <c r="B22919" s="4" t="s">
        <v>5</v>
      </c>
      <c r="C22919" s="4" t="s">
        <v>8</v>
      </c>
      <c r="D22919" s="4" t="s">
        <v>8</v>
      </c>
    </row>
    <row r="22920" spans="1:9">
      <c r="A22920" t="n">
        <v>219407</v>
      </c>
      <c r="B22920" s="52" t="n">
        <v>70</v>
      </c>
      <c r="C22920" s="7" t="s">
        <v>303</v>
      </c>
      <c r="D22920" s="7" t="s">
        <v>109</v>
      </c>
    </row>
    <row r="22921" spans="1:9">
      <c r="A22921" t="s">
        <v>4</v>
      </c>
      <c r="B22921" s="4" t="s">
        <v>5</v>
      </c>
      <c r="C22921" s="4" t="s">
        <v>11</v>
      </c>
    </row>
    <row r="22922" spans="1:9">
      <c r="A22922" t="n">
        <v>219424</v>
      </c>
      <c r="B22922" s="29" t="n">
        <v>16</v>
      </c>
      <c r="C22922" s="7" t="n">
        <v>2000</v>
      </c>
    </row>
    <row r="22923" spans="1:9">
      <c r="A22923" t="s">
        <v>4</v>
      </c>
      <c r="B22923" s="4" t="s">
        <v>5</v>
      </c>
      <c r="C22923" s="4" t="s">
        <v>11</v>
      </c>
      <c r="D22923" s="4" t="s">
        <v>7</v>
      </c>
      <c r="E22923" s="4" t="s">
        <v>13</v>
      </c>
      <c r="F22923" s="4" t="s">
        <v>11</v>
      </c>
    </row>
    <row r="22924" spans="1:9">
      <c r="A22924" t="n">
        <v>219427</v>
      </c>
      <c r="B22924" s="56" t="n">
        <v>59</v>
      </c>
      <c r="C22924" s="7" t="n">
        <v>1</v>
      </c>
      <c r="D22924" s="7" t="n">
        <v>9</v>
      </c>
      <c r="E22924" s="7" t="n">
        <v>0.150000005960464</v>
      </c>
      <c r="F22924" s="7" t="n">
        <v>0</v>
      </c>
    </row>
    <row r="22925" spans="1:9">
      <c r="A22925" t="s">
        <v>4</v>
      </c>
      <c r="B22925" s="4" t="s">
        <v>5</v>
      </c>
      <c r="C22925" s="4" t="s">
        <v>11</v>
      </c>
      <c r="D22925" s="4" t="s">
        <v>13</v>
      </c>
      <c r="E22925" s="4" t="s">
        <v>13</v>
      </c>
      <c r="F22925" s="4" t="s">
        <v>13</v>
      </c>
      <c r="G22925" s="4" t="s">
        <v>11</v>
      </c>
      <c r="H22925" s="4" t="s">
        <v>11</v>
      </c>
    </row>
    <row r="22926" spans="1:9">
      <c r="A22926" t="n">
        <v>219437</v>
      </c>
      <c r="B22926" s="37" t="n">
        <v>60</v>
      </c>
      <c r="C22926" s="7" t="n">
        <v>1</v>
      </c>
      <c r="D22926" s="7" t="n">
        <v>-45</v>
      </c>
      <c r="E22926" s="7" t="n">
        <v>0</v>
      </c>
      <c r="F22926" s="7" t="n">
        <v>0</v>
      </c>
      <c r="G22926" s="7" t="n">
        <v>1000</v>
      </c>
      <c r="H22926" s="7" t="n">
        <v>0</v>
      </c>
    </row>
    <row r="22927" spans="1:9">
      <c r="A22927" t="s">
        <v>4</v>
      </c>
      <c r="B22927" s="4" t="s">
        <v>5</v>
      </c>
      <c r="C22927" s="4" t="s">
        <v>11</v>
      </c>
    </row>
    <row r="22928" spans="1:9">
      <c r="A22928" t="n">
        <v>219456</v>
      </c>
      <c r="B22928" s="29" t="n">
        <v>16</v>
      </c>
      <c r="C22928" s="7" t="n">
        <v>1000</v>
      </c>
    </row>
    <row r="22929" spans="1:8">
      <c r="A22929" t="s">
        <v>4</v>
      </c>
      <c r="B22929" s="4" t="s">
        <v>5</v>
      </c>
      <c r="C22929" s="4" t="s">
        <v>11</v>
      </c>
      <c r="D22929" s="4" t="s">
        <v>13</v>
      </c>
      <c r="E22929" s="4" t="s">
        <v>13</v>
      </c>
      <c r="F22929" s="4" t="s">
        <v>13</v>
      </c>
      <c r="G22929" s="4" t="s">
        <v>11</v>
      </c>
      <c r="H22929" s="4" t="s">
        <v>11</v>
      </c>
    </row>
    <row r="22930" spans="1:8">
      <c r="A22930" t="n">
        <v>219459</v>
      </c>
      <c r="B22930" s="37" t="n">
        <v>60</v>
      </c>
      <c r="C22930" s="7" t="n">
        <v>1</v>
      </c>
      <c r="D22930" s="7" t="n">
        <v>45</v>
      </c>
      <c r="E22930" s="7" t="n">
        <v>0</v>
      </c>
      <c r="F22930" s="7" t="n">
        <v>0</v>
      </c>
      <c r="G22930" s="7" t="n">
        <v>1000</v>
      </c>
      <c r="H22930" s="7" t="n">
        <v>0</v>
      </c>
    </row>
    <row r="22931" spans="1:8">
      <c r="A22931" t="s">
        <v>4</v>
      </c>
      <c r="B22931" s="4" t="s">
        <v>5</v>
      </c>
      <c r="C22931" s="4" t="s">
        <v>11</v>
      </c>
    </row>
    <row r="22932" spans="1:8">
      <c r="A22932" t="n">
        <v>219478</v>
      </c>
      <c r="B22932" s="29" t="n">
        <v>16</v>
      </c>
      <c r="C22932" s="7" t="n">
        <v>1000</v>
      </c>
    </row>
    <row r="22933" spans="1:8">
      <c r="A22933" t="s">
        <v>4</v>
      </c>
      <c r="B22933" s="4" t="s">
        <v>5</v>
      </c>
      <c r="C22933" s="4" t="s">
        <v>11</v>
      </c>
      <c r="D22933" s="4" t="s">
        <v>13</v>
      </c>
      <c r="E22933" s="4" t="s">
        <v>13</v>
      </c>
      <c r="F22933" s="4" t="s">
        <v>13</v>
      </c>
      <c r="G22933" s="4" t="s">
        <v>11</v>
      </c>
      <c r="H22933" s="4" t="s">
        <v>11</v>
      </c>
    </row>
    <row r="22934" spans="1:8">
      <c r="A22934" t="n">
        <v>219481</v>
      </c>
      <c r="B22934" s="37" t="n">
        <v>60</v>
      </c>
      <c r="C22934" s="7" t="n">
        <v>1</v>
      </c>
      <c r="D22934" s="7" t="n">
        <v>0</v>
      </c>
      <c r="E22934" s="7" t="n">
        <v>0</v>
      </c>
      <c r="F22934" s="7" t="n">
        <v>0</v>
      </c>
      <c r="G22934" s="7" t="n">
        <v>500</v>
      </c>
      <c r="H22934" s="7" t="n">
        <v>0</v>
      </c>
    </row>
    <row r="22935" spans="1:8">
      <c r="A22935" t="s">
        <v>4</v>
      </c>
      <c r="B22935" s="4" t="s">
        <v>5</v>
      </c>
      <c r="C22935" s="4" t="s">
        <v>11</v>
      </c>
    </row>
    <row r="22936" spans="1:8">
      <c r="A22936" t="n">
        <v>219500</v>
      </c>
      <c r="B22936" s="29" t="n">
        <v>16</v>
      </c>
      <c r="C22936" s="7" t="n">
        <v>1000</v>
      </c>
    </row>
    <row r="22937" spans="1:8">
      <c r="A22937" t="s">
        <v>4</v>
      </c>
      <c r="B22937" s="4" t="s">
        <v>5</v>
      </c>
      <c r="C22937" s="4" t="s">
        <v>7</v>
      </c>
      <c r="D22937" s="4" t="s">
        <v>11</v>
      </c>
    </row>
    <row r="22938" spans="1:8">
      <c r="A22938" t="n">
        <v>219503</v>
      </c>
      <c r="B22938" s="51" t="n">
        <v>45</v>
      </c>
      <c r="C22938" s="7" t="n">
        <v>7</v>
      </c>
      <c r="D22938" s="7" t="n">
        <v>255</v>
      </c>
    </row>
    <row r="22939" spans="1:8">
      <c r="A22939" t="s">
        <v>4</v>
      </c>
      <c r="B22939" s="4" t="s">
        <v>5</v>
      </c>
      <c r="C22939" s="4" t="s">
        <v>7</v>
      </c>
      <c r="D22939" s="4" t="s">
        <v>11</v>
      </c>
      <c r="E22939" s="4" t="s">
        <v>13</v>
      </c>
    </row>
    <row r="22940" spans="1:8">
      <c r="A22940" t="n">
        <v>219507</v>
      </c>
      <c r="B22940" s="23" t="n">
        <v>58</v>
      </c>
      <c r="C22940" s="7" t="n">
        <v>0</v>
      </c>
      <c r="D22940" s="7" t="n">
        <v>1000</v>
      </c>
      <c r="E22940" s="7" t="n">
        <v>1</v>
      </c>
    </row>
    <row r="22941" spans="1:8">
      <c r="A22941" t="s">
        <v>4</v>
      </c>
      <c r="B22941" s="4" t="s">
        <v>5</v>
      </c>
      <c r="C22941" s="4" t="s">
        <v>7</v>
      </c>
      <c r="D22941" s="4" t="s">
        <v>11</v>
      </c>
    </row>
    <row r="22942" spans="1:8">
      <c r="A22942" t="n">
        <v>219515</v>
      </c>
      <c r="B22942" s="23" t="n">
        <v>58</v>
      </c>
      <c r="C22942" s="7" t="n">
        <v>255</v>
      </c>
      <c r="D22942" s="7" t="n">
        <v>0</v>
      </c>
    </row>
    <row r="22943" spans="1:8">
      <c r="A22943" t="s">
        <v>4</v>
      </c>
      <c r="B22943" s="4" t="s">
        <v>5</v>
      </c>
      <c r="C22943" s="4" t="s">
        <v>11</v>
      </c>
      <c r="D22943" s="4" t="s">
        <v>11</v>
      </c>
      <c r="E22943" s="4" t="s">
        <v>11</v>
      </c>
    </row>
    <row r="22944" spans="1:8">
      <c r="A22944" t="n">
        <v>219519</v>
      </c>
      <c r="B22944" s="72" t="n">
        <v>61</v>
      </c>
      <c r="C22944" s="7" t="n">
        <v>0</v>
      </c>
      <c r="D22944" s="7" t="n">
        <v>65533</v>
      </c>
      <c r="E22944" s="7" t="n">
        <v>1000</v>
      </c>
    </row>
    <row r="22945" spans="1:8">
      <c r="A22945" t="s">
        <v>4</v>
      </c>
      <c r="B22945" s="4" t="s">
        <v>5</v>
      </c>
      <c r="C22945" s="4" t="s">
        <v>11</v>
      </c>
      <c r="D22945" s="4" t="s">
        <v>11</v>
      </c>
      <c r="E22945" s="4" t="s">
        <v>11</v>
      </c>
    </row>
    <row r="22946" spans="1:8">
      <c r="A22946" t="n">
        <v>219526</v>
      </c>
      <c r="B22946" s="72" t="n">
        <v>61</v>
      </c>
      <c r="C22946" s="7" t="n">
        <v>1</v>
      </c>
      <c r="D22946" s="7" t="n">
        <v>65533</v>
      </c>
      <c r="E22946" s="7" t="n">
        <v>1000</v>
      </c>
    </row>
    <row r="22947" spans="1:8">
      <c r="A22947" t="s">
        <v>4</v>
      </c>
      <c r="B22947" s="4" t="s">
        <v>5</v>
      </c>
      <c r="C22947" s="4" t="s">
        <v>11</v>
      </c>
      <c r="D22947" s="4" t="s">
        <v>13</v>
      </c>
      <c r="E22947" s="4" t="s">
        <v>13</v>
      </c>
      <c r="F22947" s="4" t="s">
        <v>13</v>
      </c>
      <c r="G22947" s="4" t="s">
        <v>13</v>
      </c>
    </row>
    <row r="22948" spans="1:8">
      <c r="A22948" t="n">
        <v>219533</v>
      </c>
      <c r="B22948" s="36" t="n">
        <v>46</v>
      </c>
      <c r="C22948" s="7" t="n">
        <v>0</v>
      </c>
      <c r="D22948" s="7" t="n">
        <v>-2.66000008583069</v>
      </c>
      <c r="E22948" s="7" t="n">
        <v>5.01000022888184</v>
      </c>
      <c r="F22948" s="7" t="n">
        <v>32.189998626709</v>
      </c>
      <c r="G22948" s="7" t="n">
        <v>90</v>
      </c>
    </row>
    <row r="22949" spans="1:8">
      <c r="A22949" t="s">
        <v>4</v>
      </c>
      <c r="B22949" s="4" t="s">
        <v>5</v>
      </c>
      <c r="C22949" s="4" t="s">
        <v>11</v>
      </c>
      <c r="D22949" s="4" t="s">
        <v>13</v>
      </c>
      <c r="E22949" s="4" t="s">
        <v>13</v>
      </c>
      <c r="F22949" s="4" t="s">
        <v>13</v>
      </c>
      <c r="G22949" s="4" t="s">
        <v>13</v>
      </c>
    </row>
    <row r="22950" spans="1:8">
      <c r="A22950" t="n">
        <v>219552</v>
      </c>
      <c r="B22950" s="36" t="n">
        <v>46</v>
      </c>
      <c r="C22950" s="7" t="n">
        <v>1</v>
      </c>
      <c r="D22950" s="7" t="n">
        <v>-3.16000008583069</v>
      </c>
      <c r="E22950" s="7" t="n">
        <v>5.01000022888184</v>
      </c>
      <c r="F22950" s="7" t="n">
        <v>31.7900009155273</v>
      </c>
      <c r="G22950" s="7" t="n">
        <v>90</v>
      </c>
    </row>
    <row r="22951" spans="1:8">
      <c r="A22951" t="s">
        <v>4</v>
      </c>
      <c r="B22951" s="4" t="s">
        <v>5</v>
      </c>
      <c r="C22951" s="4" t="s">
        <v>7</v>
      </c>
      <c r="D22951" s="4" t="s">
        <v>7</v>
      </c>
      <c r="E22951" s="4" t="s">
        <v>13</v>
      </c>
      <c r="F22951" s="4" t="s">
        <v>13</v>
      </c>
      <c r="G22951" s="4" t="s">
        <v>13</v>
      </c>
      <c r="H22951" s="4" t="s">
        <v>11</v>
      </c>
    </row>
    <row r="22952" spans="1:8">
      <c r="A22952" t="n">
        <v>219571</v>
      </c>
      <c r="B22952" s="51" t="n">
        <v>45</v>
      </c>
      <c r="C22952" s="7" t="n">
        <v>2</v>
      </c>
      <c r="D22952" s="7" t="n">
        <v>3</v>
      </c>
      <c r="E22952" s="7" t="n">
        <v>6.82000017166138</v>
      </c>
      <c r="F22952" s="7" t="n">
        <v>6.17999982833862</v>
      </c>
      <c r="G22952" s="7" t="n">
        <v>32.2799987792969</v>
      </c>
      <c r="H22952" s="7" t="n">
        <v>0</v>
      </c>
    </row>
    <row r="22953" spans="1:8">
      <c r="A22953" t="s">
        <v>4</v>
      </c>
      <c r="B22953" s="4" t="s">
        <v>5</v>
      </c>
      <c r="C22953" s="4" t="s">
        <v>7</v>
      </c>
      <c r="D22953" s="4" t="s">
        <v>7</v>
      </c>
      <c r="E22953" s="4" t="s">
        <v>13</v>
      </c>
      <c r="F22953" s="4" t="s">
        <v>13</v>
      </c>
      <c r="G22953" s="4" t="s">
        <v>13</v>
      </c>
      <c r="H22953" s="4" t="s">
        <v>11</v>
      </c>
      <c r="I22953" s="4" t="s">
        <v>7</v>
      </c>
    </row>
    <row r="22954" spans="1:8">
      <c r="A22954" t="n">
        <v>219588</v>
      </c>
      <c r="B22954" s="51" t="n">
        <v>45</v>
      </c>
      <c r="C22954" s="7" t="n">
        <v>4</v>
      </c>
      <c r="D22954" s="7" t="n">
        <v>3</v>
      </c>
      <c r="E22954" s="7" t="n">
        <v>358.239990234375</v>
      </c>
      <c r="F22954" s="7" t="n">
        <v>344.200012207031</v>
      </c>
      <c r="G22954" s="7" t="n">
        <v>0</v>
      </c>
      <c r="H22954" s="7" t="n">
        <v>0</v>
      </c>
      <c r="I22954" s="7" t="n">
        <v>0</v>
      </c>
    </row>
    <row r="22955" spans="1:8">
      <c r="A22955" t="s">
        <v>4</v>
      </c>
      <c r="B22955" s="4" t="s">
        <v>5</v>
      </c>
      <c r="C22955" s="4" t="s">
        <v>7</v>
      </c>
      <c r="D22955" s="4" t="s">
        <v>7</v>
      </c>
      <c r="E22955" s="4" t="s">
        <v>13</v>
      </c>
      <c r="F22955" s="4" t="s">
        <v>11</v>
      </c>
    </row>
    <row r="22956" spans="1:8">
      <c r="A22956" t="n">
        <v>219606</v>
      </c>
      <c r="B22956" s="51" t="n">
        <v>45</v>
      </c>
      <c r="C22956" s="7" t="n">
        <v>5</v>
      </c>
      <c r="D22956" s="7" t="n">
        <v>3</v>
      </c>
      <c r="E22956" s="7" t="n">
        <v>3.40000009536743</v>
      </c>
      <c r="F22956" s="7" t="n">
        <v>0</v>
      </c>
    </row>
    <row r="22957" spans="1:8">
      <c r="A22957" t="s">
        <v>4</v>
      </c>
      <c r="B22957" s="4" t="s">
        <v>5</v>
      </c>
      <c r="C22957" s="4" t="s">
        <v>7</v>
      </c>
      <c r="D22957" s="4" t="s">
        <v>7</v>
      </c>
      <c r="E22957" s="4" t="s">
        <v>13</v>
      </c>
      <c r="F22957" s="4" t="s">
        <v>11</v>
      </c>
    </row>
    <row r="22958" spans="1:8">
      <c r="A22958" t="n">
        <v>219615</v>
      </c>
      <c r="B22958" s="51" t="n">
        <v>45</v>
      </c>
      <c r="C22958" s="7" t="n">
        <v>11</v>
      </c>
      <c r="D22958" s="7" t="n">
        <v>3</v>
      </c>
      <c r="E22958" s="7" t="n">
        <v>40.2999992370605</v>
      </c>
      <c r="F22958" s="7" t="n">
        <v>0</v>
      </c>
    </row>
    <row r="22959" spans="1:8">
      <c r="A22959" t="s">
        <v>4</v>
      </c>
      <c r="B22959" s="4" t="s">
        <v>5</v>
      </c>
      <c r="C22959" s="4" t="s">
        <v>7</v>
      </c>
      <c r="D22959" s="4" t="s">
        <v>7</v>
      </c>
      <c r="E22959" s="4" t="s">
        <v>13</v>
      </c>
      <c r="F22959" s="4" t="s">
        <v>13</v>
      </c>
      <c r="G22959" s="4" t="s">
        <v>13</v>
      </c>
      <c r="H22959" s="4" t="s">
        <v>11</v>
      </c>
    </row>
    <row r="22960" spans="1:8">
      <c r="A22960" t="n">
        <v>219624</v>
      </c>
      <c r="B22960" s="51" t="n">
        <v>45</v>
      </c>
      <c r="C22960" s="7" t="n">
        <v>2</v>
      </c>
      <c r="D22960" s="7" t="n">
        <v>3</v>
      </c>
      <c r="E22960" s="7" t="n">
        <v>-2.55999994277954</v>
      </c>
      <c r="F22960" s="7" t="n">
        <v>6.17999982833862</v>
      </c>
      <c r="G22960" s="7" t="n">
        <v>32.1800003051758</v>
      </c>
      <c r="H22960" s="7" t="n">
        <v>6000</v>
      </c>
    </row>
    <row r="22961" spans="1:9">
      <c r="A22961" t="s">
        <v>4</v>
      </c>
      <c r="B22961" s="4" t="s">
        <v>5</v>
      </c>
      <c r="C22961" s="4" t="s">
        <v>7</v>
      </c>
      <c r="D22961" s="4" t="s">
        <v>7</v>
      </c>
      <c r="E22961" s="4" t="s">
        <v>13</v>
      </c>
      <c r="F22961" s="4" t="s">
        <v>13</v>
      </c>
      <c r="G22961" s="4" t="s">
        <v>13</v>
      </c>
      <c r="H22961" s="4" t="s">
        <v>11</v>
      </c>
      <c r="I22961" s="4" t="s">
        <v>7</v>
      </c>
    </row>
    <row r="22962" spans="1:9">
      <c r="A22962" t="n">
        <v>219641</v>
      </c>
      <c r="B22962" s="51" t="n">
        <v>45</v>
      </c>
      <c r="C22962" s="7" t="n">
        <v>4</v>
      </c>
      <c r="D22962" s="7" t="n">
        <v>3</v>
      </c>
      <c r="E22962" s="7" t="n">
        <v>12.2700004577637</v>
      </c>
      <c r="F22962" s="7" t="n">
        <v>75.7099990844727</v>
      </c>
      <c r="G22962" s="7" t="n">
        <v>0</v>
      </c>
      <c r="H22962" s="7" t="n">
        <v>6000</v>
      </c>
      <c r="I22962" s="7" t="n">
        <v>1</v>
      </c>
    </row>
    <row r="22963" spans="1:9">
      <c r="A22963" t="s">
        <v>4</v>
      </c>
      <c r="B22963" s="4" t="s">
        <v>5</v>
      </c>
      <c r="C22963" s="4" t="s">
        <v>7</v>
      </c>
      <c r="D22963" s="4" t="s">
        <v>7</v>
      </c>
      <c r="E22963" s="4" t="s">
        <v>13</v>
      </c>
      <c r="F22963" s="4" t="s">
        <v>11</v>
      </c>
    </row>
    <row r="22964" spans="1:9">
      <c r="A22964" t="n">
        <v>219659</v>
      </c>
      <c r="B22964" s="51" t="n">
        <v>45</v>
      </c>
      <c r="C22964" s="7" t="n">
        <v>5</v>
      </c>
      <c r="D22964" s="7" t="n">
        <v>3</v>
      </c>
      <c r="E22964" s="7" t="n">
        <v>2.70000004768372</v>
      </c>
      <c r="F22964" s="7" t="n">
        <v>6000</v>
      </c>
    </row>
    <row r="22965" spans="1:9">
      <c r="A22965" t="s">
        <v>4</v>
      </c>
      <c r="B22965" s="4" t="s">
        <v>5</v>
      </c>
      <c r="C22965" s="4" t="s">
        <v>7</v>
      </c>
      <c r="D22965" s="4" t="s">
        <v>11</v>
      </c>
      <c r="E22965" s="4" t="s">
        <v>13</v>
      </c>
    </row>
    <row r="22966" spans="1:9">
      <c r="A22966" t="n">
        <v>219668</v>
      </c>
      <c r="B22966" s="23" t="n">
        <v>58</v>
      </c>
      <c r="C22966" s="7" t="n">
        <v>100</v>
      </c>
      <c r="D22966" s="7" t="n">
        <v>1000</v>
      </c>
      <c r="E22966" s="7" t="n">
        <v>1</v>
      </c>
    </row>
    <row r="22967" spans="1:9">
      <c r="A22967" t="s">
        <v>4</v>
      </c>
      <c r="B22967" s="4" t="s">
        <v>5</v>
      </c>
      <c r="C22967" s="4" t="s">
        <v>7</v>
      </c>
      <c r="D22967" s="4" t="s">
        <v>11</v>
      </c>
    </row>
    <row r="22968" spans="1:9">
      <c r="A22968" t="n">
        <v>219676</v>
      </c>
      <c r="B22968" s="23" t="n">
        <v>58</v>
      </c>
      <c r="C22968" s="7" t="n">
        <v>255</v>
      </c>
      <c r="D22968" s="7" t="n">
        <v>0</v>
      </c>
    </row>
    <row r="22969" spans="1:9">
      <c r="A22969" t="s">
        <v>4</v>
      </c>
      <c r="B22969" s="4" t="s">
        <v>5</v>
      </c>
      <c r="C22969" s="4" t="s">
        <v>8</v>
      </c>
      <c r="D22969" s="4" t="s">
        <v>8</v>
      </c>
    </row>
    <row r="22970" spans="1:9">
      <c r="A22970" t="n">
        <v>219680</v>
      </c>
      <c r="B22970" s="52" t="n">
        <v>70</v>
      </c>
      <c r="C22970" s="7" t="s">
        <v>24</v>
      </c>
      <c r="D22970" s="7" t="s">
        <v>109</v>
      </c>
    </row>
    <row r="22971" spans="1:9">
      <c r="A22971" t="s">
        <v>4</v>
      </c>
      <c r="B22971" s="4" t="s">
        <v>5</v>
      </c>
      <c r="C22971" s="4" t="s">
        <v>11</v>
      </c>
    </row>
    <row r="22972" spans="1:9">
      <c r="A22972" t="n">
        <v>219697</v>
      </c>
      <c r="B22972" s="29" t="n">
        <v>16</v>
      </c>
      <c r="C22972" s="7" t="n">
        <v>4000</v>
      </c>
    </row>
    <row r="22973" spans="1:9">
      <c r="A22973" t="s">
        <v>4</v>
      </c>
      <c r="B22973" s="4" t="s">
        <v>5</v>
      </c>
      <c r="C22973" s="4" t="s">
        <v>11</v>
      </c>
      <c r="D22973" s="4" t="s">
        <v>7</v>
      </c>
      <c r="E22973" s="4" t="s">
        <v>13</v>
      </c>
      <c r="F22973" s="4" t="s">
        <v>11</v>
      </c>
    </row>
    <row r="22974" spans="1:9">
      <c r="A22974" t="n">
        <v>219700</v>
      </c>
      <c r="B22974" s="56" t="n">
        <v>59</v>
      </c>
      <c r="C22974" s="7" t="n">
        <v>0</v>
      </c>
      <c r="D22974" s="7" t="n">
        <v>9</v>
      </c>
      <c r="E22974" s="7" t="n">
        <v>0.150000005960464</v>
      </c>
      <c r="F22974" s="7" t="n">
        <v>0</v>
      </c>
    </row>
    <row r="22975" spans="1:9">
      <c r="A22975" t="s">
        <v>4</v>
      </c>
      <c r="B22975" s="4" t="s">
        <v>5</v>
      </c>
      <c r="C22975" s="4" t="s">
        <v>11</v>
      </c>
    </row>
    <row r="22976" spans="1:9">
      <c r="A22976" t="n">
        <v>219710</v>
      </c>
      <c r="B22976" s="29" t="n">
        <v>16</v>
      </c>
      <c r="C22976" s="7" t="n">
        <v>1800</v>
      </c>
    </row>
    <row r="22977" spans="1:9">
      <c r="A22977" t="s">
        <v>4</v>
      </c>
      <c r="B22977" s="4" t="s">
        <v>5</v>
      </c>
      <c r="C22977" s="4" t="s">
        <v>7</v>
      </c>
      <c r="D22977" s="4" t="s">
        <v>11</v>
      </c>
    </row>
    <row r="22978" spans="1:9">
      <c r="A22978" t="n">
        <v>219713</v>
      </c>
      <c r="B22978" s="51" t="n">
        <v>45</v>
      </c>
      <c r="C22978" s="7" t="n">
        <v>7</v>
      </c>
      <c r="D22978" s="7" t="n">
        <v>255</v>
      </c>
    </row>
    <row r="22979" spans="1:9">
      <c r="A22979" t="s">
        <v>4</v>
      </c>
      <c r="B22979" s="4" t="s">
        <v>5</v>
      </c>
      <c r="C22979" s="4" t="s">
        <v>7</v>
      </c>
      <c r="D22979" s="4" t="s">
        <v>11</v>
      </c>
      <c r="E22979" s="4" t="s">
        <v>13</v>
      </c>
    </row>
    <row r="22980" spans="1:9">
      <c r="A22980" t="n">
        <v>219717</v>
      </c>
      <c r="B22980" s="23" t="n">
        <v>58</v>
      </c>
      <c r="C22980" s="7" t="n">
        <v>0</v>
      </c>
      <c r="D22980" s="7" t="n">
        <v>1000</v>
      </c>
      <c r="E22980" s="7" t="n">
        <v>1</v>
      </c>
    </row>
    <row r="22981" spans="1:9">
      <c r="A22981" t="s">
        <v>4</v>
      </c>
      <c r="B22981" s="4" t="s">
        <v>5</v>
      </c>
      <c r="C22981" s="4" t="s">
        <v>7</v>
      </c>
      <c r="D22981" s="4" t="s">
        <v>11</v>
      </c>
    </row>
    <row r="22982" spans="1:9">
      <c r="A22982" t="n">
        <v>219725</v>
      </c>
      <c r="B22982" s="23" t="n">
        <v>58</v>
      </c>
      <c r="C22982" s="7" t="n">
        <v>255</v>
      </c>
      <c r="D22982" s="7" t="n">
        <v>0</v>
      </c>
    </row>
    <row r="22983" spans="1:9">
      <c r="A22983" t="s">
        <v>4</v>
      </c>
      <c r="B22983" s="4" t="s">
        <v>5</v>
      </c>
      <c r="C22983" s="4" t="s">
        <v>8</v>
      </c>
      <c r="D22983" s="4" t="s">
        <v>8</v>
      </c>
    </row>
    <row r="22984" spans="1:9">
      <c r="A22984" t="n">
        <v>219729</v>
      </c>
      <c r="B22984" s="52" t="n">
        <v>70</v>
      </c>
      <c r="C22984" s="7" t="s">
        <v>24</v>
      </c>
      <c r="D22984" s="7" t="s">
        <v>118</v>
      </c>
    </row>
    <row r="22985" spans="1:9">
      <c r="A22985" t="s">
        <v>4</v>
      </c>
      <c r="B22985" s="4" t="s">
        <v>5</v>
      </c>
      <c r="C22985" s="4" t="s">
        <v>11</v>
      </c>
      <c r="D22985" s="4" t="s">
        <v>13</v>
      </c>
      <c r="E22985" s="4" t="s">
        <v>13</v>
      </c>
      <c r="F22985" s="4" t="s">
        <v>13</v>
      </c>
      <c r="G22985" s="4" t="s">
        <v>13</v>
      </c>
    </row>
    <row r="22986" spans="1:9">
      <c r="A22986" t="n">
        <v>219745</v>
      </c>
      <c r="B22986" s="36" t="n">
        <v>46</v>
      </c>
      <c r="C22986" s="7" t="n">
        <v>0</v>
      </c>
      <c r="D22986" s="7" t="n">
        <v>-10.9899997711182</v>
      </c>
      <c r="E22986" s="7" t="n">
        <v>5.01000022888184</v>
      </c>
      <c r="F22986" s="7" t="n">
        <v>32.4300003051758</v>
      </c>
      <c r="G22986" s="7" t="n">
        <v>270</v>
      </c>
    </row>
    <row r="22987" spans="1:9">
      <c r="A22987" t="s">
        <v>4</v>
      </c>
      <c r="B22987" s="4" t="s">
        <v>5</v>
      </c>
      <c r="C22987" s="4" t="s">
        <v>11</v>
      </c>
      <c r="D22987" s="4" t="s">
        <v>13</v>
      </c>
      <c r="E22987" s="4" t="s">
        <v>13</v>
      </c>
      <c r="F22987" s="4" t="s">
        <v>13</v>
      </c>
      <c r="G22987" s="4" t="s">
        <v>13</v>
      </c>
    </row>
    <row r="22988" spans="1:9">
      <c r="A22988" t="n">
        <v>219764</v>
      </c>
      <c r="B22988" s="36" t="n">
        <v>46</v>
      </c>
      <c r="C22988" s="7" t="n">
        <v>1</v>
      </c>
      <c r="D22988" s="7" t="n">
        <v>-10.5500001907349</v>
      </c>
      <c r="E22988" s="7" t="n">
        <v>5.01000022888184</v>
      </c>
      <c r="F22988" s="7" t="n">
        <v>31.5499992370605</v>
      </c>
      <c r="G22988" s="7" t="n">
        <v>270</v>
      </c>
    </row>
    <row r="22989" spans="1:9">
      <c r="A22989" t="s">
        <v>4</v>
      </c>
      <c r="B22989" s="4" t="s">
        <v>5</v>
      </c>
      <c r="C22989" s="4" t="s">
        <v>7</v>
      </c>
      <c r="D22989" s="4" t="s">
        <v>7</v>
      </c>
      <c r="E22989" s="4" t="s">
        <v>13</v>
      </c>
      <c r="F22989" s="4" t="s">
        <v>13</v>
      </c>
      <c r="G22989" s="4" t="s">
        <v>13</v>
      </c>
      <c r="H22989" s="4" t="s">
        <v>11</v>
      </c>
    </row>
    <row r="22990" spans="1:9">
      <c r="A22990" t="n">
        <v>219783</v>
      </c>
      <c r="B22990" s="51" t="n">
        <v>45</v>
      </c>
      <c r="C22990" s="7" t="n">
        <v>2</v>
      </c>
      <c r="D22990" s="7" t="n">
        <v>3</v>
      </c>
      <c r="E22990" s="7" t="n">
        <v>-14.1199998855591</v>
      </c>
      <c r="F22990" s="7" t="n">
        <v>6.75</v>
      </c>
      <c r="G22990" s="7" t="n">
        <v>31.9300003051758</v>
      </c>
      <c r="H22990" s="7" t="n">
        <v>0</v>
      </c>
    </row>
    <row r="22991" spans="1:9">
      <c r="A22991" t="s">
        <v>4</v>
      </c>
      <c r="B22991" s="4" t="s">
        <v>5</v>
      </c>
      <c r="C22991" s="4" t="s">
        <v>7</v>
      </c>
      <c r="D22991" s="4" t="s">
        <v>7</v>
      </c>
      <c r="E22991" s="4" t="s">
        <v>13</v>
      </c>
      <c r="F22991" s="4" t="s">
        <v>13</v>
      </c>
      <c r="G22991" s="4" t="s">
        <v>13</v>
      </c>
      <c r="H22991" s="4" t="s">
        <v>11</v>
      </c>
      <c r="I22991" s="4" t="s">
        <v>7</v>
      </c>
    </row>
    <row r="22992" spans="1:9">
      <c r="A22992" t="n">
        <v>219800</v>
      </c>
      <c r="B22992" s="51" t="n">
        <v>45</v>
      </c>
      <c r="C22992" s="7" t="n">
        <v>4</v>
      </c>
      <c r="D22992" s="7" t="n">
        <v>3</v>
      </c>
      <c r="E22992" s="7" t="n">
        <v>7.63000011444092</v>
      </c>
      <c r="F22992" s="7" t="n">
        <v>90</v>
      </c>
      <c r="G22992" s="7" t="n">
        <v>0</v>
      </c>
      <c r="H22992" s="7" t="n">
        <v>0</v>
      </c>
      <c r="I22992" s="7" t="n">
        <v>0</v>
      </c>
    </row>
    <row r="22993" spans="1:9">
      <c r="A22993" t="s">
        <v>4</v>
      </c>
      <c r="B22993" s="4" t="s">
        <v>5</v>
      </c>
      <c r="C22993" s="4" t="s">
        <v>7</v>
      </c>
      <c r="D22993" s="4" t="s">
        <v>7</v>
      </c>
      <c r="E22993" s="4" t="s">
        <v>13</v>
      </c>
      <c r="F22993" s="4" t="s">
        <v>11</v>
      </c>
    </row>
    <row r="22994" spans="1:9">
      <c r="A22994" t="n">
        <v>219818</v>
      </c>
      <c r="B22994" s="51" t="n">
        <v>45</v>
      </c>
      <c r="C22994" s="7" t="n">
        <v>5</v>
      </c>
      <c r="D22994" s="7" t="n">
        <v>3</v>
      </c>
      <c r="E22994" s="7" t="n">
        <v>2.09999990463257</v>
      </c>
      <c r="F22994" s="7" t="n">
        <v>0</v>
      </c>
    </row>
    <row r="22995" spans="1:9">
      <c r="A22995" t="s">
        <v>4</v>
      </c>
      <c r="B22995" s="4" t="s">
        <v>5</v>
      </c>
      <c r="C22995" s="4" t="s">
        <v>7</v>
      </c>
      <c r="D22995" s="4" t="s">
        <v>7</v>
      </c>
      <c r="E22995" s="4" t="s">
        <v>13</v>
      </c>
      <c r="F22995" s="4" t="s">
        <v>11</v>
      </c>
    </row>
    <row r="22996" spans="1:9">
      <c r="A22996" t="n">
        <v>219827</v>
      </c>
      <c r="B22996" s="51" t="n">
        <v>45</v>
      </c>
      <c r="C22996" s="7" t="n">
        <v>11</v>
      </c>
      <c r="D22996" s="7" t="n">
        <v>3</v>
      </c>
      <c r="E22996" s="7" t="n">
        <v>40.2999992370605</v>
      </c>
      <c r="F22996" s="7" t="n">
        <v>0</v>
      </c>
    </row>
    <row r="22997" spans="1:9">
      <c r="A22997" t="s">
        <v>4</v>
      </c>
      <c r="B22997" s="4" t="s">
        <v>5</v>
      </c>
      <c r="C22997" s="4" t="s">
        <v>7</v>
      </c>
      <c r="D22997" s="4" t="s">
        <v>7</v>
      </c>
      <c r="E22997" s="4" t="s">
        <v>13</v>
      </c>
      <c r="F22997" s="4" t="s">
        <v>13</v>
      </c>
      <c r="G22997" s="4" t="s">
        <v>13</v>
      </c>
      <c r="H22997" s="4" t="s">
        <v>11</v>
      </c>
    </row>
    <row r="22998" spans="1:9">
      <c r="A22998" t="n">
        <v>219836</v>
      </c>
      <c r="B22998" s="51" t="n">
        <v>45</v>
      </c>
      <c r="C22998" s="7" t="n">
        <v>2</v>
      </c>
      <c r="D22998" s="7" t="n">
        <v>3</v>
      </c>
      <c r="E22998" s="7" t="n">
        <v>-9.10000038146973</v>
      </c>
      <c r="F22998" s="7" t="n">
        <v>6.75</v>
      </c>
      <c r="G22998" s="7" t="n">
        <v>31.9699993133545</v>
      </c>
      <c r="H22998" s="7" t="n">
        <v>6000</v>
      </c>
    </row>
    <row r="22999" spans="1:9">
      <c r="A22999" t="s">
        <v>4</v>
      </c>
      <c r="B22999" s="4" t="s">
        <v>5</v>
      </c>
      <c r="C22999" s="4" t="s">
        <v>7</v>
      </c>
      <c r="D22999" s="4" t="s">
        <v>7</v>
      </c>
      <c r="E22999" s="4" t="s">
        <v>13</v>
      </c>
      <c r="F22999" s="4" t="s">
        <v>13</v>
      </c>
      <c r="G22999" s="4" t="s">
        <v>13</v>
      </c>
      <c r="H22999" s="4" t="s">
        <v>11</v>
      </c>
      <c r="I22999" s="4" t="s">
        <v>7</v>
      </c>
    </row>
    <row r="23000" spans="1:9">
      <c r="A23000" t="n">
        <v>219853</v>
      </c>
      <c r="B23000" s="51" t="n">
        <v>45</v>
      </c>
      <c r="C23000" s="7" t="n">
        <v>4</v>
      </c>
      <c r="D23000" s="7" t="n">
        <v>3</v>
      </c>
      <c r="E23000" s="7" t="n">
        <v>0.0299999993294477</v>
      </c>
      <c r="F23000" s="7" t="n">
        <v>90</v>
      </c>
      <c r="G23000" s="7" t="n">
        <v>0</v>
      </c>
      <c r="H23000" s="7" t="n">
        <v>6000</v>
      </c>
      <c r="I23000" s="7" t="n">
        <v>0</v>
      </c>
    </row>
    <row r="23001" spans="1:9">
      <c r="A23001" t="s">
        <v>4</v>
      </c>
      <c r="B23001" s="4" t="s">
        <v>5</v>
      </c>
      <c r="C23001" s="4" t="s">
        <v>7</v>
      </c>
      <c r="D23001" s="4" t="s">
        <v>7</v>
      </c>
      <c r="E23001" s="4" t="s">
        <v>13</v>
      </c>
      <c r="F23001" s="4" t="s">
        <v>11</v>
      </c>
    </row>
    <row r="23002" spans="1:9">
      <c r="A23002" t="n">
        <v>219871</v>
      </c>
      <c r="B23002" s="51" t="n">
        <v>45</v>
      </c>
      <c r="C23002" s="7" t="n">
        <v>5</v>
      </c>
      <c r="D23002" s="7" t="n">
        <v>3</v>
      </c>
      <c r="E23002" s="7" t="n">
        <v>1.79999995231628</v>
      </c>
      <c r="F23002" s="7" t="n">
        <v>6000</v>
      </c>
    </row>
    <row r="23003" spans="1:9">
      <c r="A23003" t="s">
        <v>4</v>
      </c>
      <c r="B23003" s="4" t="s">
        <v>5</v>
      </c>
      <c r="C23003" s="4" t="s">
        <v>8</v>
      </c>
      <c r="D23003" s="4" t="s">
        <v>8</v>
      </c>
    </row>
    <row r="23004" spans="1:9">
      <c r="A23004" t="n">
        <v>219880</v>
      </c>
      <c r="B23004" s="52" t="n">
        <v>70</v>
      </c>
      <c r="C23004" s="7" t="s">
        <v>25</v>
      </c>
      <c r="D23004" s="7" t="s">
        <v>109</v>
      </c>
    </row>
    <row r="23005" spans="1:9">
      <c r="A23005" t="s">
        <v>4</v>
      </c>
      <c r="B23005" s="4" t="s">
        <v>5</v>
      </c>
      <c r="C23005" s="4" t="s">
        <v>7</v>
      </c>
      <c r="D23005" s="4" t="s">
        <v>11</v>
      </c>
      <c r="E23005" s="4" t="s">
        <v>13</v>
      </c>
    </row>
    <row r="23006" spans="1:9">
      <c r="A23006" t="n">
        <v>219897</v>
      </c>
      <c r="B23006" s="23" t="n">
        <v>58</v>
      </c>
      <c r="C23006" s="7" t="n">
        <v>100</v>
      </c>
      <c r="D23006" s="7" t="n">
        <v>1000</v>
      </c>
      <c r="E23006" s="7" t="n">
        <v>1</v>
      </c>
    </row>
    <row r="23007" spans="1:9">
      <c r="A23007" t="s">
        <v>4</v>
      </c>
      <c r="B23007" s="4" t="s">
        <v>5</v>
      </c>
      <c r="C23007" s="4" t="s">
        <v>7</v>
      </c>
      <c r="D23007" s="4" t="s">
        <v>11</v>
      </c>
    </row>
    <row r="23008" spans="1:9">
      <c r="A23008" t="n">
        <v>219905</v>
      </c>
      <c r="B23008" s="23" t="n">
        <v>58</v>
      </c>
      <c r="C23008" s="7" t="n">
        <v>255</v>
      </c>
      <c r="D23008" s="7" t="n">
        <v>0</v>
      </c>
    </row>
    <row r="23009" spans="1:9">
      <c r="A23009" t="s">
        <v>4</v>
      </c>
      <c r="B23009" s="4" t="s">
        <v>5</v>
      </c>
      <c r="C23009" s="4" t="s">
        <v>7</v>
      </c>
      <c r="D23009" s="4" t="s">
        <v>8</v>
      </c>
      <c r="E23009" s="4" t="s">
        <v>11</v>
      </c>
    </row>
    <row r="23010" spans="1:9">
      <c r="A23010" t="n">
        <v>219909</v>
      </c>
      <c r="B23010" s="15" t="n">
        <v>94</v>
      </c>
      <c r="C23010" s="7" t="n">
        <v>1</v>
      </c>
      <c r="D23010" s="7" t="s">
        <v>25</v>
      </c>
      <c r="E23010" s="7" t="n">
        <v>512</v>
      </c>
    </row>
    <row r="23011" spans="1:9">
      <c r="A23011" t="s">
        <v>4</v>
      </c>
      <c r="B23011" s="4" t="s">
        <v>5</v>
      </c>
      <c r="C23011" s="4" t="s">
        <v>11</v>
      </c>
    </row>
    <row r="23012" spans="1:9">
      <c r="A23012" t="n">
        <v>219923</v>
      </c>
      <c r="B23012" s="29" t="n">
        <v>16</v>
      </c>
      <c r="C23012" s="7" t="n">
        <v>4000</v>
      </c>
    </row>
    <row r="23013" spans="1:9">
      <c r="A23013" t="s">
        <v>4</v>
      </c>
      <c r="B23013" s="4" t="s">
        <v>5</v>
      </c>
      <c r="C23013" s="4" t="s">
        <v>11</v>
      </c>
      <c r="D23013" s="4" t="s">
        <v>7</v>
      </c>
      <c r="E23013" s="4" t="s">
        <v>13</v>
      </c>
      <c r="F23013" s="4" t="s">
        <v>11</v>
      </c>
    </row>
    <row r="23014" spans="1:9">
      <c r="A23014" t="n">
        <v>219926</v>
      </c>
      <c r="B23014" s="56" t="n">
        <v>59</v>
      </c>
      <c r="C23014" s="7" t="n">
        <v>0</v>
      </c>
      <c r="D23014" s="7" t="n">
        <v>9</v>
      </c>
      <c r="E23014" s="7" t="n">
        <v>0.150000005960464</v>
      </c>
      <c r="F23014" s="7" t="n">
        <v>0</v>
      </c>
    </row>
    <row r="23015" spans="1:9">
      <c r="A23015" t="s">
        <v>4</v>
      </c>
      <c r="B23015" s="4" t="s">
        <v>5</v>
      </c>
      <c r="C23015" s="4" t="s">
        <v>11</v>
      </c>
      <c r="D23015" s="4" t="s">
        <v>7</v>
      </c>
      <c r="E23015" s="4" t="s">
        <v>13</v>
      </c>
      <c r="F23015" s="4" t="s">
        <v>11</v>
      </c>
    </row>
    <row r="23016" spans="1:9">
      <c r="A23016" t="n">
        <v>219936</v>
      </c>
      <c r="B23016" s="56" t="n">
        <v>59</v>
      </c>
      <c r="C23016" s="7" t="n">
        <v>1</v>
      </c>
      <c r="D23016" s="7" t="n">
        <v>9</v>
      </c>
      <c r="E23016" s="7" t="n">
        <v>0.150000005960464</v>
      </c>
      <c r="F23016" s="7" t="n">
        <v>0</v>
      </c>
    </row>
    <row r="23017" spans="1:9">
      <c r="A23017" t="s">
        <v>4</v>
      </c>
      <c r="B23017" s="4" t="s">
        <v>5</v>
      </c>
      <c r="C23017" s="4" t="s">
        <v>11</v>
      </c>
    </row>
    <row r="23018" spans="1:9">
      <c r="A23018" t="n">
        <v>219946</v>
      </c>
      <c r="B23018" s="29" t="n">
        <v>16</v>
      </c>
      <c r="C23018" s="7" t="n">
        <v>1500</v>
      </c>
    </row>
    <row r="23019" spans="1:9">
      <c r="A23019" t="s">
        <v>4</v>
      </c>
      <c r="B23019" s="4" t="s">
        <v>5</v>
      </c>
      <c r="C23019" s="4" t="s">
        <v>7</v>
      </c>
      <c r="D23019" s="4" t="s">
        <v>11</v>
      </c>
    </row>
    <row r="23020" spans="1:9">
      <c r="A23020" t="n">
        <v>219949</v>
      </c>
      <c r="B23020" s="51" t="n">
        <v>45</v>
      </c>
      <c r="C23020" s="7" t="n">
        <v>7</v>
      </c>
      <c r="D23020" s="7" t="n">
        <v>255</v>
      </c>
    </row>
    <row r="23021" spans="1:9">
      <c r="A23021" t="s">
        <v>4</v>
      </c>
      <c r="B23021" s="4" t="s">
        <v>5</v>
      </c>
      <c r="C23021" s="4" t="s">
        <v>7</v>
      </c>
      <c r="D23021" s="4" t="s">
        <v>11</v>
      </c>
      <c r="E23021" s="4" t="s">
        <v>13</v>
      </c>
    </row>
    <row r="23022" spans="1:9">
      <c r="A23022" t="n">
        <v>219953</v>
      </c>
      <c r="B23022" s="23" t="n">
        <v>58</v>
      </c>
      <c r="C23022" s="7" t="n">
        <v>0</v>
      </c>
      <c r="D23022" s="7" t="n">
        <v>2000</v>
      </c>
      <c r="E23022" s="7" t="n">
        <v>1</v>
      </c>
    </row>
    <row r="23023" spans="1:9">
      <c r="A23023" t="s">
        <v>4</v>
      </c>
      <c r="B23023" s="4" t="s">
        <v>5</v>
      </c>
      <c r="C23023" s="4" t="s">
        <v>7</v>
      </c>
      <c r="D23023" s="4" t="s">
        <v>11</v>
      </c>
    </row>
    <row r="23024" spans="1:9">
      <c r="A23024" t="n">
        <v>219961</v>
      </c>
      <c r="B23024" s="23" t="n">
        <v>58</v>
      </c>
      <c r="C23024" s="7" t="n">
        <v>255</v>
      </c>
      <c r="D23024" s="7" t="n">
        <v>0</v>
      </c>
    </row>
    <row r="23025" spans="1:6">
      <c r="A23025" t="s">
        <v>4</v>
      </c>
      <c r="B23025" s="4" t="s">
        <v>5</v>
      </c>
      <c r="C23025" s="4" t="s">
        <v>7</v>
      </c>
      <c r="D23025" s="4" t="s">
        <v>7</v>
      </c>
      <c r="E23025" s="4" t="s">
        <v>13</v>
      </c>
      <c r="F23025" s="4" t="s">
        <v>13</v>
      </c>
      <c r="G23025" s="4" t="s">
        <v>13</v>
      </c>
      <c r="H23025" s="4" t="s">
        <v>11</v>
      </c>
    </row>
    <row r="23026" spans="1:6">
      <c r="A23026" t="n">
        <v>219965</v>
      </c>
      <c r="B23026" s="51" t="n">
        <v>45</v>
      </c>
      <c r="C23026" s="7" t="n">
        <v>2</v>
      </c>
      <c r="D23026" s="7" t="n">
        <v>3</v>
      </c>
      <c r="E23026" s="7" t="n">
        <v>-7.84000015258789</v>
      </c>
      <c r="F23026" s="7" t="n">
        <v>7.17000007629395</v>
      </c>
      <c r="G23026" s="7" t="n">
        <v>31.6599998474121</v>
      </c>
      <c r="H23026" s="7" t="n">
        <v>0</v>
      </c>
    </row>
    <row r="23027" spans="1:6">
      <c r="A23027" t="s">
        <v>4</v>
      </c>
      <c r="B23027" s="4" t="s">
        <v>5</v>
      </c>
      <c r="C23027" s="4" t="s">
        <v>7</v>
      </c>
      <c r="D23027" s="4" t="s">
        <v>7</v>
      </c>
      <c r="E23027" s="4" t="s">
        <v>13</v>
      </c>
      <c r="F23027" s="4" t="s">
        <v>13</v>
      </c>
      <c r="G23027" s="4" t="s">
        <v>13</v>
      </c>
      <c r="H23027" s="4" t="s">
        <v>11</v>
      </c>
      <c r="I23027" s="4" t="s">
        <v>7</v>
      </c>
    </row>
    <row r="23028" spans="1:6">
      <c r="A23028" t="n">
        <v>219982</v>
      </c>
      <c r="B23028" s="51" t="n">
        <v>45</v>
      </c>
      <c r="C23028" s="7" t="n">
        <v>4</v>
      </c>
      <c r="D23028" s="7" t="n">
        <v>3</v>
      </c>
      <c r="E23028" s="7" t="n">
        <v>9.01000022888184</v>
      </c>
      <c r="F23028" s="7" t="n">
        <v>55.7900009155273</v>
      </c>
      <c r="G23028" s="7" t="n">
        <v>0</v>
      </c>
      <c r="H23028" s="7" t="n">
        <v>0</v>
      </c>
      <c r="I23028" s="7" t="n">
        <v>0</v>
      </c>
    </row>
    <row r="23029" spans="1:6">
      <c r="A23029" t="s">
        <v>4</v>
      </c>
      <c r="B23029" s="4" t="s">
        <v>5</v>
      </c>
      <c r="C23029" s="4" t="s">
        <v>7</v>
      </c>
      <c r="D23029" s="4" t="s">
        <v>7</v>
      </c>
      <c r="E23029" s="4" t="s">
        <v>13</v>
      </c>
      <c r="F23029" s="4" t="s">
        <v>11</v>
      </c>
    </row>
    <row r="23030" spans="1:6">
      <c r="A23030" t="n">
        <v>220000</v>
      </c>
      <c r="B23030" s="51" t="n">
        <v>45</v>
      </c>
      <c r="C23030" s="7" t="n">
        <v>5</v>
      </c>
      <c r="D23030" s="7" t="n">
        <v>3</v>
      </c>
      <c r="E23030" s="7" t="n">
        <v>2.40000009536743</v>
      </c>
      <c r="F23030" s="7" t="n">
        <v>0</v>
      </c>
    </row>
    <row r="23031" spans="1:6">
      <c r="A23031" t="s">
        <v>4</v>
      </c>
      <c r="B23031" s="4" t="s">
        <v>5</v>
      </c>
      <c r="C23031" s="4" t="s">
        <v>7</v>
      </c>
      <c r="D23031" s="4" t="s">
        <v>7</v>
      </c>
      <c r="E23031" s="4" t="s">
        <v>13</v>
      </c>
      <c r="F23031" s="4" t="s">
        <v>11</v>
      </c>
    </row>
    <row r="23032" spans="1:6">
      <c r="A23032" t="n">
        <v>220009</v>
      </c>
      <c r="B23032" s="51" t="n">
        <v>45</v>
      </c>
      <c r="C23032" s="7" t="n">
        <v>11</v>
      </c>
      <c r="D23032" s="7" t="n">
        <v>3</v>
      </c>
      <c r="E23032" s="7" t="n">
        <v>40.2999992370605</v>
      </c>
      <c r="F23032" s="7" t="n">
        <v>0</v>
      </c>
    </row>
    <row r="23033" spans="1:6">
      <c r="A23033" t="s">
        <v>4</v>
      </c>
      <c r="B23033" s="4" t="s">
        <v>5</v>
      </c>
      <c r="C23033" s="4" t="s">
        <v>7</v>
      </c>
      <c r="D23033" s="4" t="s">
        <v>7</v>
      </c>
      <c r="E23033" s="4" t="s">
        <v>13</v>
      </c>
      <c r="F23033" s="4" t="s">
        <v>13</v>
      </c>
      <c r="G23033" s="4" t="s">
        <v>13</v>
      </c>
      <c r="H23033" s="4" t="s">
        <v>11</v>
      </c>
    </row>
    <row r="23034" spans="1:6">
      <c r="A23034" t="n">
        <v>220018</v>
      </c>
      <c r="B23034" s="51" t="n">
        <v>45</v>
      </c>
      <c r="C23034" s="7" t="n">
        <v>2</v>
      </c>
      <c r="D23034" s="7" t="n">
        <v>3</v>
      </c>
      <c r="E23034" s="7" t="n">
        <v>-6.8899998664856</v>
      </c>
      <c r="F23034" s="7" t="n">
        <v>6.26999998092651</v>
      </c>
      <c r="G23034" s="7" t="n">
        <v>30.0599994659424</v>
      </c>
      <c r="H23034" s="7" t="n">
        <v>6000</v>
      </c>
    </row>
    <row r="23035" spans="1:6">
      <c r="A23035" t="s">
        <v>4</v>
      </c>
      <c r="B23035" s="4" t="s">
        <v>5</v>
      </c>
      <c r="C23035" s="4" t="s">
        <v>7</v>
      </c>
      <c r="D23035" s="4" t="s">
        <v>7</v>
      </c>
      <c r="E23035" s="4" t="s">
        <v>13</v>
      </c>
      <c r="F23035" s="4" t="s">
        <v>13</v>
      </c>
      <c r="G23035" s="4" t="s">
        <v>13</v>
      </c>
      <c r="H23035" s="4" t="s">
        <v>11</v>
      </c>
      <c r="I23035" s="4" t="s">
        <v>7</v>
      </c>
    </row>
    <row r="23036" spans="1:6">
      <c r="A23036" t="n">
        <v>220035</v>
      </c>
      <c r="B23036" s="51" t="n">
        <v>45</v>
      </c>
      <c r="C23036" s="7" t="n">
        <v>4</v>
      </c>
      <c r="D23036" s="7" t="n">
        <v>3</v>
      </c>
      <c r="E23036" s="7" t="n">
        <v>6.73999977111816</v>
      </c>
      <c r="F23036" s="7" t="n">
        <v>13.6199998855591</v>
      </c>
      <c r="G23036" s="7" t="n">
        <v>0</v>
      </c>
      <c r="H23036" s="7" t="n">
        <v>6000</v>
      </c>
      <c r="I23036" s="7" t="n">
        <v>1</v>
      </c>
    </row>
    <row r="23037" spans="1:6">
      <c r="A23037" t="s">
        <v>4</v>
      </c>
      <c r="B23037" s="4" t="s">
        <v>5</v>
      </c>
      <c r="C23037" s="4" t="s">
        <v>11</v>
      </c>
      <c r="D23037" s="4" t="s">
        <v>13</v>
      </c>
      <c r="E23037" s="4" t="s">
        <v>13</v>
      </c>
      <c r="F23037" s="4" t="s">
        <v>13</v>
      </c>
      <c r="G23037" s="4" t="s">
        <v>13</v>
      </c>
    </row>
    <row r="23038" spans="1:6">
      <c r="A23038" t="n">
        <v>220053</v>
      </c>
      <c r="B23038" s="36" t="n">
        <v>46</v>
      </c>
      <c r="C23038" s="7" t="n">
        <v>0</v>
      </c>
      <c r="D23038" s="7" t="n">
        <v>-6.51000022888184</v>
      </c>
      <c r="E23038" s="7" t="n">
        <v>5</v>
      </c>
      <c r="F23038" s="7" t="n">
        <v>29.8999996185303</v>
      </c>
      <c r="G23038" s="7" t="n">
        <v>208</v>
      </c>
    </row>
    <row r="23039" spans="1:6">
      <c r="A23039" t="s">
        <v>4</v>
      </c>
      <c r="B23039" s="4" t="s">
        <v>5</v>
      </c>
      <c r="C23039" s="4" t="s">
        <v>11</v>
      </c>
      <c r="D23039" s="4" t="s">
        <v>13</v>
      </c>
      <c r="E23039" s="4" t="s">
        <v>13</v>
      </c>
      <c r="F23039" s="4" t="s">
        <v>13</v>
      </c>
      <c r="G23039" s="4" t="s">
        <v>13</v>
      </c>
    </row>
    <row r="23040" spans="1:6">
      <c r="A23040" t="n">
        <v>220072</v>
      </c>
      <c r="B23040" s="36" t="n">
        <v>46</v>
      </c>
      <c r="C23040" s="7" t="n">
        <v>1</v>
      </c>
      <c r="D23040" s="7" t="n">
        <v>-7.44999980926514</v>
      </c>
      <c r="E23040" s="7" t="n">
        <v>5</v>
      </c>
      <c r="F23040" s="7" t="n">
        <v>29.7999992370605</v>
      </c>
      <c r="G23040" s="7" t="n">
        <v>151.199996948242</v>
      </c>
    </row>
    <row r="23041" spans="1:9">
      <c r="A23041" t="s">
        <v>4</v>
      </c>
      <c r="B23041" s="4" t="s">
        <v>5</v>
      </c>
      <c r="C23041" s="4" t="s">
        <v>11</v>
      </c>
      <c r="D23041" s="4" t="s">
        <v>11</v>
      </c>
      <c r="E23041" s="4" t="s">
        <v>11</v>
      </c>
    </row>
    <row r="23042" spans="1:9">
      <c r="A23042" t="n">
        <v>220091</v>
      </c>
      <c r="B23042" s="72" t="n">
        <v>61</v>
      </c>
      <c r="C23042" s="7" t="n">
        <v>0</v>
      </c>
      <c r="D23042" s="7" t="n">
        <v>1</v>
      </c>
      <c r="E23042" s="7" t="n">
        <v>0</v>
      </c>
    </row>
    <row r="23043" spans="1:9">
      <c r="A23043" t="s">
        <v>4</v>
      </c>
      <c r="B23043" s="4" t="s">
        <v>5</v>
      </c>
      <c r="C23043" s="4" t="s">
        <v>11</v>
      </c>
      <c r="D23043" s="4" t="s">
        <v>11</v>
      </c>
      <c r="E23043" s="4" t="s">
        <v>11</v>
      </c>
    </row>
    <row r="23044" spans="1:9">
      <c r="A23044" t="n">
        <v>220098</v>
      </c>
      <c r="B23044" s="72" t="n">
        <v>61</v>
      </c>
      <c r="C23044" s="7" t="n">
        <v>1</v>
      </c>
      <c r="D23044" s="7" t="n">
        <v>0</v>
      </c>
      <c r="E23044" s="7" t="n">
        <v>0</v>
      </c>
    </row>
    <row r="23045" spans="1:9">
      <c r="A23045" t="s">
        <v>4</v>
      </c>
      <c r="B23045" s="4" t="s">
        <v>5</v>
      </c>
      <c r="C23045" s="4" t="s">
        <v>8</v>
      </c>
      <c r="D23045" s="4" t="s">
        <v>8</v>
      </c>
    </row>
    <row r="23046" spans="1:9">
      <c r="A23046" t="n">
        <v>220105</v>
      </c>
      <c r="B23046" s="52" t="n">
        <v>70</v>
      </c>
      <c r="C23046" s="7" t="s">
        <v>25</v>
      </c>
      <c r="D23046" s="7" t="s">
        <v>118</v>
      </c>
    </row>
    <row r="23047" spans="1:9">
      <c r="A23047" t="s">
        <v>4</v>
      </c>
      <c r="B23047" s="4" t="s">
        <v>5</v>
      </c>
      <c r="C23047" s="4" t="s">
        <v>7</v>
      </c>
      <c r="D23047" s="4" t="s">
        <v>11</v>
      </c>
      <c r="E23047" s="4" t="s">
        <v>13</v>
      </c>
    </row>
    <row r="23048" spans="1:9">
      <c r="A23048" t="n">
        <v>220121</v>
      </c>
      <c r="B23048" s="23" t="n">
        <v>58</v>
      </c>
      <c r="C23048" s="7" t="n">
        <v>100</v>
      </c>
      <c r="D23048" s="7" t="n">
        <v>1000</v>
      </c>
      <c r="E23048" s="7" t="n">
        <v>1</v>
      </c>
    </row>
    <row r="23049" spans="1:9">
      <c r="A23049" t="s">
        <v>4</v>
      </c>
      <c r="B23049" s="4" t="s">
        <v>5</v>
      </c>
      <c r="C23049" s="4" t="s">
        <v>7</v>
      </c>
      <c r="D23049" s="4" t="s">
        <v>11</v>
      </c>
    </row>
    <row r="23050" spans="1:9">
      <c r="A23050" t="n">
        <v>220129</v>
      </c>
      <c r="B23050" s="23" t="n">
        <v>58</v>
      </c>
      <c r="C23050" s="7" t="n">
        <v>255</v>
      </c>
      <c r="D23050" s="7" t="n">
        <v>0</v>
      </c>
    </row>
    <row r="23051" spans="1:9">
      <c r="A23051" t="s">
        <v>4</v>
      </c>
      <c r="B23051" s="4" t="s">
        <v>5</v>
      </c>
      <c r="C23051" s="4" t="s">
        <v>11</v>
      </c>
    </row>
    <row r="23052" spans="1:9">
      <c r="A23052" t="n">
        <v>220133</v>
      </c>
      <c r="B23052" s="29" t="n">
        <v>16</v>
      </c>
      <c r="C23052" s="7" t="n">
        <v>1000</v>
      </c>
    </row>
    <row r="23053" spans="1:9">
      <c r="A23053" t="s">
        <v>4</v>
      </c>
      <c r="B23053" s="4" t="s">
        <v>5</v>
      </c>
      <c r="C23053" s="4" t="s">
        <v>7</v>
      </c>
      <c r="D23053" s="4" t="s">
        <v>11</v>
      </c>
    </row>
    <row r="23054" spans="1:9">
      <c r="A23054" t="n">
        <v>220136</v>
      </c>
      <c r="B23054" s="51" t="n">
        <v>45</v>
      </c>
      <c r="C23054" s="7" t="n">
        <v>7</v>
      </c>
      <c r="D23054" s="7" t="n">
        <v>255</v>
      </c>
    </row>
    <row r="23055" spans="1:9">
      <c r="A23055" t="s">
        <v>4</v>
      </c>
      <c r="B23055" s="4" t="s">
        <v>5</v>
      </c>
      <c r="C23055" s="4" t="s">
        <v>7</v>
      </c>
      <c r="D23055" s="4" t="s">
        <v>11</v>
      </c>
      <c r="E23055" s="4" t="s">
        <v>13</v>
      </c>
    </row>
    <row r="23056" spans="1:9">
      <c r="A23056" t="n">
        <v>220140</v>
      </c>
      <c r="B23056" s="23" t="n">
        <v>58</v>
      </c>
      <c r="C23056" s="7" t="n">
        <v>101</v>
      </c>
      <c r="D23056" s="7" t="n">
        <v>500</v>
      </c>
      <c r="E23056" s="7" t="n">
        <v>1</v>
      </c>
    </row>
    <row r="23057" spans="1:5">
      <c r="A23057" t="s">
        <v>4</v>
      </c>
      <c r="B23057" s="4" t="s">
        <v>5</v>
      </c>
      <c r="C23057" s="4" t="s">
        <v>7</v>
      </c>
      <c r="D23057" s="4" t="s">
        <v>11</v>
      </c>
    </row>
    <row r="23058" spans="1:5">
      <c r="A23058" t="n">
        <v>220148</v>
      </c>
      <c r="B23058" s="23" t="n">
        <v>58</v>
      </c>
      <c r="C23058" s="7" t="n">
        <v>254</v>
      </c>
      <c r="D23058" s="7" t="n">
        <v>0</v>
      </c>
    </row>
    <row r="23059" spans="1:5">
      <c r="A23059" t="s">
        <v>4</v>
      </c>
      <c r="B23059" s="4" t="s">
        <v>5</v>
      </c>
      <c r="C23059" s="4" t="s">
        <v>7</v>
      </c>
      <c r="D23059" s="4" t="s">
        <v>7</v>
      </c>
      <c r="E23059" s="4" t="s">
        <v>13</v>
      </c>
      <c r="F23059" s="4" t="s">
        <v>13</v>
      </c>
      <c r="G23059" s="4" t="s">
        <v>13</v>
      </c>
      <c r="H23059" s="4" t="s">
        <v>11</v>
      </c>
    </row>
    <row r="23060" spans="1:5">
      <c r="A23060" t="n">
        <v>220152</v>
      </c>
      <c r="B23060" s="51" t="n">
        <v>45</v>
      </c>
      <c r="C23060" s="7" t="n">
        <v>2</v>
      </c>
      <c r="D23060" s="7" t="n">
        <v>3</v>
      </c>
      <c r="E23060" s="7" t="n">
        <v>-6.86999988555908</v>
      </c>
      <c r="F23060" s="7" t="n">
        <v>6.3600001335144</v>
      </c>
      <c r="G23060" s="7" t="n">
        <v>29.8400001525879</v>
      </c>
      <c r="H23060" s="7" t="n">
        <v>0</v>
      </c>
    </row>
    <row r="23061" spans="1:5">
      <c r="A23061" t="s">
        <v>4</v>
      </c>
      <c r="B23061" s="4" t="s">
        <v>5</v>
      </c>
      <c r="C23061" s="4" t="s">
        <v>7</v>
      </c>
      <c r="D23061" s="4" t="s">
        <v>7</v>
      </c>
      <c r="E23061" s="4" t="s">
        <v>13</v>
      </c>
      <c r="F23061" s="4" t="s">
        <v>13</v>
      </c>
      <c r="G23061" s="4" t="s">
        <v>13</v>
      </c>
      <c r="H23061" s="4" t="s">
        <v>11</v>
      </c>
      <c r="I23061" s="4" t="s">
        <v>7</v>
      </c>
    </row>
    <row r="23062" spans="1:5">
      <c r="A23062" t="n">
        <v>220169</v>
      </c>
      <c r="B23062" s="51" t="n">
        <v>45</v>
      </c>
      <c r="C23062" s="7" t="n">
        <v>4</v>
      </c>
      <c r="D23062" s="7" t="n">
        <v>3</v>
      </c>
      <c r="E23062" s="7" t="n">
        <v>18.2999992370605</v>
      </c>
      <c r="F23062" s="7" t="n">
        <v>135.5</v>
      </c>
      <c r="G23062" s="7" t="n">
        <v>0</v>
      </c>
      <c r="H23062" s="7" t="n">
        <v>0</v>
      </c>
      <c r="I23062" s="7" t="n">
        <v>0</v>
      </c>
    </row>
    <row r="23063" spans="1:5">
      <c r="A23063" t="s">
        <v>4</v>
      </c>
      <c r="B23063" s="4" t="s">
        <v>5</v>
      </c>
      <c r="C23063" s="4" t="s">
        <v>7</v>
      </c>
      <c r="D23063" s="4" t="s">
        <v>7</v>
      </c>
      <c r="E23063" s="4" t="s">
        <v>13</v>
      </c>
      <c r="F23063" s="4" t="s">
        <v>11</v>
      </c>
    </row>
    <row r="23064" spans="1:5">
      <c r="A23064" t="n">
        <v>220187</v>
      </c>
      <c r="B23064" s="51" t="n">
        <v>45</v>
      </c>
      <c r="C23064" s="7" t="n">
        <v>5</v>
      </c>
      <c r="D23064" s="7" t="n">
        <v>3</v>
      </c>
      <c r="E23064" s="7" t="n">
        <v>1.29999995231628</v>
      </c>
      <c r="F23064" s="7" t="n">
        <v>0</v>
      </c>
    </row>
    <row r="23065" spans="1:5">
      <c r="A23065" t="s">
        <v>4</v>
      </c>
      <c r="B23065" s="4" t="s">
        <v>5</v>
      </c>
      <c r="C23065" s="4" t="s">
        <v>7</v>
      </c>
      <c r="D23065" s="4" t="s">
        <v>7</v>
      </c>
      <c r="E23065" s="4" t="s">
        <v>13</v>
      </c>
      <c r="F23065" s="4" t="s">
        <v>11</v>
      </c>
    </row>
    <row r="23066" spans="1:5">
      <c r="A23066" t="n">
        <v>220196</v>
      </c>
      <c r="B23066" s="51" t="n">
        <v>45</v>
      </c>
      <c r="C23066" s="7" t="n">
        <v>11</v>
      </c>
      <c r="D23066" s="7" t="n">
        <v>3</v>
      </c>
      <c r="E23066" s="7" t="n">
        <v>40.2999992370605</v>
      </c>
      <c r="F23066" s="7" t="n">
        <v>0</v>
      </c>
    </row>
    <row r="23067" spans="1:5">
      <c r="A23067" t="s">
        <v>4</v>
      </c>
      <c r="B23067" s="4" t="s">
        <v>5</v>
      </c>
      <c r="C23067" s="4" t="s">
        <v>7</v>
      </c>
      <c r="D23067" s="4" t="s">
        <v>11</v>
      </c>
      <c r="E23067" s="4" t="s">
        <v>11</v>
      </c>
      <c r="F23067" s="4" t="s">
        <v>15</v>
      </c>
      <c r="G23067" s="4" t="s">
        <v>15</v>
      </c>
      <c r="H23067" s="4" t="s">
        <v>15</v>
      </c>
    </row>
    <row r="23068" spans="1:5">
      <c r="A23068" t="n">
        <v>220205</v>
      </c>
      <c r="B23068" s="77" t="n">
        <v>97</v>
      </c>
      <c r="C23068" s="7" t="n">
        <v>6</v>
      </c>
      <c r="D23068" s="7" t="n">
        <v>0</v>
      </c>
      <c r="E23068" s="7" t="n">
        <v>0</v>
      </c>
      <c r="F23068" s="7" t="n">
        <v>-1065143501</v>
      </c>
      <c r="G23068" s="7" t="n">
        <v>1101004800</v>
      </c>
      <c r="H23068" s="7" t="n">
        <v>1101004800</v>
      </c>
    </row>
    <row r="23069" spans="1:5">
      <c r="A23069" t="s">
        <v>4</v>
      </c>
      <c r="B23069" s="4" t="s">
        <v>5</v>
      </c>
      <c r="C23069" s="4" t="s">
        <v>7</v>
      </c>
      <c r="D23069" s="4" t="s">
        <v>11</v>
      </c>
    </row>
    <row r="23070" spans="1:5">
      <c r="A23070" t="n">
        <v>220223</v>
      </c>
      <c r="B23070" s="23" t="n">
        <v>58</v>
      </c>
      <c r="C23070" s="7" t="n">
        <v>255</v>
      </c>
      <c r="D23070" s="7" t="n">
        <v>0</v>
      </c>
    </row>
    <row r="23071" spans="1:5">
      <c r="A23071" t="s">
        <v>4</v>
      </c>
      <c r="B23071" s="4" t="s">
        <v>5</v>
      </c>
      <c r="C23071" s="4" t="s">
        <v>7</v>
      </c>
      <c r="D23071" s="4" t="s">
        <v>11</v>
      </c>
      <c r="E23071" s="4" t="s">
        <v>8</v>
      </c>
      <c r="F23071" s="4" t="s">
        <v>8</v>
      </c>
      <c r="G23071" s="4" t="s">
        <v>8</v>
      </c>
      <c r="H23071" s="4" t="s">
        <v>8</v>
      </c>
    </row>
    <row r="23072" spans="1:5">
      <c r="A23072" t="n">
        <v>220227</v>
      </c>
      <c r="B23072" s="38" t="n">
        <v>51</v>
      </c>
      <c r="C23072" s="7" t="n">
        <v>3</v>
      </c>
      <c r="D23072" s="7" t="n">
        <v>1</v>
      </c>
      <c r="E23072" s="7" t="s">
        <v>65</v>
      </c>
      <c r="F23072" s="7" t="s">
        <v>99</v>
      </c>
      <c r="G23072" s="7" t="s">
        <v>78</v>
      </c>
      <c r="H23072" s="7" t="s">
        <v>79</v>
      </c>
    </row>
    <row r="23073" spans="1:9">
      <c r="A23073" t="s">
        <v>4</v>
      </c>
      <c r="B23073" s="4" t="s">
        <v>5</v>
      </c>
      <c r="C23073" s="4" t="s">
        <v>7</v>
      </c>
      <c r="D23073" s="4" t="s">
        <v>11</v>
      </c>
      <c r="E23073" s="4" t="s">
        <v>8</v>
      </c>
    </row>
    <row r="23074" spans="1:9">
      <c r="A23074" t="n">
        <v>220248</v>
      </c>
      <c r="B23074" s="38" t="n">
        <v>51</v>
      </c>
      <c r="C23074" s="7" t="n">
        <v>4</v>
      </c>
      <c r="D23074" s="7" t="n">
        <v>1</v>
      </c>
      <c r="E23074" s="7" t="s">
        <v>304</v>
      </c>
    </row>
    <row r="23075" spans="1:9">
      <c r="A23075" t="s">
        <v>4</v>
      </c>
      <c r="B23075" s="4" t="s">
        <v>5</v>
      </c>
      <c r="C23075" s="4" t="s">
        <v>11</v>
      </c>
    </row>
    <row r="23076" spans="1:9">
      <c r="A23076" t="n">
        <v>220261</v>
      </c>
      <c r="B23076" s="29" t="n">
        <v>16</v>
      </c>
      <c r="C23076" s="7" t="n">
        <v>0</v>
      </c>
    </row>
    <row r="23077" spans="1:9">
      <c r="A23077" t="s">
        <v>4</v>
      </c>
      <c r="B23077" s="4" t="s">
        <v>5</v>
      </c>
      <c r="C23077" s="4" t="s">
        <v>11</v>
      </c>
      <c r="D23077" s="4" t="s">
        <v>7</v>
      </c>
      <c r="E23077" s="4" t="s">
        <v>15</v>
      </c>
      <c r="F23077" s="4" t="s">
        <v>55</v>
      </c>
      <c r="G23077" s="4" t="s">
        <v>7</v>
      </c>
      <c r="H23077" s="4" t="s">
        <v>7</v>
      </c>
      <c r="I23077" s="4" t="s">
        <v>7</v>
      </c>
      <c r="J23077" s="4" t="s">
        <v>15</v>
      </c>
      <c r="K23077" s="4" t="s">
        <v>55</v>
      </c>
      <c r="L23077" s="4" t="s">
        <v>7</v>
      </c>
      <c r="M23077" s="4" t="s">
        <v>7</v>
      </c>
    </row>
    <row r="23078" spans="1:9">
      <c r="A23078" t="n">
        <v>220264</v>
      </c>
      <c r="B23078" s="55" t="n">
        <v>26</v>
      </c>
      <c r="C23078" s="7" t="n">
        <v>1</v>
      </c>
      <c r="D23078" s="7" t="n">
        <v>17</v>
      </c>
      <c r="E23078" s="7" t="n">
        <v>63782</v>
      </c>
      <c r="F23078" s="7" t="s">
        <v>305</v>
      </c>
      <c r="G23078" s="7" t="n">
        <v>2</v>
      </c>
      <c r="H23078" s="7" t="n">
        <v>3</v>
      </c>
      <c r="I23078" s="7" t="n">
        <v>17</v>
      </c>
      <c r="J23078" s="7" t="n">
        <v>63783</v>
      </c>
      <c r="K23078" s="7" t="s">
        <v>306</v>
      </c>
      <c r="L23078" s="7" t="n">
        <v>2</v>
      </c>
      <c r="M23078" s="7" t="n">
        <v>0</v>
      </c>
    </row>
    <row r="23079" spans="1:9">
      <c r="A23079" t="s">
        <v>4</v>
      </c>
      <c r="B23079" s="4" t="s">
        <v>5</v>
      </c>
    </row>
    <row r="23080" spans="1:9">
      <c r="A23080" t="n">
        <v>220420</v>
      </c>
      <c r="B23080" s="27" t="n">
        <v>28</v>
      </c>
    </row>
    <row r="23081" spans="1:9">
      <c r="A23081" t="s">
        <v>4</v>
      </c>
      <c r="B23081" s="4" t="s">
        <v>5</v>
      </c>
      <c r="C23081" s="4" t="s">
        <v>7</v>
      </c>
      <c r="D23081" s="4" t="s">
        <v>11</v>
      </c>
      <c r="E23081" s="4" t="s">
        <v>8</v>
      </c>
    </row>
    <row r="23082" spans="1:9">
      <c r="A23082" t="n">
        <v>220421</v>
      </c>
      <c r="B23082" s="38" t="n">
        <v>51</v>
      </c>
      <c r="C23082" s="7" t="n">
        <v>4</v>
      </c>
      <c r="D23082" s="7" t="n">
        <v>0</v>
      </c>
      <c r="E23082" s="7" t="s">
        <v>179</v>
      </c>
    </row>
    <row r="23083" spans="1:9">
      <c r="A23083" t="s">
        <v>4</v>
      </c>
      <c r="B23083" s="4" t="s">
        <v>5</v>
      </c>
      <c r="C23083" s="4" t="s">
        <v>11</v>
      </c>
    </row>
    <row r="23084" spans="1:9">
      <c r="A23084" t="n">
        <v>220435</v>
      </c>
      <c r="B23084" s="29" t="n">
        <v>16</v>
      </c>
      <c r="C23084" s="7" t="n">
        <v>0</v>
      </c>
    </row>
    <row r="23085" spans="1:9">
      <c r="A23085" t="s">
        <v>4</v>
      </c>
      <c r="B23085" s="4" t="s">
        <v>5</v>
      </c>
      <c r="C23085" s="4" t="s">
        <v>11</v>
      </c>
      <c r="D23085" s="4" t="s">
        <v>7</v>
      </c>
      <c r="E23085" s="4" t="s">
        <v>15</v>
      </c>
      <c r="F23085" s="4" t="s">
        <v>55</v>
      </c>
      <c r="G23085" s="4" t="s">
        <v>7</v>
      </c>
      <c r="H23085" s="4" t="s">
        <v>7</v>
      </c>
      <c r="I23085" s="4" t="s">
        <v>7</v>
      </c>
      <c r="J23085" s="4" t="s">
        <v>15</v>
      </c>
      <c r="K23085" s="4" t="s">
        <v>55</v>
      </c>
      <c r="L23085" s="4" t="s">
        <v>7</v>
      </c>
      <c r="M23085" s="4" t="s">
        <v>7</v>
      </c>
    </row>
    <row r="23086" spans="1:9">
      <c r="A23086" t="n">
        <v>220438</v>
      </c>
      <c r="B23086" s="55" t="n">
        <v>26</v>
      </c>
      <c r="C23086" s="7" t="n">
        <v>0</v>
      </c>
      <c r="D23086" s="7" t="n">
        <v>17</v>
      </c>
      <c r="E23086" s="7" t="n">
        <v>63784</v>
      </c>
      <c r="F23086" s="7" t="s">
        <v>307</v>
      </c>
      <c r="G23086" s="7" t="n">
        <v>2</v>
      </c>
      <c r="H23086" s="7" t="n">
        <v>3</v>
      </c>
      <c r="I23086" s="7" t="n">
        <v>17</v>
      </c>
      <c r="J23086" s="7" t="n">
        <v>63785</v>
      </c>
      <c r="K23086" s="7" t="s">
        <v>308</v>
      </c>
      <c r="L23086" s="7" t="n">
        <v>2</v>
      </c>
      <c r="M23086" s="7" t="n">
        <v>0</v>
      </c>
    </row>
    <row r="23087" spans="1:9">
      <c r="A23087" t="s">
        <v>4</v>
      </c>
      <c r="B23087" s="4" t="s">
        <v>5</v>
      </c>
    </row>
    <row r="23088" spans="1:9">
      <c r="A23088" t="n">
        <v>220686</v>
      </c>
      <c r="B23088" s="27" t="n">
        <v>28</v>
      </c>
    </row>
    <row r="23089" spans="1:13">
      <c r="A23089" t="s">
        <v>4</v>
      </c>
      <c r="B23089" s="4" t="s">
        <v>5</v>
      </c>
      <c r="C23089" s="4" t="s">
        <v>7</v>
      </c>
      <c r="D23089" s="4" t="s">
        <v>11</v>
      </c>
      <c r="E23089" s="4" t="s">
        <v>8</v>
      </c>
    </row>
    <row r="23090" spans="1:13">
      <c r="A23090" t="n">
        <v>220687</v>
      </c>
      <c r="B23090" s="38" t="n">
        <v>51</v>
      </c>
      <c r="C23090" s="7" t="n">
        <v>4</v>
      </c>
      <c r="D23090" s="7" t="n">
        <v>1</v>
      </c>
      <c r="E23090" s="7" t="s">
        <v>173</v>
      </c>
    </row>
    <row r="23091" spans="1:13">
      <c r="A23091" t="s">
        <v>4</v>
      </c>
      <c r="B23091" s="4" t="s">
        <v>5</v>
      </c>
      <c r="C23091" s="4" t="s">
        <v>11</v>
      </c>
    </row>
    <row r="23092" spans="1:13">
      <c r="A23092" t="n">
        <v>220700</v>
      </c>
      <c r="B23092" s="29" t="n">
        <v>16</v>
      </c>
      <c r="C23092" s="7" t="n">
        <v>0</v>
      </c>
    </row>
    <row r="23093" spans="1:13">
      <c r="A23093" t="s">
        <v>4</v>
      </c>
      <c r="B23093" s="4" t="s">
        <v>5</v>
      </c>
      <c r="C23093" s="4" t="s">
        <v>11</v>
      </c>
      <c r="D23093" s="4" t="s">
        <v>7</v>
      </c>
      <c r="E23093" s="4" t="s">
        <v>15</v>
      </c>
      <c r="F23093" s="4" t="s">
        <v>55</v>
      </c>
      <c r="G23093" s="4" t="s">
        <v>7</v>
      </c>
      <c r="H23093" s="4" t="s">
        <v>7</v>
      </c>
      <c r="I23093" s="4" t="s">
        <v>7</v>
      </c>
      <c r="J23093" s="4" t="s">
        <v>15</v>
      </c>
      <c r="K23093" s="4" t="s">
        <v>55</v>
      </c>
      <c r="L23093" s="4" t="s">
        <v>7</v>
      </c>
      <c r="M23093" s="4" t="s">
        <v>7</v>
      </c>
    </row>
    <row r="23094" spans="1:13">
      <c r="A23094" t="n">
        <v>220703</v>
      </c>
      <c r="B23094" s="55" t="n">
        <v>26</v>
      </c>
      <c r="C23094" s="7" t="n">
        <v>1</v>
      </c>
      <c r="D23094" s="7" t="n">
        <v>17</v>
      </c>
      <c r="E23094" s="7" t="n">
        <v>63786</v>
      </c>
      <c r="F23094" s="7" t="s">
        <v>309</v>
      </c>
      <c r="G23094" s="7" t="n">
        <v>2</v>
      </c>
      <c r="H23094" s="7" t="n">
        <v>3</v>
      </c>
      <c r="I23094" s="7" t="n">
        <v>17</v>
      </c>
      <c r="J23094" s="7" t="n">
        <v>63787</v>
      </c>
      <c r="K23094" s="7" t="s">
        <v>310</v>
      </c>
      <c r="L23094" s="7" t="n">
        <v>2</v>
      </c>
      <c r="M23094" s="7" t="n">
        <v>0</v>
      </c>
    </row>
    <row r="23095" spans="1:13">
      <c r="A23095" t="s">
        <v>4</v>
      </c>
      <c r="B23095" s="4" t="s">
        <v>5</v>
      </c>
    </row>
    <row r="23096" spans="1:13">
      <c r="A23096" t="n">
        <v>220856</v>
      </c>
      <c r="B23096" s="27" t="n">
        <v>28</v>
      </c>
    </row>
    <row r="23097" spans="1:13">
      <c r="A23097" t="s">
        <v>4</v>
      </c>
      <c r="B23097" s="4" t="s">
        <v>5</v>
      </c>
      <c r="C23097" s="4" t="s">
        <v>7</v>
      </c>
      <c r="D23097" s="4" t="s">
        <v>11</v>
      </c>
      <c r="E23097" s="4" t="s">
        <v>8</v>
      </c>
    </row>
    <row r="23098" spans="1:13">
      <c r="A23098" t="n">
        <v>220857</v>
      </c>
      <c r="B23098" s="38" t="n">
        <v>51</v>
      </c>
      <c r="C23098" s="7" t="n">
        <v>4</v>
      </c>
      <c r="D23098" s="7" t="n">
        <v>0</v>
      </c>
      <c r="E23098" s="7" t="s">
        <v>242</v>
      </c>
    </row>
    <row r="23099" spans="1:13">
      <c r="A23099" t="s">
        <v>4</v>
      </c>
      <c r="B23099" s="4" t="s">
        <v>5</v>
      </c>
      <c r="C23099" s="4" t="s">
        <v>11</v>
      </c>
    </row>
    <row r="23100" spans="1:13">
      <c r="A23100" t="n">
        <v>220871</v>
      </c>
      <c r="B23100" s="29" t="n">
        <v>16</v>
      </c>
      <c r="C23100" s="7" t="n">
        <v>0</v>
      </c>
    </row>
    <row r="23101" spans="1:13">
      <c r="A23101" t="s">
        <v>4</v>
      </c>
      <c r="B23101" s="4" t="s">
        <v>5</v>
      </c>
      <c r="C23101" s="4" t="s">
        <v>11</v>
      </c>
      <c r="D23101" s="4" t="s">
        <v>7</v>
      </c>
      <c r="E23101" s="4" t="s">
        <v>15</v>
      </c>
      <c r="F23101" s="4" t="s">
        <v>55</v>
      </c>
      <c r="G23101" s="4" t="s">
        <v>7</v>
      </c>
      <c r="H23101" s="4" t="s">
        <v>7</v>
      </c>
      <c r="I23101" s="4" t="s">
        <v>7</v>
      </c>
      <c r="J23101" s="4" t="s">
        <v>15</v>
      </c>
      <c r="K23101" s="4" t="s">
        <v>55</v>
      </c>
      <c r="L23101" s="4" t="s">
        <v>7</v>
      </c>
      <c r="M23101" s="4" t="s">
        <v>7</v>
      </c>
    </row>
    <row r="23102" spans="1:13">
      <c r="A23102" t="n">
        <v>220874</v>
      </c>
      <c r="B23102" s="55" t="n">
        <v>26</v>
      </c>
      <c r="C23102" s="7" t="n">
        <v>0</v>
      </c>
      <c r="D23102" s="7" t="n">
        <v>17</v>
      </c>
      <c r="E23102" s="7" t="n">
        <v>63788</v>
      </c>
      <c r="F23102" s="7" t="s">
        <v>311</v>
      </c>
      <c r="G23102" s="7" t="n">
        <v>2</v>
      </c>
      <c r="H23102" s="7" t="n">
        <v>3</v>
      </c>
      <c r="I23102" s="7" t="n">
        <v>17</v>
      </c>
      <c r="J23102" s="7" t="n">
        <v>63789</v>
      </c>
      <c r="K23102" s="7" t="s">
        <v>312</v>
      </c>
      <c r="L23102" s="7" t="n">
        <v>2</v>
      </c>
      <c r="M23102" s="7" t="n">
        <v>0</v>
      </c>
    </row>
    <row r="23103" spans="1:13">
      <c r="A23103" t="s">
        <v>4</v>
      </c>
      <c r="B23103" s="4" t="s">
        <v>5</v>
      </c>
    </row>
    <row r="23104" spans="1:13">
      <c r="A23104" t="n">
        <v>221062</v>
      </c>
      <c r="B23104" s="27" t="n">
        <v>28</v>
      </c>
    </row>
    <row r="23105" spans="1:13">
      <c r="A23105" t="s">
        <v>4</v>
      </c>
      <c r="B23105" s="4" t="s">
        <v>5</v>
      </c>
      <c r="C23105" s="4" t="s">
        <v>7</v>
      </c>
      <c r="D23105" s="4" t="s">
        <v>11</v>
      </c>
      <c r="E23105" s="4" t="s">
        <v>8</v>
      </c>
    </row>
    <row r="23106" spans="1:13">
      <c r="A23106" t="n">
        <v>221063</v>
      </c>
      <c r="B23106" s="38" t="n">
        <v>51</v>
      </c>
      <c r="C23106" s="7" t="n">
        <v>4</v>
      </c>
      <c r="D23106" s="7" t="n">
        <v>1</v>
      </c>
      <c r="E23106" s="7" t="s">
        <v>313</v>
      </c>
    </row>
    <row r="23107" spans="1:13">
      <c r="A23107" t="s">
        <v>4</v>
      </c>
      <c r="B23107" s="4" t="s">
        <v>5</v>
      </c>
      <c r="C23107" s="4" t="s">
        <v>11</v>
      </c>
    </row>
    <row r="23108" spans="1:13">
      <c r="A23108" t="n">
        <v>221076</v>
      </c>
      <c r="B23108" s="29" t="n">
        <v>16</v>
      </c>
      <c r="C23108" s="7" t="n">
        <v>0</v>
      </c>
    </row>
    <row r="23109" spans="1:13">
      <c r="A23109" t="s">
        <v>4</v>
      </c>
      <c r="B23109" s="4" t="s">
        <v>5</v>
      </c>
      <c r="C23109" s="4" t="s">
        <v>11</v>
      </c>
      <c r="D23109" s="4" t="s">
        <v>7</v>
      </c>
      <c r="E23109" s="4" t="s">
        <v>15</v>
      </c>
      <c r="F23109" s="4" t="s">
        <v>55</v>
      </c>
      <c r="G23109" s="4" t="s">
        <v>7</v>
      </c>
      <c r="H23109" s="4" t="s">
        <v>7</v>
      </c>
      <c r="I23109" s="4" t="s">
        <v>7</v>
      </c>
      <c r="J23109" s="4" t="s">
        <v>15</v>
      </c>
      <c r="K23109" s="4" t="s">
        <v>55</v>
      </c>
      <c r="L23109" s="4" t="s">
        <v>7</v>
      </c>
      <c r="M23109" s="4" t="s">
        <v>7</v>
      </c>
      <c r="N23109" s="4" t="s">
        <v>7</v>
      </c>
      <c r="O23109" s="4" t="s">
        <v>15</v>
      </c>
      <c r="P23109" s="4" t="s">
        <v>55</v>
      </c>
      <c r="Q23109" s="4" t="s">
        <v>7</v>
      </c>
      <c r="R23109" s="4" t="s">
        <v>7</v>
      </c>
      <c r="S23109" s="4" t="s">
        <v>7</v>
      </c>
      <c r="T23109" s="4" t="s">
        <v>15</v>
      </c>
      <c r="U23109" s="4" t="s">
        <v>55</v>
      </c>
      <c r="V23109" s="4" t="s">
        <v>7</v>
      </c>
      <c r="W23109" s="4" t="s">
        <v>7</v>
      </c>
    </row>
    <row r="23110" spans="1:13">
      <c r="A23110" t="n">
        <v>221079</v>
      </c>
      <c r="B23110" s="55" t="n">
        <v>26</v>
      </c>
      <c r="C23110" s="7" t="n">
        <v>1</v>
      </c>
      <c r="D23110" s="7" t="n">
        <v>17</v>
      </c>
      <c r="E23110" s="7" t="n">
        <v>63790</v>
      </c>
      <c r="F23110" s="7" t="s">
        <v>314</v>
      </c>
      <c r="G23110" s="7" t="n">
        <v>2</v>
      </c>
      <c r="H23110" s="7" t="n">
        <v>3</v>
      </c>
      <c r="I23110" s="7" t="n">
        <v>17</v>
      </c>
      <c r="J23110" s="7" t="n">
        <v>63791</v>
      </c>
      <c r="K23110" s="7" t="s">
        <v>315</v>
      </c>
      <c r="L23110" s="7" t="n">
        <v>2</v>
      </c>
      <c r="M23110" s="7" t="n">
        <v>3</v>
      </c>
      <c r="N23110" s="7" t="n">
        <v>17</v>
      </c>
      <c r="O23110" s="7" t="n">
        <v>63792</v>
      </c>
      <c r="P23110" s="7" t="s">
        <v>316</v>
      </c>
      <c r="Q23110" s="7" t="n">
        <v>2</v>
      </c>
      <c r="R23110" s="7" t="n">
        <v>3</v>
      </c>
      <c r="S23110" s="7" t="n">
        <v>17</v>
      </c>
      <c r="T23110" s="7" t="n">
        <v>63793</v>
      </c>
      <c r="U23110" s="7" t="s">
        <v>317</v>
      </c>
      <c r="V23110" s="7" t="n">
        <v>2</v>
      </c>
      <c r="W23110" s="7" t="n">
        <v>0</v>
      </c>
    </row>
    <row r="23111" spans="1:13">
      <c r="A23111" t="s">
        <v>4</v>
      </c>
      <c r="B23111" s="4" t="s">
        <v>5</v>
      </c>
    </row>
    <row r="23112" spans="1:13">
      <c r="A23112" t="n">
        <v>221475</v>
      </c>
      <c r="B23112" s="27" t="n">
        <v>28</v>
      </c>
    </row>
    <row r="23113" spans="1:13">
      <c r="A23113" t="s">
        <v>4</v>
      </c>
      <c r="B23113" s="4" t="s">
        <v>5</v>
      </c>
      <c r="C23113" s="4" t="s">
        <v>7</v>
      </c>
      <c r="D23113" s="4" t="s">
        <v>11</v>
      </c>
      <c r="E23113" s="4" t="s">
        <v>8</v>
      </c>
    </row>
    <row r="23114" spans="1:13">
      <c r="A23114" t="n">
        <v>221476</v>
      </c>
      <c r="B23114" s="38" t="n">
        <v>51</v>
      </c>
      <c r="C23114" s="7" t="n">
        <v>4</v>
      </c>
      <c r="D23114" s="7" t="n">
        <v>0</v>
      </c>
      <c r="E23114" s="7" t="s">
        <v>147</v>
      </c>
    </row>
    <row r="23115" spans="1:13">
      <c r="A23115" t="s">
        <v>4</v>
      </c>
      <c r="B23115" s="4" t="s">
        <v>5</v>
      </c>
      <c r="C23115" s="4" t="s">
        <v>11</v>
      </c>
    </row>
    <row r="23116" spans="1:13">
      <c r="A23116" t="n">
        <v>221490</v>
      </c>
      <c r="B23116" s="29" t="n">
        <v>16</v>
      </c>
      <c r="C23116" s="7" t="n">
        <v>0</v>
      </c>
    </row>
    <row r="23117" spans="1:13">
      <c r="A23117" t="s">
        <v>4</v>
      </c>
      <c r="B23117" s="4" t="s">
        <v>5</v>
      </c>
      <c r="C23117" s="4" t="s">
        <v>11</v>
      </c>
      <c r="D23117" s="4" t="s">
        <v>7</v>
      </c>
      <c r="E23117" s="4" t="s">
        <v>15</v>
      </c>
      <c r="F23117" s="4" t="s">
        <v>55</v>
      </c>
      <c r="G23117" s="4" t="s">
        <v>7</v>
      </c>
      <c r="H23117" s="4" t="s">
        <v>7</v>
      </c>
    </row>
    <row r="23118" spans="1:13">
      <c r="A23118" t="n">
        <v>221493</v>
      </c>
      <c r="B23118" s="55" t="n">
        <v>26</v>
      </c>
      <c r="C23118" s="7" t="n">
        <v>0</v>
      </c>
      <c r="D23118" s="7" t="n">
        <v>17</v>
      </c>
      <c r="E23118" s="7" t="n">
        <v>64268</v>
      </c>
      <c r="F23118" s="7" t="s">
        <v>318</v>
      </c>
      <c r="G23118" s="7" t="n">
        <v>2</v>
      </c>
      <c r="H23118" s="7" t="n">
        <v>0</v>
      </c>
    </row>
    <row r="23119" spans="1:13">
      <c r="A23119" t="s">
        <v>4</v>
      </c>
      <c r="B23119" s="4" t="s">
        <v>5</v>
      </c>
    </row>
    <row r="23120" spans="1:13">
      <c r="A23120" t="n">
        <v>221509</v>
      </c>
      <c r="B23120" s="27" t="n">
        <v>28</v>
      </c>
    </row>
    <row r="23121" spans="1:23">
      <c r="A23121" t="s">
        <v>4</v>
      </c>
      <c r="B23121" s="4" t="s">
        <v>5</v>
      </c>
      <c r="C23121" s="4" t="s">
        <v>7</v>
      </c>
      <c r="D23121" s="4" t="s">
        <v>11</v>
      </c>
      <c r="E23121" s="4" t="s">
        <v>7</v>
      </c>
    </row>
    <row r="23122" spans="1:23">
      <c r="A23122" t="n">
        <v>221510</v>
      </c>
      <c r="B23122" s="13" t="n">
        <v>49</v>
      </c>
      <c r="C23122" s="7" t="n">
        <v>1</v>
      </c>
      <c r="D23122" s="7" t="n">
        <v>3000</v>
      </c>
      <c r="E23122" s="7" t="n">
        <v>0</v>
      </c>
    </row>
    <row r="23123" spans="1:23">
      <c r="A23123" t="s">
        <v>4</v>
      </c>
      <c r="B23123" s="4" t="s">
        <v>5</v>
      </c>
      <c r="C23123" s="4" t="s">
        <v>7</v>
      </c>
      <c r="D23123" s="4" t="s">
        <v>11</v>
      </c>
      <c r="E23123" s="4" t="s">
        <v>8</v>
      </c>
      <c r="F23123" s="4" t="s">
        <v>8</v>
      </c>
      <c r="G23123" s="4" t="s">
        <v>8</v>
      </c>
      <c r="H23123" s="4" t="s">
        <v>8</v>
      </c>
    </row>
    <row r="23124" spans="1:23">
      <c r="A23124" t="n">
        <v>221515</v>
      </c>
      <c r="B23124" s="38" t="n">
        <v>51</v>
      </c>
      <c r="C23124" s="7" t="n">
        <v>3</v>
      </c>
      <c r="D23124" s="7" t="n">
        <v>1</v>
      </c>
      <c r="E23124" s="7" t="s">
        <v>319</v>
      </c>
      <c r="F23124" s="7" t="s">
        <v>99</v>
      </c>
      <c r="G23124" s="7" t="s">
        <v>78</v>
      </c>
      <c r="H23124" s="7" t="s">
        <v>79</v>
      </c>
    </row>
    <row r="23125" spans="1:23">
      <c r="A23125" t="s">
        <v>4</v>
      </c>
      <c r="B23125" s="4" t="s">
        <v>5</v>
      </c>
      <c r="C23125" s="4" t="s">
        <v>11</v>
      </c>
      <c r="D23125" s="4" t="s">
        <v>7</v>
      </c>
      <c r="E23125" s="4" t="s">
        <v>13</v>
      </c>
      <c r="F23125" s="4" t="s">
        <v>11</v>
      </c>
    </row>
    <row r="23126" spans="1:23">
      <c r="A23126" t="n">
        <v>221528</v>
      </c>
      <c r="B23126" s="56" t="n">
        <v>59</v>
      </c>
      <c r="C23126" s="7" t="n">
        <v>1</v>
      </c>
      <c r="D23126" s="7" t="n">
        <v>9</v>
      </c>
      <c r="E23126" s="7" t="n">
        <v>0.150000005960464</v>
      </c>
      <c r="F23126" s="7" t="n">
        <v>0</v>
      </c>
    </row>
    <row r="23127" spans="1:23">
      <c r="A23127" t="s">
        <v>4</v>
      </c>
      <c r="B23127" s="4" t="s">
        <v>5</v>
      </c>
      <c r="C23127" s="4" t="s">
        <v>11</v>
      </c>
    </row>
    <row r="23128" spans="1:23">
      <c r="A23128" t="n">
        <v>221538</v>
      </c>
      <c r="B23128" s="29" t="n">
        <v>16</v>
      </c>
      <c r="C23128" s="7" t="n">
        <v>1800</v>
      </c>
    </row>
    <row r="23129" spans="1:23">
      <c r="A23129" t="s">
        <v>4</v>
      </c>
      <c r="B23129" s="4" t="s">
        <v>5</v>
      </c>
      <c r="C23129" s="4" t="s">
        <v>7</v>
      </c>
      <c r="D23129" s="4" t="s">
        <v>11</v>
      </c>
      <c r="E23129" s="4" t="s">
        <v>13</v>
      </c>
    </row>
    <row r="23130" spans="1:23">
      <c r="A23130" t="n">
        <v>221541</v>
      </c>
      <c r="B23130" s="23" t="n">
        <v>58</v>
      </c>
      <c r="C23130" s="7" t="n">
        <v>101</v>
      </c>
      <c r="D23130" s="7" t="n">
        <v>800</v>
      </c>
      <c r="E23130" s="7" t="n">
        <v>1</v>
      </c>
    </row>
    <row r="23131" spans="1:23">
      <c r="A23131" t="s">
        <v>4</v>
      </c>
      <c r="B23131" s="4" t="s">
        <v>5</v>
      </c>
      <c r="C23131" s="4" t="s">
        <v>7</v>
      </c>
      <c r="D23131" s="4" t="s">
        <v>11</v>
      </c>
    </row>
    <row r="23132" spans="1:23">
      <c r="A23132" t="n">
        <v>221549</v>
      </c>
      <c r="B23132" s="23" t="n">
        <v>58</v>
      </c>
      <c r="C23132" s="7" t="n">
        <v>254</v>
      </c>
      <c r="D23132" s="7" t="n">
        <v>0</v>
      </c>
    </row>
    <row r="23133" spans="1:23">
      <c r="A23133" t="s">
        <v>4</v>
      </c>
      <c r="B23133" s="4" t="s">
        <v>5</v>
      </c>
      <c r="C23133" s="4" t="s">
        <v>7</v>
      </c>
      <c r="D23133" s="4" t="s">
        <v>7</v>
      </c>
      <c r="E23133" s="4" t="s">
        <v>13</v>
      </c>
      <c r="F23133" s="4" t="s">
        <v>13</v>
      </c>
      <c r="G23133" s="4" t="s">
        <v>13</v>
      </c>
      <c r="H23133" s="4" t="s">
        <v>11</v>
      </c>
    </row>
    <row r="23134" spans="1:23">
      <c r="A23134" t="n">
        <v>221553</v>
      </c>
      <c r="B23134" s="51" t="n">
        <v>45</v>
      </c>
      <c r="C23134" s="7" t="n">
        <v>2</v>
      </c>
      <c r="D23134" s="7" t="n">
        <v>3</v>
      </c>
      <c r="E23134" s="7" t="n">
        <v>-7.36999988555908</v>
      </c>
      <c r="F23134" s="7" t="n">
        <v>6.36999988555908</v>
      </c>
      <c r="G23134" s="7" t="n">
        <v>29.8199996948242</v>
      </c>
      <c r="H23134" s="7" t="n">
        <v>0</v>
      </c>
    </row>
    <row r="23135" spans="1:23">
      <c r="A23135" t="s">
        <v>4</v>
      </c>
      <c r="B23135" s="4" t="s">
        <v>5</v>
      </c>
      <c r="C23135" s="4" t="s">
        <v>7</v>
      </c>
      <c r="D23135" s="4" t="s">
        <v>7</v>
      </c>
      <c r="E23135" s="4" t="s">
        <v>13</v>
      </c>
      <c r="F23135" s="4" t="s">
        <v>13</v>
      </c>
      <c r="G23135" s="4" t="s">
        <v>13</v>
      </c>
      <c r="H23135" s="4" t="s">
        <v>11</v>
      </c>
      <c r="I23135" s="4" t="s">
        <v>7</v>
      </c>
    </row>
    <row r="23136" spans="1:23">
      <c r="A23136" t="n">
        <v>221570</v>
      </c>
      <c r="B23136" s="51" t="n">
        <v>45</v>
      </c>
      <c r="C23136" s="7" t="n">
        <v>4</v>
      </c>
      <c r="D23136" s="7" t="n">
        <v>3</v>
      </c>
      <c r="E23136" s="7" t="n">
        <v>10.3299999237061</v>
      </c>
      <c r="F23136" s="7" t="n">
        <v>61.2000007629395</v>
      </c>
      <c r="G23136" s="7" t="n">
        <v>356</v>
      </c>
      <c r="H23136" s="7" t="n">
        <v>0</v>
      </c>
      <c r="I23136" s="7" t="n">
        <v>0</v>
      </c>
    </row>
    <row r="23137" spans="1:9">
      <c r="A23137" t="s">
        <v>4</v>
      </c>
      <c r="B23137" s="4" t="s">
        <v>5</v>
      </c>
      <c r="C23137" s="4" t="s">
        <v>7</v>
      </c>
      <c r="D23137" s="4" t="s">
        <v>7</v>
      </c>
      <c r="E23137" s="4" t="s">
        <v>13</v>
      </c>
      <c r="F23137" s="4" t="s">
        <v>11</v>
      </c>
    </row>
    <row r="23138" spans="1:9">
      <c r="A23138" t="n">
        <v>221588</v>
      </c>
      <c r="B23138" s="51" t="n">
        <v>45</v>
      </c>
      <c r="C23138" s="7" t="n">
        <v>5</v>
      </c>
      <c r="D23138" s="7" t="n">
        <v>3</v>
      </c>
      <c r="E23138" s="7" t="n">
        <v>0.800000011920929</v>
      </c>
      <c r="F23138" s="7" t="n">
        <v>0</v>
      </c>
    </row>
    <row r="23139" spans="1:9">
      <c r="A23139" t="s">
        <v>4</v>
      </c>
      <c r="B23139" s="4" t="s">
        <v>5</v>
      </c>
      <c r="C23139" s="4" t="s">
        <v>7</v>
      </c>
      <c r="D23139" s="4" t="s">
        <v>7</v>
      </c>
      <c r="E23139" s="4" t="s">
        <v>13</v>
      </c>
      <c r="F23139" s="4" t="s">
        <v>11</v>
      </c>
    </row>
    <row r="23140" spans="1:9">
      <c r="A23140" t="n">
        <v>221597</v>
      </c>
      <c r="B23140" s="51" t="n">
        <v>45</v>
      </c>
      <c r="C23140" s="7" t="n">
        <v>11</v>
      </c>
      <c r="D23140" s="7" t="n">
        <v>3</v>
      </c>
      <c r="E23140" s="7" t="n">
        <v>40.2999992370605</v>
      </c>
      <c r="F23140" s="7" t="n">
        <v>0</v>
      </c>
    </row>
    <row r="23141" spans="1:9">
      <c r="A23141" t="s">
        <v>4</v>
      </c>
      <c r="B23141" s="4" t="s">
        <v>5</v>
      </c>
      <c r="C23141" s="4" t="s">
        <v>7</v>
      </c>
    </row>
    <row r="23142" spans="1:9">
      <c r="A23142" t="n">
        <v>221606</v>
      </c>
      <c r="B23142" s="49" t="n">
        <v>116</v>
      </c>
      <c r="C23142" s="7" t="n">
        <v>0</v>
      </c>
    </row>
    <row r="23143" spans="1:9">
      <c r="A23143" t="s">
        <v>4</v>
      </c>
      <c r="B23143" s="4" t="s">
        <v>5</v>
      </c>
      <c r="C23143" s="4" t="s">
        <v>7</v>
      </c>
      <c r="D23143" s="4" t="s">
        <v>11</v>
      </c>
    </row>
    <row r="23144" spans="1:9">
      <c r="A23144" t="n">
        <v>221608</v>
      </c>
      <c r="B23144" s="49" t="n">
        <v>116</v>
      </c>
      <c r="C23144" s="7" t="n">
        <v>2</v>
      </c>
      <c r="D23144" s="7" t="n">
        <v>1</v>
      </c>
    </row>
    <row r="23145" spans="1:9">
      <c r="A23145" t="s">
        <v>4</v>
      </c>
      <c r="B23145" s="4" t="s">
        <v>5</v>
      </c>
      <c r="C23145" s="4" t="s">
        <v>7</v>
      </c>
      <c r="D23145" s="4" t="s">
        <v>15</v>
      </c>
    </row>
    <row r="23146" spans="1:9">
      <c r="A23146" t="n">
        <v>221612</v>
      </c>
      <c r="B23146" s="49" t="n">
        <v>116</v>
      </c>
      <c r="C23146" s="7" t="n">
        <v>5</v>
      </c>
      <c r="D23146" s="7" t="n">
        <v>1077936128</v>
      </c>
    </row>
    <row r="23147" spans="1:9">
      <c r="A23147" t="s">
        <v>4</v>
      </c>
      <c r="B23147" s="4" t="s">
        <v>5</v>
      </c>
      <c r="C23147" s="4" t="s">
        <v>7</v>
      </c>
      <c r="D23147" s="4" t="s">
        <v>11</v>
      </c>
    </row>
    <row r="23148" spans="1:9">
      <c r="A23148" t="n">
        <v>221618</v>
      </c>
      <c r="B23148" s="49" t="n">
        <v>116</v>
      </c>
      <c r="C23148" s="7" t="n">
        <v>6</v>
      </c>
      <c r="D23148" s="7" t="n">
        <v>1</v>
      </c>
    </row>
    <row r="23149" spans="1:9">
      <c r="A23149" t="s">
        <v>4</v>
      </c>
      <c r="B23149" s="4" t="s">
        <v>5</v>
      </c>
      <c r="C23149" s="4" t="s">
        <v>7</v>
      </c>
      <c r="D23149" s="4" t="s">
        <v>11</v>
      </c>
      <c r="E23149" s="4" t="s">
        <v>8</v>
      </c>
      <c r="F23149" s="4" t="s">
        <v>8</v>
      </c>
      <c r="G23149" s="4" t="s">
        <v>8</v>
      </c>
      <c r="H23149" s="4" t="s">
        <v>8</v>
      </c>
    </row>
    <row r="23150" spans="1:9">
      <c r="A23150" t="n">
        <v>221622</v>
      </c>
      <c r="B23150" s="38" t="n">
        <v>51</v>
      </c>
      <c r="C23150" s="7" t="n">
        <v>3</v>
      </c>
      <c r="D23150" s="7" t="n">
        <v>1</v>
      </c>
      <c r="E23150" s="7" t="s">
        <v>232</v>
      </c>
      <c r="F23150" s="7" t="s">
        <v>99</v>
      </c>
      <c r="G23150" s="7" t="s">
        <v>78</v>
      </c>
      <c r="H23150" s="7" t="s">
        <v>79</v>
      </c>
    </row>
    <row r="23151" spans="1:9">
      <c r="A23151" t="s">
        <v>4</v>
      </c>
      <c r="B23151" s="4" t="s">
        <v>5</v>
      </c>
      <c r="C23151" s="4" t="s">
        <v>11</v>
      </c>
      <c r="D23151" s="4" t="s">
        <v>11</v>
      </c>
      <c r="E23151" s="4" t="s">
        <v>13</v>
      </c>
      <c r="F23151" s="4" t="s">
        <v>7</v>
      </c>
    </row>
    <row r="23152" spans="1:9">
      <c r="A23152" t="n">
        <v>221635</v>
      </c>
      <c r="B23152" s="73" t="n">
        <v>53</v>
      </c>
      <c r="C23152" s="7" t="n">
        <v>0</v>
      </c>
      <c r="D23152" s="7" t="n">
        <v>1</v>
      </c>
      <c r="E23152" s="7" t="n">
        <v>0</v>
      </c>
      <c r="F23152" s="7" t="n">
        <v>0</v>
      </c>
    </row>
    <row r="23153" spans="1:8">
      <c r="A23153" t="s">
        <v>4</v>
      </c>
      <c r="B23153" s="4" t="s">
        <v>5</v>
      </c>
      <c r="C23153" s="4" t="s">
        <v>7</v>
      </c>
      <c r="D23153" s="4" t="s">
        <v>11</v>
      </c>
    </row>
    <row r="23154" spans="1:8">
      <c r="A23154" t="n">
        <v>221645</v>
      </c>
      <c r="B23154" s="23" t="n">
        <v>58</v>
      </c>
      <c r="C23154" s="7" t="n">
        <v>255</v>
      </c>
      <c r="D23154" s="7" t="n">
        <v>0</v>
      </c>
    </row>
    <row r="23155" spans="1:8">
      <c r="A23155" t="s">
        <v>4</v>
      </c>
      <c r="B23155" s="4" t="s">
        <v>5</v>
      </c>
      <c r="C23155" s="4" t="s">
        <v>11</v>
      </c>
      <c r="D23155" s="4" t="s">
        <v>11</v>
      </c>
      <c r="E23155" s="4" t="s">
        <v>13</v>
      </c>
      <c r="F23155" s="4" t="s">
        <v>7</v>
      </c>
    </row>
    <row r="23156" spans="1:8">
      <c r="A23156" t="n">
        <v>221649</v>
      </c>
      <c r="B23156" s="73" t="n">
        <v>53</v>
      </c>
      <c r="C23156" s="7" t="n">
        <v>1</v>
      </c>
      <c r="D23156" s="7" t="n">
        <v>0</v>
      </c>
      <c r="E23156" s="7" t="n">
        <v>5</v>
      </c>
      <c r="F23156" s="7" t="n">
        <v>0</v>
      </c>
    </row>
    <row r="23157" spans="1:8">
      <c r="A23157" t="s">
        <v>4</v>
      </c>
      <c r="B23157" s="4" t="s">
        <v>5</v>
      </c>
      <c r="C23157" s="4" t="s">
        <v>11</v>
      </c>
    </row>
    <row r="23158" spans="1:8">
      <c r="A23158" t="n">
        <v>221659</v>
      </c>
      <c r="B23158" s="66" t="n">
        <v>54</v>
      </c>
      <c r="C23158" s="7" t="n">
        <v>1</v>
      </c>
    </row>
    <row r="23159" spans="1:8">
      <c r="A23159" t="s">
        <v>4</v>
      </c>
      <c r="B23159" s="4" t="s">
        <v>5</v>
      </c>
      <c r="C23159" s="4" t="s">
        <v>7</v>
      </c>
      <c r="D23159" s="4" t="s">
        <v>7</v>
      </c>
    </row>
    <row r="23160" spans="1:8">
      <c r="A23160" t="n">
        <v>221662</v>
      </c>
      <c r="B23160" s="13" t="n">
        <v>49</v>
      </c>
      <c r="C23160" s="7" t="n">
        <v>2</v>
      </c>
      <c r="D23160" s="7" t="n">
        <v>0</v>
      </c>
    </row>
    <row r="23161" spans="1:8">
      <c r="A23161" t="s">
        <v>4</v>
      </c>
      <c r="B23161" s="4" t="s">
        <v>5</v>
      </c>
      <c r="C23161" s="4" t="s">
        <v>7</v>
      </c>
      <c r="D23161" s="4" t="s">
        <v>11</v>
      </c>
      <c r="E23161" s="4" t="s">
        <v>15</v>
      </c>
      <c r="F23161" s="4" t="s">
        <v>11</v>
      </c>
      <c r="G23161" s="4" t="s">
        <v>15</v>
      </c>
      <c r="H23161" s="4" t="s">
        <v>7</v>
      </c>
    </row>
    <row r="23162" spans="1:8">
      <c r="A23162" t="n">
        <v>221665</v>
      </c>
      <c r="B23162" s="13" t="n">
        <v>49</v>
      </c>
      <c r="C23162" s="7" t="n">
        <v>0</v>
      </c>
      <c r="D23162" s="7" t="n">
        <v>551</v>
      </c>
      <c r="E23162" s="7" t="n">
        <v>1061997773</v>
      </c>
      <c r="F23162" s="7" t="n">
        <v>0</v>
      </c>
      <c r="G23162" s="7" t="n">
        <v>0</v>
      </c>
      <c r="H23162" s="7" t="n">
        <v>0</v>
      </c>
    </row>
    <row r="23163" spans="1:8">
      <c r="A23163" t="s">
        <v>4</v>
      </c>
      <c r="B23163" s="4" t="s">
        <v>5</v>
      </c>
      <c r="C23163" s="4" t="s">
        <v>7</v>
      </c>
      <c r="D23163" s="4" t="s">
        <v>11</v>
      </c>
    </row>
    <row r="23164" spans="1:8">
      <c r="A23164" t="n">
        <v>221680</v>
      </c>
      <c r="B23164" s="13" t="n">
        <v>49</v>
      </c>
      <c r="C23164" s="7" t="n">
        <v>6</v>
      </c>
      <c r="D23164" s="7" t="n">
        <v>551</v>
      </c>
    </row>
    <row r="23165" spans="1:8">
      <c r="A23165" t="s">
        <v>4</v>
      </c>
      <c r="B23165" s="4" t="s">
        <v>5</v>
      </c>
      <c r="C23165" s="4" t="s">
        <v>11</v>
      </c>
    </row>
    <row r="23166" spans="1:8">
      <c r="A23166" t="n">
        <v>221684</v>
      </c>
      <c r="B23166" s="29" t="n">
        <v>16</v>
      </c>
      <c r="C23166" s="7" t="n">
        <v>500</v>
      </c>
    </row>
    <row r="23167" spans="1:8">
      <c r="A23167" t="s">
        <v>4</v>
      </c>
      <c r="B23167" s="4" t="s">
        <v>5</v>
      </c>
      <c r="C23167" s="4" t="s">
        <v>7</v>
      </c>
      <c r="D23167" s="4" t="s">
        <v>11</v>
      </c>
      <c r="E23167" s="4" t="s">
        <v>8</v>
      </c>
    </row>
    <row r="23168" spans="1:8">
      <c r="A23168" t="n">
        <v>221687</v>
      </c>
      <c r="B23168" s="38" t="n">
        <v>51</v>
      </c>
      <c r="C23168" s="7" t="n">
        <v>4</v>
      </c>
      <c r="D23168" s="7" t="n">
        <v>1</v>
      </c>
      <c r="E23168" s="7" t="s">
        <v>167</v>
      </c>
    </row>
    <row r="23169" spans="1:8">
      <c r="A23169" t="s">
        <v>4</v>
      </c>
      <c r="B23169" s="4" t="s">
        <v>5</v>
      </c>
      <c r="C23169" s="4" t="s">
        <v>11</v>
      </c>
    </row>
    <row r="23170" spans="1:8">
      <c r="A23170" t="n">
        <v>221701</v>
      </c>
      <c r="B23170" s="29" t="n">
        <v>16</v>
      </c>
      <c r="C23170" s="7" t="n">
        <v>0</v>
      </c>
    </row>
    <row r="23171" spans="1:8">
      <c r="A23171" t="s">
        <v>4</v>
      </c>
      <c r="B23171" s="4" t="s">
        <v>5</v>
      </c>
      <c r="C23171" s="4" t="s">
        <v>11</v>
      </c>
      <c r="D23171" s="4" t="s">
        <v>7</v>
      </c>
      <c r="E23171" s="4" t="s">
        <v>15</v>
      </c>
      <c r="F23171" s="4" t="s">
        <v>55</v>
      </c>
      <c r="G23171" s="4" t="s">
        <v>7</v>
      </c>
      <c r="H23171" s="4" t="s">
        <v>7</v>
      </c>
      <c r="I23171" s="4" t="s">
        <v>7</v>
      </c>
      <c r="J23171" s="4" t="s">
        <v>15</v>
      </c>
      <c r="K23171" s="4" t="s">
        <v>55</v>
      </c>
      <c r="L23171" s="4" t="s">
        <v>7</v>
      </c>
      <c r="M23171" s="4" t="s">
        <v>7</v>
      </c>
    </row>
    <row r="23172" spans="1:8">
      <c r="A23172" t="n">
        <v>221704</v>
      </c>
      <c r="B23172" s="55" t="n">
        <v>26</v>
      </c>
      <c r="C23172" s="7" t="n">
        <v>1</v>
      </c>
      <c r="D23172" s="7" t="n">
        <v>17</v>
      </c>
      <c r="E23172" s="7" t="n">
        <v>1800</v>
      </c>
      <c r="F23172" s="7" t="s">
        <v>320</v>
      </c>
      <c r="G23172" s="7" t="n">
        <v>2</v>
      </c>
      <c r="H23172" s="7" t="n">
        <v>3</v>
      </c>
      <c r="I23172" s="7" t="n">
        <v>17</v>
      </c>
      <c r="J23172" s="7" t="n">
        <v>1801</v>
      </c>
      <c r="K23172" s="7" t="s">
        <v>321</v>
      </c>
      <c r="L23172" s="7" t="n">
        <v>2</v>
      </c>
      <c r="M23172" s="7" t="n">
        <v>0</v>
      </c>
    </row>
    <row r="23173" spans="1:8">
      <c r="A23173" t="s">
        <v>4</v>
      </c>
      <c r="B23173" s="4" t="s">
        <v>5</v>
      </c>
    </row>
    <row r="23174" spans="1:8">
      <c r="A23174" t="n">
        <v>221794</v>
      </c>
      <c r="B23174" s="27" t="n">
        <v>28</v>
      </c>
    </row>
    <row r="23175" spans="1:8">
      <c r="A23175" t="s">
        <v>4</v>
      </c>
      <c r="B23175" s="4" t="s">
        <v>5</v>
      </c>
      <c r="C23175" s="4" t="s">
        <v>7</v>
      </c>
      <c r="D23175" s="4" t="s">
        <v>11</v>
      </c>
      <c r="E23175" s="4" t="s">
        <v>8</v>
      </c>
    </row>
    <row r="23176" spans="1:8">
      <c r="A23176" t="n">
        <v>221795</v>
      </c>
      <c r="B23176" s="38" t="n">
        <v>51</v>
      </c>
      <c r="C23176" s="7" t="n">
        <v>4</v>
      </c>
      <c r="D23176" s="7" t="n">
        <v>0</v>
      </c>
      <c r="E23176" s="7" t="s">
        <v>322</v>
      </c>
    </row>
    <row r="23177" spans="1:8">
      <c r="A23177" t="s">
        <v>4</v>
      </c>
      <c r="B23177" s="4" t="s">
        <v>5</v>
      </c>
      <c r="C23177" s="4" t="s">
        <v>11</v>
      </c>
    </row>
    <row r="23178" spans="1:8">
      <c r="A23178" t="n">
        <v>221809</v>
      </c>
      <c r="B23178" s="29" t="n">
        <v>16</v>
      </c>
      <c r="C23178" s="7" t="n">
        <v>0</v>
      </c>
    </row>
    <row r="23179" spans="1:8">
      <c r="A23179" t="s">
        <v>4</v>
      </c>
      <c r="B23179" s="4" t="s">
        <v>5</v>
      </c>
      <c r="C23179" s="4" t="s">
        <v>11</v>
      </c>
      <c r="D23179" s="4" t="s">
        <v>7</v>
      </c>
      <c r="E23179" s="4" t="s">
        <v>15</v>
      </c>
      <c r="F23179" s="4" t="s">
        <v>55</v>
      </c>
      <c r="G23179" s="4" t="s">
        <v>7</v>
      </c>
      <c r="H23179" s="4" t="s">
        <v>7</v>
      </c>
    </row>
    <row r="23180" spans="1:8">
      <c r="A23180" t="n">
        <v>221812</v>
      </c>
      <c r="B23180" s="55" t="n">
        <v>26</v>
      </c>
      <c r="C23180" s="7" t="n">
        <v>0</v>
      </c>
      <c r="D23180" s="7" t="n">
        <v>17</v>
      </c>
      <c r="E23180" s="7" t="n">
        <v>63794</v>
      </c>
      <c r="F23180" s="7" t="s">
        <v>323</v>
      </c>
      <c r="G23180" s="7" t="n">
        <v>2</v>
      </c>
      <c r="H23180" s="7" t="n">
        <v>0</v>
      </c>
    </row>
    <row r="23181" spans="1:8">
      <c r="A23181" t="s">
        <v>4</v>
      </c>
      <c r="B23181" s="4" t="s">
        <v>5</v>
      </c>
    </row>
    <row r="23182" spans="1:8">
      <c r="A23182" t="n">
        <v>221839</v>
      </c>
      <c r="B23182" s="27" t="n">
        <v>28</v>
      </c>
    </row>
    <row r="23183" spans="1:8">
      <c r="A23183" t="s">
        <v>4</v>
      </c>
      <c r="B23183" s="4" t="s">
        <v>5</v>
      </c>
      <c r="C23183" s="4" t="s">
        <v>7</v>
      </c>
      <c r="D23183" s="4" t="s">
        <v>13</v>
      </c>
      <c r="E23183" s="4" t="s">
        <v>11</v>
      </c>
      <c r="F23183" s="4" t="s">
        <v>7</v>
      </c>
    </row>
    <row r="23184" spans="1:8">
      <c r="A23184" t="n">
        <v>221840</v>
      </c>
      <c r="B23184" s="13" t="n">
        <v>49</v>
      </c>
      <c r="C23184" s="7" t="n">
        <v>3</v>
      </c>
      <c r="D23184" s="7" t="n">
        <v>0.600000023841858</v>
      </c>
      <c r="E23184" s="7" t="n">
        <v>500</v>
      </c>
      <c r="F23184" s="7" t="n">
        <v>0</v>
      </c>
    </row>
    <row r="23185" spans="1:13">
      <c r="A23185" t="s">
        <v>4</v>
      </c>
      <c r="B23185" s="4" t="s">
        <v>5</v>
      </c>
      <c r="C23185" s="4" t="s">
        <v>7</v>
      </c>
      <c r="D23185" s="4" t="s">
        <v>7</v>
      </c>
      <c r="E23185" s="4" t="s">
        <v>7</v>
      </c>
      <c r="F23185" s="4" t="s">
        <v>13</v>
      </c>
      <c r="G23185" s="4" t="s">
        <v>13</v>
      </c>
      <c r="H23185" s="4" t="s">
        <v>13</v>
      </c>
      <c r="I23185" s="4" t="s">
        <v>13</v>
      </c>
      <c r="J23185" s="4" t="s">
        <v>13</v>
      </c>
    </row>
    <row r="23186" spans="1:13">
      <c r="A23186" t="n">
        <v>221849</v>
      </c>
      <c r="B23186" s="25" t="n">
        <v>76</v>
      </c>
      <c r="C23186" s="7" t="n">
        <v>1</v>
      </c>
      <c r="D23186" s="7" t="n">
        <v>3</v>
      </c>
      <c r="E23186" s="7" t="n">
        <v>0</v>
      </c>
      <c r="F23186" s="7" t="n">
        <v>1</v>
      </c>
      <c r="G23186" s="7" t="n">
        <v>1</v>
      </c>
      <c r="H23186" s="7" t="n">
        <v>1</v>
      </c>
      <c r="I23186" s="7" t="n">
        <v>1</v>
      </c>
      <c r="J23186" s="7" t="n">
        <v>1000</v>
      </c>
    </row>
    <row r="23187" spans="1:13">
      <c r="A23187" t="s">
        <v>4</v>
      </c>
      <c r="B23187" s="4" t="s">
        <v>5</v>
      </c>
      <c r="C23187" s="4" t="s">
        <v>7</v>
      </c>
      <c r="D23187" s="4" t="s">
        <v>7</v>
      </c>
    </row>
    <row r="23188" spans="1:13">
      <c r="A23188" t="n">
        <v>221873</v>
      </c>
      <c r="B23188" s="26" t="n">
        <v>77</v>
      </c>
      <c r="C23188" s="7" t="n">
        <v>1</v>
      </c>
      <c r="D23188" s="7" t="n">
        <v>3</v>
      </c>
    </row>
    <row r="23189" spans="1:13">
      <c r="A23189" t="s">
        <v>4</v>
      </c>
      <c r="B23189" s="4" t="s">
        <v>5</v>
      </c>
      <c r="C23189" s="4" t="s">
        <v>11</v>
      </c>
    </row>
    <row r="23190" spans="1:13">
      <c r="A23190" t="n">
        <v>221876</v>
      </c>
      <c r="B23190" s="29" t="n">
        <v>16</v>
      </c>
      <c r="C23190" s="7" t="n">
        <v>2000</v>
      </c>
    </row>
    <row r="23191" spans="1:13">
      <c r="A23191" t="s">
        <v>4</v>
      </c>
      <c r="B23191" s="4" t="s">
        <v>5</v>
      </c>
      <c r="C23191" s="4" t="s">
        <v>7</v>
      </c>
      <c r="D23191" s="4" t="s">
        <v>13</v>
      </c>
      <c r="E23191" s="4" t="s">
        <v>11</v>
      </c>
      <c r="F23191" s="4" t="s">
        <v>7</v>
      </c>
    </row>
    <row r="23192" spans="1:13">
      <c r="A23192" t="n">
        <v>221879</v>
      </c>
      <c r="B23192" s="13" t="n">
        <v>49</v>
      </c>
      <c r="C23192" s="7" t="n">
        <v>3</v>
      </c>
      <c r="D23192" s="7" t="n">
        <v>0.800000011920929</v>
      </c>
      <c r="E23192" s="7" t="n">
        <v>1000</v>
      </c>
      <c r="F23192" s="7" t="n">
        <v>0</v>
      </c>
    </row>
    <row r="23193" spans="1:13">
      <c r="A23193" t="s">
        <v>4</v>
      </c>
      <c r="B23193" s="4" t="s">
        <v>5</v>
      </c>
      <c r="C23193" s="4" t="s">
        <v>7</v>
      </c>
      <c r="D23193" s="4" t="s">
        <v>7</v>
      </c>
      <c r="E23193" s="4" t="s">
        <v>7</v>
      </c>
      <c r="F23193" s="4" t="s">
        <v>13</v>
      </c>
      <c r="G23193" s="4" t="s">
        <v>13</v>
      </c>
      <c r="H23193" s="4" t="s">
        <v>13</v>
      </c>
      <c r="I23193" s="4" t="s">
        <v>13</v>
      </c>
      <c r="J23193" s="4" t="s">
        <v>13</v>
      </c>
    </row>
    <row r="23194" spans="1:13">
      <c r="A23194" t="n">
        <v>221888</v>
      </c>
      <c r="B23194" s="25" t="n">
        <v>76</v>
      </c>
      <c r="C23194" s="7" t="n">
        <v>1</v>
      </c>
      <c r="D23194" s="7" t="n">
        <v>3</v>
      </c>
      <c r="E23194" s="7" t="n">
        <v>0</v>
      </c>
      <c r="F23194" s="7" t="n">
        <v>1</v>
      </c>
      <c r="G23194" s="7" t="n">
        <v>1</v>
      </c>
      <c r="H23194" s="7" t="n">
        <v>1</v>
      </c>
      <c r="I23194" s="7" t="n">
        <v>0</v>
      </c>
      <c r="J23194" s="7" t="n">
        <v>1000</v>
      </c>
    </row>
    <row r="23195" spans="1:13">
      <c r="A23195" t="s">
        <v>4</v>
      </c>
      <c r="B23195" s="4" t="s">
        <v>5</v>
      </c>
      <c r="C23195" s="4" t="s">
        <v>7</v>
      </c>
      <c r="D23195" s="4" t="s">
        <v>7</v>
      </c>
    </row>
    <row r="23196" spans="1:13">
      <c r="A23196" t="n">
        <v>221912</v>
      </c>
      <c r="B23196" s="26" t="n">
        <v>77</v>
      </c>
      <c r="C23196" s="7" t="n">
        <v>1</v>
      </c>
      <c r="D23196" s="7" t="n">
        <v>3</v>
      </c>
    </row>
    <row r="23197" spans="1:13">
      <c r="A23197" t="s">
        <v>4</v>
      </c>
      <c r="B23197" s="4" t="s">
        <v>5</v>
      </c>
      <c r="C23197" s="4" t="s">
        <v>7</v>
      </c>
      <c r="D23197" s="4" t="s">
        <v>11</v>
      </c>
      <c r="E23197" s="4" t="s">
        <v>8</v>
      </c>
    </row>
    <row r="23198" spans="1:13">
      <c r="A23198" t="n">
        <v>221915</v>
      </c>
      <c r="B23198" s="38" t="n">
        <v>51</v>
      </c>
      <c r="C23198" s="7" t="n">
        <v>4</v>
      </c>
      <c r="D23198" s="7" t="n">
        <v>0</v>
      </c>
      <c r="E23198" s="7" t="s">
        <v>179</v>
      </c>
    </row>
    <row r="23199" spans="1:13">
      <c r="A23199" t="s">
        <v>4</v>
      </c>
      <c r="B23199" s="4" t="s">
        <v>5</v>
      </c>
      <c r="C23199" s="4" t="s">
        <v>11</v>
      </c>
    </row>
    <row r="23200" spans="1:13">
      <c r="A23200" t="n">
        <v>221929</v>
      </c>
      <c r="B23200" s="29" t="n">
        <v>16</v>
      </c>
      <c r="C23200" s="7" t="n">
        <v>0</v>
      </c>
    </row>
    <row r="23201" spans="1:10">
      <c r="A23201" t="s">
        <v>4</v>
      </c>
      <c r="B23201" s="4" t="s">
        <v>5</v>
      </c>
      <c r="C23201" s="4" t="s">
        <v>11</v>
      </c>
      <c r="D23201" s="4" t="s">
        <v>7</v>
      </c>
      <c r="E23201" s="4" t="s">
        <v>15</v>
      </c>
      <c r="F23201" s="4" t="s">
        <v>55</v>
      </c>
      <c r="G23201" s="4" t="s">
        <v>7</v>
      </c>
      <c r="H23201" s="4" t="s">
        <v>7</v>
      </c>
      <c r="I23201" s="4" t="s">
        <v>7</v>
      </c>
      <c r="J23201" s="4" t="s">
        <v>15</v>
      </c>
      <c r="K23201" s="4" t="s">
        <v>55</v>
      </c>
      <c r="L23201" s="4" t="s">
        <v>7</v>
      </c>
      <c r="M23201" s="4" t="s">
        <v>7</v>
      </c>
      <c r="N23201" s="4" t="s">
        <v>7</v>
      </c>
      <c r="O23201" s="4" t="s">
        <v>15</v>
      </c>
      <c r="P23201" s="4" t="s">
        <v>55</v>
      </c>
      <c r="Q23201" s="4" t="s">
        <v>7</v>
      </c>
      <c r="R23201" s="4" t="s">
        <v>7</v>
      </c>
    </row>
    <row r="23202" spans="1:10">
      <c r="A23202" t="n">
        <v>221932</v>
      </c>
      <c r="B23202" s="55" t="n">
        <v>26</v>
      </c>
      <c r="C23202" s="7" t="n">
        <v>0</v>
      </c>
      <c r="D23202" s="7" t="n">
        <v>17</v>
      </c>
      <c r="E23202" s="7" t="n">
        <v>63795</v>
      </c>
      <c r="F23202" s="7" t="s">
        <v>324</v>
      </c>
      <c r="G23202" s="7" t="n">
        <v>2</v>
      </c>
      <c r="H23202" s="7" t="n">
        <v>3</v>
      </c>
      <c r="I23202" s="7" t="n">
        <v>17</v>
      </c>
      <c r="J23202" s="7" t="n">
        <v>63796</v>
      </c>
      <c r="K23202" s="7" t="s">
        <v>325</v>
      </c>
      <c r="L23202" s="7" t="n">
        <v>2</v>
      </c>
      <c r="M23202" s="7" t="n">
        <v>3</v>
      </c>
      <c r="N23202" s="7" t="n">
        <v>17</v>
      </c>
      <c r="O23202" s="7" t="n">
        <v>63797</v>
      </c>
      <c r="P23202" s="7" t="s">
        <v>326</v>
      </c>
      <c r="Q23202" s="7" t="n">
        <v>2</v>
      </c>
      <c r="R23202" s="7" t="n">
        <v>0</v>
      </c>
    </row>
    <row r="23203" spans="1:10">
      <c r="A23203" t="s">
        <v>4</v>
      </c>
      <c r="B23203" s="4" t="s">
        <v>5</v>
      </c>
    </row>
    <row r="23204" spans="1:10">
      <c r="A23204" t="n">
        <v>222240</v>
      </c>
      <c r="B23204" s="27" t="n">
        <v>28</v>
      </c>
    </row>
    <row r="23205" spans="1:10">
      <c r="A23205" t="s">
        <v>4</v>
      </c>
      <c r="B23205" s="4" t="s">
        <v>5</v>
      </c>
      <c r="C23205" s="4" t="s">
        <v>7</v>
      </c>
      <c r="D23205" s="4" t="s">
        <v>11</v>
      </c>
      <c r="E23205" s="4" t="s">
        <v>8</v>
      </c>
    </row>
    <row r="23206" spans="1:10">
      <c r="A23206" t="n">
        <v>222241</v>
      </c>
      <c r="B23206" s="38" t="n">
        <v>51</v>
      </c>
      <c r="C23206" s="7" t="n">
        <v>4</v>
      </c>
      <c r="D23206" s="7" t="n">
        <v>1</v>
      </c>
      <c r="E23206" s="7" t="s">
        <v>327</v>
      </c>
    </row>
    <row r="23207" spans="1:10">
      <c r="A23207" t="s">
        <v>4</v>
      </c>
      <c r="B23207" s="4" t="s">
        <v>5</v>
      </c>
      <c r="C23207" s="4" t="s">
        <v>11</v>
      </c>
    </row>
    <row r="23208" spans="1:10">
      <c r="A23208" t="n">
        <v>222260</v>
      </c>
      <c r="B23208" s="29" t="n">
        <v>16</v>
      </c>
      <c r="C23208" s="7" t="n">
        <v>0</v>
      </c>
    </row>
    <row r="23209" spans="1:10">
      <c r="A23209" t="s">
        <v>4</v>
      </c>
      <c r="B23209" s="4" t="s">
        <v>5</v>
      </c>
      <c r="C23209" s="4" t="s">
        <v>11</v>
      </c>
      <c r="D23209" s="4" t="s">
        <v>7</v>
      </c>
      <c r="E23209" s="4" t="s">
        <v>15</v>
      </c>
      <c r="F23209" s="4" t="s">
        <v>55</v>
      </c>
      <c r="G23209" s="4" t="s">
        <v>7</v>
      </c>
      <c r="H23209" s="4" t="s">
        <v>7</v>
      </c>
      <c r="I23209" s="4" t="s">
        <v>7</v>
      </c>
      <c r="J23209" s="4" t="s">
        <v>15</v>
      </c>
      <c r="K23209" s="4" t="s">
        <v>55</v>
      </c>
      <c r="L23209" s="4" t="s">
        <v>7</v>
      </c>
      <c r="M23209" s="4" t="s">
        <v>7</v>
      </c>
      <c r="N23209" s="4" t="s">
        <v>7</v>
      </c>
      <c r="O23209" s="4" t="s">
        <v>15</v>
      </c>
      <c r="P23209" s="4" t="s">
        <v>55</v>
      </c>
      <c r="Q23209" s="4" t="s">
        <v>7</v>
      </c>
      <c r="R23209" s="4" t="s">
        <v>7</v>
      </c>
    </row>
    <row r="23210" spans="1:10">
      <c r="A23210" t="n">
        <v>222263</v>
      </c>
      <c r="B23210" s="55" t="n">
        <v>26</v>
      </c>
      <c r="C23210" s="7" t="n">
        <v>1</v>
      </c>
      <c r="D23210" s="7" t="n">
        <v>17</v>
      </c>
      <c r="E23210" s="7" t="n">
        <v>1802</v>
      </c>
      <c r="F23210" s="7" t="s">
        <v>328</v>
      </c>
      <c r="G23210" s="7" t="n">
        <v>2</v>
      </c>
      <c r="H23210" s="7" t="n">
        <v>3</v>
      </c>
      <c r="I23210" s="7" t="n">
        <v>17</v>
      </c>
      <c r="J23210" s="7" t="n">
        <v>1803</v>
      </c>
      <c r="K23210" s="7" t="s">
        <v>329</v>
      </c>
      <c r="L23210" s="7" t="n">
        <v>2</v>
      </c>
      <c r="M23210" s="7" t="n">
        <v>3</v>
      </c>
      <c r="N23210" s="7" t="n">
        <v>17</v>
      </c>
      <c r="O23210" s="7" t="n">
        <v>1804</v>
      </c>
      <c r="P23210" s="7" t="s">
        <v>330</v>
      </c>
      <c r="Q23210" s="7" t="n">
        <v>2</v>
      </c>
      <c r="R23210" s="7" t="n">
        <v>0</v>
      </c>
    </row>
    <row r="23211" spans="1:10">
      <c r="A23211" t="s">
        <v>4</v>
      </c>
      <c r="B23211" s="4" t="s">
        <v>5</v>
      </c>
    </row>
    <row r="23212" spans="1:10">
      <c r="A23212" t="n">
        <v>222555</v>
      </c>
      <c r="B23212" s="27" t="n">
        <v>28</v>
      </c>
    </row>
    <row r="23213" spans="1:10">
      <c r="A23213" t="s">
        <v>4</v>
      </c>
      <c r="B23213" s="4" t="s">
        <v>5</v>
      </c>
      <c r="C23213" s="4" t="s">
        <v>7</v>
      </c>
      <c r="D23213" s="4" t="s">
        <v>11</v>
      </c>
      <c r="E23213" s="4" t="s">
        <v>8</v>
      </c>
    </row>
    <row r="23214" spans="1:10">
      <c r="A23214" t="n">
        <v>222556</v>
      </c>
      <c r="B23214" s="38" t="n">
        <v>51</v>
      </c>
      <c r="C23214" s="7" t="n">
        <v>4</v>
      </c>
      <c r="D23214" s="7" t="n">
        <v>0</v>
      </c>
      <c r="E23214" s="7" t="s">
        <v>235</v>
      </c>
    </row>
    <row r="23215" spans="1:10">
      <c r="A23215" t="s">
        <v>4</v>
      </c>
      <c r="B23215" s="4" t="s">
        <v>5</v>
      </c>
      <c r="C23215" s="4" t="s">
        <v>11</v>
      </c>
    </row>
    <row r="23216" spans="1:10">
      <c r="A23216" t="n">
        <v>222570</v>
      </c>
      <c r="B23216" s="29" t="n">
        <v>16</v>
      </c>
      <c r="C23216" s="7" t="n">
        <v>0</v>
      </c>
    </row>
    <row r="23217" spans="1:18">
      <c r="A23217" t="s">
        <v>4</v>
      </c>
      <c r="B23217" s="4" t="s">
        <v>5</v>
      </c>
      <c r="C23217" s="4" t="s">
        <v>11</v>
      </c>
      <c r="D23217" s="4" t="s">
        <v>7</v>
      </c>
      <c r="E23217" s="4" t="s">
        <v>15</v>
      </c>
      <c r="F23217" s="4" t="s">
        <v>55</v>
      </c>
      <c r="G23217" s="4" t="s">
        <v>7</v>
      </c>
      <c r="H23217" s="4" t="s">
        <v>7</v>
      </c>
    </row>
    <row r="23218" spans="1:18">
      <c r="A23218" t="n">
        <v>222573</v>
      </c>
      <c r="B23218" s="55" t="n">
        <v>26</v>
      </c>
      <c r="C23218" s="7" t="n">
        <v>0</v>
      </c>
      <c r="D23218" s="7" t="n">
        <v>17</v>
      </c>
      <c r="E23218" s="7" t="n">
        <v>63798</v>
      </c>
      <c r="F23218" s="7" t="s">
        <v>331</v>
      </c>
      <c r="G23218" s="7" t="n">
        <v>2</v>
      </c>
      <c r="H23218" s="7" t="n">
        <v>0</v>
      </c>
    </row>
    <row r="23219" spans="1:18">
      <c r="A23219" t="s">
        <v>4</v>
      </c>
      <c r="B23219" s="4" t="s">
        <v>5</v>
      </c>
    </row>
    <row r="23220" spans="1:18">
      <c r="A23220" t="n">
        <v>222661</v>
      </c>
      <c r="B23220" s="27" t="n">
        <v>28</v>
      </c>
    </row>
    <row r="23221" spans="1:18">
      <c r="A23221" t="s">
        <v>4</v>
      </c>
      <c r="B23221" s="4" t="s">
        <v>5</v>
      </c>
      <c r="C23221" s="4" t="s">
        <v>7</v>
      </c>
      <c r="D23221" s="4" t="s">
        <v>11</v>
      </c>
      <c r="E23221" s="4" t="s">
        <v>8</v>
      </c>
    </row>
    <row r="23222" spans="1:18">
      <c r="A23222" t="n">
        <v>222662</v>
      </c>
      <c r="B23222" s="38" t="n">
        <v>51</v>
      </c>
      <c r="C23222" s="7" t="n">
        <v>4</v>
      </c>
      <c r="D23222" s="7" t="n">
        <v>1</v>
      </c>
      <c r="E23222" s="7" t="s">
        <v>332</v>
      </c>
    </row>
    <row r="23223" spans="1:18">
      <c r="A23223" t="s">
        <v>4</v>
      </c>
      <c r="B23223" s="4" t="s">
        <v>5</v>
      </c>
      <c r="C23223" s="4" t="s">
        <v>11</v>
      </c>
    </row>
    <row r="23224" spans="1:18">
      <c r="A23224" t="n">
        <v>222680</v>
      </c>
      <c r="B23224" s="29" t="n">
        <v>16</v>
      </c>
      <c r="C23224" s="7" t="n">
        <v>0</v>
      </c>
    </row>
    <row r="23225" spans="1:18">
      <c r="A23225" t="s">
        <v>4</v>
      </c>
      <c r="B23225" s="4" t="s">
        <v>5</v>
      </c>
      <c r="C23225" s="4" t="s">
        <v>11</v>
      </c>
      <c r="D23225" s="4" t="s">
        <v>7</v>
      </c>
      <c r="E23225" s="4" t="s">
        <v>15</v>
      </c>
      <c r="F23225" s="4" t="s">
        <v>55</v>
      </c>
      <c r="G23225" s="4" t="s">
        <v>7</v>
      </c>
      <c r="H23225" s="4" t="s">
        <v>7</v>
      </c>
      <c r="I23225" s="4" t="s">
        <v>7</v>
      </c>
      <c r="J23225" s="4" t="s">
        <v>15</v>
      </c>
      <c r="K23225" s="4" t="s">
        <v>55</v>
      </c>
      <c r="L23225" s="4" t="s">
        <v>7</v>
      </c>
      <c r="M23225" s="4" t="s">
        <v>7</v>
      </c>
      <c r="N23225" s="4" t="s">
        <v>7</v>
      </c>
      <c r="O23225" s="4" t="s">
        <v>15</v>
      </c>
      <c r="P23225" s="4" t="s">
        <v>55</v>
      </c>
      <c r="Q23225" s="4" t="s">
        <v>7</v>
      </c>
      <c r="R23225" s="4" t="s">
        <v>7</v>
      </c>
    </row>
    <row r="23226" spans="1:18">
      <c r="A23226" t="n">
        <v>222683</v>
      </c>
      <c r="B23226" s="55" t="n">
        <v>26</v>
      </c>
      <c r="C23226" s="7" t="n">
        <v>1</v>
      </c>
      <c r="D23226" s="7" t="n">
        <v>17</v>
      </c>
      <c r="E23226" s="7" t="n">
        <v>1805</v>
      </c>
      <c r="F23226" s="7" t="s">
        <v>333</v>
      </c>
      <c r="G23226" s="7" t="n">
        <v>2</v>
      </c>
      <c r="H23226" s="7" t="n">
        <v>3</v>
      </c>
      <c r="I23226" s="7" t="n">
        <v>17</v>
      </c>
      <c r="J23226" s="7" t="n">
        <v>1806</v>
      </c>
      <c r="K23226" s="7" t="s">
        <v>334</v>
      </c>
      <c r="L23226" s="7" t="n">
        <v>2</v>
      </c>
      <c r="M23226" s="7" t="n">
        <v>3</v>
      </c>
      <c r="N23226" s="7" t="n">
        <v>17</v>
      </c>
      <c r="O23226" s="7" t="n">
        <v>1807</v>
      </c>
      <c r="P23226" s="7" t="s">
        <v>335</v>
      </c>
      <c r="Q23226" s="7" t="n">
        <v>2</v>
      </c>
      <c r="R23226" s="7" t="n">
        <v>0</v>
      </c>
    </row>
    <row r="23227" spans="1:18">
      <c r="A23227" t="s">
        <v>4</v>
      </c>
      <c r="B23227" s="4" t="s">
        <v>5</v>
      </c>
    </row>
    <row r="23228" spans="1:18">
      <c r="A23228" t="n">
        <v>222928</v>
      </c>
      <c r="B23228" s="27" t="n">
        <v>28</v>
      </c>
    </row>
    <row r="23229" spans="1:18">
      <c r="A23229" t="s">
        <v>4</v>
      </c>
      <c r="B23229" s="4" t="s">
        <v>5</v>
      </c>
      <c r="C23229" s="4" t="s">
        <v>7</v>
      </c>
      <c r="D23229" s="4" t="s">
        <v>11</v>
      </c>
      <c r="E23229" s="4" t="s">
        <v>8</v>
      </c>
    </row>
    <row r="23230" spans="1:18">
      <c r="A23230" t="n">
        <v>222929</v>
      </c>
      <c r="B23230" s="38" t="n">
        <v>51</v>
      </c>
      <c r="C23230" s="7" t="n">
        <v>4</v>
      </c>
      <c r="D23230" s="7" t="n">
        <v>0</v>
      </c>
      <c r="E23230" s="7" t="s">
        <v>206</v>
      </c>
    </row>
    <row r="23231" spans="1:18">
      <c r="A23231" t="s">
        <v>4</v>
      </c>
      <c r="B23231" s="4" t="s">
        <v>5</v>
      </c>
      <c r="C23231" s="4" t="s">
        <v>11</v>
      </c>
    </row>
    <row r="23232" spans="1:18">
      <c r="A23232" t="n">
        <v>222944</v>
      </c>
      <c r="B23232" s="29" t="n">
        <v>16</v>
      </c>
      <c r="C23232" s="7" t="n">
        <v>0</v>
      </c>
    </row>
    <row r="23233" spans="1:18">
      <c r="A23233" t="s">
        <v>4</v>
      </c>
      <c r="B23233" s="4" t="s">
        <v>5</v>
      </c>
      <c r="C23233" s="4" t="s">
        <v>11</v>
      </c>
      <c r="D23233" s="4" t="s">
        <v>7</v>
      </c>
      <c r="E23233" s="4" t="s">
        <v>15</v>
      </c>
      <c r="F23233" s="4" t="s">
        <v>55</v>
      </c>
      <c r="G23233" s="4" t="s">
        <v>7</v>
      </c>
      <c r="H23233" s="4" t="s">
        <v>7</v>
      </c>
    </row>
    <row r="23234" spans="1:18">
      <c r="A23234" t="n">
        <v>222947</v>
      </c>
      <c r="B23234" s="55" t="n">
        <v>26</v>
      </c>
      <c r="C23234" s="7" t="n">
        <v>0</v>
      </c>
      <c r="D23234" s="7" t="n">
        <v>17</v>
      </c>
      <c r="E23234" s="7" t="n">
        <v>63799</v>
      </c>
      <c r="F23234" s="7" t="s">
        <v>336</v>
      </c>
      <c r="G23234" s="7" t="n">
        <v>2</v>
      </c>
      <c r="H23234" s="7" t="n">
        <v>0</v>
      </c>
    </row>
    <row r="23235" spans="1:18">
      <c r="A23235" t="s">
        <v>4</v>
      </c>
      <c r="B23235" s="4" t="s">
        <v>5</v>
      </c>
    </row>
    <row r="23236" spans="1:18">
      <c r="A23236" t="n">
        <v>222969</v>
      </c>
      <c r="B23236" s="27" t="n">
        <v>28</v>
      </c>
    </row>
    <row r="23237" spans="1:18">
      <c r="A23237" t="s">
        <v>4</v>
      </c>
      <c r="B23237" s="4" t="s">
        <v>5</v>
      </c>
      <c r="C23237" s="4" t="s">
        <v>7</v>
      </c>
      <c r="D23237" s="4" t="s">
        <v>11</v>
      </c>
      <c r="E23237" s="4" t="s">
        <v>8</v>
      </c>
    </row>
    <row r="23238" spans="1:18">
      <c r="A23238" t="n">
        <v>222970</v>
      </c>
      <c r="B23238" s="38" t="n">
        <v>51</v>
      </c>
      <c r="C23238" s="7" t="n">
        <v>4</v>
      </c>
      <c r="D23238" s="7" t="n">
        <v>1</v>
      </c>
      <c r="E23238" s="7" t="s">
        <v>337</v>
      </c>
    </row>
    <row r="23239" spans="1:18">
      <c r="A23239" t="s">
        <v>4</v>
      </c>
      <c r="B23239" s="4" t="s">
        <v>5</v>
      </c>
      <c r="C23239" s="4" t="s">
        <v>11</v>
      </c>
    </row>
    <row r="23240" spans="1:18">
      <c r="A23240" t="n">
        <v>222983</v>
      </c>
      <c r="B23240" s="29" t="n">
        <v>16</v>
      </c>
      <c r="C23240" s="7" t="n">
        <v>0</v>
      </c>
    </row>
    <row r="23241" spans="1:18">
      <c r="A23241" t="s">
        <v>4</v>
      </c>
      <c r="B23241" s="4" t="s">
        <v>5</v>
      </c>
      <c r="C23241" s="4" t="s">
        <v>11</v>
      </c>
      <c r="D23241" s="4" t="s">
        <v>7</v>
      </c>
      <c r="E23241" s="4" t="s">
        <v>15</v>
      </c>
      <c r="F23241" s="4" t="s">
        <v>55</v>
      </c>
      <c r="G23241" s="4" t="s">
        <v>7</v>
      </c>
      <c r="H23241" s="4" t="s">
        <v>7</v>
      </c>
      <c r="I23241" s="4" t="s">
        <v>7</v>
      </c>
      <c r="J23241" s="4" t="s">
        <v>15</v>
      </c>
      <c r="K23241" s="4" t="s">
        <v>55</v>
      </c>
      <c r="L23241" s="4" t="s">
        <v>7</v>
      </c>
      <c r="M23241" s="4" t="s">
        <v>7</v>
      </c>
      <c r="N23241" s="4" t="s">
        <v>7</v>
      </c>
      <c r="O23241" s="4" t="s">
        <v>15</v>
      </c>
      <c r="P23241" s="4" t="s">
        <v>55</v>
      </c>
      <c r="Q23241" s="4" t="s">
        <v>7</v>
      </c>
      <c r="R23241" s="4" t="s">
        <v>7</v>
      </c>
      <c r="S23241" s="4" t="s">
        <v>7</v>
      </c>
      <c r="T23241" s="4" t="s">
        <v>15</v>
      </c>
      <c r="U23241" s="4" t="s">
        <v>55</v>
      </c>
      <c r="V23241" s="4" t="s">
        <v>7</v>
      </c>
      <c r="W23241" s="4" t="s">
        <v>7</v>
      </c>
      <c r="X23241" s="4" t="s">
        <v>7</v>
      </c>
      <c r="Y23241" s="4" t="s">
        <v>15</v>
      </c>
      <c r="Z23241" s="4" t="s">
        <v>55</v>
      </c>
      <c r="AA23241" s="4" t="s">
        <v>7</v>
      </c>
      <c r="AB23241" s="4" t="s">
        <v>7</v>
      </c>
    </row>
    <row r="23242" spans="1:18">
      <c r="A23242" t="n">
        <v>222986</v>
      </c>
      <c r="B23242" s="55" t="n">
        <v>26</v>
      </c>
      <c r="C23242" s="7" t="n">
        <v>1</v>
      </c>
      <c r="D23242" s="7" t="n">
        <v>17</v>
      </c>
      <c r="E23242" s="7" t="n">
        <v>1808</v>
      </c>
      <c r="F23242" s="7" t="s">
        <v>338</v>
      </c>
      <c r="G23242" s="7" t="n">
        <v>2</v>
      </c>
      <c r="H23242" s="7" t="n">
        <v>3</v>
      </c>
      <c r="I23242" s="7" t="n">
        <v>17</v>
      </c>
      <c r="J23242" s="7" t="n">
        <v>1809</v>
      </c>
      <c r="K23242" s="7" t="s">
        <v>339</v>
      </c>
      <c r="L23242" s="7" t="n">
        <v>2</v>
      </c>
      <c r="M23242" s="7" t="n">
        <v>3</v>
      </c>
      <c r="N23242" s="7" t="n">
        <v>17</v>
      </c>
      <c r="O23242" s="7" t="n">
        <v>1810</v>
      </c>
      <c r="P23242" s="7" t="s">
        <v>340</v>
      </c>
      <c r="Q23242" s="7" t="n">
        <v>2</v>
      </c>
      <c r="R23242" s="7" t="n">
        <v>3</v>
      </c>
      <c r="S23242" s="7" t="n">
        <v>17</v>
      </c>
      <c r="T23242" s="7" t="n">
        <v>1811</v>
      </c>
      <c r="U23242" s="7" t="s">
        <v>341</v>
      </c>
      <c r="V23242" s="7" t="n">
        <v>2</v>
      </c>
      <c r="W23242" s="7" t="n">
        <v>3</v>
      </c>
      <c r="X23242" s="7" t="n">
        <v>17</v>
      </c>
      <c r="Y23242" s="7" t="n">
        <v>1812</v>
      </c>
      <c r="Z23242" s="7" t="s">
        <v>342</v>
      </c>
      <c r="AA23242" s="7" t="n">
        <v>2</v>
      </c>
      <c r="AB23242" s="7" t="n">
        <v>0</v>
      </c>
    </row>
    <row r="23243" spans="1:18">
      <c r="A23243" t="s">
        <v>4</v>
      </c>
      <c r="B23243" s="4" t="s">
        <v>5</v>
      </c>
    </row>
    <row r="23244" spans="1:18">
      <c r="A23244" t="n">
        <v>223542</v>
      </c>
      <c r="B23244" s="27" t="n">
        <v>28</v>
      </c>
    </row>
    <row r="23245" spans="1:18">
      <c r="A23245" t="s">
        <v>4</v>
      </c>
      <c r="B23245" s="4" t="s">
        <v>5</v>
      </c>
      <c r="C23245" s="4" t="s">
        <v>11</v>
      </c>
      <c r="D23245" s="4" t="s">
        <v>7</v>
      </c>
    </row>
    <row r="23246" spans="1:18">
      <c r="A23246" t="n">
        <v>223543</v>
      </c>
      <c r="B23246" s="68" t="n">
        <v>89</v>
      </c>
      <c r="C23246" s="7" t="n">
        <v>65533</v>
      </c>
      <c r="D23246" s="7" t="n">
        <v>1</v>
      </c>
    </row>
    <row r="23247" spans="1:18">
      <c r="A23247" t="s">
        <v>4</v>
      </c>
      <c r="B23247" s="4" t="s">
        <v>5</v>
      </c>
      <c r="C23247" s="4" t="s">
        <v>7</v>
      </c>
      <c r="D23247" s="4" t="s">
        <v>11</v>
      </c>
      <c r="E23247" s="4" t="s">
        <v>13</v>
      </c>
    </row>
    <row r="23248" spans="1:18">
      <c r="A23248" t="n">
        <v>223547</v>
      </c>
      <c r="B23248" s="23" t="n">
        <v>58</v>
      </c>
      <c r="C23248" s="7" t="n">
        <v>101</v>
      </c>
      <c r="D23248" s="7" t="n">
        <v>500</v>
      </c>
      <c r="E23248" s="7" t="n">
        <v>1</v>
      </c>
    </row>
    <row r="23249" spans="1:28">
      <c r="A23249" t="s">
        <v>4</v>
      </c>
      <c r="B23249" s="4" t="s">
        <v>5</v>
      </c>
      <c r="C23249" s="4" t="s">
        <v>7</v>
      </c>
      <c r="D23249" s="4" t="s">
        <v>11</v>
      </c>
    </row>
    <row r="23250" spans="1:28">
      <c r="A23250" t="n">
        <v>223555</v>
      </c>
      <c r="B23250" s="23" t="n">
        <v>58</v>
      </c>
      <c r="C23250" s="7" t="n">
        <v>254</v>
      </c>
      <c r="D23250" s="7" t="n">
        <v>0</v>
      </c>
    </row>
    <row r="23251" spans="1:28">
      <c r="A23251" t="s">
        <v>4</v>
      </c>
      <c r="B23251" s="4" t="s">
        <v>5</v>
      </c>
      <c r="C23251" s="4" t="s">
        <v>7</v>
      </c>
      <c r="D23251" s="4" t="s">
        <v>7</v>
      </c>
      <c r="E23251" s="4" t="s">
        <v>13</v>
      </c>
      <c r="F23251" s="4" t="s">
        <v>13</v>
      </c>
      <c r="G23251" s="4" t="s">
        <v>13</v>
      </c>
      <c r="H23251" s="4" t="s">
        <v>11</v>
      </c>
    </row>
    <row r="23252" spans="1:28">
      <c r="A23252" t="n">
        <v>223559</v>
      </c>
      <c r="B23252" s="51" t="n">
        <v>45</v>
      </c>
      <c r="C23252" s="7" t="n">
        <v>2</v>
      </c>
      <c r="D23252" s="7" t="n">
        <v>3</v>
      </c>
      <c r="E23252" s="7" t="n">
        <v>-6.86999988555908</v>
      </c>
      <c r="F23252" s="7" t="n">
        <v>6.46000003814697</v>
      </c>
      <c r="G23252" s="7" t="n">
        <v>29.9200000762939</v>
      </c>
      <c r="H23252" s="7" t="n">
        <v>0</v>
      </c>
    </row>
    <row r="23253" spans="1:28">
      <c r="A23253" t="s">
        <v>4</v>
      </c>
      <c r="B23253" s="4" t="s">
        <v>5</v>
      </c>
      <c r="C23253" s="4" t="s">
        <v>7</v>
      </c>
      <c r="D23253" s="4" t="s">
        <v>7</v>
      </c>
      <c r="E23253" s="4" t="s">
        <v>13</v>
      </c>
      <c r="F23253" s="4" t="s">
        <v>13</v>
      </c>
      <c r="G23253" s="4" t="s">
        <v>13</v>
      </c>
      <c r="H23253" s="4" t="s">
        <v>11</v>
      </c>
      <c r="I23253" s="4" t="s">
        <v>7</v>
      </c>
    </row>
    <row r="23254" spans="1:28">
      <c r="A23254" t="n">
        <v>223576</v>
      </c>
      <c r="B23254" s="51" t="n">
        <v>45</v>
      </c>
      <c r="C23254" s="7" t="n">
        <v>4</v>
      </c>
      <c r="D23254" s="7" t="n">
        <v>3</v>
      </c>
      <c r="E23254" s="7" t="n">
        <v>9.21000003814697</v>
      </c>
      <c r="F23254" s="7" t="n">
        <v>50.6699981689453</v>
      </c>
      <c r="G23254" s="7" t="n">
        <v>8</v>
      </c>
      <c r="H23254" s="7" t="n">
        <v>0</v>
      </c>
      <c r="I23254" s="7" t="n">
        <v>0</v>
      </c>
    </row>
    <row r="23255" spans="1:28">
      <c r="A23255" t="s">
        <v>4</v>
      </c>
      <c r="B23255" s="4" t="s">
        <v>5</v>
      </c>
      <c r="C23255" s="4" t="s">
        <v>7</v>
      </c>
      <c r="D23255" s="4" t="s">
        <v>7</v>
      </c>
      <c r="E23255" s="4" t="s">
        <v>13</v>
      </c>
      <c r="F23255" s="4" t="s">
        <v>11</v>
      </c>
    </row>
    <row r="23256" spans="1:28">
      <c r="A23256" t="n">
        <v>223594</v>
      </c>
      <c r="B23256" s="51" t="n">
        <v>45</v>
      </c>
      <c r="C23256" s="7" t="n">
        <v>5</v>
      </c>
      <c r="D23256" s="7" t="n">
        <v>3</v>
      </c>
      <c r="E23256" s="7" t="n">
        <v>1.10000002384186</v>
      </c>
      <c r="F23256" s="7" t="n">
        <v>0</v>
      </c>
    </row>
    <row r="23257" spans="1:28">
      <c r="A23257" t="s">
        <v>4</v>
      </c>
      <c r="B23257" s="4" t="s">
        <v>5</v>
      </c>
      <c r="C23257" s="4" t="s">
        <v>7</v>
      </c>
      <c r="D23257" s="4" t="s">
        <v>7</v>
      </c>
      <c r="E23257" s="4" t="s">
        <v>13</v>
      </c>
      <c r="F23257" s="4" t="s">
        <v>11</v>
      </c>
    </row>
    <row r="23258" spans="1:28">
      <c r="A23258" t="n">
        <v>223603</v>
      </c>
      <c r="B23258" s="51" t="n">
        <v>45</v>
      </c>
      <c r="C23258" s="7" t="n">
        <v>11</v>
      </c>
      <c r="D23258" s="7" t="n">
        <v>3</v>
      </c>
      <c r="E23258" s="7" t="n">
        <v>40.2999992370605</v>
      </c>
      <c r="F23258" s="7" t="n">
        <v>0</v>
      </c>
    </row>
    <row r="23259" spans="1:28">
      <c r="A23259" t="s">
        <v>4</v>
      </c>
      <c r="B23259" s="4" t="s">
        <v>5</v>
      </c>
      <c r="C23259" s="4" t="s">
        <v>7</v>
      </c>
      <c r="D23259" s="4" t="s">
        <v>11</v>
      </c>
    </row>
    <row r="23260" spans="1:28">
      <c r="A23260" t="n">
        <v>223612</v>
      </c>
      <c r="B23260" s="23" t="n">
        <v>58</v>
      </c>
      <c r="C23260" s="7" t="n">
        <v>255</v>
      </c>
      <c r="D23260" s="7" t="n">
        <v>0</v>
      </c>
    </row>
    <row r="23261" spans="1:28">
      <c r="A23261" t="s">
        <v>4</v>
      </c>
      <c r="B23261" s="4" t="s">
        <v>5</v>
      </c>
      <c r="C23261" s="4" t="s">
        <v>11</v>
      </c>
      <c r="D23261" s="4" t="s">
        <v>7</v>
      </c>
      <c r="E23261" s="4" t="s">
        <v>13</v>
      </c>
      <c r="F23261" s="4" t="s">
        <v>11</v>
      </c>
    </row>
    <row r="23262" spans="1:28">
      <c r="A23262" t="n">
        <v>223616</v>
      </c>
      <c r="B23262" s="56" t="n">
        <v>59</v>
      </c>
      <c r="C23262" s="7" t="n">
        <v>0</v>
      </c>
      <c r="D23262" s="7" t="n">
        <v>9</v>
      </c>
      <c r="E23262" s="7" t="n">
        <v>0.150000005960464</v>
      </c>
      <c r="F23262" s="7" t="n">
        <v>0</v>
      </c>
    </row>
    <row r="23263" spans="1:28">
      <c r="A23263" t="s">
        <v>4</v>
      </c>
      <c r="B23263" s="4" t="s">
        <v>5</v>
      </c>
      <c r="C23263" s="4" t="s">
        <v>11</v>
      </c>
    </row>
    <row r="23264" spans="1:28">
      <c r="A23264" t="n">
        <v>223626</v>
      </c>
      <c r="B23264" s="29" t="n">
        <v>16</v>
      </c>
      <c r="C23264" s="7" t="n">
        <v>1500</v>
      </c>
    </row>
    <row r="23265" spans="1:9">
      <c r="A23265" t="s">
        <v>4</v>
      </c>
      <c r="B23265" s="4" t="s">
        <v>5</v>
      </c>
      <c r="C23265" s="4" t="s">
        <v>7</v>
      </c>
      <c r="D23265" s="4" t="s">
        <v>11</v>
      </c>
      <c r="E23265" s="4" t="s">
        <v>8</v>
      </c>
    </row>
    <row r="23266" spans="1:9">
      <c r="A23266" t="n">
        <v>223629</v>
      </c>
      <c r="B23266" s="38" t="n">
        <v>51</v>
      </c>
      <c r="C23266" s="7" t="n">
        <v>4</v>
      </c>
      <c r="D23266" s="7" t="n">
        <v>0</v>
      </c>
      <c r="E23266" s="7" t="s">
        <v>179</v>
      </c>
    </row>
    <row r="23267" spans="1:9">
      <c r="A23267" t="s">
        <v>4</v>
      </c>
      <c r="B23267" s="4" t="s">
        <v>5</v>
      </c>
      <c r="C23267" s="4" t="s">
        <v>11</v>
      </c>
    </row>
    <row r="23268" spans="1:9">
      <c r="A23268" t="n">
        <v>223643</v>
      </c>
      <c r="B23268" s="29" t="n">
        <v>16</v>
      </c>
      <c r="C23268" s="7" t="n">
        <v>0</v>
      </c>
    </row>
    <row r="23269" spans="1:9">
      <c r="A23269" t="s">
        <v>4</v>
      </c>
      <c r="B23269" s="4" t="s">
        <v>5</v>
      </c>
      <c r="C23269" s="4" t="s">
        <v>11</v>
      </c>
      <c r="D23269" s="4" t="s">
        <v>7</v>
      </c>
      <c r="E23269" s="4" t="s">
        <v>15</v>
      </c>
      <c r="F23269" s="4" t="s">
        <v>55</v>
      </c>
      <c r="G23269" s="4" t="s">
        <v>7</v>
      </c>
      <c r="H23269" s="4" t="s">
        <v>7</v>
      </c>
      <c r="I23269" s="4" t="s">
        <v>7</v>
      </c>
      <c r="J23269" s="4" t="s">
        <v>15</v>
      </c>
      <c r="K23269" s="4" t="s">
        <v>55</v>
      </c>
      <c r="L23269" s="4" t="s">
        <v>7</v>
      </c>
      <c r="M23269" s="4" t="s">
        <v>7</v>
      </c>
      <c r="N23269" s="4" t="s">
        <v>7</v>
      </c>
      <c r="O23269" s="4" t="s">
        <v>15</v>
      </c>
      <c r="P23269" s="4" t="s">
        <v>55</v>
      </c>
      <c r="Q23269" s="4" t="s">
        <v>7</v>
      </c>
      <c r="R23269" s="4" t="s">
        <v>7</v>
      </c>
      <c r="S23269" s="4" t="s">
        <v>7</v>
      </c>
      <c r="T23269" s="4" t="s">
        <v>15</v>
      </c>
      <c r="U23269" s="4" t="s">
        <v>55</v>
      </c>
      <c r="V23269" s="4" t="s">
        <v>7</v>
      </c>
      <c r="W23269" s="4" t="s">
        <v>7</v>
      </c>
      <c r="X23269" s="4" t="s">
        <v>7</v>
      </c>
      <c r="Y23269" s="4" t="s">
        <v>15</v>
      </c>
      <c r="Z23269" s="4" t="s">
        <v>55</v>
      </c>
      <c r="AA23269" s="4" t="s">
        <v>7</v>
      </c>
      <c r="AB23269" s="4" t="s">
        <v>7</v>
      </c>
    </row>
    <row r="23270" spans="1:9">
      <c r="A23270" t="n">
        <v>223646</v>
      </c>
      <c r="B23270" s="55" t="n">
        <v>26</v>
      </c>
      <c r="C23270" s="7" t="n">
        <v>0</v>
      </c>
      <c r="D23270" s="7" t="n">
        <v>17</v>
      </c>
      <c r="E23270" s="7" t="n">
        <v>63800</v>
      </c>
      <c r="F23270" s="7" t="s">
        <v>343</v>
      </c>
      <c r="G23270" s="7" t="n">
        <v>2</v>
      </c>
      <c r="H23270" s="7" t="n">
        <v>3</v>
      </c>
      <c r="I23270" s="7" t="n">
        <v>17</v>
      </c>
      <c r="J23270" s="7" t="n">
        <v>63801</v>
      </c>
      <c r="K23270" s="7" t="s">
        <v>344</v>
      </c>
      <c r="L23270" s="7" t="n">
        <v>2</v>
      </c>
      <c r="M23270" s="7" t="n">
        <v>3</v>
      </c>
      <c r="N23270" s="7" t="n">
        <v>17</v>
      </c>
      <c r="O23270" s="7" t="n">
        <v>63802</v>
      </c>
      <c r="P23270" s="7" t="s">
        <v>345</v>
      </c>
      <c r="Q23270" s="7" t="n">
        <v>2</v>
      </c>
      <c r="R23270" s="7" t="n">
        <v>3</v>
      </c>
      <c r="S23270" s="7" t="n">
        <v>17</v>
      </c>
      <c r="T23270" s="7" t="n">
        <v>63803</v>
      </c>
      <c r="U23270" s="7" t="s">
        <v>346</v>
      </c>
      <c r="V23270" s="7" t="n">
        <v>2</v>
      </c>
      <c r="W23270" s="7" t="n">
        <v>3</v>
      </c>
      <c r="X23270" s="7" t="n">
        <v>17</v>
      </c>
      <c r="Y23270" s="7" t="n">
        <v>63804</v>
      </c>
      <c r="Z23270" s="7" t="s">
        <v>347</v>
      </c>
      <c r="AA23270" s="7" t="n">
        <v>2</v>
      </c>
      <c r="AB23270" s="7" t="n">
        <v>0</v>
      </c>
    </row>
    <row r="23271" spans="1:9">
      <c r="A23271" t="s">
        <v>4</v>
      </c>
      <c r="B23271" s="4" t="s">
        <v>5</v>
      </c>
    </row>
    <row r="23272" spans="1:9">
      <c r="A23272" t="n">
        <v>224172</v>
      </c>
      <c r="B23272" s="27" t="n">
        <v>28</v>
      </c>
    </row>
    <row r="23273" spans="1:9">
      <c r="A23273" t="s">
        <v>4</v>
      </c>
      <c r="B23273" s="4" t="s">
        <v>5</v>
      </c>
      <c r="C23273" s="4" t="s">
        <v>7</v>
      </c>
      <c r="D23273" s="4" t="s">
        <v>11</v>
      </c>
      <c r="E23273" s="4" t="s">
        <v>8</v>
      </c>
    </row>
    <row r="23274" spans="1:9">
      <c r="A23274" t="n">
        <v>224173</v>
      </c>
      <c r="B23274" s="38" t="n">
        <v>51</v>
      </c>
      <c r="C23274" s="7" t="n">
        <v>4</v>
      </c>
      <c r="D23274" s="7" t="n">
        <v>1</v>
      </c>
      <c r="E23274" s="7" t="s">
        <v>147</v>
      </c>
    </row>
    <row r="23275" spans="1:9">
      <c r="A23275" t="s">
        <v>4</v>
      </c>
      <c r="B23275" s="4" t="s">
        <v>5</v>
      </c>
      <c r="C23275" s="4" t="s">
        <v>11</v>
      </c>
    </row>
    <row r="23276" spans="1:9">
      <c r="A23276" t="n">
        <v>224187</v>
      </c>
      <c r="B23276" s="29" t="n">
        <v>16</v>
      </c>
      <c r="C23276" s="7" t="n">
        <v>0</v>
      </c>
    </row>
    <row r="23277" spans="1:9">
      <c r="A23277" t="s">
        <v>4</v>
      </c>
      <c r="B23277" s="4" t="s">
        <v>5</v>
      </c>
      <c r="C23277" s="4" t="s">
        <v>11</v>
      </c>
      <c r="D23277" s="4" t="s">
        <v>7</v>
      </c>
      <c r="E23277" s="4" t="s">
        <v>15</v>
      </c>
      <c r="F23277" s="4" t="s">
        <v>55</v>
      </c>
      <c r="G23277" s="4" t="s">
        <v>7</v>
      </c>
      <c r="H23277" s="4" t="s">
        <v>7</v>
      </c>
    </row>
    <row r="23278" spans="1:9">
      <c r="A23278" t="n">
        <v>224190</v>
      </c>
      <c r="B23278" s="55" t="n">
        <v>26</v>
      </c>
      <c r="C23278" s="7" t="n">
        <v>1</v>
      </c>
      <c r="D23278" s="7" t="n">
        <v>17</v>
      </c>
      <c r="E23278" s="7" t="n">
        <v>1813</v>
      </c>
      <c r="F23278" s="7" t="s">
        <v>348</v>
      </c>
      <c r="G23278" s="7" t="n">
        <v>2</v>
      </c>
      <c r="H23278" s="7" t="n">
        <v>0</v>
      </c>
    </row>
    <row r="23279" spans="1:9">
      <c r="A23279" t="s">
        <v>4</v>
      </c>
      <c r="B23279" s="4" t="s">
        <v>5</v>
      </c>
    </row>
    <row r="23280" spans="1:9">
      <c r="A23280" t="n">
        <v>224210</v>
      </c>
      <c r="B23280" s="27" t="n">
        <v>28</v>
      </c>
    </row>
    <row r="23281" spans="1:28">
      <c r="A23281" t="s">
        <v>4</v>
      </c>
      <c r="B23281" s="4" t="s">
        <v>5</v>
      </c>
      <c r="C23281" s="4" t="s">
        <v>7</v>
      </c>
      <c r="D23281" s="4" t="s">
        <v>11</v>
      </c>
      <c r="E23281" s="4" t="s">
        <v>8</v>
      </c>
    </row>
    <row r="23282" spans="1:28">
      <c r="A23282" t="n">
        <v>224211</v>
      </c>
      <c r="B23282" s="38" t="n">
        <v>51</v>
      </c>
      <c r="C23282" s="7" t="n">
        <v>4</v>
      </c>
      <c r="D23282" s="7" t="n">
        <v>0</v>
      </c>
      <c r="E23282" s="7" t="s">
        <v>162</v>
      </c>
    </row>
    <row r="23283" spans="1:28">
      <c r="A23283" t="s">
        <v>4</v>
      </c>
      <c r="B23283" s="4" t="s">
        <v>5</v>
      </c>
      <c r="C23283" s="4" t="s">
        <v>11</v>
      </c>
    </row>
    <row r="23284" spans="1:28">
      <c r="A23284" t="n">
        <v>224224</v>
      </c>
      <c r="B23284" s="29" t="n">
        <v>16</v>
      </c>
      <c r="C23284" s="7" t="n">
        <v>0</v>
      </c>
    </row>
    <row r="23285" spans="1:28">
      <c r="A23285" t="s">
        <v>4</v>
      </c>
      <c r="B23285" s="4" t="s">
        <v>5</v>
      </c>
      <c r="C23285" s="4" t="s">
        <v>11</v>
      </c>
      <c r="D23285" s="4" t="s">
        <v>7</v>
      </c>
      <c r="E23285" s="4" t="s">
        <v>15</v>
      </c>
      <c r="F23285" s="4" t="s">
        <v>55</v>
      </c>
      <c r="G23285" s="4" t="s">
        <v>7</v>
      </c>
      <c r="H23285" s="4" t="s">
        <v>7</v>
      </c>
      <c r="I23285" s="4" t="s">
        <v>7</v>
      </c>
      <c r="J23285" s="4" t="s">
        <v>15</v>
      </c>
      <c r="K23285" s="4" t="s">
        <v>55</v>
      </c>
      <c r="L23285" s="4" t="s">
        <v>7</v>
      </c>
      <c r="M23285" s="4" t="s">
        <v>7</v>
      </c>
      <c r="N23285" s="4" t="s">
        <v>7</v>
      </c>
      <c r="O23285" s="4" t="s">
        <v>15</v>
      </c>
      <c r="P23285" s="4" t="s">
        <v>55</v>
      </c>
      <c r="Q23285" s="4" t="s">
        <v>7</v>
      </c>
      <c r="R23285" s="4" t="s">
        <v>7</v>
      </c>
      <c r="S23285" s="4" t="s">
        <v>7</v>
      </c>
      <c r="T23285" s="4" t="s">
        <v>15</v>
      </c>
      <c r="U23285" s="4" t="s">
        <v>55</v>
      </c>
      <c r="V23285" s="4" t="s">
        <v>7</v>
      </c>
      <c r="W23285" s="4" t="s">
        <v>7</v>
      </c>
    </row>
    <row r="23286" spans="1:28">
      <c r="A23286" t="n">
        <v>224227</v>
      </c>
      <c r="B23286" s="55" t="n">
        <v>26</v>
      </c>
      <c r="C23286" s="7" t="n">
        <v>0</v>
      </c>
      <c r="D23286" s="7" t="n">
        <v>17</v>
      </c>
      <c r="E23286" s="7" t="n">
        <v>63805</v>
      </c>
      <c r="F23286" s="7" t="s">
        <v>349</v>
      </c>
      <c r="G23286" s="7" t="n">
        <v>2</v>
      </c>
      <c r="H23286" s="7" t="n">
        <v>3</v>
      </c>
      <c r="I23286" s="7" t="n">
        <v>17</v>
      </c>
      <c r="J23286" s="7" t="n">
        <v>63806</v>
      </c>
      <c r="K23286" s="7" t="s">
        <v>350</v>
      </c>
      <c r="L23286" s="7" t="n">
        <v>2</v>
      </c>
      <c r="M23286" s="7" t="n">
        <v>3</v>
      </c>
      <c r="N23286" s="7" t="n">
        <v>17</v>
      </c>
      <c r="O23286" s="7" t="n">
        <v>63807</v>
      </c>
      <c r="P23286" s="7" t="s">
        <v>351</v>
      </c>
      <c r="Q23286" s="7" t="n">
        <v>2</v>
      </c>
      <c r="R23286" s="7" t="n">
        <v>3</v>
      </c>
      <c r="S23286" s="7" t="n">
        <v>17</v>
      </c>
      <c r="T23286" s="7" t="n">
        <v>63808</v>
      </c>
      <c r="U23286" s="7" t="s">
        <v>352</v>
      </c>
      <c r="V23286" s="7" t="n">
        <v>2</v>
      </c>
      <c r="W23286" s="7" t="n">
        <v>0</v>
      </c>
    </row>
    <row r="23287" spans="1:28">
      <c r="A23287" t="s">
        <v>4</v>
      </c>
      <c r="B23287" s="4" t="s">
        <v>5</v>
      </c>
    </row>
    <row r="23288" spans="1:28">
      <c r="A23288" t="n">
        <v>224728</v>
      </c>
      <c r="B23288" s="27" t="n">
        <v>28</v>
      </c>
    </row>
    <row r="23289" spans="1:28">
      <c r="A23289" t="s">
        <v>4</v>
      </c>
      <c r="B23289" s="4" t="s">
        <v>5</v>
      </c>
      <c r="C23289" s="4" t="s">
        <v>7</v>
      </c>
      <c r="D23289" s="4" t="s">
        <v>11</v>
      </c>
      <c r="E23289" s="4" t="s">
        <v>8</v>
      </c>
    </row>
    <row r="23290" spans="1:28">
      <c r="A23290" t="n">
        <v>224729</v>
      </c>
      <c r="B23290" s="38" t="n">
        <v>51</v>
      </c>
      <c r="C23290" s="7" t="n">
        <v>4</v>
      </c>
      <c r="D23290" s="7" t="n">
        <v>1</v>
      </c>
      <c r="E23290" s="7" t="s">
        <v>353</v>
      </c>
    </row>
    <row r="23291" spans="1:28">
      <c r="A23291" t="s">
        <v>4</v>
      </c>
      <c r="B23291" s="4" t="s">
        <v>5</v>
      </c>
      <c r="C23291" s="4" t="s">
        <v>11</v>
      </c>
    </row>
    <row r="23292" spans="1:28">
      <c r="A23292" t="n">
        <v>224748</v>
      </c>
      <c r="B23292" s="29" t="n">
        <v>16</v>
      </c>
      <c r="C23292" s="7" t="n">
        <v>0</v>
      </c>
    </row>
    <row r="23293" spans="1:28">
      <c r="A23293" t="s">
        <v>4</v>
      </c>
      <c r="B23293" s="4" t="s">
        <v>5</v>
      </c>
      <c r="C23293" s="4" t="s">
        <v>11</v>
      </c>
      <c r="D23293" s="4" t="s">
        <v>7</v>
      </c>
      <c r="E23293" s="4" t="s">
        <v>15</v>
      </c>
      <c r="F23293" s="4" t="s">
        <v>55</v>
      </c>
      <c r="G23293" s="4" t="s">
        <v>7</v>
      </c>
      <c r="H23293" s="4" t="s">
        <v>7</v>
      </c>
    </row>
    <row r="23294" spans="1:28">
      <c r="A23294" t="n">
        <v>224751</v>
      </c>
      <c r="B23294" s="55" t="n">
        <v>26</v>
      </c>
      <c r="C23294" s="7" t="n">
        <v>1</v>
      </c>
      <c r="D23294" s="7" t="n">
        <v>17</v>
      </c>
      <c r="E23294" s="7" t="n">
        <v>1814</v>
      </c>
      <c r="F23294" s="7" t="s">
        <v>354</v>
      </c>
      <c r="G23294" s="7" t="n">
        <v>2</v>
      </c>
      <c r="H23294" s="7" t="n">
        <v>0</v>
      </c>
    </row>
    <row r="23295" spans="1:28">
      <c r="A23295" t="s">
        <v>4</v>
      </c>
      <c r="B23295" s="4" t="s">
        <v>5</v>
      </c>
    </row>
    <row r="23296" spans="1:28">
      <c r="A23296" t="n">
        <v>224786</v>
      </c>
      <c r="B23296" s="27" t="n">
        <v>28</v>
      </c>
    </row>
    <row r="23297" spans="1:23">
      <c r="A23297" t="s">
        <v>4</v>
      </c>
      <c r="B23297" s="4" t="s">
        <v>5</v>
      </c>
      <c r="C23297" s="4" t="s">
        <v>11</v>
      </c>
      <c r="D23297" s="4" t="s">
        <v>7</v>
      </c>
    </row>
    <row r="23298" spans="1:23">
      <c r="A23298" t="n">
        <v>224787</v>
      </c>
      <c r="B23298" s="68" t="n">
        <v>89</v>
      </c>
      <c r="C23298" s="7" t="n">
        <v>65533</v>
      </c>
      <c r="D23298" s="7" t="n">
        <v>1</v>
      </c>
    </row>
    <row r="23299" spans="1:23">
      <c r="A23299" t="s">
        <v>4</v>
      </c>
      <c r="B23299" s="4" t="s">
        <v>5</v>
      </c>
      <c r="C23299" s="4" t="s">
        <v>7</v>
      </c>
      <c r="D23299" s="4" t="s">
        <v>11</v>
      </c>
      <c r="E23299" s="4" t="s">
        <v>13</v>
      </c>
    </row>
    <row r="23300" spans="1:23">
      <c r="A23300" t="n">
        <v>224791</v>
      </c>
      <c r="B23300" s="23" t="n">
        <v>58</v>
      </c>
      <c r="C23300" s="7" t="n">
        <v>101</v>
      </c>
      <c r="D23300" s="7" t="n">
        <v>500</v>
      </c>
      <c r="E23300" s="7" t="n">
        <v>1</v>
      </c>
    </row>
    <row r="23301" spans="1:23">
      <c r="A23301" t="s">
        <v>4</v>
      </c>
      <c r="B23301" s="4" t="s">
        <v>5</v>
      </c>
      <c r="C23301" s="4" t="s">
        <v>7</v>
      </c>
      <c r="D23301" s="4" t="s">
        <v>11</v>
      </c>
    </row>
    <row r="23302" spans="1:23">
      <c r="A23302" t="n">
        <v>224799</v>
      </c>
      <c r="B23302" s="23" t="n">
        <v>58</v>
      </c>
      <c r="C23302" s="7" t="n">
        <v>254</v>
      </c>
      <c r="D23302" s="7" t="n">
        <v>0</v>
      </c>
    </row>
    <row r="23303" spans="1:23">
      <c r="A23303" t="s">
        <v>4</v>
      </c>
      <c r="B23303" s="4" t="s">
        <v>5</v>
      </c>
      <c r="C23303" s="4" t="s">
        <v>7</v>
      </c>
      <c r="D23303" s="4" t="s">
        <v>7</v>
      </c>
      <c r="E23303" s="4" t="s">
        <v>13</v>
      </c>
      <c r="F23303" s="4" t="s">
        <v>13</v>
      </c>
      <c r="G23303" s="4" t="s">
        <v>13</v>
      </c>
      <c r="H23303" s="4" t="s">
        <v>11</v>
      </c>
    </row>
    <row r="23304" spans="1:23">
      <c r="A23304" t="n">
        <v>224803</v>
      </c>
      <c r="B23304" s="51" t="n">
        <v>45</v>
      </c>
      <c r="C23304" s="7" t="n">
        <v>2</v>
      </c>
      <c r="D23304" s="7" t="n">
        <v>3</v>
      </c>
      <c r="E23304" s="7" t="n">
        <v>-6.6100001335144</v>
      </c>
      <c r="F23304" s="7" t="n">
        <v>6.44000005722046</v>
      </c>
      <c r="G23304" s="7" t="n">
        <v>29.9300003051758</v>
      </c>
      <c r="H23304" s="7" t="n">
        <v>0</v>
      </c>
    </row>
    <row r="23305" spans="1:23">
      <c r="A23305" t="s">
        <v>4</v>
      </c>
      <c r="B23305" s="4" t="s">
        <v>5</v>
      </c>
      <c r="C23305" s="4" t="s">
        <v>7</v>
      </c>
      <c r="D23305" s="4" t="s">
        <v>7</v>
      </c>
      <c r="E23305" s="4" t="s">
        <v>13</v>
      </c>
      <c r="F23305" s="4" t="s">
        <v>13</v>
      </c>
      <c r="G23305" s="4" t="s">
        <v>13</v>
      </c>
      <c r="H23305" s="4" t="s">
        <v>11</v>
      </c>
      <c r="I23305" s="4" t="s">
        <v>7</v>
      </c>
    </row>
    <row r="23306" spans="1:23">
      <c r="A23306" t="n">
        <v>224820</v>
      </c>
      <c r="B23306" s="51" t="n">
        <v>45</v>
      </c>
      <c r="C23306" s="7" t="n">
        <v>4</v>
      </c>
      <c r="D23306" s="7" t="n">
        <v>3</v>
      </c>
      <c r="E23306" s="7" t="n">
        <v>357</v>
      </c>
      <c r="F23306" s="7" t="n">
        <v>284.700012207031</v>
      </c>
      <c r="G23306" s="7" t="n">
        <v>4</v>
      </c>
      <c r="H23306" s="7" t="n">
        <v>0</v>
      </c>
      <c r="I23306" s="7" t="n">
        <v>0</v>
      </c>
    </row>
    <row r="23307" spans="1:23">
      <c r="A23307" t="s">
        <v>4</v>
      </c>
      <c r="B23307" s="4" t="s">
        <v>5</v>
      </c>
      <c r="C23307" s="4" t="s">
        <v>7</v>
      </c>
      <c r="D23307" s="4" t="s">
        <v>7</v>
      </c>
      <c r="E23307" s="4" t="s">
        <v>13</v>
      </c>
      <c r="F23307" s="4" t="s">
        <v>11</v>
      </c>
    </row>
    <row r="23308" spans="1:23">
      <c r="A23308" t="n">
        <v>224838</v>
      </c>
      <c r="B23308" s="51" t="n">
        <v>45</v>
      </c>
      <c r="C23308" s="7" t="n">
        <v>5</v>
      </c>
      <c r="D23308" s="7" t="n">
        <v>3</v>
      </c>
      <c r="E23308" s="7" t="n">
        <v>1</v>
      </c>
      <c r="F23308" s="7" t="n">
        <v>0</v>
      </c>
    </row>
    <row r="23309" spans="1:23">
      <c r="A23309" t="s">
        <v>4</v>
      </c>
      <c r="B23309" s="4" t="s">
        <v>5</v>
      </c>
      <c r="C23309" s="4" t="s">
        <v>7</v>
      </c>
      <c r="D23309" s="4" t="s">
        <v>7</v>
      </c>
      <c r="E23309" s="4" t="s">
        <v>13</v>
      </c>
      <c r="F23309" s="4" t="s">
        <v>11</v>
      </c>
    </row>
    <row r="23310" spans="1:23">
      <c r="A23310" t="n">
        <v>224847</v>
      </c>
      <c r="B23310" s="51" t="n">
        <v>45</v>
      </c>
      <c r="C23310" s="7" t="n">
        <v>11</v>
      </c>
      <c r="D23310" s="7" t="n">
        <v>3</v>
      </c>
      <c r="E23310" s="7" t="n">
        <v>40.2999992370605</v>
      </c>
      <c r="F23310" s="7" t="n">
        <v>0</v>
      </c>
    </row>
    <row r="23311" spans="1:23">
      <c r="A23311" t="s">
        <v>4</v>
      </c>
      <c r="B23311" s="4" t="s">
        <v>5</v>
      </c>
      <c r="C23311" s="4" t="s">
        <v>7</v>
      </c>
      <c r="D23311" s="4" t="s">
        <v>11</v>
      </c>
      <c r="E23311" s="4" t="s">
        <v>8</v>
      </c>
      <c r="F23311" s="4" t="s">
        <v>8</v>
      </c>
      <c r="G23311" s="4" t="s">
        <v>8</v>
      </c>
      <c r="H23311" s="4" t="s">
        <v>8</v>
      </c>
    </row>
    <row r="23312" spans="1:23">
      <c r="A23312" t="n">
        <v>224856</v>
      </c>
      <c r="B23312" s="38" t="n">
        <v>51</v>
      </c>
      <c r="C23312" s="7" t="n">
        <v>3</v>
      </c>
      <c r="D23312" s="7" t="n">
        <v>0</v>
      </c>
      <c r="E23312" s="7" t="s">
        <v>86</v>
      </c>
      <c r="F23312" s="7" t="s">
        <v>79</v>
      </c>
      <c r="G23312" s="7" t="s">
        <v>78</v>
      </c>
      <c r="H23312" s="7" t="s">
        <v>79</v>
      </c>
    </row>
    <row r="23313" spans="1:9">
      <c r="A23313" t="s">
        <v>4</v>
      </c>
      <c r="B23313" s="4" t="s">
        <v>5</v>
      </c>
      <c r="C23313" s="4" t="s">
        <v>7</v>
      </c>
      <c r="D23313" s="4" t="s">
        <v>11</v>
      </c>
    </row>
    <row r="23314" spans="1:9">
      <c r="A23314" t="n">
        <v>224869</v>
      </c>
      <c r="B23314" s="23" t="n">
        <v>58</v>
      </c>
      <c r="C23314" s="7" t="n">
        <v>255</v>
      </c>
      <c r="D23314" s="7" t="n">
        <v>0</v>
      </c>
    </row>
    <row r="23315" spans="1:9">
      <c r="A23315" t="s">
        <v>4</v>
      </c>
      <c r="B23315" s="4" t="s">
        <v>5</v>
      </c>
      <c r="C23315" s="4" t="s">
        <v>7</v>
      </c>
      <c r="D23315" s="4" t="s">
        <v>11</v>
      </c>
    </row>
    <row r="23316" spans="1:9">
      <c r="A23316" t="n">
        <v>224873</v>
      </c>
      <c r="B23316" s="51" t="n">
        <v>45</v>
      </c>
      <c r="C23316" s="7" t="n">
        <v>7</v>
      </c>
      <c r="D23316" s="7" t="n">
        <v>255</v>
      </c>
    </row>
    <row r="23317" spans="1:9">
      <c r="A23317" t="s">
        <v>4</v>
      </c>
      <c r="B23317" s="4" t="s">
        <v>5</v>
      </c>
      <c r="C23317" s="4" t="s">
        <v>7</v>
      </c>
      <c r="D23317" s="4" t="s">
        <v>11</v>
      </c>
      <c r="E23317" s="4" t="s">
        <v>8</v>
      </c>
    </row>
    <row r="23318" spans="1:9">
      <c r="A23318" t="n">
        <v>224877</v>
      </c>
      <c r="B23318" s="38" t="n">
        <v>51</v>
      </c>
      <c r="C23318" s="7" t="n">
        <v>4</v>
      </c>
      <c r="D23318" s="7" t="n">
        <v>0</v>
      </c>
      <c r="E23318" s="7" t="s">
        <v>137</v>
      </c>
    </row>
    <row r="23319" spans="1:9">
      <c r="A23319" t="s">
        <v>4</v>
      </c>
      <c r="B23319" s="4" t="s">
        <v>5</v>
      </c>
      <c r="C23319" s="4" t="s">
        <v>11</v>
      </c>
    </row>
    <row r="23320" spans="1:9">
      <c r="A23320" t="n">
        <v>224890</v>
      </c>
      <c r="B23320" s="29" t="n">
        <v>16</v>
      </c>
      <c r="C23320" s="7" t="n">
        <v>500</v>
      </c>
    </row>
    <row r="23321" spans="1:9">
      <c r="A23321" t="s">
        <v>4</v>
      </c>
      <c r="B23321" s="4" t="s">
        <v>5</v>
      </c>
      <c r="C23321" s="4" t="s">
        <v>11</v>
      </c>
      <c r="D23321" s="4" t="s">
        <v>7</v>
      </c>
      <c r="E23321" s="4" t="s">
        <v>15</v>
      </c>
      <c r="F23321" s="4" t="s">
        <v>55</v>
      </c>
      <c r="G23321" s="4" t="s">
        <v>7</v>
      </c>
      <c r="H23321" s="4" t="s">
        <v>7</v>
      </c>
      <c r="I23321" s="4" t="s">
        <v>7</v>
      </c>
      <c r="J23321" s="4" t="s">
        <v>15</v>
      </c>
      <c r="K23321" s="4" t="s">
        <v>55</v>
      </c>
      <c r="L23321" s="4" t="s">
        <v>7</v>
      </c>
      <c r="M23321" s="4" t="s">
        <v>7</v>
      </c>
      <c r="N23321" s="4" t="s">
        <v>7</v>
      </c>
      <c r="O23321" s="4" t="s">
        <v>15</v>
      </c>
      <c r="P23321" s="4" t="s">
        <v>55</v>
      </c>
      <c r="Q23321" s="4" t="s">
        <v>7</v>
      </c>
      <c r="R23321" s="4" t="s">
        <v>7</v>
      </c>
      <c r="S23321" s="4" t="s">
        <v>7</v>
      </c>
      <c r="T23321" s="4" t="s">
        <v>15</v>
      </c>
      <c r="U23321" s="4" t="s">
        <v>55</v>
      </c>
      <c r="V23321" s="4" t="s">
        <v>7</v>
      </c>
      <c r="W23321" s="4" t="s">
        <v>7</v>
      </c>
    </row>
    <row r="23322" spans="1:9">
      <c r="A23322" t="n">
        <v>224893</v>
      </c>
      <c r="B23322" s="55" t="n">
        <v>26</v>
      </c>
      <c r="C23322" s="7" t="n">
        <v>0</v>
      </c>
      <c r="D23322" s="7" t="n">
        <v>17</v>
      </c>
      <c r="E23322" s="7" t="n">
        <v>63809</v>
      </c>
      <c r="F23322" s="7" t="s">
        <v>355</v>
      </c>
      <c r="G23322" s="7" t="n">
        <v>2</v>
      </c>
      <c r="H23322" s="7" t="n">
        <v>3</v>
      </c>
      <c r="I23322" s="7" t="n">
        <v>17</v>
      </c>
      <c r="J23322" s="7" t="n">
        <v>63810</v>
      </c>
      <c r="K23322" s="7" t="s">
        <v>356</v>
      </c>
      <c r="L23322" s="7" t="n">
        <v>2</v>
      </c>
      <c r="M23322" s="7" t="n">
        <v>3</v>
      </c>
      <c r="N23322" s="7" t="n">
        <v>17</v>
      </c>
      <c r="O23322" s="7" t="n">
        <v>63811</v>
      </c>
      <c r="P23322" s="7" t="s">
        <v>357</v>
      </c>
      <c r="Q23322" s="7" t="n">
        <v>2</v>
      </c>
      <c r="R23322" s="7" t="n">
        <v>3</v>
      </c>
      <c r="S23322" s="7" t="n">
        <v>17</v>
      </c>
      <c r="T23322" s="7" t="n">
        <v>63812</v>
      </c>
      <c r="U23322" s="7" t="s">
        <v>358</v>
      </c>
      <c r="V23322" s="7" t="n">
        <v>2</v>
      </c>
      <c r="W23322" s="7" t="n">
        <v>0</v>
      </c>
    </row>
    <row r="23323" spans="1:9">
      <c r="A23323" t="s">
        <v>4</v>
      </c>
      <c r="B23323" s="4" t="s">
        <v>5</v>
      </c>
    </row>
    <row r="23324" spans="1:9">
      <c r="A23324" t="n">
        <v>225156</v>
      </c>
      <c r="B23324" s="27" t="n">
        <v>28</v>
      </c>
    </row>
    <row r="23325" spans="1:9">
      <c r="A23325" t="s">
        <v>4</v>
      </c>
      <c r="B23325" s="4" t="s">
        <v>5</v>
      </c>
      <c r="C23325" s="4" t="s">
        <v>11</v>
      </c>
      <c r="D23325" s="4" t="s">
        <v>7</v>
      </c>
    </row>
    <row r="23326" spans="1:9">
      <c r="A23326" t="n">
        <v>225157</v>
      </c>
      <c r="B23326" s="68" t="n">
        <v>89</v>
      </c>
      <c r="C23326" s="7" t="n">
        <v>65533</v>
      </c>
      <c r="D23326" s="7" t="n">
        <v>1</v>
      </c>
    </row>
    <row r="23327" spans="1:9">
      <c r="A23327" t="s">
        <v>4</v>
      </c>
      <c r="B23327" s="4" t="s">
        <v>5</v>
      </c>
      <c r="C23327" s="4" t="s">
        <v>7</v>
      </c>
      <c r="D23327" s="4" t="s">
        <v>11</v>
      </c>
      <c r="E23327" s="4" t="s">
        <v>13</v>
      </c>
    </row>
    <row r="23328" spans="1:9">
      <c r="A23328" t="n">
        <v>225161</v>
      </c>
      <c r="B23328" s="23" t="n">
        <v>58</v>
      </c>
      <c r="C23328" s="7" t="n">
        <v>101</v>
      </c>
      <c r="D23328" s="7" t="n">
        <v>500</v>
      </c>
      <c r="E23328" s="7" t="n">
        <v>1</v>
      </c>
    </row>
    <row r="23329" spans="1:23">
      <c r="A23329" t="s">
        <v>4</v>
      </c>
      <c r="B23329" s="4" t="s">
        <v>5</v>
      </c>
      <c r="C23329" s="4" t="s">
        <v>7</v>
      </c>
      <c r="D23329" s="4" t="s">
        <v>11</v>
      </c>
    </row>
    <row r="23330" spans="1:23">
      <c r="A23330" t="n">
        <v>225169</v>
      </c>
      <c r="B23330" s="23" t="n">
        <v>58</v>
      </c>
      <c r="C23330" s="7" t="n">
        <v>254</v>
      </c>
      <c r="D23330" s="7" t="n">
        <v>0</v>
      </c>
    </row>
    <row r="23331" spans="1:23">
      <c r="A23331" t="s">
        <v>4</v>
      </c>
      <c r="B23331" s="4" t="s">
        <v>5</v>
      </c>
      <c r="C23331" s="4" t="s">
        <v>7</v>
      </c>
      <c r="D23331" s="4" t="s">
        <v>7</v>
      </c>
      <c r="E23331" s="4" t="s">
        <v>13</v>
      </c>
      <c r="F23331" s="4" t="s">
        <v>13</v>
      </c>
      <c r="G23331" s="4" t="s">
        <v>13</v>
      </c>
      <c r="H23331" s="4" t="s">
        <v>11</v>
      </c>
    </row>
    <row r="23332" spans="1:23">
      <c r="A23332" t="n">
        <v>225173</v>
      </c>
      <c r="B23332" s="51" t="n">
        <v>45</v>
      </c>
      <c r="C23332" s="7" t="n">
        <v>2</v>
      </c>
      <c r="D23332" s="7" t="n">
        <v>3</v>
      </c>
      <c r="E23332" s="7" t="n">
        <v>-7.3600001335144</v>
      </c>
      <c r="F23332" s="7" t="n">
        <v>6.3600001335144</v>
      </c>
      <c r="G23332" s="7" t="n">
        <v>29.8199996948242</v>
      </c>
      <c r="H23332" s="7" t="n">
        <v>0</v>
      </c>
    </row>
    <row r="23333" spans="1:23">
      <c r="A23333" t="s">
        <v>4</v>
      </c>
      <c r="B23333" s="4" t="s">
        <v>5</v>
      </c>
      <c r="C23333" s="4" t="s">
        <v>7</v>
      </c>
      <c r="D23333" s="4" t="s">
        <v>7</v>
      </c>
      <c r="E23333" s="4" t="s">
        <v>13</v>
      </c>
      <c r="F23333" s="4" t="s">
        <v>13</v>
      </c>
      <c r="G23333" s="4" t="s">
        <v>13</v>
      </c>
      <c r="H23333" s="4" t="s">
        <v>11</v>
      </c>
      <c r="I23333" s="4" t="s">
        <v>7</v>
      </c>
    </row>
    <row r="23334" spans="1:23">
      <c r="A23334" t="n">
        <v>225190</v>
      </c>
      <c r="B23334" s="51" t="n">
        <v>45</v>
      </c>
      <c r="C23334" s="7" t="n">
        <v>4</v>
      </c>
      <c r="D23334" s="7" t="n">
        <v>3</v>
      </c>
      <c r="E23334" s="7" t="n">
        <v>8.11999988555908</v>
      </c>
      <c r="F23334" s="7" t="n">
        <v>60.310001373291</v>
      </c>
      <c r="G23334" s="7" t="n">
        <v>354</v>
      </c>
      <c r="H23334" s="7" t="n">
        <v>0</v>
      </c>
      <c r="I23334" s="7" t="n">
        <v>0</v>
      </c>
    </row>
    <row r="23335" spans="1:23">
      <c r="A23335" t="s">
        <v>4</v>
      </c>
      <c r="B23335" s="4" t="s">
        <v>5</v>
      </c>
      <c r="C23335" s="4" t="s">
        <v>7</v>
      </c>
      <c r="D23335" s="4" t="s">
        <v>7</v>
      </c>
      <c r="E23335" s="4" t="s">
        <v>13</v>
      </c>
      <c r="F23335" s="4" t="s">
        <v>11</v>
      </c>
    </row>
    <row r="23336" spans="1:23">
      <c r="A23336" t="n">
        <v>225208</v>
      </c>
      <c r="B23336" s="51" t="n">
        <v>45</v>
      </c>
      <c r="C23336" s="7" t="n">
        <v>5</v>
      </c>
      <c r="D23336" s="7" t="n">
        <v>3</v>
      </c>
      <c r="E23336" s="7" t="n">
        <v>0.800000011920929</v>
      </c>
      <c r="F23336" s="7" t="n">
        <v>0</v>
      </c>
    </row>
    <row r="23337" spans="1:23">
      <c r="A23337" t="s">
        <v>4</v>
      </c>
      <c r="B23337" s="4" t="s">
        <v>5</v>
      </c>
      <c r="C23337" s="4" t="s">
        <v>7</v>
      </c>
      <c r="D23337" s="4" t="s">
        <v>7</v>
      </c>
      <c r="E23337" s="4" t="s">
        <v>13</v>
      </c>
      <c r="F23337" s="4" t="s">
        <v>11</v>
      </c>
    </row>
    <row r="23338" spans="1:23">
      <c r="A23338" t="n">
        <v>225217</v>
      </c>
      <c r="B23338" s="51" t="n">
        <v>45</v>
      </c>
      <c r="C23338" s="7" t="n">
        <v>11</v>
      </c>
      <c r="D23338" s="7" t="n">
        <v>3</v>
      </c>
      <c r="E23338" s="7" t="n">
        <v>40.2999992370605</v>
      </c>
      <c r="F23338" s="7" t="n">
        <v>0</v>
      </c>
    </row>
    <row r="23339" spans="1:23">
      <c r="A23339" t="s">
        <v>4</v>
      </c>
      <c r="B23339" s="4" t="s">
        <v>5</v>
      </c>
      <c r="C23339" s="4" t="s">
        <v>7</v>
      </c>
      <c r="D23339" s="4" t="s">
        <v>11</v>
      </c>
    </row>
    <row r="23340" spans="1:23">
      <c r="A23340" t="n">
        <v>225226</v>
      </c>
      <c r="B23340" s="23" t="n">
        <v>58</v>
      </c>
      <c r="C23340" s="7" t="n">
        <v>255</v>
      </c>
      <c r="D23340" s="7" t="n">
        <v>0</v>
      </c>
    </row>
    <row r="23341" spans="1:23">
      <c r="A23341" t="s">
        <v>4</v>
      </c>
      <c r="B23341" s="4" t="s">
        <v>5</v>
      </c>
      <c r="C23341" s="4" t="s">
        <v>7</v>
      </c>
      <c r="D23341" s="4" t="s">
        <v>11</v>
      </c>
      <c r="E23341" s="4" t="s">
        <v>8</v>
      </c>
    </row>
    <row r="23342" spans="1:23">
      <c r="A23342" t="n">
        <v>225230</v>
      </c>
      <c r="B23342" s="38" t="n">
        <v>51</v>
      </c>
      <c r="C23342" s="7" t="n">
        <v>4</v>
      </c>
      <c r="D23342" s="7" t="n">
        <v>1</v>
      </c>
      <c r="E23342" s="7" t="s">
        <v>359</v>
      </c>
    </row>
    <row r="23343" spans="1:23">
      <c r="A23343" t="s">
        <v>4</v>
      </c>
      <c r="B23343" s="4" t="s">
        <v>5</v>
      </c>
      <c r="C23343" s="4" t="s">
        <v>11</v>
      </c>
    </row>
    <row r="23344" spans="1:23">
      <c r="A23344" t="n">
        <v>225249</v>
      </c>
      <c r="B23344" s="29" t="n">
        <v>16</v>
      </c>
      <c r="C23344" s="7" t="n">
        <v>0</v>
      </c>
    </row>
    <row r="23345" spans="1:9">
      <c r="A23345" t="s">
        <v>4</v>
      </c>
      <c r="B23345" s="4" t="s">
        <v>5</v>
      </c>
      <c r="C23345" s="4" t="s">
        <v>11</v>
      </c>
      <c r="D23345" s="4" t="s">
        <v>7</v>
      </c>
      <c r="E23345" s="4" t="s">
        <v>15</v>
      </c>
      <c r="F23345" s="4" t="s">
        <v>55</v>
      </c>
      <c r="G23345" s="4" t="s">
        <v>7</v>
      </c>
      <c r="H23345" s="4" t="s">
        <v>7</v>
      </c>
    </row>
    <row r="23346" spans="1:9">
      <c r="A23346" t="n">
        <v>225252</v>
      </c>
      <c r="B23346" s="55" t="n">
        <v>26</v>
      </c>
      <c r="C23346" s="7" t="n">
        <v>1</v>
      </c>
      <c r="D23346" s="7" t="n">
        <v>17</v>
      </c>
      <c r="E23346" s="7" t="n">
        <v>1815</v>
      </c>
      <c r="F23346" s="7" t="s">
        <v>360</v>
      </c>
      <c r="G23346" s="7" t="n">
        <v>2</v>
      </c>
      <c r="H23346" s="7" t="n">
        <v>0</v>
      </c>
    </row>
    <row r="23347" spans="1:9">
      <c r="A23347" t="s">
        <v>4</v>
      </c>
      <c r="B23347" s="4" t="s">
        <v>5</v>
      </c>
    </row>
    <row r="23348" spans="1:9">
      <c r="A23348" t="n">
        <v>225274</v>
      </c>
      <c r="B23348" s="27" t="n">
        <v>28</v>
      </c>
    </row>
    <row r="23349" spans="1:9">
      <c r="A23349" t="s">
        <v>4</v>
      </c>
      <c r="B23349" s="4" t="s">
        <v>5</v>
      </c>
      <c r="C23349" s="4" t="s">
        <v>7</v>
      </c>
      <c r="D23349" s="4" t="s">
        <v>11</v>
      </c>
      <c r="E23349" s="4" t="s">
        <v>8</v>
      </c>
    </row>
    <row r="23350" spans="1:9">
      <c r="A23350" t="n">
        <v>225275</v>
      </c>
      <c r="B23350" s="38" t="n">
        <v>51</v>
      </c>
      <c r="C23350" s="7" t="n">
        <v>4</v>
      </c>
      <c r="D23350" s="7" t="n">
        <v>1</v>
      </c>
      <c r="E23350" s="7" t="s">
        <v>361</v>
      </c>
    </row>
    <row r="23351" spans="1:9">
      <c r="A23351" t="s">
        <v>4</v>
      </c>
      <c r="B23351" s="4" t="s">
        <v>5</v>
      </c>
      <c r="C23351" s="4" t="s">
        <v>11</v>
      </c>
    </row>
    <row r="23352" spans="1:9">
      <c r="A23352" t="n">
        <v>225290</v>
      </c>
      <c r="B23352" s="29" t="n">
        <v>16</v>
      </c>
      <c r="C23352" s="7" t="n">
        <v>0</v>
      </c>
    </row>
    <row r="23353" spans="1:9">
      <c r="A23353" t="s">
        <v>4</v>
      </c>
      <c r="B23353" s="4" t="s">
        <v>5</v>
      </c>
      <c r="C23353" s="4" t="s">
        <v>11</v>
      </c>
      <c r="D23353" s="4" t="s">
        <v>7</v>
      </c>
      <c r="E23353" s="4" t="s">
        <v>15</v>
      </c>
      <c r="F23353" s="4" t="s">
        <v>55</v>
      </c>
      <c r="G23353" s="4" t="s">
        <v>7</v>
      </c>
      <c r="H23353" s="4" t="s">
        <v>7</v>
      </c>
      <c r="I23353" s="4" t="s">
        <v>7</v>
      </c>
    </row>
    <row r="23354" spans="1:9">
      <c r="A23354" t="n">
        <v>225293</v>
      </c>
      <c r="B23354" s="55" t="n">
        <v>26</v>
      </c>
      <c r="C23354" s="7" t="n">
        <v>1</v>
      </c>
      <c r="D23354" s="7" t="n">
        <v>17</v>
      </c>
      <c r="E23354" s="7" t="n">
        <v>1816</v>
      </c>
      <c r="F23354" s="7" t="s">
        <v>362</v>
      </c>
      <c r="G23354" s="7" t="n">
        <v>8</v>
      </c>
      <c r="H23354" s="7" t="n">
        <v>2</v>
      </c>
      <c r="I23354" s="7" t="n">
        <v>0</v>
      </c>
    </row>
    <row r="23355" spans="1:9">
      <c r="A23355" t="s">
        <v>4</v>
      </c>
      <c r="B23355" s="4" t="s">
        <v>5</v>
      </c>
      <c r="C23355" s="4" t="s">
        <v>11</v>
      </c>
    </row>
    <row r="23356" spans="1:9">
      <c r="A23356" t="n">
        <v>225308</v>
      </c>
      <c r="B23356" s="29" t="n">
        <v>16</v>
      </c>
      <c r="C23356" s="7" t="n">
        <v>1</v>
      </c>
    </row>
    <row r="23357" spans="1:9">
      <c r="A23357" t="s">
        <v>4</v>
      </c>
      <c r="B23357" s="4" t="s">
        <v>5</v>
      </c>
      <c r="C23357" s="4" t="s">
        <v>7</v>
      </c>
      <c r="D23357" s="4" t="s">
        <v>11</v>
      </c>
    </row>
    <row r="23358" spans="1:9">
      <c r="A23358" t="n">
        <v>225311</v>
      </c>
      <c r="B23358" s="57" t="n">
        <v>50</v>
      </c>
      <c r="C23358" s="7" t="n">
        <v>52</v>
      </c>
      <c r="D23358" s="7" t="n">
        <v>1816</v>
      </c>
    </row>
    <row r="23359" spans="1:9">
      <c r="A23359" t="s">
        <v>4</v>
      </c>
      <c r="B23359" s="4" t="s">
        <v>5</v>
      </c>
      <c r="C23359" s="4" t="s">
        <v>11</v>
      </c>
    </row>
    <row r="23360" spans="1:9">
      <c r="A23360" t="n">
        <v>225315</v>
      </c>
      <c r="B23360" s="29" t="n">
        <v>16</v>
      </c>
      <c r="C23360" s="7" t="n">
        <v>1000</v>
      </c>
    </row>
    <row r="23361" spans="1:9">
      <c r="A23361" t="s">
        <v>4</v>
      </c>
      <c r="B23361" s="4" t="s">
        <v>5</v>
      </c>
      <c r="C23361" s="4" t="s">
        <v>11</v>
      </c>
      <c r="D23361" s="4" t="s">
        <v>7</v>
      </c>
    </row>
    <row r="23362" spans="1:9">
      <c r="A23362" t="n">
        <v>225318</v>
      </c>
      <c r="B23362" s="68" t="n">
        <v>89</v>
      </c>
      <c r="C23362" s="7" t="n">
        <v>65533</v>
      </c>
      <c r="D23362" s="7" t="n">
        <v>0</v>
      </c>
    </row>
    <row r="23363" spans="1:9">
      <c r="A23363" t="s">
        <v>4</v>
      </c>
      <c r="B23363" s="4" t="s">
        <v>5</v>
      </c>
      <c r="C23363" s="4" t="s">
        <v>11</v>
      </c>
      <c r="D23363" s="4" t="s">
        <v>7</v>
      </c>
    </row>
    <row r="23364" spans="1:9">
      <c r="A23364" t="n">
        <v>225322</v>
      </c>
      <c r="B23364" s="68" t="n">
        <v>89</v>
      </c>
      <c r="C23364" s="7" t="n">
        <v>65533</v>
      </c>
      <c r="D23364" s="7" t="n">
        <v>1</v>
      </c>
    </row>
    <row r="23365" spans="1:9">
      <c r="A23365" t="s">
        <v>4</v>
      </c>
      <c r="B23365" s="4" t="s">
        <v>5</v>
      </c>
      <c r="C23365" s="4" t="s">
        <v>11</v>
      </c>
      <c r="D23365" s="4" t="s">
        <v>11</v>
      </c>
      <c r="E23365" s="4" t="s">
        <v>13</v>
      </c>
      <c r="F23365" s="4" t="s">
        <v>13</v>
      </c>
      <c r="G23365" s="4" t="s">
        <v>13</v>
      </c>
      <c r="H23365" s="4" t="s">
        <v>13</v>
      </c>
      <c r="I23365" s="4" t="s">
        <v>7</v>
      </c>
      <c r="J23365" s="4" t="s">
        <v>11</v>
      </c>
    </row>
    <row r="23366" spans="1:9">
      <c r="A23366" t="n">
        <v>225326</v>
      </c>
      <c r="B23366" s="53" t="n">
        <v>55</v>
      </c>
      <c r="C23366" s="7" t="n">
        <v>1</v>
      </c>
      <c r="D23366" s="7" t="n">
        <v>65533</v>
      </c>
      <c r="E23366" s="7" t="n">
        <v>-7.28999996185303</v>
      </c>
      <c r="F23366" s="7" t="n">
        <v>5</v>
      </c>
      <c r="G23366" s="7" t="n">
        <v>29.8099994659424</v>
      </c>
      <c r="H23366" s="7" t="n">
        <v>1.20000004768372</v>
      </c>
      <c r="I23366" s="7" t="n">
        <v>1</v>
      </c>
      <c r="J23366" s="7" t="n">
        <v>0</v>
      </c>
    </row>
    <row r="23367" spans="1:9">
      <c r="A23367" t="s">
        <v>4</v>
      </c>
      <c r="B23367" s="4" t="s">
        <v>5</v>
      </c>
      <c r="C23367" s="4" t="s">
        <v>11</v>
      </c>
    </row>
    <row r="23368" spans="1:9">
      <c r="A23368" t="n">
        <v>225350</v>
      </c>
      <c r="B23368" s="29" t="n">
        <v>16</v>
      </c>
      <c r="C23368" s="7" t="n">
        <v>100</v>
      </c>
    </row>
    <row r="23369" spans="1:9">
      <c r="A23369" t="s">
        <v>4</v>
      </c>
      <c r="B23369" s="4" t="s">
        <v>5</v>
      </c>
      <c r="C23369" s="4" t="s">
        <v>7</v>
      </c>
      <c r="D23369" s="4" t="s">
        <v>11</v>
      </c>
      <c r="E23369" s="4" t="s">
        <v>13</v>
      </c>
    </row>
    <row r="23370" spans="1:9">
      <c r="A23370" t="n">
        <v>225353</v>
      </c>
      <c r="B23370" s="23" t="n">
        <v>58</v>
      </c>
      <c r="C23370" s="7" t="n">
        <v>101</v>
      </c>
      <c r="D23370" s="7" t="n">
        <v>500</v>
      </c>
      <c r="E23370" s="7" t="n">
        <v>1</v>
      </c>
    </row>
    <row r="23371" spans="1:9">
      <c r="A23371" t="s">
        <v>4</v>
      </c>
      <c r="B23371" s="4" t="s">
        <v>5</v>
      </c>
      <c r="C23371" s="4" t="s">
        <v>7</v>
      </c>
      <c r="D23371" s="4" t="s">
        <v>11</v>
      </c>
    </row>
    <row r="23372" spans="1:9">
      <c r="A23372" t="n">
        <v>225361</v>
      </c>
      <c r="B23372" s="23" t="n">
        <v>58</v>
      </c>
      <c r="C23372" s="7" t="n">
        <v>254</v>
      </c>
      <c r="D23372" s="7" t="n">
        <v>0</v>
      </c>
    </row>
    <row r="23373" spans="1:9">
      <c r="A23373" t="s">
        <v>4</v>
      </c>
      <c r="B23373" s="4" t="s">
        <v>5</v>
      </c>
      <c r="C23373" s="4" t="s">
        <v>11</v>
      </c>
      <c r="D23373" s="4" t="s">
        <v>7</v>
      </c>
    </row>
    <row r="23374" spans="1:9">
      <c r="A23374" t="n">
        <v>225365</v>
      </c>
      <c r="B23374" s="54" t="n">
        <v>56</v>
      </c>
      <c r="C23374" s="7" t="n">
        <v>1</v>
      </c>
      <c r="D23374" s="7" t="n">
        <v>1</v>
      </c>
    </row>
    <row r="23375" spans="1:9">
      <c r="A23375" t="s">
        <v>4</v>
      </c>
      <c r="B23375" s="4" t="s">
        <v>5</v>
      </c>
      <c r="C23375" s="4" t="s">
        <v>11</v>
      </c>
      <c r="D23375" s="4" t="s">
        <v>13</v>
      </c>
      <c r="E23375" s="4" t="s">
        <v>13</v>
      </c>
      <c r="F23375" s="4" t="s">
        <v>13</v>
      </c>
      <c r="G23375" s="4" t="s">
        <v>13</v>
      </c>
    </row>
    <row r="23376" spans="1:9">
      <c r="A23376" t="n">
        <v>225369</v>
      </c>
      <c r="B23376" s="36" t="n">
        <v>46</v>
      </c>
      <c r="C23376" s="7" t="n">
        <v>1</v>
      </c>
      <c r="D23376" s="7" t="n">
        <v>-7.51000022888184</v>
      </c>
      <c r="E23376" s="7" t="n">
        <v>5</v>
      </c>
      <c r="F23376" s="7" t="n">
        <v>29.7900009155273</v>
      </c>
      <c r="G23376" s="7" t="n">
        <v>83.9000015258789</v>
      </c>
    </row>
    <row r="23377" spans="1:10">
      <c r="A23377" t="s">
        <v>4</v>
      </c>
      <c r="B23377" s="4" t="s">
        <v>5</v>
      </c>
      <c r="C23377" s="4" t="s">
        <v>11</v>
      </c>
      <c r="D23377" s="4" t="s">
        <v>13</v>
      </c>
      <c r="E23377" s="4" t="s">
        <v>13</v>
      </c>
      <c r="F23377" s="4" t="s">
        <v>13</v>
      </c>
      <c r="G23377" s="4" t="s">
        <v>11</v>
      </c>
      <c r="H23377" s="4" t="s">
        <v>11</v>
      </c>
    </row>
    <row r="23378" spans="1:10">
      <c r="A23378" t="n">
        <v>225388</v>
      </c>
      <c r="B23378" s="37" t="n">
        <v>60</v>
      </c>
      <c r="C23378" s="7" t="n">
        <v>0</v>
      </c>
      <c r="D23378" s="7" t="n">
        <v>0</v>
      </c>
      <c r="E23378" s="7" t="n">
        <v>0</v>
      </c>
      <c r="F23378" s="7" t="n">
        <v>0</v>
      </c>
      <c r="G23378" s="7" t="n">
        <v>0</v>
      </c>
      <c r="H23378" s="7" t="n">
        <v>1</v>
      </c>
    </row>
    <row r="23379" spans="1:10">
      <c r="A23379" t="s">
        <v>4</v>
      </c>
      <c r="B23379" s="4" t="s">
        <v>5</v>
      </c>
      <c r="C23379" s="4" t="s">
        <v>11</v>
      </c>
      <c r="D23379" s="4" t="s">
        <v>13</v>
      </c>
      <c r="E23379" s="4" t="s">
        <v>13</v>
      </c>
      <c r="F23379" s="4" t="s">
        <v>13</v>
      </c>
      <c r="G23379" s="4" t="s">
        <v>11</v>
      </c>
      <c r="H23379" s="4" t="s">
        <v>11</v>
      </c>
    </row>
    <row r="23380" spans="1:10">
      <c r="A23380" t="n">
        <v>225407</v>
      </c>
      <c r="B23380" s="37" t="n">
        <v>60</v>
      </c>
      <c r="C23380" s="7" t="n">
        <v>0</v>
      </c>
      <c r="D23380" s="7" t="n">
        <v>0</v>
      </c>
      <c r="E23380" s="7" t="n">
        <v>0</v>
      </c>
      <c r="F23380" s="7" t="n">
        <v>0</v>
      </c>
      <c r="G23380" s="7" t="n">
        <v>0</v>
      </c>
      <c r="H23380" s="7" t="n">
        <v>0</v>
      </c>
    </row>
    <row r="23381" spans="1:10">
      <c r="A23381" t="s">
        <v>4</v>
      </c>
      <c r="B23381" s="4" t="s">
        <v>5</v>
      </c>
      <c r="C23381" s="4" t="s">
        <v>11</v>
      </c>
      <c r="D23381" s="4" t="s">
        <v>11</v>
      </c>
      <c r="E23381" s="4" t="s">
        <v>11</v>
      </c>
    </row>
    <row r="23382" spans="1:10">
      <c r="A23382" t="n">
        <v>225426</v>
      </c>
      <c r="B23382" s="72" t="n">
        <v>61</v>
      </c>
      <c r="C23382" s="7" t="n">
        <v>0</v>
      </c>
      <c r="D23382" s="7" t="n">
        <v>65533</v>
      </c>
      <c r="E23382" s="7" t="n">
        <v>0</v>
      </c>
    </row>
    <row r="23383" spans="1:10">
      <c r="A23383" t="s">
        <v>4</v>
      </c>
      <c r="B23383" s="4" t="s">
        <v>5</v>
      </c>
      <c r="C23383" s="4" t="s">
        <v>11</v>
      </c>
      <c r="D23383" s="4" t="s">
        <v>13</v>
      </c>
      <c r="E23383" s="4" t="s">
        <v>13</v>
      </c>
      <c r="F23383" s="4" t="s">
        <v>13</v>
      </c>
      <c r="G23383" s="4" t="s">
        <v>11</v>
      </c>
      <c r="H23383" s="4" t="s">
        <v>11</v>
      </c>
    </row>
    <row r="23384" spans="1:10">
      <c r="A23384" t="n">
        <v>225433</v>
      </c>
      <c r="B23384" s="37" t="n">
        <v>60</v>
      </c>
      <c r="C23384" s="7" t="n">
        <v>1</v>
      </c>
      <c r="D23384" s="7" t="n">
        <v>0</v>
      </c>
      <c r="E23384" s="7" t="n">
        <v>0</v>
      </c>
      <c r="F23384" s="7" t="n">
        <v>0</v>
      </c>
      <c r="G23384" s="7" t="n">
        <v>0</v>
      </c>
      <c r="H23384" s="7" t="n">
        <v>1</v>
      </c>
    </row>
    <row r="23385" spans="1:10">
      <c r="A23385" t="s">
        <v>4</v>
      </c>
      <c r="B23385" s="4" t="s">
        <v>5</v>
      </c>
      <c r="C23385" s="4" t="s">
        <v>11</v>
      </c>
      <c r="D23385" s="4" t="s">
        <v>13</v>
      </c>
      <c r="E23385" s="4" t="s">
        <v>13</v>
      </c>
      <c r="F23385" s="4" t="s">
        <v>13</v>
      </c>
      <c r="G23385" s="4" t="s">
        <v>11</v>
      </c>
      <c r="H23385" s="4" t="s">
        <v>11</v>
      </c>
    </row>
    <row r="23386" spans="1:10">
      <c r="A23386" t="n">
        <v>225452</v>
      </c>
      <c r="B23386" s="37" t="n">
        <v>60</v>
      </c>
      <c r="C23386" s="7" t="n">
        <v>1</v>
      </c>
      <c r="D23386" s="7" t="n">
        <v>0</v>
      </c>
      <c r="E23386" s="7" t="n">
        <v>0</v>
      </c>
      <c r="F23386" s="7" t="n">
        <v>0</v>
      </c>
      <c r="G23386" s="7" t="n">
        <v>0</v>
      </c>
      <c r="H23386" s="7" t="n">
        <v>0</v>
      </c>
    </row>
    <row r="23387" spans="1:10">
      <c r="A23387" t="s">
        <v>4</v>
      </c>
      <c r="B23387" s="4" t="s">
        <v>5</v>
      </c>
      <c r="C23387" s="4" t="s">
        <v>11</v>
      </c>
      <c r="D23387" s="4" t="s">
        <v>11</v>
      </c>
      <c r="E23387" s="4" t="s">
        <v>11</v>
      </c>
    </row>
    <row r="23388" spans="1:10">
      <c r="A23388" t="n">
        <v>225471</v>
      </c>
      <c r="B23388" s="72" t="n">
        <v>61</v>
      </c>
      <c r="C23388" s="7" t="n">
        <v>1</v>
      </c>
      <c r="D23388" s="7" t="n">
        <v>65533</v>
      </c>
      <c r="E23388" s="7" t="n">
        <v>0</v>
      </c>
    </row>
    <row r="23389" spans="1:10">
      <c r="A23389" t="s">
        <v>4</v>
      </c>
      <c r="B23389" s="4" t="s">
        <v>5</v>
      </c>
      <c r="C23389" s="4" t="s">
        <v>7</v>
      </c>
      <c r="D23389" s="4" t="s">
        <v>7</v>
      </c>
      <c r="E23389" s="4" t="s">
        <v>13</v>
      </c>
      <c r="F23389" s="4" t="s">
        <v>13</v>
      </c>
      <c r="G23389" s="4" t="s">
        <v>13</v>
      </c>
      <c r="H23389" s="4" t="s">
        <v>11</v>
      </c>
    </row>
    <row r="23390" spans="1:10">
      <c r="A23390" t="n">
        <v>225478</v>
      </c>
      <c r="B23390" s="51" t="n">
        <v>45</v>
      </c>
      <c r="C23390" s="7" t="n">
        <v>2</v>
      </c>
      <c r="D23390" s="7" t="n">
        <v>3</v>
      </c>
      <c r="E23390" s="7" t="n">
        <v>-6.80999994277954</v>
      </c>
      <c r="F23390" s="7" t="n">
        <v>6.40999984741211</v>
      </c>
      <c r="G23390" s="7" t="n">
        <v>29.7900009155273</v>
      </c>
      <c r="H23390" s="7" t="n">
        <v>0</v>
      </c>
    </row>
    <row r="23391" spans="1:10">
      <c r="A23391" t="s">
        <v>4</v>
      </c>
      <c r="B23391" s="4" t="s">
        <v>5</v>
      </c>
      <c r="C23391" s="4" t="s">
        <v>7</v>
      </c>
      <c r="D23391" s="4" t="s">
        <v>7</v>
      </c>
      <c r="E23391" s="4" t="s">
        <v>13</v>
      </c>
      <c r="F23391" s="4" t="s">
        <v>13</v>
      </c>
      <c r="G23391" s="4" t="s">
        <v>13</v>
      </c>
      <c r="H23391" s="4" t="s">
        <v>11</v>
      </c>
      <c r="I23391" s="4" t="s">
        <v>7</v>
      </c>
    </row>
    <row r="23392" spans="1:10">
      <c r="A23392" t="n">
        <v>225495</v>
      </c>
      <c r="B23392" s="51" t="n">
        <v>45</v>
      </c>
      <c r="C23392" s="7" t="n">
        <v>4</v>
      </c>
      <c r="D23392" s="7" t="n">
        <v>3</v>
      </c>
      <c r="E23392" s="7" t="n">
        <v>0.28999999165535</v>
      </c>
      <c r="F23392" s="7" t="n">
        <v>141.889999389648</v>
      </c>
      <c r="G23392" s="7" t="n">
        <v>354</v>
      </c>
      <c r="H23392" s="7" t="n">
        <v>0</v>
      </c>
      <c r="I23392" s="7" t="n">
        <v>0</v>
      </c>
    </row>
    <row r="23393" spans="1:9">
      <c r="A23393" t="s">
        <v>4</v>
      </c>
      <c r="B23393" s="4" t="s">
        <v>5</v>
      </c>
      <c r="C23393" s="4" t="s">
        <v>7</v>
      </c>
      <c r="D23393" s="4" t="s">
        <v>7</v>
      </c>
      <c r="E23393" s="4" t="s">
        <v>13</v>
      </c>
      <c r="F23393" s="4" t="s">
        <v>11</v>
      </c>
    </row>
    <row r="23394" spans="1:9">
      <c r="A23394" t="n">
        <v>225513</v>
      </c>
      <c r="B23394" s="51" t="n">
        <v>45</v>
      </c>
      <c r="C23394" s="7" t="n">
        <v>5</v>
      </c>
      <c r="D23394" s="7" t="n">
        <v>3</v>
      </c>
      <c r="E23394" s="7" t="n">
        <v>1</v>
      </c>
      <c r="F23394" s="7" t="n">
        <v>0</v>
      </c>
    </row>
    <row r="23395" spans="1:9">
      <c r="A23395" t="s">
        <v>4</v>
      </c>
      <c r="B23395" s="4" t="s">
        <v>5</v>
      </c>
      <c r="C23395" s="4" t="s">
        <v>7</v>
      </c>
      <c r="D23395" s="4" t="s">
        <v>7</v>
      </c>
      <c r="E23395" s="4" t="s">
        <v>13</v>
      </c>
      <c r="F23395" s="4" t="s">
        <v>11</v>
      </c>
    </row>
    <row r="23396" spans="1:9">
      <c r="A23396" t="n">
        <v>225522</v>
      </c>
      <c r="B23396" s="51" t="n">
        <v>45</v>
      </c>
      <c r="C23396" s="7" t="n">
        <v>11</v>
      </c>
      <c r="D23396" s="7" t="n">
        <v>3</v>
      </c>
      <c r="E23396" s="7" t="n">
        <v>40.2999992370605</v>
      </c>
      <c r="F23396" s="7" t="n">
        <v>0</v>
      </c>
    </row>
    <row r="23397" spans="1:9">
      <c r="A23397" t="s">
        <v>4</v>
      </c>
      <c r="B23397" s="4" t="s">
        <v>5</v>
      </c>
      <c r="C23397" s="4" t="s">
        <v>7</v>
      </c>
      <c r="D23397" s="4" t="s">
        <v>7</v>
      </c>
      <c r="E23397" s="4" t="s">
        <v>13</v>
      </c>
      <c r="F23397" s="4" t="s">
        <v>13</v>
      </c>
      <c r="G23397" s="4" t="s">
        <v>13</v>
      </c>
      <c r="H23397" s="4" t="s">
        <v>11</v>
      </c>
    </row>
    <row r="23398" spans="1:9">
      <c r="A23398" t="n">
        <v>225531</v>
      </c>
      <c r="B23398" s="51" t="n">
        <v>45</v>
      </c>
      <c r="C23398" s="7" t="n">
        <v>2</v>
      </c>
      <c r="D23398" s="7" t="n">
        <v>3</v>
      </c>
      <c r="E23398" s="7" t="n">
        <v>-6.51999998092651</v>
      </c>
      <c r="F23398" s="7" t="n">
        <v>6.40999984741211</v>
      </c>
      <c r="G23398" s="7" t="n">
        <v>29.8199996948242</v>
      </c>
      <c r="H23398" s="7" t="n">
        <v>3000</v>
      </c>
    </row>
    <row r="23399" spans="1:9">
      <c r="A23399" t="s">
        <v>4</v>
      </c>
      <c r="B23399" s="4" t="s">
        <v>5</v>
      </c>
      <c r="C23399" s="4" t="s">
        <v>7</v>
      </c>
      <c r="D23399" s="4" t="s">
        <v>7</v>
      </c>
      <c r="E23399" s="4" t="s">
        <v>13</v>
      </c>
      <c r="F23399" s="4" t="s">
        <v>13</v>
      </c>
      <c r="G23399" s="4" t="s">
        <v>13</v>
      </c>
      <c r="H23399" s="4" t="s">
        <v>11</v>
      </c>
      <c r="I23399" s="4" t="s">
        <v>7</v>
      </c>
    </row>
    <row r="23400" spans="1:9">
      <c r="A23400" t="n">
        <v>225548</v>
      </c>
      <c r="B23400" s="51" t="n">
        <v>45</v>
      </c>
      <c r="C23400" s="7" t="n">
        <v>4</v>
      </c>
      <c r="D23400" s="7" t="n">
        <v>3</v>
      </c>
      <c r="E23400" s="7" t="n">
        <v>352.010009765625</v>
      </c>
      <c r="F23400" s="7" t="n">
        <v>145.639999389648</v>
      </c>
      <c r="G23400" s="7" t="n">
        <v>354</v>
      </c>
      <c r="H23400" s="7" t="n">
        <v>3000</v>
      </c>
      <c r="I23400" s="7" t="n">
        <v>1</v>
      </c>
    </row>
    <row r="23401" spans="1:9">
      <c r="A23401" t="s">
        <v>4</v>
      </c>
      <c r="B23401" s="4" t="s">
        <v>5</v>
      </c>
      <c r="C23401" s="4" t="s">
        <v>7</v>
      </c>
      <c r="D23401" s="4" t="s">
        <v>7</v>
      </c>
      <c r="E23401" s="4" t="s">
        <v>13</v>
      </c>
      <c r="F23401" s="4" t="s">
        <v>11</v>
      </c>
    </row>
    <row r="23402" spans="1:9">
      <c r="A23402" t="n">
        <v>225566</v>
      </c>
      <c r="B23402" s="51" t="n">
        <v>45</v>
      </c>
      <c r="C23402" s="7" t="n">
        <v>5</v>
      </c>
      <c r="D23402" s="7" t="n">
        <v>3</v>
      </c>
      <c r="E23402" s="7" t="n">
        <v>1.10000002384186</v>
      </c>
      <c r="F23402" s="7" t="n">
        <v>3000</v>
      </c>
    </row>
    <row r="23403" spans="1:9">
      <c r="A23403" t="s">
        <v>4</v>
      </c>
      <c r="B23403" s="4" t="s">
        <v>5</v>
      </c>
      <c r="C23403" s="4" t="s">
        <v>11</v>
      </c>
      <c r="D23403" s="4" t="s">
        <v>7</v>
      </c>
      <c r="E23403" s="4" t="s">
        <v>8</v>
      </c>
      <c r="F23403" s="4" t="s">
        <v>13</v>
      </c>
      <c r="G23403" s="4" t="s">
        <v>13</v>
      </c>
      <c r="H23403" s="4" t="s">
        <v>13</v>
      </c>
    </row>
    <row r="23404" spans="1:9">
      <c r="A23404" t="n">
        <v>225575</v>
      </c>
      <c r="B23404" s="42" t="n">
        <v>48</v>
      </c>
      <c r="C23404" s="7" t="n">
        <v>0</v>
      </c>
      <c r="D23404" s="7" t="n">
        <v>0</v>
      </c>
      <c r="E23404" s="7" t="s">
        <v>276</v>
      </c>
      <c r="F23404" s="7" t="n">
        <v>-1</v>
      </c>
      <c r="G23404" s="7" t="n">
        <v>1</v>
      </c>
      <c r="H23404" s="7" t="n">
        <v>0</v>
      </c>
    </row>
    <row r="23405" spans="1:9">
      <c r="A23405" t="s">
        <v>4</v>
      </c>
      <c r="B23405" s="4" t="s">
        <v>5</v>
      </c>
      <c r="C23405" s="4" t="s">
        <v>11</v>
      </c>
      <c r="D23405" s="4" t="s">
        <v>7</v>
      </c>
      <c r="E23405" s="4" t="s">
        <v>8</v>
      </c>
      <c r="F23405" s="4" t="s">
        <v>13</v>
      </c>
      <c r="G23405" s="4" t="s">
        <v>13</v>
      </c>
      <c r="H23405" s="4" t="s">
        <v>13</v>
      </c>
    </row>
    <row r="23406" spans="1:9">
      <c r="A23406" t="n">
        <v>225601</v>
      </c>
      <c r="B23406" s="42" t="n">
        <v>48</v>
      </c>
      <c r="C23406" s="7" t="n">
        <v>1</v>
      </c>
      <c r="D23406" s="7" t="n">
        <v>0</v>
      </c>
      <c r="E23406" s="7" t="s">
        <v>276</v>
      </c>
      <c r="F23406" s="7" t="n">
        <v>-1</v>
      </c>
      <c r="G23406" s="7" t="n">
        <v>1</v>
      </c>
      <c r="H23406" s="7" t="n">
        <v>0</v>
      </c>
    </row>
    <row r="23407" spans="1:9">
      <c r="A23407" t="s">
        <v>4</v>
      </c>
      <c r="B23407" s="4" t="s">
        <v>5</v>
      </c>
      <c r="C23407" s="4" t="s">
        <v>7</v>
      </c>
      <c r="D23407" s="4" t="s">
        <v>11</v>
      </c>
      <c r="E23407" s="4" t="s">
        <v>13</v>
      </c>
      <c r="F23407" s="4" t="s">
        <v>11</v>
      </c>
      <c r="G23407" s="4" t="s">
        <v>15</v>
      </c>
      <c r="H23407" s="4" t="s">
        <v>15</v>
      </c>
      <c r="I23407" s="4" t="s">
        <v>11</v>
      </c>
      <c r="J23407" s="4" t="s">
        <v>11</v>
      </c>
      <c r="K23407" s="4" t="s">
        <v>15</v>
      </c>
      <c r="L23407" s="4" t="s">
        <v>15</v>
      </c>
      <c r="M23407" s="4" t="s">
        <v>15</v>
      </c>
      <c r="N23407" s="4" t="s">
        <v>15</v>
      </c>
      <c r="O23407" s="4" t="s">
        <v>8</v>
      </c>
    </row>
    <row r="23408" spans="1:9">
      <c r="A23408" t="n">
        <v>225627</v>
      </c>
      <c r="B23408" s="57" t="n">
        <v>50</v>
      </c>
      <c r="C23408" s="7" t="n">
        <v>0</v>
      </c>
      <c r="D23408" s="7" t="n">
        <v>2004</v>
      </c>
      <c r="E23408" s="7" t="n">
        <v>0.5</v>
      </c>
      <c r="F23408" s="7" t="n">
        <v>200</v>
      </c>
      <c r="G23408" s="7" t="n">
        <v>0</v>
      </c>
      <c r="H23408" s="7" t="n">
        <v>1073741824</v>
      </c>
      <c r="I23408" s="7" t="n">
        <v>0</v>
      </c>
      <c r="J23408" s="7" t="n">
        <v>65533</v>
      </c>
      <c r="K23408" s="7" t="n">
        <v>0</v>
      </c>
      <c r="L23408" s="7" t="n">
        <v>0</v>
      </c>
      <c r="M23408" s="7" t="n">
        <v>0</v>
      </c>
      <c r="N23408" s="7" t="n">
        <v>0</v>
      </c>
      <c r="O23408" s="7" t="s">
        <v>16</v>
      </c>
    </row>
    <row r="23409" spans="1:15">
      <c r="A23409" t="s">
        <v>4</v>
      </c>
      <c r="B23409" s="4" t="s">
        <v>5</v>
      </c>
      <c r="C23409" s="4" t="s">
        <v>7</v>
      </c>
      <c r="D23409" s="4" t="s">
        <v>11</v>
      </c>
    </row>
    <row r="23410" spans="1:15">
      <c r="A23410" t="n">
        <v>225666</v>
      </c>
      <c r="B23410" s="23" t="n">
        <v>58</v>
      </c>
      <c r="C23410" s="7" t="n">
        <v>255</v>
      </c>
      <c r="D23410" s="7" t="n">
        <v>0</v>
      </c>
    </row>
    <row r="23411" spans="1:15">
      <c r="A23411" t="s">
        <v>4</v>
      </c>
      <c r="B23411" s="4" t="s">
        <v>5</v>
      </c>
      <c r="C23411" s="4" t="s">
        <v>11</v>
      </c>
      <c r="D23411" s="4" t="s">
        <v>15</v>
      </c>
      <c r="E23411" s="4" t="s">
        <v>7</v>
      </c>
    </row>
    <row r="23412" spans="1:15">
      <c r="A23412" t="n">
        <v>225670</v>
      </c>
      <c r="B23412" s="78" t="n">
        <v>35</v>
      </c>
      <c r="C23412" s="7" t="n">
        <v>0</v>
      </c>
      <c r="D23412" s="7" t="n">
        <v>0</v>
      </c>
      <c r="E23412" s="7" t="n">
        <v>0</v>
      </c>
    </row>
    <row r="23413" spans="1:15">
      <c r="A23413" t="s">
        <v>4</v>
      </c>
      <c r="B23413" s="4" t="s">
        <v>5</v>
      </c>
      <c r="C23413" s="4" t="s">
        <v>11</v>
      </c>
      <c r="D23413" s="4" t="s">
        <v>15</v>
      </c>
      <c r="E23413" s="4" t="s">
        <v>7</v>
      </c>
    </row>
    <row r="23414" spans="1:15">
      <c r="A23414" t="n">
        <v>225678</v>
      </c>
      <c r="B23414" s="78" t="n">
        <v>35</v>
      </c>
      <c r="C23414" s="7" t="n">
        <v>1</v>
      </c>
      <c r="D23414" s="7" t="n">
        <v>0</v>
      </c>
      <c r="E23414" s="7" t="n">
        <v>0</v>
      </c>
    </row>
    <row r="23415" spans="1:15">
      <c r="A23415" t="s">
        <v>4</v>
      </c>
      <c r="B23415" s="4" t="s">
        <v>5</v>
      </c>
      <c r="C23415" s="4" t="s">
        <v>7</v>
      </c>
      <c r="D23415" s="4" t="s">
        <v>11</v>
      </c>
    </row>
    <row r="23416" spans="1:15">
      <c r="A23416" t="n">
        <v>225686</v>
      </c>
      <c r="B23416" s="51" t="n">
        <v>45</v>
      </c>
      <c r="C23416" s="7" t="n">
        <v>7</v>
      </c>
      <c r="D23416" s="7" t="n">
        <v>255</v>
      </c>
    </row>
    <row r="23417" spans="1:15">
      <c r="A23417" t="s">
        <v>4</v>
      </c>
      <c r="B23417" s="4" t="s">
        <v>5</v>
      </c>
      <c r="C23417" s="4" t="s">
        <v>7</v>
      </c>
      <c r="D23417" s="4" t="s">
        <v>11</v>
      </c>
      <c r="E23417" s="4" t="s">
        <v>8</v>
      </c>
    </row>
    <row r="23418" spans="1:15">
      <c r="A23418" t="n">
        <v>225690</v>
      </c>
      <c r="B23418" s="38" t="n">
        <v>51</v>
      </c>
      <c r="C23418" s="7" t="n">
        <v>4</v>
      </c>
      <c r="D23418" s="7" t="n">
        <v>1</v>
      </c>
      <c r="E23418" s="7" t="s">
        <v>363</v>
      </c>
    </row>
    <row r="23419" spans="1:15">
      <c r="A23419" t="s">
        <v>4</v>
      </c>
      <c r="B23419" s="4" t="s">
        <v>5</v>
      </c>
      <c r="C23419" s="4" t="s">
        <v>11</v>
      </c>
    </row>
    <row r="23420" spans="1:15">
      <c r="A23420" t="n">
        <v>225704</v>
      </c>
      <c r="B23420" s="29" t="n">
        <v>16</v>
      </c>
      <c r="C23420" s="7" t="n">
        <v>0</v>
      </c>
    </row>
    <row r="23421" spans="1:15">
      <c r="A23421" t="s">
        <v>4</v>
      </c>
      <c r="B23421" s="4" t="s">
        <v>5</v>
      </c>
      <c r="C23421" s="4" t="s">
        <v>11</v>
      </c>
      <c r="D23421" s="4" t="s">
        <v>7</v>
      </c>
      <c r="E23421" s="4" t="s">
        <v>15</v>
      </c>
      <c r="F23421" s="4" t="s">
        <v>55</v>
      </c>
      <c r="G23421" s="4" t="s">
        <v>7</v>
      </c>
      <c r="H23421" s="4" t="s">
        <v>7</v>
      </c>
      <c r="I23421" s="4" t="s">
        <v>7</v>
      </c>
      <c r="J23421" s="4" t="s">
        <v>15</v>
      </c>
      <c r="K23421" s="4" t="s">
        <v>55</v>
      </c>
      <c r="L23421" s="4" t="s">
        <v>7</v>
      </c>
      <c r="M23421" s="4" t="s">
        <v>7</v>
      </c>
      <c r="N23421" s="4" t="s">
        <v>7</v>
      </c>
      <c r="O23421" s="4" t="s">
        <v>15</v>
      </c>
      <c r="P23421" s="4" t="s">
        <v>55</v>
      </c>
      <c r="Q23421" s="4" t="s">
        <v>7</v>
      </c>
      <c r="R23421" s="4" t="s">
        <v>7</v>
      </c>
    </row>
    <row r="23422" spans="1:15">
      <c r="A23422" t="n">
        <v>225707</v>
      </c>
      <c r="B23422" s="55" t="n">
        <v>26</v>
      </c>
      <c r="C23422" s="7" t="n">
        <v>1</v>
      </c>
      <c r="D23422" s="7" t="n">
        <v>17</v>
      </c>
      <c r="E23422" s="7" t="n">
        <v>1817</v>
      </c>
      <c r="F23422" s="7" t="s">
        <v>364</v>
      </c>
      <c r="G23422" s="7" t="n">
        <v>2</v>
      </c>
      <c r="H23422" s="7" t="n">
        <v>3</v>
      </c>
      <c r="I23422" s="7" t="n">
        <v>17</v>
      </c>
      <c r="J23422" s="7" t="n">
        <v>1818</v>
      </c>
      <c r="K23422" s="7" t="s">
        <v>365</v>
      </c>
      <c r="L23422" s="7" t="n">
        <v>2</v>
      </c>
      <c r="M23422" s="7" t="n">
        <v>3</v>
      </c>
      <c r="N23422" s="7" t="n">
        <v>17</v>
      </c>
      <c r="O23422" s="7" t="n">
        <v>1819</v>
      </c>
      <c r="P23422" s="7" t="s">
        <v>366</v>
      </c>
      <c r="Q23422" s="7" t="n">
        <v>2</v>
      </c>
      <c r="R23422" s="7" t="n">
        <v>0</v>
      </c>
    </row>
    <row r="23423" spans="1:15">
      <c r="A23423" t="s">
        <v>4</v>
      </c>
      <c r="B23423" s="4" t="s">
        <v>5</v>
      </c>
    </row>
    <row r="23424" spans="1:15">
      <c r="A23424" t="n">
        <v>226013</v>
      </c>
      <c r="B23424" s="27" t="n">
        <v>28</v>
      </c>
    </row>
    <row r="23425" spans="1:18">
      <c r="A23425" t="s">
        <v>4</v>
      </c>
      <c r="B23425" s="4" t="s">
        <v>5</v>
      </c>
      <c r="C23425" s="4" t="s">
        <v>7</v>
      </c>
      <c r="D23425" s="4" t="s">
        <v>11</v>
      </c>
      <c r="E23425" s="4" t="s">
        <v>8</v>
      </c>
    </row>
    <row r="23426" spans="1:18">
      <c r="A23426" t="n">
        <v>226014</v>
      </c>
      <c r="B23426" s="38" t="n">
        <v>51</v>
      </c>
      <c r="C23426" s="7" t="n">
        <v>4</v>
      </c>
      <c r="D23426" s="7" t="n">
        <v>0</v>
      </c>
      <c r="E23426" s="7" t="s">
        <v>285</v>
      </c>
    </row>
    <row r="23427" spans="1:18">
      <c r="A23427" t="s">
        <v>4</v>
      </c>
      <c r="B23427" s="4" t="s">
        <v>5</v>
      </c>
      <c r="C23427" s="4" t="s">
        <v>11</v>
      </c>
    </row>
    <row r="23428" spans="1:18">
      <c r="A23428" t="n">
        <v>226027</v>
      </c>
      <c r="B23428" s="29" t="n">
        <v>16</v>
      </c>
      <c r="C23428" s="7" t="n">
        <v>0</v>
      </c>
    </row>
    <row r="23429" spans="1:18">
      <c r="A23429" t="s">
        <v>4</v>
      </c>
      <c r="B23429" s="4" t="s">
        <v>5</v>
      </c>
      <c r="C23429" s="4" t="s">
        <v>11</v>
      </c>
      <c r="D23429" s="4" t="s">
        <v>7</v>
      </c>
      <c r="E23429" s="4" t="s">
        <v>15</v>
      </c>
      <c r="F23429" s="4" t="s">
        <v>55</v>
      </c>
      <c r="G23429" s="4" t="s">
        <v>7</v>
      </c>
      <c r="H23429" s="4" t="s">
        <v>7</v>
      </c>
    </row>
    <row r="23430" spans="1:18">
      <c r="A23430" t="n">
        <v>226030</v>
      </c>
      <c r="B23430" s="55" t="n">
        <v>26</v>
      </c>
      <c r="C23430" s="7" t="n">
        <v>0</v>
      </c>
      <c r="D23430" s="7" t="n">
        <v>17</v>
      </c>
      <c r="E23430" s="7" t="n">
        <v>63813</v>
      </c>
      <c r="F23430" s="7" t="s">
        <v>367</v>
      </c>
      <c r="G23430" s="7" t="n">
        <v>2</v>
      </c>
      <c r="H23430" s="7" t="n">
        <v>0</v>
      </c>
    </row>
    <row r="23431" spans="1:18">
      <c r="A23431" t="s">
        <v>4</v>
      </c>
      <c r="B23431" s="4" t="s">
        <v>5</v>
      </c>
    </row>
    <row r="23432" spans="1:18">
      <c r="A23432" t="n">
        <v>226054</v>
      </c>
      <c r="B23432" s="27" t="n">
        <v>28</v>
      </c>
    </row>
    <row r="23433" spans="1:18">
      <c r="A23433" t="s">
        <v>4</v>
      </c>
      <c r="B23433" s="4" t="s">
        <v>5</v>
      </c>
      <c r="C23433" s="4" t="s">
        <v>7</v>
      </c>
      <c r="D23433" s="4" t="s">
        <v>11</v>
      </c>
      <c r="E23433" s="4" t="s">
        <v>8</v>
      </c>
      <c r="F23433" s="4" t="s">
        <v>8</v>
      </c>
      <c r="G23433" s="4" t="s">
        <v>8</v>
      </c>
      <c r="H23433" s="4" t="s">
        <v>8</v>
      </c>
    </row>
    <row r="23434" spans="1:18">
      <c r="A23434" t="n">
        <v>226055</v>
      </c>
      <c r="B23434" s="38" t="n">
        <v>51</v>
      </c>
      <c r="C23434" s="7" t="n">
        <v>3</v>
      </c>
      <c r="D23434" s="7" t="n">
        <v>1</v>
      </c>
      <c r="E23434" s="7" t="s">
        <v>232</v>
      </c>
      <c r="F23434" s="7" t="s">
        <v>99</v>
      </c>
      <c r="G23434" s="7" t="s">
        <v>16</v>
      </c>
      <c r="H23434" s="7" t="s">
        <v>86</v>
      </c>
    </row>
    <row r="23435" spans="1:18">
      <c r="A23435" t="s">
        <v>4</v>
      </c>
      <c r="B23435" s="4" t="s">
        <v>5</v>
      </c>
      <c r="C23435" s="4" t="s">
        <v>11</v>
      </c>
      <c r="D23435" s="4" t="s">
        <v>7</v>
      </c>
      <c r="E23435" s="4" t="s">
        <v>8</v>
      </c>
      <c r="F23435" s="4" t="s">
        <v>13</v>
      </c>
      <c r="G23435" s="4" t="s">
        <v>13</v>
      </c>
      <c r="H23435" s="4" t="s">
        <v>13</v>
      </c>
    </row>
    <row r="23436" spans="1:18">
      <c r="A23436" t="n">
        <v>226066</v>
      </c>
      <c r="B23436" s="42" t="n">
        <v>48</v>
      </c>
      <c r="C23436" s="7" t="n">
        <v>0</v>
      </c>
      <c r="D23436" s="7" t="n">
        <v>0</v>
      </c>
      <c r="E23436" s="7" t="s">
        <v>277</v>
      </c>
      <c r="F23436" s="7" t="n">
        <v>-1</v>
      </c>
      <c r="G23436" s="7" t="n">
        <v>1</v>
      </c>
      <c r="H23436" s="7" t="n">
        <v>0</v>
      </c>
    </row>
    <row r="23437" spans="1:18">
      <c r="A23437" t="s">
        <v>4</v>
      </c>
      <c r="B23437" s="4" t="s">
        <v>5</v>
      </c>
      <c r="C23437" s="4" t="s">
        <v>11</v>
      </c>
      <c r="D23437" s="4" t="s">
        <v>7</v>
      </c>
      <c r="E23437" s="4" t="s">
        <v>8</v>
      </c>
      <c r="F23437" s="4" t="s">
        <v>13</v>
      </c>
      <c r="G23437" s="4" t="s">
        <v>13</v>
      </c>
      <c r="H23437" s="4" t="s">
        <v>13</v>
      </c>
    </row>
    <row r="23438" spans="1:18">
      <c r="A23438" t="n">
        <v>226092</v>
      </c>
      <c r="B23438" s="42" t="n">
        <v>48</v>
      </c>
      <c r="C23438" s="7" t="n">
        <v>1</v>
      </c>
      <c r="D23438" s="7" t="n">
        <v>0</v>
      </c>
      <c r="E23438" s="7" t="s">
        <v>277</v>
      </c>
      <c r="F23438" s="7" t="n">
        <v>-1</v>
      </c>
      <c r="G23438" s="7" t="n">
        <v>1</v>
      </c>
      <c r="H23438" s="7" t="n">
        <v>0</v>
      </c>
    </row>
    <row r="23439" spans="1:18">
      <c r="A23439" t="s">
        <v>4</v>
      </c>
      <c r="B23439" s="4" t="s">
        <v>5</v>
      </c>
      <c r="C23439" s="4" t="s">
        <v>11</v>
      </c>
    </row>
    <row r="23440" spans="1:18">
      <c r="A23440" t="n">
        <v>226118</v>
      </c>
      <c r="B23440" s="29" t="n">
        <v>16</v>
      </c>
      <c r="C23440" s="7" t="n">
        <v>500</v>
      </c>
    </row>
    <row r="23441" spans="1:8">
      <c r="A23441" t="s">
        <v>4</v>
      </c>
      <c r="B23441" s="4" t="s">
        <v>5</v>
      </c>
      <c r="C23441" s="4" t="s">
        <v>7</v>
      </c>
      <c r="D23441" s="4" t="s">
        <v>11</v>
      </c>
      <c r="E23441" s="4" t="s">
        <v>13</v>
      </c>
    </row>
    <row r="23442" spans="1:8">
      <c r="A23442" t="n">
        <v>226121</v>
      </c>
      <c r="B23442" s="23" t="n">
        <v>58</v>
      </c>
      <c r="C23442" s="7" t="n">
        <v>101</v>
      </c>
      <c r="D23442" s="7" t="n">
        <v>500</v>
      </c>
      <c r="E23442" s="7" t="n">
        <v>1</v>
      </c>
    </row>
    <row r="23443" spans="1:8">
      <c r="A23443" t="s">
        <v>4</v>
      </c>
      <c r="B23443" s="4" t="s">
        <v>5</v>
      </c>
      <c r="C23443" s="4" t="s">
        <v>7</v>
      </c>
      <c r="D23443" s="4" t="s">
        <v>11</v>
      </c>
    </row>
    <row r="23444" spans="1:8">
      <c r="A23444" t="n">
        <v>226129</v>
      </c>
      <c r="B23444" s="23" t="n">
        <v>58</v>
      </c>
      <c r="C23444" s="7" t="n">
        <v>254</v>
      </c>
      <c r="D23444" s="7" t="n">
        <v>0</v>
      </c>
    </row>
    <row r="23445" spans="1:8">
      <c r="A23445" t="s">
        <v>4</v>
      </c>
      <c r="B23445" s="4" t="s">
        <v>5</v>
      </c>
      <c r="C23445" s="4" t="s">
        <v>7</v>
      </c>
      <c r="D23445" s="4" t="s">
        <v>7</v>
      </c>
      <c r="E23445" s="4" t="s">
        <v>13</v>
      </c>
      <c r="F23445" s="4" t="s">
        <v>13</v>
      </c>
      <c r="G23445" s="4" t="s">
        <v>13</v>
      </c>
      <c r="H23445" s="4" t="s">
        <v>11</v>
      </c>
    </row>
    <row r="23446" spans="1:8">
      <c r="A23446" t="n">
        <v>226133</v>
      </c>
      <c r="B23446" s="51" t="n">
        <v>45</v>
      </c>
      <c r="C23446" s="7" t="n">
        <v>2</v>
      </c>
      <c r="D23446" s="7" t="n">
        <v>3</v>
      </c>
      <c r="E23446" s="7" t="n">
        <v>-6.65000009536743</v>
      </c>
      <c r="F23446" s="7" t="n">
        <v>6.42000007629395</v>
      </c>
      <c r="G23446" s="7" t="n">
        <v>29.8999996185303</v>
      </c>
      <c r="H23446" s="7" t="n">
        <v>0</v>
      </c>
    </row>
    <row r="23447" spans="1:8">
      <c r="A23447" t="s">
        <v>4</v>
      </c>
      <c r="B23447" s="4" t="s">
        <v>5</v>
      </c>
      <c r="C23447" s="4" t="s">
        <v>7</v>
      </c>
      <c r="D23447" s="4" t="s">
        <v>7</v>
      </c>
      <c r="E23447" s="4" t="s">
        <v>13</v>
      </c>
      <c r="F23447" s="4" t="s">
        <v>13</v>
      </c>
      <c r="G23447" s="4" t="s">
        <v>13</v>
      </c>
      <c r="H23447" s="4" t="s">
        <v>11</v>
      </c>
      <c r="I23447" s="4" t="s">
        <v>7</v>
      </c>
    </row>
    <row r="23448" spans="1:8">
      <c r="A23448" t="n">
        <v>226150</v>
      </c>
      <c r="B23448" s="51" t="n">
        <v>45</v>
      </c>
      <c r="C23448" s="7" t="n">
        <v>4</v>
      </c>
      <c r="D23448" s="7" t="n">
        <v>3</v>
      </c>
      <c r="E23448" s="7" t="n">
        <v>11.5299997329712</v>
      </c>
      <c r="F23448" s="7" t="n">
        <v>27.3700008392334</v>
      </c>
      <c r="G23448" s="7" t="n">
        <v>10</v>
      </c>
      <c r="H23448" s="7" t="n">
        <v>0</v>
      </c>
      <c r="I23448" s="7" t="n">
        <v>0</v>
      </c>
    </row>
    <row r="23449" spans="1:8">
      <c r="A23449" t="s">
        <v>4</v>
      </c>
      <c r="B23449" s="4" t="s">
        <v>5</v>
      </c>
      <c r="C23449" s="4" t="s">
        <v>7</v>
      </c>
      <c r="D23449" s="4" t="s">
        <v>7</v>
      </c>
      <c r="E23449" s="4" t="s">
        <v>13</v>
      </c>
      <c r="F23449" s="4" t="s">
        <v>11</v>
      </c>
    </row>
    <row r="23450" spans="1:8">
      <c r="A23450" t="n">
        <v>226168</v>
      </c>
      <c r="B23450" s="51" t="n">
        <v>45</v>
      </c>
      <c r="C23450" s="7" t="n">
        <v>5</v>
      </c>
      <c r="D23450" s="7" t="n">
        <v>3</v>
      </c>
      <c r="E23450" s="7" t="n">
        <v>0.899999976158142</v>
      </c>
      <c r="F23450" s="7" t="n">
        <v>0</v>
      </c>
    </row>
    <row r="23451" spans="1:8">
      <c r="A23451" t="s">
        <v>4</v>
      </c>
      <c r="B23451" s="4" t="s">
        <v>5</v>
      </c>
      <c r="C23451" s="4" t="s">
        <v>7</v>
      </c>
      <c r="D23451" s="4" t="s">
        <v>7</v>
      </c>
      <c r="E23451" s="4" t="s">
        <v>13</v>
      </c>
      <c r="F23451" s="4" t="s">
        <v>11</v>
      </c>
    </row>
    <row r="23452" spans="1:8">
      <c r="A23452" t="n">
        <v>226177</v>
      </c>
      <c r="B23452" s="51" t="n">
        <v>45</v>
      </c>
      <c r="C23452" s="7" t="n">
        <v>11</v>
      </c>
      <c r="D23452" s="7" t="n">
        <v>3</v>
      </c>
      <c r="E23452" s="7" t="n">
        <v>40.2999992370605</v>
      </c>
      <c r="F23452" s="7" t="n">
        <v>0</v>
      </c>
    </row>
    <row r="23453" spans="1:8">
      <c r="A23453" t="s">
        <v>4</v>
      </c>
      <c r="B23453" s="4" t="s">
        <v>5</v>
      </c>
      <c r="C23453" s="4" t="s">
        <v>7</v>
      </c>
      <c r="D23453" s="4" t="s">
        <v>7</v>
      </c>
      <c r="E23453" s="4" t="s">
        <v>13</v>
      </c>
      <c r="F23453" s="4" t="s">
        <v>13</v>
      </c>
      <c r="G23453" s="4" t="s">
        <v>13</v>
      </c>
      <c r="H23453" s="4" t="s">
        <v>11</v>
      </c>
    </row>
    <row r="23454" spans="1:8">
      <c r="A23454" t="n">
        <v>226186</v>
      </c>
      <c r="B23454" s="51" t="n">
        <v>45</v>
      </c>
      <c r="C23454" s="7" t="n">
        <v>2</v>
      </c>
      <c r="D23454" s="7" t="n">
        <v>3</v>
      </c>
      <c r="E23454" s="7" t="n">
        <v>-6.65000009536743</v>
      </c>
      <c r="F23454" s="7" t="n">
        <v>6.42000007629395</v>
      </c>
      <c r="G23454" s="7" t="n">
        <v>29.8999996185303</v>
      </c>
      <c r="H23454" s="7" t="n">
        <v>3000</v>
      </c>
    </row>
    <row r="23455" spans="1:8">
      <c r="A23455" t="s">
        <v>4</v>
      </c>
      <c r="B23455" s="4" t="s">
        <v>5</v>
      </c>
      <c r="C23455" s="4" t="s">
        <v>7</v>
      </c>
      <c r="D23455" s="4" t="s">
        <v>7</v>
      </c>
      <c r="E23455" s="4" t="s">
        <v>13</v>
      </c>
      <c r="F23455" s="4" t="s">
        <v>13</v>
      </c>
      <c r="G23455" s="4" t="s">
        <v>13</v>
      </c>
      <c r="H23455" s="4" t="s">
        <v>11</v>
      </c>
      <c r="I23455" s="4" t="s">
        <v>7</v>
      </c>
    </row>
    <row r="23456" spans="1:8">
      <c r="A23456" t="n">
        <v>226203</v>
      </c>
      <c r="B23456" s="51" t="n">
        <v>45</v>
      </c>
      <c r="C23456" s="7" t="n">
        <v>4</v>
      </c>
      <c r="D23456" s="7" t="n">
        <v>3</v>
      </c>
      <c r="E23456" s="7" t="n">
        <v>16.0300006866455</v>
      </c>
      <c r="F23456" s="7" t="n">
        <v>34.7700004577637</v>
      </c>
      <c r="G23456" s="7" t="n">
        <v>10</v>
      </c>
      <c r="H23456" s="7" t="n">
        <v>3000</v>
      </c>
      <c r="I23456" s="7" t="n">
        <v>1</v>
      </c>
    </row>
    <row r="23457" spans="1:9">
      <c r="A23457" t="s">
        <v>4</v>
      </c>
      <c r="B23457" s="4" t="s">
        <v>5</v>
      </c>
      <c r="C23457" s="4" t="s">
        <v>7</v>
      </c>
      <c r="D23457" s="4" t="s">
        <v>7</v>
      </c>
      <c r="E23457" s="4" t="s">
        <v>13</v>
      </c>
      <c r="F23457" s="4" t="s">
        <v>11</v>
      </c>
    </row>
    <row r="23458" spans="1:9">
      <c r="A23458" t="n">
        <v>226221</v>
      </c>
      <c r="B23458" s="51" t="n">
        <v>45</v>
      </c>
      <c r="C23458" s="7" t="n">
        <v>5</v>
      </c>
      <c r="D23458" s="7" t="n">
        <v>3</v>
      </c>
      <c r="E23458" s="7" t="n">
        <v>0.899999976158142</v>
      </c>
      <c r="F23458" s="7" t="n">
        <v>3000</v>
      </c>
    </row>
    <row r="23459" spans="1:9">
      <c r="A23459" t="s">
        <v>4</v>
      </c>
      <c r="B23459" s="4" t="s">
        <v>5</v>
      </c>
      <c r="C23459" s="4" t="s">
        <v>7</v>
      </c>
      <c r="D23459" s="4" t="s">
        <v>7</v>
      </c>
      <c r="E23459" s="4" t="s">
        <v>13</v>
      </c>
      <c r="F23459" s="4" t="s">
        <v>11</v>
      </c>
    </row>
    <row r="23460" spans="1:9">
      <c r="A23460" t="n">
        <v>226230</v>
      </c>
      <c r="B23460" s="51" t="n">
        <v>45</v>
      </c>
      <c r="C23460" s="7" t="n">
        <v>11</v>
      </c>
      <c r="D23460" s="7" t="n">
        <v>3</v>
      </c>
      <c r="E23460" s="7" t="n">
        <v>40.2999992370605</v>
      </c>
      <c r="F23460" s="7" t="n">
        <v>3000</v>
      </c>
    </row>
    <row r="23461" spans="1:9">
      <c r="A23461" t="s">
        <v>4</v>
      </c>
      <c r="B23461" s="4" t="s">
        <v>5</v>
      </c>
      <c r="C23461" s="4" t="s">
        <v>7</v>
      </c>
      <c r="D23461" s="4" t="s">
        <v>11</v>
      </c>
      <c r="E23461" s="4" t="s">
        <v>8</v>
      </c>
      <c r="F23461" s="4" t="s">
        <v>8</v>
      </c>
      <c r="G23461" s="4" t="s">
        <v>8</v>
      </c>
      <c r="H23461" s="4" t="s">
        <v>8</v>
      </c>
    </row>
    <row r="23462" spans="1:9">
      <c r="A23462" t="n">
        <v>226239</v>
      </c>
      <c r="B23462" s="38" t="n">
        <v>51</v>
      </c>
      <c r="C23462" s="7" t="n">
        <v>3</v>
      </c>
      <c r="D23462" s="7" t="n">
        <v>0</v>
      </c>
      <c r="E23462" s="7" t="s">
        <v>319</v>
      </c>
      <c r="F23462" s="7" t="s">
        <v>155</v>
      </c>
      <c r="G23462" s="7" t="s">
        <v>78</v>
      </c>
      <c r="H23462" s="7" t="s">
        <v>79</v>
      </c>
    </row>
    <row r="23463" spans="1:9">
      <c r="A23463" t="s">
        <v>4</v>
      </c>
      <c r="B23463" s="4" t="s">
        <v>5</v>
      </c>
      <c r="C23463" s="4" t="s">
        <v>7</v>
      </c>
      <c r="D23463" s="4" t="s">
        <v>11</v>
      </c>
    </row>
    <row r="23464" spans="1:9">
      <c r="A23464" t="n">
        <v>226252</v>
      </c>
      <c r="B23464" s="23" t="n">
        <v>58</v>
      </c>
      <c r="C23464" s="7" t="n">
        <v>255</v>
      </c>
      <c r="D23464" s="7" t="n">
        <v>0</v>
      </c>
    </row>
    <row r="23465" spans="1:9">
      <c r="A23465" t="s">
        <v>4</v>
      </c>
      <c r="B23465" s="4" t="s">
        <v>5</v>
      </c>
      <c r="C23465" s="4" t="s">
        <v>11</v>
      </c>
    </row>
    <row r="23466" spans="1:9">
      <c r="A23466" t="n">
        <v>226256</v>
      </c>
      <c r="B23466" s="29" t="n">
        <v>16</v>
      </c>
      <c r="C23466" s="7" t="n">
        <v>500</v>
      </c>
    </row>
    <row r="23467" spans="1:9">
      <c r="A23467" t="s">
        <v>4</v>
      </c>
      <c r="B23467" s="4" t="s">
        <v>5</v>
      </c>
      <c r="C23467" s="4" t="s">
        <v>7</v>
      </c>
      <c r="D23467" s="4" t="s">
        <v>11</v>
      </c>
      <c r="E23467" s="4" t="s">
        <v>8</v>
      </c>
      <c r="F23467" s="4" t="s">
        <v>8</v>
      </c>
      <c r="G23467" s="4" t="s">
        <v>8</v>
      </c>
      <c r="H23467" s="4" t="s">
        <v>8</v>
      </c>
    </row>
    <row r="23468" spans="1:9">
      <c r="A23468" t="n">
        <v>226259</v>
      </c>
      <c r="B23468" s="38" t="n">
        <v>51</v>
      </c>
      <c r="C23468" s="7" t="n">
        <v>3</v>
      </c>
      <c r="D23468" s="7" t="n">
        <v>1</v>
      </c>
      <c r="E23468" s="7" t="s">
        <v>319</v>
      </c>
      <c r="F23468" s="7" t="s">
        <v>155</v>
      </c>
      <c r="G23468" s="7" t="s">
        <v>16</v>
      </c>
      <c r="H23468" s="7" t="s">
        <v>86</v>
      </c>
    </row>
    <row r="23469" spans="1:9">
      <c r="A23469" t="s">
        <v>4</v>
      </c>
      <c r="B23469" s="4" t="s">
        <v>5</v>
      </c>
      <c r="C23469" s="4" t="s">
        <v>11</v>
      </c>
      <c r="D23469" s="4" t="s">
        <v>15</v>
      </c>
      <c r="E23469" s="4" t="s">
        <v>7</v>
      </c>
    </row>
    <row r="23470" spans="1:9">
      <c r="A23470" t="n">
        <v>226270</v>
      </c>
      <c r="B23470" s="78" t="n">
        <v>35</v>
      </c>
      <c r="C23470" s="7" t="n">
        <v>0</v>
      </c>
      <c r="D23470" s="7" t="n">
        <v>0</v>
      </c>
      <c r="E23470" s="7" t="n">
        <v>0</v>
      </c>
    </row>
    <row r="23471" spans="1:9">
      <c r="A23471" t="s">
        <v>4</v>
      </c>
      <c r="B23471" s="4" t="s">
        <v>5</v>
      </c>
      <c r="C23471" s="4" t="s">
        <v>11</v>
      </c>
      <c r="D23471" s="4" t="s">
        <v>15</v>
      </c>
      <c r="E23471" s="4" t="s">
        <v>7</v>
      </c>
    </row>
    <row r="23472" spans="1:9">
      <c r="A23472" t="n">
        <v>226278</v>
      </c>
      <c r="B23472" s="78" t="n">
        <v>35</v>
      </c>
      <c r="C23472" s="7" t="n">
        <v>1</v>
      </c>
      <c r="D23472" s="7" t="n">
        <v>0</v>
      </c>
      <c r="E23472" s="7" t="n">
        <v>0</v>
      </c>
    </row>
    <row r="23473" spans="1:8">
      <c r="A23473" t="s">
        <v>4</v>
      </c>
      <c r="B23473" s="4" t="s">
        <v>5</v>
      </c>
      <c r="C23473" s="4" t="s">
        <v>7</v>
      </c>
      <c r="D23473" s="4" t="s">
        <v>11</v>
      </c>
      <c r="E23473" s="4" t="s">
        <v>13</v>
      </c>
    </row>
    <row r="23474" spans="1:8">
      <c r="A23474" t="n">
        <v>226286</v>
      </c>
      <c r="B23474" s="23" t="n">
        <v>58</v>
      </c>
      <c r="C23474" s="7" t="n">
        <v>101</v>
      </c>
      <c r="D23474" s="7" t="n">
        <v>300</v>
      </c>
      <c r="E23474" s="7" t="n">
        <v>1</v>
      </c>
    </row>
    <row r="23475" spans="1:8">
      <c r="A23475" t="s">
        <v>4</v>
      </c>
      <c r="B23475" s="4" t="s">
        <v>5</v>
      </c>
      <c r="C23475" s="4" t="s">
        <v>7</v>
      </c>
      <c r="D23475" s="4" t="s">
        <v>11</v>
      </c>
    </row>
    <row r="23476" spans="1:8">
      <c r="A23476" t="n">
        <v>226294</v>
      </c>
      <c r="B23476" s="23" t="n">
        <v>58</v>
      </c>
      <c r="C23476" s="7" t="n">
        <v>254</v>
      </c>
      <c r="D23476" s="7" t="n">
        <v>0</v>
      </c>
    </row>
    <row r="23477" spans="1:8">
      <c r="A23477" t="s">
        <v>4</v>
      </c>
      <c r="B23477" s="4" t="s">
        <v>5</v>
      </c>
      <c r="C23477" s="4" t="s">
        <v>7</v>
      </c>
      <c r="D23477" s="4" t="s">
        <v>11</v>
      </c>
      <c r="E23477" s="4" t="s">
        <v>8</v>
      </c>
    </row>
    <row r="23478" spans="1:8">
      <c r="A23478" t="n">
        <v>226298</v>
      </c>
      <c r="B23478" s="38" t="n">
        <v>51</v>
      </c>
      <c r="C23478" s="7" t="n">
        <v>4</v>
      </c>
      <c r="D23478" s="7" t="n">
        <v>1</v>
      </c>
      <c r="E23478" s="7" t="s">
        <v>368</v>
      </c>
    </row>
    <row r="23479" spans="1:8">
      <c r="A23479" t="s">
        <v>4</v>
      </c>
      <c r="B23479" s="4" t="s">
        <v>5</v>
      </c>
      <c r="C23479" s="4" t="s">
        <v>11</v>
      </c>
    </row>
    <row r="23480" spans="1:8">
      <c r="A23480" t="n">
        <v>226318</v>
      </c>
      <c r="B23480" s="29" t="n">
        <v>16</v>
      </c>
      <c r="C23480" s="7" t="n">
        <v>0</v>
      </c>
    </row>
    <row r="23481" spans="1:8">
      <c r="A23481" t="s">
        <v>4</v>
      </c>
      <c r="B23481" s="4" t="s">
        <v>5</v>
      </c>
      <c r="C23481" s="4" t="s">
        <v>11</v>
      </c>
      <c r="D23481" s="4" t="s">
        <v>7</v>
      </c>
      <c r="E23481" s="4" t="s">
        <v>15</v>
      </c>
      <c r="F23481" s="4" t="s">
        <v>55</v>
      </c>
      <c r="G23481" s="4" t="s">
        <v>7</v>
      </c>
      <c r="H23481" s="4" t="s">
        <v>7</v>
      </c>
      <c r="I23481" s="4" t="s">
        <v>7</v>
      </c>
    </row>
    <row r="23482" spans="1:8">
      <c r="A23482" t="n">
        <v>226321</v>
      </c>
      <c r="B23482" s="55" t="n">
        <v>26</v>
      </c>
      <c r="C23482" s="7" t="n">
        <v>1</v>
      </c>
      <c r="D23482" s="7" t="n">
        <v>17</v>
      </c>
      <c r="E23482" s="7" t="n">
        <v>1820</v>
      </c>
      <c r="F23482" s="7" t="s">
        <v>369</v>
      </c>
      <c r="G23482" s="7" t="n">
        <v>8</v>
      </c>
      <c r="H23482" s="7" t="n">
        <v>2</v>
      </c>
      <c r="I23482" s="7" t="n">
        <v>0</v>
      </c>
    </row>
    <row r="23483" spans="1:8">
      <c r="A23483" t="s">
        <v>4</v>
      </c>
      <c r="B23483" s="4" t="s">
        <v>5</v>
      </c>
      <c r="C23483" s="4" t="s">
        <v>11</v>
      </c>
    </row>
    <row r="23484" spans="1:8">
      <c r="A23484" t="n">
        <v>226348</v>
      </c>
      <c r="B23484" s="29" t="n">
        <v>16</v>
      </c>
      <c r="C23484" s="7" t="n">
        <v>1</v>
      </c>
    </row>
    <row r="23485" spans="1:8">
      <c r="A23485" t="s">
        <v>4</v>
      </c>
      <c r="B23485" s="4" t="s">
        <v>5</v>
      </c>
      <c r="C23485" s="4" t="s">
        <v>7</v>
      </c>
      <c r="D23485" s="4" t="s">
        <v>11</v>
      </c>
    </row>
    <row r="23486" spans="1:8">
      <c r="A23486" t="n">
        <v>226351</v>
      </c>
      <c r="B23486" s="57" t="n">
        <v>50</v>
      </c>
      <c r="C23486" s="7" t="n">
        <v>52</v>
      </c>
      <c r="D23486" s="7" t="n">
        <v>1820</v>
      </c>
    </row>
    <row r="23487" spans="1:8">
      <c r="A23487" t="s">
        <v>4</v>
      </c>
      <c r="B23487" s="4" t="s">
        <v>5</v>
      </c>
      <c r="C23487" s="4" t="s">
        <v>11</v>
      </c>
    </row>
    <row r="23488" spans="1:8">
      <c r="A23488" t="n">
        <v>226355</v>
      </c>
      <c r="B23488" s="29" t="n">
        <v>16</v>
      </c>
      <c r="C23488" s="7" t="n">
        <v>2000</v>
      </c>
    </row>
    <row r="23489" spans="1:9">
      <c r="A23489" t="s">
        <v>4</v>
      </c>
      <c r="B23489" s="4" t="s">
        <v>5</v>
      </c>
      <c r="C23489" s="4" t="s">
        <v>11</v>
      </c>
      <c r="D23489" s="4" t="s">
        <v>7</v>
      </c>
    </row>
    <row r="23490" spans="1:9">
      <c r="A23490" t="n">
        <v>226358</v>
      </c>
      <c r="B23490" s="68" t="n">
        <v>89</v>
      </c>
      <c r="C23490" s="7" t="n">
        <v>65533</v>
      </c>
      <c r="D23490" s="7" t="n">
        <v>0</v>
      </c>
    </row>
    <row r="23491" spans="1:9">
      <c r="A23491" t="s">
        <v>4</v>
      </c>
      <c r="B23491" s="4" t="s">
        <v>5</v>
      </c>
      <c r="C23491" s="4" t="s">
        <v>11</v>
      </c>
      <c r="D23491" s="4" t="s">
        <v>7</v>
      </c>
    </row>
    <row r="23492" spans="1:9">
      <c r="A23492" t="n">
        <v>226362</v>
      </c>
      <c r="B23492" s="68" t="n">
        <v>89</v>
      </c>
      <c r="C23492" s="7" t="n">
        <v>65533</v>
      </c>
      <c r="D23492" s="7" t="n">
        <v>1</v>
      </c>
    </row>
    <row r="23493" spans="1:9">
      <c r="A23493" t="s">
        <v>4</v>
      </c>
      <c r="B23493" s="4" t="s">
        <v>5</v>
      </c>
      <c r="C23493" s="4" t="s">
        <v>7</v>
      </c>
      <c r="D23493" s="4" t="s">
        <v>11</v>
      </c>
      <c r="E23493" s="4" t="s">
        <v>8</v>
      </c>
    </row>
    <row r="23494" spans="1:9">
      <c r="A23494" t="n">
        <v>226366</v>
      </c>
      <c r="B23494" s="38" t="n">
        <v>51</v>
      </c>
      <c r="C23494" s="7" t="n">
        <v>4</v>
      </c>
      <c r="D23494" s="7" t="n">
        <v>0</v>
      </c>
      <c r="E23494" s="7" t="s">
        <v>137</v>
      </c>
    </row>
    <row r="23495" spans="1:9">
      <c r="A23495" t="s">
        <v>4</v>
      </c>
      <c r="B23495" s="4" t="s">
        <v>5</v>
      </c>
      <c r="C23495" s="4" t="s">
        <v>11</v>
      </c>
    </row>
    <row r="23496" spans="1:9">
      <c r="A23496" t="n">
        <v>226379</v>
      </c>
      <c r="B23496" s="29" t="n">
        <v>16</v>
      </c>
      <c r="C23496" s="7" t="n">
        <v>0</v>
      </c>
    </row>
    <row r="23497" spans="1:9">
      <c r="A23497" t="s">
        <v>4</v>
      </c>
      <c r="B23497" s="4" t="s">
        <v>5</v>
      </c>
      <c r="C23497" s="4" t="s">
        <v>11</v>
      </c>
      <c r="D23497" s="4" t="s">
        <v>55</v>
      </c>
      <c r="E23497" s="4" t="s">
        <v>7</v>
      </c>
      <c r="F23497" s="4" t="s">
        <v>7</v>
      </c>
      <c r="G23497" s="4" t="s">
        <v>7</v>
      </c>
    </row>
    <row r="23498" spans="1:9">
      <c r="A23498" t="n">
        <v>226382</v>
      </c>
      <c r="B23498" s="55" t="n">
        <v>26</v>
      </c>
      <c r="C23498" s="7" t="n">
        <v>0</v>
      </c>
      <c r="D23498" s="7" t="s">
        <v>370</v>
      </c>
      <c r="E23498" s="7" t="n">
        <v>8</v>
      </c>
      <c r="F23498" s="7" t="n">
        <v>2</v>
      </c>
      <c r="G23498" s="7" t="n">
        <v>0</v>
      </c>
    </row>
    <row r="23499" spans="1:9">
      <c r="A23499" t="s">
        <v>4</v>
      </c>
      <c r="B23499" s="4" t="s">
        <v>5</v>
      </c>
      <c r="C23499" s="4" t="s">
        <v>11</v>
      </c>
    </row>
    <row r="23500" spans="1:9">
      <c r="A23500" t="n">
        <v>226399</v>
      </c>
      <c r="B23500" s="29" t="n">
        <v>16</v>
      </c>
      <c r="C23500" s="7" t="n">
        <v>1</v>
      </c>
    </row>
    <row r="23501" spans="1:9">
      <c r="A23501" t="s">
        <v>4</v>
      </c>
      <c r="B23501" s="4" t="s">
        <v>5</v>
      </c>
      <c r="C23501" s="4" t="s">
        <v>11</v>
      </c>
    </row>
    <row r="23502" spans="1:9">
      <c r="A23502" t="n">
        <v>226402</v>
      </c>
      <c r="B23502" s="29" t="n">
        <v>16</v>
      </c>
      <c r="C23502" s="7" t="n">
        <v>2500</v>
      </c>
    </row>
    <row r="23503" spans="1:9">
      <c r="A23503" t="s">
        <v>4</v>
      </c>
      <c r="B23503" s="4" t="s">
        <v>5</v>
      </c>
      <c r="C23503" s="4" t="s">
        <v>11</v>
      </c>
      <c r="D23503" s="4" t="s">
        <v>7</v>
      </c>
    </row>
    <row r="23504" spans="1:9">
      <c r="A23504" t="n">
        <v>226405</v>
      </c>
      <c r="B23504" s="68" t="n">
        <v>89</v>
      </c>
      <c r="C23504" s="7" t="n">
        <v>65533</v>
      </c>
      <c r="D23504" s="7" t="n">
        <v>0</v>
      </c>
    </row>
    <row r="23505" spans="1:7">
      <c r="A23505" t="s">
        <v>4</v>
      </c>
      <c r="B23505" s="4" t="s">
        <v>5</v>
      </c>
      <c r="C23505" s="4" t="s">
        <v>11</v>
      </c>
      <c r="D23505" s="4" t="s">
        <v>7</v>
      </c>
    </row>
    <row r="23506" spans="1:7">
      <c r="A23506" t="n">
        <v>226409</v>
      </c>
      <c r="B23506" s="68" t="n">
        <v>89</v>
      </c>
      <c r="C23506" s="7" t="n">
        <v>65533</v>
      </c>
      <c r="D23506" s="7" t="n">
        <v>1</v>
      </c>
    </row>
    <row r="23507" spans="1:7">
      <c r="A23507" t="s">
        <v>4</v>
      </c>
      <c r="B23507" s="4" t="s">
        <v>5</v>
      </c>
      <c r="C23507" s="4" t="s">
        <v>11</v>
      </c>
    </row>
    <row r="23508" spans="1:7">
      <c r="A23508" t="n">
        <v>226413</v>
      </c>
      <c r="B23508" s="29" t="n">
        <v>16</v>
      </c>
      <c r="C23508" s="7" t="n">
        <v>1000</v>
      </c>
    </row>
    <row r="23509" spans="1:7">
      <c r="A23509" t="s">
        <v>4</v>
      </c>
      <c r="B23509" s="4" t="s">
        <v>5</v>
      </c>
      <c r="C23509" s="4" t="s">
        <v>7</v>
      </c>
      <c r="D23509" s="4" t="s">
        <v>11</v>
      </c>
      <c r="E23509" s="4" t="s">
        <v>13</v>
      </c>
    </row>
    <row r="23510" spans="1:7">
      <c r="A23510" t="n">
        <v>226416</v>
      </c>
      <c r="B23510" s="23" t="n">
        <v>58</v>
      </c>
      <c r="C23510" s="7" t="n">
        <v>101</v>
      </c>
      <c r="D23510" s="7" t="n">
        <v>500</v>
      </c>
      <c r="E23510" s="7" t="n">
        <v>1</v>
      </c>
    </row>
    <row r="23511" spans="1:7">
      <c r="A23511" t="s">
        <v>4</v>
      </c>
      <c r="B23511" s="4" t="s">
        <v>5</v>
      </c>
      <c r="C23511" s="4" t="s">
        <v>7</v>
      </c>
      <c r="D23511" s="4" t="s">
        <v>11</v>
      </c>
    </row>
    <row r="23512" spans="1:7">
      <c r="A23512" t="n">
        <v>226424</v>
      </c>
      <c r="B23512" s="23" t="n">
        <v>58</v>
      </c>
      <c r="C23512" s="7" t="n">
        <v>254</v>
      </c>
      <c r="D23512" s="7" t="n">
        <v>0</v>
      </c>
    </row>
    <row r="23513" spans="1:7">
      <c r="A23513" t="s">
        <v>4</v>
      </c>
      <c r="B23513" s="4" t="s">
        <v>5</v>
      </c>
      <c r="C23513" s="4" t="s">
        <v>7</v>
      </c>
      <c r="D23513" s="4" t="s">
        <v>7</v>
      </c>
      <c r="E23513" s="4" t="s">
        <v>13</v>
      </c>
      <c r="F23513" s="4" t="s">
        <v>13</v>
      </c>
      <c r="G23513" s="4" t="s">
        <v>13</v>
      </c>
      <c r="H23513" s="4" t="s">
        <v>11</v>
      </c>
    </row>
    <row r="23514" spans="1:7">
      <c r="A23514" t="n">
        <v>226428</v>
      </c>
      <c r="B23514" s="51" t="n">
        <v>45</v>
      </c>
      <c r="C23514" s="7" t="n">
        <v>2</v>
      </c>
      <c r="D23514" s="7" t="n">
        <v>3</v>
      </c>
      <c r="E23514" s="7" t="n">
        <v>-6.80000019073486</v>
      </c>
      <c r="F23514" s="7" t="n">
        <v>6.42000007629395</v>
      </c>
      <c r="G23514" s="7" t="n">
        <v>29.9500007629395</v>
      </c>
      <c r="H23514" s="7" t="n">
        <v>3000</v>
      </c>
    </row>
    <row r="23515" spans="1:7">
      <c r="A23515" t="s">
        <v>4</v>
      </c>
      <c r="B23515" s="4" t="s">
        <v>5</v>
      </c>
      <c r="C23515" s="4" t="s">
        <v>7</v>
      </c>
      <c r="D23515" s="4" t="s">
        <v>7</v>
      </c>
      <c r="E23515" s="4" t="s">
        <v>13</v>
      </c>
      <c r="F23515" s="4" t="s">
        <v>13</v>
      </c>
      <c r="G23515" s="4" t="s">
        <v>13</v>
      </c>
      <c r="H23515" s="4" t="s">
        <v>11</v>
      </c>
      <c r="I23515" s="4" t="s">
        <v>7</v>
      </c>
    </row>
    <row r="23516" spans="1:7">
      <c r="A23516" t="n">
        <v>226445</v>
      </c>
      <c r="B23516" s="51" t="n">
        <v>45</v>
      </c>
      <c r="C23516" s="7" t="n">
        <v>4</v>
      </c>
      <c r="D23516" s="7" t="n">
        <v>3</v>
      </c>
      <c r="E23516" s="7" t="n">
        <v>11.5299997329712</v>
      </c>
      <c r="F23516" s="7" t="n">
        <v>43.1800003051758</v>
      </c>
      <c r="G23516" s="7" t="n">
        <v>10</v>
      </c>
      <c r="H23516" s="7" t="n">
        <v>3000</v>
      </c>
      <c r="I23516" s="7" t="n">
        <v>1</v>
      </c>
    </row>
    <row r="23517" spans="1:7">
      <c r="A23517" t="s">
        <v>4</v>
      </c>
      <c r="B23517" s="4" t="s">
        <v>5</v>
      </c>
      <c r="C23517" s="4" t="s">
        <v>11</v>
      </c>
      <c r="D23517" s="4" t="s">
        <v>7</v>
      </c>
      <c r="E23517" s="4" t="s">
        <v>8</v>
      </c>
      <c r="F23517" s="4" t="s">
        <v>13</v>
      </c>
      <c r="G23517" s="4" t="s">
        <v>13</v>
      </c>
      <c r="H23517" s="4" t="s">
        <v>13</v>
      </c>
    </row>
    <row r="23518" spans="1:7">
      <c r="A23518" t="n">
        <v>226463</v>
      </c>
      <c r="B23518" s="42" t="n">
        <v>48</v>
      </c>
      <c r="C23518" s="7" t="n">
        <v>0</v>
      </c>
      <c r="D23518" s="7" t="n">
        <v>0</v>
      </c>
      <c r="E23518" s="7" t="s">
        <v>278</v>
      </c>
      <c r="F23518" s="7" t="n">
        <v>-1</v>
      </c>
      <c r="G23518" s="7" t="n">
        <v>1</v>
      </c>
      <c r="H23518" s="7" t="n">
        <v>0</v>
      </c>
    </row>
    <row r="23519" spans="1:7">
      <c r="A23519" t="s">
        <v>4</v>
      </c>
      <c r="B23519" s="4" t="s">
        <v>5</v>
      </c>
      <c r="C23519" s="4" t="s">
        <v>11</v>
      </c>
      <c r="D23519" s="4" t="s">
        <v>7</v>
      </c>
      <c r="E23519" s="4" t="s">
        <v>8</v>
      </c>
      <c r="F23519" s="4" t="s">
        <v>13</v>
      </c>
      <c r="G23519" s="4" t="s">
        <v>13</v>
      </c>
      <c r="H23519" s="4" t="s">
        <v>13</v>
      </c>
    </row>
    <row r="23520" spans="1:7">
      <c r="A23520" t="n">
        <v>226489</v>
      </c>
      <c r="B23520" s="42" t="n">
        <v>48</v>
      </c>
      <c r="C23520" s="7" t="n">
        <v>1</v>
      </c>
      <c r="D23520" s="7" t="n">
        <v>0</v>
      </c>
      <c r="E23520" s="7" t="s">
        <v>278</v>
      </c>
      <c r="F23520" s="7" t="n">
        <v>-1</v>
      </c>
      <c r="G23520" s="7" t="n">
        <v>1</v>
      </c>
      <c r="H23520" s="7" t="n">
        <v>0</v>
      </c>
    </row>
    <row r="23521" spans="1:9">
      <c r="A23521" t="s">
        <v>4</v>
      </c>
      <c r="B23521" s="4" t="s">
        <v>5</v>
      </c>
      <c r="C23521" s="4" t="s">
        <v>11</v>
      </c>
    </row>
    <row r="23522" spans="1:9">
      <c r="A23522" t="n">
        <v>226515</v>
      </c>
      <c r="B23522" s="29" t="n">
        <v>16</v>
      </c>
      <c r="C23522" s="7" t="n">
        <v>300</v>
      </c>
    </row>
    <row r="23523" spans="1:9">
      <c r="A23523" t="s">
        <v>4</v>
      </c>
      <c r="B23523" s="4" t="s">
        <v>5</v>
      </c>
      <c r="C23523" s="4" t="s">
        <v>7</v>
      </c>
      <c r="D23523" s="4" t="s">
        <v>11</v>
      </c>
      <c r="E23523" s="4" t="s">
        <v>13</v>
      </c>
      <c r="F23523" s="4" t="s">
        <v>11</v>
      </c>
      <c r="G23523" s="4" t="s">
        <v>15</v>
      </c>
      <c r="H23523" s="4" t="s">
        <v>15</v>
      </c>
      <c r="I23523" s="4" t="s">
        <v>11</v>
      </c>
      <c r="J23523" s="4" t="s">
        <v>11</v>
      </c>
      <c r="K23523" s="4" t="s">
        <v>15</v>
      </c>
      <c r="L23523" s="4" t="s">
        <v>15</v>
      </c>
      <c r="M23523" s="4" t="s">
        <v>15</v>
      </c>
      <c r="N23523" s="4" t="s">
        <v>15</v>
      </c>
      <c r="O23523" s="4" t="s">
        <v>8</v>
      </c>
    </row>
    <row r="23524" spans="1:9">
      <c r="A23524" t="n">
        <v>226518</v>
      </c>
      <c r="B23524" s="57" t="n">
        <v>50</v>
      </c>
      <c r="C23524" s="7" t="n">
        <v>0</v>
      </c>
      <c r="D23524" s="7" t="n">
        <v>2004</v>
      </c>
      <c r="E23524" s="7" t="n">
        <v>0.5</v>
      </c>
      <c r="F23524" s="7" t="n">
        <v>200</v>
      </c>
      <c r="G23524" s="7" t="n">
        <v>0</v>
      </c>
      <c r="H23524" s="7" t="n">
        <v>1073741824</v>
      </c>
      <c r="I23524" s="7" t="n">
        <v>0</v>
      </c>
      <c r="J23524" s="7" t="n">
        <v>65533</v>
      </c>
      <c r="K23524" s="7" t="n">
        <v>0</v>
      </c>
      <c r="L23524" s="7" t="n">
        <v>0</v>
      </c>
      <c r="M23524" s="7" t="n">
        <v>0</v>
      </c>
      <c r="N23524" s="7" t="n">
        <v>0</v>
      </c>
      <c r="O23524" s="7" t="s">
        <v>16</v>
      </c>
    </row>
    <row r="23525" spans="1:9">
      <c r="A23525" t="s">
        <v>4</v>
      </c>
      <c r="B23525" s="4" t="s">
        <v>5</v>
      </c>
      <c r="C23525" s="4" t="s">
        <v>7</v>
      </c>
      <c r="D23525" s="4" t="s">
        <v>11</v>
      </c>
      <c r="E23525" s="4" t="s">
        <v>8</v>
      </c>
      <c r="F23525" s="4" t="s">
        <v>8</v>
      </c>
      <c r="G23525" s="4" t="s">
        <v>8</v>
      </c>
      <c r="H23525" s="4" t="s">
        <v>8</v>
      </c>
    </row>
    <row r="23526" spans="1:9">
      <c r="A23526" t="n">
        <v>226557</v>
      </c>
      <c r="B23526" s="38" t="n">
        <v>51</v>
      </c>
      <c r="C23526" s="7" t="n">
        <v>3</v>
      </c>
      <c r="D23526" s="7" t="n">
        <v>1</v>
      </c>
      <c r="E23526" s="7" t="s">
        <v>319</v>
      </c>
      <c r="F23526" s="7" t="s">
        <v>79</v>
      </c>
      <c r="G23526" s="7" t="s">
        <v>16</v>
      </c>
      <c r="H23526" s="7" t="s">
        <v>86</v>
      </c>
    </row>
    <row r="23527" spans="1:9">
      <c r="A23527" t="s">
        <v>4</v>
      </c>
      <c r="B23527" s="4" t="s">
        <v>5</v>
      </c>
      <c r="C23527" s="4" t="s">
        <v>11</v>
      </c>
      <c r="D23527" s="4" t="s">
        <v>15</v>
      </c>
      <c r="E23527" s="4" t="s">
        <v>7</v>
      </c>
    </row>
    <row r="23528" spans="1:9">
      <c r="A23528" t="n">
        <v>226568</v>
      </c>
      <c r="B23528" s="78" t="n">
        <v>35</v>
      </c>
      <c r="C23528" s="7" t="n">
        <v>0</v>
      </c>
      <c r="D23528" s="7" t="n">
        <v>0</v>
      </c>
      <c r="E23528" s="7" t="n">
        <v>0</v>
      </c>
    </row>
    <row r="23529" spans="1:9">
      <c r="A23529" t="s">
        <v>4</v>
      </c>
      <c r="B23529" s="4" t="s">
        <v>5</v>
      </c>
      <c r="C23529" s="4" t="s">
        <v>11</v>
      </c>
      <c r="D23529" s="4" t="s">
        <v>15</v>
      </c>
      <c r="E23529" s="4" t="s">
        <v>7</v>
      </c>
    </row>
    <row r="23530" spans="1:9">
      <c r="A23530" t="n">
        <v>226576</v>
      </c>
      <c r="B23530" s="78" t="n">
        <v>35</v>
      </c>
      <c r="C23530" s="7" t="n">
        <v>1</v>
      </c>
      <c r="D23530" s="7" t="n">
        <v>0</v>
      </c>
      <c r="E23530" s="7" t="n">
        <v>0</v>
      </c>
    </row>
    <row r="23531" spans="1:9">
      <c r="A23531" t="s">
        <v>4</v>
      </c>
      <c r="B23531" s="4" t="s">
        <v>5</v>
      </c>
      <c r="C23531" s="4" t="s">
        <v>7</v>
      </c>
      <c r="D23531" s="4" t="s">
        <v>11</v>
      </c>
      <c r="E23531" s="4" t="s">
        <v>8</v>
      </c>
      <c r="F23531" s="4" t="s">
        <v>8</v>
      </c>
      <c r="G23531" s="4" t="s">
        <v>8</v>
      </c>
      <c r="H23531" s="4" t="s">
        <v>8</v>
      </c>
    </row>
    <row r="23532" spans="1:9">
      <c r="A23532" t="n">
        <v>226584</v>
      </c>
      <c r="B23532" s="38" t="n">
        <v>51</v>
      </c>
      <c r="C23532" s="7" t="n">
        <v>3</v>
      </c>
      <c r="D23532" s="7" t="n">
        <v>1</v>
      </c>
      <c r="E23532" s="7" t="s">
        <v>371</v>
      </c>
      <c r="F23532" s="7" t="s">
        <v>99</v>
      </c>
      <c r="G23532" s="7" t="s">
        <v>16</v>
      </c>
      <c r="H23532" s="7" t="s">
        <v>86</v>
      </c>
    </row>
    <row r="23533" spans="1:9">
      <c r="A23533" t="s">
        <v>4</v>
      </c>
      <c r="B23533" s="4" t="s">
        <v>5</v>
      </c>
      <c r="C23533" s="4" t="s">
        <v>11</v>
      </c>
    </row>
    <row r="23534" spans="1:9">
      <c r="A23534" t="n">
        <v>226595</v>
      </c>
      <c r="B23534" s="29" t="n">
        <v>16</v>
      </c>
      <c r="C23534" s="7" t="n">
        <v>1000</v>
      </c>
    </row>
    <row r="23535" spans="1:9">
      <c r="A23535" t="s">
        <v>4</v>
      </c>
      <c r="B23535" s="4" t="s">
        <v>5</v>
      </c>
      <c r="C23535" s="4" t="s">
        <v>7</v>
      </c>
      <c r="D23535" s="4" t="s">
        <v>11</v>
      </c>
    </row>
    <row r="23536" spans="1:9">
      <c r="A23536" t="n">
        <v>226598</v>
      </c>
      <c r="B23536" s="51" t="n">
        <v>45</v>
      </c>
      <c r="C23536" s="7" t="n">
        <v>7</v>
      </c>
      <c r="D23536" s="7" t="n">
        <v>255</v>
      </c>
    </row>
    <row r="23537" spans="1:15">
      <c r="A23537" t="s">
        <v>4</v>
      </c>
      <c r="B23537" s="4" t="s">
        <v>5</v>
      </c>
      <c r="C23537" s="4" t="s">
        <v>11</v>
      </c>
    </row>
    <row r="23538" spans="1:15">
      <c r="A23538" t="n">
        <v>226602</v>
      </c>
      <c r="B23538" s="29" t="n">
        <v>16</v>
      </c>
      <c r="C23538" s="7" t="n">
        <v>500</v>
      </c>
    </row>
    <row r="23539" spans="1:15">
      <c r="A23539" t="s">
        <v>4</v>
      </c>
      <c r="B23539" s="4" t="s">
        <v>5</v>
      </c>
      <c r="C23539" s="4" t="s">
        <v>7</v>
      </c>
      <c r="D23539" s="4" t="s">
        <v>11</v>
      </c>
      <c r="E23539" s="4" t="s">
        <v>13</v>
      </c>
    </row>
    <row r="23540" spans="1:15">
      <c r="A23540" t="n">
        <v>226605</v>
      </c>
      <c r="B23540" s="23" t="n">
        <v>58</v>
      </c>
      <c r="C23540" s="7" t="n">
        <v>101</v>
      </c>
      <c r="D23540" s="7" t="n">
        <v>500</v>
      </c>
      <c r="E23540" s="7" t="n">
        <v>1</v>
      </c>
    </row>
    <row r="23541" spans="1:15">
      <c r="A23541" t="s">
        <v>4</v>
      </c>
      <c r="B23541" s="4" t="s">
        <v>5</v>
      </c>
      <c r="C23541" s="4" t="s">
        <v>7</v>
      </c>
      <c r="D23541" s="4" t="s">
        <v>11</v>
      </c>
    </row>
    <row r="23542" spans="1:15">
      <c r="A23542" t="n">
        <v>226613</v>
      </c>
      <c r="B23542" s="23" t="n">
        <v>58</v>
      </c>
      <c r="C23542" s="7" t="n">
        <v>254</v>
      </c>
      <c r="D23542" s="7" t="n">
        <v>0</v>
      </c>
    </row>
    <row r="23543" spans="1:15">
      <c r="A23543" t="s">
        <v>4</v>
      </c>
      <c r="B23543" s="4" t="s">
        <v>5</v>
      </c>
      <c r="C23543" s="4" t="s">
        <v>7</v>
      </c>
      <c r="D23543" s="4" t="s">
        <v>11</v>
      </c>
      <c r="E23543" s="4" t="s">
        <v>8</v>
      </c>
      <c r="F23543" s="4" t="s">
        <v>8</v>
      </c>
      <c r="G23543" s="4" t="s">
        <v>8</v>
      </c>
      <c r="H23543" s="4" t="s">
        <v>8</v>
      </c>
    </row>
    <row r="23544" spans="1:15">
      <c r="A23544" t="n">
        <v>226617</v>
      </c>
      <c r="B23544" s="38" t="n">
        <v>51</v>
      </c>
      <c r="C23544" s="7" t="n">
        <v>3</v>
      </c>
      <c r="D23544" s="7" t="n">
        <v>0</v>
      </c>
      <c r="E23544" s="7" t="s">
        <v>232</v>
      </c>
      <c r="F23544" s="7" t="s">
        <v>99</v>
      </c>
      <c r="G23544" s="7" t="s">
        <v>78</v>
      </c>
      <c r="H23544" s="7" t="s">
        <v>79</v>
      </c>
    </row>
    <row r="23545" spans="1:15">
      <c r="A23545" t="s">
        <v>4</v>
      </c>
      <c r="B23545" s="4" t="s">
        <v>5</v>
      </c>
      <c r="C23545" s="4" t="s">
        <v>7</v>
      </c>
      <c r="D23545" s="4" t="s">
        <v>11</v>
      </c>
      <c r="E23545" s="4" t="s">
        <v>8</v>
      </c>
      <c r="F23545" s="4" t="s">
        <v>8</v>
      </c>
      <c r="G23545" s="4" t="s">
        <v>8</v>
      </c>
      <c r="H23545" s="4" t="s">
        <v>8</v>
      </c>
    </row>
    <row r="23546" spans="1:15">
      <c r="A23546" t="n">
        <v>226630</v>
      </c>
      <c r="B23546" s="38" t="n">
        <v>51</v>
      </c>
      <c r="C23546" s="7" t="n">
        <v>3</v>
      </c>
      <c r="D23546" s="7" t="n">
        <v>1</v>
      </c>
      <c r="E23546" s="7" t="s">
        <v>372</v>
      </c>
      <c r="F23546" s="7" t="s">
        <v>99</v>
      </c>
      <c r="G23546" s="7" t="s">
        <v>16</v>
      </c>
      <c r="H23546" s="7" t="s">
        <v>86</v>
      </c>
    </row>
    <row r="23547" spans="1:15">
      <c r="A23547" t="s">
        <v>4</v>
      </c>
      <c r="B23547" s="4" t="s">
        <v>5</v>
      </c>
      <c r="C23547" s="4" t="s">
        <v>11</v>
      </c>
      <c r="D23547" s="4" t="s">
        <v>11</v>
      </c>
      <c r="E23547" s="4" t="s">
        <v>11</v>
      </c>
    </row>
    <row r="23548" spans="1:15">
      <c r="A23548" t="n">
        <v>226641</v>
      </c>
      <c r="B23548" s="72" t="n">
        <v>61</v>
      </c>
      <c r="C23548" s="7" t="n">
        <v>0</v>
      </c>
      <c r="D23548" s="7" t="n">
        <v>1</v>
      </c>
      <c r="E23548" s="7" t="n">
        <v>0</v>
      </c>
    </row>
    <row r="23549" spans="1:15">
      <c r="A23549" t="s">
        <v>4</v>
      </c>
      <c r="B23549" s="4" t="s">
        <v>5</v>
      </c>
      <c r="C23549" s="4" t="s">
        <v>7</v>
      </c>
      <c r="D23549" s="4" t="s">
        <v>7</v>
      </c>
      <c r="E23549" s="4" t="s">
        <v>13</v>
      </c>
      <c r="F23549" s="4" t="s">
        <v>13</v>
      </c>
      <c r="G23549" s="4" t="s">
        <v>13</v>
      </c>
      <c r="H23549" s="4" t="s">
        <v>11</v>
      </c>
    </row>
    <row r="23550" spans="1:15">
      <c r="A23550" t="n">
        <v>226648</v>
      </c>
      <c r="B23550" s="51" t="n">
        <v>45</v>
      </c>
      <c r="C23550" s="7" t="n">
        <v>2</v>
      </c>
      <c r="D23550" s="7" t="n">
        <v>3</v>
      </c>
      <c r="E23550" s="7" t="n">
        <v>-7.1399998664856</v>
      </c>
      <c r="F23550" s="7" t="n">
        <v>6.40000009536743</v>
      </c>
      <c r="G23550" s="7" t="n">
        <v>29.8299999237061</v>
      </c>
      <c r="H23550" s="7" t="n">
        <v>0</v>
      </c>
    </row>
    <row r="23551" spans="1:15">
      <c r="A23551" t="s">
        <v>4</v>
      </c>
      <c r="B23551" s="4" t="s">
        <v>5</v>
      </c>
      <c r="C23551" s="4" t="s">
        <v>7</v>
      </c>
      <c r="D23551" s="4" t="s">
        <v>7</v>
      </c>
      <c r="E23551" s="4" t="s">
        <v>13</v>
      </c>
      <c r="F23551" s="4" t="s">
        <v>13</v>
      </c>
      <c r="G23551" s="4" t="s">
        <v>13</v>
      </c>
      <c r="H23551" s="4" t="s">
        <v>11</v>
      </c>
      <c r="I23551" s="4" t="s">
        <v>7</v>
      </c>
    </row>
    <row r="23552" spans="1:15">
      <c r="A23552" t="n">
        <v>226665</v>
      </c>
      <c r="B23552" s="51" t="n">
        <v>45</v>
      </c>
      <c r="C23552" s="7" t="n">
        <v>4</v>
      </c>
      <c r="D23552" s="7" t="n">
        <v>3</v>
      </c>
      <c r="E23552" s="7" t="n">
        <v>21.7099990844727</v>
      </c>
      <c r="F23552" s="7" t="n">
        <v>57.310001373291</v>
      </c>
      <c r="G23552" s="7" t="n">
        <v>354</v>
      </c>
      <c r="H23552" s="7" t="n">
        <v>0</v>
      </c>
      <c r="I23552" s="7" t="n">
        <v>0</v>
      </c>
    </row>
    <row r="23553" spans="1:9">
      <c r="A23553" t="s">
        <v>4</v>
      </c>
      <c r="B23553" s="4" t="s">
        <v>5</v>
      </c>
      <c r="C23553" s="4" t="s">
        <v>7</v>
      </c>
      <c r="D23553" s="4" t="s">
        <v>7</v>
      </c>
      <c r="E23553" s="4" t="s">
        <v>13</v>
      </c>
      <c r="F23553" s="4" t="s">
        <v>11</v>
      </c>
    </row>
    <row r="23554" spans="1:9">
      <c r="A23554" t="n">
        <v>226683</v>
      </c>
      <c r="B23554" s="51" t="n">
        <v>45</v>
      </c>
      <c r="C23554" s="7" t="n">
        <v>5</v>
      </c>
      <c r="D23554" s="7" t="n">
        <v>3</v>
      </c>
      <c r="E23554" s="7" t="n">
        <v>0.800000011920929</v>
      </c>
      <c r="F23554" s="7" t="n">
        <v>0</v>
      </c>
    </row>
    <row r="23555" spans="1:9">
      <c r="A23555" t="s">
        <v>4</v>
      </c>
      <c r="B23555" s="4" t="s">
        <v>5</v>
      </c>
      <c r="C23555" s="4" t="s">
        <v>7</v>
      </c>
      <c r="D23555" s="4" t="s">
        <v>7</v>
      </c>
      <c r="E23555" s="4" t="s">
        <v>13</v>
      </c>
      <c r="F23555" s="4" t="s">
        <v>11</v>
      </c>
    </row>
    <row r="23556" spans="1:9">
      <c r="A23556" t="n">
        <v>226692</v>
      </c>
      <c r="B23556" s="51" t="n">
        <v>45</v>
      </c>
      <c r="C23556" s="7" t="n">
        <v>11</v>
      </c>
      <c r="D23556" s="7" t="n">
        <v>3</v>
      </c>
      <c r="E23556" s="7" t="n">
        <v>40.2999992370605</v>
      </c>
      <c r="F23556" s="7" t="n">
        <v>0</v>
      </c>
    </row>
    <row r="23557" spans="1:9">
      <c r="A23557" t="s">
        <v>4</v>
      </c>
      <c r="B23557" s="4" t="s">
        <v>5</v>
      </c>
      <c r="C23557" s="4" t="s">
        <v>7</v>
      </c>
      <c r="D23557" s="4" t="s">
        <v>7</v>
      </c>
      <c r="E23557" s="4" t="s">
        <v>13</v>
      </c>
      <c r="F23557" s="4" t="s">
        <v>13</v>
      </c>
      <c r="G23557" s="4" t="s">
        <v>13</v>
      </c>
      <c r="H23557" s="4" t="s">
        <v>11</v>
      </c>
    </row>
    <row r="23558" spans="1:9">
      <c r="A23558" t="n">
        <v>226701</v>
      </c>
      <c r="B23558" s="51" t="n">
        <v>45</v>
      </c>
      <c r="C23558" s="7" t="n">
        <v>2</v>
      </c>
      <c r="D23558" s="7" t="n">
        <v>3</v>
      </c>
      <c r="E23558" s="7" t="n">
        <v>-7.1399998664856</v>
      </c>
      <c r="F23558" s="7" t="n">
        <v>6.40000009536743</v>
      </c>
      <c r="G23558" s="7" t="n">
        <v>29.8299999237061</v>
      </c>
      <c r="H23558" s="7" t="n">
        <v>50000</v>
      </c>
    </row>
    <row r="23559" spans="1:9">
      <c r="A23559" t="s">
        <v>4</v>
      </c>
      <c r="B23559" s="4" t="s">
        <v>5</v>
      </c>
      <c r="C23559" s="4" t="s">
        <v>7</v>
      </c>
      <c r="D23559" s="4" t="s">
        <v>7</v>
      </c>
      <c r="E23559" s="4" t="s">
        <v>13</v>
      </c>
      <c r="F23559" s="4" t="s">
        <v>13</v>
      </c>
      <c r="G23559" s="4" t="s">
        <v>13</v>
      </c>
      <c r="H23559" s="4" t="s">
        <v>11</v>
      </c>
      <c r="I23559" s="4" t="s">
        <v>7</v>
      </c>
    </row>
    <row r="23560" spans="1:9">
      <c r="A23560" t="n">
        <v>226718</v>
      </c>
      <c r="B23560" s="51" t="n">
        <v>45</v>
      </c>
      <c r="C23560" s="7" t="n">
        <v>4</v>
      </c>
      <c r="D23560" s="7" t="n">
        <v>3</v>
      </c>
      <c r="E23560" s="7" t="n">
        <v>21.7099990844727</v>
      </c>
      <c r="F23560" s="7" t="n">
        <v>68.370002746582</v>
      </c>
      <c r="G23560" s="7" t="n">
        <v>354</v>
      </c>
      <c r="H23560" s="7" t="n">
        <v>50000</v>
      </c>
      <c r="I23560" s="7" t="n">
        <v>1</v>
      </c>
    </row>
    <row r="23561" spans="1:9">
      <c r="A23561" t="s">
        <v>4</v>
      </c>
      <c r="B23561" s="4" t="s">
        <v>5</v>
      </c>
      <c r="C23561" s="4" t="s">
        <v>7</v>
      </c>
      <c r="D23561" s="4" t="s">
        <v>7</v>
      </c>
      <c r="E23561" s="4" t="s">
        <v>13</v>
      </c>
      <c r="F23561" s="4" t="s">
        <v>11</v>
      </c>
    </row>
    <row r="23562" spans="1:9">
      <c r="A23562" t="n">
        <v>226736</v>
      </c>
      <c r="B23562" s="51" t="n">
        <v>45</v>
      </c>
      <c r="C23562" s="7" t="n">
        <v>5</v>
      </c>
      <c r="D23562" s="7" t="n">
        <v>3</v>
      </c>
      <c r="E23562" s="7" t="n">
        <v>0.800000011920929</v>
      </c>
      <c r="F23562" s="7" t="n">
        <v>50000</v>
      </c>
    </row>
    <row r="23563" spans="1:9">
      <c r="A23563" t="s">
        <v>4</v>
      </c>
      <c r="B23563" s="4" t="s">
        <v>5</v>
      </c>
      <c r="C23563" s="4" t="s">
        <v>7</v>
      </c>
      <c r="D23563" s="4" t="s">
        <v>7</v>
      </c>
      <c r="E23563" s="4" t="s">
        <v>13</v>
      </c>
      <c r="F23563" s="4" t="s">
        <v>11</v>
      </c>
    </row>
    <row r="23564" spans="1:9">
      <c r="A23564" t="n">
        <v>226745</v>
      </c>
      <c r="B23564" s="51" t="n">
        <v>45</v>
      </c>
      <c r="C23564" s="7" t="n">
        <v>11</v>
      </c>
      <c r="D23564" s="7" t="n">
        <v>3</v>
      </c>
      <c r="E23564" s="7" t="n">
        <v>40.2999992370605</v>
      </c>
      <c r="F23564" s="7" t="n">
        <v>50000</v>
      </c>
    </row>
    <row r="23565" spans="1:9">
      <c r="A23565" t="s">
        <v>4</v>
      </c>
      <c r="B23565" s="4" t="s">
        <v>5</v>
      </c>
      <c r="C23565" s="4" t="s">
        <v>7</v>
      </c>
      <c r="D23565" s="4" t="s">
        <v>11</v>
      </c>
    </row>
    <row r="23566" spans="1:9">
      <c r="A23566" t="n">
        <v>226754</v>
      </c>
      <c r="B23566" s="23" t="n">
        <v>58</v>
      </c>
      <c r="C23566" s="7" t="n">
        <v>254</v>
      </c>
      <c r="D23566" s="7" t="n">
        <v>0</v>
      </c>
    </row>
    <row r="23567" spans="1:9">
      <c r="A23567" t="s">
        <v>4</v>
      </c>
      <c r="B23567" s="4" t="s">
        <v>5</v>
      </c>
      <c r="C23567" s="4" t="s">
        <v>7</v>
      </c>
      <c r="D23567" s="4" t="s">
        <v>11</v>
      </c>
    </row>
    <row r="23568" spans="1:9">
      <c r="A23568" t="n">
        <v>226758</v>
      </c>
      <c r="B23568" s="23" t="n">
        <v>58</v>
      </c>
      <c r="C23568" s="7" t="n">
        <v>255</v>
      </c>
      <c r="D23568" s="7" t="n">
        <v>0</v>
      </c>
    </row>
    <row r="23569" spans="1:9">
      <c r="A23569" t="s">
        <v>4</v>
      </c>
      <c r="B23569" s="4" t="s">
        <v>5</v>
      </c>
      <c r="C23569" s="4" t="s">
        <v>7</v>
      </c>
      <c r="D23569" s="4" t="s">
        <v>11</v>
      </c>
      <c r="E23569" s="4" t="s">
        <v>8</v>
      </c>
    </row>
    <row r="23570" spans="1:9">
      <c r="A23570" t="n">
        <v>226762</v>
      </c>
      <c r="B23570" s="38" t="n">
        <v>51</v>
      </c>
      <c r="C23570" s="7" t="n">
        <v>4</v>
      </c>
      <c r="D23570" s="7" t="n">
        <v>0</v>
      </c>
      <c r="E23570" s="7" t="s">
        <v>173</v>
      </c>
    </row>
    <row r="23571" spans="1:9">
      <c r="A23571" t="s">
        <v>4</v>
      </c>
      <c r="B23571" s="4" t="s">
        <v>5</v>
      </c>
      <c r="C23571" s="4" t="s">
        <v>11</v>
      </c>
    </row>
    <row r="23572" spans="1:9">
      <c r="A23572" t="n">
        <v>226775</v>
      </c>
      <c r="B23572" s="29" t="n">
        <v>16</v>
      </c>
      <c r="C23572" s="7" t="n">
        <v>0</v>
      </c>
    </row>
    <row r="23573" spans="1:9">
      <c r="A23573" t="s">
        <v>4</v>
      </c>
      <c r="B23573" s="4" t="s">
        <v>5</v>
      </c>
      <c r="C23573" s="4" t="s">
        <v>11</v>
      </c>
      <c r="D23573" s="4" t="s">
        <v>7</v>
      </c>
      <c r="E23573" s="4" t="s">
        <v>15</v>
      </c>
      <c r="F23573" s="4" t="s">
        <v>55</v>
      </c>
      <c r="G23573" s="4" t="s">
        <v>7</v>
      </c>
      <c r="H23573" s="4" t="s">
        <v>7</v>
      </c>
      <c r="I23573" s="4" t="s">
        <v>7</v>
      </c>
      <c r="J23573" s="4" t="s">
        <v>15</v>
      </c>
      <c r="K23573" s="4" t="s">
        <v>55</v>
      </c>
      <c r="L23573" s="4" t="s">
        <v>7</v>
      </c>
      <c r="M23573" s="4" t="s">
        <v>7</v>
      </c>
    </row>
    <row r="23574" spans="1:9">
      <c r="A23574" t="n">
        <v>226778</v>
      </c>
      <c r="B23574" s="55" t="n">
        <v>26</v>
      </c>
      <c r="C23574" s="7" t="n">
        <v>0</v>
      </c>
      <c r="D23574" s="7" t="n">
        <v>17</v>
      </c>
      <c r="E23574" s="7" t="n">
        <v>63814</v>
      </c>
      <c r="F23574" s="7" t="s">
        <v>373</v>
      </c>
      <c r="G23574" s="7" t="n">
        <v>2</v>
      </c>
      <c r="H23574" s="7" t="n">
        <v>3</v>
      </c>
      <c r="I23574" s="7" t="n">
        <v>17</v>
      </c>
      <c r="J23574" s="7" t="n">
        <v>63815</v>
      </c>
      <c r="K23574" s="7" t="s">
        <v>374</v>
      </c>
      <c r="L23574" s="7" t="n">
        <v>2</v>
      </c>
      <c r="M23574" s="7" t="n">
        <v>0</v>
      </c>
    </row>
    <row r="23575" spans="1:9">
      <c r="A23575" t="s">
        <v>4</v>
      </c>
      <c r="B23575" s="4" t="s">
        <v>5</v>
      </c>
    </row>
    <row r="23576" spans="1:9">
      <c r="A23576" t="n">
        <v>226964</v>
      </c>
      <c r="B23576" s="27" t="n">
        <v>28</v>
      </c>
    </row>
    <row r="23577" spans="1:9">
      <c r="A23577" t="s">
        <v>4</v>
      </c>
      <c r="B23577" s="4" t="s">
        <v>5</v>
      </c>
      <c r="C23577" s="4" t="s">
        <v>11</v>
      </c>
      <c r="D23577" s="4" t="s">
        <v>7</v>
      </c>
    </row>
    <row r="23578" spans="1:9">
      <c r="A23578" t="n">
        <v>226965</v>
      </c>
      <c r="B23578" s="68" t="n">
        <v>89</v>
      </c>
      <c r="C23578" s="7" t="n">
        <v>65533</v>
      </c>
      <c r="D23578" s="7" t="n">
        <v>1</v>
      </c>
    </row>
    <row r="23579" spans="1:9">
      <c r="A23579" t="s">
        <v>4</v>
      </c>
      <c r="B23579" s="4" t="s">
        <v>5</v>
      </c>
      <c r="C23579" s="4" t="s">
        <v>7</v>
      </c>
      <c r="D23579" s="4" t="s">
        <v>11</v>
      </c>
      <c r="E23579" s="4" t="s">
        <v>8</v>
      </c>
    </row>
    <row r="23580" spans="1:9">
      <c r="A23580" t="n">
        <v>226969</v>
      </c>
      <c r="B23580" s="38" t="n">
        <v>51</v>
      </c>
      <c r="C23580" s="7" t="n">
        <v>4</v>
      </c>
      <c r="D23580" s="7" t="n">
        <v>1</v>
      </c>
      <c r="E23580" s="7" t="s">
        <v>375</v>
      </c>
    </row>
    <row r="23581" spans="1:9">
      <c r="A23581" t="s">
        <v>4</v>
      </c>
      <c r="B23581" s="4" t="s">
        <v>5</v>
      </c>
      <c r="C23581" s="4" t="s">
        <v>11</v>
      </c>
    </row>
    <row r="23582" spans="1:9">
      <c r="A23582" t="n">
        <v>226983</v>
      </c>
      <c r="B23582" s="29" t="n">
        <v>16</v>
      </c>
      <c r="C23582" s="7" t="n">
        <v>0</v>
      </c>
    </row>
    <row r="23583" spans="1:9">
      <c r="A23583" t="s">
        <v>4</v>
      </c>
      <c r="B23583" s="4" t="s">
        <v>5</v>
      </c>
      <c r="C23583" s="4" t="s">
        <v>11</v>
      </c>
      <c r="D23583" s="4" t="s">
        <v>7</v>
      </c>
      <c r="E23583" s="4" t="s">
        <v>15</v>
      </c>
      <c r="F23583" s="4" t="s">
        <v>55</v>
      </c>
      <c r="G23583" s="4" t="s">
        <v>7</v>
      </c>
      <c r="H23583" s="4" t="s">
        <v>7</v>
      </c>
      <c r="I23583" s="4" t="s">
        <v>7</v>
      </c>
      <c r="J23583" s="4" t="s">
        <v>15</v>
      </c>
      <c r="K23583" s="4" t="s">
        <v>55</v>
      </c>
      <c r="L23583" s="4" t="s">
        <v>7</v>
      </c>
      <c r="M23583" s="4" t="s">
        <v>7</v>
      </c>
      <c r="N23583" s="4" t="s">
        <v>7</v>
      </c>
      <c r="O23583" s="4" t="s">
        <v>15</v>
      </c>
      <c r="P23583" s="4" t="s">
        <v>55</v>
      </c>
      <c r="Q23583" s="4" t="s">
        <v>7</v>
      </c>
      <c r="R23583" s="4" t="s">
        <v>7</v>
      </c>
    </row>
    <row r="23584" spans="1:9">
      <c r="A23584" t="n">
        <v>226986</v>
      </c>
      <c r="B23584" s="55" t="n">
        <v>26</v>
      </c>
      <c r="C23584" s="7" t="n">
        <v>1</v>
      </c>
      <c r="D23584" s="7" t="n">
        <v>17</v>
      </c>
      <c r="E23584" s="7" t="n">
        <v>1821</v>
      </c>
      <c r="F23584" s="7" t="s">
        <v>376</v>
      </c>
      <c r="G23584" s="7" t="n">
        <v>2</v>
      </c>
      <c r="H23584" s="7" t="n">
        <v>3</v>
      </c>
      <c r="I23584" s="7" t="n">
        <v>17</v>
      </c>
      <c r="J23584" s="7" t="n">
        <v>1822</v>
      </c>
      <c r="K23584" s="7" t="s">
        <v>377</v>
      </c>
      <c r="L23584" s="7" t="n">
        <v>2</v>
      </c>
      <c r="M23584" s="7" t="n">
        <v>3</v>
      </c>
      <c r="N23584" s="7" t="n">
        <v>17</v>
      </c>
      <c r="O23584" s="7" t="n">
        <v>1823</v>
      </c>
      <c r="P23584" s="7" t="s">
        <v>378</v>
      </c>
      <c r="Q23584" s="7" t="n">
        <v>2</v>
      </c>
      <c r="R23584" s="7" t="n">
        <v>0</v>
      </c>
    </row>
    <row r="23585" spans="1:18">
      <c r="A23585" t="s">
        <v>4</v>
      </c>
      <c r="B23585" s="4" t="s">
        <v>5</v>
      </c>
    </row>
    <row r="23586" spans="1:18">
      <c r="A23586" t="n">
        <v>227342</v>
      </c>
      <c r="B23586" s="27" t="n">
        <v>28</v>
      </c>
    </row>
    <row r="23587" spans="1:18">
      <c r="A23587" t="s">
        <v>4</v>
      </c>
      <c r="B23587" s="4" t="s">
        <v>5</v>
      </c>
      <c r="C23587" s="4" t="s">
        <v>11</v>
      </c>
      <c r="D23587" s="4" t="s">
        <v>7</v>
      </c>
    </row>
    <row r="23588" spans="1:18">
      <c r="A23588" t="n">
        <v>227343</v>
      </c>
      <c r="B23588" s="68" t="n">
        <v>89</v>
      </c>
      <c r="C23588" s="7" t="n">
        <v>65533</v>
      </c>
      <c r="D23588" s="7" t="n">
        <v>1</v>
      </c>
    </row>
    <row r="23589" spans="1:18">
      <c r="A23589" t="s">
        <v>4</v>
      </c>
      <c r="B23589" s="4" t="s">
        <v>5</v>
      </c>
      <c r="C23589" s="4" t="s">
        <v>7</v>
      </c>
      <c r="D23589" s="4" t="s">
        <v>11</v>
      </c>
      <c r="E23589" s="4" t="s">
        <v>8</v>
      </c>
    </row>
    <row r="23590" spans="1:18">
      <c r="A23590" t="n">
        <v>227347</v>
      </c>
      <c r="B23590" s="38" t="n">
        <v>51</v>
      </c>
      <c r="C23590" s="7" t="n">
        <v>4</v>
      </c>
      <c r="D23590" s="7" t="n">
        <v>0</v>
      </c>
      <c r="E23590" s="7" t="s">
        <v>379</v>
      </c>
    </row>
    <row r="23591" spans="1:18">
      <c r="A23591" t="s">
        <v>4</v>
      </c>
      <c r="B23591" s="4" t="s">
        <v>5</v>
      </c>
      <c r="C23591" s="4" t="s">
        <v>11</v>
      </c>
    </row>
    <row r="23592" spans="1:18">
      <c r="A23592" t="n">
        <v>227361</v>
      </c>
      <c r="B23592" s="29" t="n">
        <v>16</v>
      </c>
      <c r="C23592" s="7" t="n">
        <v>0</v>
      </c>
    </row>
    <row r="23593" spans="1:18">
      <c r="A23593" t="s">
        <v>4</v>
      </c>
      <c r="B23593" s="4" t="s">
        <v>5</v>
      </c>
      <c r="C23593" s="4" t="s">
        <v>11</v>
      </c>
      <c r="D23593" s="4" t="s">
        <v>7</v>
      </c>
      <c r="E23593" s="4" t="s">
        <v>15</v>
      </c>
      <c r="F23593" s="4" t="s">
        <v>55</v>
      </c>
      <c r="G23593" s="4" t="s">
        <v>7</v>
      </c>
      <c r="H23593" s="4" t="s">
        <v>7</v>
      </c>
      <c r="I23593" s="4" t="s">
        <v>7</v>
      </c>
      <c r="J23593" s="4" t="s">
        <v>15</v>
      </c>
      <c r="K23593" s="4" t="s">
        <v>55</v>
      </c>
      <c r="L23593" s="4" t="s">
        <v>7</v>
      </c>
      <c r="M23593" s="4" t="s">
        <v>7</v>
      </c>
      <c r="N23593" s="4" t="s">
        <v>7</v>
      </c>
      <c r="O23593" s="4" t="s">
        <v>15</v>
      </c>
      <c r="P23593" s="4" t="s">
        <v>55</v>
      </c>
      <c r="Q23593" s="4" t="s">
        <v>7</v>
      </c>
      <c r="R23593" s="4" t="s">
        <v>7</v>
      </c>
      <c r="S23593" s="4" t="s">
        <v>7</v>
      </c>
      <c r="T23593" s="4" t="s">
        <v>15</v>
      </c>
      <c r="U23593" s="4" t="s">
        <v>55</v>
      </c>
      <c r="V23593" s="4" t="s">
        <v>7</v>
      </c>
      <c r="W23593" s="4" t="s">
        <v>7</v>
      </c>
    </row>
    <row r="23594" spans="1:18">
      <c r="A23594" t="n">
        <v>227364</v>
      </c>
      <c r="B23594" s="55" t="n">
        <v>26</v>
      </c>
      <c r="C23594" s="7" t="n">
        <v>0</v>
      </c>
      <c r="D23594" s="7" t="n">
        <v>17</v>
      </c>
      <c r="E23594" s="7" t="n">
        <v>63816</v>
      </c>
      <c r="F23594" s="7" t="s">
        <v>380</v>
      </c>
      <c r="G23594" s="7" t="n">
        <v>2</v>
      </c>
      <c r="H23594" s="7" t="n">
        <v>3</v>
      </c>
      <c r="I23594" s="7" t="n">
        <v>17</v>
      </c>
      <c r="J23594" s="7" t="n">
        <v>63817</v>
      </c>
      <c r="K23594" s="7" t="s">
        <v>381</v>
      </c>
      <c r="L23594" s="7" t="n">
        <v>2</v>
      </c>
      <c r="M23594" s="7" t="n">
        <v>3</v>
      </c>
      <c r="N23594" s="7" t="n">
        <v>17</v>
      </c>
      <c r="O23594" s="7" t="n">
        <v>63818</v>
      </c>
      <c r="P23594" s="7" t="s">
        <v>382</v>
      </c>
      <c r="Q23594" s="7" t="n">
        <v>2</v>
      </c>
      <c r="R23594" s="7" t="n">
        <v>3</v>
      </c>
      <c r="S23594" s="7" t="n">
        <v>17</v>
      </c>
      <c r="T23594" s="7" t="n">
        <v>63819</v>
      </c>
      <c r="U23594" s="7" t="s">
        <v>383</v>
      </c>
      <c r="V23594" s="7" t="n">
        <v>2</v>
      </c>
      <c r="W23594" s="7" t="n">
        <v>0</v>
      </c>
    </row>
    <row r="23595" spans="1:18">
      <c r="A23595" t="s">
        <v>4</v>
      </c>
      <c r="B23595" s="4" t="s">
        <v>5</v>
      </c>
    </row>
    <row r="23596" spans="1:18">
      <c r="A23596" t="n">
        <v>227717</v>
      </c>
      <c r="B23596" s="27" t="n">
        <v>28</v>
      </c>
    </row>
    <row r="23597" spans="1:18">
      <c r="A23597" t="s">
        <v>4</v>
      </c>
      <c r="B23597" s="4" t="s">
        <v>5</v>
      </c>
      <c r="C23597" s="4" t="s">
        <v>11</v>
      </c>
    </row>
    <row r="23598" spans="1:18">
      <c r="A23598" t="n">
        <v>227718</v>
      </c>
      <c r="B23598" s="29" t="n">
        <v>16</v>
      </c>
      <c r="C23598" s="7" t="n">
        <v>500</v>
      </c>
    </row>
    <row r="23599" spans="1:18">
      <c r="A23599" t="s">
        <v>4</v>
      </c>
      <c r="B23599" s="4" t="s">
        <v>5</v>
      </c>
      <c r="C23599" s="4" t="s">
        <v>7</v>
      </c>
      <c r="D23599" s="4" t="s">
        <v>11</v>
      </c>
      <c r="E23599" s="4" t="s">
        <v>8</v>
      </c>
    </row>
    <row r="23600" spans="1:18">
      <c r="A23600" t="n">
        <v>227721</v>
      </c>
      <c r="B23600" s="38" t="n">
        <v>51</v>
      </c>
      <c r="C23600" s="7" t="n">
        <v>4</v>
      </c>
      <c r="D23600" s="7" t="n">
        <v>1</v>
      </c>
      <c r="E23600" s="7" t="s">
        <v>238</v>
      </c>
    </row>
    <row r="23601" spans="1:23">
      <c r="A23601" t="s">
        <v>4</v>
      </c>
      <c r="B23601" s="4" t="s">
        <v>5</v>
      </c>
      <c r="C23601" s="4" t="s">
        <v>11</v>
      </c>
    </row>
    <row r="23602" spans="1:23">
      <c r="A23602" t="n">
        <v>227735</v>
      </c>
      <c r="B23602" s="29" t="n">
        <v>16</v>
      </c>
      <c r="C23602" s="7" t="n">
        <v>0</v>
      </c>
    </row>
    <row r="23603" spans="1:23">
      <c r="A23603" t="s">
        <v>4</v>
      </c>
      <c r="B23603" s="4" t="s">
        <v>5</v>
      </c>
      <c r="C23603" s="4" t="s">
        <v>11</v>
      </c>
      <c r="D23603" s="4" t="s">
        <v>7</v>
      </c>
      <c r="E23603" s="4" t="s">
        <v>15</v>
      </c>
      <c r="F23603" s="4" t="s">
        <v>55</v>
      </c>
      <c r="G23603" s="4" t="s">
        <v>7</v>
      </c>
      <c r="H23603" s="4" t="s">
        <v>7</v>
      </c>
    </row>
    <row r="23604" spans="1:23">
      <c r="A23604" t="n">
        <v>227738</v>
      </c>
      <c r="B23604" s="55" t="n">
        <v>26</v>
      </c>
      <c r="C23604" s="7" t="n">
        <v>1</v>
      </c>
      <c r="D23604" s="7" t="n">
        <v>17</v>
      </c>
      <c r="E23604" s="7" t="n">
        <v>1824</v>
      </c>
      <c r="F23604" s="7" t="s">
        <v>384</v>
      </c>
      <c r="G23604" s="7" t="n">
        <v>2</v>
      </c>
      <c r="H23604" s="7" t="n">
        <v>0</v>
      </c>
    </row>
    <row r="23605" spans="1:23">
      <c r="A23605" t="s">
        <v>4</v>
      </c>
      <c r="B23605" s="4" t="s">
        <v>5</v>
      </c>
    </row>
    <row r="23606" spans="1:23">
      <c r="A23606" t="n">
        <v>227766</v>
      </c>
      <c r="B23606" s="27" t="n">
        <v>28</v>
      </c>
    </row>
    <row r="23607" spans="1:23">
      <c r="A23607" t="s">
        <v>4</v>
      </c>
      <c r="B23607" s="4" t="s">
        <v>5</v>
      </c>
      <c r="C23607" s="4" t="s">
        <v>11</v>
      </c>
    </row>
    <row r="23608" spans="1:23">
      <c r="A23608" t="n">
        <v>227767</v>
      </c>
      <c r="B23608" s="29" t="n">
        <v>16</v>
      </c>
      <c r="C23608" s="7" t="n">
        <v>1000</v>
      </c>
    </row>
    <row r="23609" spans="1:23">
      <c r="A23609" t="s">
        <v>4</v>
      </c>
      <c r="B23609" s="4" t="s">
        <v>5</v>
      </c>
      <c r="C23609" s="4" t="s">
        <v>7</v>
      </c>
      <c r="D23609" s="4" t="s">
        <v>13</v>
      </c>
      <c r="E23609" s="4" t="s">
        <v>11</v>
      </c>
      <c r="F23609" s="4" t="s">
        <v>7</v>
      </c>
    </row>
    <row r="23610" spans="1:23">
      <c r="A23610" t="n">
        <v>227770</v>
      </c>
      <c r="B23610" s="13" t="n">
        <v>49</v>
      </c>
      <c r="C23610" s="7" t="n">
        <v>3</v>
      </c>
      <c r="D23610" s="7" t="n">
        <v>1</v>
      </c>
      <c r="E23610" s="7" t="n">
        <v>1000</v>
      </c>
      <c r="F23610" s="7" t="n">
        <v>0</v>
      </c>
    </row>
    <row r="23611" spans="1:23">
      <c r="A23611" t="s">
        <v>4</v>
      </c>
      <c r="B23611" s="4" t="s">
        <v>5</v>
      </c>
      <c r="C23611" s="4" t="s">
        <v>7</v>
      </c>
      <c r="D23611" s="4" t="s">
        <v>11</v>
      </c>
      <c r="E23611" s="4" t="s">
        <v>13</v>
      </c>
    </row>
    <row r="23612" spans="1:23">
      <c r="A23612" t="n">
        <v>227779</v>
      </c>
      <c r="B23612" s="23" t="n">
        <v>58</v>
      </c>
      <c r="C23612" s="7" t="n">
        <v>101</v>
      </c>
      <c r="D23612" s="7" t="n">
        <v>1000</v>
      </c>
      <c r="E23612" s="7" t="n">
        <v>1</v>
      </c>
    </row>
    <row r="23613" spans="1:23">
      <c r="A23613" t="s">
        <v>4</v>
      </c>
      <c r="B23613" s="4" t="s">
        <v>5</v>
      </c>
      <c r="C23613" s="4" t="s">
        <v>7</v>
      </c>
      <c r="D23613" s="4" t="s">
        <v>11</v>
      </c>
    </row>
    <row r="23614" spans="1:23">
      <c r="A23614" t="n">
        <v>227787</v>
      </c>
      <c r="B23614" s="23" t="n">
        <v>58</v>
      </c>
      <c r="C23614" s="7" t="n">
        <v>254</v>
      </c>
      <c r="D23614" s="7" t="n">
        <v>0</v>
      </c>
    </row>
    <row r="23615" spans="1:23">
      <c r="A23615" t="s">
        <v>4</v>
      </c>
      <c r="B23615" s="4" t="s">
        <v>5</v>
      </c>
      <c r="C23615" s="4" t="s">
        <v>7</v>
      </c>
      <c r="D23615" s="4" t="s">
        <v>11</v>
      </c>
      <c r="E23615" s="4" t="s">
        <v>11</v>
      </c>
      <c r="F23615" s="4" t="s">
        <v>15</v>
      </c>
    </row>
    <row r="23616" spans="1:23">
      <c r="A23616" t="n">
        <v>227791</v>
      </c>
      <c r="B23616" s="76" t="n">
        <v>84</v>
      </c>
      <c r="C23616" s="7" t="n">
        <v>1</v>
      </c>
      <c r="D23616" s="7" t="n">
        <v>0</v>
      </c>
      <c r="E23616" s="7" t="n">
        <v>0</v>
      </c>
      <c r="F23616" s="7" t="n">
        <v>0</v>
      </c>
    </row>
    <row r="23617" spans="1:8">
      <c r="A23617" t="s">
        <v>4</v>
      </c>
      <c r="B23617" s="4" t="s">
        <v>5</v>
      </c>
      <c r="C23617" s="4" t="s">
        <v>7</v>
      </c>
    </row>
    <row r="23618" spans="1:8">
      <c r="A23618" t="n">
        <v>227801</v>
      </c>
      <c r="B23618" s="49" t="n">
        <v>116</v>
      </c>
      <c r="C23618" s="7" t="n">
        <v>0</v>
      </c>
    </row>
    <row r="23619" spans="1:8">
      <c r="A23619" t="s">
        <v>4</v>
      </c>
      <c r="B23619" s="4" t="s">
        <v>5</v>
      </c>
      <c r="C23619" s="4" t="s">
        <v>7</v>
      </c>
      <c r="D23619" s="4" t="s">
        <v>11</v>
      </c>
    </row>
    <row r="23620" spans="1:8">
      <c r="A23620" t="n">
        <v>227803</v>
      </c>
      <c r="B23620" s="49" t="n">
        <v>116</v>
      </c>
      <c r="C23620" s="7" t="n">
        <v>2</v>
      </c>
      <c r="D23620" s="7" t="n">
        <v>1</v>
      </c>
    </row>
    <row r="23621" spans="1:8">
      <c r="A23621" t="s">
        <v>4</v>
      </c>
      <c r="B23621" s="4" t="s">
        <v>5</v>
      </c>
      <c r="C23621" s="4" t="s">
        <v>7</v>
      </c>
      <c r="D23621" s="4" t="s">
        <v>15</v>
      </c>
    </row>
    <row r="23622" spans="1:8">
      <c r="A23622" t="n">
        <v>227807</v>
      </c>
      <c r="B23622" s="49" t="n">
        <v>116</v>
      </c>
      <c r="C23622" s="7" t="n">
        <v>5</v>
      </c>
      <c r="D23622" s="7" t="n">
        <v>1092616192</v>
      </c>
    </row>
    <row r="23623" spans="1:8">
      <c r="A23623" t="s">
        <v>4</v>
      </c>
      <c r="B23623" s="4" t="s">
        <v>5</v>
      </c>
      <c r="C23623" s="4" t="s">
        <v>7</v>
      </c>
      <c r="D23623" s="4" t="s">
        <v>11</v>
      </c>
    </row>
    <row r="23624" spans="1:8">
      <c r="A23624" t="n">
        <v>227813</v>
      </c>
      <c r="B23624" s="49" t="n">
        <v>116</v>
      </c>
      <c r="C23624" s="7" t="n">
        <v>6</v>
      </c>
      <c r="D23624" s="7" t="n">
        <v>1</v>
      </c>
    </row>
    <row r="23625" spans="1:8">
      <c r="A23625" t="s">
        <v>4</v>
      </c>
      <c r="B23625" s="4" t="s">
        <v>5</v>
      </c>
      <c r="C23625" s="4" t="s">
        <v>7</v>
      </c>
      <c r="D23625" s="4" t="s">
        <v>7</v>
      </c>
      <c r="E23625" s="4" t="s">
        <v>13</v>
      </c>
      <c r="F23625" s="4" t="s">
        <v>13</v>
      </c>
      <c r="G23625" s="4" t="s">
        <v>13</v>
      </c>
      <c r="H23625" s="4" t="s">
        <v>11</v>
      </c>
    </row>
    <row r="23626" spans="1:8">
      <c r="A23626" t="n">
        <v>227817</v>
      </c>
      <c r="B23626" s="51" t="n">
        <v>45</v>
      </c>
      <c r="C23626" s="7" t="n">
        <v>2</v>
      </c>
      <c r="D23626" s="7" t="n">
        <v>3</v>
      </c>
      <c r="E23626" s="7" t="n">
        <v>-6.73999977111816</v>
      </c>
      <c r="F23626" s="7" t="n">
        <v>6.40999984741211</v>
      </c>
      <c r="G23626" s="7" t="n">
        <v>29.8799991607666</v>
      </c>
      <c r="H23626" s="7" t="n">
        <v>0</v>
      </c>
    </row>
    <row r="23627" spans="1:8">
      <c r="A23627" t="s">
        <v>4</v>
      </c>
      <c r="B23627" s="4" t="s">
        <v>5</v>
      </c>
      <c r="C23627" s="4" t="s">
        <v>7</v>
      </c>
      <c r="D23627" s="4" t="s">
        <v>7</v>
      </c>
      <c r="E23627" s="4" t="s">
        <v>13</v>
      </c>
      <c r="F23627" s="4" t="s">
        <v>13</v>
      </c>
      <c r="G23627" s="4" t="s">
        <v>13</v>
      </c>
      <c r="H23627" s="4" t="s">
        <v>11</v>
      </c>
      <c r="I23627" s="4" t="s">
        <v>7</v>
      </c>
    </row>
    <row r="23628" spans="1:8">
      <c r="A23628" t="n">
        <v>227834</v>
      </c>
      <c r="B23628" s="51" t="n">
        <v>45</v>
      </c>
      <c r="C23628" s="7" t="n">
        <v>4</v>
      </c>
      <c r="D23628" s="7" t="n">
        <v>3</v>
      </c>
      <c r="E23628" s="7" t="n">
        <v>15.5500001907349</v>
      </c>
      <c r="F23628" s="7" t="n">
        <v>53.7099990844727</v>
      </c>
      <c r="G23628" s="7" t="n">
        <v>360</v>
      </c>
      <c r="H23628" s="7" t="n">
        <v>0</v>
      </c>
      <c r="I23628" s="7" t="n">
        <v>0</v>
      </c>
    </row>
    <row r="23629" spans="1:8">
      <c r="A23629" t="s">
        <v>4</v>
      </c>
      <c r="B23629" s="4" t="s">
        <v>5</v>
      </c>
      <c r="C23629" s="4" t="s">
        <v>7</v>
      </c>
      <c r="D23629" s="4" t="s">
        <v>7</v>
      </c>
      <c r="E23629" s="4" t="s">
        <v>13</v>
      </c>
      <c r="F23629" s="4" t="s">
        <v>11</v>
      </c>
    </row>
    <row r="23630" spans="1:8">
      <c r="A23630" t="n">
        <v>227852</v>
      </c>
      <c r="B23630" s="51" t="n">
        <v>45</v>
      </c>
      <c r="C23630" s="7" t="n">
        <v>5</v>
      </c>
      <c r="D23630" s="7" t="n">
        <v>3</v>
      </c>
      <c r="E23630" s="7" t="n">
        <v>1.39999997615814</v>
      </c>
      <c r="F23630" s="7" t="n">
        <v>0</v>
      </c>
    </row>
    <row r="23631" spans="1:8">
      <c r="A23631" t="s">
        <v>4</v>
      </c>
      <c r="B23631" s="4" t="s">
        <v>5</v>
      </c>
      <c r="C23631" s="4" t="s">
        <v>7</v>
      </c>
      <c r="D23631" s="4" t="s">
        <v>7</v>
      </c>
      <c r="E23631" s="4" t="s">
        <v>13</v>
      </c>
      <c r="F23631" s="4" t="s">
        <v>11</v>
      </c>
    </row>
    <row r="23632" spans="1:8">
      <c r="A23632" t="n">
        <v>227861</v>
      </c>
      <c r="B23632" s="51" t="n">
        <v>45</v>
      </c>
      <c r="C23632" s="7" t="n">
        <v>11</v>
      </c>
      <c r="D23632" s="7" t="n">
        <v>3</v>
      </c>
      <c r="E23632" s="7" t="n">
        <v>40.2999992370605</v>
      </c>
      <c r="F23632" s="7" t="n">
        <v>0</v>
      </c>
    </row>
    <row r="23633" spans="1:9">
      <c r="A23633" t="s">
        <v>4</v>
      </c>
      <c r="B23633" s="4" t="s">
        <v>5</v>
      </c>
      <c r="C23633" s="4" t="s">
        <v>7</v>
      </c>
      <c r="D23633" s="4" t="s">
        <v>7</v>
      </c>
      <c r="E23633" s="4" t="s">
        <v>13</v>
      </c>
      <c r="F23633" s="4" t="s">
        <v>13</v>
      </c>
      <c r="G23633" s="4" t="s">
        <v>13</v>
      </c>
      <c r="H23633" s="4" t="s">
        <v>11</v>
      </c>
    </row>
    <row r="23634" spans="1:9">
      <c r="A23634" t="n">
        <v>227870</v>
      </c>
      <c r="B23634" s="51" t="n">
        <v>45</v>
      </c>
      <c r="C23634" s="7" t="n">
        <v>2</v>
      </c>
      <c r="D23634" s="7" t="n">
        <v>3</v>
      </c>
      <c r="E23634" s="7" t="n">
        <v>-6.34000015258789</v>
      </c>
      <c r="F23634" s="7" t="n">
        <v>6.59000015258789</v>
      </c>
      <c r="G23634" s="7" t="n">
        <v>28.8899993896484</v>
      </c>
      <c r="H23634" s="7" t="n">
        <v>6000</v>
      </c>
    </row>
    <row r="23635" spans="1:9">
      <c r="A23635" t="s">
        <v>4</v>
      </c>
      <c r="B23635" s="4" t="s">
        <v>5</v>
      </c>
      <c r="C23635" s="4" t="s">
        <v>7</v>
      </c>
      <c r="D23635" s="4" t="s">
        <v>7</v>
      </c>
      <c r="E23635" s="4" t="s">
        <v>13</v>
      </c>
      <c r="F23635" s="4" t="s">
        <v>13</v>
      </c>
      <c r="G23635" s="4" t="s">
        <v>13</v>
      </c>
      <c r="H23635" s="4" t="s">
        <v>11</v>
      </c>
      <c r="I23635" s="4" t="s">
        <v>7</v>
      </c>
    </row>
    <row r="23636" spans="1:9">
      <c r="A23636" t="n">
        <v>227887</v>
      </c>
      <c r="B23636" s="51" t="n">
        <v>45</v>
      </c>
      <c r="C23636" s="7" t="n">
        <v>4</v>
      </c>
      <c r="D23636" s="7" t="n">
        <v>3</v>
      </c>
      <c r="E23636" s="7" t="n">
        <v>10.7700004577637</v>
      </c>
      <c r="F23636" s="7" t="n">
        <v>43.6100006103516</v>
      </c>
      <c r="G23636" s="7" t="n">
        <v>360</v>
      </c>
      <c r="H23636" s="7" t="n">
        <v>6000</v>
      </c>
      <c r="I23636" s="7" t="n">
        <v>1</v>
      </c>
    </row>
    <row r="23637" spans="1:9">
      <c r="A23637" t="s">
        <v>4</v>
      </c>
      <c r="B23637" s="4" t="s">
        <v>5</v>
      </c>
      <c r="C23637" s="4" t="s">
        <v>7</v>
      </c>
      <c r="D23637" s="4" t="s">
        <v>11</v>
      </c>
    </row>
    <row r="23638" spans="1:9">
      <c r="A23638" t="n">
        <v>227905</v>
      </c>
      <c r="B23638" s="23" t="n">
        <v>58</v>
      </c>
      <c r="C23638" s="7" t="n">
        <v>255</v>
      </c>
      <c r="D23638" s="7" t="n">
        <v>0</v>
      </c>
    </row>
    <row r="23639" spans="1:9">
      <c r="A23639" t="s">
        <v>4</v>
      </c>
      <c r="B23639" s="4" t="s">
        <v>5</v>
      </c>
      <c r="C23639" s="4" t="s">
        <v>7</v>
      </c>
      <c r="D23639" s="4" t="s">
        <v>11</v>
      </c>
    </row>
    <row r="23640" spans="1:9">
      <c r="A23640" t="n">
        <v>227909</v>
      </c>
      <c r="B23640" s="51" t="n">
        <v>45</v>
      </c>
      <c r="C23640" s="7" t="n">
        <v>7</v>
      </c>
      <c r="D23640" s="7" t="n">
        <v>255</v>
      </c>
    </row>
    <row r="23641" spans="1:9">
      <c r="A23641" t="s">
        <v>4</v>
      </c>
      <c r="B23641" s="4" t="s">
        <v>5</v>
      </c>
      <c r="C23641" s="4" t="s">
        <v>7</v>
      </c>
      <c r="D23641" s="4" t="s">
        <v>11</v>
      </c>
      <c r="E23641" s="4" t="s">
        <v>13</v>
      </c>
    </row>
    <row r="23642" spans="1:9">
      <c r="A23642" t="n">
        <v>227913</v>
      </c>
      <c r="B23642" s="23" t="n">
        <v>58</v>
      </c>
      <c r="C23642" s="7" t="n">
        <v>0</v>
      </c>
      <c r="D23642" s="7" t="n">
        <v>2000</v>
      </c>
      <c r="E23642" s="7" t="n">
        <v>1</v>
      </c>
    </row>
    <row r="23643" spans="1:9">
      <c r="A23643" t="s">
        <v>4</v>
      </c>
      <c r="B23643" s="4" t="s">
        <v>5</v>
      </c>
      <c r="C23643" s="4" t="s">
        <v>7</v>
      </c>
      <c r="D23643" s="4" t="s">
        <v>11</v>
      </c>
    </row>
    <row r="23644" spans="1:9">
      <c r="A23644" t="n">
        <v>227921</v>
      </c>
      <c r="B23644" s="23" t="n">
        <v>58</v>
      </c>
      <c r="C23644" s="7" t="n">
        <v>255</v>
      </c>
      <c r="D23644" s="7" t="n">
        <v>0</v>
      </c>
    </row>
    <row r="23645" spans="1:9">
      <c r="A23645" t="s">
        <v>4</v>
      </c>
      <c r="B23645" s="4" t="s">
        <v>5</v>
      </c>
      <c r="C23645" s="4" t="s">
        <v>7</v>
      </c>
      <c r="D23645" s="4" t="s">
        <v>11</v>
      </c>
      <c r="E23645" s="4" t="s">
        <v>11</v>
      </c>
      <c r="F23645" s="4" t="s">
        <v>15</v>
      </c>
      <c r="G23645" s="4" t="s">
        <v>15</v>
      </c>
      <c r="H23645" s="4" t="s">
        <v>15</v>
      </c>
    </row>
    <row r="23646" spans="1:9">
      <c r="A23646" t="n">
        <v>227925</v>
      </c>
      <c r="B23646" s="77" t="n">
        <v>97</v>
      </c>
      <c r="C23646" s="7" t="n">
        <v>7</v>
      </c>
      <c r="D23646" s="7" t="n">
        <v>0</v>
      </c>
      <c r="E23646" s="7" t="n">
        <v>0</v>
      </c>
      <c r="F23646" s="7" t="n">
        <v>0</v>
      </c>
      <c r="G23646" s="7" t="n">
        <v>0</v>
      </c>
      <c r="H23646" s="7" t="n">
        <v>0</v>
      </c>
    </row>
    <row r="23647" spans="1:9">
      <c r="A23647" t="s">
        <v>4</v>
      </c>
      <c r="B23647" s="4" t="s">
        <v>5</v>
      </c>
      <c r="C23647" s="4" t="s">
        <v>7</v>
      </c>
    </row>
    <row r="23648" spans="1:9">
      <c r="A23648" t="n">
        <v>227943</v>
      </c>
      <c r="B23648" s="28" t="n">
        <v>78</v>
      </c>
      <c r="C23648" s="7" t="n">
        <v>255</v>
      </c>
    </row>
    <row r="23649" spans="1:9">
      <c r="A23649" t="s">
        <v>4</v>
      </c>
      <c r="B23649" s="4" t="s">
        <v>5</v>
      </c>
      <c r="C23649" s="4" t="s">
        <v>7</v>
      </c>
      <c r="D23649" s="4" t="s">
        <v>11</v>
      </c>
      <c r="E23649" s="4" t="s">
        <v>7</v>
      </c>
    </row>
    <row r="23650" spans="1:9">
      <c r="A23650" t="n">
        <v>227945</v>
      </c>
      <c r="B23650" s="40" t="n">
        <v>36</v>
      </c>
      <c r="C23650" s="7" t="n">
        <v>9</v>
      </c>
      <c r="D23650" s="7" t="n">
        <v>0</v>
      </c>
      <c r="E23650" s="7" t="n">
        <v>0</v>
      </c>
    </row>
    <row r="23651" spans="1:9">
      <c r="A23651" t="s">
        <v>4</v>
      </c>
      <c r="B23651" s="4" t="s">
        <v>5</v>
      </c>
      <c r="C23651" s="4" t="s">
        <v>7</v>
      </c>
      <c r="D23651" s="4" t="s">
        <v>11</v>
      </c>
      <c r="E23651" s="4" t="s">
        <v>7</v>
      </c>
    </row>
    <row r="23652" spans="1:9">
      <c r="A23652" t="n">
        <v>227950</v>
      </c>
      <c r="B23652" s="40" t="n">
        <v>36</v>
      </c>
      <c r="C23652" s="7" t="n">
        <v>9</v>
      </c>
      <c r="D23652" s="7" t="n">
        <v>1</v>
      </c>
      <c r="E23652" s="7" t="n">
        <v>0</v>
      </c>
    </row>
    <row r="23653" spans="1:9">
      <c r="A23653" t="s">
        <v>4</v>
      </c>
      <c r="B23653" s="4" t="s">
        <v>5</v>
      </c>
      <c r="C23653" s="4" t="s">
        <v>11</v>
      </c>
      <c r="D23653" s="4" t="s">
        <v>13</v>
      </c>
      <c r="E23653" s="4" t="s">
        <v>13</v>
      </c>
      <c r="F23653" s="4" t="s">
        <v>13</v>
      </c>
      <c r="G23653" s="4" t="s">
        <v>13</v>
      </c>
    </row>
    <row r="23654" spans="1:9">
      <c r="A23654" t="n">
        <v>227955</v>
      </c>
      <c r="B23654" s="36" t="n">
        <v>46</v>
      </c>
      <c r="C23654" s="7" t="n">
        <v>61456</v>
      </c>
      <c r="D23654" s="7" t="n">
        <v>0</v>
      </c>
      <c r="E23654" s="7" t="n">
        <v>0</v>
      </c>
      <c r="F23654" s="7" t="n">
        <v>0</v>
      </c>
      <c r="G23654" s="7" t="n">
        <v>0</v>
      </c>
    </row>
    <row r="23655" spans="1:9">
      <c r="A23655" t="s">
        <v>4</v>
      </c>
      <c r="B23655" s="4" t="s">
        <v>5</v>
      </c>
      <c r="C23655" s="4" t="s">
        <v>7</v>
      </c>
      <c r="D23655" s="4" t="s">
        <v>8</v>
      </c>
    </row>
    <row r="23656" spans="1:9">
      <c r="A23656" t="n">
        <v>227974</v>
      </c>
      <c r="B23656" s="6" t="n">
        <v>2</v>
      </c>
      <c r="C23656" s="7" t="n">
        <v>10</v>
      </c>
      <c r="D23656" s="7" t="s">
        <v>1834</v>
      </c>
    </row>
    <row r="23657" spans="1:9">
      <c r="A23657" t="s">
        <v>4</v>
      </c>
      <c r="B23657" s="4" t="s">
        <v>5</v>
      </c>
    </row>
    <row r="23658" spans="1:9">
      <c r="A23658" t="n">
        <v>227995</v>
      </c>
      <c r="B23658" s="5" t="n">
        <v>1</v>
      </c>
    </row>
    <row r="23659" spans="1:9" s="3" customFormat="1" customHeight="0">
      <c r="A23659" s="3" t="s">
        <v>2</v>
      </c>
      <c r="B23659" s="3" t="s">
        <v>1835</v>
      </c>
    </row>
    <row r="23660" spans="1:9">
      <c r="A23660" t="s">
        <v>4</v>
      </c>
      <c r="B23660" s="4" t="s">
        <v>5</v>
      </c>
      <c r="C23660" s="4" t="s">
        <v>7</v>
      </c>
      <c r="D23660" s="4" t="s">
        <v>7</v>
      </c>
      <c r="E23660" s="4" t="s">
        <v>7</v>
      </c>
      <c r="F23660" s="4" t="s">
        <v>7</v>
      </c>
    </row>
    <row r="23661" spans="1:9">
      <c r="A23661" t="n">
        <v>227996</v>
      </c>
      <c r="B23661" s="9" t="n">
        <v>14</v>
      </c>
      <c r="C23661" s="7" t="n">
        <v>2</v>
      </c>
      <c r="D23661" s="7" t="n">
        <v>0</v>
      </c>
      <c r="E23661" s="7" t="n">
        <v>0</v>
      </c>
      <c r="F23661" s="7" t="n">
        <v>0</v>
      </c>
    </row>
    <row r="23662" spans="1:9">
      <c r="A23662" t="s">
        <v>4</v>
      </c>
      <c r="B23662" s="4" t="s">
        <v>5</v>
      </c>
      <c r="C23662" s="4" t="s">
        <v>7</v>
      </c>
      <c r="D23662" s="20" t="s">
        <v>35</v>
      </c>
      <c r="E23662" s="4" t="s">
        <v>5</v>
      </c>
      <c r="F23662" s="4" t="s">
        <v>7</v>
      </c>
      <c r="G23662" s="4" t="s">
        <v>11</v>
      </c>
      <c r="H23662" s="20" t="s">
        <v>36</v>
      </c>
      <c r="I23662" s="4" t="s">
        <v>7</v>
      </c>
      <c r="J23662" s="4" t="s">
        <v>15</v>
      </c>
      <c r="K23662" s="4" t="s">
        <v>7</v>
      </c>
      <c r="L23662" s="4" t="s">
        <v>7</v>
      </c>
      <c r="M23662" s="20" t="s">
        <v>35</v>
      </c>
      <c r="N23662" s="4" t="s">
        <v>5</v>
      </c>
      <c r="O23662" s="4" t="s">
        <v>7</v>
      </c>
      <c r="P23662" s="4" t="s">
        <v>11</v>
      </c>
      <c r="Q23662" s="20" t="s">
        <v>36</v>
      </c>
      <c r="R23662" s="4" t="s">
        <v>7</v>
      </c>
      <c r="S23662" s="4" t="s">
        <v>15</v>
      </c>
      <c r="T23662" s="4" t="s">
        <v>7</v>
      </c>
      <c r="U23662" s="4" t="s">
        <v>7</v>
      </c>
      <c r="V23662" s="4" t="s">
        <v>7</v>
      </c>
      <c r="W23662" s="4" t="s">
        <v>12</v>
      </c>
    </row>
    <row r="23663" spans="1:9">
      <c r="A23663" t="n">
        <v>228001</v>
      </c>
      <c r="B23663" s="10" t="n">
        <v>5</v>
      </c>
      <c r="C23663" s="7" t="n">
        <v>28</v>
      </c>
      <c r="D23663" s="20" t="s">
        <v>3</v>
      </c>
      <c r="E23663" s="8" t="n">
        <v>162</v>
      </c>
      <c r="F23663" s="7" t="n">
        <v>3</v>
      </c>
      <c r="G23663" s="7" t="n">
        <v>36867</v>
      </c>
      <c r="H23663" s="20" t="s">
        <v>3</v>
      </c>
      <c r="I23663" s="7" t="n">
        <v>0</v>
      </c>
      <c r="J23663" s="7" t="n">
        <v>1</v>
      </c>
      <c r="K23663" s="7" t="n">
        <v>2</v>
      </c>
      <c r="L23663" s="7" t="n">
        <v>28</v>
      </c>
      <c r="M23663" s="20" t="s">
        <v>3</v>
      </c>
      <c r="N23663" s="8" t="n">
        <v>162</v>
      </c>
      <c r="O23663" s="7" t="n">
        <v>3</v>
      </c>
      <c r="P23663" s="7" t="n">
        <v>36867</v>
      </c>
      <c r="Q23663" s="20" t="s">
        <v>3</v>
      </c>
      <c r="R23663" s="7" t="n">
        <v>0</v>
      </c>
      <c r="S23663" s="7" t="n">
        <v>2</v>
      </c>
      <c r="T23663" s="7" t="n">
        <v>2</v>
      </c>
      <c r="U23663" s="7" t="n">
        <v>11</v>
      </c>
      <c r="V23663" s="7" t="n">
        <v>1</v>
      </c>
      <c r="W23663" s="11" t="n">
        <f t="normal" ca="1">A23667</f>
        <v>0</v>
      </c>
    </row>
    <row r="23664" spans="1:9">
      <c r="A23664" t="s">
        <v>4</v>
      </c>
      <c r="B23664" s="4" t="s">
        <v>5</v>
      </c>
      <c r="C23664" s="4" t="s">
        <v>7</v>
      </c>
      <c r="D23664" s="4" t="s">
        <v>11</v>
      </c>
      <c r="E23664" s="4" t="s">
        <v>13</v>
      </c>
    </row>
    <row r="23665" spans="1:23">
      <c r="A23665" t="n">
        <v>228030</v>
      </c>
      <c r="B23665" s="23" t="n">
        <v>58</v>
      </c>
      <c r="C23665" s="7" t="n">
        <v>0</v>
      </c>
      <c r="D23665" s="7" t="n">
        <v>0</v>
      </c>
      <c r="E23665" s="7" t="n">
        <v>1</v>
      </c>
    </row>
    <row r="23666" spans="1:23">
      <c r="A23666" t="s">
        <v>4</v>
      </c>
      <c r="B23666" s="4" t="s">
        <v>5</v>
      </c>
      <c r="C23666" s="4" t="s">
        <v>7</v>
      </c>
      <c r="D23666" s="20" t="s">
        <v>35</v>
      </c>
      <c r="E23666" s="4" t="s">
        <v>5</v>
      </c>
      <c r="F23666" s="4" t="s">
        <v>7</v>
      </c>
      <c r="G23666" s="4" t="s">
        <v>11</v>
      </c>
      <c r="H23666" s="20" t="s">
        <v>36</v>
      </c>
      <c r="I23666" s="4" t="s">
        <v>7</v>
      </c>
      <c r="J23666" s="4" t="s">
        <v>15</v>
      </c>
      <c r="K23666" s="4" t="s">
        <v>7</v>
      </c>
      <c r="L23666" s="4" t="s">
        <v>7</v>
      </c>
      <c r="M23666" s="20" t="s">
        <v>35</v>
      </c>
      <c r="N23666" s="4" t="s">
        <v>5</v>
      </c>
      <c r="O23666" s="4" t="s">
        <v>7</v>
      </c>
      <c r="P23666" s="4" t="s">
        <v>11</v>
      </c>
      <c r="Q23666" s="20" t="s">
        <v>36</v>
      </c>
      <c r="R23666" s="4" t="s">
        <v>7</v>
      </c>
      <c r="S23666" s="4" t="s">
        <v>15</v>
      </c>
      <c r="T23666" s="4" t="s">
        <v>7</v>
      </c>
      <c r="U23666" s="4" t="s">
        <v>7</v>
      </c>
      <c r="V23666" s="4" t="s">
        <v>7</v>
      </c>
      <c r="W23666" s="4" t="s">
        <v>12</v>
      </c>
    </row>
    <row r="23667" spans="1:23">
      <c r="A23667" t="n">
        <v>228038</v>
      </c>
      <c r="B23667" s="10" t="n">
        <v>5</v>
      </c>
      <c r="C23667" s="7" t="n">
        <v>28</v>
      </c>
      <c r="D23667" s="20" t="s">
        <v>3</v>
      </c>
      <c r="E23667" s="8" t="n">
        <v>162</v>
      </c>
      <c r="F23667" s="7" t="n">
        <v>3</v>
      </c>
      <c r="G23667" s="7" t="n">
        <v>36867</v>
      </c>
      <c r="H23667" s="20" t="s">
        <v>3</v>
      </c>
      <c r="I23667" s="7" t="n">
        <v>0</v>
      </c>
      <c r="J23667" s="7" t="n">
        <v>1</v>
      </c>
      <c r="K23667" s="7" t="n">
        <v>3</v>
      </c>
      <c r="L23667" s="7" t="n">
        <v>28</v>
      </c>
      <c r="M23667" s="20" t="s">
        <v>3</v>
      </c>
      <c r="N23667" s="8" t="n">
        <v>162</v>
      </c>
      <c r="O23667" s="7" t="n">
        <v>3</v>
      </c>
      <c r="P23667" s="7" t="n">
        <v>36867</v>
      </c>
      <c r="Q23667" s="20" t="s">
        <v>3</v>
      </c>
      <c r="R23667" s="7" t="n">
        <v>0</v>
      </c>
      <c r="S23667" s="7" t="n">
        <v>2</v>
      </c>
      <c r="T23667" s="7" t="n">
        <v>3</v>
      </c>
      <c r="U23667" s="7" t="n">
        <v>9</v>
      </c>
      <c r="V23667" s="7" t="n">
        <v>1</v>
      </c>
      <c r="W23667" s="11" t="n">
        <f t="normal" ca="1">A23677</f>
        <v>0</v>
      </c>
    </row>
    <row r="23668" spans="1:23">
      <c r="A23668" t="s">
        <v>4</v>
      </c>
      <c r="B23668" s="4" t="s">
        <v>5</v>
      </c>
      <c r="C23668" s="4" t="s">
        <v>7</v>
      </c>
      <c r="D23668" s="20" t="s">
        <v>35</v>
      </c>
      <c r="E23668" s="4" t="s">
        <v>5</v>
      </c>
      <c r="F23668" s="4" t="s">
        <v>11</v>
      </c>
      <c r="G23668" s="4" t="s">
        <v>7</v>
      </c>
      <c r="H23668" s="4" t="s">
        <v>7</v>
      </c>
      <c r="I23668" s="4" t="s">
        <v>8</v>
      </c>
      <c r="J23668" s="20" t="s">
        <v>36</v>
      </c>
      <c r="K23668" s="4" t="s">
        <v>7</v>
      </c>
      <c r="L23668" s="4" t="s">
        <v>7</v>
      </c>
      <c r="M23668" s="20" t="s">
        <v>35</v>
      </c>
      <c r="N23668" s="4" t="s">
        <v>5</v>
      </c>
      <c r="O23668" s="4" t="s">
        <v>7</v>
      </c>
      <c r="P23668" s="20" t="s">
        <v>36</v>
      </c>
      <c r="Q23668" s="4" t="s">
        <v>7</v>
      </c>
      <c r="R23668" s="4" t="s">
        <v>15</v>
      </c>
      <c r="S23668" s="4" t="s">
        <v>7</v>
      </c>
      <c r="T23668" s="4" t="s">
        <v>7</v>
      </c>
      <c r="U23668" s="4" t="s">
        <v>7</v>
      </c>
      <c r="V23668" s="20" t="s">
        <v>35</v>
      </c>
      <c r="W23668" s="4" t="s">
        <v>5</v>
      </c>
      <c r="X23668" s="4" t="s">
        <v>7</v>
      </c>
      <c r="Y23668" s="20" t="s">
        <v>36</v>
      </c>
      <c r="Z23668" s="4" t="s">
        <v>7</v>
      </c>
      <c r="AA23668" s="4" t="s">
        <v>15</v>
      </c>
      <c r="AB23668" s="4" t="s">
        <v>7</v>
      </c>
      <c r="AC23668" s="4" t="s">
        <v>7</v>
      </c>
      <c r="AD23668" s="4" t="s">
        <v>7</v>
      </c>
      <c r="AE23668" s="4" t="s">
        <v>12</v>
      </c>
    </row>
    <row r="23669" spans="1:23">
      <c r="A23669" t="n">
        <v>228067</v>
      </c>
      <c r="B23669" s="10" t="n">
        <v>5</v>
      </c>
      <c r="C23669" s="7" t="n">
        <v>28</v>
      </c>
      <c r="D23669" s="20" t="s">
        <v>3</v>
      </c>
      <c r="E23669" s="41" t="n">
        <v>47</v>
      </c>
      <c r="F23669" s="7" t="n">
        <v>61456</v>
      </c>
      <c r="G23669" s="7" t="n">
        <v>2</v>
      </c>
      <c r="H23669" s="7" t="n">
        <v>0</v>
      </c>
      <c r="I23669" s="7" t="s">
        <v>105</v>
      </c>
      <c r="J23669" s="20" t="s">
        <v>3</v>
      </c>
      <c r="K23669" s="7" t="n">
        <v>8</v>
      </c>
      <c r="L23669" s="7" t="n">
        <v>28</v>
      </c>
      <c r="M23669" s="20" t="s">
        <v>3</v>
      </c>
      <c r="N23669" s="45" t="n">
        <v>74</v>
      </c>
      <c r="O23669" s="7" t="n">
        <v>65</v>
      </c>
      <c r="P23669" s="20" t="s">
        <v>3</v>
      </c>
      <c r="Q23669" s="7" t="n">
        <v>0</v>
      </c>
      <c r="R23669" s="7" t="n">
        <v>1</v>
      </c>
      <c r="S23669" s="7" t="n">
        <v>3</v>
      </c>
      <c r="T23669" s="7" t="n">
        <v>9</v>
      </c>
      <c r="U23669" s="7" t="n">
        <v>28</v>
      </c>
      <c r="V23669" s="20" t="s">
        <v>3</v>
      </c>
      <c r="W23669" s="45" t="n">
        <v>74</v>
      </c>
      <c r="X23669" s="7" t="n">
        <v>65</v>
      </c>
      <c r="Y23669" s="20" t="s">
        <v>3</v>
      </c>
      <c r="Z23669" s="7" t="n">
        <v>0</v>
      </c>
      <c r="AA23669" s="7" t="n">
        <v>2</v>
      </c>
      <c r="AB23669" s="7" t="n">
        <v>3</v>
      </c>
      <c r="AC23669" s="7" t="n">
        <v>9</v>
      </c>
      <c r="AD23669" s="7" t="n">
        <v>1</v>
      </c>
      <c r="AE23669" s="11" t="n">
        <f t="normal" ca="1">A23673</f>
        <v>0</v>
      </c>
    </row>
    <row r="23670" spans="1:23">
      <c r="A23670" t="s">
        <v>4</v>
      </c>
      <c r="B23670" s="4" t="s">
        <v>5</v>
      </c>
      <c r="C23670" s="4" t="s">
        <v>11</v>
      </c>
      <c r="D23670" s="4" t="s">
        <v>7</v>
      </c>
      <c r="E23670" s="4" t="s">
        <v>7</v>
      </c>
      <c r="F23670" s="4" t="s">
        <v>8</v>
      </c>
    </row>
    <row r="23671" spans="1:23">
      <c r="A23671" t="n">
        <v>228115</v>
      </c>
      <c r="B23671" s="41" t="n">
        <v>47</v>
      </c>
      <c r="C23671" s="7" t="n">
        <v>61456</v>
      </c>
      <c r="D23671" s="7" t="n">
        <v>0</v>
      </c>
      <c r="E23671" s="7" t="n">
        <v>0</v>
      </c>
      <c r="F23671" s="7" t="s">
        <v>106</v>
      </c>
    </row>
    <row r="23672" spans="1:23">
      <c r="A23672" t="s">
        <v>4</v>
      </c>
      <c r="B23672" s="4" t="s">
        <v>5</v>
      </c>
      <c r="C23672" s="4" t="s">
        <v>7</v>
      </c>
      <c r="D23672" s="4" t="s">
        <v>11</v>
      </c>
      <c r="E23672" s="4" t="s">
        <v>13</v>
      </c>
    </row>
    <row r="23673" spans="1:23">
      <c r="A23673" t="n">
        <v>228128</v>
      </c>
      <c r="B23673" s="23" t="n">
        <v>58</v>
      </c>
      <c r="C23673" s="7" t="n">
        <v>0</v>
      </c>
      <c r="D23673" s="7" t="n">
        <v>300</v>
      </c>
      <c r="E23673" s="7" t="n">
        <v>1</v>
      </c>
    </row>
    <row r="23674" spans="1:23">
      <c r="A23674" t="s">
        <v>4</v>
      </c>
      <c r="B23674" s="4" t="s">
        <v>5</v>
      </c>
      <c r="C23674" s="4" t="s">
        <v>7</v>
      </c>
      <c r="D23674" s="4" t="s">
        <v>11</v>
      </c>
    </row>
    <row r="23675" spans="1:23">
      <c r="A23675" t="n">
        <v>228136</v>
      </c>
      <c r="B23675" s="23" t="n">
        <v>58</v>
      </c>
      <c r="C23675" s="7" t="n">
        <v>255</v>
      </c>
      <c r="D23675" s="7" t="n">
        <v>0</v>
      </c>
    </row>
    <row r="23676" spans="1:23">
      <c r="A23676" t="s">
        <v>4</v>
      </c>
      <c r="B23676" s="4" t="s">
        <v>5</v>
      </c>
      <c r="C23676" s="4" t="s">
        <v>7</v>
      </c>
      <c r="D23676" s="4" t="s">
        <v>7</v>
      </c>
      <c r="E23676" s="4" t="s">
        <v>7</v>
      </c>
      <c r="F23676" s="4" t="s">
        <v>7</v>
      </c>
    </row>
    <row r="23677" spans="1:23">
      <c r="A23677" t="n">
        <v>228140</v>
      </c>
      <c r="B23677" s="9" t="n">
        <v>14</v>
      </c>
      <c r="C23677" s="7" t="n">
        <v>0</v>
      </c>
      <c r="D23677" s="7" t="n">
        <v>0</v>
      </c>
      <c r="E23677" s="7" t="n">
        <v>0</v>
      </c>
      <c r="F23677" s="7" t="n">
        <v>64</v>
      </c>
    </row>
    <row r="23678" spans="1:23">
      <c r="A23678" t="s">
        <v>4</v>
      </c>
      <c r="B23678" s="4" t="s">
        <v>5</v>
      </c>
      <c r="C23678" s="4" t="s">
        <v>7</v>
      </c>
      <c r="D23678" s="4" t="s">
        <v>11</v>
      </c>
    </row>
    <row r="23679" spans="1:23">
      <c r="A23679" t="n">
        <v>228145</v>
      </c>
      <c r="B23679" s="22" t="n">
        <v>22</v>
      </c>
      <c r="C23679" s="7" t="n">
        <v>0</v>
      </c>
      <c r="D23679" s="7" t="n">
        <v>36867</v>
      </c>
    </row>
    <row r="23680" spans="1:23">
      <c r="A23680" t="s">
        <v>4</v>
      </c>
      <c r="B23680" s="4" t="s">
        <v>5</v>
      </c>
      <c r="C23680" s="4" t="s">
        <v>7</v>
      </c>
      <c r="D23680" s="4" t="s">
        <v>11</v>
      </c>
    </row>
    <row r="23681" spans="1:31">
      <c r="A23681" t="n">
        <v>228149</v>
      </c>
      <c r="B23681" s="23" t="n">
        <v>58</v>
      </c>
      <c r="C23681" s="7" t="n">
        <v>5</v>
      </c>
      <c r="D23681" s="7" t="n">
        <v>300</v>
      </c>
    </row>
    <row r="23682" spans="1:31">
      <c r="A23682" t="s">
        <v>4</v>
      </c>
      <c r="B23682" s="4" t="s">
        <v>5</v>
      </c>
      <c r="C23682" s="4" t="s">
        <v>13</v>
      </c>
      <c r="D23682" s="4" t="s">
        <v>11</v>
      </c>
    </row>
    <row r="23683" spans="1:31">
      <c r="A23683" t="n">
        <v>228153</v>
      </c>
      <c r="B23683" s="46" t="n">
        <v>103</v>
      </c>
      <c r="C23683" s="7" t="n">
        <v>0</v>
      </c>
      <c r="D23683" s="7" t="n">
        <v>300</v>
      </c>
    </row>
    <row r="23684" spans="1:31">
      <c r="A23684" t="s">
        <v>4</v>
      </c>
      <c r="B23684" s="4" t="s">
        <v>5</v>
      </c>
      <c r="C23684" s="4" t="s">
        <v>7</v>
      </c>
    </row>
    <row r="23685" spans="1:31">
      <c r="A23685" t="n">
        <v>228160</v>
      </c>
      <c r="B23685" s="47" t="n">
        <v>64</v>
      </c>
      <c r="C23685" s="7" t="n">
        <v>7</v>
      </c>
    </row>
    <row r="23686" spans="1:31">
      <c r="A23686" t="s">
        <v>4</v>
      </c>
      <c r="B23686" s="4" t="s">
        <v>5</v>
      </c>
      <c r="C23686" s="4" t="s">
        <v>7</v>
      </c>
      <c r="D23686" s="4" t="s">
        <v>11</v>
      </c>
    </row>
    <row r="23687" spans="1:31">
      <c r="A23687" t="n">
        <v>228162</v>
      </c>
      <c r="B23687" s="48" t="n">
        <v>72</v>
      </c>
      <c r="C23687" s="7" t="n">
        <v>5</v>
      </c>
      <c r="D23687" s="7" t="n">
        <v>0</v>
      </c>
    </row>
    <row r="23688" spans="1:31">
      <c r="A23688" t="s">
        <v>4</v>
      </c>
      <c r="B23688" s="4" t="s">
        <v>5</v>
      </c>
      <c r="C23688" s="4" t="s">
        <v>7</v>
      </c>
      <c r="D23688" s="20" t="s">
        <v>35</v>
      </c>
      <c r="E23688" s="4" t="s">
        <v>5</v>
      </c>
      <c r="F23688" s="4" t="s">
        <v>7</v>
      </c>
      <c r="G23688" s="4" t="s">
        <v>11</v>
      </c>
      <c r="H23688" s="20" t="s">
        <v>36</v>
      </c>
      <c r="I23688" s="4" t="s">
        <v>7</v>
      </c>
      <c r="J23688" s="4" t="s">
        <v>15</v>
      </c>
      <c r="K23688" s="4" t="s">
        <v>7</v>
      </c>
      <c r="L23688" s="4" t="s">
        <v>7</v>
      </c>
      <c r="M23688" s="4" t="s">
        <v>12</v>
      </c>
    </row>
    <row r="23689" spans="1:31">
      <c r="A23689" t="n">
        <v>228166</v>
      </c>
      <c r="B23689" s="10" t="n">
        <v>5</v>
      </c>
      <c r="C23689" s="7" t="n">
        <v>28</v>
      </c>
      <c r="D23689" s="20" t="s">
        <v>3</v>
      </c>
      <c r="E23689" s="8" t="n">
        <v>162</v>
      </c>
      <c r="F23689" s="7" t="n">
        <v>4</v>
      </c>
      <c r="G23689" s="7" t="n">
        <v>36867</v>
      </c>
      <c r="H23689" s="20" t="s">
        <v>3</v>
      </c>
      <c r="I23689" s="7" t="n">
        <v>0</v>
      </c>
      <c r="J23689" s="7" t="n">
        <v>1</v>
      </c>
      <c r="K23689" s="7" t="n">
        <v>2</v>
      </c>
      <c r="L23689" s="7" t="n">
        <v>1</v>
      </c>
      <c r="M23689" s="11" t="n">
        <f t="normal" ca="1">A23695</f>
        <v>0</v>
      </c>
    </row>
    <row r="23690" spans="1:31">
      <c r="A23690" t="s">
        <v>4</v>
      </c>
      <c r="B23690" s="4" t="s">
        <v>5</v>
      </c>
      <c r="C23690" s="4" t="s">
        <v>7</v>
      </c>
      <c r="D23690" s="4" t="s">
        <v>8</v>
      </c>
    </row>
    <row r="23691" spans="1:31">
      <c r="A23691" t="n">
        <v>228183</v>
      </c>
      <c r="B23691" s="6" t="n">
        <v>2</v>
      </c>
      <c r="C23691" s="7" t="n">
        <v>10</v>
      </c>
      <c r="D23691" s="7" t="s">
        <v>107</v>
      </c>
    </row>
    <row r="23692" spans="1:31">
      <c r="A23692" t="s">
        <v>4</v>
      </c>
      <c r="B23692" s="4" t="s">
        <v>5</v>
      </c>
      <c r="C23692" s="4" t="s">
        <v>11</v>
      </c>
    </row>
    <row r="23693" spans="1:31">
      <c r="A23693" t="n">
        <v>228200</v>
      </c>
      <c r="B23693" s="29" t="n">
        <v>16</v>
      </c>
      <c r="C23693" s="7" t="n">
        <v>0</v>
      </c>
    </row>
    <row r="23694" spans="1:31">
      <c r="A23694" t="s">
        <v>4</v>
      </c>
      <c r="B23694" s="4" t="s">
        <v>5</v>
      </c>
      <c r="C23694" s="4" t="s">
        <v>7</v>
      </c>
      <c r="D23694" s="4" t="s">
        <v>11</v>
      </c>
      <c r="E23694" s="4" t="s">
        <v>15</v>
      </c>
      <c r="F23694" s="4" t="s">
        <v>11</v>
      </c>
      <c r="G23694" s="4" t="s">
        <v>15</v>
      </c>
      <c r="H23694" s="4" t="s">
        <v>7</v>
      </c>
    </row>
    <row r="23695" spans="1:31">
      <c r="A23695" t="n">
        <v>228203</v>
      </c>
      <c r="B23695" s="13" t="n">
        <v>49</v>
      </c>
      <c r="C23695" s="7" t="n">
        <v>0</v>
      </c>
      <c r="D23695" s="7" t="n">
        <v>501</v>
      </c>
      <c r="E23695" s="7" t="n">
        <v>1065353216</v>
      </c>
      <c r="F23695" s="7" t="n">
        <v>0</v>
      </c>
      <c r="G23695" s="7" t="n">
        <v>0</v>
      </c>
      <c r="H23695" s="7" t="n">
        <v>0</v>
      </c>
    </row>
    <row r="23696" spans="1:31">
      <c r="A23696" t="s">
        <v>4</v>
      </c>
      <c r="B23696" s="4" t="s">
        <v>5</v>
      </c>
      <c r="C23696" s="4" t="s">
        <v>7</v>
      </c>
      <c r="D23696" s="4" t="s">
        <v>11</v>
      </c>
      <c r="E23696" s="4" t="s">
        <v>7</v>
      </c>
      <c r="F23696" s="4" t="s">
        <v>8</v>
      </c>
    </row>
    <row r="23697" spans="1:13">
      <c r="A23697" t="n">
        <v>228218</v>
      </c>
      <c r="B23697" s="81" t="n">
        <v>39</v>
      </c>
      <c r="C23697" s="7" t="n">
        <v>10</v>
      </c>
      <c r="D23697" s="7" t="n">
        <v>65533</v>
      </c>
      <c r="E23697" s="7" t="n">
        <v>202</v>
      </c>
      <c r="F23697" s="7" t="s">
        <v>1435</v>
      </c>
    </row>
    <row r="23698" spans="1:13">
      <c r="A23698" t="s">
        <v>4</v>
      </c>
      <c r="B23698" s="4" t="s">
        <v>5</v>
      </c>
      <c r="C23698" s="4" t="s">
        <v>7</v>
      </c>
      <c r="D23698" s="4" t="s">
        <v>11</v>
      </c>
      <c r="E23698" s="4" t="s">
        <v>7</v>
      </c>
      <c r="F23698" s="4" t="s">
        <v>8</v>
      </c>
    </row>
    <row r="23699" spans="1:13">
      <c r="A23699" t="n">
        <v>228242</v>
      </c>
      <c r="B23699" s="81" t="n">
        <v>39</v>
      </c>
      <c r="C23699" s="7" t="n">
        <v>10</v>
      </c>
      <c r="D23699" s="7" t="n">
        <v>65533</v>
      </c>
      <c r="E23699" s="7" t="n">
        <v>203</v>
      </c>
      <c r="F23699" s="7" t="s">
        <v>1436</v>
      </c>
    </row>
    <row r="23700" spans="1:13">
      <c r="A23700" t="s">
        <v>4</v>
      </c>
      <c r="B23700" s="4" t="s">
        <v>5</v>
      </c>
      <c r="C23700" s="4" t="s">
        <v>11</v>
      </c>
      <c r="D23700" s="4" t="s">
        <v>8</v>
      </c>
      <c r="E23700" s="4" t="s">
        <v>8</v>
      </c>
      <c r="F23700" s="4" t="s">
        <v>8</v>
      </c>
      <c r="G23700" s="4" t="s">
        <v>7</v>
      </c>
      <c r="H23700" s="4" t="s">
        <v>15</v>
      </c>
      <c r="I23700" s="4" t="s">
        <v>13</v>
      </c>
      <c r="J23700" s="4" t="s">
        <v>13</v>
      </c>
      <c r="K23700" s="4" t="s">
        <v>13</v>
      </c>
      <c r="L23700" s="4" t="s">
        <v>13</v>
      </c>
      <c r="M23700" s="4" t="s">
        <v>13</v>
      </c>
      <c r="N23700" s="4" t="s">
        <v>13</v>
      </c>
      <c r="O23700" s="4" t="s">
        <v>13</v>
      </c>
      <c r="P23700" s="4" t="s">
        <v>8</v>
      </c>
      <c r="Q23700" s="4" t="s">
        <v>8</v>
      </c>
      <c r="R23700" s="4" t="s">
        <v>15</v>
      </c>
      <c r="S23700" s="4" t="s">
        <v>7</v>
      </c>
      <c r="T23700" s="4" t="s">
        <v>15</v>
      </c>
      <c r="U23700" s="4" t="s">
        <v>15</v>
      </c>
      <c r="V23700" s="4" t="s">
        <v>11</v>
      </c>
    </row>
    <row r="23701" spans="1:13">
      <c r="A23701" t="n">
        <v>228266</v>
      </c>
      <c r="B23701" s="62" t="n">
        <v>19</v>
      </c>
      <c r="C23701" s="7" t="n">
        <v>1</v>
      </c>
      <c r="D23701" s="7" t="s">
        <v>273</v>
      </c>
      <c r="E23701" s="7" t="s">
        <v>274</v>
      </c>
      <c r="F23701" s="7" t="s">
        <v>16</v>
      </c>
      <c r="G23701" s="7" t="n">
        <v>0</v>
      </c>
      <c r="H23701" s="7" t="n">
        <v>1</v>
      </c>
      <c r="I23701" s="7" t="n">
        <v>0</v>
      </c>
      <c r="J23701" s="7" t="n">
        <v>0</v>
      </c>
      <c r="K23701" s="7" t="n">
        <v>0</v>
      </c>
      <c r="L23701" s="7" t="n">
        <v>0</v>
      </c>
      <c r="M23701" s="7" t="n">
        <v>1</v>
      </c>
      <c r="N23701" s="7" t="n">
        <v>1.60000002384186</v>
      </c>
      <c r="O23701" s="7" t="n">
        <v>0.0900000035762787</v>
      </c>
      <c r="P23701" s="7" t="s">
        <v>16</v>
      </c>
      <c r="Q23701" s="7" t="s">
        <v>16</v>
      </c>
      <c r="R23701" s="7" t="n">
        <v>-1</v>
      </c>
      <c r="S23701" s="7" t="n">
        <v>0</v>
      </c>
      <c r="T23701" s="7" t="n">
        <v>0</v>
      </c>
      <c r="U23701" s="7" t="n">
        <v>0</v>
      </c>
      <c r="V23701" s="7" t="n">
        <v>0</v>
      </c>
    </row>
    <row r="23702" spans="1:13">
      <c r="A23702" t="s">
        <v>4</v>
      </c>
      <c r="B23702" s="4" t="s">
        <v>5</v>
      </c>
      <c r="C23702" s="4" t="s">
        <v>11</v>
      </c>
      <c r="D23702" s="4" t="s">
        <v>7</v>
      </c>
      <c r="E23702" s="4" t="s">
        <v>7</v>
      </c>
      <c r="F23702" s="4" t="s">
        <v>8</v>
      </c>
    </row>
    <row r="23703" spans="1:13">
      <c r="A23703" t="n">
        <v>228339</v>
      </c>
      <c r="B23703" s="50" t="n">
        <v>20</v>
      </c>
      <c r="C23703" s="7" t="n">
        <v>0</v>
      </c>
      <c r="D23703" s="7" t="n">
        <v>3</v>
      </c>
      <c r="E23703" s="7" t="n">
        <v>10</v>
      </c>
      <c r="F23703" s="7" t="s">
        <v>108</v>
      </c>
    </row>
    <row r="23704" spans="1:13">
      <c r="A23704" t="s">
        <v>4</v>
      </c>
      <c r="B23704" s="4" t="s">
        <v>5</v>
      </c>
      <c r="C23704" s="4" t="s">
        <v>11</v>
      </c>
    </row>
    <row r="23705" spans="1:13">
      <c r="A23705" t="n">
        <v>228357</v>
      </c>
      <c r="B23705" s="29" t="n">
        <v>16</v>
      </c>
      <c r="C23705" s="7" t="n">
        <v>0</v>
      </c>
    </row>
    <row r="23706" spans="1:13">
      <c r="A23706" t="s">
        <v>4</v>
      </c>
      <c r="B23706" s="4" t="s">
        <v>5</v>
      </c>
      <c r="C23706" s="4" t="s">
        <v>11</v>
      </c>
      <c r="D23706" s="4" t="s">
        <v>7</v>
      </c>
      <c r="E23706" s="4" t="s">
        <v>7</v>
      </c>
      <c r="F23706" s="4" t="s">
        <v>8</v>
      </c>
    </row>
    <row r="23707" spans="1:13">
      <c r="A23707" t="n">
        <v>228360</v>
      </c>
      <c r="B23707" s="50" t="n">
        <v>20</v>
      </c>
      <c r="C23707" s="7" t="n">
        <v>1</v>
      </c>
      <c r="D23707" s="7" t="n">
        <v>3</v>
      </c>
      <c r="E23707" s="7" t="n">
        <v>10</v>
      </c>
      <c r="F23707" s="7" t="s">
        <v>108</v>
      </c>
    </row>
    <row r="23708" spans="1:13">
      <c r="A23708" t="s">
        <v>4</v>
      </c>
      <c r="B23708" s="4" t="s">
        <v>5</v>
      </c>
      <c r="C23708" s="4" t="s">
        <v>11</v>
      </c>
    </row>
    <row r="23709" spans="1:13">
      <c r="A23709" t="n">
        <v>228378</v>
      </c>
      <c r="B23709" s="29" t="n">
        <v>16</v>
      </c>
      <c r="C23709" s="7" t="n">
        <v>0</v>
      </c>
    </row>
    <row r="23710" spans="1:13">
      <c r="A23710" t="s">
        <v>4</v>
      </c>
      <c r="B23710" s="4" t="s">
        <v>5</v>
      </c>
      <c r="C23710" s="4" t="s">
        <v>7</v>
      </c>
      <c r="D23710" s="4" t="s">
        <v>11</v>
      </c>
      <c r="E23710" s="4" t="s">
        <v>7</v>
      </c>
      <c r="F23710" s="4" t="s">
        <v>8</v>
      </c>
      <c r="G23710" s="4" t="s">
        <v>8</v>
      </c>
      <c r="H23710" s="4" t="s">
        <v>8</v>
      </c>
      <c r="I23710" s="4" t="s">
        <v>8</v>
      </c>
      <c r="J23710" s="4" t="s">
        <v>8</v>
      </c>
      <c r="K23710" s="4" t="s">
        <v>8</v>
      </c>
      <c r="L23710" s="4" t="s">
        <v>8</v>
      </c>
      <c r="M23710" s="4" t="s">
        <v>8</v>
      </c>
      <c r="N23710" s="4" t="s">
        <v>8</v>
      </c>
      <c r="O23710" s="4" t="s">
        <v>8</v>
      </c>
      <c r="P23710" s="4" t="s">
        <v>8</v>
      </c>
      <c r="Q23710" s="4" t="s">
        <v>8</v>
      </c>
      <c r="R23710" s="4" t="s">
        <v>8</v>
      </c>
      <c r="S23710" s="4" t="s">
        <v>8</v>
      </c>
      <c r="T23710" s="4" t="s">
        <v>8</v>
      </c>
      <c r="U23710" s="4" t="s">
        <v>8</v>
      </c>
    </row>
    <row r="23711" spans="1:13">
      <c r="A23711" t="n">
        <v>228381</v>
      </c>
      <c r="B23711" s="40" t="n">
        <v>36</v>
      </c>
      <c r="C23711" s="7" t="n">
        <v>8</v>
      </c>
      <c r="D23711" s="7" t="n">
        <v>0</v>
      </c>
      <c r="E23711" s="7" t="n">
        <v>0</v>
      </c>
      <c r="F23711" s="7" t="s">
        <v>1437</v>
      </c>
      <c r="G23711" s="7" t="s">
        <v>276</v>
      </c>
      <c r="H23711" s="7" t="s">
        <v>277</v>
      </c>
      <c r="I23711" s="7" t="s">
        <v>1438</v>
      </c>
      <c r="J23711" s="7" t="s">
        <v>278</v>
      </c>
      <c r="K23711" s="7" t="s">
        <v>16</v>
      </c>
      <c r="L23711" s="7" t="s">
        <v>16</v>
      </c>
      <c r="M23711" s="7" t="s">
        <v>16</v>
      </c>
      <c r="N23711" s="7" t="s">
        <v>16</v>
      </c>
      <c r="O23711" s="7" t="s">
        <v>16</v>
      </c>
      <c r="P23711" s="7" t="s">
        <v>16</v>
      </c>
      <c r="Q23711" s="7" t="s">
        <v>16</v>
      </c>
      <c r="R23711" s="7" t="s">
        <v>16</v>
      </c>
      <c r="S23711" s="7" t="s">
        <v>16</v>
      </c>
      <c r="T23711" s="7" t="s">
        <v>16</v>
      </c>
      <c r="U23711" s="7" t="s">
        <v>16</v>
      </c>
    </row>
    <row r="23712" spans="1:13">
      <c r="A23712" t="s">
        <v>4</v>
      </c>
      <c r="B23712" s="4" t="s">
        <v>5</v>
      </c>
      <c r="C23712" s="4" t="s">
        <v>7</v>
      </c>
      <c r="D23712" s="4" t="s">
        <v>11</v>
      </c>
      <c r="E23712" s="4" t="s">
        <v>7</v>
      </c>
      <c r="F23712" s="4" t="s">
        <v>8</v>
      </c>
      <c r="G23712" s="4" t="s">
        <v>8</v>
      </c>
      <c r="H23712" s="4" t="s">
        <v>8</v>
      </c>
      <c r="I23712" s="4" t="s">
        <v>8</v>
      </c>
      <c r="J23712" s="4" t="s">
        <v>8</v>
      </c>
      <c r="K23712" s="4" t="s">
        <v>8</v>
      </c>
      <c r="L23712" s="4" t="s">
        <v>8</v>
      </c>
      <c r="M23712" s="4" t="s">
        <v>8</v>
      </c>
      <c r="N23712" s="4" t="s">
        <v>8</v>
      </c>
      <c r="O23712" s="4" t="s">
        <v>8</v>
      </c>
      <c r="P23712" s="4" t="s">
        <v>8</v>
      </c>
      <c r="Q23712" s="4" t="s">
        <v>8</v>
      </c>
      <c r="R23712" s="4" t="s">
        <v>8</v>
      </c>
      <c r="S23712" s="4" t="s">
        <v>8</v>
      </c>
      <c r="T23712" s="4" t="s">
        <v>8</v>
      </c>
      <c r="U23712" s="4" t="s">
        <v>8</v>
      </c>
    </row>
    <row r="23713" spans="1:22">
      <c r="A23713" t="n">
        <v>228447</v>
      </c>
      <c r="B23713" s="40" t="n">
        <v>36</v>
      </c>
      <c r="C23713" s="7" t="n">
        <v>8</v>
      </c>
      <c r="D23713" s="7" t="n">
        <v>1</v>
      </c>
      <c r="E23713" s="7" t="n">
        <v>0</v>
      </c>
      <c r="F23713" s="7" t="s">
        <v>391</v>
      </c>
      <c r="G23713" s="7" t="s">
        <v>1437</v>
      </c>
      <c r="H23713" s="7" t="s">
        <v>276</v>
      </c>
      <c r="I23713" s="7" t="s">
        <v>277</v>
      </c>
      <c r="J23713" s="7" t="s">
        <v>1438</v>
      </c>
      <c r="K23713" s="7" t="s">
        <v>278</v>
      </c>
      <c r="L23713" s="7" t="s">
        <v>392</v>
      </c>
      <c r="M23713" s="7" t="s">
        <v>1439</v>
      </c>
      <c r="N23713" s="7" t="s">
        <v>16</v>
      </c>
      <c r="O23713" s="7" t="s">
        <v>16</v>
      </c>
      <c r="P23713" s="7" t="s">
        <v>16</v>
      </c>
      <c r="Q23713" s="7" t="s">
        <v>16</v>
      </c>
      <c r="R23713" s="7" t="s">
        <v>16</v>
      </c>
      <c r="S23713" s="7" t="s">
        <v>16</v>
      </c>
      <c r="T23713" s="7" t="s">
        <v>16</v>
      </c>
      <c r="U23713" s="7" t="s">
        <v>16</v>
      </c>
    </row>
    <row r="23714" spans="1:22">
      <c r="A23714" t="s">
        <v>4</v>
      </c>
      <c r="B23714" s="4" t="s">
        <v>5</v>
      </c>
      <c r="C23714" s="4" t="s">
        <v>11</v>
      </c>
      <c r="D23714" s="4" t="s">
        <v>7</v>
      </c>
      <c r="E23714" s="4" t="s">
        <v>8</v>
      </c>
      <c r="F23714" s="4" t="s">
        <v>13</v>
      </c>
      <c r="G23714" s="4" t="s">
        <v>13</v>
      </c>
      <c r="H23714" s="4" t="s">
        <v>13</v>
      </c>
    </row>
    <row r="23715" spans="1:22">
      <c r="A23715" t="n">
        <v>228547</v>
      </c>
      <c r="B23715" s="42" t="n">
        <v>48</v>
      </c>
      <c r="C23715" s="7" t="n">
        <v>0</v>
      </c>
      <c r="D23715" s="7" t="n">
        <v>0</v>
      </c>
      <c r="E23715" s="7" t="s">
        <v>275</v>
      </c>
      <c r="F23715" s="7" t="n">
        <v>0</v>
      </c>
      <c r="G23715" s="7" t="n">
        <v>1</v>
      </c>
      <c r="H23715" s="7" t="n">
        <v>0</v>
      </c>
    </row>
    <row r="23716" spans="1:22">
      <c r="A23716" t="s">
        <v>4</v>
      </c>
      <c r="B23716" s="4" t="s">
        <v>5</v>
      </c>
      <c r="C23716" s="4" t="s">
        <v>7</v>
      </c>
    </row>
    <row r="23717" spans="1:22">
      <c r="A23717" t="n">
        <v>228572</v>
      </c>
      <c r="B23717" s="49" t="n">
        <v>116</v>
      </c>
      <c r="C23717" s="7" t="n">
        <v>0</v>
      </c>
    </row>
    <row r="23718" spans="1:22">
      <c r="A23718" t="s">
        <v>4</v>
      </c>
      <c r="B23718" s="4" t="s">
        <v>5</v>
      </c>
      <c r="C23718" s="4" t="s">
        <v>7</v>
      </c>
      <c r="D23718" s="4" t="s">
        <v>11</v>
      </c>
    </row>
    <row r="23719" spans="1:22">
      <c r="A23719" t="n">
        <v>228574</v>
      </c>
      <c r="B23719" s="49" t="n">
        <v>116</v>
      </c>
      <c r="C23719" s="7" t="n">
        <v>2</v>
      </c>
      <c r="D23719" s="7" t="n">
        <v>1</v>
      </c>
    </row>
    <row r="23720" spans="1:22">
      <c r="A23720" t="s">
        <v>4</v>
      </c>
      <c r="B23720" s="4" t="s">
        <v>5</v>
      </c>
      <c r="C23720" s="4" t="s">
        <v>7</v>
      </c>
      <c r="D23720" s="4" t="s">
        <v>15</v>
      </c>
    </row>
    <row r="23721" spans="1:22">
      <c r="A23721" t="n">
        <v>228578</v>
      </c>
      <c r="B23721" s="49" t="n">
        <v>116</v>
      </c>
      <c r="C23721" s="7" t="n">
        <v>5</v>
      </c>
      <c r="D23721" s="7" t="n">
        <v>1088421888</v>
      </c>
    </row>
    <row r="23722" spans="1:22">
      <c r="A23722" t="s">
        <v>4</v>
      </c>
      <c r="B23722" s="4" t="s">
        <v>5</v>
      </c>
      <c r="C23722" s="4" t="s">
        <v>7</v>
      </c>
      <c r="D23722" s="4" t="s">
        <v>11</v>
      </c>
    </row>
    <row r="23723" spans="1:22">
      <c r="A23723" t="n">
        <v>228584</v>
      </c>
      <c r="B23723" s="49" t="n">
        <v>116</v>
      </c>
      <c r="C23723" s="7" t="n">
        <v>6</v>
      </c>
      <c r="D23723" s="7" t="n">
        <v>1</v>
      </c>
    </row>
    <row r="23724" spans="1:22">
      <c r="A23724" t="s">
        <v>4</v>
      </c>
      <c r="B23724" s="4" t="s">
        <v>5</v>
      </c>
      <c r="C23724" s="4" t="s">
        <v>11</v>
      </c>
      <c r="D23724" s="4" t="s">
        <v>15</v>
      </c>
    </row>
    <row r="23725" spans="1:22">
      <c r="A23725" t="n">
        <v>228588</v>
      </c>
      <c r="B23725" s="39" t="n">
        <v>43</v>
      </c>
      <c r="C23725" s="7" t="n">
        <v>0</v>
      </c>
      <c r="D23725" s="7" t="n">
        <v>256</v>
      </c>
    </row>
    <row r="23726" spans="1:22">
      <c r="A23726" t="s">
        <v>4</v>
      </c>
      <c r="B23726" s="4" t="s">
        <v>5</v>
      </c>
      <c r="C23726" s="4" t="s">
        <v>11</v>
      </c>
      <c r="D23726" s="4" t="s">
        <v>15</v>
      </c>
    </row>
    <row r="23727" spans="1:22">
      <c r="A23727" t="n">
        <v>228595</v>
      </c>
      <c r="B23727" s="39" t="n">
        <v>43</v>
      </c>
      <c r="C23727" s="7" t="n">
        <v>1</v>
      </c>
      <c r="D23727" s="7" t="n">
        <v>256</v>
      </c>
    </row>
    <row r="23728" spans="1:22">
      <c r="A23728" t="s">
        <v>4</v>
      </c>
      <c r="B23728" s="4" t="s">
        <v>5</v>
      </c>
      <c r="C23728" s="4" t="s">
        <v>11</v>
      </c>
      <c r="D23728" s="4" t="s">
        <v>13</v>
      </c>
      <c r="E23728" s="4" t="s">
        <v>13</v>
      </c>
      <c r="F23728" s="4" t="s">
        <v>13</v>
      </c>
      <c r="G23728" s="4" t="s">
        <v>13</v>
      </c>
    </row>
    <row r="23729" spans="1:21">
      <c r="A23729" t="n">
        <v>228602</v>
      </c>
      <c r="B23729" s="36" t="n">
        <v>46</v>
      </c>
      <c r="C23729" s="7" t="n">
        <v>0</v>
      </c>
      <c r="D23729" s="7" t="n">
        <v>6.25</v>
      </c>
      <c r="E23729" s="7" t="n">
        <v>10.0100002288818</v>
      </c>
      <c r="F23729" s="7" t="n">
        <v>47.5999984741211</v>
      </c>
      <c r="G23729" s="7" t="n">
        <v>100.400001525879</v>
      </c>
    </row>
    <row r="23730" spans="1:21">
      <c r="A23730" t="s">
        <v>4</v>
      </c>
      <c r="B23730" s="4" t="s">
        <v>5</v>
      </c>
      <c r="C23730" s="4" t="s">
        <v>11</v>
      </c>
      <c r="D23730" s="4" t="s">
        <v>13</v>
      </c>
      <c r="E23730" s="4" t="s">
        <v>13</v>
      </c>
      <c r="F23730" s="4" t="s">
        <v>13</v>
      </c>
      <c r="G23730" s="4" t="s">
        <v>13</v>
      </c>
    </row>
    <row r="23731" spans="1:21">
      <c r="A23731" t="n">
        <v>228621</v>
      </c>
      <c r="B23731" s="36" t="n">
        <v>46</v>
      </c>
      <c r="C23731" s="7" t="n">
        <v>1</v>
      </c>
      <c r="D23731" s="7" t="n">
        <v>7.25</v>
      </c>
      <c r="E23731" s="7" t="n">
        <v>10.0100002288818</v>
      </c>
      <c r="F23731" s="7" t="n">
        <v>47.5800018310547</v>
      </c>
      <c r="G23731" s="7" t="n">
        <v>90</v>
      </c>
    </row>
    <row r="23732" spans="1:21">
      <c r="A23732" t="s">
        <v>4</v>
      </c>
      <c r="B23732" s="4" t="s">
        <v>5</v>
      </c>
      <c r="C23732" s="4" t="s">
        <v>11</v>
      </c>
    </row>
    <row r="23733" spans="1:21">
      <c r="A23733" t="n">
        <v>228640</v>
      </c>
      <c r="B23733" s="29" t="n">
        <v>16</v>
      </c>
      <c r="C23733" s="7" t="n">
        <v>0</v>
      </c>
    </row>
    <row r="23734" spans="1:21">
      <c r="A23734" t="s">
        <v>4</v>
      </c>
      <c r="B23734" s="4" t="s">
        <v>5</v>
      </c>
      <c r="C23734" s="4" t="s">
        <v>11</v>
      </c>
      <c r="D23734" s="4" t="s">
        <v>11</v>
      </c>
      <c r="E23734" s="4" t="s">
        <v>11</v>
      </c>
    </row>
    <row r="23735" spans="1:21">
      <c r="A23735" t="n">
        <v>228643</v>
      </c>
      <c r="B23735" s="72" t="n">
        <v>61</v>
      </c>
      <c r="C23735" s="7" t="n">
        <v>0</v>
      </c>
      <c r="D23735" s="7" t="n">
        <v>1</v>
      </c>
      <c r="E23735" s="7" t="n">
        <v>0</v>
      </c>
    </row>
    <row r="23736" spans="1:21">
      <c r="A23736" t="s">
        <v>4</v>
      </c>
      <c r="B23736" s="4" t="s">
        <v>5</v>
      </c>
      <c r="C23736" s="4" t="s">
        <v>11</v>
      </c>
      <c r="D23736" s="4" t="s">
        <v>13</v>
      </c>
      <c r="E23736" s="4" t="s">
        <v>13</v>
      </c>
      <c r="F23736" s="4" t="s">
        <v>13</v>
      </c>
      <c r="G23736" s="4" t="s">
        <v>11</v>
      </c>
      <c r="H23736" s="4" t="s">
        <v>11</v>
      </c>
    </row>
    <row r="23737" spans="1:21">
      <c r="A23737" t="n">
        <v>228650</v>
      </c>
      <c r="B23737" s="37" t="n">
        <v>60</v>
      </c>
      <c r="C23737" s="7" t="n">
        <v>1</v>
      </c>
      <c r="D23737" s="7" t="n">
        <v>0</v>
      </c>
      <c r="E23737" s="7" t="n">
        <v>20</v>
      </c>
      <c r="F23737" s="7" t="n">
        <v>0</v>
      </c>
      <c r="G23737" s="7" t="n">
        <v>0</v>
      </c>
      <c r="H23737" s="7" t="n">
        <v>0</v>
      </c>
    </row>
    <row r="23738" spans="1:21">
      <c r="A23738" t="s">
        <v>4</v>
      </c>
      <c r="B23738" s="4" t="s">
        <v>5</v>
      </c>
      <c r="C23738" s="4" t="s">
        <v>7</v>
      </c>
      <c r="D23738" s="4" t="s">
        <v>7</v>
      </c>
      <c r="E23738" s="4" t="s">
        <v>13</v>
      </c>
      <c r="F23738" s="4" t="s">
        <v>13</v>
      </c>
      <c r="G23738" s="4" t="s">
        <v>13</v>
      </c>
      <c r="H23738" s="4" t="s">
        <v>11</v>
      </c>
    </row>
    <row r="23739" spans="1:21">
      <c r="A23739" t="n">
        <v>228669</v>
      </c>
      <c r="B23739" s="51" t="n">
        <v>45</v>
      </c>
      <c r="C23739" s="7" t="n">
        <v>2</v>
      </c>
      <c r="D23739" s="7" t="n">
        <v>3</v>
      </c>
      <c r="E23739" s="7" t="n">
        <v>6.59999990463257</v>
      </c>
      <c r="F23739" s="7" t="n">
        <v>11.4099998474121</v>
      </c>
      <c r="G23739" s="7" t="n">
        <v>47.5</v>
      </c>
      <c r="H23739" s="7" t="n">
        <v>0</v>
      </c>
    </row>
    <row r="23740" spans="1:21">
      <c r="A23740" t="s">
        <v>4</v>
      </c>
      <c r="B23740" s="4" t="s">
        <v>5</v>
      </c>
      <c r="C23740" s="4" t="s">
        <v>7</v>
      </c>
      <c r="D23740" s="4" t="s">
        <v>7</v>
      </c>
      <c r="E23740" s="4" t="s">
        <v>13</v>
      </c>
      <c r="F23740" s="4" t="s">
        <v>13</v>
      </c>
      <c r="G23740" s="4" t="s">
        <v>13</v>
      </c>
      <c r="H23740" s="4" t="s">
        <v>11</v>
      </c>
      <c r="I23740" s="4" t="s">
        <v>7</v>
      </c>
    </row>
    <row r="23741" spans="1:21">
      <c r="A23741" t="n">
        <v>228686</v>
      </c>
      <c r="B23741" s="51" t="n">
        <v>45</v>
      </c>
      <c r="C23741" s="7" t="n">
        <v>4</v>
      </c>
      <c r="D23741" s="7" t="n">
        <v>3</v>
      </c>
      <c r="E23741" s="7" t="n">
        <v>13.7399997711182</v>
      </c>
      <c r="F23741" s="7" t="n">
        <v>233.160003662109</v>
      </c>
      <c r="G23741" s="7" t="n">
        <v>0</v>
      </c>
      <c r="H23741" s="7" t="n">
        <v>0</v>
      </c>
      <c r="I23741" s="7" t="n">
        <v>0</v>
      </c>
    </row>
    <row r="23742" spans="1:21">
      <c r="A23742" t="s">
        <v>4</v>
      </c>
      <c r="B23742" s="4" t="s">
        <v>5</v>
      </c>
      <c r="C23742" s="4" t="s">
        <v>7</v>
      </c>
      <c r="D23742" s="4" t="s">
        <v>7</v>
      </c>
      <c r="E23742" s="4" t="s">
        <v>13</v>
      </c>
      <c r="F23742" s="4" t="s">
        <v>11</v>
      </c>
    </row>
    <row r="23743" spans="1:21">
      <c r="A23743" t="n">
        <v>228704</v>
      </c>
      <c r="B23743" s="51" t="n">
        <v>45</v>
      </c>
      <c r="C23743" s="7" t="n">
        <v>5</v>
      </c>
      <c r="D23743" s="7" t="n">
        <v>3</v>
      </c>
      <c r="E23743" s="7" t="n">
        <v>1.5</v>
      </c>
      <c r="F23743" s="7" t="n">
        <v>0</v>
      </c>
    </row>
    <row r="23744" spans="1:21">
      <c r="A23744" t="s">
        <v>4</v>
      </c>
      <c r="B23744" s="4" t="s">
        <v>5</v>
      </c>
      <c r="C23744" s="4" t="s">
        <v>7</v>
      </c>
      <c r="D23744" s="4" t="s">
        <v>7</v>
      </c>
      <c r="E23744" s="4" t="s">
        <v>13</v>
      </c>
      <c r="F23744" s="4" t="s">
        <v>11</v>
      </c>
    </row>
    <row r="23745" spans="1:9">
      <c r="A23745" t="n">
        <v>228713</v>
      </c>
      <c r="B23745" s="51" t="n">
        <v>45</v>
      </c>
      <c r="C23745" s="7" t="n">
        <v>11</v>
      </c>
      <c r="D23745" s="7" t="n">
        <v>3</v>
      </c>
      <c r="E23745" s="7" t="n">
        <v>38</v>
      </c>
      <c r="F23745" s="7" t="n">
        <v>0</v>
      </c>
    </row>
    <row r="23746" spans="1:9">
      <c r="A23746" t="s">
        <v>4</v>
      </c>
      <c r="B23746" s="4" t="s">
        <v>5</v>
      </c>
      <c r="C23746" s="4" t="s">
        <v>7</v>
      </c>
      <c r="D23746" s="4" t="s">
        <v>7</v>
      </c>
      <c r="E23746" s="4" t="s">
        <v>13</v>
      </c>
      <c r="F23746" s="4" t="s">
        <v>11</v>
      </c>
    </row>
    <row r="23747" spans="1:9">
      <c r="A23747" t="n">
        <v>228722</v>
      </c>
      <c r="B23747" s="51" t="n">
        <v>45</v>
      </c>
      <c r="C23747" s="7" t="n">
        <v>5</v>
      </c>
      <c r="D23747" s="7" t="n">
        <v>3</v>
      </c>
      <c r="E23747" s="7" t="n">
        <v>1.20000004768372</v>
      </c>
      <c r="F23747" s="7" t="n">
        <v>3000</v>
      </c>
    </row>
    <row r="23748" spans="1:9">
      <c r="A23748" t="s">
        <v>4</v>
      </c>
      <c r="B23748" s="4" t="s">
        <v>5</v>
      </c>
      <c r="C23748" s="4" t="s">
        <v>7</v>
      </c>
      <c r="D23748" s="4" t="s">
        <v>11</v>
      </c>
      <c r="E23748" s="4" t="s">
        <v>13</v>
      </c>
    </row>
    <row r="23749" spans="1:9">
      <c r="A23749" t="n">
        <v>228731</v>
      </c>
      <c r="B23749" s="23" t="n">
        <v>58</v>
      </c>
      <c r="C23749" s="7" t="n">
        <v>100</v>
      </c>
      <c r="D23749" s="7" t="n">
        <v>1000</v>
      </c>
      <c r="E23749" s="7" t="n">
        <v>1</v>
      </c>
    </row>
    <row r="23750" spans="1:9">
      <c r="A23750" t="s">
        <v>4</v>
      </c>
      <c r="B23750" s="4" t="s">
        <v>5</v>
      </c>
      <c r="C23750" s="4" t="s">
        <v>7</v>
      </c>
      <c r="D23750" s="4" t="s">
        <v>11</v>
      </c>
    </row>
    <row r="23751" spans="1:9">
      <c r="A23751" t="n">
        <v>228739</v>
      </c>
      <c r="B23751" s="23" t="n">
        <v>58</v>
      </c>
      <c r="C23751" s="7" t="n">
        <v>255</v>
      </c>
      <c r="D23751" s="7" t="n">
        <v>0</v>
      </c>
    </row>
    <row r="23752" spans="1:9">
      <c r="A23752" t="s">
        <v>4</v>
      </c>
      <c r="B23752" s="4" t="s">
        <v>5</v>
      </c>
      <c r="C23752" s="4" t="s">
        <v>11</v>
      </c>
    </row>
    <row r="23753" spans="1:9">
      <c r="A23753" t="n">
        <v>228743</v>
      </c>
      <c r="B23753" s="29" t="n">
        <v>16</v>
      </c>
      <c r="C23753" s="7" t="n">
        <v>1000</v>
      </c>
    </row>
    <row r="23754" spans="1:9">
      <c r="A23754" t="s">
        <v>4</v>
      </c>
      <c r="B23754" s="4" t="s">
        <v>5</v>
      </c>
      <c r="C23754" s="4" t="s">
        <v>7</v>
      </c>
      <c r="D23754" s="4" t="s">
        <v>11</v>
      </c>
      <c r="E23754" s="4" t="s">
        <v>8</v>
      </c>
    </row>
    <row r="23755" spans="1:9">
      <c r="A23755" t="n">
        <v>228746</v>
      </c>
      <c r="B23755" s="38" t="n">
        <v>51</v>
      </c>
      <c r="C23755" s="7" t="n">
        <v>4</v>
      </c>
      <c r="D23755" s="7" t="n">
        <v>1</v>
      </c>
      <c r="E23755" s="7" t="s">
        <v>894</v>
      </c>
    </row>
    <row r="23756" spans="1:9">
      <c r="A23756" t="s">
        <v>4</v>
      </c>
      <c r="B23756" s="4" t="s">
        <v>5</v>
      </c>
      <c r="C23756" s="4" t="s">
        <v>11</v>
      </c>
    </row>
    <row r="23757" spans="1:9">
      <c r="A23757" t="n">
        <v>228760</v>
      </c>
      <c r="B23757" s="29" t="n">
        <v>16</v>
      </c>
      <c r="C23757" s="7" t="n">
        <v>0</v>
      </c>
    </row>
    <row r="23758" spans="1:9">
      <c r="A23758" t="s">
        <v>4</v>
      </c>
      <c r="B23758" s="4" t="s">
        <v>5</v>
      </c>
      <c r="C23758" s="4" t="s">
        <v>11</v>
      </c>
      <c r="D23758" s="4" t="s">
        <v>7</v>
      </c>
      <c r="E23758" s="4" t="s">
        <v>15</v>
      </c>
      <c r="F23758" s="4" t="s">
        <v>55</v>
      </c>
      <c r="G23758" s="4" t="s">
        <v>7</v>
      </c>
      <c r="H23758" s="4" t="s">
        <v>7</v>
      </c>
    </row>
    <row r="23759" spans="1:9">
      <c r="A23759" t="n">
        <v>228763</v>
      </c>
      <c r="B23759" s="55" t="n">
        <v>26</v>
      </c>
      <c r="C23759" s="7" t="n">
        <v>1</v>
      </c>
      <c r="D23759" s="7" t="n">
        <v>17</v>
      </c>
      <c r="E23759" s="7" t="n">
        <v>64476</v>
      </c>
      <c r="F23759" s="7" t="s">
        <v>446</v>
      </c>
      <c r="G23759" s="7" t="n">
        <v>2</v>
      </c>
      <c r="H23759" s="7" t="n">
        <v>0</v>
      </c>
    </row>
    <row r="23760" spans="1:9">
      <c r="A23760" t="s">
        <v>4</v>
      </c>
      <c r="B23760" s="4" t="s">
        <v>5</v>
      </c>
    </row>
    <row r="23761" spans="1:8">
      <c r="A23761" t="n">
        <v>228779</v>
      </c>
      <c r="B23761" s="27" t="n">
        <v>28</v>
      </c>
    </row>
    <row r="23762" spans="1:8">
      <c r="A23762" t="s">
        <v>4</v>
      </c>
      <c r="B23762" s="4" t="s">
        <v>5</v>
      </c>
      <c r="C23762" s="4" t="s">
        <v>7</v>
      </c>
      <c r="D23762" s="4" t="s">
        <v>11</v>
      </c>
      <c r="E23762" s="4" t="s">
        <v>8</v>
      </c>
    </row>
    <row r="23763" spans="1:8">
      <c r="A23763" t="n">
        <v>228780</v>
      </c>
      <c r="B23763" s="38" t="n">
        <v>51</v>
      </c>
      <c r="C23763" s="7" t="n">
        <v>4</v>
      </c>
      <c r="D23763" s="7" t="n">
        <v>0</v>
      </c>
      <c r="E23763" s="7" t="s">
        <v>173</v>
      </c>
    </row>
    <row r="23764" spans="1:8">
      <c r="A23764" t="s">
        <v>4</v>
      </c>
      <c r="B23764" s="4" t="s">
        <v>5</v>
      </c>
      <c r="C23764" s="4" t="s">
        <v>11</v>
      </c>
    </row>
    <row r="23765" spans="1:8">
      <c r="A23765" t="n">
        <v>228793</v>
      </c>
      <c r="B23765" s="29" t="n">
        <v>16</v>
      </c>
      <c r="C23765" s="7" t="n">
        <v>0</v>
      </c>
    </row>
    <row r="23766" spans="1:8">
      <c r="A23766" t="s">
        <v>4</v>
      </c>
      <c r="B23766" s="4" t="s">
        <v>5</v>
      </c>
      <c r="C23766" s="4" t="s">
        <v>11</v>
      </c>
      <c r="D23766" s="4" t="s">
        <v>7</v>
      </c>
      <c r="E23766" s="4" t="s">
        <v>15</v>
      </c>
      <c r="F23766" s="4" t="s">
        <v>55</v>
      </c>
      <c r="G23766" s="4" t="s">
        <v>7</v>
      </c>
      <c r="H23766" s="4" t="s">
        <v>7</v>
      </c>
    </row>
    <row r="23767" spans="1:8">
      <c r="A23767" t="n">
        <v>228796</v>
      </c>
      <c r="B23767" s="55" t="n">
        <v>26</v>
      </c>
      <c r="C23767" s="7" t="n">
        <v>0</v>
      </c>
      <c r="D23767" s="7" t="n">
        <v>17</v>
      </c>
      <c r="E23767" s="7" t="n">
        <v>64477</v>
      </c>
      <c r="F23767" s="7" t="s">
        <v>1440</v>
      </c>
      <c r="G23767" s="7" t="n">
        <v>2</v>
      </c>
      <c r="H23767" s="7" t="n">
        <v>0</v>
      </c>
    </row>
    <row r="23768" spans="1:8">
      <c r="A23768" t="s">
        <v>4</v>
      </c>
      <c r="B23768" s="4" t="s">
        <v>5</v>
      </c>
    </row>
    <row r="23769" spans="1:8">
      <c r="A23769" t="n">
        <v>228863</v>
      </c>
      <c r="B23769" s="27" t="n">
        <v>28</v>
      </c>
    </row>
    <row r="23770" spans="1:8">
      <c r="A23770" t="s">
        <v>4</v>
      </c>
      <c r="B23770" s="4" t="s">
        <v>5</v>
      </c>
      <c r="C23770" s="4" t="s">
        <v>7</v>
      </c>
      <c r="D23770" s="4" t="s">
        <v>11</v>
      </c>
      <c r="E23770" s="4" t="s">
        <v>11</v>
      </c>
      <c r="F23770" s="4" t="s">
        <v>7</v>
      </c>
    </row>
    <row r="23771" spans="1:8">
      <c r="A23771" t="n">
        <v>228864</v>
      </c>
      <c r="B23771" s="31" t="n">
        <v>25</v>
      </c>
      <c r="C23771" s="7" t="n">
        <v>1</v>
      </c>
      <c r="D23771" s="7" t="n">
        <v>65535</v>
      </c>
      <c r="E23771" s="7" t="n">
        <v>65535</v>
      </c>
      <c r="F23771" s="7" t="n">
        <v>0</v>
      </c>
    </row>
    <row r="23772" spans="1:8">
      <c r="A23772" t="s">
        <v>4</v>
      </c>
      <c r="B23772" s="4" t="s">
        <v>5</v>
      </c>
      <c r="C23772" s="4" t="s">
        <v>11</v>
      </c>
      <c r="D23772" s="4" t="s">
        <v>7</v>
      </c>
      <c r="E23772" s="4" t="s">
        <v>13</v>
      </c>
      <c r="F23772" s="4" t="s">
        <v>11</v>
      </c>
    </row>
    <row r="23773" spans="1:8">
      <c r="A23773" t="n">
        <v>228871</v>
      </c>
      <c r="B23773" s="56" t="n">
        <v>59</v>
      </c>
      <c r="C23773" s="7" t="n">
        <v>1</v>
      </c>
      <c r="D23773" s="7" t="n">
        <v>13</v>
      </c>
      <c r="E23773" s="7" t="n">
        <v>0.150000005960464</v>
      </c>
      <c r="F23773" s="7" t="n">
        <v>0</v>
      </c>
    </row>
    <row r="23774" spans="1:8">
      <c r="A23774" t="s">
        <v>4</v>
      </c>
      <c r="B23774" s="4" t="s">
        <v>5</v>
      </c>
      <c r="C23774" s="4" t="s">
        <v>11</v>
      </c>
    </row>
    <row r="23775" spans="1:8">
      <c r="A23775" t="n">
        <v>228881</v>
      </c>
      <c r="B23775" s="29" t="n">
        <v>16</v>
      </c>
      <c r="C23775" s="7" t="n">
        <v>1000</v>
      </c>
    </row>
    <row r="23776" spans="1:8">
      <c r="A23776" t="s">
        <v>4</v>
      </c>
      <c r="B23776" s="4" t="s">
        <v>5</v>
      </c>
      <c r="C23776" s="4" t="s">
        <v>11</v>
      </c>
      <c r="D23776" s="4" t="s">
        <v>13</v>
      </c>
      <c r="E23776" s="4" t="s">
        <v>13</v>
      </c>
      <c r="F23776" s="4" t="s">
        <v>13</v>
      </c>
      <c r="G23776" s="4" t="s">
        <v>11</v>
      </c>
      <c r="H23776" s="4" t="s">
        <v>11</v>
      </c>
    </row>
    <row r="23777" spans="1:8">
      <c r="A23777" t="n">
        <v>228884</v>
      </c>
      <c r="B23777" s="37" t="n">
        <v>60</v>
      </c>
      <c r="C23777" s="7" t="n">
        <v>1</v>
      </c>
      <c r="D23777" s="7" t="n">
        <v>0</v>
      </c>
      <c r="E23777" s="7" t="n">
        <v>5</v>
      </c>
      <c r="F23777" s="7" t="n">
        <v>0</v>
      </c>
      <c r="G23777" s="7" t="n">
        <v>800</v>
      </c>
      <c r="H23777" s="7" t="n">
        <v>0</v>
      </c>
    </row>
    <row r="23778" spans="1:8">
      <c r="A23778" t="s">
        <v>4</v>
      </c>
      <c r="B23778" s="4" t="s">
        <v>5</v>
      </c>
      <c r="C23778" s="4" t="s">
        <v>7</v>
      </c>
      <c r="D23778" s="4" t="s">
        <v>11</v>
      </c>
      <c r="E23778" s="4" t="s">
        <v>8</v>
      </c>
      <c r="F23778" s="4" t="s">
        <v>8</v>
      </c>
      <c r="G23778" s="4" t="s">
        <v>8</v>
      </c>
      <c r="H23778" s="4" t="s">
        <v>8</v>
      </c>
    </row>
    <row r="23779" spans="1:8">
      <c r="A23779" t="n">
        <v>228903</v>
      </c>
      <c r="B23779" s="38" t="n">
        <v>51</v>
      </c>
      <c r="C23779" s="7" t="n">
        <v>3</v>
      </c>
      <c r="D23779" s="7" t="n">
        <v>1</v>
      </c>
      <c r="E23779" s="7" t="s">
        <v>79</v>
      </c>
      <c r="F23779" s="7" t="s">
        <v>99</v>
      </c>
      <c r="G23779" s="7" t="s">
        <v>78</v>
      </c>
      <c r="H23779" s="7" t="s">
        <v>79</v>
      </c>
    </row>
    <row r="23780" spans="1:8">
      <c r="A23780" t="s">
        <v>4</v>
      </c>
      <c r="B23780" s="4" t="s">
        <v>5</v>
      </c>
      <c r="C23780" s="4" t="s">
        <v>11</v>
      </c>
      <c r="D23780" s="4" t="s">
        <v>13</v>
      </c>
      <c r="E23780" s="4" t="s">
        <v>13</v>
      </c>
      <c r="F23780" s="4" t="s">
        <v>7</v>
      </c>
    </row>
    <row r="23781" spans="1:8">
      <c r="A23781" t="n">
        <v>228916</v>
      </c>
      <c r="B23781" s="65" t="n">
        <v>52</v>
      </c>
      <c r="C23781" s="7" t="n">
        <v>1</v>
      </c>
      <c r="D23781" s="7" t="n">
        <v>270</v>
      </c>
      <c r="E23781" s="7" t="n">
        <v>5</v>
      </c>
      <c r="F23781" s="7" t="n">
        <v>0</v>
      </c>
    </row>
    <row r="23782" spans="1:8">
      <c r="A23782" t="s">
        <v>4</v>
      </c>
      <c r="B23782" s="4" t="s">
        <v>5</v>
      </c>
      <c r="C23782" s="4" t="s">
        <v>11</v>
      </c>
    </row>
    <row r="23783" spans="1:8">
      <c r="A23783" t="n">
        <v>228928</v>
      </c>
      <c r="B23783" s="66" t="n">
        <v>54</v>
      </c>
      <c r="C23783" s="7" t="n">
        <v>1</v>
      </c>
    </row>
    <row r="23784" spans="1:8">
      <c r="A23784" t="s">
        <v>4</v>
      </c>
      <c r="B23784" s="4" t="s">
        <v>5</v>
      </c>
      <c r="C23784" s="4" t="s">
        <v>7</v>
      </c>
      <c r="D23784" s="4" t="s">
        <v>11</v>
      </c>
      <c r="E23784" s="4" t="s">
        <v>8</v>
      </c>
    </row>
    <row r="23785" spans="1:8">
      <c r="A23785" t="n">
        <v>228931</v>
      </c>
      <c r="B23785" s="38" t="n">
        <v>51</v>
      </c>
      <c r="C23785" s="7" t="n">
        <v>4</v>
      </c>
      <c r="D23785" s="7" t="n">
        <v>1</v>
      </c>
      <c r="E23785" s="7" t="s">
        <v>417</v>
      </c>
    </row>
    <row r="23786" spans="1:8">
      <c r="A23786" t="s">
        <v>4</v>
      </c>
      <c r="B23786" s="4" t="s">
        <v>5</v>
      </c>
      <c r="C23786" s="4" t="s">
        <v>11</v>
      </c>
    </row>
    <row r="23787" spans="1:8">
      <c r="A23787" t="n">
        <v>228945</v>
      </c>
      <c r="B23787" s="29" t="n">
        <v>16</v>
      </c>
      <c r="C23787" s="7" t="n">
        <v>0</v>
      </c>
    </row>
    <row r="23788" spans="1:8">
      <c r="A23788" t="s">
        <v>4</v>
      </c>
      <c r="B23788" s="4" t="s">
        <v>5</v>
      </c>
      <c r="C23788" s="4" t="s">
        <v>11</v>
      </c>
      <c r="D23788" s="4" t="s">
        <v>7</v>
      </c>
      <c r="E23788" s="4" t="s">
        <v>15</v>
      </c>
      <c r="F23788" s="4" t="s">
        <v>55</v>
      </c>
      <c r="G23788" s="4" t="s">
        <v>7</v>
      </c>
      <c r="H23788" s="4" t="s">
        <v>7</v>
      </c>
      <c r="I23788" s="4" t="s">
        <v>7</v>
      </c>
      <c r="J23788" s="4" t="s">
        <v>15</v>
      </c>
      <c r="K23788" s="4" t="s">
        <v>55</v>
      </c>
      <c r="L23788" s="4" t="s">
        <v>7</v>
      </c>
      <c r="M23788" s="4" t="s">
        <v>7</v>
      </c>
    </row>
    <row r="23789" spans="1:8">
      <c r="A23789" t="n">
        <v>228948</v>
      </c>
      <c r="B23789" s="55" t="n">
        <v>26</v>
      </c>
      <c r="C23789" s="7" t="n">
        <v>1</v>
      </c>
      <c r="D23789" s="7" t="n">
        <v>17</v>
      </c>
      <c r="E23789" s="7" t="n">
        <v>64478</v>
      </c>
      <c r="F23789" s="7" t="s">
        <v>1441</v>
      </c>
      <c r="G23789" s="7" t="n">
        <v>2</v>
      </c>
      <c r="H23789" s="7" t="n">
        <v>3</v>
      </c>
      <c r="I23789" s="7" t="n">
        <v>17</v>
      </c>
      <c r="J23789" s="7" t="n">
        <v>64479</v>
      </c>
      <c r="K23789" s="7" t="s">
        <v>1442</v>
      </c>
      <c r="L23789" s="7" t="n">
        <v>2</v>
      </c>
      <c r="M23789" s="7" t="n">
        <v>0</v>
      </c>
    </row>
    <row r="23790" spans="1:8">
      <c r="A23790" t="s">
        <v>4</v>
      </c>
      <c r="B23790" s="4" t="s">
        <v>5</v>
      </c>
    </row>
    <row r="23791" spans="1:8">
      <c r="A23791" t="n">
        <v>229098</v>
      </c>
      <c r="B23791" s="27" t="n">
        <v>28</v>
      </c>
    </row>
    <row r="23792" spans="1:8">
      <c r="A23792" t="s">
        <v>4</v>
      </c>
      <c r="B23792" s="4" t="s">
        <v>5</v>
      </c>
      <c r="C23792" s="4" t="s">
        <v>7</v>
      </c>
      <c r="D23792" s="4" t="s">
        <v>11</v>
      </c>
      <c r="E23792" s="4" t="s">
        <v>8</v>
      </c>
    </row>
    <row r="23793" spans="1:13">
      <c r="A23793" t="n">
        <v>229099</v>
      </c>
      <c r="B23793" s="38" t="n">
        <v>51</v>
      </c>
      <c r="C23793" s="7" t="n">
        <v>4</v>
      </c>
      <c r="D23793" s="7" t="n">
        <v>0</v>
      </c>
      <c r="E23793" s="7" t="s">
        <v>179</v>
      </c>
    </row>
    <row r="23794" spans="1:13">
      <c r="A23794" t="s">
        <v>4</v>
      </c>
      <c r="B23794" s="4" t="s">
        <v>5</v>
      </c>
      <c r="C23794" s="4" t="s">
        <v>11</v>
      </c>
    </row>
    <row r="23795" spans="1:13">
      <c r="A23795" t="n">
        <v>229113</v>
      </c>
      <c r="B23795" s="29" t="n">
        <v>16</v>
      </c>
      <c r="C23795" s="7" t="n">
        <v>0</v>
      </c>
    </row>
    <row r="23796" spans="1:13">
      <c r="A23796" t="s">
        <v>4</v>
      </c>
      <c r="B23796" s="4" t="s">
        <v>5</v>
      </c>
      <c r="C23796" s="4" t="s">
        <v>11</v>
      </c>
      <c r="D23796" s="4" t="s">
        <v>7</v>
      </c>
      <c r="E23796" s="4" t="s">
        <v>15</v>
      </c>
      <c r="F23796" s="4" t="s">
        <v>55</v>
      </c>
      <c r="G23796" s="4" t="s">
        <v>7</v>
      </c>
      <c r="H23796" s="4" t="s">
        <v>7</v>
      </c>
      <c r="I23796" s="4" t="s">
        <v>7</v>
      </c>
      <c r="J23796" s="4" t="s">
        <v>15</v>
      </c>
      <c r="K23796" s="4" t="s">
        <v>55</v>
      </c>
      <c r="L23796" s="4" t="s">
        <v>7</v>
      </c>
      <c r="M23796" s="4" t="s">
        <v>7</v>
      </c>
    </row>
    <row r="23797" spans="1:13">
      <c r="A23797" t="n">
        <v>229116</v>
      </c>
      <c r="B23797" s="55" t="n">
        <v>26</v>
      </c>
      <c r="C23797" s="7" t="n">
        <v>0</v>
      </c>
      <c r="D23797" s="7" t="n">
        <v>17</v>
      </c>
      <c r="E23797" s="7" t="n">
        <v>64480</v>
      </c>
      <c r="F23797" s="7" t="s">
        <v>1443</v>
      </c>
      <c r="G23797" s="7" t="n">
        <v>2</v>
      </c>
      <c r="H23797" s="7" t="n">
        <v>3</v>
      </c>
      <c r="I23797" s="7" t="n">
        <v>17</v>
      </c>
      <c r="J23797" s="7" t="n">
        <v>64481</v>
      </c>
      <c r="K23797" s="7" t="s">
        <v>1444</v>
      </c>
      <c r="L23797" s="7" t="n">
        <v>2</v>
      </c>
      <c r="M23797" s="7" t="n">
        <v>0</v>
      </c>
    </row>
    <row r="23798" spans="1:13">
      <c r="A23798" t="s">
        <v>4</v>
      </c>
      <c r="B23798" s="4" t="s">
        <v>5</v>
      </c>
    </row>
    <row r="23799" spans="1:13">
      <c r="A23799" t="n">
        <v>229221</v>
      </c>
      <c r="B23799" s="27" t="n">
        <v>28</v>
      </c>
    </row>
    <row r="23800" spans="1:13">
      <c r="A23800" t="s">
        <v>4</v>
      </c>
      <c r="B23800" s="4" t="s">
        <v>5</v>
      </c>
      <c r="C23800" s="4" t="s">
        <v>7</v>
      </c>
      <c r="D23800" s="4" t="s">
        <v>11</v>
      </c>
      <c r="E23800" s="4" t="s">
        <v>11</v>
      </c>
      <c r="F23800" s="4" t="s">
        <v>7</v>
      </c>
    </row>
    <row r="23801" spans="1:13">
      <c r="A23801" t="n">
        <v>229222</v>
      </c>
      <c r="B23801" s="31" t="n">
        <v>25</v>
      </c>
      <c r="C23801" s="7" t="n">
        <v>1</v>
      </c>
      <c r="D23801" s="7" t="n">
        <v>65535</v>
      </c>
      <c r="E23801" s="7" t="n">
        <v>65535</v>
      </c>
      <c r="F23801" s="7" t="n">
        <v>0</v>
      </c>
    </row>
    <row r="23802" spans="1:13">
      <c r="A23802" t="s">
        <v>4</v>
      </c>
      <c r="B23802" s="4" t="s">
        <v>5</v>
      </c>
      <c r="C23802" s="4" t="s">
        <v>11</v>
      </c>
      <c r="D23802" s="4" t="s">
        <v>7</v>
      </c>
      <c r="E23802" s="4" t="s">
        <v>8</v>
      </c>
      <c r="F23802" s="4" t="s">
        <v>13</v>
      </c>
      <c r="G23802" s="4" t="s">
        <v>13</v>
      </c>
      <c r="H23802" s="4" t="s">
        <v>13</v>
      </c>
    </row>
    <row r="23803" spans="1:13">
      <c r="A23803" t="n">
        <v>229229</v>
      </c>
      <c r="B23803" s="42" t="n">
        <v>48</v>
      </c>
      <c r="C23803" s="7" t="n">
        <v>1</v>
      </c>
      <c r="D23803" s="7" t="n">
        <v>0</v>
      </c>
      <c r="E23803" s="7" t="s">
        <v>391</v>
      </c>
      <c r="F23803" s="7" t="n">
        <v>-1</v>
      </c>
      <c r="G23803" s="7" t="n">
        <v>1</v>
      </c>
      <c r="H23803" s="7" t="n">
        <v>0</v>
      </c>
    </row>
    <row r="23804" spans="1:13">
      <c r="A23804" t="s">
        <v>4</v>
      </c>
      <c r="B23804" s="4" t="s">
        <v>5</v>
      </c>
      <c r="C23804" s="4" t="s">
        <v>7</v>
      </c>
      <c r="D23804" s="4" t="s">
        <v>11</v>
      </c>
      <c r="E23804" s="4" t="s">
        <v>8</v>
      </c>
    </row>
    <row r="23805" spans="1:13">
      <c r="A23805" t="n">
        <v>229259</v>
      </c>
      <c r="B23805" s="38" t="n">
        <v>51</v>
      </c>
      <c r="C23805" s="7" t="n">
        <v>4</v>
      </c>
      <c r="D23805" s="7" t="n">
        <v>1</v>
      </c>
      <c r="E23805" s="7" t="s">
        <v>885</v>
      </c>
    </row>
    <row r="23806" spans="1:13">
      <c r="A23806" t="s">
        <v>4</v>
      </c>
      <c r="B23806" s="4" t="s">
        <v>5</v>
      </c>
      <c r="C23806" s="4" t="s">
        <v>11</v>
      </c>
    </row>
    <row r="23807" spans="1:13">
      <c r="A23807" t="n">
        <v>229272</v>
      </c>
      <c r="B23807" s="29" t="n">
        <v>16</v>
      </c>
      <c r="C23807" s="7" t="n">
        <v>0</v>
      </c>
    </row>
    <row r="23808" spans="1:13">
      <c r="A23808" t="s">
        <v>4</v>
      </c>
      <c r="B23808" s="4" t="s">
        <v>5</v>
      </c>
      <c r="C23808" s="4" t="s">
        <v>11</v>
      </c>
      <c r="D23808" s="4" t="s">
        <v>7</v>
      </c>
      <c r="E23808" s="4" t="s">
        <v>15</v>
      </c>
      <c r="F23808" s="4" t="s">
        <v>55</v>
      </c>
      <c r="G23808" s="4" t="s">
        <v>7</v>
      </c>
      <c r="H23808" s="4" t="s">
        <v>7</v>
      </c>
      <c r="I23808" s="4" t="s">
        <v>7</v>
      </c>
      <c r="J23808" s="4" t="s">
        <v>15</v>
      </c>
      <c r="K23808" s="4" t="s">
        <v>55</v>
      </c>
      <c r="L23808" s="4" t="s">
        <v>7</v>
      </c>
      <c r="M23808" s="4" t="s">
        <v>7</v>
      </c>
      <c r="N23808" s="4" t="s">
        <v>7</v>
      </c>
      <c r="O23808" s="4" t="s">
        <v>15</v>
      </c>
      <c r="P23808" s="4" t="s">
        <v>55</v>
      </c>
      <c r="Q23808" s="4" t="s">
        <v>7</v>
      </c>
      <c r="R23808" s="4" t="s">
        <v>7</v>
      </c>
    </row>
    <row r="23809" spans="1:18">
      <c r="A23809" t="n">
        <v>229275</v>
      </c>
      <c r="B23809" s="55" t="n">
        <v>26</v>
      </c>
      <c r="C23809" s="7" t="n">
        <v>1</v>
      </c>
      <c r="D23809" s="7" t="n">
        <v>17</v>
      </c>
      <c r="E23809" s="7" t="n">
        <v>64482</v>
      </c>
      <c r="F23809" s="7" t="s">
        <v>1445</v>
      </c>
      <c r="G23809" s="7" t="n">
        <v>2</v>
      </c>
      <c r="H23809" s="7" t="n">
        <v>3</v>
      </c>
      <c r="I23809" s="7" t="n">
        <v>17</v>
      </c>
      <c r="J23809" s="7" t="n">
        <v>64483</v>
      </c>
      <c r="K23809" s="7" t="s">
        <v>1446</v>
      </c>
      <c r="L23809" s="7" t="n">
        <v>2</v>
      </c>
      <c r="M23809" s="7" t="n">
        <v>3</v>
      </c>
      <c r="N23809" s="7" t="n">
        <v>17</v>
      </c>
      <c r="O23809" s="7" t="n">
        <v>64484</v>
      </c>
      <c r="P23809" s="7" t="s">
        <v>1447</v>
      </c>
      <c r="Q23809" s="7" t="n">
        <v>2</v>
      </c>
      <c r="R23809" s="7" t="n">
        <v>0</v>
      </c>
    </row>
    <row r="23810" spans="1:18">
      <c r="A23810" t="s">
        <v>4</v>
      </c>
      <c r="B23810" s="4" t="s">
        <v>5</v>
      </c>
    </row>
    <row r="23811" spans="1:18">
      <c r="A23811" t="n">
        <v>229609</v>
      </c>
      <c r="B23811" s="27" t="n">
        <v>28</v>
      </c>
    </row>
    <row r="23812" spans="1:18">
      <c r="A23812" t="s">
        <v>4</v>
      </c>
      <c r="B23812" s="4" t="s">
        <v>5</v>
      </c>
      <c r="C23812" s="4" t="s">
        <v>7</v>
      </c>
      <c r="D23812" s="4" t="s">
        <v>11</v>
      </c>
      <c r="E23812" s="4" t="s">
        <v>8</v>
      </c>
    </row>
    <row r="23813" spans="1:18">
      <c r="A23813" t="n">
        <v>229610</v>
      </c>
      <c r="B23813" s="38" t="n">
        <v>51</v>
      </c>
      <c r="C23813" s="7" t="n">
        <v>4</v>
      </c>
      <c r="D23813" s="7" t="n">
        <v>0</v>
      </c>
      <c r="E23813" s="7" t="s">
        <v>1448</v>
      </c>
    </row>
    <row r="23814" spans="1:18">
      <c r="A23814" t="s">
        <v>4</v>
      </c>
      <c r="B23814" s="4" t="s">
        <v>5</v>
      </c>
      <c r="C23814" s="4" t="s">
        <v>11</v>
      </c>
    </row>
    <row r="23815" spans="1:18">
      <c r="A23815" t="n">
        <v>229624</v>
      </c>
      <c r="B23815" s="29" t="n">
        <v>16</v>
      </c>
      <c r="C23815" s="7" t="n">
        <v>0</v>
      </c>
    </row>
    <row r="23816" spans="1:18">
      <c r="A23816" t="s">
        <v>4</v>
      </c>
      <c r="B23816" s="4" t="s">
        <v>5</v>
      </c>
      <c r="C23816" s="4" t="s">
        <v>11</v>
      </c>
      <c r="D23816" s="4" t="s">
        <v>7</v>
      </c>
      <c r="E23816" s="4" t="s">
        <v>15</v>
      </c>
      <c r="F23816" s="4" t="s">
        <v>55</v>
      </c>
      <c r="G23816" s="4" t="s">
        <v>7</v>
      </c>
      <c r="H23816" s="4" t="s">
        <v>7</v>
      </c>
      <c r="I23816" s="4" t="s">
        <v>7</v>
      </c>
      <c r="J23816" s="4" t="s">
        <v>15</v>
      </c>
      <c r="K23816" s="4" t="s">
        <v>55</v>
      </c>
      <c r="L23816" s="4" t="s">
        <v>7</v>
      </c>
      <c r="M23816" s="4" t="s">
        <v>7</v>
      </c>
    </row>
    <row r="23817" spans="1:18">
      <c r="A23817" t="n">
        <v>229627</v>
      </c>
      <c r="B23817" s="55" t="n">
        <v>26</v>
      </c>
      <c r="C23817" s="7" t="n">
        <v>0</v>
      </c>
      <c r="D23817" s="7" t="n">
        <v>17</v>
      </c>
      <c r="E23817" s="7" t="n">
        <v>64485</v>
      </c>
      <c r="F23817" s="7" t="s">
        <v>1449</v>
      </c>
      <c r="G23817" s="7" t="n">
        <v>2</v>
      </c>
      <c r="H23817" s="7" t="n">
        <v>3</v>
      </c>
      <c r="I23817" s="7" t="n">
        <v>17</v>
      </c>
      <c r="J23817" s="7" t="n">
        <v>64486</v>
      </c>
      <c r="K23817" s="7" t="s">
        <v>1450</v>
      </c>
      <c r="L23817" s="7" t="n">
        <v>2</v>
      </c>
      <c r="M23817" s="7" t="n">
        <v>0</v>
      </c>
    </row>
    <row r="23818" spans="1:18">
      <c r="A23818" t="s">
        <v>4</v>
      </c>
      <c r="B23818" s="4" t="s">
        <v>5</v>
      </c>
    </row>
    <row r="23819" spans="1:18">
      <c r="A23819" t="n">
        <v>229776</v>
      </c>
      <c r="B23819" s="27" t="n">
        <v>28</v>
      </c>
    </row>
    <row r="23820" spans="1:18">
      <c r="A23820" t="s">
        <v>4</v>
      </c>
      <c r="B23820" s="4" t="s">
        <v>5</v>
      </c>
      <c r="C23820" s="4" t="s">
        <v>7</v>
      </c>
      <c r="D23820" s="4" t="s">
        <v>11</v>
      </c>
      <c r="E23820" s="4" t="s">
        <v>11</v>
      </c>
      <c r="F23820" s="4" t="s">
        <v>7</v>
      </c>
    </row>
    <row r="23821" spans="1:18">
      <c r="A23821" t="n">
        <v>229777</v>
      </c>
      <c r="B23821" s="31" t="n">
        <v>25</v>
      </c>
      <c r="C23821" s="7" t="n">
        <v>1</v>
      </c>
      <c r="D23821" s="7" t="n">
        <v>65535</v>
      </c>
      <c r="E23821" s="7" t="n">
        <v>65535</v>
      </c>
      <c r="F23821" s="7" t="n">
        <v>0</v>
      </c>
    </row>
    <row r="23822" spans="1:18">
      <c r="A23822" t="s">
        <v>4</v>
      </c>
      <c r="B23822" s="4" t="s">
        <v>5</v>
      </c>
      <c r="C23822" s="4" t="s">
        <v>11</v>
      </c>
      <c r="D23822" s="4" t="s">
        <v>7</v>
      </c>
      <c r="E23822" s="4" t="s">
        <v>7</v>
      </c>
      <c r="F23822" s="4" t="s">
        <v>8</v>
      </c>
    </row>
    <row r="23823" spans="1:18">
      <c r="A23823" t="n">
        <v>229784</v>
      </c>
      <c r="B23823" s="50" t="n">
        <v>20</v>
      </c>
      <c r="C23823" s="7" t="n">
        <v>1</v>
      </c>
      <c r="D23823" s="7" t="n">
        <v>2</v>
      </c>
      <c r="E23823" s="7" t="n">
        <v>10</v>
      </c>
      <c r="F23823" s="7" t="s">
        <v>260</v>
      </c>
    </row>
    <row r="23824" spans="1:18">
      <c r="A23824" t="s">
        <v>4</v>
      </c>
      <c r="B23824" s="4" t="s">
        <v>5</v>
      </c>
      <c r="C23824" s="4" t="s">
        <v>7</v>
      </c>
      <c r="D23824" s="4" t="s">
        <v>11</v>
      </c>
      <c r="E23824" s="4" t="s">
        <v>8</v>
      </c>
    </row>
    <row r="23825" spans="1:18">
      <c r="A23825" t="n">
        <v>229804</v>
      </c>
      <c r="B23825" s="38" t="n">
        <v>51</v>
      </c>
      <c r="C23825" s="7" t="n">
        <v>4</v>
      </c>
      <c r="D23825" s="7" t="n">
        <v>1</v>
      </c>
      <c r="E23825" s="7" t="s">
        <v>752</v>
      </c>
    </row>
    <row r="23826" spans="1:18">
      <c r="A23826" t="s">
        <v>4</v>
      </c>
      <c r="B23826" s="4" t="s">
        <v>5</v>
      </c>
      <c r="C23826" s="4" t="s">
        <v>11</v>
      </c>
    </row>
    <row r="23827" spans="1:18">
      <c r="A23827" t="n">
        <v>229818</v>
      </c>
      <c r="B23827" s="29" t="n">
        <v>16</v>
      </c>
      <c r="C23827" s="7" t="n">
        <v>0</v>
      </c>
    </row>
    <row r="23828" spans="1:18">
      <c r="A23828" t="s">
        <v>4</v>
      </c>
      <c r="B23828" s="4" t="s">
        <v>5</v>
      </c>
      <c r="C23828" s="4" t="s">
        <v>11</v>
      </c>
      <c r="D23828" s="4" t="s">
        <v>7</v>
      </c>
      <c r="E23828" s="4" t="s">
        <v>15</v>
      </c>
      <c r="F23828" s="4" t="s">
        <v>55</v>
      </c>
      <c r="G23828" s="4" t="s">
        <v>7</v>
      </c>
      <c r="H23828" s="4" t="s">
        <v>7</v>
      </c>
      <c r="I23828" s="4" t="s">
        <v>7</v>
      </c>
      <c r="J23828" s="4" t="s">
        <v>15</v>
      </c>
      <c r="K23828" s="4" t="s">
        <v>55</v>
      </c>
      <c r="L23828" s="4" t="s">
        <v>7</v>
      </c>
      <c r="M23828" s="4" t="s">
        <v>7</v>
      </c>
      <c r="N23828" s="4" t="s">
        <v>7</v>
      </c>
      <c r="O23828" s="4" t="s">
        <v>15</v>
      </c>
      <c r="P23828" s="4" t="s">
        <v>55</v>
      </c>
      <c r="Q23828" s="4" t="s">
        <v>7</v>
      </c>
      <c r="R23828" s="4" t="s">
        <v>7</v>
      </c>
    </row>
    <row r="23829" spans="1:18">
      <c r="A23829" t="n">
        <v>229821</v>
      </c>
      <c r="B23829" s="55" t="n">
        <v>26</v>
      </c>
      <c r="C23829" s="7" t="n">
        <v>1</v>
      </c>
      <c r="D23829" s="7" t="n">
        <v>17</v>
      </c>
      <c r="E23829" s="7" t="n">
        <v>64487</v>
      </c>
      <c r="F23829" s="7" t="s">
        <v>1451</v>
      </c>
      <c r="G23829" s="7" t="n">
        <v>2</v>
      </c>
      <c r="H23829" s="7" t="n">
        <v>3</v>
      </c>
      <c r="I23829" s="7" t="n">
        <v>17</v>
      </c>
      <c r="J23829" s="7" t="n">
        <v>64488</v>
      </c>
      <c r="K23829" s="7" t="s">
        <v>1452</v>
      </c>
      <c r="L23829" s="7" t="n">
        <v>2</v>
      </c>
      <c r="M23829" s="7" t="n">
        <v>3</v>
      </c>
      <c r="N23829" s="7" t="n">
        <v>17</v>
      </c>
      <c r="O23829" s="7" t="n">
        <v>64489</v>
      </c>
      <c r="P23829" s="7" t="s">
        <v>1453</v>
      </c>
      <c r="Q23829" s="7" t="n">
        <v>2</v>
      </c>
      <c r="R23829" s="7" t="n">
        <v>0</v>
      </c>
    </row>
    <row r="23830" spans="1:18">
      <c r="A23830" t="s">
        <v>4</v>
      </c>
      <c r="B23830" s="4" t="s">
        <v>5</v>
      </c>
    </row>
    <row r="23831" spans="1:18">
      <c r="A23831" t="n">
        <v>230130</v>
      </c>
      <c r="B23831" s="27" t="n">
        <v>28</v>
      </c>
    </row>
    <row r="23832" spans="1:18">
      <c r="A23832" t="s">
        <v>4</v>
      </c>
      <c r="B23832" s="4" t="s">
        <v>5</v>
      </c>
      <c r="C23832" s="4" t="s">
        <v>7</v>
      </c>
      <c r="D23832" s="4" t="s">
        <v>11</v>
      </c>
      <c r="E23832" s="4" t="s">
        <v>8</v>
      </c>
    </row>
    <row r="23833" spans="1:18">
      <c r="A23833" t="n">
        <v>230131</v>
      </c>
      <c r="B23833" s="38" t="n">
        <v>51</v>
      </c>
      <c r="C23833" s="7" t="n">
        <v>4</v>
      </c>
      <c r="D23833" s="7" t="n">
        <v>0</v>
      </c>
      <c r="E23833" s="7" t="s">
        <v>179</v>
      </c>
    </row>
    <row r="23834" spans="1:18">
      <c r="A23834" t="s">
        <v>4</v>
      </c>
      <c r="B23834" s="4" t="s">
        <v>5</v>
      </c>
      <c r="C23834" s="4" t="s">
        <v>11</v>
      </c>
    </row>
    <row r="23835" spans="1:18">
      <c r="A23835" t="n">
        <v>230145</v>
      </c>
      <c r="B23835" s="29" t="n">
        <v>16</v>
      </c>
      <c r="C23835" s="7" t="n">
        <v>0</v>
      </c>
    </row>
    <row r="23836" spans="1:18">
      <c r="A23836" t="s">
        <v>4</v>
      </c>
      <c r="B23836" s="4" t="s">
        <v>5</v>
      </c>
      <c r="C23836" s="4" t="s">
        <v>11</v>
      </c>
      <c r="D23836" s="4" t="s">
        <v>7</v>
      </c>
      <c r="E23836" s="4" t="s">
        <v>15</v>
      </c>
      <c r="F23836" s="4" t="s">
        <v>55</v>
      </c>
      <c r="G23836" s="4" t="s">
        <v>7</v>
      </c>
      <c r="H23836" s="4" t="s">
        <v>7</v>
      </c>
      <c r="I23836" s="4" t="s">
        <v>7</v>
      </c>
      <c r="J23836" s="4" t="s">
        <v>15</v>
      </c>
      <c r="K23836" s="4" t="s">
        <v>55</v>
      </c>
      <c r="L23836" s="4" t="s">
        <v>7</v>
      </c>
      <c r="M23836" s="4" t="s">
        <v>7</v>
      </c>
    </row>
    <row r="23837" spans="1:18">
      <c r="A23837" t="n">
        <v>230148</v>
      </c>
      <c r="B23837" s="55" t="n">
        <v>26</v>
      </c>
      <c r="C23837" s="7" t="n">
        <v>0</v>
      </c>
      <c r="D23837" s="7" t="n">
        <v>17</v>
      </c>
      <c r="E23837" s="7" t="n">
        <v>64490</v>
      </c>
      <c r="F23837" s="7" t="s">
        <v>1454</v>
      </c>
      <c r="G23837" s="7" t="n">
        <v>2</v>
      </c>
      <c r="H23837" s="7" t="n">
        <v>3</v>
      </c>
      <c r="I23837" s="7" t="n">
        <v>17</v>
      </c>
      <c r="J23837" s="7" t="n">
        <v>64491</v>
      </c>
      <c r="K23837" s="7" t="s">
        <v>1455</v>
      </c>
      <c r="L23837" s="7" t="n">
        <v>2</v>
      </c>
      <c r="M23837" s="7" t="n">
        <v>0</v>
      </c>
    </row>
    <row r="23838" spans="1:18">
      <c r="A23838" t="s">
        <v>4</v>
      </c>
      <c r="B23838" s="4" t="s">
        <v>5</v>
      </c>
    </row>
    <row r="23839" spans="1:18">
      <c r="A23839" t="n">
        <v>230300</v>
      </c>
      <c r="B23839" s="27" t="n">
        <v>28</v>
      </c>
    </row>
    <row r="23840" spans="1:18">
      <c r="A23840" t="s">
        <v>4</v>
      </c>
      <c r="B23840" s="4" t="s">
        <v>5</v>
      </c>
      <c r="C23840" s="4" t="s">
        <v>7</v>
      </c>
      <c r="D23840" s="4" t="s">
        <v>11</v>
      </c>
      <c r="E23840" s="4" t="s">
        <v>11</v>
      </c>
      <c r="F23840" s="4" t="s">
        <v>7</v>
      </c>
    </row>
    <row r="23841" spans="1:18">
      <c r="A23841" t="n">
        <v>230301</v>
      </c>
      <c r="B23841" s="31" t="n">
        <v>25</v>
      </c>
      <c r="C23841" s="7" t="n">
        <v>1</v>
      </c>
      <c r="D23841" s="7" t="n">
        <v>65535</v>
      </c>
      <c r="E23841" s="7" t="n">
        <v>65535</v>
      </c>
      <c r="F23841" s="7" t="n">
        <v>0</v>
      </c>
    </row>
    <row r="23842" spans="1:18">
      <c r="A23842" t="s">
        <v>4</v>
      </c>
      <c r="B23842" s="4" t="s">
        <v>5</v>
      </c>
      <c r="C23842" s="4" t="s">
        <v>7</v>
      </c>
      <c r="D23842" s="4" t="s">
        <v>11</v>
      </c>
      <c r="E23842" s="4" t="s">
        <v>8</v>
      </c>
    </row>
    <row r="23843" spans="1:18">
      <c r="A23843" t="n">
        <v>230308</v>
      </c>
      <c r="B23843" s="38" t="n">
        <v>51</v>
      </c>
      <c r="C23843" s="7" t="n">
        <v>4</v>
      </c>
      <c r="D23843" s="7" t="n">
        <v>1</v>
      </c>
      <c r="E23843" s="7" t="s">
        <v>1456</v>
      </c>
    </row>
    <row r="23844" spans="1:18">
      <c r="A23844" t="s">
        <v>4</v>
      </c>
      <c r="B23844" s="4" t="s">
        <v>5</v>
      </c>
      <c r="C23844" s="4" t="s">
        <v>11</v>
      </c>
    </row>
    <row r="23845" spans="1:18">
      <c r="A23845" t="n">
        <v>230322</v>
      </c>
      <c r="B23845" s="29" t="n">
        <v>16</v>
      </c>
      <c r="C23845" s="7" t="n">
        <v>0</v>
      </c>
    </row>
    <row r="23846" spans="1:18">
      <c r="A23846" t="s">
        <v>4</v>
      </c>
      <c r="B23846" s="4" t="s">
        <v>5</v>
      </c>
      <c r="C23846" s="4" t="s">
        <v>11</v>
      </c>
      <c r="D23846" s="4" t="s">
        <v>7</v>
      </c>
      <c r="E23846" s="4" t="s">
        <v>15</v>
      </c>
      <c r="F23846" s="4" t="s">
        <v>55</v>
      </c>
      <c r="G23846" s="4" t="s">
        <v>7</v>
      </c>
      <c r="H23846" s="4" t="s">
        <v>7</v>
      </c>
    </row>
    <row r="23847" spans="1:18">
      <c r="A23847" t="n">
        <v>230325</v>
      </c>
      <c r="B23847" s="55" t="n">
        <v>26</v>
      </c>
      <c r="C23847" s="7" t="n">
        <v>1</v>
      </c>
      <c r="D23847" s="7" t="n">
        <v>17</v>
      </c>
      <c r="E23847" s="7" t="n">
        <v>64492</v>
      </c>
      <c r="F23847" s="7" t="s">
        <v>1457</v>
      </c>
      <c r="G23847" s="7" t="n">
        <v>2</v>
      </c>
      <c r="H23847" s="7" t="n">
        <v>0</v>
      </c>
    </row>
    <row r="23848" spans="1:18">
      <c r="A23848" t="s">
        <v>4</v>
      </c>
      <c r="B23848" s="4" t="s">
        <v>5</v>
      </c>
    </row>
    <row r="23849" spans="1:18">
      <c r="A23849" t="n">
        <v>230409</v>
      </c>
      <c r="B23849" s="27" t="n">
        <v>28</v>
      </c>
    </row>
    <row r="23850" spans="1:18">
      <c r="A23850" t="s">
        <v>4</v>
      </c>
      <c r="B23850" s="4" t="s">
        <v>5</v>
      </c>
      <c r="C23850" s="4" t="s">
        <v>11</v>
      </c>
      <c r="D23850" s="4" t="s">
        <v>13</v>
      </c>
      <c r="E23850" s="4" t="s">
        <v>13</v>
      </c>
      <c r="F23850" s="4" t="s">
        <v>13</v>
      </c>
      <c r="G23850" s="4" t="s">
        <v>11</v>
      </c>
      <c r="H23850" s="4" t="s">
        <v>11</v>
      </c>
    </row>
    <row r="23851" spans="1:18">
      <c r="A23851" t="n">
        <v>230410</v>
      </c>
      <c r="B23851" s="37" t="n">
        <v>60</v>
      </c>
      <c r="C23851" s="7" t="n">
        <v>1</v>
      </c>
      <c r="D23851" s="7" t="n">
        <v>0</v>
      </c>
      <c r="E23851" s="7" t="n">
        <v>-10</v>
      </c>
      <c r="F23851" s="7" t="n">
        <v>0</v>
      </c>
      <c r="G23851" s="7" t="n">
        <v>1000</v>
      </c>
      <c r="H23851" s="7" t="n">
        <v>0</v>
      </c>
    </row>
    <row r="23852" spans="1:18">
      <c r="A23852" t="s">
        <v>4</v>
      </c>
      <c r="B23852" s="4" t="s">
        <v>5</v>
      </c>
      <c r="C23852" s="4" t="s">
        <v>7</v>
      </c>
      <c r="D23852" s="4" t="s">
        <v>11</v>
      </c>
      <c r="E23852" s="4" t="s">
        <v>8</v>
      </c>
    </row>
    <row r="23853" spans="1:18">
      <c r="A23853" t="n">
        <v>230429</v>
      </c>
      <c r="B23853" s="38" t="n">
        <v>51</v>
      </c>
      <c r="C23853" s="7" t="n">
        <v>4</v>
      </c>
      <c r="D23853" s="7" t="n">
        <v>1</v>
      </c>
      <c r="E23853" s="7" t="s">
        <v>1376</v>
      </c>
    </row>
    <row r="23854" spans="1:18">
      <c r="A23854" t="s">
        <v>4</v>
      </c>
      <c r="B23854" s="4" t="s">
        <v>5</v>
      </c>
      <c r="C23854" s="4" t="s">
        <v>11</v>
      </c>
    </row>
    <row r="23855" spans="1:18">
      <c r="A23855" t="n">
        <v>230444</v>
      </c>
      <c r="B23855" s="29" t="n">
        <v>16</v>
      </c>
      <c r="C23855" s="7" t="n">
        <v>0</v>
      </c>
    </row>
    <row r="23856" spans="1:18">
      <c r="A23856" t="s">
        <v>4</v>
      </c>
      <c r="B23856" s="4" t="s">
        <v>5</v>
      </c>
      <c r="C23856" s="4" t="s">
        <v>11</v>
      </c>
      <c r="D23856" s="4" t="s">
        <v>7</v>
      </c>
      <c r="E23856" s="4" t="s">
        <v>15</v>
      </c>
      <c r="F23856" s="4" t="s">
        <v>55</v>
      </c>
      <c r="G23856" s="4" t="s">
        <v>7</v>
      </c>
      <c r="H23856" s="4" t="s">
        <v>7</v>
      </c>
    </row>
    <row r="23857" spans="1:8">
      <c r="A23857" t="n">
        <v>230447</v>
      </c>
      <c r="B23857" s="55" t="n">
        <v>26</v>
      </c>
      <c r="C23857" s="7" t="n">
        <v>1</v>
      </c>
      <c r="D23857" s="7" t="n">
        <v>17</v>
      </c>
      <c r="E23857" s="7" t="n">
        <v>65277</v>
      </c>
      <c r="F23857" s="7" t="s">
        <v>464</v>
      </c>
      <c r="G23857" s="7" t="n">
        <v>2</v>
      </c>
      <c r="H23857" s="7" t="n">
        <v>0</v>
      </c>
    </row>
    <row r="23858" spans="1:8">
      <c r="A23858" t="s">
        <v>4</v>
      </c>
      <c r="B23858" s="4" t="s">
        <v>5</v>
      </c>
    </row>
    <row r="23859" spans="1:8">
      <c r="A23859" t="n">
        <v>230460</v>
      </c>
      <c r="B23859" s="27" t="n">
        <v>28</v>
      </c>
    </row>
    <row r="23860" spans="1:8">
      <c r="A23860" t="s">
        <v>4</v>
      </c>
      <c r="B23860" s="4" t="s">
        <v>5</v>
      </c>
      <c r="C23860" s="4" t="s">
        <v>11</v>
      </c>
    </row>
    <row r="23861" spans="1:8">
      <c r="A23861" t="n">
        <v>230461</v>
      </c>
      <c r="B23861" s="29" t="n">
        <v>16</v>
      </c>
      <c r="C23861" s="7" t="n">
        <v>300</v>
      </c>
    </row>
    <row r="23862" spans="1:8">
      <c r="A23862" t="s">
        <v>4</v>
      </c>
      <c r="B23862" s="4" t="s">
        <v>5</v>
      </c>
      <c r="C23862" s="4" t="s">
        <v>11</v>
      </c>
      <c r="D23862" s="4" t="s">
        <v>7</v>
      </c>
      <c r="E23862" s="4" t="s">
        <v>13</v>
      </c>
      <c r="F23862" s="4" t="s">
        <v>11</v>
      </c>
    </row>
    <row r="23863" spans="1:8">
      <c r="A23863" t="n">
        <v>230464</v>
      </c>
      <c r="B23863" s="56" t="n">
        <v>59</v>
      </c>
      <c r="C23863" s="7" t="n">
        <v>1</v>
      </c>
      <c r="D23863" s="7" t="n">
        <v>9</v>
      </c>
      <c r="E23863" s="7" t="n">
        <v>0.150000005960464</v>
      </c>
      <c r="F23863" s="7" t="n">
        <v>0</v>
      </c>
    </row>
    <row r="23864" spans="1:8">
      <c r="A23864" t="s">
        <v>4</v>
      </c>
      <c r="B23864" s="4" t="s">
        <v>5</v>
      </c>
      <c r="C23864" s="4" t="s">
        <v>11</v>
      </c>
    </row>
    <row r="23865" spans="1:8">
      <c r="A23865" t="n">
        <v>230474</v>
      </c>
      <c r="B23865" s="29" t="n">
        <v>16</v>
      </c>
      <c r="C23865" s="7" t="n">
        <v>1500</v>
      </c>
    </row>
    <row r="23866" spans="1:8">
      <c r="A23866" t="s">
        <v>4</v>
      </c>
      <c r="B23866" s="4" t="s">
        <v>5</v>
      </c>
      <c r="C23866" s="4" t="s">
        <v>11</v>
      </c>
    </row>
    <row r="23867" spans="1:8">
      <c r="A23867" t="n">
        <v>230477</v>
      </c>
      <c r="B23867" s="29" t="n">
        <v>16</v>
      </c>
      <c r="C23867" s="7" t="n">
        <v>300</v>
      </c>
    </row>
    <row r="23868" spans="1:8">
      <c r="A23868" t="s">
        <v>4</v>
      </c>
      <c r="B23868" s="4" t="s">
        <v>5</v>
      </c>
      <c r="C23868" s="4" t="s">
        <v>7</v>
      </c>
      <c r="D23868" s="4" t="s">
        <v>11</v>
      </c>
      <c r="E23868" s="4" t="s">
        <v>13</v>
      </c>
    </row>
    <row r="23869" spans="1:8">
      <c r="A23869" t="n">
        <v>230480</v>
      </c>
      <c r="B23869" s="23" t="n">
        <v>58</v>
      </c>
      <c r="C23869" s="7" t="n">
        <v>101</v>
      </c>
      <c r="D23869" s="7" t="n">
        <v>300</v>
      </c>
      <c r="E23869" s="7" t="n">
        <v>1</v>
      </c>
    </row>
    <row r="23870" spans="1:8">
      <c r="A23870" t="s">
        <v>4</v>
      </c>
      <c r="B23870" s="4" t="s">
        <v>5</v>
      </c>
      <c r="C23870" s="4" t="s">
        <v>7</v>
      </c>
      <c r="D23870" s="4" t="s">
        <v>11</v>
      </c>
    </row>
    <row r="23871" spans="1:8">
      <c r="A23871" t="n">
        <v>230488</v>
      </c>
      <c r="B23871" s="23" t="n">
        <v>58</v>
      </c>
      <c r="C23871" s="7" t="n">
        <v>254</v>
      </c>
      <c r="D23871" s="7" t="n">
        <v>0</v>
      </c>
    </row>
    <row r="23872" spans="1:8">
      <c r="A23872" t="s">
        <v>4</v>
      </c>
      <c r="B23872" s="4" t="s">
        <v>5</v>
      </c>
      <c r="C23872" s="4" t="s">
        <v>7</v>
      </c>
      <c r="D23872" s="4" t="s">
        <v>7</v>
      </c>
      <c r="E23872" s="4" t="s">
        <v>13</v>
      </c>
      <c r="F23872" s="4" t="s">
        <v>13</v>
      </c>
      <c r="G23872" s="4" t="s">
        <v>13</v>
      </c>
      <c r="H23872" s="4" t="s">
        <v>11</v>
      </c>
    </row>
    <row r="23873" spans="1:8">
      <c r="A23873" t="n">
        <v>230492</v>
      </c>
      <c r="B23873" s="51" t="n">
        <v>45</v>
      </c>
      <c r="C23873" s="7" t="n">
        <v>2</v>
      </c>
      <c r="D23873" s="7" t="n">
        <v>3</v>
      </c>
      <c r="E23873" s="7" t="n">
        <v>6.92999982833862</v>
      </c>
      <c r="F23873" s="7" t="n">
        <v>11.4499998092651</v>
      </c>
      <c r="G23873" s="7" t="n">
        <v>47.7999992370605</v>
      </c>
      <c r="H23873" s="7" t="n">
        <v>0</v>
      </c>
    </row>
    <row r="23874" spans="1:8">
      <c r="A23874" t="s">
        <v>4</v>
      </c>
      <c r="B23874" s="4" t="s">
        <v>5</v>
      </c>
      <c r="C23874" s="4" t="s">
        <v>7</v>
      </c>
      <c r="D23874" s="4" t="s">
        <v>7</v>
      </c>
      <c r="E23874" s="4" t="s">
        <v>13</v>
      </c>
      <c r="F23874" s="4" t="s">
        <v>13</v>
      </c>
      <c r="G23874" s="4" t="s">
        <v>13</v>
      </c>
      <c r="H23874" s="4" t="s">
        <v>11</v>
      </c>
      <c r="I23874" s="4" t="s">
        <v>7</v>
      </c>
    </row>
    <row r="23875" spans="1:8">
      <c r="A23875" t="n">
        <v>230509</v>
      </c>
      <c r="B23875" s="51" t="n">
        <v>45</v>
      </c>
      <c r="C23875" s="7" t="n">
        <v>4</v>
      </c>
      <c r="D23875" s="7" t="n">
        <v>3</v>
      </c>
      <c r="E23875" s="7" t="n">
        <v>4.38000011444092</v>
      </c>
      <c r="F23875" s="7" t="n">
        <v>320.570007324219</v>
      </c>
      <c r="G23875" s="7" t="n">
        <v>350</v>
      </c>
      <c r="H23875" s="7" t="n">
        <v>0</v>
      </c>
      <c r="I23875" s="7" t="n">
        <v>0</v>
      </c>
    </row>
    <row r="23876" spans="1:8">
      <c r="A23876" t="s">
        <v>4</v>
      </c>
      <c r="B23876" s="4" t="s">
        <v>5</v>
      </c>
      <c r="C23876" s="4" t="s">
        <v>7</v>
      </c>
      <c r="D23876" s="4" t="s">
        <v>7</v>
      </c>
      <c r="E23876" s="4" t="s">
        <v>13</v>
      </c>
      <c r="F23876" s="4" t="s">
        <v>11</v>
      </c>
    </row>
    <row r="23877" spans="1:8">
      <c r="A23877" t="n">
        <v>230527</v>
      </c>
      <c r="B23877" s="51" t="n">
        <v>45</v>
      </c>
      <c r="C23877" s="7" t="n">
        <v>5</v>
      </c>
      <c r="D23877" s="7" t="n">
        <v>3</v>
      </c>
      <c r="E23877" s="7" t="n">
        <v>0.800000011920929</v>
      </c>
      <c r="F23877" s="7" t="n">
        <v>0</v>
      </c>
    </row>
    <row r="23878" spans="1:8">
      <c r="A23878" t="s">
        <v>4</v>
      </c>
      <c r="B23878" s="4" t="s">
        <v>5</v>
      </c>
      <c r="C23878" s="4" t="s">
        <v>7</v>
      </c>
      <c r="D23878" s="4" t="s">
        <v>7</v>
      </c>
      <c r="E23878" s="4" t="s">
        <v>13</v>
      </c>
      <c r="F23878" s="4" t="s">
        <v>11</v>
      </c>
    </row>
    <row r="23879" spans="1:8">
      <c r="A23879" t="n">
        <v>230536</v>
      </c>
      <c r="B23879" s="51" t="n">
        <v>45</v>
      </c>
      <c r="C23879" s="7" t="n">
        <v>11</v>
      </c>
      <c r="D23879" s="7" t="n">
        <v>3</v>
      </c>
      <c r="E23879" s="7" t="n">
        <v>34</v>
      </c>
      <c r="F23879" s="7" t="n">
        <v>0</v>
      </c>
    </row>
    <row r="23880" spans="1:8">
      <c r="A23880" t="s">
        <v>4</v>
      </c>
      <c r="B23880" s="4" t="s">
        <v>5</v>
      </c>
      <c r="C23880" s="4" t="s">
        <v>11</v>
      </c>
      <c r="D23880" s="4" t="s">
        <v>11</v>
      </c>
      <c r="E23880" s="4" t="s">
        <v>11</v>
      </c>
    </row>
    <row r="23881" spans="1:8">
      <c r="A23881" t="n">
        <v>230545</v>
      </c>
      <c r="B23881" s="72" t="n">
        <v>61</v>
      </c>
      <c r="C23881" s="7" t="n">
        <v>0</v>
      </c>
      <c r="D23881" s="7" t="n">
        <v>65533</v>
      </c>
      <c r="E23881" s="7" t="n">
        <v>0</v>
      </c>
    </row>
    <row r="23882" spans="1:8">
      <c r="A23882" t="s">
        <v>4</v>
      </c>
      <c r="B23882" s="4" t="s">
        <v>5</v>
      </c>
      <c r="C23882" s="4" t="s">
        <v>11</v>
      </c>
      <c r="D23882" s="4" t="s">
        <v>13</v>
      </c>
      <c r="E23882" s="4" t="s">
        <v>13</v>
      </c>
      <c r="F23882" s="4" t="s">
        <v>13</v>
      </c>
      <c r="G23882" s="4" t="s">
        <v>11</v>
      </c>
      <c r="H23882" s="4" t="s">
        <v>11</v>
      </c>
    </row>
    <row r="23883" spans="1:8">
      <c r="A23883" t="n">
        <v>230552</v>
      </c>
      <c r="B23883" s="37" t="n">
        <v>60</v>
      </c>
      <c r="C23883" s="7" t="n">
        <v>0</v>
      </c>
      <c r="D23883" s="7" t="n">
        <v>5</v>
      </c>
      <c r="E23883" s="7" t="n">
        <v>-10</v>
      </c>
      <c r="F23883" s="7" t="n">
        <v>0</v>
      </c>
      <c r="G23883" s="7" t="n">
        <v>1000</v>
      </c>
      <c r="H23883" s="7" t="n">
        <v>0</v>
      </c>
    </row>
    <row r="23884" spans="1:8">
      <c r="A23884" t="s">
        <v>4</v>
      </c>
      <c r="B23884" s="4" t="s">
        <v>5</v>
      </c>
      <c r="C23884" s="4" t="s">
        <v>7</v>
      </c>
      <c r="D23884" s="4" t="s">
        <v>11</v>
      </c>
      <c r="E23884" s="4" t="s">
        <v>8</v>
      </c>
      <c r="F23884" s="4" t="s">
        <v>8</v>
      </c>
      <c r="G23884" s="4" t="s">
        <v>8</v>
      </c>
      <c r="H23884" s="4" t="s">
        <v>8</v>
      </c>
    </row>
    <row r="23885" spans="1:8">
      <c r="A23885" t="n">
        <v>230571</v>
      </c>
      <c r="B23885" s="38" t="n">
        <v>51</v>
      </c>
      <c r="C23885" s="7" t="n">
        <v>3</v>
      </c>
      <c r="D23885" s="7" t="n">
        <v>1</v>
      </c>
      <c r="E23885" s="7" t="s">
        <v>371</v>
      </c>
      <c r="F23885" s="7" t="s">
        <v>155</v>
      </c>
      <c r="G23885" s="7" t="s">
        <v>78</v>
      </c>
      <c r="H23885" s="7" t="s">
        <v>79</v>
      </c>
    </row>
    <row r="23886" spans="1:8">
      <c r="A23886" t="s">
        <v>4</v>
      </c>
      <c r="B23886" s="4" t="s">
        <v>5</v>
      </c>
      <c r="C23886" s="4" t="s">
        <v>11</v>
      </c>
      <c r="D23886" s="4" t="s">
        <v>13</v>
      </c>
      <c r="E23886" s="4" t="s">
        <v>13</v>
      </c>
      <c r="F23886" s="4" t="s">
        <v>13</v>
      </c>
      <c r="G23886" s="4" t="s">
        <v>11</v>
      </c>
      <c r="H23886" s="4" t="s">
        <v>11</v>
      </c>
    </row>
    <row r="23887" spans="1:8">
      <c r="A23887" t="n">
        <v>230584</v>
      </c>
      <c r="B23887" s="37" t="n">
        <v>60</v>
      </c>
      <c r="C23887" s="7" t="n">
        <v>1</v>
      </c>
      <c r="D23887" s="7" t="n">
        <v>0</v>
      </c>
      <c r="E23887" s="7" t="n">
        <v>0</v>
      </c>
      <c r="F23887" s="7" t="n">
        <v>0</v>
      </c>
      <c r="G23887" s="7" t="n">
        <v>1000</v>
      </c>
      <c r="H23887" s="7" t="n">
        <v>0</v>
      </c>
    </row>
    <row r="23888" spans="1:8">
      <c r="A23888" t="s">
        <v>4</v>
      </c>
      <c r="B23888" s="4" t="s">
        <v>5</v>
      </c>
      <c r="C23888" s="4" t="s">
        <v>7</v>
      </c>
      <c r="D23888" s="4" t="s">
        <v>11</v>
      </c>
      <c r="E23888" s="4" t="s">
        <v>11</v>
      </c>
      <c r="F23888" s="4" t="s">
        <v>15</v>
      </c>
    </row>
    <row r="23889" spans="1:9">
      <c r="A23889" t="n">
        <v>230603</v>
      </c>
      <c r="B23889" s="76" t="n">
        <v>84</v>
      </c>
      <c r="C23889" s="7" t="n">
        <v>0</v>
      </c>
      <c r="D23889" s="7" t="n">
        <v>0</v>
      </c>
      <c r="E23889" s="7" t="n">
        <v>0</v>
      </c>
      <c r="F23889" s="7" t="n">
        <v>1053609165</v>
      </c>
    </row>
    <row r="23890" spans="1:9">
      <c r="A23890" t="s">
        <v>4</v>
      </c>
      <c r="B23890" s="4" t="s">
        <v>5</v>
      </c>
      <c r="C23890" s="4" t="s">
        <v>11</v>
      </c>
      <c r="D23890" s="4" t="s">
        <v>7</v>
      </c>
      <c r="E23890" s="4" t="s">
        <v>8</v>
      </c>
      <c r="F23890" s="4" t="s">
        <v>13</v>
      </c>
      <c r="G23890" s="4" t="s">
        <v>13</v>
      </c>
      <c r="H23890" s="4" t="s">
        <v>13</v>
      </c>
    </row>
    <row r="23891" spans="1:9">
      <c r="A23891" t="n">
        <v>230613</v>
      </c>
      <c r="B23891" s="42" t="n">
        <v>48</v>
      </c>
      <c r="C23891" s="7" t="n">
        <v>1</v>
      </c>
      <c r="D23891" s="7" t="n">
        <v>0</v>
      </c>
      <c r="E23891" s="7" t="s">
        <v>1437</v>
      </c>
      <c r="F23891" s="7" t="n">
        <v>-1</v>
      </c>
      <c r="G23891" s="7" t="n">
        <v>1</v>
      </c>
      <c r="H23891" s="7" t="n">
        <v>0</v>
      </c>
    </row>
    <row r="23892" spans="1:9">
      <c r="A23892" t="s">
        <v>4</v>
      </c>
      <c r="B23892" s="4" t="s">
        <v>5</v>
      </c>
      <c r="C23892" s="4" t="s">
        <v>11</v>
      </c>
      <c r="D23892" s="4" t="s">
        <v>7</v>
      </c>
      <c r="E23892" s="4" t="s">
        <v>8</v>
      </c>
      <c r="F23892" s="4" t="s">
        <v>13</v>
      </c>
      <c r="G23892" s="4" t="s">
        <v>13</v>
      </c>
      <c r="H23892" s="4" t="s">
        <v>13</v>
      </c>
    </row>
    <row r="23893" spans="1:9">
      <c r="A23893" t="n">
        <v>230639</v>
      </c>
      <c r="B23893" s="42" t="n">
        <v>48</v>
      </c>
      <c r="C23893" s="7" t="n">
        <v>0</v>
      </c>
      <c r="D23893" s="7" t="n">
        <v>0</v>
      </c>
      <c r="E23893" s="7" t="s">
        <v>1437</v>
      </c>
      <c r="F23893" s="7" t="n">
        <v>-1</v>
      </c>
      <c r="G23893" s="7" t="n">
        <v>1</v>
      </c>
      <c r="H23893" s="7" t="n">
        <v>0</v>
      </c>
    </row>
    <row r="23894" spans="1:9">
      <c r="A23894" t="s">
        <v>4</v>
      </c>
      <c r="B23894" s="4" t="s">
        <v>5</v>
      </c>
      <c r="C23894" s="4" t="s">
        <v>7</v>
      </c>
      <c r="D23894" s="4" t="s">
        <v>7</v>
      </c>
      <c r="E23894" s="4" t="s">
        <v>13</v>
      </c>
      <c r="F23894" s="4" t="s">
        <v>13</v>
      </c>
      <c r="G23894" s="4" t="s">
        <v>13</v>
      </c>
      <c r="H23894" s="4" t="s">
        <v>11</v>
      </c>
    </row>
    <row r="23895" spans="1:9">
      <c r="A23895" t="n">
        <v>230665</v>
      </c>
      <c r="B23895" s="51" t="n">
        <v>45</v>
      </c>
      <c r="C23895" s="7" t="n">
        <v>2</v>
      </c>
      <c r="D23895" s="7" t="n">
        <v>3</v>
      </c>
      <c r="E23895" s="7" t="n">
        <v>6.28999996185303</v>
      </c>
      <c r="F23895" s="7" t="n">
        <v>11.4399995803833</v>
      </c>
      <c r="G23895" s="7" t="n">
        <v>47.7200012207031</v>
      </c>
      <c r="H23895" s="7" t="n">
        <v>1000</v>
      </c>
    </row>
    <row r="23896" spans="1:9">
      <c r="A23896" t="s">
        <v>4</v>
      </c>
      <c r="B23896" s="4" t="s">
        <v>5</v>
      </c>
      <c r="C23896" s="4" t="s">
        <v>7</v>
      </c>
      <c r="D23896" s="4" t="s">
        <v>7</v>
      </c>
      <c r="E23896" s="4" t="s">
        <v>13</v>
      </c>
      <c r="F23896" s="4" t="s">
        <v>13</v>
      </c>
      <c r="G23896" s="4" t="s">
        <v>13</v>
      </c>
      <c r="H23896" s="4" t="s">
        <v>11</v>
      </c>
      <c r="I23896" s="4" t="s">
        <v>7</v>
      </c>
    </row>
    <row r="23897" spans="1:9">
      <c r="A23897" t="n">
        <v>230682</v>
      </c>
      <c r="B23897" s="51" t="n">
        <v>45</v>
      </c>
      <c r="C23897" s="7" t="n">
        <v>4</v>
      </c>
      <c r="D23897" s="7" t="n">
        <v>3</v>
      </c>
      <c r="E23897" s="7" t="n">
        <v>359.269989013672</v>
      </c>
      <c r="F23897" s="7" t="n">
        <v>345.910003662109</v>
      </c>
      <c r="G23897" s="7" t="n">
        <v>350</v>
      </c>
      <c r="H23897" s="7" t="n">
        <v>1000</v>
      </c>
      <c r="I23897" s="7" t="n">
        <v>1</v>
      </c>
    </row>
    <row r="23898" spans="1:9">
      <c r="A23898" t="s">
        <v>4</v>
      </c>
      <c r="B23898" s="4" t="s">
        <v>5</v>
      </c>
      <c r="C23898" s="4" t="s">
        <v>7</v>
      </c>
      <c r="D23898" s="4" t="s">
        <v>7</v>
      </c>
      <c r="E23898" s="4" t="s">
        <v>13</v>
      </c>
      <c r="F23898" s="4" t="s">
        <v>11</v>
      </c>
    </row>
    <row r="23899" spans="1:9">
      <c r="A23899" t="n">
        <v>230700</v>
      </c>
      <c r="B23899" s="51" t="n">
        <v>45</v>
      </c>
      <c r="C23899" s="7" t="n">
        <v>5</v>
      </c>
      <c r="D23899" s="7" t="n">
        <v>3</v>
      </c>
      <c r="E23899" s="7" t="n">
        <v>1</v>
      </c>
      <c r="F23899" s="7" t="n">
        <v>1000</v>
      </c>
    </row>
    <row r="23900" spans="1:9">
      <c r="A23900" t="s">
        <v>4</v>
      </c>
      <c r="B23900" s="4" t="s">
        <v>5</v>
      </c>
      <c r="C23900" s="4" t="s">
        <v>7</v>
      </c>
      <c r="D23900" s="4" t="s">
        <v>7</v>
      </c>
      <c r="E23900" s="4" t="s">
        <v>13</v>
      </c>
      <c r="F23900" s="4" t="s">
        <v>11</v>
      </c>
    </row>
    <row r="23901" spans="1:9">
      <c r="A23901" t="n">
        <v>230709</v>
      </c>
      <c r="B23901" s="51" t="n">
        <v>45</v>
      </c>
      <c r="C23901" s="7" t="n">
        <v>11</v>
      </c>
      <c r="D23901" s="7" t="n">
        <v>3</v>
      </c>
      <c r="E23901" s="7" t="n">
        <v>34</v>
      </c>
      <c r="F23901" s="7" t="n">
        <v>1000</v>
      </c>
    </row>
    <row r="23902" spans="1:9">
      <c r="A23902" t="s">
        <v>4</v>
      </c>
      <c r="B23902" s="4" t="s">
        <v>5</v>
      </c>
      <c r="C23902" s="4" t="s">
        <v>11</v>
      </c>
    </row>
    <row r="23903" spans="1:9">
      <c r="A23903" t="n">
        <v>230718</v>
      </c>
      <c r="B23903" s="29" t="n">
        <v>16</v>
      </c>
      <c r="C23903" s="7" t="n">
        <v>400</v>
      </c>
    </row>
    <row r="23904" spans="1:9">
      <c r="A23904" t="s">
        <v>4</v>
      </c>
      <c r="B23904" s="4" t="s">
        <v>5</v>
      </c>
      <c r="C23904" s="4" t="s">
        <v>7</v>
      </c>
      <c r="D23904" s="4" t="s">
        <v>11</v>
      </c>
      <c r="E23904" s="4" t="s">
        <v>13</v>
      </c>
      <c r="F23904" s="4" t="s">
        <v>11</v>
      </c>
      <c r="G23904" s="4" t="s">
        <v>15</v>
      </c>
      <c r="H23904" s="4" t="s">
        <v>15</v>
      </c>
      <c r="I23904" s="4" t="s">
        <v>11</v>
      </c>
      <c r="J23904" s="4" t="s">
        <v>11</v>
      </c>
      <c r="K23904" s="4" t="s">
        <v>15</v>
      </c>
      <c r="L23904" s="4" t="s">
        <v>15</v>
      </c>
      <c r="M23904" s="4" t="s">
        <v>15</v>
      </c>
      <c r="N23904" s="4" t="s">
        <v>15</v>
      </c>
      <c r="O23904" s="4" t="s">
        <v>8</v>
      </c>
    </row>
    <row r="23905" spans="1:15">
      <c r="A23905" t="n">
        <v>230721</v>
      </c>
      <c r="B23905" s="57" t="n">
        <v>50</v>
      </c>
      <c r="C23905" s="7" t="n">
        <v>0</v>
      </c>
      <c r="D23905" s="7" t="n">
        <v>2004</v>
      </c>
      <c r="E23905" s="7" t="n">
        <v>0.800000011920929</v>
      </c>
      <c r="F23905" s="7" t="n">
        <v>200</v>
      </c>
      <c r="G23905" s="7" t="n">
        <v>0</v>
      </c>
      <c r="H23905" s="7" t="n">
        <v>1073741824</v>
      </c>
      <c r="I23905" s="7" t="n">
        <v>0</v>
      </c>
      <c r="J23905" s="7" t="n">
        <v>65533</v>
      </c>
      <c r="K23905" s="7" t="n">
        <v>0</v>
      </c>
      <c r="L23905" s="7" t="n">
        <v>0</v>
      </c>
      <c r="M23905" s="7" t="n">
        <v>0</v>
      </c>
      <c r="N23905" s="7" t="n">
        <v>0</v>
      </c>
      <c r="O23905" s="7" t="s">
        <v>16</v>
      </c>
    </row>
    <row r="23906" spans="1:15">
      <c r="A23906" t="s">
        <v>4</v>
      </c>
      <c r="B23906" s="4" t="s">
        <v>5</v>
      </c>
      <c r="C23906" s="4" t="s">
        <v>11</v>
      </c>
    </row>
    <row r="23907" spans="1:15">
      <c r="A23907" t="n">
        <v>230760</v>
      </c>
      <c r="B23907" s="29" t="n">
        <v>16</v>
      </c>
      <c r="C23907" s="7" t="n">
        <v>400</v>
      </c>
    </row>
    <row r="23908" spans="1:15">
      <c r="A23908" t="s">
        <v>4</v>
      </c>
      <c r="B23908" s="4" t="s">
        <v>5</v>
      </c>
      <c r="C23908" s="4" t="s">
        <v>7</v>
      </c>
      <c r="D23908" s="4" t="s">
        <v>11</v>
      </c>
      <c r="E23908" s="4" t="s">
        <v>8</v>
      </c>
      <c r="F23908" s="4" t="s">
        <v>8</v>
      </c>
      <c r="G23908" s="4" t="s">
        <v>8</v>
      </c>
      <c r="H23908" s="4" t="s">
        <v>8</v>
      </c>
    </row>
    <row r="23909" spans="1:15">
      <c r="A23909" t="n">
        <v>230763</v>
      </c>
      <c r="B23909" s="38" t="n">
        <v>51</v>
      </c>
      <c r="C23909" s="7" t="n">
        <v>3</v>
      </c>
      <c r="D23909" s="7" t="n">
        <v>1</v>
      </c>
      <c r="E23909" s="7" t="s">
        <v>372</v>
      </c>
      <c r="F23909" s="7" t="s">
        <v>218</v>
      </c>
      <c r="G23909" s="7" t="s">
        <v>78</v>
      </c>
      <c r="H23909" s="7" t="s">
        <v>79</v>
      </c>
    </row>
    <row r="23910" spans="1:15">
      <c r="A23910" t="s">
        <v>4</v>
      </c>
      <c r="B23910" s="4" t="s">
        <v>5</v>
      </c>
      <c r="C23910" s="4" t="s">
        <v>11</v>
      </c>
    </row>
    <row r="23911" spans="1:15">
      <c r="A23911" t="n">
        <v>230776</v>
      </c>
      <c r="B23911" s="29" t="n">
        <v>16</v>
      </c>
      <c r="C23911" s="7" t="n">
        <v>500</v>
      </c>
    </row>
    <row r="23912" spans="1:15">
      <c r="A23912" t="s">
        <v>4</v>
      </c>
      <c r="B23912" s="4" t="s">
        <v>5</v>
      </c>
      <c r="C23912" s="4" t="s">
        <v>7</v>
      </c>
      <c r="D23912" s="4" t="s">
        <v>11</v>
      </c>
      <c r="E23912" s="4" t="s">
        <v>11</v>
      </c>
      <c r="F23912" s="4" t="s">
        <v>15</v>
      </c>
    </row>
    <row r="23913" spans="1:15">
      <c r="A23913" t="n">
        <v>230779</v>
      </c>
      <c r="B23913" s="76" t="n">
        <v>84</v>
      </c>
      <c r="C23913" s="7" t="n">
        <v>1</v>
      </c>
      <c r="D23913" s="7" t="n">
        <v>0</v>
      </c>
      <c r="E23913" s="7" t="n">
        <v>1000</v>
      </c>
      <c r="F23913" s="7" t="n">
        <v>0</v>
      </c>
    </row>
    <row r="23914" spans="1:15">
      <c r="A23914" t="s">
        <v>4</v>
      </c>
      <c r="B23914" s="4" t="s">
        <v>5</v>
      </c>
      <c r="C23914" s="4" t="s">
        <v>11</v>
      </c>
      <c r="D23914" s="4" t="s">
        <v>7</v>
      </c>
      <c r="E23914" s="4" t="s">
        <v>13</v>
      </c>
      <c r="F23914" s="4" t="s">
        <v>11</v>
      </c>
    </row>
    <row r="23915" spans="1:15">
      <c r="A23915" t="n">
        <v>230789</v>
      </c>
      <c r="B23915" s="56" t="n">
        <v>59</v>
      </c>
      <c r="C23915" s="7" t="n">
        <v>0</v>
      </c>
      <c r="D23915" s="7" t="n">
        <v>13</v>
      </c>
      <c r="E23915" s="7" t="n">
        <v>0.150000005960464</v>
      </c>
      <c r="F23915" s="7" t="n">
        <v>0</v>
      </c>
    </row>
    <row r="23916" spans="1:15">
      <c r="A23916" t="s">
        <v>4</v>
      </c>
      <c r="B23916" s="4" t="s">
        <v>5</v>
      </c>
      <c r="C23916" s="4" t="s">
        <v>11</v>
      </c>
    </row>
    <row r="23917" spans="1:15">
      <c r="A23917" t="n">
        <v>230799</v>
      </c>
      <c r="B23917" s="29" t="n">
        <v>16</v>
      </c>
      <c r="C23917" s="7" t="n">
        <v>1000</v>
      </c>
    </row>
    <row r="23918" spans="1:15">
      <c r="A23918" t="s">
        <v>4</v>
      </c>
      <c r="B23918" s="4" t="s">
        <v>5</v>
      </c>
      <c r="C23918" s="4" t="s">
        <v>7</v>
      </c>
      <c r="D23918" s="4" t="s">
        <v>11</v>
      </c>
      <c r="E23918" s="4" t="s">
        <v>11</v>
      </c>
      <c r="F23918" s="4" t="s">
        <v>11</v>
      </c>
      <c r="G23918" s="4" t="s">
        <v>11</v>
      </c>
      <c r="H23918" s="4" t="s">
        <v>11</v>
      </c>
      <c r="I23918" s="4" t="s">
        <v>8</v>
      </c>
      <c r="J23918" s="4" t="s">
        <v>13</v>
      </c>
      <c r="K23918" s="4" t="s">
        <v>13</v>
      </c>
      <c r="L23918" s="4" t="s">
        <v>13</v>
      </c>
      <c r="M23918" s="4" t="s">
        <v>15</v>
      </c>
      <c r="N23918" s="4" t="s">
        <v>15</v>
      </c>
      <c r="O23918" s="4" t="s">
        <v>13</v>
      </c>
      <c r="P23918" s="4" t="s">
        <v>13</v>
      </c>
      <c r="Q23918" s="4" t="s">
        <v>13</v>
      </c>
      <c r="R23918" s="4" t="s">
        <v>13</v>
      </c>
      <c r="S23918" s="4" t="s">
        <v>7</v>
      </c>
    </row>
    <row r="23919" spans="1:15">
      <c r="A23919" t="n">
        <v>230802</v>
      </c>
      <c r="B23919" s="81" t="n">
        <v>39</v>
      </c>
      <c r="C23919" s="7" t="n">
        <v>12</v>
      </c>
      <c r="D23919" s="7" t="n">
        <v>1</v>
      </c>
      <c r="E23919" s="7" t="n">
        <v>203</v>
      </c>
      <c r="F23919" s="7" t="n">
        <v>0</v>
      </c>
      <c r="G23919" s="7" t="n">
        <v>1</v>
      </c>
      <c r="H23919" s="7" t="n">
        <v>3</v>
      </c>
      <c r="I23919" s="7" t="s">
        <v>917</v>
      </c>
      <c r="J23919" s="7" t="n">
        <v>0</v>
      </c>
      <c r="K23919" s="7" t="n">
        <v>0</v>
      </c>
      <c r="L23919" s="7" t="n">
        <v>0</v>
      </c>
      <c r="M23919" s="7" t="n">
        <v>0</v>
      </c>
      <c r="N23919" s="7" t="n">
        <v>0</v>
      </c>
      <c r="O23919" s="7" t="n">
        <v>0</v>
      </c>
      <c r="P23919" s="7" t="n">
        <v>1</v>
      </c>
      <c r="Q23919" s="7" t="n">
        <v>1</v>
      </c>
      <c r="R23919" s="7" t="n">
        <v>1</v>
      </c>
      <c r="S23919" s="7" t="n">
        <v>103</v>
      </c>
    </row>
    <row r="23920" spans="1:15">
      <c r="A23920" t="s">
        <v>4</v>
      </c>
      <c r="B23920" s="4" t="s">
        <v>5</v>
      </c>
      <c r="C23920" s="4" t="s">
        <v>7</v>
      </c>
      <c r="D23920" s="4" t="s">
        <v>11</v>
      </c>
    </row>
    <row r="23921" spans="1:19">
      <c r="A23921" t="n">
        <v>230872</v>
      </c>
      <c r="B23921" s="51" t="n">
        <v>45</v>
      </c>
      <c r="C23921" s="7" t="n">
        <v>7</v>
      </c>
      <c r="D23921" s="7" t="n">
        <v>255</v>
      </c>
    </row>
    <row r="23922" spans="1:19">
      <c r="A23922" t="s">
        <v>4</v>
      </c>
      <c r="B23922" s="4" t="s">
        <v>5</v>
      </c>
      <c r="C23922" s="4" t="s">
        <v>7</v>
      </c>
      <c r="D23922" s="4" t="s">
        <v>11</v>
      </c>
      <c r="E23922" s="4" t="s">
        <v>8</v>
      </c>
    </row>
    <row r="23923" spans="1:19">
      <c r="A23923" t="n">
        <v>230876</v>
      </c>
      <c r="B23923" s="38" t="n">
        <v>51</v>
      </c>
      <c r="C23923" s="7" t="n">
        <v>4</v>
      </c>
      <c r="D23923" s="7" t="n">
        <v>0</v>
      </c>
      <c r="E23923" s="7" t="s">
        <v>245</v>
      </c>
    </row>
    <row r="23924" spans="1:19">
      <c r="A23924" t="s">
        <v>4</v>
      </c>
      <c r="B23924" s="4" t="s">
        <v>5</v>
      </c>
      <c r="C23924" s="4" t="s">
        <v>11</v>
      </c>
    </row>
    <row r="23925" spans="1:19">
      <c r="A23925" t="n">
        <v>230890</v>
      </c>
      <c r="B23925" s="29" t="n">
        <v>16</v>
      </c>
      <c r="C23925" s="7" t="n">
        <v>0</v>
      </c>
    </row>
    <row r="23926" spans="1:19">
      <c r="A23926" t="s">
        <v>4</v>
      </c>
      <c r="B23926" s="4" t="s">
        <v>5</v>
      </c>
      <c r="C23926" s="4" t="s">
        <v>11</v>
      </c>
      <c r="D23926" s="4" t="s">
        <v>7</v>
      </c>
      <c r="E23926" s="4" t="s">
        <v>15</v>
      </c>
      <c r="F23926" s="4" t="s">
        <v>55</v>
      </c>
      <c r="G23926" s="4" t="s">
        <v>7</v>
      </c>
      <c r="H23926" s="4" t="s">
        <v>7</v>
      </c>
    </row>
    <row r="23927" spans="1:19">
      <c r="A23927" t="n">
        <v>230893</v>
      </c>
      <c r="B23927" s="55" t="n">
        <v>26</v>
      </c>
      <c r="C23927" s="7" t="n">
        <v>0</v>
      </c>
      <c r="D23927" s="7" t="n">
        <v>17</v>
      </c>
      <c r="E23927" s="7" t="n">
        <v>64493</v>
      </c>
      <c r="F23927" s="7" t="s">
        <v>1477</v>
      </c>
      <c r="G23927" s="7" t="n">
        <v>2</v>
      </c>
      <c r="H23927" s="7" t="n">
        <v>0</v>
      </c>
    </row>
    <row r="23928" spans="1:19">
      <c r="A23928" t="s">
        <v>4</v>
      </c>
      <c r="B23928" s="4" t="s">
        <v>5</v>
      </c>
    </row>
    <row r="23929" spans="1:19">
      <c r="A23929" t="n">
        <v>230920</v>
      </c>
      <c r="B23929" s="27" t="n">
        <v>28</v>
      </c>
    </row>
    <row r="23930" spans="1:19">
      <c r="A23930" t="s">
        <v>4</v>
      </c>
      <c r="B23930" s="4" t="s">
        <v>5</v>
      </c>
      <c r="C23930" s="4" t="s">
        <v>7</v>
      </c>
      <c r="D23930" s="4" t="s">
        <v>11</v>
      </c>
      <c r="E23930" s="4" t="s">
        <v>11</v>
      </c>
      <c r="F23930" s="4" t="s">
        <v>7</v>
      </c>
    </row>
    <row r="23931" spans="1:19">
      <c r="A23931" t="n">
        <v>230921</v>
      </c>
      <c r="B23931" s="31" t="n">
        <v>25</v>
      </c>
      <c r="C23931" s="7" t="n">
        <v>1</v>
      </c>
      <c r="D23931" s="7" t="n">
        <v>65535</v>
      </c>
      <c r="E23931" s="7" t="n">
        <v>65535</v>
      </c>
      <c r="F23931" s="7" t="n">
        <v>0</v>
      </c>
    </row>
    <row r="23932" spans="1:19">
      <c r="A23932" t="s">
        <v>4</v>
      </c>
      <c r="B23932" s="4" t="s">
        <v>5</v>
      </c>
      <c r="C23932" s="4" t="s">
        <v>11</v>
      </c>
    </row>
    <row r="23933" spans="1:19">
      <c r="A23933" t="n">
        <v>230928</v>
      </c>
      <c r="B23933" s="29" t="n">
        <v>16</v>
      </c>
      <c r="C23933" s="7" t="n">
        <v>300</v>
      </c>
    </row>
    <row r="23934" spans="1:19">
      <c r="A23934" t="s">
        <v>4</v>
      </c>
      <c r="B23934" s="4" t="s">
        <v>5</v>
      </c>
      <c r="C23934" s="4" t="s">
        <v>7</v>
      </c>
      <c r="D23934" s="4" t="s">
        <v>11</v>
      </c>
      <c r="E23934" s="4" t="s">
        <v>8</v>
      </c>
      <c r="F23934" s="4" t="s">
        <v>8</v>
      </c>
      <c r="G23934" s="4" t="s">
        <v>8</v>
      </c>
      <c r="H23934" s="4" t="s">
        <v>8</v>
      </c>
    </row>
    <row r="23935" spans="1:19">
      <c r="A23935" t="n">
        <v>230931</v>
      </c>
      <c r="B23935" s="38" t="n">
        <v>51</v>
      </c>
      <c r="C23935" s="7" t="n">
        <v>3</v>
      </c>
      <c r="D23935" s="7" t="n">
        <v>1</v>
      </c>
      <c r="E23935" s="7" t="s">
        <v>371</v>
      </c>
      <c r="F23935" s="7" t="s">
        <v>218</v>
      </c>
      <c r="G23935" s="7" t="s">
        <v>78</v>
      </c>
      <c r="H23935" s="7" t="s">
        <v>79</v>
      </c>
    </row>
    <row r="23936" spans="1:19">
      <c r="A23936" t="s">
        <v>4</v>
      </c>
      <c r="B23936" s="4" t="s">
        <v>5</v>
      </c>
      <c r="C23936" s="4" t="s">
        <v>11</v>
      </c>
      <c r="D23936" s="4" t="s">
        <v>13</v>
      </c>
      <c r="E23936" s="4" t="s">
        <v>13</v>
      </c>
      <c r="F23936" s="4" t="s">
        <v>13</v>
      </c>
      <c r="G23936" s="4" t="s">
        <v>11</v>
      </c>
      <c r="H23936" s="4" t="s">
        <v>11</v>
      </c>
    </row>
    <row r="23937" spans="1:8">
      <c r="A23937" t="n">
        <v>230944</v>
      </c>
      <c r="B23937" s="37" t="n">
        <v>60</v>
      </c>
      <c r="C23937" s="7" t="n">
        <v>1</v>
      </c>
      <c r="D23937" s="7" t="n">
        <v>-10</v>
      </c>
      <c r="E23937" s="7" t="n">
        <v>25</v>
      </c>
      <c r="F23937" s="7" t="n">
        <v>0</v>
      </c>
      <c r="G23937" s="7" t="n">
        <v>1200</v>
      </c>
      <c r="H23937" s="7" t="n">
        <v>0</v>
      </c>
    </row>
    <row r="23938" spans="1:8">
      <c r="A23938" t="s">
        <v>4</v>
      </c>
      <c r="B23938" s="4" t="s">
        <v>5</v>
      </c>
      <c r="C23938" s="4" t="s">
        <v>11</v>
      </c>
    </row>
    <row r="23939" spans="1:8">
      <c r="A23939" t="n">
        <v>230963</v>
      </c>
      <c r="B23939" s="29" t="n">
        <v>16</v>
      </c>
      <c r="C23939" s="7" t="n">
        <v>1200</v>
      </c>
    </row>
    <row r="23940" spans="1:8">
      <c r="A23940" t="s">
        <v>4</v>
      </c>
      <c r="B23940" s="4" t="s">
        <v>5</v>
      </c>
      <c r="C23940" s="4" t="s">
        <v>7</v>
      </c>
      <c r="D23940" s="4" t="s">
        <v>11</v>
      </c>
      <c r="E23940" s="4" t="s">
        <v>8</v>
      </c>
    </row>
    <row r="23941" spans="1:8">
      <c r="A23941" t="n">
        <v>230966</v>
      </c>
      <c r="B23941" s="38" t="n">
        <v>51</v>
      </c>
      <c r="C23941" s="7" t="n">
        <v>4</v>
      </c>
      <c r="D23941" s="7" t="n">
        <v>1</v>
      </c>
      <c r="E23941" s="7" t="s">
        <v>1478</v>
      </c>
    </row>
    <row r="23942" spans="1:8">
      <c r="A23942" t="s">
        <v>4</v>
      </c>
      <c r="B23942" s="4" t="s">
        <v>5</v>
      </c>
      <c r="C23942" s="4" t="s">
        <v>11</v>
      </c>
    </row>
    <row r="23943" spans="1:8">
      <c r="A23943" t="n">
        <v>230980</v>
      </c>
      <c r="B23943" s="29" t="n">
        <v>16</v>
      </c>
      <c r="C23943" s="7" t="n">
        <v>0</v>
      </c>
    </row>
    <row r="23944" spans="1:8">
      <c r="A23944" t="s">
        <v>4</v>
      </c>
      <c r="B23944" s="4" t="s">
        <v>5</v>
      </c>
      <c r="C23944" s="4" t="s">
        <v>11</v>
      </c>
      <c r="D23944" s="4" t="s">
        <v>7</v>
      </c>
      <c r="E23944" s="4" t="s">
        <v>15</v>
      </c>
      <c r="F23944" s="4" t="s">
        <v>55</v>
      </c>
      <c r="G23944" s="4" t="s">
        <v>7</v>
      </c>
      <c r="H23944" s="4" t="s">
        <v>7</v>
      </c>
      <c r="I23944" s="4" t="s">
        <v>7</v>
      </c>
      <c r="J23944" s="4" t="s">
        <v>15</v>
      </c>
      <c r="K23944" s="4" t="s">
        <v>55</v>
      </c>
      <c r="L23944" s="4" t="s">
        <v>7</v>
      </c>
      <c r="M23944" s="4" t="s">
        <v>7</v>
      </c>
    </row>
    <row r="23945" spans="1:8">
      <c r="A23945" t="n">
        <v>230983</v>
      </c>
      <c r="B23945" s="55" t="n">
        <v>26</v>
      </c>
      <c r="C23945" s="7" t="n">
        <v>1</v>
      </c>
      <c r="D23945" s="7" t="n">
        <v>17</v>
      </c>
      <c r="E23945" s="7" t="n">
        <v>64511</v>
      </c>
      <c r="F23945" s="7" t="s">
        <v>1479</v>
      </c>
      <c r="G23945" s="7" t="n">
        <v>2</v>
      </c>
      <c r="H23945" s="7" t="n">
        <v>3</v>
      </c>
      <c r="I23945" s="7" t="n">
        <v>17</v>
      </c>
      <c r="J23945" s="7" t="n">
        <v>64512</v>
      </c>
      <c r="K23945" s="7" t="s">
        <v>1480</v>
      </c>
      <c r="L23945" s="7" t="n">
        <v>2</v>
      </c>
      <c r="M23945" s="7" t="n">
        <v>0</v>
      </c>
    </row>
    <row r="23946" spans="1:8">
      <c r="A23946" t="s">
        <v>4</v>
      </c>
      <c r="B23946" s="4" t="s">
        <v>5</v>
      </c>
    </row>
    <row r="23947" spans="1:8">
      <c r="A23947" t="n">
        <v>231108</v>
      </c>
      <c r="B23947" s="27" t="n">
        <v>28</v>
      </c>
    </row>
    <row r="23948" spans="1:8">
      <c r="A23948" t="s">
        <v>4</v>
      </c>
      <c r="B23948" s="4" t="s">
        <v>5</v>
      </c>
      <c r="C23948" s="4" t="s">
        <v>7</v>
      </c>
      <c r="D23948" s="4" t="s">
        <v>11</v>
      </c>
      <c r="E23948" s="4" t="s">
        <v>8</v>
      </c>
    </row>
    <row r="23949" spans="1:8">
      <c r="A23949" t="n">
        <v>231109</v>
      </c>
      <c r="B23949" s="38" t="n">
        <v>51</v>
      </c>
      <c r="C23949" s="7" t="n">
        <v>4</v>
      </c>
      <c r="D23949" s="7" t="n">
        <v>1</v>
      </c>
      <c r="E23949" s="7" t="s">
        <v>375</v>
      </c>
    </row>
    <row r="23950" spans="1:8">
      <c r="A23950" t="s">
        <v>4</v>
      </c>
      <c r="B23950" s="4" t="s">
        <v>5</v>
      </c>
      <c r="C23950" s="4" t="s">
        <v>11</v>
      </c>
    </row>
    <row r="23951" spans="1:8">
      <c r="A23951" t="n">
        <v>231123</v>
      </c>
      <c r="B23951" s="29" t="n">
        <v>16</v>
      </c>
      <c r="C23951" s="7" t="n">
        <v>0</v>
      </c>
    </row>
    <row r="23952" spans="1:8">
      <c r="A23952" t="s">
        <v>4</v>
      </c>
      <c r="B23952" s="4" t="s">
        <v>5</v>
      </c>
      <c r="C23952" s="4" t="s">
        <v>11</v>
      </c>
      <c r="D23952" s="4" t="s">
        <v>7</v>
      </c>
      <c r="E23952" s="4" t="s">
        <v>15</v>
      </c>
      <c r="F23952" s="4" t="s">
        <v>55</v>
      </c>
      <c r="G23952" s="4" t="s">
        <v>7</v>
      </c>
      <c r="H23952" s="4" t="s">
        <v>7</v>
      </c>
    </row>
    <row r="23953" spans="1:13">
      <c r="A23953" t="n">
        <v>231126</v>
      </c>
      <c r="B23953" s="55" t="n">
        <v>26</v>
      </c>
      <c r="C23953" s="7" t="n">
        <v>1</v>
      </c>
      <c r="D23953" s="7" t="n">
        <v>17</v>
      </c>
      <c r="E23953" s="7" t="n">
        <v>64513</v>
      </c>
      <c r="F23953" s="7" t="s">
        <v>1481</v>
      </c>
      <c r="G23953" s="7" t="n">
        <v>2</v>
      </c>
      <c r="H23953" s="7" t="n">
        <v>0</v>
      </c>
    </row>
    <row r="23954" spans="1:13">
      <c r="A23954" t="s">
        <v>4</v>
      </c>
      <c r="B23954" s="4" t="s">
        <v>5</v>
      </c>
    </row>
    <row r="23955" spans="1:13">
      <c r="A23955" t="n">
        <v>231174</v>
      </c>
      <c r="B23955" s="27" t="n">
        <v>28</v>
      </c>
    </row>
    <row r="23956" spans="1:13">
      <c r="A23956" t="s">
        <v>4</v>
      </c>
      <c r="B23956" s="4" t="s">
        <v>5</v>
      </c>
      <c r="C23956" s="4" t="s">
        <v>11</v>
      </c>
    </row>
    <row r="23957" spans="1:13">
      <c r="A23957" t="n">
        <v>231175</v>
      </c>
      <c r="B23957" s="29" t="n">
        <v>16</v>
      </c>
      <c r="C23957" s="7" t="n">
        <v>500</v>
      </c>
    </row>
    <row r="23958" spans="1:13">
      <c r="A23958" t="s">
        <v>4</v>
      </c>
      <c r="B23958" s="4" t="s">
        <v>5</v>
      </c>
      <c r="C23958" s="4" t="s">
        <v>7</v>
      </c>
      <c r="D23958" s="4" t="s">
        <v>7</v>
      </c>
      <c r="E23958" s="4" t="s">
        <v>13</v>
      </c>
      <c r="F23958" s="4" t="s">
        <v>13</v>
      </c>
      <c r="G23958" s="4" t="s">
        <v>13</v>
      </c>
      <c r="H23958" s="4" t="s">
        <v>11</v>
      </c>
    </row>
    <row r="23959" spans="1:13">
      <c r="A23959" t="n">
        <v>231178</v>
      </c>
      <c r="B23959" s="51" t="n">
        <v>45</v>
      </c>
      <c r="C23959" s="7" t="n">
        <v>2</v>
      </c>
      <c r="D23959" s="7" t="n">
        <v>3</v>
      </c>
      <c r="E23959" s="7" t="n">
        <v>6.34999990463257</v>
      </c>
      <c r="F23959" s="7" t="n">
        <v>11.3800001144409</v>
      </c>
      <c r="G23959" s="7" t="n">
        <v>47.6699981689453</v>
      </c>
      <c r="H23959" s="7" t="n">
        <v>2000</v>
      </c>
    </row>
    <row r="23960" spans="1:13">
      <c r="A23960" t="s">
        <v>4</v>
      </c>
      <c r="B23960" s="4" t="s">
        <v>5</v>
      </c>
      <c r="C23960" s="4" t="s">
        <v>7</v>
      </c>
      <c r="D23960" s="4" t="s">
        <v>7</v>
      </c>
      <c r="E23960" s="4" t="s">
        <v>13</v>
      </c>
      <c r="F23960" s="4" t="s">
        <v>13</v>
      </c>
      <c r="G23960" s="4" t="s">
        <v>13</v>
      </c>
      <c r="H23960" s="4" t="s">
        <v>11</v>
      </c>
      <c r="I23960" s="4" t="s">
        <v>7</v>
      </c>
    </row>
    <row r="23961" spans="1:13">
      <c r="A23961" t="n">
        <v>231195</v>
      </c>
      <c r="B23961" s="51" t="n">
        <v>45</v>
      </c>
      <c r="C23961" s="7" t="n">
        <v>4</v>
      </c>
      <c r="D23961" s="7" t="n">
        <v>3</v>
      </c>
      <c r="E23961" s="7" t="n">
        <v>10.7700004577637</v>
      </c>
      <c r="F23961" s="7" t="n">
        <v>342.809997558594</v>
      </c>
      <c r="G23961" s="7" t="n">
        <v>350</v>
      </c>
      <c r="H23961" s="7" t="n">
        <v>2000</v>
      </c>
      <c r="I23961" s="7" t="n">
        <v>1</v>
      </c>
    </row>
    <row r="23962" spans="1:13">
      <c r="A23962" t="s">
        <v>4</v>
      </c>
      <c r="B23962" s="4" t="s">
        <v>5</v>
      </c>
      <c r="C23962" s="4" t="s">
        <v>7</v>
      </c>
      <c r="D23962" s="4" t="s">
        <v>7</v>
      </c>
      <c r="E23962" s="4" t="s">
        <v>13</v>
      </c>
      <c r="F23962" s="4" t="s">
        <v>11</v>
      </c>
    </row>
    <row r="23963" spans="1:13">
      <c r="A23963" t="n">
        <v>231213</v>
      </c>
      <c r="B23963" s="51" t="n">
        <v>45</v>
      </c>
      <c r="C23963" s="7" t="n">
        <v>5</v>
      </c>
      <c r="D23963" s="7" t="n">
        <v>3</v>
      </c>
      <c r="E23963" s="7" t="n">
        <v>1.10000002384186</v>
      </c>
      <c r="F23963" s="7" t="n">
        <v>2000</v>
      </c>
    </row>
    <row r="23964" spans="1:13">
      <c r="A23964" t="s">
        <v>4</v>
      </c>
      <c r="B23964" s="4" t="s">
        <v>5</v>
      </c>
      <c r="C23964" s="4" t="s">
        <v>11</v>
      </c>
      <c r="D23964" s="4" t="s">
        <v>7</v>
      </c>
      <c r="E23964" s="4" t="s">
        <v>8</v>
      </c>
      <c r="F23964" s="4" t="s">
        <v>13</v>
      </c>
      <c r="G23964" s="4" t="s">
        <v>13</v>
      </c>
      <c r="H23964" s="4" t="s">
        <v>13</v>
      </c>
    </row>
    <row r="23965" spans="1:13">
      <c r="A23965" t="n">
        <v>231222</v>
      </c>
      <c r="B23965" s="42" t="n">
        <v>48</v>
      </c>
      <c r="C23965" s="7" t="n">
        <v>1</v>
      </c>
      <c r="D23965" s="7" t="n">
        <v>0</v>
      </c>
      <c r="E23965" s="7" t="s">
        <v>276</v>
      </c>
      <c r="F23965" s="7" t="n">
        <v>-1</v>
      </c>
      <c r="G23965" s="7" t="n">
        <v>1</v>
      </c>
      <c r="H23965" s="7" t="n">
        <v>0</v>
      </c>
    </row>
    <row r="23966" spans="1:13">
      <c r="A23966" t="s">
        <v>4</v>
      </c>
      <c r="B23966" s="4" t="s">
        <v>5</v>
      </c>
      <c r="C23966" s="4" t="s">
        <v>11</v>
      </c>
      <c r="D23966" s="4" t="s">
        <v>7</v>
      </c>
      <c r="E23966" s="4" t="s">
        <v>8</v>
      </c>
      <c r="F23966" s="4" t="s">
        <v>13</v>
      </c>
      <c r="G23966" s="4" t="s">
        <v>13</v>
      </c>
      <c r="H23966" s="4" t="s">
        <v>13</v>
      </c>
    </row>
    <row r="23967" spans="1:13">
      <c r="A23967" t="n">
        <v>231248</v>
      </c>
      <c r="B23967" s="42" t="n">
        <v>48</v>
      </c>
      <c r="C23967" s="7" t="n">
        <v>0</v>
      </c>
      <c r="D23967" s="7" t="n">
        <v>0</v>
      </c>
      <c r="E23967" s="7" t="s">
        <v>276</v>
      </c>
      <c r="F23967" s="7" t="n">
        <v>-1</v>
      </c>
      <c r="G23967" s="7" t="n">
        <v>1</v>
      </c>
      <c r="H23967" s="7" t="n">
        <v>0</v>
      </c>
    </row>
    <row r="23968" spans="1:13">
      <c r="A23968" t="s">
        <v>4</v>
      </c>
      <c r="B23968" s="4" t="s">
        <v>5</v>
      </c>
      <c r="C23968" s="4" t="s">
        <v>11</v>
      </c>
    </row>
    <row r="23969" spans="1:9">
      <c r="A23969" t="n">
        <v>231274</v>
      </c>
      <c r="B23969" s="29" t="n">
        <v>16</v>
      </c>
      <c r="C23969" s="7" t="n">
        <v>500</v>
      </c>
    </row>
    <row r="23970" spans="1:9">
      <c r="A23970" t="s">
        <v>4</v>
      </c>
      <c r="B23970" s="4" t="s">
        <v>5</v>
      </c>
      <c r="C23970" s="4" t="s">
        <v>7</v>
      </c>
      <c r="D23970" s="4" t="s">
        <v>11</v>
      </c>
      <c r="E23970" s="4" t="s">
        <v>13</v>
      </c>
      <c r="F23970" s="4" t="s">
        <v>11</v>
      </c>
      <c r="G23970" s="4" t="s">
        <v>15</v>
      </c>
      <c r="H23970" s="4" t="s">
        <v>15</v>
      </c>
      <c r="I23970" s="4" t="s">
        <v>11</v>
      </c>
      <c r="J23970" s="4" t="s">
        <v>11</v>
      </c>
      <c r="K23970" s="4" t="s">
        <v>15</v>
      </c>
      <c r="L23970" s="4" t="s">
        <v>15</v>
      </c>
      <c r="M23970" s="4" t="s">
        <v>15</v>
      </c>
      <c r="N23970" s="4" t="s">
        <v>15</v>
      </c>
      <c r="O23970" s="4" t="s">
        <v>8</v>
      </c>
    </row>
    <row r="23971" spans="1:9">
      <c r="A23971" t="n">
        <v>231277</v>
      </c>
      <c r="B23971" s="57" t="n">
        <v>50</v>
      </c>
      <c r="C23971" s="7" t="n">
        <v>0</v>
      </c>
      <c r="D23971" s="7" t="n">
        <v>2000</v>
      </c>
      <c r="E23971" s="7" t="n">
        <v>0.600000023841858</v>
      </c>
      <c r="F23971" s="7" t="n">
        <v>200</v>
      </c>
      <c r="G23971" s="7" t="n">
        <v>0</v>
      </c>
      <c r="H23971" s="7" t="n">
        <v>1073741824</v>
      </c>
      <c r="I23971" s="7" t="n">
        <v>0</v>
      </c>
      <c r="J23971" s="7" t="n">
        <v>65533</v>
      </c>
      <c r="K23971" s="7" t="n">
        <v>0</v>
      </c>
      <c r="L23971" s="7" t="n">
        <v>0</v>
      </c>
      <c r="M23971" s="7" t="n">
        <v>0</v>
      </c>
      <c r="N23971" s="7" t="n">
        <v>0</v>
      </c>
      <c r="O23971" s="7" t="s">
        <v>16</v>
      </c>
    </row>
    <row r="23972" spans="1:9">
      <c r="A23972" t="s">
        <v>4</v>
      </c>
      <c r="B23972" s="4" t="s">
        <v>5</v>
      </c>
      <c r="C23972" s="4" t="s">
        <v>11</v>
      </c>
    </row>
    <row r="23973" spans="1:9">
      <c r="A23973" t="n">
        <v>231316</v>
      </c>
      <c r="B23973" s="29" t="n">
        <v>16</v>
      </c>
      <c r="C23973" s="7" t="n">
        <v>1500</v>
      </c>
    </row>
    <row r="23974" spans="1:9">
      <c r="A23974" t="s">
        <v>4</v>
      </c>
      <c r="B23974" s="4" t="s">
        <v>5</v>
      </c>
      <c r="C23974" s="4" t="s">
        <v>7</v>
      </c>
      <c r="D23974" s="4" t="s">
        <v>11</v>
      </c>
      <c r="E23974" s="4" t="s">
        <v>8</v>
      </c>
    </row>
    <row r="23975" spans="1:9">
      <c r="A23975" t="n">
        <v>231319</v>
      </c>
      <c r="B23975" s="38" t="n">
        <v>51</v>
      </c>
      <c r="C23975" s="7" t="n">
        <v>4</v>
      </c>
      <c r="D23975" s="7" t="n">
        <v>0</v>
      </c>
      <c r="E23975" s="7" t="s">
        <v>242</v>
      </c>
    </row>
    <row r="23976" spans="1:9">
      <c r="A23976" t="s">
        <v>4</v>
      </c>
      <c r="B23976" s="4" t="s">
        <v>5</v>
      </c>
      <c r="C23976" s="4" t="s">
        <v>11</v>
      </c>
    </row>
    <row r="23977" spans="1:9">
      <c r="A23977" t="n">
        <v>231333</v>
      </c>
      <c r="B23977" s="29" t="n">
        <v>16</v>
      </c>
      <c r="C23977" s="7" t="n">
        <v>0</v>
      </c>
    </row>
    <row r="23978" spans="1:9">
      <c r="A23978" t="s">
        <v>4</v>
      </c>
      <c r="B23978" s="4" t="s">
        <v>5</v>
      </c>
      <c r="C23978" s="4" t="s">
        <v>11</v>
      </c>
      <c r="D23978" s="4" t="s">
        <v>7</v>
      </c>
      <c r="E23978" s="4" t="s">
        <v>15</v>
      </c>
      <c r="F23978" s="4" t="s">
        <v>55</v>
      </c>
      <c r="G23978" s="4" t="s">
        <v>7</v>
      </c>
      <c r="H23978" s="4" t="s">
        <v>7</v>
      </c>
    </row>
    <row r="23979" spans="1:9">
      <c r="A23979" t="n">
        <v>231336</v>
      </c>
      <c r="B23979" s="55" t="n">
        <v>26</v>
      </c>
      <c r="C23979" s="7" t="n">
        <v>0</v>
      </c>
      <c r="D23979" s="7" t="n">
        <v>17</v>
      </c>
      <c r="E23979" s="7" t="n">
        <v>64514</v>
      </c>
      <c r="F23979" s="7" t="s">
        <v>1482</v>
      </c>
      <c r="G23979" s="7" t="n">
        <v>2</v>
      </c>
      <c r="H23979" s="7" t="n">
        <v>0</v>
      </c>
    </row>
    <row r="23980" spans="1:9">
      <c r="A23980" t="s">
        <v>4</v>
      </c>
      <c r="B23980" s="4" t="s">
        <v>5</v>
      </c>
    </row>
    <row r="23981" spans="1:9">
      <c r="A23981" t="n">
        <v>231358</v>
      </c>
      <c r="B23981" s="27" t="n">
        <v>28</v>
      </c>
    </row>
    <row r="23982" spans="1:9">
      <c r="A23982" t="s">
        <v>4</v>
      </c>
      <c r="B23982" s="4" t="s">
        <v>5</v>
      </c>
      <c r="C23982" s="4" t="s">
        <v>7</v>
      </c>
      <c r="D23982" s="4" t="s">
        <v>11</v>
      </c>
      <c r="E23982" s="4" t="s">
        <v>8</v>
      </c>
      <c r="F23982" s="4" t="s">
        <v>8</v>
      </c>
      <c r="G23982" s="4" t="s">
        <v>8</v>
      </c>
      <c r="H23982" s="4" t="s">
        <v>8</v>
      </c>
    </row>
    <row r="23983" spans="1:9">
      <c r="A23983" t="n">
        <v>231359</v>
      </c>
      <c r="B23983" s="38" t="n">
        <v>51</v>
      </c>
      <c r="C23983" s="7" t="n">
        <v>3</v>
      </c>
      <c r="D23983" s="7" t="n">
        <v>1</v>
      </c>
      <c r="E23983" s="7" t="s">
        <v>154</v>
      </c>
      <c r="F23983" s="7" t="s">
        <v>155</v>
      </c>
      <c r="G23983" s="7" t="s">
        <v>78</v>
      </c>
      <c r="H23983" s="7" t="s">
        <v>79</v>
      </c>
    </row>
    <row r="23984" spans="1:9">
      <c r="A23984" t="s">
        <v>4</v>
      </c>
      <c r="B23984" s="4" t="s">
        <v>5</v>
      </c>
      <c r="C23984" s="4" t="s">
        <v>7</v>
      </c>
      <c r="D23984" s="4" t="s">
        <v>13</v>
      </c>
      <c r="E23984" s="4" t="s">
        <v>13</v>
      </c>
      <c r="F23984" s="4" t="s">
        <v>13</v>
      </c>
    </row>
    <row r="23985" spans="1:15">
      <c r="A23985" t="n">
        <v>231372</v>
      </c>
      <c r="B23985" s="51" t="n">
        <v>45</v>
      </c>
      <c r="C23985" s="7" t="n">
        <v>9</v>
      </c>
      <c r="D23985" s="7" t="n">
        <v>0.0020000000949949</v>
      </c>
      <c r="E23985" s="7" t="n">
        <v>0.0020000000949949</v>
      </c>
      <c r="F23985" s="7" t="n">
        <v>0.300000011920929</v>
      </c>
    </row>
    <row r="23986" spans="1:15">
      <c r="A23986" t="s">
        <v>4</v>
      </c>
      <c r="B23986" s="4" t="s">
        <v>5</v>
      </c>
      <c r="C23986" s="4" t="s">
        <v>11</v>
      </c>
    </row>
    <row r="23987" spans="1:15">
      <c r="A23987" t="n">
        <v>231386</v>
      </c>
      <c r="B23987" s="29" t="n">
        <v>16</v>
      </c>
      <c r="C23987" s="7" t="n">
        <v>1000</v>
      </c>
    </row>
    <row r="23988" spans="1:15">
      <c r="A23988" t="s">
        <v>4</v>
      </c>
      <c r="B23988" s="4" t="s">
        <v>5</v>
      </c>
      <c r="C23988" s="4" t="s">
        <v>7</v>
      </c>
      <c r="D23988" s="4" t="s">
        <v>11</v>
      </c>
      <c r="E23988" s="4" t="s">
        <v>8</v>
      </c>
      <c r="F23988" s="4" t="s">
        <v>8</v>
      </c>
      <c r="G23988" s="4" t="s">
        <v>8</v>
      </c>
      <c r="H23988" s="4" t="s">
        <v>8</v>
      </c>
    </row>
    <row r="23989" spans="1:15">
      <c r="A23989" t="n">
        <v>231389</v>
      </c>
      <c r="B23989" s="38" t="n">
        <v>51</v>
      </c>
      <c r="C23989" s="7" t="n">
        <v>3</v>
      </c>
      <c r="D23989" s="7" t="n">
        <v>1</v>
      </c>
      <c r="E23989" s="7" t="s">
        <v>372</v>
      </c>
      <c r="F23989" s="7" t="s">
        <v>218</v>
      </c>
      <c r="G23989" s="7" t="s">
        <v>78</v>
      </c>
      <c r="H23989" s="7" t="s">
        <v>79</v>
      </c>
    </row>
    <row r="23990" spans="1:15">
      <c r="A23990" t="s">
        <v>4</v>
      </c>
      <c r="B23990" s="4" t="s">
        <v>5</v>
      </c>
      <c r="C23990" s="4" t="s">
        <v>7</v>
      </c>
      <c r="D23990" s="4" t="s">
        <v>11</v>
      </c>
      <c r="E23990" s="4" t="s">
        <v>7</v>
      </c>
    </row>
    <row r="23991" spans="1:15">
      <c r="A23991" t="n">
        <v>231402</v>
      </c>
      <c r="B23991" s="81" t="n">
        <v>39</v>
      </c>
      <c r="C23991" s="7" t="n">
        <v>14</v>
      </c>
      <c r="D23991" s="7" t="n">
        <v>1</v>
      </c>
      <c r="E23991" s="7" t="n">
        <v>103</v>
      </c>
    </row>
    <row r="23992" spans="1:15">
      <c r="A23992" t="s">
        <v>4</v>
      </c>
      <c r="B23992" s="4" t="s">
        <v>5</v>
      </c>
      <c r="C23992" s="4" t="s">
        <v>11</v>
      </c>
      <c r="D23992" s="4" t="s">
        <v>13</v>
      </c>
      <c r="E23992" s="4" t="s">
        <v>13</v>
      </c>
      <c r="F23992" s="4" t="s">
        <v>13</v>
      </c>
      <c r="G23992" s="4" t="s">
        <v>11</v>
      </c>
      <c r="H23992" s="4" t="s">
        <v>11</v>
      </c>
    </row>
    <row r="23993" spans="1:15">
      <c r="A23993" t="n">
        <v>231407</v>
      </c>
      <c r="B23993" s="37" t="n">
        <v>60</v>
      </c>
      <c r="C23993" s="7" t="n">
        <v>1</v>
      </c>
      <c r="D23993" s="7" t="n">
        <v>0</v>
      </c>
      <c r="E23993" s="7" t="n">
        <v>0</v>
      </c>
      <c r="F23993" s="7" t="n">
        <v>0</v>
      </c>
      <c r="G23993" s="7" t="n">
        <v>2000</v>
      </c>
      <c r="H23993" s="7" t="n">
        <v>0</v>
      </c>
    </row>
    <row r="23994" spans="1:15">
      <c r="A23994" t="s">
        <v>4</v>
      </c>
      <c r="B23994" s="4" t="s">
        <v>5</v>
      </c>
      <c r="C23994" s="4" t="s">
        <v>11</v>
      </c>
    </row>
    <row r="23995" spans="1:15">
      <c r="A23995" t="n">
        <v>231426</v>
      </c>
      <c r="B23995" s="29" t="n">
        <v>16</v>
      </c>
      <c r="C23995" s="7" t="n">
        <v>1000</v>
      </c>
    </row>
    <row r="23996" spans="1:15">
      <c r="A23996" t="s">
        <v>4</v>
      </c>
      <c r="B23996" s="4" t="s">
        <v>5</v>
      </c>
      <c r="C23996" s="4" t="s">
        <v>7</v>
      </c>
      <c r="D23996" s="4" t="s">
        <v>11</v>
      </c>
      <c r="E23996" s="4" t="s">
        <v>8</v>
      </c>
    </row>
    <row r="23997" spans="1:15">
      <c r="A23997" t="n">
        <v>231429</v>
      </c>
      <c r="B23997" s="38" t="n">
        <v>51</v>
      </c>
      <c r="C23997" s="7" t="n">
        <v>4</v>
      </c>
      <c r="D23997" s="7" t="n">
        <v>0</v>
      </c>
      <c r="E23997" s="7" t="s">
        <v>173</v>
      </c>
    </row>
    <row r="23998" spans="1:15">
      <c r="A23998" t="s">
        <v>4</v>
      </c>
      <c r="B23998" s="4" t="s">
        <v>5</v>
      </c>
      <c r="C23998" s="4" t="s">
        <v>11</v>
      </c>
    </row>
    <row r="23999" spans="1:15">
      <c r="A23999" t="n">
        <v>231442</v>
      </c>
      <c r="B23999" s="29" t="n">
        <v>16</v>
      </c>
      <c r="C23999" s="7" t="n">
        <v>0</v>
      </c>
    </row>
    <row r="24000" spans="1:15">
      <c r="A24000" t="s">
        <v>4</v>
      </c>
      <c r="B24000" s="4" t="s">
        <v>5</v>
      </c>
      <c r="C24000" s="4" t="s">
        <v>11</v>
      </c>
      <c r="D24000" s="4" t="s">
        <v>7</v>
      </c>
      <c r="E24000" s="4" t="s">
        <v>15</v>
      </c>
      <c r="F24000" s="4" t="s">
        <v>55</v>
      </c>
      <c r="G24000" s="4" t="s">
        <v>7</v>
      </c>
      <c r="H24000" s="4" t="s">
        <v>7</v>
      </c>
      <c r="I24000" s="4" t="s">
        <v>7</v>
      </c>
      <c r="J24000" s="4" t="s">
        <v>15</v>
      </c>
      <c r="K24000" s="4" t="s">
        <v>55</v>
      </c>
      <c r="L24000" s="4" t="s">
        <v>7</v>
      </c>
      <c r="M24000" s="4" t="s">
        <v>7</v>
      </c>
      <c r="N24000" s="4" t="s">
        <v>7</v>
      </c>
      <c r="O24000" s="4" t="s">
        <v>15</v>
      </c>
      <c r="P24000" s="4" t="s">
        <v>55</v>
      </c>
      <c r="Q24000" s="4" t="s">
        <v>7</v>
      </c>
      <c r="R24000" s="4" t="s">
        <v>7</v>
      </c>
      <c r="S24000" s="4" t="s">
        <v>7</v>
      </c>
      <c r="T24000" s="4" t="s">
        <v>15</v>
      </c>
      <c r="U24000" s="4" t="s">
        <v>55</v>
      </c>
      <c r="V24000" s="4" t="s">
        <v>7</v>
      </c>
      <c r="W24000" s="4" t="s">
        <v>7</v>
      </c>
    </row>
    <row r="24001" spans="1:23">
      <c r="A24001" t="n">
        <v>231445</v>
      </c>
      <c r="B24001" s="55" t="n">
        <v>26</v>
      </c>
      <c r="C24001" s="7" t="n">
        <v>0</v>
      </c>
      <c r="D24001" s="7" t="n">
        <v>17</v>
      </c>
      <c r="E24001" s="7" t="n">
        <v>64515</v>
      </c>
      <c r="F24001" s="7" t="s">
        <v>1483</v>
      </c>
      <c r="G24001" s="7" t="n">
        <v>2</v>
      </c>
      <c r="H24001" s="7" t="n">
        <v>3</v>
      </c>
      <c r="I24001" s="7" t="n">
        <v>17</v>
      </c>
      <c r="J24001" s="7" t="n">
        <v>64516</v>
      </c>
      <c r="K24001" s="7" t="s">
        <v>1484</v>
      </c>
      <c r="L24001" s="7" t="n">
        <v>2</v>
      </c>
      <c r="M24001" s="7" t="n">
        <v>3</v>
      </c>
      <c r="N24001" s="7" t="n">
        <v>17</v>
      </c>
      <c r="O24001" s="7" t="n">
        <v>64517</v>
      </c>
      <c r="P24001" s="7" t="s">
        <v>1485</v>
      </c>
      <c r="Q24001" s="7" t="n">
        <v>2</v>
      </c>
      <c r="R24001" s="7" t="n">
        <v>3</v>
      </c>
      <c r="S24001" s="7" t="n">
        <v>17</v>
      </c>
      <c r="T24001" s="7" t="n">
        <v>64518</v>
      </c>
      <c r="U24001" s="7" t="s">
        <v>1486</v>
      </c>
      <c r="V24001" s="7" t="n">
        <v>2</v>
      </c>
      <c r="W24001" s="7" t="n">
        <v>0</v>
      </c>
    </row>
    <row r="24002" spans="1:23">
      <c r="A24002" t="s">
        <v>4</v>
      </c>
      <c r="B24002" s="4" t="s">
        <v>5</v>
      </c>
    </row>
    <row r="24003" spans="1:23">
      <c r="A24003" t="n">
        <v>231788</v>
      </c>
      <c r="B24003" s="27" t="n">
        <v>28</v>
      </c>
    </row>
    <row r="24004" spans="1:23">
      <c r="A24004" t="s">
        <v>4</v>
      </c>
      <c r="B24004" s="4" t="s">
        <v>5</v>
      </c>
      <c r="C24004" s="4" t="s">
        <v>7</v>
      </c>
      <c r="D24004" s="4" t="s">
        <v>11</v>
      </c>
      <c r="E24004" s="4" t="s">
        <v>11</v>
      </c>
      <c r="F24004" s="4" t="s">
        <v>7</v>
      </c>
    </row>
    <row r="24005" spans="1:23">
      <c r="A24005" t="n">
        <v>231789</v>
      </c>
      <c r="B24005" s="31" t="n">
        <v>25</v>
      </c>
      <c r="C24005" s="7" t="n">
        <v>1</v>
      </c>
      <c r="D24005" s="7" t="n">
        <v>65535</v>
      </c>
      <c r="E24005" s="7" t="n">
        <v>65535</v>
      </c>
      <c r="F24005" s="7" t="n">
        <v>0</v>
      </c>
    </row>
    <row r="24006" spans="1:23">
      <c r="A24006" t="s">
        <v>4</v>
      </c>
      <c r="B24006" s="4" t="s">
        <v>5</v>
      </c>
      <c r="C24006" s="4" t="s">
        <v>7</v>
      </c>
      <c r="D24006" s="4" t="s">
        <v>11</v>
      </c>
      <c r="E24006" s="4" t="s">
        <v>8</v>
      </c>
    </row>
    <row r="24007" spans="1:23">
      <c r="A24007" t="n">
        <v>231796</v>
      </c>
      <c r="B24007" s="38" t="n">
        <v>51</v>
      </c>
      <c r="C24007" s="7" t="n">
        <v>4</v>
      </c>
      <c r="D24007" s="7" t="n">
        <v>1</v>
      </c>
      <c r="E24007" s="7" t="s">
        <v>466</v>
      </c>
    </row>
    <row r="24008" spans="1:23">
      <c r="A24008" t="s">
        <v>4</v>
      </c>
      <c r="B24008" s="4" t="s">
        <v>5</v>
      </c>
      <c r="C24008" s="4" t="s">
        <v>11</v>
      </c>
    </row>
    <row r="24009" spans="1:23">
      <c r="A24009" t="n">
        <v>231810</v>
      </c>
      <c r="B24009" s="29" t="n">
        <v>16</v>
      </c>
      <c r="C24009" s="7" t="n">
        <v>0</v>
      </c>
    </row>
    <row r="24010" spans="1:23">
      <c r="A24010" t="s">
        <v>4</v>
      </c>
      <c r="B24010" s="4" t="s">
        <v>5</v>
      </c>
      <c r="C24010" s="4" t="s">
        <v>11</v>
      </c>
      <c r="D24010" s="4" t="s">
        <v>7</v>
      </c>
      <c r="E24010" s="4" t="s">
        <v>15</v>
      </c>
      <c r="F24010" s="4" t="s">
        <v>55</v>
      </c>
      <c r="G24010" s="4" t="s">
        <v>7</v>
      </c>
      <c r="H24010" s="4" t="s">
        <v>7</v>
      </c>
      <c r="I24010" s="4" t="s">
        <v>7</v>
      </c>
      <c r="J24010" s="4" t="s">
        <v>15</v>
      </c>
      <c r="K24010" s="4" t="s">
        <v>55</v>
      </c>
      <c r="L24010" s="4" t="s">
        <v>7</v>
      </c>
      <c r="M24010" s="4" t="s">
        <v>7</v>
      </c>
      <c r="N24010" s="4" t="s">
        <v>7</v>
      </c>
      <c r="O24010" s="4" t="s">
        <v>15</v>
      </c>
      <c r="P24010" s="4" t="s">
        <v>55</v>
      </c>
      <c r="Q24010" s="4" t="s">
        <v>7</v>
      </c>
      <c r="R24010" s="4" t="s">
        <v>7</v>
      </c>
      <c r="S24010" s="4" t="s">
        <v>7</v>
      </c>
      <c r="T24010" s="4" t="s">
        <v>15</v>
      </c>
      <c r="U24010" s="4" t="s">
        <v>55</v>
      </c>
      <c r="V24010" s="4" t="s">
        <v>7</v>
      </c>
      <c r="W24010" s="4" t="s">
        <v>7</v>
      </c>
      <c r="X24010" s="4" t="s">
        <v>7</v>
      </c>
      <c r="Y24010" s="4" t="s">
        <v>15</v>
      </c>
      <c r="Z24010" s="4" t="s">
        <v>55</v>
      </c>
      <c r="AA24010" s="4" t="s">
        <v>7</v>
      </c>
      <c r="AB24010" s="4" t="s">
        <v>7</v>
      </c>
      <c r="AC24010" s="4" t="s">
        <v>7</v>
      </c>
      <c r="AD24010" s="4" t="s">
        <v>15</v>
      </c>
      <c r="AE24010" s="4" t="s">
        <v>55</v>
      </c>
      <c r="AF24010" s="4" t="s">
        <v>7</v>
      </c>
      <c r="AG24010" s="4" t="s">
        <v>7</v>
      </c>
    </row>
    <row r="24011" spans="1:23">
      <c r="A24011" t="n">
        <v>231813</v>
      </c>
      <c r="B24011" s="55" t="n">
        <v>26</v>
      </c>
      <c r="C24011" s="7" t="n">
        <v>1</v>
      </c>
      <c r="D24011" s="7" t="n">
        <v>17</v>
      </c>
      <c r="E24011" s="7" t="n">
        <v>64519</v>
      </c>
      <c r="F24011" s="7" t="s">
        <v>1487</v>
      </c>
      <c r="G24011" s="7" t="n">
        <v>2</v>
      </c>
      <c r="H24011" s="7" t="n">
        <v>3</v>
      </c>
      <c r="I24011" s="7" t="n">
        <v>17</v>
      </c>
      <c r="J24011" s="7" t="n">
        <v>64520</v>
      </c>
      <c r="K24011" s="7" t="s">
        <v>1488</v>
      </c>
      <c r="L24011" s="7" t="n">
        <v>2</v>
      </c>
      <c r="M24011" s="7" t="n">
        <v>3</v>
      </c>
      <c r="N24011" s="7" t="n">
        <v>17</v>
      </c>
      <c r="O24011" s="7" t="n">
        <v>64521</v>
      </c>
      <c r="P24011" s="7" t="s">
        <v>1489</v>
      </c>
      <c r="Q24011" s="7" t="n">
        <v>2</v>
      </c>
      <c r="R24011" s="7" t="n">
        <v>3</v>
      </c>
      <c r="S24011" s="7" t="n">
        <v>17</v>
      </c>
      <c r="T24011" s="7" t="n">
        <v>64522</v>
      </c>
      <c r="U24011" s="7" t="s">
        <v>1490</v>
      </c>
      <c r="V24011" s="7" t="n">
        <v>2</v>
      </c>
      <c r="W24011" s="7" t="n">
        <v>3</v>
      </c>
      <c r="X24011" s="7" t="n">
        <v>17</v>
      </c>
      <c r="Y24011" s="7" t="n">
        <v>64523</v>
      </c>
      <c r="Z24011" s="7" t="s">
        <v>1491</v>
      </c>
      <c r="AA24011" s="7" t="n">
        <v>2</v>
      </c>
      <c r="AB24011" s="7" t="n">
        <v>3</v>
      </c>
      <c r="AC24011" s="7" t="n">
        <v>17</v>
      </c>
      <c r="AD24011" s="7" t="n">
        <v>64524</v>
      </c>
      <c r="AE24011" s="7" t="s">
        <v>1492</v>
      </c>
      <c r="AF24011" s="7" t="n">
        <v>2</v>
      </c>
      <c r="AG24011" s="7" t="n">
        <v>0</v>
      </c>
    </row>
    <row r="24012" spans="1:23">
      <c r="A24012" t="s">
        <v>4</v>
      </c>
      <c r="B24012" s="4" t="s">
        <v>5</v>
      </c>
    </row>
    <row r="24013" spans="1:23">
      <c r="A24013" t="n">
        <v>232407</v>
      </c>
      <c r="B24013" s="27" t="n">
        <v>28</v>
      </c>
    </row>
    <row r="24014" spans="1:23">
      <c r="A24014" t="s">
        <v>4</v>
      </c>
      <c r="B24014" s="4" t="s">
        <v>5</v>
      </c>
      <c r="C24014" s="4" t="s">
        <v>7</v>
      </c>
      <c r="D24014" s="4" t="s">
        <v>11</v>
      </c>
      <c r="E24014" s="4" t="s">
        <v>8</v>
      </c>
    </row>
    <row r="24015" spans="1:23">
      <c r="A24015" t="n">
        <v>232408</v>
      </c>
      <c r="B24015" s="38" t="n">
        <v>51</v>
      </c>
      <c r="C24015" s="7" t="n">
        <v>4</v>
      </c>
      <c r="D24015" s="7" t="n">
        <v>0</v>
      </c>
      <c r="E24015" s="7" t="s">
        <v>173</v>
      </c>
    </row>
    <row r="24016" spans="1:23">
      <c r="A24016" t="s">
        <v>4</v>
      </c>
      <c r="B24016" s="4" t="s">
        <v>5</v>
      </c>
      <c r="C24016" s="4" t="s">
        <v>11</v>
      </c>
    </row>
    <row r="24017" spans="1:33">
      <c r="A24017" t="n">
        <v>232421</v>
      </c>
      <c r="B24017" s="29" t="n">
        <v>16</v>
      </c>
      <c r="C24017" s="7" t="n">
        <v>0</v>
      </c>
    </row>
    <row r="24018" spans="1:33">
      <c r="A24018" t="s">
        <v>4</v>
      </c>
      <c r="B24018" s="4" t="s">
        <v>5</v>
      </c>
      <c r="C24018" s="4" t="s">
        <v>11</v>
      </c>
      <c r="D24018" s="4" t="s">
        <v>7</v>
      </c>
      <c r="E24018" s="4" t="s">
        <v>15</v>
      </c>
      <c r="F24018" s="4" t="s">
        <v>55</v>
      </c>
      <c r="G24018" s="4" t="s">
        <v>7</v>
      </c>
      <c r="H24018" s="4" t="s">
        <v>7</v>
      </c>
      <c r="I24018" s="4" t="s">
        <v>7</v>
      </c>
      <c r="J24018" s="4" t="s">
        <v>15</v>
      </c>
      <c r="K24018" s="4" t="s">
        <v>55</v>
      </c>
      <c r="L24018" s="4" t="s">
        <v>7</v>
      </c>
      <c r="M24018" s="4" t="s">
        <v>7</v>
      </c>
      <c r="N24018" s="4" t="s">
        <v>7</v>
      </c>
      <c r="O24018" s="4" t="s">
        <v>15</v>
      </c>
      <c r="P24018" s="4" t="s">
        <v>55</v>
      </c>
      <c r="Q24018" s="4" t="s">
        <v>7</v>
      </c>
      <c r="R24018" s="4" t="s">
        <v>7</v>
      </c>
      <c r="S24018" s="4" t="s">
        <v>7</v>
      </c>
      <c r="T24018" s="4" t="s">
        <v>15</v>
      </c>
      <c r="U24018" s="4" t="s">
        <v>55</v>
      </c>
      <c r="V24018" s="4" t="s">
        <v>7</v>
      </c>
      <c r="W24018" s="4" t="s">
        <v>7</v>
      </c>
    </row>
    <row r="24019" spans="1:33">
      <c r="A24019" t="n">
        <v>232424</v>
      </c>
      <c r="B24019" s="55" t="n">
        <v>26</v>
      </c>
      <c r="C24019" s="7" t="n">
        <v>0</v>
      </c>
      <c r="D24019" s="7" t="n">
        <v>17</v>
      </c>
      <c r="E24019" s="7" t="n">
        <v>64525</v>
      </c>
      <c r="F24019" s="7" t="s">
        <v>1493</v>
      </c>
      <c r="G24019" s="7" t="n">
        <v>2</v>
      </c>
      <c r="H24019" s="7" t="n">
        <v>3</v>
      </c>
      <c r="I24019" s="7" t="n">
        <v>17</v>
      </c>
      <c r="J24019" s="7" t="n">
        <v>64526</v>
      </c>
      <c r="K24019" s="7" t="s">
        <v>1494</v>
      </c>
      <c r="L24019" s="7" t="n">
        <v>2</v>
      </c>
      <c r="M24019" s="7" t="n">
        <v>3</v>
      </c>
      <c r="N24019" s="7" t="n">
        <v>17</v>
      </c>
      <c r="O24019" s="7" t="n">
        <v>64527</v>
      </c>
      <c r="P24019" s="7" t="s">
        <v>1495</v>
      </c>
      <c r="Q24019" s="7" t="n">
        <v>2</v>
      </c>
      <c r="R24019" s="7" t="n">
        <v>3</v>
      </c>
      <c r="S24019" s="7" t="n">
        <v>17</v>
      </c>
      <c r="T24019" s="7" t="n">
        <v>64528</v>
      </c>
      <c r="U24019" s="7" t="s">
        <v>1496</v>
      </c>
      <c r="V24019" s="7" t="n">
        <v>2</v>
      </c>
      <c r="W24019" s="7" t="n">
        <v>0</v>
      </c>
    </row>
    <row r="24020" spans="1:33">
      <c r="A24020" t="s">
        <v>4</v>
      </c>
      <c r="B24020" s="4" t="s">
        <v>5</v>
      </c>
    </row>
    <row r="24021" spans="1:33">
      <c r="A24021" t="n">
        <v>232715</v>
      </c>
      <c r="B24021" s="27" t="n">
        <v>28</v>
      </c>
    </row>
    <row r="24022" spans="1:33">
      <c r="A24022" t="s">
        <v>4</v>
      </c>
      <c r="B24022" s="4" t="s">
        <v>5</v>
      </c>
      <c r="C24022" s="4" t="s">
        <v>7</v>
      </c>
      <c r="D24022" s="4" t="s">
        <v>11</v>
      </c>
      <c r="E24022" s="4" t="s">
        <v>11</v>
      </c>
      <c r="F24022" s="4" t="s">
        <v>7</v>
      </c>
    </row>
    <row r="24023" spans="1:33">
      <c r="A24023" t="n">
        <v>232716</v>
      </c>
      <c r="B24023" s="31" t="n">
        <v>25</v>
      </c>
      <c r="C24023" s="7" t="n">
        <v>1</v>
      </c>
      <c r="D24023" s="7" t="n">
        <v>65535</v>
      </c>
      <c r="E24023" s="7" t="n">
        <v>65535</v>
      </c>
      <c r="F24023" s="7" t="n">
        <v>0</v>
      </c>
    </row>
    <row r="24024" spans="1:33">
      <c r="A24024" t="s">
        <v>4</v>
      </c>
      <c r="B24024" s="4" t="s">
        <v>5</v>
      </c>
      <c r="C24024" s="4" t="s">
        <v>7</v>
      </c>
      <c r="D24024" s="4" t="s">
        <v>11</v>
      </c>
      <c r="E24024" s="4" t="s">
        <v>8</v>
      </c>
      <c r="F24024" s="4" t="s">
        <v>13</v>
      </c>
    </row>
    <row r="24025" spans="1:33">
      <c r="A24025" t="n">
        <v>232723</v>
      </c>
      <c r="B24025" s="83" t="n">
        <v>128</v>
      </c>
      <c r="C24025" s="7" t="n">
        <v>255</v>
      </c>
      <c r="D24025" s="7" t="n">
        <v>1</v>
      </c>
      <c r="E24025" s="7" t="s">
        <v>1497</v>
      </c>
      <c r="F24025" s="7" t="n">
        <v>0.200000002980232</v>
      </c>
    </row>
    <row r="24026" spans="1:33">
      <c r="A24026" t="s">
        <v>4</v>
      </c>
      <c r="B24026" s="4" t="s">
        <v>5</v>
      </c>
      <c r="C24026" s="4" t="s">
        <v>7</v>
      </c>
      <c r="D24026" s="4" t="s">
        <v>11</v>
      </c>
      <c r="E24026" s="4" t="s">
        <v>8</v>
      </c>
      <c r="F24026" s="4" t="s">
        <v>13</v>
      </c>
    </row>
    <row r="24027" spans="1:33">
      <c r="A24027" t="n">
        <v>232740</v>
      </c>
      <c r="B24027" s="83" t="n">
        <v>128</v>
      </c>
      <c r="C24027" s="7" t="n">
        <v>255</v>
      </c>
      <c r="D24027" s="7" t="n">
        <v>1</v>
      </c>
      <c r="E24027" s="7" t="s">
        <v>1498</v>
      </c>
      <c r="F24027" s="7" t="n">
        <v>0.200000002980232</v>
      </c>
    </row>
    <row r="24028" spans="1:33">
      <c r="A24028" t="s">
        <v>4</v>
      </c>
      <c r="B24028" s="4" t="s">
        <v>5</v>
      </c>
      <c r="C24028" s="4" t="s">
        <v>7</v>
      </c>
      <c r="D24028" s="4" t="s">
        <v>11</v>
      </c>
      <c r="E24028" s="4" t="s">
        <v>8</v>
      </c>
      <c r="F24028" s="4" t="s">
        <v>13</v>
      </c>
    </row>
    <row r="24029" spans="1:33">
      <c r="A24029" t="n">
        <v>232757</v>
      </c>
      <c r="B24029" s="83" t="n">
        <v>128</v>
      </c>
      <c r="C24029" s="7" t="n">
        <v>255</v>
      </c>
      <c r="D24029" s="7" t="n">
        <v>1</v>
      </c>
      <c r="E24029" s="7" t="s">
        <v>1499</v>
      </c>
      <c r="F24029" s="7" t="n">
        <v>0.200000002980232</v>
      </c>
    </row>
    <row r="24030" spans="1:33">
      <c r="A24030" t="s">
        <v>4</v>
      </c>
      <c r="B24030" s="4" t="s">
        <v>5</v>
      </c>
      <c r="C24030" s="4" t="s">
        <v>7</v>
      </c>
      <c r="D24030" s="4" t="s">
        <v>11</v>
      </c>
      <c r="E24030" s="4" t="s">
        <v>8</v>
      </c>
      <c r="F24030" s="4" t="s">
        <v>13</v>
      </c>
    </row>
    <row r="24031" spans="1:33">
      <c r="A24031" t="n">
        <v>232774</v>
      </c>
      <c r="B24031" s="83" t="n">
        <v>128</v>
      </c>
      <c r="C24031" s="7" t="n">
        <v>255</v>
      </c>
      <c r="D24031" s="7" t="n">
        <v>1</v>
      </c>
      <c r="E24031" s="7" t="s">
        <v>1500</v>
      </c>
      <c r="F24031" s="7" t="n">
        <v>0.200000002980232</v>
      </c>
    </row>
    <row r="24032" spans="1:33">
      <c r="A24032" t="s">
        <v>4</v>
      </c>
      <c r="B24032" s="4" t="s">
        <v>5</v>
      </c>
      <c r="C24032" s="4" t="s">
        <v>7</v>
      </c>
      <c r="D24032" s="4" t="s">
        <v>11</v>
      </c>
      <c r="E24032" s="4" t="s">
        <v>8</v>
      </c>
      <c r="F24032" s="4" t="s">
        <v>13</v>
      </c>
    </row>
    <row r="24033" spans="1:23">
      <c r="A24033" t="n">
        <v>232791</v>
      </c>
      <c r="B24033" s="83" t="n">
        <v>128</v>
      </c>
      <c r="C24033" s="7" t="n">
        <v>255</v>
      </c>
      <c r="D24033" s="7" t="n">
        <v>1</v>
      </c>
      <c r="E24033" s="7" t="s">
        <v>1501</v>
      </c>
      <c r="F24033" s="7" t="n">
        <v>0.200000002980232</v>
      </c>
    </row>
    <row r="24034" spans="1:23">
      <c r="A24034" t="s">
        <v>4</v>
      </c>
      <c r="B24034" s="4" t="s">
        <v>5</v>
      </c>
      <c r="C24034" s="4" t="s">
        <v>7</v>
      </c>
      <c r="D24034" s="4" t="s">
        <v>11</v>
      </c>
      <c r="E24034" s="4" t="s">
        <v>8</v>
      </c>
      <c r="F24034" s="4" t="s">
        <v>13</v>
      </c>
    </row>
    <row r="24035" spans="1:23">
      <c r="A24035" t="n">
        <v>232809</v>
      </c>
      <c r="B24035" s="83" t="n">
        <v>128</v>
      </c>
      <c r="C24035" s="7" t="n">
        <v>255</v>
      </c>
      <c r="D24035" s="7" t="n">
        <v>1</v>
      </c>
      <c r="E24035" s="7" t="s">
        <v>1502</v>
      </c>
      <c r="F24035" s="7" t="n">
        <v>0.200000002980232</v>
      </c>
    </row>
    <row r="24036" spans="1:23">
      <c r="A24036" t="s">
        <v>4</v>
      </c>
      <c r="B24036" s="4" t="s">
        <v>5</v>
      </c>
      <c r="C24036" s="4" t="s">
        <v>7</v>
      </c>
      <c r="D24036" s="4" t="s">
        <v>11</v>
      </c>
      <c r="E24036" s="4" t="s">
        <v>8</v>
      </c>
      <c r="F24036" s="4" t="s">
        <v>13</v>
      </c>
    </row>
    <row r="24037" spans="1:23">
      <c r="A24037" t="n">
        <v>232827</v>
      </c>
      <c r="B24037" s="83" t="n">
        <v>128</v>
      </c>
      <c r="C24037" s="7" t="n">
        <v>255</v>
      </c>
      <c r="D24037" s="7" t="n">
        <v>1</v>
      </c>
      <c r="E24037" s="7" t="s">
        <v>1503</v>
      </c>
      <c r="F24037" s="7" t="n">
        <v>0.200000002980232</v>
      </c>
    </row>
    <row r="24038" spans="1:23">
      <c r="A24038" t="s">
        <v>4</v>
      </c>
      <c r="B24038" s="4" t="s">
        <v>5</v>
      </c>
      <c r="C24038" s="4" t="s">
        <v>7</v>
      </c>
      <c r="D24038" s="4" t="s">
        <v>11</v>
      </c>
      <c r="E24038" s="4" t="s">
        <v>8</v>
      </c>
      <c r="F24038" s="4" t="s">
        <v>13</v>
      </c>
    </row>
    <row r="24039" spans="1:23">
      <c r="A24039" t="n">
        <v>232845</v>
      </c>
      <c r="B24039" s="83" t="n">
        <v>128</v>
      </c>
      <c r="C24039" s="7" t="n">
        <v>255</v>
      </c>
      <c r="D24039" s="7" t="n">
        <v>1</v>
      </c>
      <c r="E24039" s="7" t="s">
        <v>1504</v>
      </c>
      <c r="F24039" s="7" t="n">
        <v>0.200000002980232</v>
      </c>
    </row>
    <row r="24040" spans="1:23">
      <c r="A24040" t="s">
        <v>4</v>
      </c>
      <c r="B24040" s="4" t="s">
        <v>5</v>
      </c>
      <c r="C24040" s="4" t="s">
        <v>11</v>
      </c>
      <c r="D24040" s="4" t="s">
        <v>13</v>
      </c>
      <c r="E24040" s="4" t="s">
        <v>13</v>
      </c>
      <c r="F24040" s="4" t="s">
        <v>13</v>
      </c>
      <c r="G24040" s="4" t="s">
        <v>11</v>
      </c>
      <c r="H24040" s="4" t="s">
        <v>11</v>
      </c>
    </row>
    <row r="24041" spans="1:23">
      <c r="A24041" t="n">
        <v>232863</v>
      </c>
      <c r="B24041" s="37" t="n">
        <v>60</v>
      </c>
      <c r="C24041" s="7" t="n">
        <v>0</v>
      </c>
      <c r="D24041" s="7" t="n">
        <v>0</v>
      </c>
      <c r="E24041" s="7" t="n">
        <v>0</v>
      </c>
      <c r="F24041" s="7" t="n">
        <v>0</v>
      </c>
      <c r="G24041" s="7" t="n">
        <v>1000</v>
      </c>
      <c r="H24041" s="7" t="n">
        <v>0</v>
      </c>
    </row>
    <row r="24042" spans="1:23">
      <c r="A24042" t="s">
        <v>4</v>
      </c>
      <c r="B24042" s="4" t="s">
        <v>5</v>
      </c>
      <c r="C24042" s="4" t="s">
        <v>7</v>
      </c>
      <c r="D24042" s="4" t="s">
        <v>11</v>
      </c>
      <c r="E24042" s="4" t="s">
        <v>8</v>
      </c>
      <c r="F24042" s="4" t="s">
        <v>8</v>
      </c>
      <c r="G24042" s="4" t="s">
        <v>8</v>
      </c>
      <c r="H24042" s="4" t="s">
        <v>8</v>
      </c>
    </row>
    <row r="24043" spans="1:23">
      <c r="A24043" t="n">
        <v>232882</v>
      </c>
      <c r="B24043" s="38" t="n">
        <v>51</v>
      </c>
      <c r="C24043" s="7" t="n">
        <v>3</v>
      </c>
      <c r="D24043" s="7" t="n">
        <v>1</v>
      </c>
      <c r="E24043" s="7" t="s">
        <v>371</v>
      </c>
      <c r="F24043" s="7" t="s">
        <v>232</v>
      </c>
      <c r="G24043" s="7" t="s">
        <v>16</v>
      </c>
      <c r="H24043" s="7" t="s">
        <v>68</v>
      </c>
    </row>
    <row r="24044" spans="1:23">
      <c r="A24044" t="s">
        <v>4</v>
      </c>
      <c r="B24044" s="4" t="s">
        <v>5</v>
      </c>
      <c r="C24044" s="4" t="s">
        <v>11</v>
      </c>
      <c r="D24044" s="4" t="s">
        <v>8</v>
      </c>
      <c r="E24044" s="4" t="s">
        <v>7</v>
      </c>
      <c r="F24044" s="4" t="s">
        <v>7</v>
      </c>
      <c r="G24044" s="4" t="s">
        <v>7</v>
      </c>
      <c r="H24044" s="4" t="s">
        <v>7</v>
      </c>
      <c r="I24044" s="4" t="s">
        <v>7</v>
      </c>
      <c r="J24044" s="4" t="s">
        <v>13</v>
      </c>
      <c r="K24044" s="4" t="s">
        <v>13</v>
      </c>
      <c r="L24044" s="4" t="s">
        <v>13</v>
      </c>
      <c r="M24044" s="4" t="s">
        <v>13</v>
      </c>
      <c r="N24044" s="4" t="s">
        <v>7</v>
      </c>
    </row>
    <row r="24045" spans="1:23">
      <c r="A24045" t="n">
        <v>232893</v>
      </c>
      <c r="B24045" s="82" t="n">
        <v>34</v>
      </c>
      <c r="C24045" s="7" t="n">
        <v>1</v>
      </c>
      <c r="D24045" s="7" t="s">
        <v>1505</v>
      </c>
      <c r="E24045" s="7" t="n">
        <v>0</v>
      </c>
      <c r="F24045" s="7" t="n">
        <v>1</v>
      </c>
      <c r="G24045" s="7" t="n">
        <v>0</v>
      </c>
      <c r="H24045" s="7" t="n">
        <v>0</v>
      </c>
      <c r="I24045" s="7" t="n">
        <v>0</v>
      </c>
      <c r="J24045" s="7" t="n">
        <v>0.400000005960464</v>
      </c>
      <c r="K24045" s="7" t="n">
        <v>-1</v>
      </c>
      <c r="L24045" s="7" t="n">
        <v>-1</v>
      </c>
      <c r="M24045" s="7" t="n">
        <v>-1</v>
      </c>
      <c r="N24045" s="7" t="n">
        <v>0</v>
      </c>
    </row>
    <row r="24046" spans="1:23">
      <c r="A24046" t="s">
        <v>4</v>
      </c>
      <c r="B24046" s="4" t="s">
        <v>5</v>
      </c>
      <c r="C24046" s="4" t="s">
        <v>11</v>
      </c>
      <c r="D24046" s="4" t="s">
        <v>8</v>
      </c>
      <c r="E24046" s="4" t="s">
        <v>7</v>
      </c>
      <c r="F24046" s="4" t="s">
        <v>7</v>
      </c>
      <c r="G24046" s="4" t="s">
        <v>7</v>
      </c>
      <c r="H24046" s="4" t="s">
        <v>7</v>
      </c>
      <c r="I24046" s="4" t="s">
        <v>7</v>
      </c>
      <c r="J24046" s="4" t="s">
        <v>13</v>
      </c>
      <c r="K24046" s="4" t="s">
        <v>13</v>
      </c>
      <c r="L24046" s="4" t="s">
        <v>13</v>
      </c>
      <c r="M24046" s="4" t="s">
        <v>13</v>
      </c>
      <c r="N24046" s="4" t="s">
        <v>7</v>
      </c>
    </row>
    <row r="24047" spans="1:23">
      <c r="A24047" t="n">
        <v>232926</v>
      </c>
      <c r="B24047" s="82" t="n">
        <v>34</v>
      </c>
      <c r="C24047" s="7" t="n">
        <v>0</v>
      </c>
      <c r="D24047" s="7" t="s">
        <v>1505</v>
      </c>
      <c r="E24047" s="7" t="n">
        <v>0</v>
      </c>
      <c r="F24047" s="7" t="n">
        <v>1</v>
      </c>
      <c r="G24047" s="7" t="n">
        <v>0</v>
      </c>
      <c r="H24047" s="7" t="n">
        <v>0</v>
      </c>
      <c r="I24047" s="7" t="n">
        <v>0</v>
      </c>
      <c r="J24047" s="7" t="n">
        <v>0.400000005960464</v>
      </c>
      <c r="K24047" s="7" t="n">
        <v>-1</v>
      </c>
      <c r="L24047" s="7" t="n">
        <v>-1</v>
      </c>
      <c r="M24047" s="7" t="n">
        <v>-1</v>
      </c>
      <c r="N24047" s="7" t="n">
        <v>0</v>
      </c>
    </row>
    <row r="24048" spans="1:23">
      <c r="A24048" t="s">
        <v>4</v>
      </c>
      <c r="B24048" s="4" t="s">
        <v>5</v>
      </c>
      <c r="C24048" s="4" t="s">
        <v>11</v>
      </c>
    </row>
    <row r="24049" spans="1:14">
      <c r="A24049" t="n">
        <v>232959</v>
      </c>
      <c r="B24049" s="29" t="n">
        <v>16</v>
      </c>
      <c r="C24049" s="7" t="n">
        <v>1100</v>
      </c>
    </row>
    <row r="24050" spans="1:14">
      <c r="A24050" t="s">
        <v>4</v>
      </c>
      <c r="B24050" s="4" t="s">
        <v>5</v>
      </c>
      <c r="C24050" s="4" t="s">
        <v>7</v>
      </c>
      <c r="D24050" s="4" t="s">
        <v>11</v>
      </c>
      <c r="E24050" s="4" t="s">
        <v>8</v>
      </c>
    </row>
    <row r="24051" spans="1:14">
      <c r="A24051" t="n">
        <v>232962</v>
      </c>
      <c r="B24051" s="38" t="n">
        <v>51</v>
      </c>
      <c r="C24051" s="7" t="n">
        <v>4</v>
      </c>
      <c r="D24051" s="7" t="n">
        <v>1</v>
      </c>
      <c r="E24051" s="7" t="s">
        <v>359</v>
      </c>
    </row>
    <row r="24052" spans="1:14">
      <c r="A24052" t="s">
        <v>4</v>
      </c>
      <c r="B24052" s="4" t="s">
        <v>5</v>
      </c>
      <c r="C24052" s="4" t="s">
        <v>11</v>
      </c>
    </row>
    <row r="24053" spans="1:14">
      <c r="A24053" t="n">
        <v>232981</v>
      </c>
      <c r="B24053" s="29" t="n">
        <v>16</v>
      </c>
      <c r="C24053" s="7" t="n">
        <v>0</v>
      </c>
    </row>
    <row r="24054" spans="1:14">
      <c r="A24054" t="s">
        <v>4</v>
      </c>
      <c r="B24054" s="4" t="s">
        <v>5</v>
      </c>
      <c r="C24054" s="4" t="s">
        <v>11</v>
      </c>
      <c r="D24054" s="4" t="s">
        <v>7</v>
      </c>
      <c r="E24054" s="4" t="s">
        <v>15</v>
      </c>
      <c r="F24054" s="4" t="s">
        <v>55</v>
      </c>
      <c r="G24054" s="4" t="s">
        <v>7</v>
      </c>
      <c r="H24054" s="4" t="s">
        <v>7</v>
      </c>
      <c r="I24054" s="4" t="s">
        <v>7</v>
      </c>
    </row>
    <row r="24055" spans="1:14">
      <c r="A24055" t="n">
        <v>232984</v>
      </c>
      <c r="B24055" s="55" t="n">
        <v>26</v>
      </c>
      <c r="C24055" s="7" t="n">
        <v>1</v>
      </c>
      <c r="D24055" s="7" t="n">
        <v>17</v>
      </c>
      <c r="E24055" s="7" t="n">
        <v>64529</v>
      </c>
      <c r="F24055" s="7" t="s">
        <v>1506</v>
      </c>
      <c r="G24055" s="7" t="n">
        <v>8</v>
      </c>
      <c r="H24055" s="7" t="n">
        <v>2</v>
      </c>
      <c r="I24055" s="7" t="n">
        <v>0</v>
      </c>
    </row>
    <row r="24056" spans="1:14">
      <c r="A24056" t="s">
        <v>4</v>
      </c>
      <c r="B24056" s="4" t="s">
        <v>5</v>
      </c>
      <c r="C24056" s="4" t="s">
        <v>11</v>
      </c>
      <c r="D24056" s="4" t="s">
        <v>15</v>
      </c>
    </row>
    <row r="24057" spans="1:14">
      <c r="A24057" t="n">
        <v>233026</v>
      </c>
      <c r="B24057" s="44" t="n">
        <v>98</v>
      </c>
      <c r="C24057" s="7" t="n">
        <v>1</v>
      </c>
      <c r="D24057" s="7" t="n">
        <v>1045220557</v>
      </c>
    </row>
    <row r="24058" spans="1:14">
      <c r="A24058" t="s">
        <v>4</v>
      </c>
      <c r="B24058" s="4" t="s">
        <v>5</v>
      </c>
      <c r="C24058" s="4" t="s">
        <v>11</v>
      </c>
      <c r="D24058" s="4" t="s">
        <v>15</v>
      </c>
    </row>
    <row r="24059" spans="1:14">
      <c r="A24059" t="n">
        <v>233033</v>
      </c>
      <c r="B24059" s="44" t="n">
        <v>98</v>
      </c>
      <c r="C24059" s="7" t="n">
        <v>0</v>
      </c>
      <c r="D24059" s="7" t="n">
        <v>1045220557</v>
      </c>
    </row>
    <row r="24060" spans="1:14">
      <c r="A24060" t="s">
        <v>4</v>
      </c>
      <c r="B24060" s="4" t="s">
        <v>5</v>
      </c>
      <c r="C24060" s="4" t="s">
        <v>11</v>
      </c>
    </row>
    <row r="24061" spans="1:14">
      <c r="A24061" t="n">
        <v>233040</v>
      </c>
      <c r="B24061" s="29" t="n">
        <v>16</v>
      </c>
      <c r="C24061" s="7" t="n">
        <v>2700</v>
      </c>
    </row>
    <row r="24062" spans="1:14">
      <c r="A24062" t="s">
        <v>4</v>
      </c>
      <c r="B24062" s="4" t="s">
        <v>5</v>
      </c>
      <c r="C24062" s="4" t="s">
        <v>7</v>
      </c>
      <c r="D24062" s="4" t="s">
        <v>11</v>
      </c>
      <c r="E24062" s="4" t="s">
        <v>13</v>
      </c>
    </row>
    <row r="24063" spans="1:14">
      <c r="A24063" t="n">
        <v>233043</v>
      </c>
      <c r="B24063" s="23" t="n">
        <v>58</v>
      </c>
      <c r="C24063" s="7" t="n">
        <v>0</v>
      </c>
      <c r="D24063" s="7" t="n">
        <v>2000</v>
      </c>
      <c r="E24063" s="7" t="n">
        <v>1</v>
      </c>
    </row>
    <row r="24064" spans="1:14">
      <c r="A24064" t="s">
        <v>4</v>
      </c>
      <c r="B24064" s="4" t="s">
        <v>5</v>
      </c>
      <c r="C24064" s="4" t="s">
        <v>11</v>
      </c>
      <c r="D24064" s="4" t="s">
        <v>7</v>
      </c>
    </row>
    <row r="24065" spans="1:9">
      <c r="A24065" t="n">
        <v>233051</v>
      </c>
      <c r="B24065" s="68" t="n">
        <v>89</v>
      </c>
      <c r="C24065" s="7" t="n">
        <v>1</v>
      </c>
      <c r="D24065" s="7" t="n">
        <v>0</v>
      </c>
    </row>
    <row r="24066" spans="1:9">
      <c r="A24066" t="s">
        <v>4</v>
      </c>
      <c r="B24066" s="4" t="s">
        <v>5</v>
      </c>
      <c r="C24066" s="4" t="s">
        <v>7</v>
      </c>
      <c r="D24066" s="4" t="s">
        <v>11</v>
      </c>
      <c r="E24066" s="4" t="s">
        <v>8</v>
      </c>
      <c r="F24066" s="4" t="s">
        <v>8</v>
      </c>
      <c r="G24066" s="4" t="s">
        <v>8</v>
      </c>
      <c r="H24066" s="4" t="s">
        <v>8</v>
      </c>
    </row>
    <row r="24067" spans="1:9">
      <c r="A24067" t="n">
        <v>233055</v>
      </c>
      <c r="B24067" s="38" t="n">
        <v>51</v>
      </c>
      <c r="C24067" s="7" t="n">
        <v>3</v>
      </c>
      <c r="D24067" s="7" t="n">
        <v>1</v>
      </c>
      <c r="E24067" s="7" t="s">
        <v>372</v>
      </c>
      <c r="F24067" s="7" t="s">
        <v>155</v>
      </c>
      <c r="G24067" s="7" t="s">
        <v>16</v>
      </c>
      <c r="H24067" s="7" t="s">
        <v>86</v>
      </c>
    </row>
    <row r="24068" spans="1:9">
      <c r="A24068" t="s">
        <v>4</v>
      </c>
      <c r="B24068" s="4" t="s">
        <v>5</v>
      </c>
      <c r="C24068" s="4" t="s">
        <v>11</v>
      </c>
      <c r="D24068" s="4" t="s">
        <v>15</v>
      </c>
    </row>
    <row r="24069" spans="1:9">
      <c r="A24069" t="n">
        <v>233066</v>
      </c>
      <c r="B24069" s="44" t="n">
        <v>98</v>
      </c>
      <c r="C24069" s="7" t="n">
        <v>1</v>
      </c>
      <c r="D24069" s="7" t="n">
        <v>1056964608</v>
      </c>
    </row>
    <row r="24070" spans="1:9">
      <c r="A24070" t="s">
        <v>4</v>
      </c>
      <c r="B24070" s="4" t="s">
        <v>5</v>
      </c>
      <c r="C24070" s="4" t="s">
        <v>11</v>
      </c>
      <c r="D24070" s="4" t="s">
        <v>15</v>
      </c>
    </row>
    <row r="24071" spans="1:9">
      <c r="A24071" t="n">
        <v>233073</v>
      </c>
      <c r="B24071" s="44" t="n">
        <v>98</v>
      </c>
      <c r="C24071" s="7" t="n">
        <v>0</v>
      </c>
      <c r="D24071" s="7" t="n">
        <v>1056964608</v>
      </c>
    </row>
    <row r="24072" spans="1:9">
      <c r="A24072" t="s">
        <v>4</v>
      </c>
      <c r="B24072" s="4" t="s">
        <v>5</v>
      </c>
      <c r="C24072" s="4" t="s">
        <v>7</v>
      </c>
      <c r="D24072" s="4" t="s">
        <v>11</v>
      </c>
    </row>
    <row r="24073" spans="1:9">
      <c r="A24073" t="n">
        <v>233080</v>
      </c>
      <c r="B24073" s="23" t="n">
        <v>58</v>
      </c>
      <c r="C24073" s="7" t="n">
        <v>255</v>
      </c>
      <c r="D24073" s="7" t="n">
        <v>0</v>
      </c>
    </row>
    <row r="24074" spans="1:9">
      <c r="A24074" t="s">
        <v>4</v>
      </c>
      <c r="B24074" s="4" t="s">
        <v>5</v>
      </c>
      <c r="C24074" s="4" t="s">
        <v>11</v>
      </c>
    </row>
    <row r="24075" spans="1:9">
      <c r="A24075" t="n">
        <v>233084</v>
      </c>
      <c r="B24075" s="29" t="n">
        <v>16</v>
      </c>
      <c r="C24075" s="7" t="n">
        <v>2000</v>
      </c>
    </row>
    <row r="24076" spans="1:9">
      <c r="A24076" t="s">
        <v>4</v>
      </c>
      <c r="B24076" s="4" t="s">
        <v>5</v>
      </c>
      <c r="C24076" s="4" t="s">
        <v>11</v>
      </c>
    </row>
    <row r="24077" spans="1:9">
      <c r="A24077" t="n">
        <v>233087</v>
      </c>
      <c r="B24077" s="29" t="n">
        <v>16</v>
      </c>
      <c r="C24077" s="7" t="n">
        <v>0</v>
      </c>
    </row>
    <row r="24078" spans="1:9">
      <c r="A24078" t="s">
        <v>4</v>
      </c>
      <c r="B24078" s="4" t="s">
        <v>5</v>
      </c>
      <c r="C24078" s="4" t="s">
        <v>11</v>
      </c>
      <c r="D24078" s="4" t="s">
        <v>13</v>
      </c>
      <c r="E24078" s="4" t="s">
        <v>13</v>
      </c>
      <c r="F24078" s="4" t="s">
        <v>13</v>
      </c>
      <c r="G24078" s="4" t="s">
        <v>13</v>
      </c>
    </row>
    <row r="24079" spans="1:9">
      <c r="A24079" t="n">
        <v>233090</v>
      </c>
      <c r="B24079" s="36" t="n">
        <v>46</v>
      </c>
      <c r="C24079" s="7" t="n">
        <v>1</v>
      </c>
      <c r="D24079" s="7" t="n">
        <v>7.25</v>
      </c>
      <c r="E24079" s="7" t="n">
        <v>10.0100002288818</v>
      </c>
      <c r="F24079" s="7" t="n">
        <v>47.5800018310547</v>
      </c>
      <c r="G24079" s="7" t="n">
        <v>270</v>
      </c>
    </row>
    <row r="24080" spans="1:9">
      <c r="A24080" t="s">
        <v>4</v>
      </c>
      <c r="B24080" s="4" t="s">
        <v>5</v>
      </c>
      <c r="C24080" s="4" t="s">
        <v>11</v>
      </c>
      <c r="D24080" s="4" t="s">
        <v>13</v>
      </c>
      <c r="E24080" s="4" t="s">
        <v>13</v>
      </c>
      <c r="F24080" s="4" t="s">
        <v>13</v>
      </c>
      <c r="G24080" s="4" t="s">
        <v>13</v>
      </c>
    </row>
    <row r="24081" spans="1:8">
      <c r="A24081" t="n">
        <v>233109</v>
      </c>
      <c r="B24081" s="36" t="n">
        <v>46</v>
      </c>
      <c r="C24081" s="7" t="n">
        <v>0</v>
      </c>
      <c r="D24081" s="7" t="n">
        <v>6.48999977111816</v>
      </c>
      <c r="E24081" s="7" t="n">
        <v>10.0100002288818</v>
      </c>
      <c r="F24081" s="7" t="n">
        <v>47.6699981689453</v>
      </c>
      <c r="G24081" s="7" t="n">
        <v>100.400001525879</v>
      </c>
    </row>
    <row r="24082" spans="1:8">
      <c r="A24082" t="s">
        <v>4</v>
      </c>
      <c r="B24082" s="4" t="s">
        <v>5</v>
      </c>
      <c r="C24082" s="4" t="s">
        <v>11</v>
      </c>
      <c r="D24082" s="4" t="s">
        <v>15</v>
      </c>
    </row>
    <row r="24083" spans="1:8">
      <c r="A24083" t="n">
        <v>233128</v>
      </c>
      <c r="B24083" s="44" t="n">
        <v>98</v>
      </c>
      <c r="C24083" s="7" t="n">
        <v>0</v>
      </c>
      <c r="D24083" s="7" t="n">
        <v>1065353216</v>
      </c>
    </row>
    <row r="24084" spans="1:8">
      <c r="A24084" t="s">
        <v>4</v>
      </c>
      <c r="B24084" s="4" t="s">
        <v>5</v>
      </c>
      <c r="C24084" s="4" t="s">
        <v>11</v>
      </c>
      <c r="D24084" s="4" t="s">
        <v>15</v>
      </c>
    </row>
    <row r="24085" spans="1:8">
      <c r="A24085" t="n">
        <v>233135</v>
      </c>
      <c r="B24085" s="44" t="n">
        <v>98</v>
      </c>
      <c r="C24085" s="7" t="n">
        <v>1</v>
      </c>
      <c r="D24085" s="7" t="n">
        <v>1065353216</v>
      </c>
    </row>
    <row r="24086" spans="1:8">
      <c r="A24086" t="s">
        <v>4</v>
      </c>
      <c r="B24086" s="4" t="s">
        <v>5</v>
      </c>
      <c r="C24086" s="4" t="s">
        <v>11</v>
      </c>
      <c r="D24086" s="4" t="s">
        <v>7</v>
      </c>
      <c r="E24086" s="4" t="s">
        <v>8</v>
      </c>
      <c r="F24086" s="4" t="s">
        <v>13</v>
      </c>
      <c r="G24086" s="4" t="s">
        <v>13</v>
      </c>
      <c r="H24086" s="4" t="s">
        <v>13</v>
      </c>
    </row>
    <row r="24087" spans="1:8">
      <c r="A24087" t="n">
        <v>233142</v>
      </c>
      <c r="B24087" s="42" t="n">
        <v>48</v>
      </c>
      <c r="C24087" s="7" t="n">
        <v>0</v>
      </c>
      <c r="D24087" s="7" t="n">
        <v>0</v>
      </c>
      <c r="E24087" s="7" t="s">
        <v>275</v>
      </c>
      <c r="F24087" s="7" t="n">
        <v>0</v>
      </c>
      <c r="G24087" s="7" t="n">
        <v>1</v>
      </c>
      <c r="H24087" s="7" t="n">
        <v>0</v>
      </c>
    </row>
    <row r="24088" spans="1:8">
      <c r="A24088" t="s">
        <v>4</v>
      </c>
      <c r="B24088" s="4" t="s">
        <v>5</v>
      </c>
      <c r="C24088" s="4" t="s">
        <v>11</v>
      </c>
      <c r="D24088" s="4" t="s">
        <v>7</v>
      </c>
      <c r="E24088" s="4" t="s">
        <v>8</v>
      </c>
      <c r="F24088" s="4" t="s">
        <v>13</v>
      </c>
      <c r="G24088" s="4" t="s">
        <v>13</v>
      </c>
      <c r="H24088" s="4" t="s">
        <v>13</v>
      </c>
    </row>
    <row r="24089" spans="1:8">
      <c r="A24089" t="n">
        <v>233167</v>
      </c>
      <c r="B24089" s="42" t="n">
        <v>48</v>
      </c>
      <c r="C24089" s="7" t="n">
        <v>1</v>
      </c>
      <c r="D24089" s="7" t="n">
        <v>0</v>
      </c>
      <c r="E24089" s="7" t="s">
        <v>106</v>
      </c>
      <c r="F24089" s="7" t="n">
        <v>0</v>
      </c>
      <c r="G24089" s="7" t="n">
        <v>1</v>
      </c>
      <c r="H24089" s="7" t="n">
        <v>0</v>
      </c>
    </row>
    <row r="24090" spans="1:8">
      <c r="A24090" t="s">
        <v>4</v>
      </c>
      <c r="B24090" s="4" t="s">
        <v>5</v>
      </c>
      <c r="C24090" s="4" t="s">
        <v>7</v>
      </c>
      <c r="D24090" s="4" t="s">
        <v>11</v>
      </c>
      <c r="E24090" s="4" t="s">
        <v>8</v>
      </c>
      <c r="F24090" s="4" t="s">
        <v>8</v>
      </c>
      <c r="G24090" s="4" t="s">
        <v>8</v>
      </c>
      <c r="H24090" s="4" t="s">
        <v>8</v>
      </c>
    </row>
    <row r="24091" spans="1:8">
      <c r="A24091" t="n">
        <v>233191</v>
      </c>
      <c r="B24091" s="38" t="n">
        <v>51</v>
      </c>
      <c r="C24091" s="7" t="n">
        <v>3</v>
      </c>
      <c r="D24091" s="7" t="n">
        <v>1</v>
      </c>
      <c r="E24091" s="7" t="s">
        <v>372</v>
      </c>
      <c r="F24091" s="7" t="s">
        <v>79</v>
      </c>
      <c r="G24091" s="7" t="s">
        <v>16</v>
      </c>
      <c r="H24091" s="7" t="s">
        <v>68</v>
      </c>
    </row>
    <row r="24092" spans="1:8">
      <c r="A24092" t="s">
        <v>4</v>
      </c>
      <c r="B24092" s="4" t="s">
        <v>5</v>
      </c>
      <c r="C24092" s="4" t="s">
        <v>11</v>
      </c>
    </row>
    <row r="24093" spans="1:8">
      <c r="A24093" t="n">
        <v>233202</v>
      </c>
      <c r="B24093" s="29" t="n">
        <v>16</v>
      </c>
      <c r="C24093" s="7" t="n">
        <v>0</v>
      </c>
    </row>
    <row r="24094" spans="1:8">
      <c r="A24094" t="s">
        <v>4</v>
      </c>
      <c r="B24094" s="4" t="s">
        <v>5</v>
      </c>
      <c r="C24094" s="4" t="s">
        <v>11</v>
      </c>
      <c r="D24094" s="4" t="s">
        <v>11</v>
      </c>
      <c r="E24094" s="4" t="s">
        <v>11</v>
      </c>
    </row>
    <row r="24095" spans="1:8">
      <c r="A24095" t="n">
        <v>233205</v>
      </c>
      <c r="B24095" s="72" t="n">
        <v>61</v>
      </c>
      <c r="C24095" s="7" t="n">
        <v>0</v>
      </c>
      <c r="D24095" s="7" t="n">
        <v>1</v>
      </c>
      <c r="E24095" s="7" t="n">
        <v>0</v>
      </c>
    </row>
    <row r="24096" spans="1:8">
      <c r="A24096" t="s">
        <v>4</v>
      </c>
      <c r="B24096" s="4" t="s">
        <v>5</v>
      </c>
      <c r="C24096" s="4" t="s">
        <v>11</v>
      </c>
      <c r="D24096" s="4" t="s">
        <v>11</v>
      </c>
      <c r="E24096" s="4" t="s">
        <v>11</v>
      </c>
    </row>
    <row r="24097" spans="1:8">
      <c r="A24097" t="n">
        <v>233212</v>
      </c>
      <c r="B24097" s="72" t="n">
        <v>61</v>
      </c>
      <c r="C24097" s="7" t="n">
        <v>1</v>
      </c>
      <c r="D24097" s="7" t="n">
        <v>0</v>
      </c>
      <c r="E24097" s="7" t="n">
        <v>0</v>
      </c>
    </row>
    <row r="24098" spans="1:8">
      <c r="A24098" t="s">
        <v>4</v>
      </c>
      <c r="B24098" s="4" t="s">
        <v>5</v>
      </c>
      <c r="C24098" s="4" t="s">
        <v>7</v>
      </c>
      <c r="D24098" s="4" t="s">
        <v>7</v>
      </c>
      <c r="E24098" s="4" t="s">
        <v>13</v>
      </c>
      <c r="F24098" s="4" t="s">
        <v>13</v>
      </c>
      <c r="G24098" s="4" t="s">
        <v>13</v>
      </c>
      <c r="H24098" s="4" t="s">
        <v>11</v>
      </c>
    </row>
    <row r="24099" spans="1:8">
      <c r="A24099" t="n">
        <v>233219</v>
      </c>
      <c r="B24099" s="51" t="n">
        <v>45</v>
      </c>
      <c r="C24099" s="7" t="n">
        <v>2</v>
      </c>
      <c r="D24099" s="7" t="n">
        <v>3</v>
      </c>
      <c r="E24099" s="7" t="n">
        <v>6.82000017166138</v>
      </c>
      <c r="F24099" s="7" t="n">
        <v>11.8100004196167</v>
      </c>
      <c r="G24099" s="7" t="n">
        <v>47.5499992370605</v>
      </c>
      <c r="H24099" s="7" t="n">
        <v>0</v>
      </c>
    </row>
    <row r="24100" spans="1:8">
      <c r="A24100" t="s">
        <v>4</v>
      </c>
      <c r="B24100" s="4" t="s">
        <v>5</v>
      </c>
      <c r="C24100" s="4" t="s">
        <v>7</v>
      </c>
      <c r="D24100" s="4" t="s">
        <v>7</v>
      </c>
      <c r="E24100" s="4" t="s">
        <v>13</v>
      </c>
      <c r="F24100" s="4" t="s">
        <v>13</v>
      </c>
      <c r="G24100" s="4" t="s">
        <v>13</v>
      </c>
      <c r="H24100" s="4" t="s">
        <v>11</v>
      </c>
    </row>
    <row r="24101" spans="1:8">
      <c r="A24101" t="n">
        <v>233236</v>
      </c>
      <c r="B24101" s="51" t="n">
        <v>45</v>
      </c>
      <c r="C24101" s="7" t="n">
        <v>2</v>
      </c>
      <c r="D24101" s="7" t="n">
        <v>3</v>
      </c>
      <c r="E24101" s="7" t="n">
        <v>6.82000017166138</v>
      </c>
      <c r="F24101" s="7" t="n">
        <v>11.4099998474121</v>
      </c>
      <c r="G24101" s="7" t="n">
        <v>47.5499992370605</v>
      </c>
      <c r="H24101" s="7" t="n">
        <v>4400</v>
      </c>
    </row>
    <row r="24102" spans="1:8">
      <c r="A24102" t="s">
        <v>4</v>
      </c>
      <c r="B24102" s="4" t="s">
        <v>5</v>
      </c>
      <c r="C24102" s="4" t="s">
        <v>7</v>
      </c>
      <c r="D24102" s="4" t="s">
        <v>7</v>
      </c>
      <c r="E24102" s="4" t="s">
        <v>13</v>
      </c>
      <c r="F24102" s="4" t="s">
        <v>13</v>
      </c>
      <c r="G24102" s="4" t="s">
        <v>13</v>
      </c>
      <c r="H24102" s="4" t="s">
        <v>11</v>
      </c>
      <c r="I24102" s="4" t="s">
        <v>7</v>
      </c>
    </row>
    <row r="24103" spans="1:8">
      <c r="A24103" t="n">
        <v>233253</v>
      </c>
      <c r="B24103" s="51" t="n">
        <v>45</v>
      </c>
      <c r="C24103" s="7" t="n">
        <v>4</v>
      </c>
      <c r="D24103" s="7" t="n">
        <v>3</v>
      </c>
      <c r="E24103" s="7" t="n">
        <v>12.7399997711182</v>
      </c>
      <c r="F24103" s="7" t="n">
        <v>313.489990234375</v>
      </c>
      <c r="G24103" s="7" t="n">
        <v>0</v>
      </c>
      <c r="H24103" s="7" t="n">
        <v>0</v>
      </c>
      <c r="I24103" s="7" t="n">
        <v>0</v>
      </c>
    </row>
    <row r="24104" spans="1:8">
      <c r="A24104" t="s">
        <v>4</v>
      </c>
      <c r="B24104" s="4" t="s">
        <v>5</v>
      </c>
      <c r="C24104" s="4" t="s">
        <v>7</v>
      </c>
      <c r="D24104" s="4" t="s">
        <v>7</v>
      </c>
      <c r="E24104" s="4" t="s">
        <v>13</v>
      </c>
      <c r="F24104" s="4" t="s">
        <v>11</v>
      </c>
    </row>
    <row r="24105" spans="1:8">
      <c r="A24105" t="n">
        <v>233271</v>
      </c>
      <c r="B24105" s="51" t="n">
        <v>45</v>
      </c>
      <c r="C24105" s="7" t="n">
        <v>5</v>
      </c>
      <c r="D24105" s="7" t="n">
        <v>3</v>
      </c>
      <c r="E24105" s="7" t="n">
        <v>1.20000004768372</v>
      </c>
      <c r="F24105" s="7" t="n">
        <v>0</v>
      </c>
    </row>
    <row r="24106" spans="1:8">
      <c r="A24106" t="s">
        <v>4</v>
      </c>
      <c r="B24106" s="4" t="s">
        <v>5</v>
      </c>
      <c r="C24106" s="4" t="s">
        <v>7</v>
      </c>
      <c r="D24106" s="4" t="s">
        <v>7</v>
      </c>
      <c r="E24106" s="4" t="s">
        <v>13</v>
      </c>
      <c r="F24106" s="4" t="s">
        <v>11</v>
      </c>
    </row>
    <row r="24107" spans="1:8">
      <c r="A24107" t="n">
        <v>233280</v>
      </c>
      <c r="B24107" s="51" t="n">
        <v>45</v>
      </c>
      <c r="C24107" s="7" t="n">
        <v>11</v>
      </c>
      <c r="D24107" s="7" t="n">
        <v>3</v>
      </c>
      <c r="E24107" s="7" t="n">
        <v>38</v>
      </c>
      <c r="F24107" s="7" t="n">
        <v>0</v>
      </c>
    </row>
    <row r="24108" spans="1:8">
      <c r="A24108" t="s">
        <v>4</v>
      </c>
      <c r="B24108" s="4" t="s">
        <v>5</v>
      </c>
      <c r="C24108" s="4" t="s">
        <v>7</v>
      </c>
      <c r="D24108" s="4" t="s">
        <v>11</v>
      </c>
      <c r="E24108" s="4" t="s">
        <v>13</v>
      </c>
    </row>
    <row r="24109" spans="1:8">
      <c r="A24109" t="n">
        <v>233289</v>
      </c>
      <c r="B24109" s="23" t="n">
        <v>58</v>
      </c>
      <c r="C24109" s="7" t="n">
        <v>100</v>
      </c>
      <c r="D24109" s="7" t="n">
        <v>1000</v>
      </c>
      <c r="E24109" s="7" t="n">
        <v>1</v>
      </c>
    </row>
    <row r="24110" spans="1:8">
      <c r="A24110" t="s">
        <v>4</v>
      </c>
      <c r="B24110" s="4" t="s">
        <v>5</v>
      </c>
      <c r="C24110" s="4" t="s">
        <v>7</v>
      </c>
      <c r="D24110" s="4" t="s">
        <v>11</v>
      </c>
    </row>
    <row r="24111" spans="1:8">
      <c r="A24111" t="n">
        <v>233297</v>
      </c>
      <c r="B24111" s="23" t="n">
        <v>58</v>
      </c>
      <c r="C24111" s="7" t="n">
        <v>255</v>
      </c>
      <c r="D24111" s="7" t="n">
        <v>0</v>
      </c>
    </row>
    <row r="24112" spans="1:8">
      <c r="A24112" t="s">
        <v>4</v>
      </c>
      <c r="B24112" s="4" t="s">
        <v>5</v>
      </c>
      <c r="C24112" s="4" t="s">
        <v>7</v>
      </c>
      <c r="D24112" s="4" t="s">
        <v>11</v>
      </c>
    </row>
    <row r="24113" spans="1:9">
      <c r="A24113" t="n">
        <v>233301</v>
      </c>
      <c r="B24113" s="51" t="n">
        <v>45</v>
      </c>
      <c r="C24113" s="7" t="n">
        <v>7</v>
      </c>
      <c r="D24113" s="7" t="n">
        <v>255</v>
      </c>
    </row>
    <row r="24114" spans="1:9">
      <c r="A24114" t="s">
        <v>4</v>
      </c>
      <c r="B24114" s="4" t="s">
        <v>5</v>
      </c>
      <c r="C24114" s="4" t="s">
        <v>7</v>
      </c>
      <c r="D24114" s="4" t="s">
        <v>11</v>
      </c>
      <c r="E24114" s="4" t="s">
        <v>8</v>
      </c>
    </row>
    <row r="24115" spans="1:9">
      <c r="A24115" t="n">
        <v>233305</v>
      </c>
      <c r="B24115" s="38" t="n">
        <v>51</v>
      </c>
      <c r="C24115" s="7" t="n">
        <v>4</v>
      </c>
      <c r="D24115" s="7" t="n">
        <v>1</v>
      </c>
      <c r="E24115" s="7" t="s">
        <v>466</v>
      </c>
    </row>
    <row r="24116" spans="1:9">
      <c r="A24116" t="s">
        <v>4</v>
      </c>
      <c r="B24116" s="4" t="s">
        <v>5</v>
      </c>
      <c r="C24116" s="4" t="s">
        <v>11</v>
      </c>
    </row>
    <row r="24117" spans="1:9">
      <c r="A24117" t="n">
        <v>233319</v>
      </c>
      <c r="B24117" s="29" t="n">
        <v>16</v>
      </c>
      <c r="C24117" s="7" t="n">
        <v>0</v>
      </c>
    </row>
    <row r="24118" spans="1:9">
      <c r="A24118" t="s">
        <v>4</v>
      </c>
      <c r="B24118" s="4" t="s">
        <v>5</v>
      </c>
      <c r="C24118" s="4" t="s">
        <v>11</v>
      </c>
      <c r="D24118" s="4" t="s">
        <v>7</v>
      </c>
      <c r="E24118" s="4" t="s">
        <v>15</v>
      </c>
      <c r="F24118" s="4" t="s">
        <v>55</v>
      </c>
      <c r="G24118" s="4" t="s">
        <v>7</v>
      </c>
      <c r="H24118" s="4" t="s">
        <v>7</v>
      </c>
      <c r="I24118" s="4" t="s">
        <v>7</v>
      </c>
      <c r="J24118" s="4" t="s">
        <v>15</v>
      </c>
      <c r="K24118" s="4" t="s">
        <v>55</v>
      </c>
      <c r="L24118" s="4" t="s">
        <v>7</v>
      </c>
      <c r="M24118" s="4" t="s">
        <v>7</v>
      </c>
    </row>
    <row r="24119" spans="1:9">
      <c r="A24119" t="n">
        <v>233322</v>
      </c>
      <c r="B24119" s="55" t="n">
        <v>26</v>
      </c>
      <c r="C24119" s="7" t="n">
        <v>1</v>
      </c>
      <c r="D24119" s="7" t="n">
        <v>17</v>
      </c>
      <c r="E24119" s="7" t="n">
        <v>64530</v>
      </c>
      <c r="F24119" s="7" t="s">
        <v>1507</v>
      </c>
      <c r="G24119" s="7" t="n">
        <v>2</v>
      </c>
      <c r="H24119" s="7" t="n">
        <v>3</v>
      </c>
      <c r="I24119" s="7" t="n">
        <v>17</v>
      </c>
      <c r="J24119" s="7" t="n">
        <v>64531</v>
      </c>
      <c r="K24119" s="7" t="s">
        <v>1508</v>
      </c>
      <c r="L24119" s="7" t="n">
        <v>2</v>
      </c>
      <c r="M24119" s="7" t="n">
        <v>0</v>
      </c>
    </row>
    <row r="24120" spans="1:9">
      <c r="A24120" t="s">
        <v>4</v>
      </c>
      <c r="B24120" s="4" t="s">
        <v>5</v>
      </c>
    </row>
    <row r="24121" spans="1:9">
      <c r="A24121" t="n">
        <v>233421</v>
      </c>
      <c r="B24121" s="27" t="n">
        <v>28</v>
      </c>
    </row>
    <row r="24122" spans="1:9">
      <c r="A24122" t="s">
        <v>4</v>
      </c>
      <c r="B24122" s="4" t="s">
        <v>5</v>
      </c>
      <c r="C24122" s="4" t="s">
        <v>7</v>
      </c>
      <c r="D24122" s="4" t="s">
        <v>11</v>
      </c>
      <c r="E24122" s="4" t="s">
        <v>8</v>
      </c>
    </row>
    <row r="24123" spans="1:9">
      <c r="A24123" t="n">
        <v>233422</v>
      </c>
      <c r="B24123" s="38" t="n">
        <v>51</v>
      </c>
      <c r="C24123" s="7" t="n">
        <v>4</v>
      </c>
      <c r="D24123" s="7" t="n">
        <v>0</v>
      </c>
      <c r="E24123" s="7" t="s">
        <v>179</v>
      </c>
    </row>
    <row r="24124" spans="1:9">
      <c r="A24124" t="s">
        <v>4</v>
      </c>
      <c r="B24124" s="4" t="s">
        <v>5</v>
      </c>
      <c r="C24124" s="4" t="s">
        <v>11</v>
      </c>
    </row>
    <row r="24125" spans="1:9">
      <c r="A24125" t="n">
        <v>233436</v>
      </c>
      <c r="B24125" s="29" t="n">
        <v>16</v>
      </c>
      <c r="C24125" s="7" t="n">
        <v>0</v>
      </c>
    </row>
    <row r="24126" spans="1:9">
      <c r="A24126" t="s">
        <v>4</v>
      </c>
      <c r="B24126" s="4" t="s">
        <v>5</v>
      </c>
      <c r="C24126" s="4" t="s">
        <v>11</v>
      </c>
      <c r="D24126" s="4" t="s">
        <v>7</v>
      </c>
      <c r="E24126" s="4" t="s">
        <v>15</v>
      </c>
      <c r="F24126" s="4" t="s">
        <v>55</v>
      </c>
      <c r="G24126" s="4" t="s">
        <v>7</v>
      </c>
      <c r="H24126" s="4" t="s">
        <v>7</v>
      </c>
      <c r="I24126" s="4" t="s">
        <v>7</v>
      </c>
      <c r="J24126" s="4" t="s">
        <v>15</v>
      </c>
      <c r="K24126" s="4" t="s">
        <v>55</v>
      </c>
      <c r="L24126" s="4" t="s">
        <v>7</v>
      </c>
      <c r="M24126" s="4" t="s">
        <v>7</v>
      </c>
      <c r="N24126" s="4" t="s">
        <v>7</v>
      </c>
      <c r="O24126" s="4" t="s">
        <v>15</v>
      </c>
      <c r="P24126" s="4" t="s">
        <v>55</v>
      </c>
      <c r="Q24126" s="4" t="s">
        <v>7</v>
      </c>
      <c r="R24126" s="4" t="s">
        <v>7</v>
      </c>
    </row>
    <row r="24127" spans="1:9">
      <c r="A24127" t="n">
        <v>233439</v>
      </c>
      <c r="B24127" s="55" t="n">
        <v>26</v>
      </c>
      <c r="C24127" s="7" t="n">
        <v>0</v>
      </c>
      <c r="D24127" s="7" t="n">
        <v>17</v>
      </c>
      <c r="E24127" s="7" t="n">
        <v>64532</v>
      </c>
      <c r="F24127" s="7" t="s">
        <v>1509</v>
      </c>
      <c r="G24127" s="7" t="n">
        <v>2</v>
      </c>
      <c r="H24127" s="7" t="n">
        <v>3</v>
      </c>
      <c r="I24127" s="7" t="n">
        <v>17</v>
      </c>
      <c r="J24127" s="7" t="n">
        <v>64533</v>
      </c>
      <c r="K24127" s="7" t="s">
        <v>1510</v>
      </c>
      <c r="L24127" s="7" t="n">
        <v>2</v>
      </c>
      <c r="M24127" s="7" t="n">
        <v>3</v>
      </c>
      <c r="N24127" s="7" t="n">
        <v>17</v>
      </c>
      <c r="O24127" s="7" t="n">
        <v>64534</v>
      </c>
      <c r="P24127" s="7" t="s">
        <v>1511</v>
      </c>
      <c r="Q24127" s="7" t="n">
        <v>2</v>
      </c>
      <c r="R24127" s="7" t="n">
        <v>0</v>
      </c>
    </row>
    <row r="24128" spans="1:9">
      <c r="A24128" t="s">
        <v>4</v>
      </c>
      <c r="B24128" s="4" t="s">
        <v>5</v>
      </c>
    </row>
    <row r="24129" spans="1:18">
      <c r="A24129" t="n">
        <v>233647</v>
      </c>
      <c r="B24129" s="27" t="n">
        <v>28</v>
      </c>
    </row>
    <row r="24130" spans="1:18">
      <c r="A24130" t="s">
        <v>4</v>
      </c>
      <c r="B24130" s="4" t="s">
        <v>5</v>
      </c>
      <c r="C24130" s="4" t="s">
        <v>7</v>
      </c>
      <c r="D24130" s="4" t="s">
        <v>11</v>
      </c>
      <c r="E24130" s="4" t="s">
        <v>11</v>
      </c>
      <c r="F24130" s="4" t="s">
        <v>7</v>
      </c>
    </row>
    <row r="24131" spans="1:18">
      <c r="A24131" t="n">
        <v>233648</v>
      </c>
      <c r="B24131" s="31" t="n">
        <v>25</v>
      </c>
      <c r="C24131" s="7" t="n">
        <v>1</v>
      </c>
      <c r="D24131" s="7" t="n">
        <v>65535</v>
      </c>
      <c r="E24131" s="7" t="n">
        <v>65535</v>
      </c>
      <c r="F24131" s="7" t="n">
        <v>0</v>
      </c>
    </row>
    <row r="24132" spans="1:18">
      <c r="A24132" t="s">
        <v>4</v>
      </c>
      <c r="B24132" s="4" t="s">
        <v>5</v>
      </c>
      <c r="C24132" s="4" t="s">
        <v>7</v>
      </c>
      <c r="D24132" s="4" t="s">
        <v>11</v>
      </c>
      <c r="E24132" s="4" t="s">
        <v>8</v>
      </c>
      <c r="F24132" s="4" t="s">
        <v>8</v>
      </c>
      <c r="G24132" s="4" t="s">
        <v>8</v>
      </c>
      <c r="H24132" s="4" t="s">
        <v>8</v>
      </c>
    </row>
    <row r="24133" spans="1:18">
      <c r="A24133" t="n">
        <v>233655</v>
      </c>
      <c r="B24133" s="38" t="n">
        <v>51</v>
      </c>
      <c r="C24133" s="7" t="n">
        <v>3</v>
      </c>
      <c r="D24133" s="7" t="n">
        <v>1</v>
      </c>
      <c r="E24133" s="7" t="s">
        <v>99</v>
      </c>
      <c r="F24133" s="7" t="s">
        <v>232</v>
      </c>
      <c r="G24133" s="7" t="s">
        <v>78</v>
      </c>
      <c r="H24133" s="7" t="s">
        <v>79</v>
      </c>
    </row>
    <row r="24134" spans="1:18">
      <c r="A24134" t="s">
        <v>4</v>
      </c>
      <c r="B24134" s="4" t="s">
        <v>5</v>
      </c>
      <c r="C24134" s="4" t="s">
        <v>11</v>
      </c>
      <c r="D24134" s="4" t="s">
        <v>7</v>
      </c>
      <c r="E24134" s="4" t="s">
        <v>7</v>
      </c>
      <c r="F24134" s="4" t="s">
        <v>8</v>
      </c>
    </row>
    <row r="24135" spans="1:18">
      <c r="A24135" t="n">
        <v>233668</v>
      </c>
      <c r="B24135" s="50" t="n">
        <v>20</v>
      </c>
      <c r="C24135" s="7" t="n">
        <v>1</v>
      </c>
      <c r="D24135" s="7" t="n">
        <v>2</v>
      </c>
      <c r="E24135" s="7" t="n">
        <v>10</v>
      </c>
      <c r="F24135" s="7" t="s">
        <v>223</v>
      </c>
    </row>
    <row r="24136" spans="1:18">
      <c r="A24136" t="s">
        <v>4</v>
      </c>
      <c r="B24136" s="4" t="s">
        <v>5</v>
      </c>
      <c r="C24136" s="4" t="s">
        <v>11</v>
      </c>
    </row>
    <row r="24137" spans="1:18">
      <c r="A24137" t="n">
        <v>233689</v>
      </c>
      <c r="B24137" s="29" t="n">
        <v>16</v>
      </c>
      <c r="C24137" s="7" t="n">
        <v>500</v>
      </c>
    </row>
    <row r="24138" spans="1:18">
      <c r="A24138" t="s">
        <v>4</v>
      </c>
      <c r="B24138" s="4" t="s">
        <v>5</v>
      </c>
      <c r="C24138" s="4" t="s">
        <v>7</v>
      </c>
      <c r="D24138" s="4" t="s">
        <v>11</v>
      </c>
      <c r="E24138" s="4" t="s">
        <v>8</v>
      </c>
    </row>
    <row r="24139" spans="1:18">
      <c r="A24139" t="n">
        <v>233692</v>
      </c>
      <c r="B24139" s="38" t="n">
        <v>51</v>
      </c>
      <c r="C24139" s="7" t="n">
        <v>4</v>
      </c>
      <c r="D24139" s="7" t="n">
        <v>1</v>
      </c>
      <c r="E24139" s="7" t="s">
        <v>313</v>
      </c>
    </row>
    <row r="24140" spans="1:18">
      <c r="A24140" t="s">
        <v>4</v>
      </c>
      <c r="B24140" s="4" t="s">
        <v>5</v>
      </c>
      <c r="C24140" s="4" t="s">
        <v>11</v>
      </c>
    </row>
    <row r="24141" spans="1:18">
      <c r="A24141" t="n">
        <v>233705</v>
      </c>
      <c r="B24141" s="29" t="n">
        <v>16</v>
      </c>
      <c r="C24141" s="7" t="n">
        <v>0</v>
      </c>
    </row>
    <row r="24142" spans="1:18">
      <c r="A24142" t="s">
        <v>4</v>
      </c>
      <c r="B24142" s="4" t="s">
        <v>5</v>
      </c>
      <c r="C24142" s="4" t="s">
        <v>11</v>
      </c>
      <c r="D24142" s="4" t="s">
        <v>7</v>
      </c>
      <c r="E24142" s="4" t="s">
        <v>15</v>
      </c>
      <c r="F24142" s="4" t="s">
        <v>55</v>
      </c>
      <c r="G24142" s="4" t="s">
        <v>7</v>
      </c>
      <c r="H24142" s="4" t="s">
        <v>7</v>
      </c>
      <c r="I24142" s="4" t="s">
        <v>7</v>
      </c>
      <c r="J24142" s="4" t="s">
        <v>15</v>
      </c>
      <c r="K24142" s="4" t="s">
        <v>55</v>
      </c>
      <c r="L24142" s="4" t="s">
        <v>7</v>
      </c>
      <c r="M24142" s="4" t="s">
        <v>7</v>
      </c>
      <c r="N24142" s="4" t="s">
        <v>7</v>
      </c>
      <c r="O24142" s="4" t="s">
        <v>15</v>
      </c>
      <c r="P24142" s="4" t="s">
        <v>55</v>
      </c>
      <c r="Q24142" s="4" t="s">
        <v>7</v>
      </c>
      <c r="R24142" s="4" t="s">
        <v>7</v>
      </c>
    </row>
    <row r="24143" spans="1:18">
      <c r="A24143" t="n">
        <v>233708</v>
      </c>
      <c r="B24143" s="55" t="n">
        <v>26</v>
      </c>
      <c r="C24143" s="7" t="n">
        <v>1</v>
      </c>
      <c r="D24143" s="7" t="n">
        <v>17</v>
      </c>
      <c r="E24143" s="7" t="n">
        <v>64535</v>
      </c>
      <c r="F24143" s="7" t="s">
        <v>1512</v>
      </c>
      <c r="G24143" s="7" t="n">
        <v>2</v>
      </c>
      <c r="H24143" s="7" t="n">
        <v>3</v>
      </c>
      <c r="I24143" s="7" t="n">
        <v>17</v>
      </c>
      <c r="J24143" s="7" t="n">
        <v>64536</v>
      </c>
      <c r="K24143" s="7" t="s">
        <v>1513</v>
      </c>
      <c r="L24143" s="7" t="n">
        <v>2</v>
      </c>
      <c r="M24143" s="7" t="n">
        <v>3</v>
      </c>
      <c r="N24143" s="7" t="n">
        <v>17</v>
      </c>
      <c r="O24143" s="7" t="n">
        <v>64537</v>
      </c>
      <c r="P24143" s="7" t="s">
        <v>1514</v>
      </c>
      <c r="Q24143" s="7" t="n">
        <v>2</v>
      </c>
      <c r="R24143" s="7" t="n">
        <v>0</v>
      </c>
    </row>
    <row r="24144" spans="1:18">
      <c r="A24144" t="s">
        <v>4</v>
      </c>
      <c r="B24144" s="4" t="s">
        <v>5</v>
      </c>
    </row>
    <row r="24145" spans="1:18">
      <c r="A24145" t="n">
        <v>233916</v>
      </c>
      <c r="B24145" s="27" t="n">
        <v>28</v>
      </c>
    </row>
    <row r="24146" spans="1:18">
      <c r="A24146" t="s">
        <v>4</v>
      </c>
      <c r="B24146" s="4" t="s">
        <v>5</v>
      </c>
      <c r="C24146" s="4" t="s">
        <v>7</v>
      </c>
      <c r="D24146" s="4" t="s">
        <v>11</v>
      </c>
      <c r="E24146" s="4" t="s">
        <v>13</v>
      </c>
    </row>
    <row r="24147" spans="1:18">
      <c r="A24147" t="n">
        <v>233917</v>
      </c>
      <c r="B24147" s="23" t="n">
        <v>58</v>
      </c>
      <c r="C24147" s="7" t="n">
        <v>0</v>
      </c>
      <c r="D24147" s="7" t="n">
        <v>2000</v>
      </c>
      <c r="E24147" s="7" t="n">
        <v>1</v>
      </c>
    </row>
    <row r="24148" spans="1:18">
      <c r="A24148" t="s">
        <v>4</v>
      </c>
      <c r="B24148" s="4" t="s">
        <v>5</v>
      </c>
      <c r="C24148" s="4" t="s">
        <v>7</v>
      </c>
      <c r="D24148" s="4" t="s">
        <v>11</v>
      </c>
    </row>
    <row r="24149" spans="1:18">
      <c r="A24149" t="n">
        <v>233925</v>
      </c>
      <c r="B24149" s="23" t="n">
        <v>58</v>
      </c>
      <c r="C24149" s="7" t="n">
        <v>255</v>
      </c>
      <c r="D24149" s="7" t="n">
        <v>0</v>
      </c>
    </row>
    <row r="24150" spans="1:18">
      <c r="A24150" t="s">
        <v>4</v>
      </c>
      <c r="B24150" s="4" t="s">
        <v>5</v>
      </c>
      <c r="C24150" s="4" t="s">
        <v>11</v>
      </c>
    </row>
    <row r="24151" spans="1:18">
      <c r="A24151" t="n">
        <v>233929</v>
      </c>
      <c r="B24151" s="29" t="n">
        <v>16</v>
      </c>
      <c r="C24151" s="7" t="n">
        <v>1000</v>
      </c>
    </row>
    <row r="24152" spans="1:18">
      <c r="A24152" t="s">
        <v>4</v>
      </c>
      <c r="B24152" s="4" t="s">
        <v>5</v>
      </c>
      <c r="C24152" s="4" t="s">
        <v>7</v>
      </c>
      <c r="D24152" s="4" t="s">
        <v>11</v>
      </c>
      <c r="E24152" s="4" t="s">
        <v>7</v>
      </c>
    </row>
    <row r="24153" spans="1:18">
      <c r="A24153" t="n">
        <v>233932</v>
      </c>
      <c r="B24153" s="81" t="n">
        <v>39</v>
      </c>
      <c r="C24153" s="7" t="n">
        <v>14</v>
      </c>
      <c r="D24153" s="7" t="n">
        <v>1</v>
      </c>
      <c r="E24153" s="7" t="n">
        <v>102</v>
      </c>
    </row>
    <row r="24154" spans="1:18">
      <c r="A24154" t="s">
        <v>4</v>
      </c>
      <c r="B24154" s="4" t="s">
        <v>5</v>
      </c>
      <c r="C24154" s="4" t="s">
        <v>7</v>
      </c>
      <c r="D24154" s="4" t="s">
        <v>11</v>
      </c>
      <c r="E24154" s="4" t="s">
        <v>7</v>
      </c>
    </row>
    <row r="24155" spans="1:18">
      <c r="A24155" t="n">
        <v>233937</v>
      </c>
      <c r="B24155" s="81" t="n">
        <v>39</v>
      </c>
      <c r="C24155" s="7" t="n">
        <v>14</v>
      </c>
      <c r="D24155" s="7" t="n">
        <v>1</v>
      </c>
      <c r="E24155" s="7" t="n">
        <v>103</v>
      </c>
    </row>
    <row r="24156" spans="1:18">
      <c r="A24156" t="s">
        <v>4</v>
      </c>
      <c r="B24156" s="4" t="s">
        <v>5</v>
      </c>
      <c r="C24156" s="4" t="s">
        <v>7</v>
      </c>
      <c r="D24156" s="4" t="s">
        <v>11</v>
      </c>
      <c r="E24156" s="4" t="s">
        <v>7</v>
      </c>
    </row>
    <row r="24157" spans="1:18">
      <c r="A24157" t="n">
        <v>233942</v>
      </c>
      <c r="B24157" s="81" t="n">
        <v>39</v>
      </c>
      <c r="C24157" s="7" t="n">
        <v>11</v>
      </c>
      <c r="D24157" s="7" t="n">
        <v>65533</v>
      </c>
      <c r="E24157" s="7" t="n">
        <v>202</v>
      </c>
    </row>
    <row r="24158" spans="1:18">
      <c r="A24158" t="s">
        <v>4</v>
      </c>
      <c r="B24158" s="4" t="s">
        <v>5</v>
      </c>
      <c r="C24158" s="4" t="s">
        <v>7</v>
      </c>
      <c r="D24158" s="4" t="s">
        <v>11</v>
      </c>
      <c r="E24158" s="4" t="s">
        <v>7</v>
      </c>
    </row>
    <row r="24159" spans="1:18">
      <c r="A24159" t="n">
        <v>233947</v>
      </c>
      <c r="B24159" s="81" t="n">
        <v>39</v>
      </c>
      <c r="C24159" s="7" t="n">
        <v>11</v>
      </c>
      <c r="D24159" s="7" t="n">
        <v>65533</v>
      </c>
      <c r="E24159" s="7" t="n">
        <v>203</v>
      </c>
    </row>
    <row r="24160" spans="1:18">
      <c r="A24160" t="s">
        <v>4</v>
      </c>
      <c r="B24160" s="4" t="s">
        <v>5</v>
      </c>
      <c r="C24160" s="4" t="s">
        <v>7</v>
      </c>
      <c r="D24160" s="4" t="s">
        <v>11</v>
      </c>
      <c r="E24160" s="4" t="s">
        <v>7</v>
      </c>
    </row>
    <row r="24161" spans="1:5">
      <c r="A24161" t="n">
        <v>233952</v>
      </c>
      <c r="B24161" s="40" t="n">
        <v>36</v>
      </c>
      <c r="C24161" s="7" t="n">
        <v>9</v>
      </c>
      <c r="D24161" s="7" t="n">
        <v>0</v>
      </c>
      <c r="E24161" s="7" t="n">
        <v>0</v>
      </c>
    </row>
    <row r="24162" spans="1:5">
      <c r="A24162" t="s">
        <v>4</v>
      </c>
      <c r="B24162" s="4" t="s">
        <v>5</v>
      </c>
      <c r="C24162" s="4" t="s">
        <v>7</v>
      </c>
      <c r="D24162" s="4" t="s">
        <v>11</v>
      </c>
      <c r="E24162" s="4" t="s">
        <v>7</v>
      </c>
    </row>
    <row r="24163" spans="1:5">
      <c r="A24163" t="n">
        <v>233957</v>
      </c>
      <c r="B24163" s="40" t="n">
        <v>36</v>
      </c>
      <c r="C24163" s="7" t="n">
        <v>9</v>
      </c>
      <c r="D24163" s="7" t="n">
        <v>1</v>
      </c>
      <c r="E24163" s="7" t="n">
        <v>0</v>
      </c>
    </row>
    <row r="24164" spans="1:5">
      <c r="A24164" t="s">
        <v>4</v>
      </c>
      <c r="B24164" s="4" t="s">
        <v>5</v>
      </c>
      <c r="C24164" s="4" t="s">
        <v>11</v>
      </c>
      <c r="D24164" s="4" t="s">
        <v>15</v>
      </c>
    </row>
    <row r="24165" spans="1:5">
      <c r="A24165" t="n">
        <v>233962</v>
      </c>
      <c r="B24165" s="63" t="n">
        <v>44</v>
      </c>
      <c r="C24165" s="7" t="n">
        <v>0</v>
      </c>
      <c r="D24165" s="7" t="n">
        <v>256</v>
      </c>
    </row>
    <row r="24166" spans="1:5">
      <c r="A24166" t="s">
        <v>4</v>
      </c>
      <c r="B24166" s="4" t="s">
        <v>5</v>
      </c>
      <c r="C24166" s="4" t="s">
        <v>11</v>
      </c>
      <c r="D24166" s="4" t="s">
        <v>15</v>
      </c>
    </row>
    <row r="24167" spans="1:5">
      <c r="A24167" t="n">
        <v>233969</v>
      </c>
      <c r="B24167" s="63" t="n">
        <v>44</v>
      </c>
      <c r="C24167" s="7" t="n">
        <v>1</v>
      </c>
      <c r="D24167" s="7" t="n">
        <v>256</v>
      </c>
    </row>
    <row r="24168" spans="1:5">
      <c r="A24168" t="s">
        <v>4</v>
      </c>
      <c r="B24168" s="4" t="s">
        <v>5</v>
      </c>
      <c r="C24168" s="4" t="s">
        <v>11</v>
      </c>
      <c r="D24168" s="4" t="s">
        <v>15</v>
      </c>
    </row>
    <row r="24169" spans="1:5">
      <c r="A24169" t="n">
        <v>233976</v>
      </c>
      <c r="B24169" s="63" t="n">
        <v>44</v>
      </c>
      <c r="C24169" s="7" t="n">
        <v>1</v>
      </c>
      <c r="D24169" s="7" t="n">
        <v>32768</v>
      </c>
    </row>
    <row r="24170" spans="1:5">
      <c r="A24170" t="s">
        <v>4</v>
      </c>
      <c r="B24170" s="4" t="s">
        <v>5</v>
      </c>
      <c r="C24170" s="4" t="s">
        <v>11</v>
      </c>
      <c r="D24170" s="4" t="s">
        <v>13</v>
      </c>
      <c r="E24170" s="4" t="s">
        <v>13</v>
      </c>
      <c r="F24170" s="4" t="s">
        <v>13</v>
      </c>
      <c r="G24170" s="4" t="s">
        <v>13</v>
      </c>
    </row>
    <row r="24171" spans="1:5">
      <c r="A24171" t="n">
        <v>233983</v>
      </c>
      <c r="B24171" s="36" t="n">
        <v>46</v>
      </c>
      <c r="C24171" s="7" t="n">
        <v>61456</v>
      </c>
      <c r="D24171" s="7" t="n">
        <v>5.98000001907349</v>
      </c>
      <c r="E24171" s="7" t="n">
        <v>10.0100002288818</v>
      </c>
      <c r="F24171" s="7" t="n">
        <v>47.1399993896484</v>
      </c>
      <c r="G24171" s="7" t="n">
        <v>266.299987792969</v>
      </c>
    </row>
    <row r="24172" spans="1:5">
      <c r="A24172" t="s">
        <v>4</v>
      </c>
      <c r="B24172" s="4" t="s">
        <v>5</v>
      </c>
      <c r="C24172" s="4" t="s">
        <v>7</v>
      </c>
      <c r="D24172" s="4" t="s">
        <v>7</v>
      </c>
      <c r="E24172" s="4" t="s">
        <v>13</v>
      </c>
      <c r="F24172" s="4" t="s">
        <v>13</v>
      </c>
      <c r="G24172" s="4" t="s">
        <v>13</v>
      </c>
      <c r="H24172" s="4" t="s">
        <v>11</v>
      </c>
      <c r="I24172" s="4" t="s">
        <v>7</v>
      </c>
    </row>
    <row r="24173" spans="1:5">
      <c r="A24173" t="n">
        <v>234002</v>
      </c>
      <c r="B24173" s="51" t="n">
        <v>45</v>
      </c>
      <c r="C24173" s="7" t="n">
        <v>4</v>
      </c>
      <c r="D24173" s="7" t="n">
        <v>3</v>
      </c>
      <c r="E24173" s="7" t="n">
        <v>7</v>
      </c>
      <c r="F24173" s="7" t="n">
        <v>296.5</v>
      </c>
      <c r="G24173" s="7" t="n">
        <v>0</v>
      </c>
      <c r="H24173" s="7" t="n">
        <v>0</v>
      </c>
      <c r="I24173" s="7" t="n">
        <v>0</v>
      </c>
    </row>
    <row r="24174" spans="1:5">
      <c r="A24174" t="s">
        <v>4</v>
      </c>
      <c r="B24174" s="4" t="s">
        <v>5</v>
      </c>
      <c r="C24174" s="4" t="s">
        <v>7</v>
      </c>
      <c r="D24174" s="4" t="s">
        <v>8</v>
      </c>
    </row>
    <row r="24175" spans="1:5">
      <c r="A24175" t="n">
        <v>234020</v>
      </c>
      <c r="B24175" s="6" t="n">
        <v>2</v>
      </c>
      <c r="C24175" s="7" t="n">
        <v>10</v>
      </c>
      <c r="D24175" s="7" t="s">
        <v>1834</v>
      </c>
    </row>
    <row r="24176" spans="1:5">
      <c r="A24176" t="s">
        <v>4</v>
      </c>
      <c r="B24176" s="4" t="s">
        <v>5</v>
      </c>
    </row>
    <row r="24177" spans="1:9">
      <c r="A24177" t="n">
        <v>234041</v>
      </c>
      <c r="B24177" s="5" t="n">
        <v>1</v>
      </c>
    </row>
    <row r="24178" spans="1:9" s="3" customFormat="1" customHeight="0">
      <c r="A24178" s="3" t="s">
        <v>2</v>
      </c>
      <c r="B24178" s="3" t="s">
        <v>1836</v>
      </c>
    </row>
    <row r="24179" spans="1:9">
      <c r="A24179" t="s">
        <v>4</v>
      </c>
      <c r="B24179" s="4" t="s">
        <v>5</v>
      </c>
      <c r="C24179" s="4" t="s">
        <v>7</v>
      </c>
      <c r="D24179" s="4" t="s">
        <v>7</v>
      </c>
      <c r="E24179" s="4" t="s">
        <v>7</v>
      </c>
      <c r="F24179" s="4" t="s">
        <v>7</v>
      </c>
    </row>
    <row r="24180" spans="1:9">
      <c r="A24180" t="n">
        <v>234044</v>
      </c>
      <c r="B24180" s="9" t="n">
        <v>14</v>
      </c>
      <c r="C24180" s="7" t="n">
        <v>2</v>
      </c>
      <c r="D24180" s="7" t="n">
        <v>0</v>
      </c>
      <c r="E24180" s="7" t="n">
        <v>0</v>
      </c>
      <c r="F24180" s="7" t="n">
        <v>0</v>
      </c>
    </row>
    <row r="24181" spans="1:9">
      <c r="A24181" t="s">
        <v>4</v>
      </c>
      <c r="B24181" s="4" t="s">
        <v>5</v>
      </c>
      <c r="C24181" s="4" t="s">
        <v>7</v>
      </c>
      <c r="D24181" s="20" t="s">
        <v>35</v>
      </c>
      <c r="E24181" s="4" t="s">
        <v>5</v>
      </c>
      <c r="F24181" s="4" t="s">
        <v>7</v>
      </c>
      <c r="G24181" s="4" t="s">
        <v>11</v>
      </c>
      <c r="H24181" s="20" t="s">
        <v>36</v>
      </c>
      <c r="I24181" s="4" t="s">
        <v>7</v>
      </c>
      <c r="J24181" s="4" t="s">
        <v>15</v>
      </c>
      <c r="K24181" s="4" t="s">
        <v>7</v>
      </c>
      <c r="L24181" s="4" t="s">
        <v>7</v>
      </c>
      <c r="M24181" s="20" t="s">
        <v>35</v>
      </c>
      <c r="N24181" s="4" t="s">
        <v>5</v>
      </c>
      <c r="O24181" s="4" t="s">
        <v>7</v>
      </c>
      <c r="P24181" s="4" t="s">
        <v>11</v>
      </c>
      <c r="Q24181" s="20" t="s">
        <v>36</v>
      </c>
      <c r="R24181" s="4" t="s">
        <v>7</v>
      </c>
      <c r="S24181" s="4" t="s">
        <v>15</v>
      </c>
      <c r="T24181" s="4" t="s">
        <v>7</v>
      </c>
      <c r="U24181" s="4" t="s">
        <v>7</v>
      </c>
      <c r="V24181" s="4" t="s">
        <v>7</v>
      </c>
      <c r="W24181" s="4" t="s">
        <v>12</v>
      </c>
    </row>
    <row r="24182" spans="1:9">
      <c r="A24182" t="n">
        <v>234049</v>
      </c>
      <c r="B24182" s="10" t="n">
        <v>5</v>
      </c>
      <c r="C24182" s="7" t="n">
        <v>28</v>
      </c>
      <c r="D24182" s="20" t="s">
        <v>3</v>
      </c>
      <c r="E24182" s="8" t="n">
        <v>162</v>
      </c>
      <c r="F24182" s="7" t="n">
        <v>3</v>
      </c>
      <c r="G24182" s="7" t="n">
        <v>36871</v>
      </c>
      <c r="H24182" s="20" t="s">
        <v>3</v>
      </c>
      <c r="I24182" s="7" t="n">
        <v>0</v>
      </c>
      <c r="J24182" s="7" t="n">
        <v>1</v>
      </c>
      <c r="K24182" s="7" t="n">
        <v>2</v>
      </c>
      <c r="L24182" s="7" t="n">
        <v>28</v>
      </c>
      <c r="M24182" s="20" t="s">
        <v>3</v>
      </c>
      <c r="N24182" s="8" t="n">
        <v>162</v>
      </c>
      <c r="O24182" s="7" t="n">
        <v>3</v>
      </c>
      <c r="P24182" s="7" t="n">
        <v>36871</v>
      </c>
      <c r="Q24182" s="20" t="s">
        <v>3</v>
      </c>
      <c r="R24182" s="7" t="n">
        <v>0</v>
      </c>
      <c r="S24182" s="7" t="n">
        <v>2</v>
      </c>
      <c r="T24182" s="7" t="n">
        <v>2</v>
      </c>
      <c r="U24182" s="7" t="n">
        <v>11</v>
      </c>
      <c r="V24182" s="7" t="n">
        <v>1</v>
      </c>
      <c r="W24182" s="11" t="n">
        <f t="normal" ca="1">A24186</f>
        <v>0</v>
      </c>
    </row>
    <row r="24183" spans="1:9">
      <c r="A24183" t="s">
        <v>4</v>
      </c>
      <c r="B24183" s="4" t="s">
        <v>5</v>
      </c>
      <c r="C24183" s="4" t="s">
        <v>7</v>
      </c>
      <c r="D24183" s="4" t="s">
        <v>11</v>
      </c>
      <c r="E24183" s="4" t="s">
        <v>13</v>
      </c>
    </row>
    <row r="24184" spans="1:9">
      <c r="A24184" t="n">
        <v>234078</v>
      </c>
      <c r="B24184" s="23" t="n">
        <v>58</v>
      </c>
      <c r="C24184" s="7" t="n">
        <v>0</v>
      </c>
      <c r="D24184" s="7" t="n">
        <v>0</v>
      </c>
      <c r="E24184" s="7" t="n">
        <v>1</v>
      </c>
    </row>
    <row r="24185" spans="1:9">
      <c r="A24185" t="s">
        <v>4</v>
      </c>
      <c r="B24185" s="4" t="s">
        <v>5</v>
      </c>
      <c r="C24185" s="4" t="s">
        <v>7</v>
      </c>
      <c r="D24185" s="20" t="s">
        <v>35</v>
      </c>
      <c r="E24185" s="4" t="s">
        <v>5</v>
      </c>
      <c r="F24185" s="4" t="s">
        <v>7</v>
      </c>
      <c r="G24185" s="4" t="s">
        <v>11</v>
      </c>
      <c r="H24185" s="20" t="s">
        <v>36</v>
      </c>
      <c r="I24185" s="4" t="s">
        <v>7</v>
      </c>
      <c r="J24185" s="4" t="s">
        <v>15</v>
      </c>
      <c r="K24185" s="4" t="s">
        <v>7</v>
      </c>
      <c r="L24185" s="4" t="s">
        <v>7</v>
      </c>
      <c r="M24185" s="20" t="s">
        <v>35</v>
      </c>
      <c r="N24185" s="4" t="s">
        <v>5</v>
      </c>
      <c r="O24185" s="4" t="s">
        <v>7</v>
      </c>
      <c r="P24185" s="4" t="s">
        <v>11</v>
      </c>
      <c r="Q24185" s="20" t="s">
        <v>36</v>
      </c>
      <c r="R24185" s="4" t="s">
        <v>7</v>
      </c>
      <c r="S24185" s="4" t="s">
        <v>15</v>
      </c>
      <c r="T24185" s="4" t="s">
        <v>7</v>
      </c>
      <c r="U24185" s="4" t="s">
        <v>7</v>
      </c>
      <c r="V24185" s="4" t="s">
        <v>7</v>
      </c>
      <c r="W24185" s="4" t="s">
        <v>12</v>
      </c>
    </row>
    <row r="24186" spans="1:9">
      <c r="A24186" t="n">
        <v>234086</v>
      </c>
      <c r="B24186" s="10" t="n">
        <v>5</v>
      </c>
      <c r="C24186" s="7" t="n">
        <v>28</v>
      </c>
      <c r="D24186" s="20" t="s">
        <v>3</v>
      </c>
      <c r="E24186" s="8" t="n">
        <v>162</v>
      </c>
      <c r="F24186" s="7" t="n">
        <v>3</v>
      </c>
      <c r="G24186" s="7" t="n">
        <v>36871</v>
      </c>
      <c r="H24186" s="20" t="s">
        <v>3</v>
      </c>
      <c r="I24186" s="7" t="n">
        <v>0</v>
      </c>
      <c r="J24186" s="7" t="n">
        <v>1</v>
      </c>
      <c r="K24186" s="7" t="n">
        <v>3</v>
      </c>
      <c r="L24186" s="7" t="n">
        <v>28</v>
      </c>
      <c r="M24186" s="20" t="s">
        <v>3</v>
      </c>
      <c r="N24186" s="8" t="n">
        <v>162</v>
      </c>
      <c r="O24186" s="7" t="n">
        <v>3</v>
      </c>
      <c r="P24186" s="7" t="n">
        <v>36871</v>
      </c>
      <c r="Q24186" s="20" t="s">
        <v>3</v>
      </c>
      <c r="R24186" s="7" t="n">
        <v>0</v>
      </c>
      <c r="S24186" s="7" t="n">
        <v>2</v>
      </c>
      <c r="T24186" s="7" t="n">
        <v>3</v>
      </c>
      <c r="U24186" s="7" t="n">
        <v>9</v>
      </c>
      <c r="V24186" s="7" t="n">
        <v>1</v>
      </c>
      <c r="W24186" s="11" t="n">
        <f t="normal" ca="1">A24196</f>
        <v>0</v>
      </c>
    </row>
    <row r="24187" spans="1:9">
      <c r="A24187" t="s">
        <v>4</v>
      </c>
      <c r="B24187" s="4" t="s">
        <v>5</v>
      </c>
      <c r="C24187" s="4" t="s">
        <v>7</v>
      </c>
      <c r="D24187" s="20" t="s">
        <v>35</v>
      </c>
      <c r="E24187" s="4" t="s">
        <v>5</v>
      </c>
      <c r="F24187" s="4" t="s">
        <v>11</v>
      </c>
      <c r="G24187" s="4" t="s">
        <v>7</v>
      </c>
      <c r="H24187" s="4" t="s">
        <v>7</v>
      </c>
      <c r="I24187" s="4" t="s">
        <v>8</v>
      </c>
      <c r="J24187" s="20" t="s">
        <v>36</v>
      </c>
      <c r="K24187" s="4" t="s">
        <v>7</v>
      </c>
      <c r="L24187" s="4" t="s">
        <v>7</v>
      </c>
      <c r="M24187" s="20" t="s">
        <v>35</v>
      </c>
      <c r="N24187" s="4" t="s">
        <v>5</v>
      </c>
      <c r="O24187" s="4" t="s">
        <v>7</v>
      </c>
      <c r="P24187" s="20" t="s">
        <v>36</v>
      </c>
      <c r="Q24187" s="4" t="s">
        <v>7</v>
      </c>
      <c r="R24187" s="4" t="s">
        <v>15</v>
      </c>
      <c r="S24187" s="4" t="s">
        <v>7</v>
      </c>
      <c r="T24187" s="4" t="s">
        <v>7</v>
      </c>
      <c r="U24187" s="4" t="s">
        <v>7</v>
      </c>
      <c r="V24187" s="20" t="s">
        <v>35</v>
      </c>
      <c r="W24187" s="4" t="s">
        <v>5</v>
      </c>
      <c r="X24187" s="4" t="s">
        <v>7</v>
      </c>
      <c r="Y24187" s="20" t="s">
        <v>36</v>
      </c>
      <c r="Z24187" s="4" t="s">
        <v>7</v>
      </c>
      <c r="AA24187" s="4" t="s">
        <v>15</v>
      </c>
      <c r="AB24187" s="4" t="s">
        <v>7</v>
      </c>
      <c r="AC24187" s="4" t="s">
        <v>7</v>
      </c>
      <c r="AD24187" s="4" t="s">
        <v>7</v>
      </c>
      <c r="AE24187" s="4" t="s">
        <v>12</v>
      </c>
    </row>
    <row r="24188" spans="1:9">
      <c r="A24188" t="n">
        <v>234115</v>
      </c>
      <c r="B24188" s="10" t="n">
        <v>5</v>
      </c>
      <c r="C24188" s="7" t="n">
        <v>28</v>
      </c>
      <c r="D24188" s="20" t="s">
        <v>3</v>
      </c>
      <c r="E24188" s="41" t="n">
        <v>47</v>
      </c>
      <c r="F24188" s="7" t="n">
        <v>61456</v>
      </c>
      <c r="G24188" s="7" t="n">
        <v>2</v>
      </c>
      <c r="H24188" s="7" t="n">
        <v>0</v>
      </c>
      <c r="I24188" s="7" t="s">
        <v>105</v>
      </c>
      <c r="J24188" s="20" t="s">
        <v>3</v>
      </c>
      <c r="K24188" s="7" t="n">
        <v>8</v>
      </c>
      <c r="L24188" s="7" t="n">
        <v>28</v>
      </c>
      <c r="M24188" s="20" t="s">
        <v>3</v>
      </c>
      <c r="N24188" s="45" t="n">
        <v>74</v>
      </c>
      <c r="O24188" s="7" t="n">
        <v>65</v>
      </c>
      <c r="P24188" s="20" t="s">
        <v>3</v>
      </c>
      <c r="Q24188" s="7" t="n">
        <v>0</v>
      </c>
      <c r="R24188" s="7" t="n">
        <v>1</v>
      </c>
      <c r="S24188" s="7" t="n">
        <v>3</v>
      </c>
      <c r="T24188" s="7" t="n">
        <v>9</v>
      </c>
      <c r="U24188" s="7" t="n">
        <v>28</v>
      </c>
      <c r="V24188" s="20" t="s">
        <v>3</v>
      </c>
      <c r="W24188" s="45" t="n">
        <v>74</v>
      </c>
      <c r="X24188" s="7" t="n">
        <v>65</v>
      </c>
      <c r="Y24188" s="20" t="s">
        <v>3</v>
      </c>
      <c r="Z24188" s="7" t="n">
        <v>0</v>
      </c>
      <c r="AA24188" s="7" t="n">
        <v>2</v>
      </c>
      <c r="AB24188" s="7" t="n">
        <v>3</v>
      </c>
      <c r="AC24188" s="7" t="n">
        <v>9</v>
      </c>
      <c r="AD24188" s="7" t="n">
        <v>1</v>
      </c>
      <c r="AE24188" s="11" t="n">
        <f t="normal" ca="1">A24192</f>
        <v>0</v>
      </c>
    </row>
    <row r="24189" spans="1:9">
      <c r="A24189" t="s">
        <v>4</v>
      </c>
      <c r="B24189" s="4" t="s">
        <v>5</v>
      </c>
      <c r="C24189" s="4" t="s">
        <v>11</v>
      </c>
      <c r="D24189" s="4" t="s">
        <v>7</v>
      </c>
      <c r="E24189" s="4" t="s">
        <v>7</v>
      </c>
      <c r="F24189" s="4" t="s">
        <v>8</v>
      </c>
    </row>
    <row r="24190" spans="1:9">
      <c r="A24190" t="n">
        <v>234163</v>
      </c>
      <c r="B24190" s="41" t="n">
        <v>47</v>
      </c>
      <c r="C24190" s="7" t="n">
        <v>61456</v>
      </c>
      <c r="D24190" s="7" t="n">
        <v>0</v>
      </c>
      <c r="E24190" s="7" t="n">
        <v>0</v>
      </c>
      <c r="F24190" s="7" t="s">
        <v>106</v>
      </c>
    </row>
    <row r="24191" spans="1:9">
      <c r="A24191" t="s">
        <v>4</v>
      </c>
      <c r="B24191" s="4" t="s">
        <v>5</v>
      </c>
      <c r="C24191" s="4" t="s">
        <v>7</v>
      </c>
      <c r="D24191" s="4" t="s">
        <v>11</v>
      </c>
      <c r="E24191" s="4" t="s">
        <v>13</v>
      </c>
    </row>
    <row r="24192" spans="1:9">
      <c r="A24192" t="n">
        <v>234176</v>
      </c>
      <c r="B24192" s="23" t="n">
        <v>58</v>
      </c>
      <c r="C24192" s="7" t="n">
        <v>0</v>
      </c>
      <c r="D24192" s="7" t="n">
        <v>300</v>
      </c>
      <c r="E24192" s="7" t="n">
        <v>1</v>
      </c>
    </row>
    <row r="24193" spans="1:31">
      <c r="A24193" t="s">
        <v>4</v>
      </c>
      <c r="B24193" s="4" t="s">
        <v>5</v>
      </c>
      <c r="C24193" s="4" t="s">
        <v>7</v>
      </c>
      <c r="D24193" s="4" t="s">
        <v>11</v>
      </c>
    </row>
    <row r="24194" spans="1:31">
      <c r="A24194" t="n">
        <v>234184</v>
      </c>
      <c r="B24194" s="23" t="n">
        <v>58</v>
      </c>
      <c r="C24194" s="7" t="n">
        <v>255</v>
      </c>
      <c r="D24194" s="7" t="n">
        <v>0</v>
      </c>
    </row>
    <row r="24195" spans="1:31">
      <c r="A24195" t="s">
        <v>4</v>
      </c>
      <c r="B24195" s="4" t="s">
        <v>5</v>
      </c>
      <c r="C24195" s="4" t="s">
        <v>7</v>
      </c>
      <c r="D24195" s="4" t="s">
        <v>7</v>
      </c>
      <c r="E24195" s="4" t="s">
        <v>7</v>
      </c>
      <c r="F24195" s="4" t="s">
        <v>7</v>
      </c>
    </row>
    <row r="24196" spans="1:31">
      <c r="A24196" t="n">
        <v>234188</v>
      </c>
      <c r="B24196" s="9" t="n">
        <v>14</v>
      </c>
      <c r="C24196" s="7" t="n">
        <v>0</v>
      </c>
      <c r="D24196" s="7" t="n">
        <v>0</v>
      </c>
      <c r="E24196" s="7" t="n">
        <v>0</v>
      </c>
      <c r="F24196" s="7" t="n">
        <v>64</v>
      </c>
    </row>
    <row r="24197" spans="1:31">
      <c r="A24197" t="s">
        <v>4</v>
      </c>
      <c r="B24197" s="4" t="s">
        <v>5</v>
      </c>
      <c r="C24197" s="4" t="s">
        <v>7</v>
      </c>
      <c r="D24197" s="4" t="s">
        <v>11</v>
      </c>
    </row>
    <row r="24198" spans="1:31">
      <c r="A24198" t="n">
        <v>234193</v>
      </c>
      <c r="B24198" s="22" t="n">
        <v>22</v>
      </c>
      <c r="C24198" s="7" t="n">
        <v>0</v>
      </c>
      <c r="D24198" s="7" t="n">
        <v>36871</v>
      </c>
    </row>
    <row r="24199" spans="1:31">
      <c r="A24199" t="s">
        <v>4</v>
      </c>
      <c r="B24199" s="4" t="s">
        <v>5</v>
      </c>
      <c r="C24199" s="4" t="s">
        <v>7</v>
      </c>
      <c r="D24199" s="4" t="s">
        <v>11</v>
      </c>
    </row>
    <row r="24200" spans="1:31">
      <c r="A24200" t="n">
        <v>234197</v>
      </c>
      <c r="B24200" s="23" t="n">
        <v>58</v>
      </c>
      <c r="C24200" s="7" t="n">
        <v>5</v>
      </c>
      <c r="D24200" s="7" t="n">
        <v>300</v>
      </c>
    </row>
    <row r="24201" spans="1:31">
      <c r="A24201" t="s">
        <v>4</v>
      </c>
      <c r="B24201" s="4" t="s">
        <v>5</v>
      </c>
      <c r="C24201" s="4" t="s">
        <v>13</v>
      </c>
      <c r="D24201" s="4" t="s">
        <v>11</v>
      </c>
    </row>
    <row r="24202" spans="1:31">
      <c r="A24202" t="n">
        <v>234201</v>
      </c>
      <c r="B24202" s="46" t="n">
        <v>103</v>
      </c>
      <c r="C24202" s="7" t="n">
        <v>0</v>
      </c>
      <c r="D24202" s="7" t="n">
        <v>300</v>
      </c>
    </row>
    <row r="24203" spans="1:31">
      <c r="A24203" t="s">
        <v>4</v>
      </c>
      <c r="B24203" s="4" t="s">
        <v>5</v>
      </c>
      <c r="C24203" s="4" t="s">
        <v>7</v>
      </c>
    </row>
    <row r="24204" spans="1:31">
      <c r="A24204" t="n">
        <v>234208</v>
      </c>
      <c r="B24204" s="47" t="n">
        <v>64</v>
      </c>
      <c r="C24204" s="7" t="n">
        <v>7</v>
      </c>
    </row>
    <row r="24205" spans="1:31">
      <c r="A24205" t="s">
        <v>4</v>
      </c>
      <c r="B24205" s="4" t="s">
        <v>5</v>
      </c>
      <c r="C24205" s="4" t="s">
        <v>7</v>
      </c>
      <c r="D24205" s="4" t="s">
        <v>11</v>
      </c>
    </row>
    <row r="24206" spans="1:31">
      <c r="A24206" t="n">
        <v>234210</v>
      </c>
      <c r="B24206" s="48" t="n">
        <v>72</v>
      </c>
      <c r="C24206" s="7" t="n">
        <v>5</v>
      </c>
      <c r="D24206" s="7" t="n">
        <v>0</v>
      </c>
    </row>
    <row r="24207" spans="1:31">
      <c r="A24207" t="s">
        <v>4</v>
      </c>
      <c r="B24207" s="4" t="s">
        <v>5</v>
      </c>
      <c r="C24207" s="4" t="s">
        <v>7</v>
      </c>
      <c r="D24207" s="20" t="s">
        <v>35</v>
      </c>
      <c r="E24207" s="4" t="s">
        <v>5</v>
      </c>
      <c r="F24207" s="4" t="s">
        <v>7</v>
      </c>
      <c r="G24207" s="4" t="s">
        <v>11</v>
      </c>
      <c r="H24207" s="20" t="s">
        <v>36</v>
      </c>
      <c r="I24207" s="4" t="s">
        <v>7</v>
      </c>
      <c r="J24207" s="4" t="s">
        <v>15</v>
      </c>
      <c r="K24207" s="4" t="s">
        <v>7</v>
      </c>
      <c r="L24207" s="4" t="s">
        <v>7</v>
      </c>
      <c r="M24207" s="4" t="s">
        <v>12</v>
      </c>
    </row>
    <row r="24208" spans="1:31">
      <c r="A24208" t="n">
        <v>234214</v>
      </c>
      <c r="B24208" s="10" t="n">
        <v>5</v>
      </c>
      <c r="C24208" s="7" t="n">
        <v>28</v>
      </c>
      <c r="D24208" s="20" t="s">
        <v>3</v>
      </c>
      <c r="E24208" s="8" t="n">
        <v>162</v>
      </c>
      <c r="F24208" s="7" t="n">
        <v>4</v>
      </c>
      <c r="G24208" s="7" t="n">
        <v>36871</v>
      </c>
      <c r="H24208" s="20" t="s">
        <v>3</v>
      </c>
      <c r="I24208" s="7" t="n">
        <v>0</v>
      </c>
      <c r="J24208" s="7" t="n">
        <v>1</v>
      </c>
      <c r="K24208" s="7" t="n">
        <v>2</v>
      </c>
      <c r="L24208" s="7" t="n">
        <v>1</v>
      </c>
      <c r="M24208" s="11" t="n">
        <f t="normal" ca="1">A24214</f>
        <v>0</v>
      </c>
    </row>
    <row r="24209" spans="1:13">
      <c r="A24209" t="s">
        <v>4</v>
      </c>
      <c r="B24209" s="4" t="s">
        <v>5</v>
      </c>
      <c r="C24209" s="4" t="s">
        <v>7</v>
      </c>
      <c r="D24209" s="4" t="s">
        <v>8</v>
      </c>
    </row>
    <row r="24210" spans="1:13">
      <c r="A24210" t="n">
        <v>234231</v>
      </c>
      <c r="B24210" s="6" t="n">
        <v>2</v>
      </c>
      <c r="C24210" s="7" t="n">
        <v>10</v>
      </c>
      <c r="D24210" s="7" t="s">
        <v>107</v>
      </c>
    </row>
    <row r="24211" spans="1:13">
      <c r="A24211" t="s">
        <v>4</v>
      </c>
      <c r="B24211" s="4" t="s">
        <v>5</v>
      </c>
      <c r="C24211" s="4" t="s">
        <v>11</v>
      </c>
    </row>
    <row r="24212" spans="1:13">
      <c r="A24212" t="n">
        <v>234248</v>
      </c>
      <c r="B24212" s="29" t="n">
        <v>16</v>
      </c>
      <c r="C24212" s="7" t="n">
        <v>0</v>
      </c>
    </row>
    <row r="24213" spans="1:13">
      <c r="A24213" t="s">
        <v>4</v>
      </c>
      <c r="B24213" s="4" t="s">
        <v>5</v>
      </c>
      <c r="C24213" s="4" t="s">
        <v>7</v>
      </c>
      <c r="D24213" s="4" t="s">
        <v>11</v>
      </c>
      <c r="E24213" s="4" t="s">
        <v>11</v>
      </c>
      <c r="F24213" s="4" t="s">
        <v>11</v>
      </c>
      <c r="G24213" s="4" t="s">
        <v>11</v>
      </c>
      <c r="H24213" s="4" t="s">
        <v>11</v>
      </c>
      <c r="I24213" s="4" t="s">
        <v>11</v>
      </c>
      <c r="J24213" s="4" t="s">
        <v>11</v>
      </c>
      <c r="K24213" s="4" t="s">
        <v>11</v>
      </c>
      <c r="L24213" s="4" t="s">
        <v>11</v>
      </c>
      <c r="M24213" s="4" t="s">
        <v>11</v>
      </c>
      <c r="N24213" s="4" t="s">
        <v>15</v>
      </c>
      <c r="O24213" s="4" t="s">
        <v>15</v>
      </c>
      <c r="P24213" s="4" t="s">
        <v>15</v>
      </c>
      <c r="Q24213" s="4" t="s">
        <v>15</v>
      </c>
      <c r="R24213" s="4" t="s">
        <v>7</v>
      </c>
      <c r="S24213" s="4" t="s">
        <v>8</v>
      </c>
    </row>
    <row r="24214" spans="1:13">
      <c r="A24214" t="n">
        <v>234251</v>
      </c>
      <c r="B24214" s="24" t="n">
        <v>75</v>
      </c>
      <c r="C24214" s="7" t="n">
        <v>0</v>
      </c>
      <c r="D24214" s="7" t="n">
        <v>484</v>
      </c>
      <c r="E24214" s="7" t="n">
        <v>328</v>
      </c>
      <c r="F24214" s="7" t="n">
        <v>996</v>
      </c>
      <c r="G24214" s="7" t="n">
        <v>392</v>
      </c>
      <c r="H24214" s="7" t="n">
        <v>0</v>
      </c>
      <c r="I24214" s="7" t="n">
        <v>0</v>
      </c>
      <c r="J24214" s="7" t="n">
        <v>0</v>
      </c>
      <c r="K24214" s="7" t="n">
        <v>448</v>
      </c>
      <c r="L24214" s="7" t="n">
        <v>512</v>
      </c>
      <c r="M24214" s="7" t="n">
        <v>512</v>
      </c>
      <c r="N24214" s="7" t="n">
        <v>1065353216</v>
      </c>
      <c r="O24214" s="7" t="n">
        <v>1065353216</v>
      </c>
      <c r="P24214" s="7" t="n">
        <v>1065353216</v>
      </c>
      <c r="Q24214" s="7" t="n">
        <v>0</v>
      </c>
      <c r="R24214" s="7" t="n">
        <v>0</v>
      </c>
      <c r="S24214" s="7" t="s">
        <v>271</v>
      </c>
    </row>
    <row r="24215" spans="1:13">
      <c r="A24215" t="s">
        <v>4</v>
      </c>
      <c r="B24215" s="4" t="s">
        <v>5</v>
      </c>
      <c r="C24215" s="4" t="s">
        <v>7</v>
      </c>
      <c r="D24215" s="4" t="s">
        <v>11</v>
      </c>
      <c r="E24215" s="4" t="s">
        <v>11</v>
      </c>
      <c r="F24215" s="4" t="s">
        <v>11</v>
      </c>
      <c r="G24215" s="4" t="s">
        <v>11</v>
      </c>
      <c r="H24215" s="4" t="s">
        <v>11</v>
      </c>
      <c r="I24215" s="4" t="s">
        <v>11</v>
      </c>
      <c r="J24215" s="4" t="s">
        <v>11</v>
      </c>
      <c r="K24215" s="4" t="s">
        <v>11</v>
      </c>
      <c r="L24215" s="4" t="s">
        <v>11</v>
      </c>
      <c r="M24215" s="4" t="s">
        <v>11</v>
      </c>
      <c r="N24215" s="4" t="s">
        <v>15</v>
      </c>
      <c r="O24215" s="4" t="s">
        <v>15</v>
      </c>
      <c r="P24215" s="4" t="s">
        <v>15</v>
      </c>
      <c r="Q24215" s="4" t="s">
        <v>15</v>
      </c>
      <c r="R24215" s="4" t="s">
        <v>7</v>
      </c>
      <c r="S24215" s="4" t="s">
        <v>8</v>
      </c>
    </row>
    <row r="24216" spans="1:13">
      <c r="A24216" t="n">
        <v>234300</v>
      </c>
      <c r="B24216" s="24" t="n">
        <v>75</v>
      </c>
      <c r="C24216" s="7" t="n">
        <v>1</v>
      </c>
      <c r="D24216" s="7" t="n">
        <v>0</v>
      </c>
      <c r="E24216" s="7" t="n">
        <v>0</v>
      </c>
      <c r="F24216" s="7" t="n">
        <v>1024</v>
      </c>
      <c r="G24216" s="7" t="n">
        <v>720</v>
      </c>
      <c r="H24216" s="7" t="n">
        <v>0</v>
      </c>
      <c r="I24216" s="7" t="n">
        <v>0</v>
      </c>
      <c r="J24216" s="7" t="n">
        <v>0</v>
      </c>
      <c r="K24216" s="7" t="n">
        <v>0</v>
      </c>
      <c r="L24216" s="7" t="n">
        <v>1024</v>
      </c>
      <c r="M24216" s="7" t="n">
        <v>720</v>
      </c>
      <c r="N24216" s="7" t="n">
        <v>1065353216</v>
      </c>
      <c r="O24216" s="7" t="n">
        <v>1065353216</v>
      </c>
      <c r="P24216" s="7" t="n">
        <v>1065353216</v>
      </c>
      <c r="Q24216" s="7" t="n">
        <v>0</v>
      </c>
      <c r="R24216" s="7" t="n">
        <v>0</v>
      </c>
      <c r="S24216" s="7" t="s">
        <v>386</v>
      </c>
    </row>
    <row r="24217" spans="1:13">
      <c r="A24217" t="s">
        <v>4</v>
      </c>
      <c r="B24217" s="4" t="s">
        <v>5</v>
      </c>
      <c r="C24217" s="4" t="s">
        <v>7</v>
      </c>
      <c r="D24217" s="4" t="s">
        <v>7</v>
      </c>
      <c r="E24217" s="4" t="s">
        <v>7</v>
      </c>
      <c r="F24217" s="4" t="s">
        <v>13</v>
      </c>
      <c r="G24217" s="4" t="s">
        <v>13</v>
      </c>
      <c r="H24217" s="4" t="s">
        <v>13</v>
      </c>
      <c r="I24217" s="4" t="s">
        <v>13</v>
      </c>
      <c r="J24217" s="4" t="s">
        <v>13</v>
      </c>
    </row>
    <row r="24218" spans="1:13">
      <c r="A24218" t="n">
        <v>234349</v>
      </c>
      <c r="B24218" s="25" t="n">
        <v>76</v>
      </c>
      <c r="C24218" s="7" t="n">
        <v>1</v>
      </c>
      <c r="D24218" s="7" t="n">
        <v>9</v>
      </c>
      <c r="E24218" s="7" t="n">
        <v>2</v>
      </c>
      <c r="F24218" s="7" t="n">
        <v>0</v>
      </c>
      <c r="G24218" s="7" t="n">
        <v>0</v>
      </c>
      <c r="H24218" s="7" t="n">
        <v>0</v>
      </c>
      <c r="I24218" s="7" t="n">
        <v>0</v>
      </c>
      <c r="J24218" s="7" t="n">
        <v>0</v>
      </c>
    </row>
    <row r="24219" spans="1:13">
      <c r="A24219" t="s">
        <v>4</v>
      </c>
      <c r="B24219" s="4" t="s">
        <v>5</v>
      </c>
      <c r="C24219" s="4" t="s">
        <v>11</v>
      </c>
      <c r="D24219" s="4" t="s">
        <v>8</v>
      </c>
      <c r="E24219" s="4" t="s">
        <v>8</v>
      </c>
      <c r="F24219" s="4" t="s">
        <v>8</v>
      </c>
      <c r="G24219" s="4" t="s">
        <v>7</v>
      </c>
      <c r="H24219" s="4" t="s">
        <v>15</v>
      </c>
      <c r="I24219" s="4" t="s">
        <v>13</v>
      </c>
      <c r="J24219" s="4" t="s">
        <v>13</v>
      </c>
      <c r="K24219" s="4" t="s">
        <v>13</v>
      </c>
      <c r="L24219" s="4" t="s">
        <v>13</v>
      </c>
      <c r="M24219" s="4" t="s">
        <v>13</v>
      </c>
      <c r="N24219" s="4" t="s">
        <v>13</v>
      </c>
      <c r="O24219" s="4" t="s">
        <v>13</v>
      </c>
      <c r="P24219" s="4" t="s">
        <v>8</v>
      </c>
      <c r="Q24219" s="4" t="s">
        <v>8</v>
      </c>
      <c r="R24219" s="4" t="s">
        <v>15</v>
      </c>
      <c r="S24219" s="4" t="s">
        <v>7</v>
      </c>
      <c r="T24219" s="4" t="s">
        <v>15</v>
      </c>
      <c r="U24219" s="4" t="s">
        <v>15</v>
      </c>
      <c r="V24219" s="4" t="s">
        <v>11</v>
      </c>
    </row>
    <row r="24220" spans="1:13">
      <c r="A24220" t="n">
        <v>234373</v>
      </c>
      <c r="B24220" s="62" t="n">
        <v>19</v>
      </c>
      <c r="C24220" s="7" t="n">
        <v>3</v>
      </c>
      <c r="D24220" s="7" t="s">
        <v>387</v>
      </c>
      <c r="E24220" s="7" t="s">
        <v>388</v>
      </c>
      <c r="F24220" s="7" t="s">
        <v>16</v>
      </c>
      <c r="G24220" s="7" t="n">
        <v>0</v>
      </c>
      <c r="H24220" s="7" t="n">
        <v>1</v>
      </c>
      <c r="I24220" s="7" t="n">
        <v>0</v>
      </c>
      <c r="J24220" s="7" t="n">
        <v>0</v>
      </c>
      <c r="K24220" s="7" t="n">
        <v>0</v>
      </c>
      <c r="L24220" s="7" t="n">
        <v>0</v>
      </c>
      <c r="M24220" s="7" t="n">
        <v>1</v>
      </c>
      <c r="N24220" s="7" t="n">
        <v>1.60000002384186</v>
      </c>
      <c r="O24220" s="7" t="n">
        <v>0.0900000035762787</v>
      </c>
      <c r="P24220" s="7" t="s">
        <v>16</v>
      </c>
      <c r="Q24220" s="7" t="s">
        <v>16</v>
      </c>
      <c r="R24220" s="7" t="n">
        <v>-1</v>
      </c>
      <c r="S24220" s="7" t="n">
        <v>0</v>
      </c>
      <c r="T24220" s="7" t="n">
        <v>0</v>
      </c>
      <c r="U24220" s="7" t="n">
        <v>0</v>
      </c>
      <c r="V24220" s="7" t="n">
        <v>0</v>
      </c>
    </row>
    <row r="24221" spans="1:13">
      <c r="A24221" t="s">
        <v>4</v>
      </c>
      <c r="B24221" s="4" t="s">
        <v>5</v>
      </c>
      <c r="C24221" s="4" t="s">
        <v>11</v>
      </c>
      <c r="D24221" s="4" t="s">
        <v>7</v>
      </c>
      <c r="E24221" s="4" t="s">
        <v>7</v>
      </c>
      <c r="F24221" s="4" t="s">
        <v>8</v>
      </c>
    </row>
    <row r="24222" spans="1:13">
      <c r="A24222" t="n">
        <v>234446</v>
      </c>
      <c r="B24222" s="50" t="n">
        <v>20</v>
      </c>
      <c r="C24222" s="7" t="n">
        <v>0</v>
      </c>
      <c r="D24222" s="7" t="n">
        <v>3</v>
      </c>
      <c r="E24222" s="7" t="n">
        <v>10</v>
      </c>
      <c r="F24222" s="7" t="s">
        <v>108</v>
      </c>
    </row>
    <row r="24223" spans="1:13">
      <c r="A24223" t="s">
        <v>4</v>
      </c>
      <c r="B24223" s="4" t="s">
        <v>5</v>
      </c>
      <c r="C24223" s="4" t="s">
        <v>11</v>
      </c>
    </row>
    <row r="24224" spans="1:13">
      <c r="A24224" t="n">
        <v>234464</v>
      </c>
      <c r="B24224" s="29" t="n">
        <v>16</v>
      </c>
      <c r="C24224" s="7" t="n">
        <v>0</v>
      </c>
    </row>
    <row r="24225" spans="1:22">
      <c r="A24225" t="s">
        <v>4</v>
      </c>
      <c r="B24225" s="4" t="s">
        <v>5</v>
      </c>
      <c r="C24225" s="4" t="s">
        <v>11</v>
      </c>
      <c r="D24225" s="4" t="s">
        <v>7</v>
      </c>
      <c r="E24225" s="4" t="s">
        <v>7</v>
      </c>
      <c r="F24225" s="4" t="s">
        <v>8</v>
      </c>
    </row>
    <row r="24226" spans="1:22">
      <c r="A24226" t="n">
        <v>234467</v>
      </c>
      <c r="B24226" s="50" t="n">
        <v>20</v>
      </c>
      <c r="C24226" s="7" t="n">
        <v>3</v>
      </c>
      <c r="D24226" s="7" t="n">
        <v>3</v>
      </c>
      <c r="E24226" s="7" t="n">
        <v>10</v>
      </c>
      <c r="F24226" s="7" t="s">
        <v>108</v>
      </c>
    </row>
    <row r="24227" spans="1:22">
      <c r="A24227" t="s">
        <v>4</v>
      </c>
      <c r="B24227" s="4" t="s">
        <v>5</v>
      </c>
      <c r="C24227" s="4" t="s">
        <v>11</v>
      </c>
    </row>
    <row r="24228" spans="1:22">
      <c r="A24228" t="n">
        <v>234485</v>
      </c>
      <c r="B24228" s="29" t="n">
        <v>16</v>
      </c>
      <c r="C24228" s="7" t="n">
        <v>0</v>
      </c>
    </row>
    <row r="24229" spans="1:22">
      <c r="A24229" t="s">
        <v>4</v>
      </c>
      <c r="B24229" s="4" t="s">
        <v>5</v>
      </c>
      <c r="C24229" s="4" t="s">
        <v>11</v>
      </c>
      <c r="D24229" s="4" t="s">
        <v>15</v>
      </c>
    </row>
    <row r="24230" spans="1:22">
      <c r="A24230" t="n">
        <v>234488</v>
      </c>
      <c r="B24230" s="39" t="n">
        <v>43</v>
      </c>
      <c r="C24230" s="7" t="n">
        <v>3</v>
      </c>
      <c r="D24230" s="7" t="n">
        <v>1</v>
      </c>
    </row>
    <row r="24231" spans="1:22">
      <c r="A24231" t="s">
        <v>4</v>
      </c>
      <c r="B24231" s="4" t="s">
        <v>5</v>
      </c>
      <c r="C24231" s="4" t="s">
        <v>7</v>
      </c>
    </row>
    <row r="24232" spans="1:22">
      <c r="A24232" t="n">
        <v>234495</v>
      </c>
      <c r="B24232" s="49" t="n">
        <v>116</v>
      </c>
      <c r="C24232" s="7" t="n">
        <v>0</v>
      </c>
    </row>
    <row r="24233" spans="1:22">
      <c r="A24233" t="s">
        <v>4</v>
      </c>
      <c r="B24233" s="4" t="s">
        <v>5</v>
      </c>
      <c r="C24233" s="4" t="s">
        <v>7</v>
      </c>
      <c r="D24233" s="4" t="s">
        <v>11</v>
      </c>
    </row>
    <row r="24234" spans="1:22">
      <c r="A24234" t="n">
        <v>234497</v>
      </c>
      <c r="B24234" s="49" t="n">
        <v>116</v>
      </c>
      <c r="C24234" s="7" t="n">
        <v>2</v>
      </c>
      <c r="D24234" s="7" t="n">
        <v>1</v>
      </c>
    </row>
    <row r="24235" spans="1:22">
      <c r="A24235" t="s">
        <v>4</v>
      </c>
      <c r="B24235" s="4" t="s">
        <v>5</v>
      </c>
      <c r="C24235" s="4" t="s">
        <v>7</v>
      </c>
      <c r="D24235" s="4" t="s">
        <v>15</v>
      </c>
    </row>
    <row r="24236" spans="1:22">
      <c r="A24236" t="n">
        <v>234501</v>
      </c>
      <c r="B24236" s="49" t="n">
        <v>116</v>
      </c>
      <c r="C24236" s="7" t="n">
        <v>5</v>
      </c>
      <c r="D24236" s="7" t="n">
        <v>1106247680</v>
      </c>
    </row>
    <row r="24237" spans="1:22">
      <c r="A24237" t="s">
        <v>4</v>
      </c>
      <c r="B24237" s="4" t="s">
        <v>5</v>
      </c>
      <c r="C24237" s="4" t="s">
        <v>7</v>
      </c>
      <c r="D24237" s="4" t="s">
        <v>11</v>
      </c>
    </row>
    <row r="24238" spans="1:22">
      <c r="A24238" t="n">
        <v>234507</v>
      </c>
      <c r="B24238" s="49" t="n">
        <v>116</v>
      </c>
      <c r="C24238" s="7" t="n">
        <v>6</v>
      </c>
      <c r="D24238" s="7" t="n">
        <v>1</v>
      </c>
    </row>
    <row r="24239" spans="1:22">
      <c r="A24239" t="s">
        <v>4</v>
      </c>
      <c r="B24239" s="4" t="s">
        <v>5</v>
      </c>
      <c r="C24239" s="4" t="s">
        <v>7</v>
      </c>
      <c r="D24239" s="4" t="s">
        <v>11</v>
      </c>
      <c r="E24239" s="4" t="s">
        <v>11</v>
      </c>
      <c r="F24239" s="4" t="s">
        <v>15</v>
      </c>
    </row>
    <row r="24240" spans="1:22">
      <c r="A24240" t="n">
        <v>234511</v>
      </c>
      <c r="B24240" s="76" t="n">
        <v>84</v>
      </c>
      <c r="C24240" s="7" t="n">
        <v>0</v>
      </c>
      <c r="D24240" s="7" t="n">
        <v>0</v>
      </c>
      <c r="E24240" s="7" t="n">
        <v>0</v>
      </c>
      <c r="F24240" s="7" t="n">
        <v>1045220557</v>
      </c>
    </row>
    <row r="24241" spans="1:6">
      <c r="A24241" t="s">
        <v>4</v>
      </c>
      <c r="B24241" s="4" t="s">
        <v>5</v>
      </c>
      <c r="C24241" s="4" t="s">
        <v>11</v>
      </c>
      <c r="D24241" s="4" t="s">
        <v>13</v>
      </c>
      <c r="E24241" s="4" t="s">
        <v>13</v>
      </c>
      <c r="F24241" s="4" t="s">
        <v>13</v>
      </c>
      <c r="G24241" s="4" t="s">
        <v>13</v>
      </c>
    </row>
    <row r="24242" spans="1:6">
      <c r="A24242" t="n">
        <v>234521</v>
      </c>
      <c r="B24242" s="36" t="n">
        <v>46</v>
      </c>
      <c r="C24242" s="7" t="n">
        <v>3</v>
      </c>
      <c r="D24242" s="7" t="n">
        <v>7.6100001335144</v>
      </c>
      <c r="E24242" s="7" t="n">
        <v>0</v>
      </c>
      <c r="F24242" s="7" t="n">
        <v>46.0200004577637</v>
      </c>
      <c r="G24242" s="7" t="n">
        <v>272.200012207031</v>
      </c>
    </row>
    <row r="24243" spans="1:6">
      <c r="A24243" t="s">
        <v>4</v>
      </c>
      <c r="B24243" s="4" t="s">
        <v>5</v>
      </c>
      <c r="C24243" s="4" t="s">
        <v>11</v>
      </c>
      <c r="D24243" s="4" t="s">
        <v>13</v>
      </c>
      <c r="E24243" s="4" t="s">
        <v>13</v>
      </c>
      <c r="F24243" s="4" t="s">
        <v>13</v>
      </c>
      <c r="G24243" s="4" t="s">
        <v>13</v>
      </c>
    </row>
    <row r="24244" spans="1:6">
      <c r="A24244" t="n">
        <v>234540</v>
      </c>
      <c r="B24244" s="36" t="n">
        <v>46</v>
      </c>
      <c r="C24244" s="7" t="n">
        <v>0</v>
      </c>
      <c r="D24244" s="7" t="n">
        <v>4.78000020980835</v>
      </c>
      <c r="E24244" s="7" t="n">
        <v>0</v>
      </c>
      <c r="F24244" s="7" t="n">
        <v>45.3300018310547</v>
      </c>
      <c r="G24244" s="7" t="n">
        <v>-102.300003051758</v>
      </c>
    </row>
    <row r="24245" spans="1:6">
      <c r="A24245" t="s">
        <v>4</v>
      </c>
      <c r="B24245" s="4" t="s">
        <v>5</v>
      </c>
      <c r="C24245" s="4" t="s">
        <v>11</v>
      </c>
      <c r="D24245" s="4" t="s">
        <v>7</v>
      </c>
      <c r="E24245" s="4" t="s">
        <v>8</v>
      </c>
      <c r="F24245" s="4" t="s">
        <v>13</v>
      </c>
      <c r="G24245" s="4" t="s">
        <v>13</v>
      </c>
      <c r="H24245" s="4" t="s">
        <v>13</v>
      </c>
    </row>
    <row r="24246" spans="1:6">
      <c r="A24246" t="n">
        <v>234559</v>
      </c>
      <c r="B24246" s="42" t="n">
        <v>48</v>
      </c>
      <c r="C24246" s="7" t="n">
        <v>0</v>
      </c>
      <c r="D24246" s="7" t="n">
        <v>0</v>
      </c>
      <c r="E24246" s="7" t="s">
        <v>275</v>
      </c>
      <c r="F24246" s="7" t="n">
        <v>0</v>
      </c>
      <c r="G24246" s="7" t="n">
        <v>1</v>
      </c>
      <c r="H24246" s="7" t="n">
        <v>0</v>
      </c>
    </row>
    <row r="24247" spans="1:6">
      <c r="A24247" t="s">
        <v>4</v>
      </c>
      <c r="B24247" s="4" t="s">
        <v>5</v>
      </c>
      <c r="C24247" s="4" t="s">
        <v>7</v>
      </c>
      <c r="D24247" s="4" t="s">
        <v>11</v>
      </c>
      <c r="E24247" s="4" t="s">
        <v>8</v>
      </c>
      <c r="F24247" s="4" t="s">
        <v>8</v>
      </c>
      <c r="G24247" s="4" t="s">
        <v>8</v>
      </c>
      <c r="H24247" s="4" t="s">
        <v>8</v>
      </c>
    </row>
    <row r="24248" spans="1:6">
      <c r="A24248" t="n">
        <v>234584</v>
      </c>
      <c r="B24248" s="38" t="n">
        <v>51</v>
      </c>
      <c r="C24248" s="7" t="n">
        <v>3</v>
      </c>
      <c r="D24248" s="7" t="n">
        <v>0</v>
      </c>
      <c r="E24248" s="7" t="s">
        <v>101</v>
      </c>
      <c r="F24248" s="7" t="s">
        <v>99</v>
      </c>
      <c r="G24248" s="7" t="s">
        <v>78</v>
      </c>
      <c r="H24248" s="7" t="s">
        <v>79</v>
      </c>
    </row>
    <row r="24249" spans="1:6">
      <c r="A24249" t="s">
        <v>4</v>
      </c>
      <c r="B24249" s="4" t="s">
        <v>5</v>
      </c>
      <c r="C24249" s="4" t="s">
        <v>7</v>
      </c>
      <c r="D24249" s="4" t="s">
        <v>11</v>
      </c>
      <c r="E24249" s="4" t="s">
        <v>8</v>
      </c>
      <c r="F24249" s="4" t="s">
        <v>8</v>
      </c>
      <c r="G24249" s="4" t="s">
        <v>8</v>
      </c>
      <c r="H24249" s="4" t="s">
        <v>8</v>
      </c>
    </row>
    <row r="24250" spans="1:6">
      <c r="A24250" t="n">
        <v>234605</v>
      </c>
      <c r="B24250" s="38" t="n">
        <v>51</v>
      </c>
      <c r="C24250" s="7" t="n">
        <v>3</v>
      </c>
      <c r="D24250" s="7" t="n">
        <v>3</v>
      </c>
      <c r="E24250" s="7" t="s">
        <v>101</v>
      </c>
      <c r="F24250" s="7" t="s">
        <v>232</v>
      </c>
      <c r="G24250" s="7" t="s">
        <v>78</v>
      </c>
      <c r="H24250" s="7" t="s">
        <v>79</v>
      </c>
    </row>
    <row r="24251" spans="1:6">
      <c r="A24251" t="s">
        <v>4</v>
      </c>
      <c r="B24251" s="4" t="s">
        <v>5</v>
      </c>
      <c r="C24251" s="4" t="s">
        <v>7</v>
      </c>
      <c r="D24251" s="4" t="s">
        <v>11</v>
      </c>
      <c r="E24251" s="4" t="s">
        <v>7</v>
      </c>
      <c r="F24251" s="4" t="s">
        <v>8</v>
      </c>
      <c r="G24251" s="4" t="s">
        <v>8</v>
      </c>
      <c r="H24251" s="4" t="s">
        <v>8</v>
      </c>
      <c r="I24251" s="4" t="s">
        <v>8</v>
      </c>
      <c r="J24251" s="4" t="s">
        <v>8</v>
      </c>
      <c r="K24251" s="4" t="s">
        <v>8</v>
      </c>
      <c r="L24251" s="4" t="s">
        <v>8</v>
      </c>
      <c r="M24251" s="4" t="s">
        <v>8</v>
      </c>
      <c r="N24251" s="4" t="s">
        <v>8</v>
      </c>
      <c r="O24251" s="4" t="s">
        <v>8</v>
      </c>
      <c r="P24251" s="4" t="s">
        <v>8</v>
      </c>
      <c r="Q24251" s="4" t="s">
        <v>8</v>
      </c>
      <c r="R24251" s="4" t="s">
        <v>8</v>
      </c>
      <c r="S24251" s="4" t="s">
        <v>8</v>
      </c>
      <c r="T24251" s="4" t="s">
        <v>8</v>
      </c>
      <c r="U24251" s="4" t="s">
        <v>8</v>
      </c>
    </row>
    <row r="24252" spans="1:6">
      <c r="A24252" t="n">
        <v>234626</v>
      </c>
      <c r="B24252" s="40" t="n">
        <v>36</v>
      </c>
      <c r="C24252" s="7" t="n">
        <v>8</v>
      </c>
      <c r="D24252" s="7" t="n">
        <v>0</v>
      </c>
      <c r="E24252" s="7" t="n">
        <v>0</v>
      </c>
      <c r="F24252" s="7" t="s">
        <v>389</v>
      </c>
      <c r="G24252" s="7" t="s">
        <v>390</v>
      </c>
      <c r="H24252" s="7" t="s">
        <v>16</v>
      </c>
      <c r="I24252" s="7" t="s">
        <v>16</v>
      </c>
      <c r="J24252" s="7" t="s">
        <v>16</v>
      </c>
      <c r="K24252" s="7" t="s">
        <v>16</v>
      </c>
      <c r="L24252" s="7" t="s">
        <v>16</v>
      </c>
      <c r="M24252" s="7" t="s">
        <v>16</v>
      </c>
      <c r="N24252" s="7" t="s">
        <v>16</v>
      </c>
      <c r="O24252" s="7" t="s">
        <v>16</v>
      </c>
      <c r="P24252" s="7" t="s">
        <v>16</v>
      </c>
      <c r="Q24252" s="7" t="s">
        <v>16</v>
      </c>
      <c r="R24252" s="7" t="s">
        <v>16</v>
      </c>
      <c r="S24252" s="7" t="s">
        <v>16</v>
      </c>
      <c r="T24252" s="7" t="s">
        <v>16</v>
      </c>
      <c r="U24252" s="7" t="s">
        <v>16</v>
      </c>
    </row>
    <row r="24253" spans="1:6">
      <c r="A24253" t="s">
        <v>4</v>
      </c>
      <c r="B24253" s="4" t="s">
        <v>5</v>
      </c>
      <c r="C24253" s="4" t="s">
        <v>7</v>
      </c>
      <c r="D24253" s="4" t="s">
        <v>11</v>
      </c>
      <c r="E24253" s="4" t="s">
        <v>7</v>
      </c>
      <c r="F24253" s="4" t="s">
        <v>8</v>
      </c>
      <c r="G24253" s="4" t="s">
        <v>8</v>
      </c>
      <c r="H24253" s="4" t="s">
        <v>8</v>
      </c>
      <c r="I24253" s="4" t="s">
        <v>8</v>
      </c>
      <c r="J24253" s="4" t="s">
        <v>8</v>
      </c>
      <c r="K24253" s="4" t="s">
        <v>8</v>
      </c>
      <c r="L24253" s="4" t="s">
        <v>8</v>
      </c>
      <c r="M24253" s="4" t="s">
        <v>8</v>
      </c>
      <c r="N24253" s="4" t="s">
        <v>8</v>
      </c>
      <c r="O24253" s="4" t="s">
        <v>8</v>
      </c>
      <c r="P24253" s="4" t="s">
        <v>8</v>
      </c>
      <c r="Q24253" s="4" t="s">
        <v>8</v>
      </c>
      <c r="R24253" s="4" t="s">
        <v>8</v>
      </c>
      <c r="S24253" s="4" t="s">
        <v>8</v>
      </c>
      <c r="T24253" s="4" t="s">
        <v>8</v>
      </c>
      <c r="U24253" s="4" t="s">
        <v>8</v>
      </c>
    </row>
    <row r="24254" spans="1:6">
      <c r="A24254" t="n">
        <v>234665</v>
      </c>
      <c r="B24254" s="40" t="n">
        <v>36</v>
      </c>
      <c r="C24254" s="7" t="n">
        <v>8</v>
      </c>
      <c r="D24254" s="7" t="n">
        <v>3</v>
      </c>
      <c r="E24254" s="7" t="n">
        <v>0</v>
      </c>
      <c r="F24254" s="7" t="s">
        <v>389</v>
      </c>
      <c r="G24254" s="7" t="s">
        <v>390</v>
      </c>
      <c r="H24254" s="7" t="s">
        <v>391</v>
      </c>
      <c r="I24254" s="7" t="s">
        <v>392</v>
      </c>
      <c r="J24254" s="7" t="s">
        <v>16</v>
      </c>
      <c r="K24254" s="7" t="s">
        <v>16</v>
      </c>
      <c r="L24254" s="7" t="s">
        <v>16</v>
      </c>
      <c r="M24254" s="7" t="s">
        <v>16</v>
      </c>
      <c r="N24254" s="7" t="s">
        <v>16</v>
      </c>
      <c r="O24254" s="7" t="s">
        <v>16</v>
      </c>
      <c r="P24254" s="7" t="s">
        <v>16</v>
      </c>
      <c r="Q24254" s="7" t="s">
        <v>16</v>
      </c>
      <c r="R24254" s="7" t="s">
        <v>16</v>
      </c>
      <c r="S24254" s="7" t="s">
        <v>16</v>
      </c>
      <c r="T24254" s="7" t="s">
        <v>16</v>
      </c>
      <c r="U24254" s="7" t="s">
        <v>16</v>
      </c>
    </row>
    <row r="24255" spans="1:6">
      <c r="A24255" t="s">
        <v>4</v>
      </c>
      <c r="B24255" s="4" t="s">
        <v>5</v>
      </c>
      <c r="C24255" s="4" t="s">
        <v>7</v>
      </c>
      <c r="D24255" s="4" t="s">
        <v>7</v>
      </c>
      <c r="E24255" s="4" t="s">
        <v>13</v>
      </c>
      <c r="F24255" s="4" t="s">
        <v>13</v>
      </c>
      <c r="G24255" s="4" t="s">
        <v>13</v>
      </c>
      <c r="H24255" s="4" t="s">
        <v>11</v>
      </c>
    </row>
    <row r="24256" spans="1:6">
      <c r="A24256" t="n">
        <v>234728</v>
      </c>
      <c r="B24256" s="51" t="n">
        <v>45</v>
      </c>
      <c r="C24256" s="7" t="n">
        <v>2</v>
      </c>
      <c r="D24256" s="7" t="n">
        <v>3</v>
      </c>
      <c r="E24256" s="7" t="n">
        <v>-3</v>
      </c>
      <c r="F24256" s="7" t="n">
        <v>2.89000010490417</v>
      </c>
      <c r="G24256" s="7" t="n">
        <v>41.3699989318848</v>
      </c>
      <c r="H24256" s="7" t="n">
        <v>0</v>
      </c>
    </row>
    <row r="24257" spans="1:21">
      <c r="A24257" t="s">
        <v>4</v>
      </c>
      <c r="B24257" s="4" t="s">
        <v>5</v>
      </c>
      <c r="C24257" s="4" t="s">
        <v>7</v>
      </c>
      <c r="D24257" s="4" t="s">
        <v>7</v>
      </c>
      <c r="E24257" s="4" t="s">
        <v>13</v>
      </c>
      <c r="F24257" s="4" t="s">
        <v>13</v>
      </c>
      <c r="G24257" s="4" t="s">
        <v>13</v>
      </c>
      <c r="H24257" s="4" t="s">
        <v>11</v>
      </c>
      <c r="I24257" s="4" t="s">
        <v>7</v>
      </c>
    </row>
    <row r="24258" spans="1:21">
      <c r="A24258" t="n">
        <v>234745</v>
      </c>
      <c r="B24258" s="51" t="n">
        <v>45</v>
      </c>
      <c r="C24258" s="7" t="n">
        <v>4</v>
      </c>
      <c r="D24258" s="7" t="n">
        <v>3</v>
      </c>
      <c r="E24258" s="7" t="n">
        <v>0.649999976158142</v>
      </c>
      <c r="F24258" s="7" t="n">
        <v>105.529998779297</v>
      </c>
      <c r="G24258" s="7" t="n">
        <v>0</v>
      </c>
      <c r="H24258" s="7" t="n">
        <v>0</v>
      </c>
      <c r="I24258" s="7" t="n">
        <v>0</v>
      </c>
    </row>
    <row r="24259" spans="1:21">
      <c r="A24259" t="s">
        <v>4</v>
      </c>
      <c r="B24259" s="4" t="s">
        <v>5</v>
      </c>
      <c r="C24259" s="4" t="s">
        <v>7</v>
      </c>
      <c r="D24259" s="4" t="s">
        <v>7</v>
      </c>
      <c r="E24259" s="4" t="s">
        <v>13</v>
      </c>
      <c r="F24259" s="4" t="s">
        <v>11</v>
      </c>
    </row>
    <row r="24260" spans="1:21">
      <c r="A24260" t="n">
        <v>234763</v>
      </c>
      <c r="B24260" s="51" t="n">
        <v>45</v>
      </c>
      <c r="C24260" s="7" t="n">
        <v>5</v>
      </c>
      <c r="D24260" s="7" t="n">
        <v>3</v>
      </c>
      <c r="E24260" s="7" t="n">
        <v>2.40000009536743</v>
      </c>
      <c r="F24260" s="7" t="n">
        <v>0</v>
      </c>
    </row>
    <row r="24261" spans="1:21">
      <c r="A24261" t="s">
        <v>4</v>
      </c>
      <c r="B24261" s="4" t="s">
        <v>5</v>
      </c>
      <c r="C24261" s="4" t="s">
        <v>7</v>
      </c>
      <c r="D24261" s="4" t="s">
        <v>7</v>
      </c>
      <c r="E24261" s="4" t="s">
        <v>13</v>
      </c>
      <c r="F24261" s="4" t="s">
        <v>11</v>
      </c>
    </row>
    <row r="24262" spans="1:21">
      <c r="A24262" t="n">
        <v>234772</v>
      </c>
      <c r="B24262" s="51" t="n">
        <v>45</v>
      </c>
      <c r="C24262" s="7" t="n">
        <v>11</v>
      </c>
      <c r="D24262" s="7" t="n">
        <v>3</v>
      </c>
      <c r="E24262" s="7" t="n">
        <v>33.4000015258789</v>
      </c>
      <c r="F24262" s="7" t="n">
        <v>0</v>
      </c>
    </row>
    <row r="24263" spans="1:21">
      <c r="A24263" t="s">
        <v>4</v>
      </c>
      <c r="B24263" s="4" t="s">
        <v>5</v>
      </c>
      <c r="C24263" s="4" t="s">
        <v>11</v>
      </c>
      <c r="D24263" s="4" t="s">
        <v>13</v>
      </c>
      <c r="E24263" s="4" t="s">
        <v>13</v>
      </c>
      <c r="F24263" s="4" t="s">
        <v>13</v>
      </c>
      <c r="G24263" s="4" t="s">
        <v>11</v>
      </c>
      <c r="H24263" s="4" t="s">
        <v>11</v>
      </c>
    </row>
    <row r="24264" spans="1:21">
      <c r="A24264" t="n">
        <v>234781</v>
      </c>
      <c r="B24264" s="37" t="n">
        <v>60</v>
      </c>
      <c r="C24264" s="7" t="n">
        <v>0</v>
      </c>
      <c r="D24264" s="7" t="n">
        <v>0</v>
      </c>
      <c r="E24264" s="7" t="n">
        <v>20</v>
      </c>
      <c r="F24264" s="7" t="n">
        <v>0</v>
      </c>
      <c r="G24264" s="7" t="n">
        <v>0</v>
      </c>
      <c r="H24264" s="7" t="n">
        <v>0</v>
      </c>
    </row>
    <row r="24265" spans="1:21">
      <c r="A24265" t="s">
        <v>4</v>
      </c>
      <c r="B24265" s="4" t="s">
        <v>5</v>
      </c>
      <c r="C24265" s="4" t="s">
        <v>7</v>
      </c>
      <c r="D24265" s="4" t="s">
        <v>7</v>
      </c>
      <c r="E24265" s="4" t="s">
        <v>7</v>
      </c>
      <c r="F24265" s="4" t="s">
        <v>13</v>
      </c>
      <c r="G24265" s="4" t="s">
        <v>13</v>
      </c>
      <c r="H24265" s="4" t="s">
        <v>13</v>
      </c>
      <c r="I24265" s="4" t="s">
        <v>13</v>
      </c>
      <c r="J24265" s="4" t="s">
        <v>13</v>
      </c>
    </row>
    <row r="24266" spans="1:21">
      <c r="A24266" t="n">
        <v>234800</v>
      </c>
      <c r="B24266" s="25" t="n">
        <v>76</v>
      </c>
      <c r="C24266" s="7" t="n">
        <v>0</v>
      </c>
      <c r="D24266" s="7" t="n">
        <v>3</v>
      </c>
      <c r="E24266" s="7" t="n">
        <v>2</v>
      </c>
      <c r="F24266" s="7" t="n">
        <v>1</v>
      </c>
      <c r="G24266" s="7" t="n">
        <v>1</v>
      </c>
      <c r="H24266" s="7" t="n">
        <v>1</v>
      </c>
      <c r="I24266" s="7" t="n">
        <v>1</v>
      </c>
      <c r="J24266" s="7" t="n">
        <v>2000</v>
      </c>
    </row>
    <row r="24267" spans="1:21">
      <c r="A24267" t="s">
        <v>4</v>
      </c>
      <c r="B24267" s="4" t="s">
        <v>5</v>
      </c>
      <c r="C24267" s="4" t="s">
        <v>7</v>
      </c>
      <c r="D24267" s="4" t="s">
        <v>7</v>
      </c>
      <c r="E24267" s="4" t="s">
        <v>7</v>
      </c>
      <c r="F24267" s="4" t="s">
        <v>13</v>
      </c>
      <c r="G24267" s="4" t="s">
        <v>13</v>
      </c>
      <c r="H24267" s="4" t="s">
        <v>13</v>
      </c>
      <c r="I24267" s="4" t="s">
        <v>13</v>
      </c>
      <c r="J24267" s="4" t="s">
        <v>13</v>
      </c>
    </row>
    <row r="24268" spans="1:21">
      <c r="A24268" t="n">
        <v>234824</v>
      </c>
      <c r="B24268" s="25" t="n">
        <v>76</v>
      </c>
      <c r="C24268" s="7" t="n">
        <v>0</v>
      </c>
      <c r="D24268" s="7" t="n">
        <v>0</v>
      </c>
      <c r="E24268" s="7" t="n">
        <v>2</v>
      </c>
      <c r="F24268" s="7" t="n">
        <v>64</v>
      </c>
      <c r="G24268" s="7" t="n">
        <v>0</v>
      </c>
      <c r="H24268" s="7" t="n">
        <v>2000</v>
      </c>
      <c r="I24268" s="7" t="n">
        <v>0</v>
      </c>
      <c r="J24268" s="7" t="n">
        <v>0</v>
      </c>
    </row>
    <row r="24269" spans="1:21">
      <c r="A24269" t="s">
        <v>4</v>
      </c>
      <c r="B24269" s="4" t="s">
        <v>5</v>
      </c>
      <c r="C24269" s="4" t="s">
        <v>7</v>
      </c>
      <c r="D24269" s="4" t="s">
        <v>7</v>
      </c>
    </row>
    <row r="24270" spans="1:21">
      <c r="A24270" t="n">
        <v>234848</v>
      </c>
      <c r="B24270" s="26" t="n">
        <v>77</v>
      </c>
      <c r="C24270" s="7" t="n">
        <v>0</v>
      </c>
      <c r="D24270" s="7" t="n">
        <v>3</v>
      </c>
    </row>
    <row r="24271" spans="1:21">
      <c r="A24271" t="s">
        <v>4</v>
      </c>
      <c r="B24271" s="4" t="s">
        <v>5</v>
      </c>
      <c r="C24271" s="4" t="s">
        <v>7</v>
      </c>
      <c r="D24271" s="4" t="s">
        <v>7</v>
      </c>
    </row>
    <row r="24272" spans="1:21">
      <c r="A24272" t="n">
        <v>234851</v>
      </c>
      <c r="B24272" s="26" t="n">
        <v>77</v>
      </c>
      <c r="C24272" s="7" t="n">
        <v>0</v>
      </c>
      <c r="D24272" s="7" t="n">
        <v>0</v>
      </c>
    </row>
    <row r="24273" spans="1:10">
      <c r="A24273" t="s">
        <v>4</v>
      </c>
      <c r="B24273" s="4" t="s">
        <v>5</v>
      </c>
      <c r="C24273" s="4" t="s">
        <v>11</v>
      </c>
    </row>
    <row r="24274" spans="1:10">
      <c r="A24274" t="n">
        <v>234854</v>
      </c>
      <c r="B24274" s="29" t="n">
        <v>16</v>
      </c>
      <c r="C24274" s="7" t="n">
        <v>2000</v>
      </c>
    </row>
    <row r="24275" spans="1:10">
      <c r="A24275" t="s">
        <v>4</v>
      </c>
      <c r="B24275" s="4" t="s">
        <v>5</v>
      </c>
      <c r="C24275" s="4" t="s">
        <v>7</v>
      </c>
      <c r="D24275" s="4" t="s">
        <v>11</v>
      </c>
      <c r="E24275" s="4" t="s">
        <v>15</v>
      </c>
      <c r="F24275" s="4" t="s">
        <v>11</v>
      </c>
      <c r="G24275" s="4" t="s">
        <v>15</v>
      </c>
      <c r="H24275" s="4" t="s">
        <v>7</v>
      </c>
    </row>
    <row r="24276" spans="1:10">
      <c r="A24276" t="n">
        <v>234857</v>
      </c>
      <c r="B24276" s="13" t="n">
        <v>49</v>
      </c>
      <c r="C24276" s="7" t="n">
        <v>0</v>
      </c>
      <c r="D24276" s="7" t="n">
        <v>514</v>
      </c>
      <c r="E24276" s="7" t="n">
        <v>1065353216</v>
      </c>
      <c r="F24276" s="7" t="n">
        <v>0</v>
      </c>
      <c r="G24276" s="7" t="n">
        <v>0</v>
      </c>
      <c r="H24276" s="7" t="n">
        <v>0</v>
      </c>
    </row>
    <row r="24277" spans="1:10">
      <c r="A24277" t="s">
        <v>4</v>
      </c>
      <c r="B24277" s="4" t="s">
        <v>5</v>
      </c>
      <c r="C24277" s="4" t="s">
        <v>7</v>
      </c>
      <c r="D24277" s="4" t="s">
        <v>7</v>
      </c>
      <c r="E24277" s="4" t="s">
        <v>7</v>
      </c>
      <c r="F24277" s="4" t="s">
        <v>13</v>
      </c>
      <c r="G24277" s="4" t="s">
        <v>13</v>
      </c>
      <c r="H24277" s="4" t="s">
        <v>13</v>
      </c>
      <c r="I24277" s="4" t="s">
        <v>13</v>
      </c>
      <c r="J24277" s="4" t="s">
        <v>13</v>
      </c>
    </row>
    <row r="24278" spans="1:10">
      <c r="A24278" t="n">
        <v>234872</v>
      </c>
      <c r="B24278" s="25" t="n">
        <v>76</v>
      </c>
      <c r="C24278" s="7" t="n">
        <v>0</v>
      </c>
      <c r="D24278" s="7" t="n">
        <v>3</v>
      </c>
      <c r="E24278" s="7" t="n">
        <v>1</v>
      </c>
      <c r="F24278" s="7" t="n">
        <v>1</v>
      </c>
      <c r="G24278" s="7" t="n">
        <v>1</v>
      </c>
      <c r="H24278" s="7" t="n">
        <v>1</v>
      </c>
      <c r="I24278" s="7" t="n">
        <v>0</v>
      </c>
      <c r="J24278" s="7" t="n">
        <v>2000</v>
      </c>
    </row>
    <row r="24279" spans="1:10">
      <c r="A24279" t="s">
        <v>4</v>
      </c>
      <c r="B24279" s="4" t="s">
        <v>5</v>
      </c>
      <c r="C24279" s="4" t="s">
        <v>7</v>
      </c>
      <c r="D24279" s="4" t="s">
        <v>7</v>
      </c>
      <c r="E24279" s="4" t="s">
        <v>7</v>
      </c>
      <c r="F24279" s="4" t="s">
        <v>13</v>
      </c>
      <c r="G24279" s="4" t="s">
        <v>13</v>
      </c>
      <c r="H24279" s="4" t="s">
        <v>13</v>
      </c>
      <c r="I24279" s="4" t="s">
        <v>13</v>
      </c>
      <c r="J24279" s="4" t="s">
        <v>13</v>
      </c>
    </row>
    <row r="24280" spans="1:10">
      <c r="A24280" t="n">
        <v>234896</v>
      </c>
      <c r="B24280" s="25" t="n">
        <v>76</v>
      </c>
      <c r="C24280" s="7" t="n">
        <v>0</v>
      </c>
      <c r="D24280" s="7" t="n">
        <v>0</v>
      </c>
      <c r="E24280" s="7" t="n">
        <v>1</v>
      </c>
      <c r="F24280" s="7" t="n">
        <v>128</v>
      </c>
      <c r="G24280" s="7" t="n">
        <v>0</v>
      </c>
      <c r="H24280" s="7" t="n">
        <v>2000</v>
      </c>
      <c r="I24280" s="7" t="n">
        <v>0</v>
      </c>
      <c r="J24280" s="7" t="n">
        <v>0</v>
      </c>
    </row>
    <row r="24281" spans="1:10">
      <c r="A24281" t="s">
        <v>4</v>
      </c>
      <c r="B24281" s="4" t="s">
        <v>5</v>
      </c>
      <c r="C24281" s="4" t="s">
        <v>7</v>
      </c>
      <c r="D24281" s="4" t="s">
        <v>7</v>
      </c>
    </row>
    <row r="24282" spans="1:10">
      <c r="A24282" t="n">
        <v>234920</v>
      </c>
      <c r="B24282" s="26" t="n">
        <v>77</v>
      </c>
      <c r="C24282" s="7" t="n">
        <v>0</v>
      </c>
      <c r="D24282" s="7" t="n">
        <v>3</v>
      </c>
    </row>
    <row r="24283" spans="1:10">
      <c r="A24283" t="s">
        <v>4</v>
      </c>
      <c r="B24283" s="4" t="s">
        <v>5</v>
      </c>
      <c r="C24283" s="4" t="s">
        <v>7</v>
      </c>
      <c r="D24283" s="4" t="s">
        <v>7</v>
      </c>
    </row>
    <row r="24284" spans="1:10">
      <c r="A24284" t="n">
        <v>234923</v>
      </c>
      <c r="B24284" s="26" t="n">
        <v>77</v>
      </c>
      <c r="C24284" s="7" t="n">
        <v>0</v>
      </c>
      <c r="D24284" s="7" t="n">
        <v>0</v>
      </c>
    </row>
    <row r="24285" spans="1:10">
      <c r="A24285" t="s">
        <v>4</v>
      </c>
      <c r="B24285" s="4" t="s">
        <v>5</v>
      </c>
      <c r="C24285" s="4" t="s">
        <v>7</v>
      </c>
      <c r="D24285" s="4" t="s">
        <v>7</v>
      </c>
      <c r="E24285" s="4" t="s">
        <v>13</v>
      </c>
      <c r="F24285" s="4" t="s">
        <v>13</v>
      </c>
      <c r="G24285" s="4" t="s">
        <v>13</v>
      </c>
      <c r="H24285" s="4" t="s">
        <v>11</v>
      </c>
    </row>
    <row r="24286" spans="1:10">
      <c r="A24286" t="n">
        <v>234926</v>
      </c>
      <c r="B24286" s="51" t="n">
        <v>45</v>
      </c>
      <c r="C24286" s="7" t="n">
        <v>2</v>
      </c>
      <c r="D24286" s="7" t="n">
        <v>3</v>
      </c>
      <c r="E24286" s="7" t="n">
        <v>5.23999977111816</v>
      </c>
      <c r="F24286" s="7" t="n">
        <v>2.15000009536743</v>
      </c>
      <c r="G24286" s="7" t="n">
        <v>43.8600006103516</v>
      </c>
      <c r="H24286" s="7" t="n">
        <v>8000</v>
      </c>
    </row>
    <row r="24287" spans="1:10">
      <c r="A24287" t="s">
        <v>4</v>
      </c>
      <c r="B24287" s="4" t="s">
        <v>5</v>
      </c>
      <c r="C24287" s="4" t="s">
        <v>7</v>
      </c>
      <c r="D24287" s="4" t="s">
        <v>7</v>
      </c>
      <c r="E24287" s="4" t="s">
        <v>13</v>
      </c>
      <c r="F24287" s="4" t="s">
        <v>13</v>
      </c>
      <c r="G24287" s="4" t="s">
        <v>13</v>
      </c>
      <c r="H24287" s="4" t="s">
        <v>11</v>
      </c>
      <c r="I24287" s="4" t="s">
        <v>7</v>
      </c>
    </row>
    <row r="24288" spans="1:10">
      <c r="A24288" t="n">
        <v>234943</v>
      </c>
      <c r="B24288" s="51" t="n">
        <v>45</v>
      </c>
      <c r="C24288" s="7" t="n">
        <v>4</v>
      </c>
      <c r="D24288" s="7" t="n">
        <v>3</v>
      </c>
      <c r="E24288" s="7" t="n">
        <v>12.4799995422363</v>
      </c>
      <c r="F24288" s="7" t="n">
        <v>144.25</v>
      </c>
      <c r="G24288" s="7" t="n">
        <v>0</v>
      </c>
      <c r="H24288" s="7" t="n">
        <v>8000</v>
      </c>
      <c r="I24288" s="7" t="n">
        <v>0</v>
      </c>
    </row>
    <row r="24289" spans="1:10">
      <c r="A24289" t="s">
        <v>4</v>
      </c>
      <c r="B24289" s="4" t="s">
        <v>5</v>
      </c>
      <c r="C24289" s="4" t="s">
        <v>7</v>
      </c>
      <c r="D24289" s="4" t="s">
        <v>7</v>
      </c>
      <c r="E24289" s="4" t="s">
        <v>13</v>
      </c>
      <c r="F24289" s="4" t="s">
        <v>11</v>
      </c>
    </row>
    <row r="24290" spans="1:10">
      <c r="A24290" t="n">
        <v>234961</v>
      </c>
      <c r="B24290" s="51" t="n">
        <v>45</v>
      </c>
      <c r="C24290" s="7" t="n">
        <v>5</v>
      </c>
      <c r="D24290" s="7" t="n">
        <v>3</v>
      </c>
      <c r="E24290" s="7" t="n">
        <v>2.40000009536743</v>
      </c>
      <c r="F24290" s="7" t="n">
        <v>8000</v>
      </c>
    </row>
    <row r="24291" spans="1:10">
      <c r="A24291" t="s">
        <v>4</v>
      </c>
      <c r="B24291" s="4" t="s">
        <v>5</v>
      </c>
      <c r="C24291" s="4" t="s">
        <v>7</v>
      </c>
      <c r="D24291" s="4" t="s">
        <v>7</v>
      </c>
      <c r="E24291" s="4" t="s">
        <v>13</v>
      </c>
      <c r="F24291" s="4" t="s">
        <v>11</v>
      </c>
    </row>
    <row r="24292" spans="1:10">
      <c r="A24292" t="n">
        <v>234970</v>
      </c>
      <c r="B24292" s="51" t="n">
        <v>45</v>
      </c>
      <c r="C24292" s="7" t="n">
        <v>11</v>
      </c>
      <c r="D24292" s="7" t="n">
        <v>3</v>
      </c>
      <c r="E24292" s="7" t="n">
        <v>33.4000015258789</v>
      </c>
      <c r="F24292" s="7" t="n">
        <v>8000</v>
      </c>
    </row>
    <row r="24293" spans="1:10">
      <c r="A24293" t="s">
        <v>4</v>
      </c>
      <c r="B24293" s="4" t="s">
        <v>5</v>
      </c>
      <c r="C24293" s="4" t="s">
        <v>7</v>
      </c>
      <c r="D24293" s="4" t="s">
        <v>11</v>
      </c>
      <c r="E24293" s="4" t="s">
        <v>13</v>
      </c>
    </row>
    <row r="24294" spans="1:10">
      <c r="A24294" t="n">
        <v>234979</v>
      </c>
      <c r="B24294" s="23" t="n">
        <v>58</v>
      </c>
      <c r="C24294" s="7" t="n">
        <v>100</v>
      </c>
      <c r="D24294" s="7" t="n">
        <v>1000</v>
      </c>
      <c r="E24294" s="7" t="n">
        <v>1</v>
      </c>
    </row>
    <row r="24295" spans="1:10">
      <c r="A24295" t="s">
        <v>4</v>
      </c>
      <c r="B24295" s="4" t="s">
        <v>5</v>
      </c>
      <c r="C24295" s="4" t="s">
        <v>7</v>
      </c>
      <c r="D24295" s="4" t="s">
        <v>11</v>
      </c>
    </row>
    <row r="24296" spans="1:10">
      <c r="A24296" t="n">
        <v>234987</v>
      </c>
      <c r="B24296" s="23" t="n">
        <v>58</v>
      </c>
      <c r="C24296" s="7" t="n">
        <v>255</v>
      </c>
      <c r="D24296" s="7" t="n">
        <v>0</v>
      </c>
    </row>
    <row r="24297" spans="1:10">
      <c r="A24297" t="s">
        <v>4</v>
      </c>
      <c r="B24297" s="4" t="s">
        <v>5</v>
      </c>
      <c r="C24297" s="4" t="s">
        <v>7</v>
      </c>
      <c r="D24297" s="4" t="s">
        <v>11</v>
      </c>
    </row>
    <row r="24298" spans="1:10">
      <c r="A24298" t="n">
        <v>234991</v>
      </c>
      <c r="B24298" s="51" t="n">
        <v>45</v>
      </c>
      <c r="C24298" s="7" t="n">
        <v>7</v>
      </c>
      <c r="D24298" s="7" t="n">
        <v>255</v>
      </c>
    </row>
    <row r="24299" spans="1:10">
      <c r="A24299" t="s">
        <v>4</v>
      </c>
      <c r="B24299" s="4" t="s">
        <v>5</v>
      </c>
      <c r="C24299" s="4" t="s">
        <v>7</v>
      </c>
      <c r="D24299" s="4" t="s">
        <v>11</v>
      </c>
      <c r="E24299" s="4" t="s">
        <v>13</v>
      </c>
    </row>
    <row r="24300" spans="1:10">
      <c r="A24300" t="n">
        <v>234995</v>
      </c>
      <c r="B24300" s="23" t="n">
        <v>58</v>
      </c>
      <c r="C24300" s="7" t="n">
        <v>101</v>
      </c>
      <c r="D24300" s="7" t="n">
        <v>800</v>
      </c>
      <c r="E24300" s="7" t="n">
        <v>1</v>
      </c>
    </row>
    <row r="24301" spans="1:10">
      <c r="A24301" t="s">
        <v>4</v>
      </c>
      <c r="B24301" s="4" t="s">
        <v>5</v>
      </c>
      <c r="C24301" s="4" t="s">
        <v>7</v>
      </c>
      <c r="D24301" s="4" t="s">
        <v>11</v>
      </c>
    </row>
    <row r="24302" spans="1:10">
      <c r="A24302" t="n">
        <v>235003</v>
      </c>
      <c r="B24302" s="23" t="n">
        <v>58</v>
      </c>
      <c r="C24302" s="7" t="n">
        <v>254</v>
      </c>
      <c r="D24302" s="7" t="n">
        <v>0</v>
      </c>
    </row>
    <row r="24303" spans="1:10">
      <c r="A24303" t="s">
        <v>4</v>
      </c>
      <c r="B24303" s="4" t="s">
        <v>5</v>
      </c>
      <c r="C24303" s="4" t="s">
        <v>7</v>
      </c>
      <c r="D24303" s="4" t="s">
        <v>7</v>
      </c>
      <c r="E24303" s="4" t="s">
        <v>13</v>
      </c>
      <c r="F24303" s="4" t="s">
        <v>13</v>
      </c>
      <c r="G24303" s="4" t="s">
        <v>13</v>
      </c>
      <c r="H24303" s="4" t="s">
        <v>11</v>
      </c>
    </row>
    <row r="24304" spans="1:10">
      <c r="A24304" t="n">
        <v>235007</v>
      </c>
      <c r="B24304" s="51" t="n">
        <v>45</v>
      </c>
      <c r="C24304" s="7" t="n">
        <v>2</v>
      </c>
      <c r="D24304" s="7" t="n">
        <v>3</v>
      </c>
      <c r="E24304" s="7" t="n">
        <v>4.26999998092651</v>
      </c>
      <c r="F24304" s="7" t="n">
        <v>2.44000005722046</v>
      </c>
      <c r="G24304" s="7" t="n">
        <v>44.1500015258789</v>
      </c>
      <c r="H24304" s="7" t="n">
        <v>0</v>
      </c>
    </row>
    <row r="24305" spans="1:8">
      <c r="A24305" t="s">
        <v>4</v>
      </c>
      <c r="B24305" s="4" t="s">
        <v>5</v>
      </c>
      <c r="C24305" s="4" t="s">
        <v>7</v>
      </c>
      <c r="D24305" s="4" t="s">
        <v>7</v>
      </c>
      <c r="E24305" s="4" t="s">
        <v>13</v>
      </c>
      <c r="F24305" s="4" t="s">
        <v>13</v>
      </c>
      <c r="G24305" s="4" t="s">
        <v>13</v>
      </c>
      <c r="H24305" s="4" t="s">
        <v>11</v>
      </c>
      <c r="I24305" s="4" t="s">
        <v>7</v>
      </c>
    </row>
    <row r="24306" spans="1:8">
      <c r="A24306" t="n">
        <v>235024</v>
      </c>
      <c r="B24306" s="51" t="n">
        <v>45</v>
      </c>
      <c r="C24306" s="7" t="n">
        <v>4</v>
      </c>
      <c r="D24306" s="7" t="n">
        <v>3</v>
      </c>
      <c r="E24306" s="7" t="n">
        <v>357.880004882813</v>
      </c>
      <c r="F24306" s="7" t="n">
        <v>321.779998779297</v>
      </c>
      <c r="G24306" s="7" t="n">
        <v>0</v>
      </c>
      <c r="H24306" s="7" t="n">
        <v>0</v>
      </c>
      <c r="I24306" s="7" t="n">
        <v>0</v>
      </c>
    </row>
    <row r="24307" spans="1:8">
      <c r="A24307" t="s">
        <v>4</v>
      </c>
      <c r="B24307" s="4" t="s">
        <v>5</v>
      </c>
      <c r="C24307" s="4" t="s">
        <v>7</v>
      </c>
      <c r="D24307" s="4" t="s">
        <v>7</v>
      </c>
      <c r="E24307" s="4" t="s">
        <v>13</v>
      </c>
      <c r="F24307" s="4" t="s">
        <v>11</v>
      </c>
    </row>
    <row r="24308" spans="1:8">
      <c r="A24308" t="n">
        <v>235042</v>
      </c>
      <c r="B24308" s="51" t="n">
        <v>45</v>
      </c>
      <c r="C24308" s="7" t="n">
        <v>5</v>
      </c>
      <c r="D24308" s="7" t="n">
        <v>3</v>
      </c>
      <c r="E24308" s="7" t="n">
        <v>2.40000009536743</v>
      </c>
      <c r="F24308" s="7" t="n">
        <v>0</v>
      </c>
    </row>
    <row r="24309" spans="1:8">
      <c r="A24309" t="s">
        <v>4</v>
      </c>
      <c r="B24309" s="4" t="s">
        <v>5</v>
      </c>
      <c r="C24309" s="4" t="s">
        <v>7</v>
      </c>
      <c r="D24309" s="4" t="s">
        <v>7</v>
      </c>
      <c r="E24309" s="4" t="s">
        <v>13</v>
      </c>
      <c r="F24309" s="4" t="s">
        <v>11</v>
      </c>
    </row>
    <row r="24310" spans="1:8">
      <c r="A24310" t="n">
        <v>235051</v>
      </c>
      <c r="B24310" s="51" t="n">
        <v>45</v>
      </c>
      <c r="C24310" s="7" t="n">
        <v>11</v>
      </c>
      <c r="D24310" s="7" t="n">
        <v>3</v>
      </c>
      <c r="E24310" s="7" t="n">
        <v>33.4000015258789</v>
      </c>
      <c r="F24310" s="7" t="n">
        <v>0</v>
      </c>
    </row>
    <row r="24311" spans="1:8">
      <c r="A24311" t="s">
        <v>4</v>
      </c>
      <c r="B24311" s="4" t="s">
        <v>5</v>
      </c>
      <c r="C24311" s="4" t="s">
        <v>7</v>
      </c>
      <c r="D24311" s="4" t="s">
        <v>7</v>
      </c>
      <c r="E24311" s="4" t="s">
        <v>13</v>
      </c>
      <c r="F24311" s="4" t="s">
        <v>13</v>
      </c>
      <c r="G24311" s="4" t="s">
        <v>13</v>
      </c>
      <c r="H24311" s="4" t="s">
        <v>11</v>
      </c>
    </row>
    <row r="24312" spans="1:8">
      <c r="A24312" t="n">
        <v>235060</v>
      </c>
      <c r="B24312" s="51" t="n">
        <v>45</v>
      </c>
      <c r="C24312" s="7" t="n">
        <v>2</v>
      </c>
      <c r="D24312" s="7" t="n">
        <v>3</v>
      </c>
      <c r="E24312" s="7" t="n">
        <v>4.76999998092651</v>
      </c>
      <c r="F24312" s="7" t="n">
        <v>1.45000004768372</v>
      </c>
      <c r="G24312" s="7" t="n">
        <v>45.2599983215332</v>
      </c>
      <c r="H24312" s="7" t="n">
        <v>8000</v>
      </c>
    </row>
    <row r="24313" spans="1:8">
      <c r="A24313" t="s">
        <v>4</v>
      </c>
      <c r="B24313" s="4" t="s">
        <v>5</v>
      </c>
      <c r="C24313" s="4" t="s">
        <v>7</v>
      </c>
      <c r="D24313" s="4" t="s">
        <v>7</v>
      </c>
      <c r="E24313" s="4" t="s">
        <v>13</v>
      </c>
      <c r="F24313" s="4" t="s">
        <v>13</v>
      </c>
      <c r="G24313" s="4" t="s">
        <v>13</v>
      </c>
      <c r="H24313" s="4" t="s">
        <v>11</v>
      </c>
      <c r="I24313" s="4" t="s">
        <v>7</v>
      </c>
    </row>
    <row r="24314" spans="1:8">
      <c r="A24314" t="n">
        <v>235077</v>
      </c>
      <c r="B24314" s="51" t="n">
        <v>45</v>
      </c>
      <c r="C24314" s="7" t="n">
        <v>4</v>
      </c>
      <c r="D24314" s="7" t="n">
        <v>3</v>
      </c>
      <c r="E24314" s="7" t="n">
        <v>358.660003662109</v>
      </c>
      <c r="F24314" s="7" t="n">
        <v>283.079986572266</v>
      </c>
      <c r="G24314" s="7" t="n">
        <v>0</v>
      </c>
      <c r="H24314" s="7" t="n">
        <v>8000</v>
      </c>
      <c r="I24314" s="7" t="n">
        <v>0</v>
      </c>
    </row>
    <row r="24315" spans="1:8">
      <c r="A24315" t="s">
        <v>4</v>
      </c>
      <c r="B24315" s="4" t="s">
        <v>5</v>
      </c>
      <c r="C24315" s="4" t="s">
        <v>7</v>
      </c>
      <c r="D24315" s="4" t="s">
        <v>7</v>
      </c>
      <c r="E24315" s="4" t="s">
        <v>13</v>
      </c>
      <c r="F24315" s="4" t="s">
        <v>11</v>
      </c>
    </row>
    <row r="24316" spans="1:8">
      <c r="A24316" t="n">
        <v>235095</v>
      </c>
      <c r="B24316" s="51" t="n">
        <v>45</v>
      </c>
      <c r="C24316" s="7" t="n">
        <v>5</v>
      </c>
      <c r="D24316" s="7" t="n">
        <v>3</v>
      </c>
      <c r="E24316" s="7" t="n">
        <v>2</v>
      </c>
      <c r="F24316" s="7" t="n">
        <v>8000</v>
      </c>
    </row>
    <row r="24317" spans="1:8">
      <c r="A24317" t="s">
        <v>4</v>
      </c>
      <c r="B24317" s="4" t="s">
        <v>5</v>
      </c>
      <c r="C24317" s="4" t="s">
        <v>7</v>
      </c>
      <c r="D24317" s="4" t="s">
        <v>11</v>
      </c>
    </row>
    <row r="24318" spans="1:8">
      <c r="A24318" t="n">
        <v>235104</v>
      </c>
      <c r="B24318" s="23" t="n">
        <v>58</v>
      </c>
      <c r="C24318" s="7" t="n">
        <v>255</v>
      </c>
      <c r="D24318" s="7" t="n">
        <v>0</v>
      </c>
    </row>
    <row r="24319" spans="1:8">
      <c r="A24319" t="s">
        <v>4</v>
      </c>
      <c r="B24319" s="4" t="s">
        <v>5</v>
      </c>
      <c r="C24319" s="4" t="s">
        <v>7</v>
      </c>
      <c r="D24319" s="4" t="s">
        <v>11</v>
      </c>
    </row>
    <row r="24320" spans="1:8">
      <c r="A24320" t="n">
        <v>235108</v>
      </c>
      <c r="B24320" s="51" t="n">
        <v>45</v>
      </c>
      <c r="C24320" s="7" t="n">
        <v>7</v>
      </c>
      <c r="D24320" s="7" t="n">
        <v>255</v>
      </c>
    </row>
    <row r="24321" spans="1:9">
      <c r="A24321" t="s">
        <v>4</v>
      </c>
      <c r="B24321" s="4" t="s">
        <v>5</v>
      </c>
      <c r="C24321" s="4" t="s">
        <v>7</v>
      </c>
      <c r="D24321" s="4" t="s">
        <v>11</v>
      </c>
      <c r="E24321" s="4" t="s">
        <v>13</v>
      </c>
    </row>
    <row r="24322" spans="1:9">
      <c r="A24322" t="n">
        <v>235112</v>
      </c>
      <c r="B24322" s="23" t="n">
        <v>58</v>
      </c>
      <c r="C24322" s="7" t="n">
        <v>101</v>
      </c>
      <c r="D24322" s="7" t="n">
        <v>800</v>
      </c>
      <c r="E24322" s="7" t="n">
        <v>1</v>
      </c>
    </row>
    <row r="24323" spans="1:9">
      <c r="A24323" t="s">
        <v>4</v>
      </c>
      <c r="B24323" s="4" t="s">
        <v>5</v>
      </c>
      <c r="C24323" s="4" t="s">
        <v>7</v>
      </c>
      <c r="D24323" s="4" t="s">
        <v>11</v>
      </c>
    </row>
    <row r="24324" spans="1:9">
      <c r="A24324" t="n">
        <v>235120</v>
      </c>
      <c r="B24324" s="23" t="n">
        <v>58</v>
      </c>
      <c r="C24324" s="7" t="n">
        <v>254</v>
      </c>
      <c r="D24324" s="7" t="n">
        <v>0</v>
      </c>
    </row>
    <row r="24325" spans="1:9">
      <c r="A24325" t="s">
        <v>4</v>
      </c>
      <c r="B24325" s="4" t="s">
        <v>5</v>
      </c>
      <c r="C24325" s="4" t="s">
        <v>7</v>
      </c>
      <c r="D24325" s="4" t="s">
        <v>7</v>
      </c>
      <c r="E24325" s="4" t="s">
        <v>13</v>
      </c>
      <c r="F24325" s="4" t="s">
        <v>13</v>
      </c>
      <c r="G24325" s="4" t="s">
        <v>13</v>
      </c>
      <c r="H24325" s="4" t="s">
        <v>11</v>
      </c>
    </row>
    <row r="24326" spans="1:9">
      <c r="A24326" t="n">
        <v>235124</v>
      </c>
      <c r="B24326" s="51" t="n">
        <v>45</v>
      </c>
      <c r="C24326" s="7" t="n">
        <v>2</v>
      </c>
      <c r="D24326" s="7" t="n">
        <v>3</v>
      </c>
      <c r="E24326" s="7" t="n">
        <v>4.73999977111816</v>
      </c>
      <c r="F24326" s="7" t="n">
        <v>1.37000000476837</v>
      </c>
      <c r="G24326" s="7" t="n">
        <v>45.310001373291</v>
      </c>
      <c r="H24326" s="7" t="n">
        <v>0</v>
      </c>
    </row>
    <row r="24327" spans="1:9">
      <c r="A24327" t="s">
        <v>4</v>
      </c>
      <c r="B24327" s="4" t="s">
        <v>5</v>
      </c>
      <c r="C24327" s="4" t="s">
        <v>7</v>
      </c>
      <c r="D24327" s="4" t="s">
        <v>7</v>
      </c>
      <c r="E24327" s="4" t="s">
        <v>13</v>
      </c>
      <c r="F24327" s="4" t="s">
        <v>13</v>
      </c>
      <c r="G24327" s="4" t="s">
        <v>13</v>
      </c>
      <c r="H24327" s="4" t="s">
        <v>11</v>
      </c>
      <c r="I24327" s="4" t="s">
        <v>7</v>
      </c>
    </row>
    <row r="24328" spans="1:9">
      <c r="A24328" t="n">
        <v>235141</v>
      </c>
      <c r="B24328" s="51" t="n">
        <v>45</v>
      </c>
      <c r="C24328" s="7" t="n">
        <v>4</v>
      </c>
      <c r="D24328" s="7" t="n">
        <v>3</v>
      </c>
      <c r="E24328" s="7" t="n">
        <v>4.3899998664856</v>
      </c>
      <c r="F24328" s="7" t="n">
        <v>107.779998779297</v>
      </c>
      <c r="G24328" s="7" t="n">
        <v>0</v>
      </c>
      <c r="H24328" s="7" t="n">
        <v>0</v>
      </c>
      <c r="I24328" s="7" t="n">
        <v>0</v>
      </c>
    </row>
    <row r="24329" spans="1:9">
      <c r="A24329" t="s">
        <v>4</v>
      </c>
      <c r="B24329" s="4" t="s">
        <v>5</v>
      </c>
      <c r="C24329" s="4" t="s">
        <v>7</v>
      </c>
      <c r="D24329" s="4" t="s">
        <v>7</v>
      </c>
      <c r="E24329" s="4" t="s">
        <v>13</v>
      </c>
      <c r="F24329" s="4" t="s">
        <v>11</v>
      </c>
    </row>
    <row r="24330" spans="1:9">
      <c r="A24330" t="n">
        <v>235159</v>
      </c>
      <c r="B24330" s="51" t="n">
        <v>45</v>
      </c>
      <c r="C24330" s="7" t="n">
        <v>5</v>
      </c>
      <c r="D24330" s="7" t="n">
        <v>3</v>
      </c>
      <c r="E24330" s="7" t="n">
        <v>2</v>
      </c>
      <c r="F24330" s="7" t="n">
        <v>0</v>
      </c>
    </row>
    <row r="24331" spans="1:9">
      <c r="A24331" t="s">
        <v>4</v>
      </c>
      <c r="B24331" s="4" t="s">
        <v>5</v>
      </c>
      <c r="C24331" s="4" t="s">
        <v>7</v>
      </c>
      <c r="D24331" s="4" t="s">
        <v>7</v>
      </c>
      <c r="E24331" s="4" t="s">
        <v>13</v>
      </c>
      <c r="F24331" s="4" t="s">
        <v>11</v>
      </c>
    </row>
    <row r="24332" spans="1:9">
      <c r="A24332" t="n">
        <v>235168</v>
      </c>
      <c r="B24332" s="51" t="n">
        <v>45</v>
      </c>
      <c r="C24332" s="7" t="n">
        <v>11</v>
      </c>
      <c r="D24332" s="7" t="n">
        <v>3</v>
      </c>
      <c r="E24332" s="7" t="n">
        <v>33.4000015258789</v>
      </c>
      <c r="F24332" s="7" t="n">
        <v>0</v>
      </c>
    </row>
    <row r="24333" spans="1:9">
      <c r="A24333" t="s">
        <v>4</v>
      </c>
      <c r="B24333" s="4" t="s">
        <v>5</v>
      </c>
      <c r="C24333" s="4" t="s">
        <v>11</v>
      </c>
      <c r="D24333" s="4" t="s">
        <v>15</v>
      </c>
    </row>
    <row r="24334" spans="1:9">
      <c r="A24334" t="n">
        <v>235177</v>
      </c>
      <c r="B24334" s="63" t="n">
        <v>44</v>
      </c>
      <c r="C24334" s="7" t="n">
        <v>3</v>
      </c>
      <c r="D24334" s="7" t="n">
        <v>1</v>
      </c>
    </row>
    <row r="24335" spans="1:9">
      <c r="A24335" t="s">
        <v>4</v>
      </c>
      <c r="B24335" s="4" t="s">
        <v>5</v>
      </c>
      <c r="C24335" s="4" t="s">
        <v>7</v>
      </c>
      <c r="D24335" s="4" t="s">
        <v>11</v>
      </c>
    </row>
    <row r="24336" spans="1:9">
      <c r="A24336" t="n">
        <v>235184</v>
      </c>
      <c r="B24336" s="23" t="n">
        <v>58</v>
      </c>
      <c r="C24336" s="7" t="n">
        <v>255</v>
      </c>
      <c r="D24336" s="7" t="n">
        <v>0</v>
      </c>
    </row>
    <row r="24337" spans="1:9">
      <c r="A24337" t="s">
        <v>4</v>
      </c>
      <c r="B24337" s="4" t="s">
        <v>5</v>
      </c>
      <c r="C24337" s="4" t="s">
        <v>8</v>
      </c>
      <c r="D24337" s="4" t="s">
        <v>8</v>
      </c>
    </row>
    <row r="24338" spans="1:9">
      <c r="A24338" t="n">
        <v>235188</v>
      </c>
      <c r="B24338" s="52" t="n">
        <v>70</v>
      </c>
      <c r="C24338" s="7" t="s">
        <v>279</v>
      </c>
      <c r="D24338" s="7" t="s">
        <v>280</v>
      </c>
    </row>
    <row r="24339" spans="1:9">
      <c r="A24339" t="s">
        <v>4</v>
      </c>
      <c r="B24339" s="4" t="s">
        <v>5</v>
      </c>
      <c r="C24339" s="4" t="s">
        <v>11</v>
      </c>
    </row>
    <row r="24340" spans="1:9">
      <c r="A24340" t="n">
        <v>235205</v>
      </c>
      <c r="B24340" s="29" t="n">
        <v>16</v>
      </c>
      <c r="C24340" s="7" t="n">
        <v>1000</v>
      </c>
    </row>
    <row r="24341" spans="1:9">
      <c r="A24341" t="s">
        <v>4</v>
      </c>
      <c r="B24341" s="4" t="s">
        <v>5</v>
      </c>
      <c r="C24341" s="4" t="s">
        <v>7</v>
      </c>
      <c r="D24341" s="4" t="s">
        <v>11</v>
      </c>
      <c r="E24341" s="4" t="s">
        <v>11</v>
      </c>
      <c r="F24341" s="4" t="s">
        <v>7</v>
      </c>
    </row>
    <row r="24342" spans="1:9">
      <c r="A24342" t="n">
        <v>235208</v>
      </c>
      <c r="B24342" s="31" t="n">
        <v>25</v>
      </c>
      <c r="C24342" s="7" t="n">
        <v>1</v>
      </c>
      <c r="D24342" s="7" t="n">
        <v>100</v>
      </c>
      <c r="E24342" s="7" t="n">
        <v>500</v>
      </c>
      <c r="F24342" s="7" t="n">
        <v>5</v>
      </c>
    </row>
    <row r="24343" spans="1:9">
      <c r="A24343" t="s">
        <v>4</v>
      </c>
      <c r="B24343" s="4" t="s">
        <v>5</v>
      </c>
      <c r="C24343" s="4" t="s">
        <v>8</v>
      </c>
      <c r="D24343" s="4" t="s">
        <v>11</v>
      </c>
    </row>
    <row r="24344" spans="1:9">
      <c r="A24344" t="n">
        <v>235215</v>
      </c>
      <c r="B24344" s="67" t="n">
        <v>29</v>
      </c>
      <c r="C24344" s="7" t="s">
        <v>281</v>
      </c>
      <c r="D24344" s="7" t="n">
        <v>65533</v>
      </c>
    </row>
    <row r="24345" spans="1:9">
      <c r="A24345" t="s">
        <v>4</v>
      </c>
      <c r="B24345" s="4" t="s">
        <v>5</v>
      </c>
      <c r="C24345" s="4" t="s">
        <v>7</v>
      </c>
      <c r="D24345" s="4" t="s">
        <v>11</v>
      </c>
      <c r="E24345" s="4" t="s">
        <v>8</v>
      </c>
    </row>
    <row r="24346" spans="1:9">
      <c r="A24346" t="n">
        <v>235224</v>
      </c>
      <c r="B24346" s="38" t="n">
        <v>51</v>
      </c>
      <c r="C24346" s="7" t="n">
        <v>4</v>
      </c>
      <c r="D24346" s="7" t="n">
        <v>3</v>
      </c>
      <c r="E24346" s="7" t="s">
        <v>288</v>
      </c>
    </row>
    <row r="24347" spans="1:9">
      <c r="A24347" t="s">
        <v>4</v>
      </c>
      <c r="B24347" s="4" t="s">
        <v>5</v>
      </c>
      <c r="C24347" s="4" t="s">
        <v>11</v>
      </c>
    </row>
    <row r="24348" spans="1:9">
      <c r="A24348" t="n">
        <v>235237</v>
      </c>
      <c r="B24348" s="29" t="n">
        <v>16</v>
      </c>
      <c r="C24348" s="7" t="n">
        <v>0</v>
      </c>
    </row>
    <row r="24349" spans="1:9">
      <c r="A24349" t="s">
        <v>4</v>
      </c>
      <c r="B24349" s="4" t="s">
        <v>5</v>
      </c>
      <c r="C24349" s="4" t="s">
        <v>11</v>
      </c>
      <c r="D24349" s="4" t="s">
        <v>7</v>
      </c>
      <c r="E24349" s="4" t="s">
        <v>15</v>
      </c>
      <c r="F24349" s="4" t="s">
        <v>55</v>
      </c>
      <c r="G24349" s="4" t="s">
        <v>7</v>
      </c>
      <c r="H24349" s="4" t="s">
        <v>7</v>
      </c>
    </row>
    <row r="24350" spans="1:9">
      <c r="A24350" t="n">
        <v>235240</v>
      </c>
      <c r="B24350" s="55" t="n">
        <v>26</v>
      </c>
      <c r="C24350" s="7" t="n">
        <v>3</v>
      </c>
      <c r="D24350" s="7" t="n">
        <v>17</v>
      </c>
      <c r="E24350" s="7" t="n">
        <v>63820</v>
      </c>
      <c r="F24350" s="7" t="s">
        <v>393</v>
      </c>
      <c r="G24350" s="7" t="n">
        <v>2</v>
      </c>
      <c r="H24350" s="7" t="n">
        <v>0</v>
      </c>
    </row>
    <row r="24351" spans="1:9">
      <c r="A24351" t="s">
        <v>4</v>
      </c>
      <c r="B24351" s="4" t="s">
        <v>5</v>
      </c>
    </row>
    <row r="24352" spans="1:9">
      <c r="A24352" t="n">
        <v>235298</v>
      </c>
      <c r="B24352" s="27" t="n">
        <v>28</v>
      </c>
    </row>
    <row r="24353" spans="1:8">
      <c r="A24353" t="s">
        <v>4</v>
      </c>
      <c r="B24353" s="4" t="s">
        <v>5</v>
      </c>
      <c r="C24353" s="4" t="s">
        <v>11</v>
      </c>
      <c r="D24353" s="4" t="s">
        <v>7</v>
      </c>
    </row>
    <row r="24354" spans="1:8">
      <c r="A24354" t="n">
        <v>235299</v>
      </c>
      <c r="B24354" s="68" t="n">
        <v>89</v>
      </c>
      <c r="C24354" s="7" t="n">
        <v>65533</v>
      </c>
      <c r="D24354" s="7" t="n">
        <v>1</v>
      </c>
    </row>
    <row r="24355" spans="1:8">
      <c r="A24355" t="s">
        <v>4</v>
      </c>
      <c r="B24355" s="4" t="s">
        <v>5</v>
      </c>
      <c r="C24355" s="4" t="s">
        <v>7</v>
      </c>
      <c r="D24355" s="4" t="s">
        <v>11</v>
      </c>
      <c r="E24355" s="4" t="s">
        <v>11</v>
      </c>
      <c r="F24355" s="4" t="s">
        <v>7</v>
      </c>
    </row>
    <row r="24356" spans="1:8">
      <c r="A24356" t="n">
        <v>235303</v>
      </c>
      <c r="B24356" s="31" t="n">
        <v>25</v>
      </c>
      <c r="C24356" s="7" t="n">
        <v>1</v>
      </c>
      <c r="D24356" s="7" t="n">
        <v>65535</v>
      </c>
      <c r="E24356" s="7" t="n">
        <v>65535</v>
      </c>
      <c r="F24356" s="7" t="n">
        <v>0</v>
      </c>
    </row>
    <row r="24357" spans="1:8">
      <c r="A24357" t="s">
        <v>4</v>
      </c>
      <c r="B24357" s="4" t="s">
        <v>5</v>
      </c>
      <c r="C24357" s="4" t="s">
        <v>8</v>
      </c>
      <c r="D24357" s="4" t="s">
        <v>11</v>
      </c>
    </row>
    <row r="24358" spans="1:8">
      <c r="A24358" t="n">
        <v>235310</v>
      </c>
      <c r="B24358" s="67" t="n">
        <v>29</v>
      </c>
      <c r="C24358" s="7" t="s">
        <v>16</v>
      </c>
      <c r="D24358" s="7" t="n">
        <v>65533</v>
      </c>
    </row>
    <row r="24359" spans="1:8">
      <c r="A24359" t="s">
        <v>4</v>
      </c>
      <c r="B24359" s="4" t="s">
        <v>5</v>
      </c>
      <c r="C24359" s="4" t="s">
        <v>11</v>
      </c>
      <c r="D24359" s="4" t="s">
        <v>7</v>
      </c>
      <c r="E24359" s="4" t="s">
        <v>13</v>
      </c>
      <c r="F24359" s="4" t="s">
        <v>11</v>
      </c>
    </row>
    <row r="24360" spans="1:8">
      <c r="A24360" t="n">
        <v>235314</v>
      </c>
      <c r="B24360" s="56" t="n">
        <v>59</v>
      </c>
      <c r="C24360" s="7" t="n">
        <v>0</v>
      </c>
      <c r="D24360" s="7" t="n">
        <v>13</v>
      </c>
      <c r="E24360" s="7" t="n">
        <v>0.150000005960464</v>
      </c>
      <c r="F24360" s="7" t="n">
        <v>0</v>
      </c>
    </row>
    <row r="24361" spans="1:8">
      <c r="A24361" t="s">
        <v>4</v>
      </c>
      <c r="B24361" s="4" t="s">
        <v>5</v>
      </c>
      <c r="C24361" s="4" t="s">
        <v>11</v>
      </c>
    </row>
    <row r="24362" spans="1:8">
      <c r="A24362" t="n">
        <v>235324</v>
      </c>
      <c r="B24362" s="29" t="n">
        <v>16</v>
      </c>
      <c r="C24362" s="7" t="n">
        <v>1000</v>
      </c>
    </row>
    <row r="24363" spans="1:8">
      <c r="A24363" t="s">
        <v>4</v>
      </c>
      <c r="B24363" s="4" t="s">
        <v>5</v>
      </c>
      <c r="C24363" s="4" t="s">
        <v>11</v>
      </c>
      <c r="D24363" s="4" t="s">
        <v>13</v>
      </c>
      <c r="E24363" s="4" t="s">
        <v>13</v>
      </c>
      <c r="F24363" s="4" t="s">
        <v>13</v>
      </c>
      <c r="G24363" s="4" t="s">
        <v>11</v>
      </c>
      <c r="H24363" s="4" t="s">
        <v>11</v>
      </c>
    </row>
    <row r="24364" spans="1:8">
      <c r="A24364" t="n">
        <v>235327</v>
      </c>
      <c r="B24364" s="37" t="n">
        <v>60</v>
      </c>
      <c r="C24364" s="7" t="n">
        <v>0</v>
      </c>
      <c r="D24364" s="7" t="n">
        <v>0</v>
      </c>
      <c r="E24364" s="7" t="n">
        <v>0</v>
      </c>
      <c r="F24364" s="7" t="n">
        <v>0</v>
      </c>
      <c r="G24364" s="7" t="n">
        <v>1000</v>
      </c>
      <c r="H24364" s="7" t="n">
        <v>0</v>
      </c>
    </row>
    <row r="24365" spans="1:8">
      <c r="A24365" t="s">
        <v>4</v>
      </c>
      <c r="B24365" s="4" t="s">
        <v>5</v>
      </c>
      <c r="C24365" s="4" t="s">
        <v>11</v>
      </c>
      <c r="D24365" s="4" t="s">
        <v>11</v>
      </c>
      <c r="E24365" s="4" t="s">
        <v>11</v>
      </c>
    </row>
    <row r="24366" spans="1:8">
      <c r="A24366" t="n">
        <v>235346</v>
      </c>
      <c r="B24366" s="72" t="n">
        <v>61</v>
      </c>
      <c r="C24366" s="7" t="n">
        <v>0</v>
      </c>
      <c r="D24366" s="7" t="n">
        <v>3</v>
      </c>
      <c r="E24366" s="7" t="n">
        <v>1000</v>
      </c>
    </row>
    <row r="24367" spans="1:8">
      <c r="A24367" t="s">
        <v>4</v>
      </c>
      <c r="B24367" s="4" t="s">
        <v>5</v>
      </c>
      <c r="C24367" s="4" t="s">
        <v>11</v>
      </c>
      <c r="D24367" s="4" t="s">
        <v>11</v>
      </c>
      <c r="E24367" s="4" t="s">
        <v>11</v>
      </c>
    </row>
    <row r="24368" spans="1:8">
      <c r="A24368" t="n">
        <v>235353</v>
      </c>
      <c r="B24368" s="72" t="n">
        <v>61</v>
      </c>
      <c r="C24368" s="7" t="n">
        <v>3</v>
      </c>
      <c r="D24368" s="7" t="n">
        <v>0</v>
      </c>
      <c r="E24368" s="7" t="n">
        <v>1000</v>
      </c>
    </row>
    <row r="24369" spans="1:8">
      <c r="A24369" t="s">
        <v>4</v>
      </c>
      <c r="B24369" s="4" t="s">
        <v>5</v>
      </c>
      <c r="C24369" s="4" t="s">
        <v>11</v>
      </c>
      <c r="D24369" s="4" t="s">
        <v>13</v>
      </c>
      <c r="E24369" s="4" t="s">
        <v>13</v>
      </c>
      <c r="F24369" s="4" t="s">
        <v>7</v>
      </c>
    </row>
    <row r="24370" spans="1:8">
      <c r="A24370" t="n">
        <v>235360</v>
      </c>
      <c r="B24370" s="65" t="n">
        <v>52</v>
      </c>
      <c r="C24370" s="7" t="n">
        <v>0</v>
      </c>
      <c r="D24370" s="7" t="n">
        <v>332.399993896484</v>
      </c>
      <c r="E24370" s="7" t="n">
        <v>5</v>
      </c>
      <c r="F24370" s="7" t="n">
        <v>0</v>
      </c>
    </row>
    <row r="24371" spans="1:8">
      <c r="A24371" t="s">
        <v>4</v>
      </c>
      <c r="B24371" s="4" t="s">
        <v>5</v>
      </c>
      <c r="C24371" s="4" t="s">
        <v>11</v>
      </c>
    </row>
    <row r="24372" spans="1:8">
      <c r="A24372" t="n">
        <v>235372</v>
      </c>
      <c r="B24372" s="66" t="n">
        <v>54</v>
      </c>
      <c r="C24372" s="7" t="n">
        <v>0</v>
      </c>
    </row>
    <row r="24373" spans="1:8">
      <c r="A24373" t="s">
        <v>4</v>
      </c>
      <c r="B24373" s="4" t="s">
        <v>5</v>
      </c>
      <c r="C24373" s="4" t="s">
        <v>7</v>
      </c>
      <c r="D24373" s="4" t="s">
        <v>11</v>
      </c>
      <c r="E24373" s="4" t="s">
        <v>13</v>
      </c>
    </row>
    <row r="24374" spans="1:8">
      <c r="A24374" t="n">
        <v>235375</v>
      </c>
      <c r="B24374" s="23" t="n">
        <v>58</v>
      </c>
      <c r="C24374" s="7" t="n">
        <v>101</v>
      </c>
      <c r="D24374" s="7" t="n">
        <v>500</v>
      </c>
      <c r="E24374" s="7" t="n">
        <v>1</v>
      </c>
    </row>
    <row r="24375" spans="1:8">
      <c r="A24375" t="s">
        <v>4</v>
      </c>
      <c r="B24375" s="4" t="s">
        <v>5</v>
      </c>
      <c r="C24375" s="4" t="s">
        <v>7</v>
      </c>
      <c r="D24375" s="4" t="s">
        <v>11</v>
      </c>
    </row>
    <row r="24376" spans="1:8">
      <c r="A24376" t="n">
        <v>235383</v>
      </c>
      <c r="B24376" s="23" t="n">
        <v>58</v>
      </c>
      <c r="C24376" s="7" t="n">
        <v>254</v>
      </c>
      <c r="D24376" s="7" t="n">
        <v>0</v>
      </c>
    </row>
    <row r="24377" spans="1:8">
      <c r="A24377" t="s">
        <v>4</v>
      </c>
      <c r="B24377" s="4" t="s">
        <v>5</v>
      </c>
      <c r="C24377" s="4" t="s">
        <v>7</v>
      </c>
      <c r="D24377" s="4" t="s">
        <v>7</v>
      </c>
      <c r="E24377" s="4" t="s">
        <v>13</v>
      </c>
      <c r="F24377" s="4" t="s">
        <v>13</v>
      </c>
      <c r="G24377" s="4" t="s">
        <v>13</v>
      </c>
      <c r="H24377" s="4" t="s">
        <v>11</v>
      </c>
    </row>
    <row r="24378" spans="1:8">
      <c r="A24378" t="n">
        <v>235387</v>
      </c>
      <c r="B24378" s="51" t="n">
        <v>45</v>
      </c>
      <c r="C24378" s="7" t="n">
        <v>2</v>
      </c>
      <c r="D24378" s="7" t="n">
        <v>3</v>
      </c>
      <c r="E24378" s="7" t="n">
        <v>4.92999982833862</v>
      </c>
      <c r="F24378" s="7" t="n">
        <v>1.46000003814697</v>
      </c>
      <c r="G24378" s="7" t="n">
        <v>45.6699981689453</v>
      </c>
      <c r="H24378" s="7" t="n">
        <v>0</v>
      </c>
    </row>
    <row r="24379" spans="1:8">
      <c r="A24379" t="s">
        <v>4</v>
      </c>
      <c r="B24379" s="4" t="s">
        <v>5</v>
      </c>
      <c r="C24379" s="4" t="s">
        <v>7</v>
      </c>
      <c r="D24379" s="4" t="s">
        <v>7</v>
      </c>
      <c r="E24379" s="4" t="s">
        <v>13</v>
      </c>
      <c r="F24379" s="4" t="s">
        <v>13</v>
      </c>
      <c r="G24379" s="4" t="s">
        <v>13</v>
      </c>
      <c r="H24379" s="4" t="s">
        <v>11</v>
      </c>
      <c r="I24379" s="4" t="s">
        <v>7</v>
      </c>
    </row>
    <row r="24380" spans="1:8">
      <c r="A24380" t="n">
        <v>235404</v>
      </c>
      <c r="B24380" s="51" t="n">
        <v>45</v>
      </c>
      <c r="C24380" s="7" t="n">
        <v>4</v>
      </c>
      <c r="D24380" s="7" t="n">
        <v>3</v>
      </c>
      <c r="E24380" s="7" t="n">
        <v>5.69000005722046</v>
      </c>
      <c r="F24380" s="7" t="n">
        <v>260.239990234375</v>
      </c>
      <c r="G24380" s="7" t="n">
        <v>0</v>
      </c>
      <c r="H24380" s="7" t="n">
        <v>0</v>
      </c>
      <c r="I24380" s="7" t="n">
        <v>0</v>
      </c>
    </row>
    <row r="24381" spans="1:8">
      <c r="A24381" t="s">
        <v>4</v>
      </c>
      <c r="B24381" s="4" t="s">
        <v>5</v>
      </c>
      <c r="C24381" s="4" t="s">
        <v>7</v>
      </c>
      <c r="D24381" s="4" t="s">
        <v>7</v>
      </c>
      <c r="E24381" s="4" t="s">
        <v>13</v>
      </c>
      <c r="F24381" s="4" t="s">
        <v>11</v>
      </c>
    </row>
    <row r="24382" spans="1:8">
      <c r="A24382" t="n">
        <v>235422</v>
      </c>
      <c r="B24382" s="51" t="n">
        <v>45</v>
      </c>
      <c r="C24382" s="7" t="n">
        <v>5</v>
      </c>
      <c r="D24382" s="7" t="n">
        <v>3</v>
      </c>
      <c r="E24382" s="7" t="n">
        <v>1.70000004768372</v>
      </c>
      <c r="F24382" s="7" t="n">
        <v>0</v>
      </c>
    </row>
    <row r="24383" spans="1:8">
      <c r="A24383" t="s">
        <v>4</v>
      </c>
      <c r="B24383" s="4" t="s">
        <v>5</v>
      </c>
      <c r="C24383" s="4" t="s">
        <v>7</v>
      </c>
      <c r="D24383" s="4" t="s">
        <v>7</v>
      </c>
      <c r="E24383" s="4" t="s">
        <v>13</v>
      </c>
      <c r="F24383" s="4" t="s">
        <v>11</v>
      </c>
    </row>
    <row r="24384" spans="1:8">
      <c r="A24384" t="n">
        <v>235431</v>
      </c>
      <c r="B24384" s="51" t="n">
        <v>45</v>
      </c>
      <c r="C24384" s="7" t="n">
        <v>11</v>
      </c>
      <c r="D24384" s="7" t="n">
        <v>3</v>
      </c>
      <c r="E24384" s="7" t="n">
        <v>34</v>
      </c>
      <c r="F24384" s="7" t="n">
        <v>0</v>
      </c>
    </row>
    <row r="24385" spans="1:9">
      <c r="A24385" t="s">
        <v>4</v>
      </c>
      <c r="B24385" s="4" t="s">
        <v>5</v>
      </c>
      <c r="C24385" s="4" t="s">
        <v>7</v>
      </c>
      <c r="D24385" s="4" t="s">
        <v>7</v>
      </c>
      <c r="E24385" s="4" t="s">
        <v>13</v>
      </c>
      <c r="F24385" s="4" t="s">
        <v>13</v>
      </c>
      <c r="G24385" s="4" t="s">
        <v>13</v>
      </c>
      <c r="H24385" s="4" t="s">
        <v>11</v>
      </c>
    </row>
    <row r="24386" spans="1:9">
      <c r="A24386" t="n">
        <v>235440</v>
      </c>
      <c r="B24386" s="51" t="n">
        <v>45</v>
      </c>
      <c r="C24386" s="7" t="n">
        <v>2</v>
      </c>
      <c r="D24386" s="7" t="n">
        <v>3</v>
      </c>
      <c r="E24386" s="7" t="n">
        <v>4.84999990463257</v>
      </c>
      <c r="F24386" s="7" t="n">
        <v>1.4099999666214</v>
      </c>
      <c r="G24386" s="7" t="n">
        <v>45.7999992370605</v>
      </c>
      <c r="H24386" s="7" t="n">
        <v>5500</v>
      </c>
    </row>
    <row r="24387" spans="1:9">
      <c r="A24387" t="s">
        <v>4</v>
      </c>
      <c r="B24387" s="4" t="s">
        <v>5</v>
      </c>
      <c r="C24387" s="4" t="s">
        <v>7</v>
      </c>
      <c r="D24387" s="4" t="s">
        <v>7</v>
      </c>
      <c r="E24387" s="4" t="s">
        <v>13</v>
      </c>
      <c r="F24387" s="4" t="s">
        <v>13</v>
      </c>
      <c r="G24387" s="4" t="s">
        <v>13</v>
      </c>
      <c r="H24387" s="4" t="s">
        <v>11</v>
      </c>
      <c r="I24387" s="4" t="s">
        <v>7</v>
      </c>
    </row>
    <row r="24388" spans="1:9">
      <c r="A24388" t="n">
        <v>235457</v>
      </c>
      <c r="B24388" s="51" t="n">
        <v>45</v>
      </c>
      <c r="C24388" s="7" t="n">
        <v>4</v>
      </c>
      <c r="D24388" s="7" t="n">
        <v>3</v>
      </c>
      <c r="E24388" s="7" t="n">
        <v>5.46999979019165</v>
      </c>
      <c r="F24388" s="7" t="n">
        <v>232.490005493164</v>
      </c>
      <c r="G24388" s="7" t="n">
        <v>0</v>
      </c>
      <c r="H24388" s="7" t="n">
        <v>5500</v>
      </c>
      <c r="I24388" s="7" t="n">
        <v>0</v>
      </c>
    </row>
    <row r="24389" spans="1:9">
      <c r="A24389" t="s">
        <v>4</v>
      </c>
      <c r="B24389" s="4" t="s">
        <v>5</v>
      </c>
      <c r="C24389" s="4" t="s">
        <v>11</v>
      </c>
      <c r="D24389" s="4" t="s">
        <v>7</v>
      </c>
      <c r="E24389" s="4" t="s">
        <v>7</v>
      </c>
      <c r="F24389" s="4" t="s">
        <v>8</v>
      </c>
    </row>
    <row r="24390" spans="1:9">
      <c r="A24390" t="n">
        <v>235475</v>
      </c>
      <c r="B24390" s="50" t="n">
        <v>20</v>
      </c>
      <c r="C24390" s="7" t="n">
        <v>3</v>
      </c>
      <c r="D24390" s="7" t="n">
        <v>2</v>
      </c>
      <c r="E24390" s="7" t="n">
        <v>11</v>
      </c>
      <c r="F24390" s="7" t="s">
        <v>283</v>
      </c>
    </row>
    <row r="24391" spans="1:9">
      <c r="A24391" t="s">
        <v>4</v>
      </c>
      <c r="B24391" s="4" t="s">
        <v>5</v>
      </c>
      <c r="C24391" s="4" t="s">
        <v>7</v>
      </c>
    </row>
    <row r="24392" spans="1:9">
      <c r="A24392" t="n">
        <v>235502</v>
      </c>
      <c r="B24392" s="49" t="n">
        <v>116</v>
      </c>
      <c r="C24392" s="7" t="n">
        <v>0</v>
      </c>
    </row>
    <row r="24393" spans="1:9">
      <c r="A24393" t="s">
        <v>4</v>
      </c>
      <c r="B24393" s="4" t="s">
        <v>5</v>
      </c>
      <c r="C24393" s="4" t="s">
        <v>7</v>
      </c>
      <c r="D24393" s="4" t="s">
        <v>11</v>
      </c>
    </row>
    <row r="24394" spans="1:9">
      <c r="A24394" t="n">
        <v>235504</v>
      </c>
      <c r="B24394" s="49" t="n">
        <v>116</v>
      </c>
      <c r="C24394" s="7" t="n">
        <v>2</v>
      </c>
      <c r="D24394" s="7" t="n">
        <v>1</v>
      </c>
    </row>
    <row r="24395" spans="1:9">
      <c r="A24395" t="s">
        <v>4</v>
      </c>
      <c r="B24395" s="4" t="s">
        <v>5</v>
      </c>
      <c r="C24395" s="4" t="s">
        <v>7</v>
      </c>
      <c r="D24395" s="4" t="s">
        <v>15</v>
      </c>
    </row>
    <row r="24396" spans="1:9">
      <c r="A24396" t="n">
        <v>235508</v>
      </c>
      <c r="B24396" s="49" t="n">
        <v>116</v>
      </c>
      <c r="C24396" s="7" t="n">
        <v>5</v>
      </c>
      <c r="D24396" s="7" t="n">
        <v>1084227584</v>
      </c>
    </row>
    <row r="24397" spans="1:9">
      <c r="A24397" t="s">
        <v>4</v>
      </c>
      <c r="B24397" s="4" t="s">
        <v>5</v>
      </c>
      <c r="C24397" s="4" t="s">
        <v>7</v>
      </c>
      <c r="D24397" s="4" t="s">
        <v>11</v>
      </c>
    </row>
    <row r="24398" spans="1:9">
      <c r="A24398" t="n">
        <v>235514</v>
      </c>
      <c r="B24398" s="49" t="n">
        <v>116</v>
      </c>
      <c r="C24398" s="7" t="n">
        <v>6</v>
      </c>
      <c r="D24398" s="7" t="n">
        <v>1</v>
      </c>
    </row>
    <row r="24399" spans="1:9">
      <c r="A24399" t="s">
        <v>4</v>
      </c>
      <c r="B24399" s="4" t="s">
        <v>5</v>
      </c>
      <c r="C24399" s="4" t="s">
        <v>7</v>
      </c>
      <c r="D24399" s="4" t="s">
        <v>11</v>
      </c>
    </row>
    <row r="24400" spans="1:9">
      <c r="A24400" t="n">
        <v>235518</v>
      </c>
      <c r="B24400" s="23" t="n">
        <v>58</v>
      </c>
      <c r="C24400" s="7" t="n">
        <v>255</v>
      </c>
      <c r="D24400" s="7" t="n">
        <v>0</v>
      </c>
    </row>
    <row r="24401" spans="1:9">
      <c r="A24401" t="s">
        <v>4</v>
      </c>
      <c r="B24401" s="4" t="s">
        <v>5</v>
      </c>
      <c r="C24401" s="4" t="s">
        <v>11</v>
      </c>
    </row>
    <row r="24402" spans="1:9">
      <c r="A24402" t="n">
        <v>235522</v>
      </c>
      <c r="B24402" s="29" t="n">
        <v>16</v>
      </c>
      <c r="C24402" s="7" t="n">
        <v>800</v>
      </c>
    </row>
    <row r="24403" spans="1:9">
      <c r="A24403" t="s">
        <v>4</v>
      </c>
      <c r="B24403" s="4" t="s">
        <v>5</v>
      </c>
      <c r="C24403" s="4" t="s">
        <v>8</v>
      </c>
      <c r="D24403" s="4" t="s">
        <v>8</v>
      </c>
    </row>
    <row r="24404" spans="1:9">
      <c r="A24404" t="n">
        <v>235525</v>
      </c>
      <c r="B24404" s="52" t="n">
        <v>70</v>
      </c>
      <c r="C24404" s="7" t="s">
        <v>279</v>
      </c>
      <c r="D24404" s="7" t="s">
        <v>284</v>
      </c>
    </row>
    <row r="24405" spans="1:9">
      <c r="A24405" t="s">
        <v>4</v>
      </c>
      <c r="B24405" s="4" t="s">
        <v>5</v>
      </c>
      <c r="C24405" s="4" t="s">
        <v>7</v>
      </c>
      <c r="D24405" s="4" t="s">
        <v>11</v>
      </c>
    </row>
    <row r="24406" spans="1:9">
      <c r="A24406" t="n">
        <v>235543</v>
      </c>
      <c r="B24406" s="51" t="n">
        <v>45</v>
      </c>
      <c r="C24406" s="7" t="n">
        <v>7</v>
      </c>
      <c r="D24406" s="7" t="n">
        <v>255</v>
      </c>
    </row>
    <row r="24407" spans="1:9">
      <c r="A24407" t="s">
        <v>4</v>
      </c>
      <c r="B24407" s="4" t="s">
        <v>5</v>
      </c>
      <c r="C24407" s="4" t="s">
        <v>7</v>
      </c>
      <c r="D24407" s="4" t="s">
        <v>11</v>
      </c>
      <c r="E24407" s="4" t="s">
        <v>8</v>
      </c>
    </row>
    <row r="24408" spans="1:9">
      <c r="A24408" t="n">
        <v>235547</v>
      </c>
      <c r="B24408" s="38" t="n">
        <v>51</v>
      </c>
      <c r="C24408" s="7" t="n">
        <v>4</v>
      </c>
      <c r="D24408" s="7" t="n">
        <v>0</v>
      </c>
      <c r="E24408" s="7" t="s">
        <v>179</v>
      </c>
    </row>
    <row r="24409" spans="1:9">
      <c r="A24409" t="s">
        <v>4</v>
      </c>
      <c r="B24409" s="4" t="s">
        <v>5</v>
      </c>
      <c r="C24409" s="4" t="s">
        <v>11</v>
      </c>
    </row>
    <row r="24410" spans="1:9">
      <c r="A24410" t="n">
        <v>235561</v>
      </c>
      <c r="B24410" s="29" t="n">
        <v>16</v>
      </c>
      <c r="C24410" s="7" t="n">
        <v>0</v>
      </c>
    </row>
    <row r="24411" spans="1:9">
      <c r="A24411" t="s">
        <v>4</v>
      </c>
      <c r="B24411" s="4" t="s">
        <v>5</v>
      </c>
      <c r="C24411" s="4" t="s">
        <v>11</v>
      </c>
      <c r="D24411" s="4" t="s">
        <v>7</v>
      </c>
      <c r="E24411" s="4" t="s">
        <v>15</v>
      </c>
      <c r="F24411" s="4" t="s">
        <v>55</v>
      </c>
      <c r="G24411" s="4" t="s">
        <v>7</v>
      </c>
      <c r="H24411" s="4" t="s">
        <v>7</v>
      </c>
      <c r="I24411" s="4" t="s">
        <v>7</v>
      </c>
      <c r="J24411" s="4" t="s">
        <v>15</v>
      </c>
      <c r="K24411" s="4" t="s">
        <v>55</v>
      </c>
      <c r="L24411" s="4" t="s">
        <v>7</v>
      </c>
      <c r="M24411" s="4" t="s">
        <v>7</v>
      </c>
    </row>
    <row r="24412" spans="1:9">
      <c r="A24412" t="n">
        <v>235564</v>
      </c>
      <c r="B24412" s="55" t="n">
        <v>26</v>
      </c>
      <c r="C24412" s="7" t="n">
        <v>0</v>
      </c>
      <c r="D24412" s="7" t="n">
        <v>17</v>
      </c>
      <c r="E24412" s="7" t="n">
        <v>63821</v>
      </c>
      <c r="F24412" s="7" t="s">
        <v>394</v>
      </c>
      <c r="G24412" s="7" t="n">
        <v>2</v>
      </c>
      <c r="H24412" s="7" t="n">
        <v>3</v>
      </c>
      <c r="I24412" s="7" t="n">
        <v>17</v>
      </c>
      <c r="J24412" s="7" t="n">
        <v>63822</v>
      </c>
      <c r="K24412" s="7" t="s">
        <v>395</v>
      </c>
      <c r="L24412" s="7" t="n">
        <v>2</v>
      </c>
      <c r="M24412" s="7" t="n">
        <v>0</v>
      </c>
    </row>
    <row r="24413" spans="1:9">
      <c r="A24413" t="s">
        <v>4</v>
      </c>
      <c r="B24413" s="4" t="s">
        <v>5</v>
      </c>
    </row>
    <row r="24414" spans="1:9">
      <c r="A24414" t="n">
        <v>235646</v>
      </c>
      <c r="B24414" s="27" t="n">
        <v>28</v>
      </c>
    </row>
    <row r="24415" spans="1:9">
      <c r="A24415" t="s">
        <v>4</v>
      </c>
      <c r="B24415" s="4" t="s">
        <v>5</v>
      </c>
      <c r="C24415" s="4" t="s">
        <v>7</v>
      </c>
      <c r="D24415" s="4" t="s">
        <v>11</v>
      </c>
      <c r="E24415" s="4" t="s">
        <v>13</v>
      </c>
    </row>
    <row r="24416" spans="1:9">
      <c r="A24416" t="n">
        <v>235647</v>
      </c>
      <c r="B24416" s="23" t="n">
        <v>58</v>
      </c>
      <c r="C24416" s="7" t="n">
        <v>101</v>
      </c>
      <c r="D24416" s="7" t="n">
        <v>500</v>
      </c>
      <c r="E24416" s="7" t="n">
        <v>1</v>
      </c>
    </row>
    <row r="24417" spans="1:13">
      <c r="A24417" t="s">
        <v>4</v>
      </c>
      <c r="B24417" s="4" t="s">
        <v>5</v>
      </c>
      <c r="C24417" s="4" t="s">
        <v>7</v>
      </c>
      <c r="D24417" s="4" t="s">
        <v>11</v>
      </c>
    </row>
    <row r="24418" spans="1:13">
      <c r="A24418" t="n">
        <v>235655</v>
      </c>
      <c r="B24418" s="23" t="n">
        <v>58</v>
      </c>
      <c r="C24418" s="7" t="n">
        <v>254</v>
      </c>
      <c r="D24418" s="7" t="n">
        <v>0</v>
      </c>
    </row>
    <row r="24419" spans="1:13">
      <c r="A24419" t="s">
        <v>4</v>
      </c>
      <c r="B24419" s="4" t="s">
        <v>5</v>
      </c>
      <c r="C24419" s="4" t="s">
        <v>7</v>
      </c>
      <c r="D24419" s="4" t="s">
        <v>7</v>
      </c>
      <c r="E24419" s="4" t="s">
        <v>13</v>
      </c>
      <c r="F24419" s="4" t="s">
        <v>13</v>
      </c>
      <c r="G24419" s="4" t="s">
        <v>13</v>
      </c>
      <c r="H24419" s="4" t="s">
        <v>11</v>
      </c>
    </row>
    <row r="24420" spans="1:13">
      <c r="A24420" t="n">
        <v>235659</v>
      </c>
      <c r="B24420" s="51" t="n">
        <v>45</v>
      </c>
      <c r="C24420" s="7" t="n">
        <v>2</v>
      </c>
      <c r="D24420" s="7" t="n">
        <v>3</v>
      </c>
      <c r="E24420" s="7" t="n">
        <v>4.96999979019165</v>
      </c>
      <c r="F24420" s="7" t="n">
        <v>1.41999995708466</v>
      </c>
      <c r="G24420" s="7" t="n">
        <v>46.3800010681152</v>
      </c>
      <c r="H24420" s="7" t="n">
        <v>0</v>
      </c>
    </row>
    <row r="24421" spans="1:13">
      <c r="A24421" t="s">
        <v>4</v>
      </c>
      <c r="B24421" s="4" t="s">
        <v>5</v>
      </c>
      <c r="C24421" s="4" t="s">
        <v>7</v>
      </c>
      <c r="D24421" s="4" t="s">
        <v>7</v>
      </c>
      <c r="E24421" s="4" t="s">
        <v>13</v>
      </c>
      <c r="F24421" s="4" t="s">
        <v>13</v>
      </c>
      <c r="G24421" s="4" t="s">
        <v>13</v>
      </c>
      <c r="H24421" s="4" t="s">
        <v>11</v>
      </c>
      <c r="I24421" s="4" t="s">
        <v>7</v>
      </c>
    </row>
    <row r="24422" spans="1:13">
      <c r="A24422" t="n">
        <v>235676</v>
      </c>
      <c r="B24422" s="51" t="n">
        <v>45</v>
      </c>
      <c r="C24422" s="7" t="n">
        <v>4</v>
      </c>
      <c r="D24422" s="7" t="n">
        <v>3</v>
      </c>
      <c r="E24422" s="7" t="n">
        <v>8.30000019073486</v>
      </c>
      <c r="F24422" s="7" t="n">
        <v>213.210006713867</v>
      </c>
      <c r="G24422" s="7" t="n">
        <v>0</v>
      </c>
      <c r="H24422" s="7" t="n">
        <v>0</v>
      </c>
      <c r="I24422" s="7" t="n">
        <v>0</v>
      </c>
    </row>
    <row r="24423" spans="1:13">
      <c r="A24423" t="s">
        <v>4</v>
      </c>
      <c r="B24423" s="4" t="s">
        <v>5</v>
      </c>
      <c r="C24423" s="4" t="s">
        <v>7</v>
      </c>
      <c r="D24423" s="4" t="s">
        <v>7</v>
      </c>
      <c r="E24423" s="4" t="s">
        <v>13</v>
      </c>
      <c r="F24423" s="4" t="s">
        <v>11</v>
      </c>
    </row>
    <row r="24424" spans="1:13">
      <c r="A24424" t="n">
        <v>235694</v>
      </c>
      <c r="B24424" s="51" t="n">
        <v>45</v>
      </c>
      <c r="C24424" s="7" t="n">
        <v>5</v>
      </c>
      <c r="D24424" s="7" t="n">
        <v>3</v>
      </c>
      <c r="E24424" s="7" t="n">
        <v>1</v>
      </c>
      <c r="F24424" s="7" t="n">
        <v>0</v>
      </c>
    </row>
    <row r="24425" spans="1:13">
      <c r="A24425" t="s">
        <v>4</v>
      </c>
      <c r="B24425" s="4" t="s">
        <v>5</v>
      </c>
      <c r="C24425" s="4" t="s">
        <v>7</v>
      </c>
      <c r="D24425" s="4" t="s">
        <v>7</v>
      </c>
      <c r="E24425" s="4" t="s">
        <v>13</v>
      </c>
      <c r="F24425" s="4" t="s">
        <v>11</v>
      </c>
    </row>
    <row r="24426" spans="1:13">
      <c r="A24426" t="n">
        <v>235703</v>
      </c>
      <c r="B24426" s="51" t="n">
        <v>45</v>
      </c>
      <c r="C24426" s="7" t="n">
        <v>11</v>
      </c>
      <c r="D24426" s="7" t="n">
        <v>3</v>
      </c>
      <c r="E24426" s="7" t="n">
        <v>34</v>
      </c>
      <c r="F24426" s="7" t="n">
        <v>0</v>
      </c>
    </row>
    <row r="24427" spans="1:13">
      <c r="A24427" t="s">
        <v>4</v>
      </c>
      <c r="B24427" s="4" t="s">
        <v>5</v>
      </c>
      <c r="C24427" s="4" t="s">
        <v>7</v>
      </c>
      <c r="D24427" s="4" t="s">
        <v>11</v>
      </c>
    </row>
    <row r="24428" spans="1:13">
      <c r="A24428" t="n">
        <v>235712</v>
      </c>
      <c r="B24428" s="23" t="n">
        <v>58</v>
      </c>
      <c r="C24428" s="7" t="n">
        <v>255</v>
      </c>
      <c r="D24428" s="7" t="n">
        <v>0</v>
      </c>
    </row>
    <row r="24429" spans="1:13">
      <c r="A24429" t="s">
        <v>4</v>
      </c>
      <c r="B24429" s="4" t="s">
        <v>5</v>
      </c>
      <c r="C24429" s="4" t="s">
        <v>7</v>
      </c>
      <c r="D24429" s="4" t="s">
        <v>11</v>
      </c>
      <c r="E24429" s="4" t="s">
        <v>8</v>
      </c>
    </row>
    <row r="24430" spans="1:13">
      <c r="A24430" t="n">
        <v>235716</v>
      </c>
      <c r="B24430" s="38" t="n">
        <v>51</v>
      </c>
      <c r="C24430" s="7" t="n">
        <v>4</v>
      </c>
      <c r="D24430" s="7" t="n">
        <v>3</v>
      </c>
      <c r="E24430" s="7" t="s">
        <v>288</v>
      </c>
    </row>
    <row r="24431" spans="1:13">
      <c r="A24431" t="s">
        <v>4</v>
      </c>
      <c r="B24431" s="4" t="s">
        <v>5</v>
      </c>
      <c r="C24431" s="4" t="s">
        <v>11</v>
      </c>
    </row>
    <row r="24432" spans="1:13">
      <c r="A24432" t="n">
        <v>235729</v>
      </c>
      <c r="B24432" s="29" t="n">
        <v>16</v>
      </c>
      <c r="C24432" s="7" t="n">
        <v>0</v>
      </c>
    </row>
    <row r="24433" spans="1:9">
      <c r="A24433" t="s">
        <v>4</v>
      </c>
      <c r="B24433" s="4" t="s">
        <v>5</v>
      </c>
      <c r="C24433" s="4" t="s">
        <v>11</v>
      </c>
      <c r="D24433" s="4" t="s">
        <v>7</v>
      </c>
      <c r="E24433" s="4" t="s">
        <v>15</v>
      </c>
      <c r="F24433" s="4" t="s">
        <v>55</v>
      </c>
      <c r="G24433" s="4" t="s">
        <v>7</v>
      </c>
      <c r="H24433" s="4" t="s">
        <v>7</v>
      </c>
      <c r="I24433" s="4" t="s">
        <v>7</v>
      </c>
      <c r="J24433" s="4" t="s">
        <v>15</v>
      </c>
      <c r="K24433" s="4" t="s">
        <v>55</v>
      </c>
      <c r="L24433" s="4" t="s">
        <v>7</v>
      </c>
      <c r="M24433" s="4" t="s">
        <v>7</v>
      </c>
    </row>
    <row r="24434" spans="1:9">
      <c r="A24434" t="n">
        <v>235732</v>
      </c>
      <c r="B24434" s="55" t="n">
        <v>26</v>
      </c>
      <c r="C24434" s="7" t="n">
        <v>3</v>
      </c>
      <c r="D24434" s="7" t="n">
        <v>17</v>
      </c>
      <c r="E24434" s="7" t="n">
        <v>63823</v>
      </c>
      <c r="F24434" s="7" t="s">
        <v>396</v>
      </c>
      <c r="G24434" s="7" t="n">
        <v>2</v>
      </c>
      <c r="H24434" s="7" t="n">
        <v>3</v>
      </c>
      <c r="I24434" s="7" t="n">
        <v>17</v>
      </c>
      <c r="J24434" s="7" t="n">
        <v>63824</v>
      </c>
      <c r="K24434" s="7" t="s">
        <v>397</v>
      </c>
      <c r="L24434" s="7" t="n">
        <v>2</v>
      </c>
      <c r="M24434" s="7" t="n">
        <v>0</v>
      </c>
    </row>
    <row r="24435" spans="1:9">
      <c r="A24435" t="s">
        <v>4</v>
      </c>
      <c r="B24435" s="4" t="s">
        <v>5</v>
      </c>
    </row>
    <row r="24436" spans="1:9">
      <c r="A24436" t="n">
        <v>235825</v>
      </c>
      <c r="B24436" s="27" t="n">
        <v>28</v>
      </c>
    </row>
    <row r="24437" spans="1:9">
      <c r="A24437" t="s">
        <v>4</v>
      </c>
      <c r="B24437" s="4" t="s">
        <v>5</v>
      </c>
      <c r="C24437" s="4" t="s">
        <v>7</v>
      </c>
      <c r="D24437" s="4" t="s">
        <v>11</v>
      </c>
      <c r="E24437" s="4" t="s">
        <v>8</v>
      </c>
      <c r="F24437" s="4" t="s">
        <v>8</v>
      </c>
      <c r="G24437" s="4" t="s">
        <v>8</v>
      </c>
      <c r="H24437" s="4" t="s">
        <v>8</v>
      </c>
    </row>
    <row r="24438" spans="1:9">
      <c r="A24438" t="n">
        <v>235826</v>
      </c>
      <c r="B24438" s="38" t="n">
        <v>51</v>
      </c>
      <c r="C24438" s="7" t="n">
        <v>3</v>
      </c>
      <c r="D24438" s="7" t="n">
        <v>3</v>
      </c>
      <c r="E24438" s="7" t="s">
        <v>295</v>
      </c>
      <c r="F24438" s="7" t="s">
        <v>232</v>
      </c>
      <c r="G24438" s="7" t="s">
        <v>78</v>
      </c>
      <c r="H24438" s="7" t="s">
        <v>79</v>
      </c>
    </row>
    <row r="24439" spans="1:9">
      <c r="A24439" t="s">
        <v>4</v>
      </c>
      <c r="B24439" s="4" t="s">
        <v>5</v>
      </c>
      <c r="C24439" s="4" t="s">
        <v>11</v>
      </c>
      <c r="D24439" s="4" t="s">
        <v>13</v>
      </c>
      <c r="E24439" s="4" t="s">
        <v>13</v>
      </c>
      <c r="F24439" s="4" t="s">
        <v>13</v>
      </c>
      <c r="G24439" s="4" t="s">
        <v>11</v>
      </c>
      <c r="H24439" s="4" t="s">
        <v>11</v>
      </c>
    </row>
    <row r="24440" spans="1:9">
      <c r="A24440" t="n">
        <v>235839</v>
      </c>
      <c r="B24440" s="37" t="n">
        <v>60</v>
      </c>
      <c r="C24440" s="7" t="n">
        <v>3</v>
      </c>
      <c r="D24440" s="7" t="n">
        <v>-45</v>
      </c>
      <c r="E24440" s="7" t="n">
        <v>0</v>
      </c>
      <c r="F24440" s="7" t="n">
        <v>0</v>
      </c>
      <c r="G24440" s="7" t="n">
        <v>1000</v>
      </c>
      <c r="H24440" s="7" t="n">
        <v>0</v>
      </c>
    </row>
    <row r="24441" spans="1:9">
      <c r="A24441" t="s">
        <v>4</v>
      </c>
      <c r="B24441" s="4" t="s">
        <v>5</v>
      </c>
      <c r="C24441" s="4" t="s">
        <v>11</v>
      </c>
    </row>
    <row r="24442" spans="1:9">
      <c r="A24442" t="n">
        <v>235858</v>
      </c>
      <c r="B24442" s="29" t="n">
        <v>16</v>
      </c>
      <c r="C24442" s="7" t="n">
        <v>1000</v>
      </c>
    </row>
    <row r="24443" spans="1:9">
      <c r="A24443" t="s">
        <v>4</v>
      </c>
      <c r="B24443" s="4" t="s">
        <v>5</v>
      </c>
      <c r="C24443" s="4" t="s">
        <v>7</v>
      </c>
      <c r="D24443" s="4" t="s">
        <v>11</v>
      </c>
      <c r="E24443" s="4" t="s">
        <v>8</v>
      </c>
      <c r="F24443" s="4" t="s">
        <v>8</v>
      </c>
      <c r="G24443" s="4" t="s">
        <v>8</v>
      </c>
      <c r="H24443" s="4" t="s">
        <v>8</v>
      </c>
    </row>
    <row r="24444" spans="1:9">
      <c r="A24444" t="n">
        <v>235861</v>
      </c>
      <c r="B24444" s="38" t="n">
        <v>51</v>
      </c>
      <c r="C24444" s="7" t="n">
        <v>3</v>
      </c>
      <c r="D24444" s="7" t="n">
        <v>3</v>
      </c>
      <c r="E24444" s="7" t="s">
        <v>296</v>
      </c>
      <c r="F24444" s="7" t="s">
        <v>232</v>
      </c>
      <c r="G24444" s="7" t="s">
        <v>78</v>
      </c>
      <c r="H24444" s="7" t="s">
        <v>79</v>
      </c>
    </row>
    <row r="24445" spans="1:9">
      <c r="A24445" t="s">
        <v>4</v>
      </c>
      <c r="B24445" s="4" t="s">
        <v>5</v>
      </c>
      <c r="C24445" s="4" t="s">
        <v>11</v>
      </c>
      <c r="D24445" s="4" t="s">
        <v>13</v>
      </c>
      <c r="E24445" s="4" t="s">
        <v>13</v>
      </c>
      <c r="F24445" s="4" t="s">
        <v>13</v>
      </c>
      <c r="G24445" s="4" t="s">
        <v>11</v>
      </c>
      <c r="H24445" s="4" t="s">
        <v>11</v>
      </c>
    </row>
    <row r="24446" spans="1:9">
      <c r="A24446" t="n">
        <v>235875</v>
      </c>
      <c r="B24446" s="37" t="n">
        <v>60</v>
      </c>
      <c r="C24446" s="7" t="n">
        <v>3</v>
      </c>
      <c r="D24446" s="7" t="n">
        <v>45</v>
      </c>
      <c r="E24446" s="7" t="n">
        <v>0</v>
      </c>
      <c r="F24446" s="7" t="n">
        <v>0</v>
      </c>
      <c r="G24446" s="7" t="n">
        <v>1000</v>
      </c>
      <c r="H24446" s="7" t="n">
        <v>0</v>
      </c>
    </row>
    <row r="24447" spans="1:9">
      <c r="A24447" t="s">
        <v>4</v>
      </c>
      <c r="B24447" s="4" t="s">
        <v>5</v>
      </c>
      <c r="C24447" s="4" t="s">
        <v>11</v>
      </c>
    </row>
    <row r="24448" spans="1:9">
      <c r="A24448" t="n">
        <v>235894</v>
      </c>
      <c r="B24448" s="29" t="n">
        <v>16</v>
      </c>
      <c r="C24448" s="7" t="n">
        <v>1200</v>
      </c>
    </row>
    <row r="24449" spans="1:13">
      <c r="A24449" t="s">
        <v>4</v>
      </c>
      <c r="B24449" s="4" t="s">
        <v>5</v>
      </c>
      <c r="C24449" s="4" t="s">
        <v>7</v>
      </c>
      <c r="D24449" s="4" t="s">
        <v>11</v>
      </c>
      <c r="E24449" s="4" t="s">
        <v>8</v>
      </c>
      <c r="F24449" s="4" t="s">
        <v>8</v>
      </c>
      <c r="G24449" s="4" t="s">
        <v>8</v>
      </c>
      <c r="H24449" s="4" t="s">
        <v>8</v>
      </c>
    </row>
    <row r="24450" spans="1:13">
      <c r="A24450" t="n">
        <v>235897</v>
      </c>
      <c r="B24450" s="38" t="n">
        <v>51</v>
      </c>
      <c r="C24450" s="7" t="n">
        <v>3</v>
      </c>
      <c r="D24450" s="7" t="n">
        <v>3</v>
      </c>
      <c r="E24450" s="7" t="s">
        <v>86</v>
      </c>
      <c r="F24450" s="7" t="s">
        <v>232</v>
      </c>
      <c r="G24450" s="7" t="s">
        <v>78</v>
      </c>
      <c r="H24450" s="7" t="s">
        <v>79</v>
      </c>
    </row>
    <row r="24451" spans="1:13">
      <c r="A24451" t="s">
        <v>4</v>
      </c>
      <c r="B24451" s="4" t="s">
        <v>5</v>
      </c>
      <c r="C24451" s="4" t="s">
        <v>11</v>
      </c>
      <c r="D24451" s="4" t="s">
        <v>13</v>
      </c>
      <c r="E24451" s="4" t="s">
        <v>13</v>
      </c>
      <c r="F24451" s="4" t="s">
        <v>13</v>
      </c>
      <c r="G24451" s="4" t="s">
        <v>11</v>
      </c>
      <c r="H24451" s="4" t="s">
        <v>11</v>
      </c>
    </row>
    <row r="24452" spans="1:13">
      <c r="A24452" t="n">
        <v>235910</v>
      </c>
      <c r="B24452" s="37" t="n">
        <v>60</v>
      </c>
      <c r="C24452" s="7" t="n">
        <v>3</v>
      </c>
      <c r="D24452" s="7" t="n">
        <v>0</v>
      </c>
      <c r="E24452" s="7" t="n">
        <v>0</v>
      </c>
      <c r="F24452" s="7" t="n">
        <v>0</v>
      </c>
      <c r="G24452" s="7" t="n">
        <v>1000</v>
      </c>
      <c r="H24452" s="7" t="n">
        <v>0</v>
      </c>
    </row>
    <row r="24453" spans="1:13">
      <c r="A24453" t="s">
        <v>4</v>
      </c>
      <c r="B24453" s="4" t="s">
        <v>5</v>
      </c>
      <c r="C24453" s="4" t="s">
        <v>11</v>
      </c>
    </row>
    <row r="24454" spans="1:13">
      <c r="A24454" t="n">
        <v>235929</v>
      </c>
      <c r="B24454" s="29" t="n">
        <v>16</v>
      </c>
      <c r="C24454" s="7" t="n">
        <v>1000</v>
      </c>
    </row>
    <row r="24455" spans="1:13">
      <c r="A24455" t="s">
        <v>4</v>
      </c>
      <c r="B24455" s="4" t="s">
        <v>5</v>
      </c>
      <c r="C24455" s="4" t="s">
        <v>7</v>
      </c>
      <c r="D24455" s="4" t="s">
        <v>11</v>
      </c>
      <c r="E24455" s="4" t="s">
        <v>8</v>
      </c>
    </row>
    <row r="24456" spans="1:13">
      <c r="A24456" t="n">
        <v>235932</v>
      </c>
      <c r="B24456" s="38" t="n">
        <v>51</v>
      </c>
      <c r="C24456" s="7" t="n">
        <v>4</v>
      </c>
      <c r="D24456" s="7" t="n">
        <v>3</v>
      </c>
      <c r="E24456" s="7" t="s">
        <v>247</v>
      </c>
    </row>
    <row r="24457" spans="1:13">
      <c r="A24457" t="s">
        <v>4</v>
      </c>
      <c r="B24457" s="4" t="s">
        <v>5</v>
      </c>
      <c r="C24457" s="4" t="s">
        <v>11</v>
      </c>
    </row>
    <row r="24458" spans="1:13">
      <c r="A24458" t="n">
        <v>235946</v>
      </c>
      <c r="B24458" s="29" t="n">
        <v>16</v>
      </c>
      <c r="C24458" s="7" t="n">
        <v>0</v>
      </c>
    </row>
    <row r="24459" spans="1:13">
      <c r="A24459" t="s">
        <v>4</v>
      </c>
      <c r="B24459" s="4" t="s">
        <v>5</v>
      </c>
      <c r="C24459" s="4" t="s">
        <v>11</v>
      </c>
      <c r="D24459" s="4" t="s">
        <v>7</v>
      </c>
      <c r="E24459" s="4" t="s">
        <v>15</v>
      </c>
      <c r="F24459" s="4" t="s">
        <v>55</v>
      </c>
      <c r="G24459" s="4" t="s">
        <v>7</v>
      </c>
      <c r="H24459" s="4" t="s">
        <v>7</v>
      </c>
      <c r="I24459" s="4" t="s">
        <v>7</v>
      </c>
      <c r="J24459" s="4" t="s">
        <v>15</v>
      </c>
      <c r="K24459" s="4" t="s">
        <v>55</v>
      </c>
      <c r="L24459" s="4" t="s">
        <v>7</v>
      </c>
      <c r="M24459" s="4" t="s">
        <v>7</v>
      </c>
    </row>
    <row r="24460" spans="1:13">
      <c r="A24460" t="n">
        <v>235949</v>
      </c>
      <c r="B24460" s="55" t="n">
        <v>26</v>
      </c>
      <c r="C24460" s="7" t="n">
        <v>3</v>
      </c>
      <c r="D24460" s="7" t="n">
        <v>17</v>
      </c>
      <c r="E24460" s="7" t="n">
        <v>63825</v>
      </c>
      <c r="F24460" s="7" t="s">
        <v>398</v>
      </c>
      <c r="G24460" s="7" t="n">
        <v>2</v>
      </c>
      <c r="H24460" s="7" t="n">
        <v>3</v>
      </c>
      <c r="I24460" s="7" t="n">
        <v>17</v>
      </c>
      <c r="J24460" s="7" t="n">
        <v>63826</v>
      </c>
      <c r="K24460" s="7" t="s">
        <v>399</v>
      </c>
      <c r="L24460" s="7" t="n">
        <v>2</v>
      </c>
      <c r="M24460" s="7" t="n">
        <v>0</v>
      </c>
    </row>
    <row r="24461" spans="1:13">
      <c r="A24461" t="s">
        <v>4</v>
      </c>
      <c r="B24461" s="4" t="s">
        <v>5</v>
      </c>
    </row>
    <row r="24462" spans="1:13">
      <c r="A24462" t="n">
        <v>236110</v>
      </c>
      <c r="B24462" s="27" t="n">
        <v>28</v>
      </c>
    </row>
    <row r="24463" spans="1:13">
      <c r="A24463" t="s">
        <v>4</v>
      </c>
      <c r="B24463" s="4" t="s">
        <v>5</v>
      </c>
      <c r="C24463" s="4" t="s">
        <v>7</v>
      </c>
      <c r="D24463" s="4" t="s">
        <v>11</v>
      </c>
      <c r="E24463" s="4" t="s">
        <v>8</v>
      </c>
    </row>
    <row r="24464" spans="1:13">
      <c r="A24464" t="n">
        <v>236111</v>
      </c>
      <c r="B24464" s="38" t="n">
        <v>51</v>
      </c>
      <c r="C24464" s="7" t="n">
        <v>4</v>
      </c>
      <c r="D24464" s="7" t="n">
        <v>0</v>
      </c>
      <c r="E24464" s="7" t="s">
        <v>179</v>
      </c>
    </row>
    <row r="24465" spans="1:13">
      <c r="A24465" t="s">
        <v>4</v>
      </c>
      <c r="B24465" s="4" t="s">
        <v>5</v>
      </c>
      <c r="C24465" s="4" t="s">
        <v>11</v>
      </c>
    </row>
    <row r="24466" spans="1:13">
      <c r="A24466" t="n">
        <v>236125</v>
      </c>
      <c r="B24466" s="29" t="n">
        <v>16</v>
      </c>
      <c r="C24466" s="7" t="n">
        <v>0</v>
      </c>
    </row>
    <row r="24467" spans="1:13">
      <c r="A24467" t="s">
        <v>4</v>
      </c>
      <c r="B24467" s="4" t="s">
        <v>5</v>
      </c>
      <c r="C24467" s="4" t="s">
        <v>11</v>
      </c>
      <c r="D24467" s="4" t="s">
        <v>7</v>
      </c>
      <c r="E24467" s="4" t="s">
        <v>15</v>
      </c>
      <c r="F24467" s="4" t="s">
        <v>55</v>
      </c>
      <c r="G24467" s="4" t="s">
        <v>7</v>
      </c>
      <c r="H24467" s="4" t="s">
        <v>7</v>
      </c>
      <c r="I24467" s="4" t="s">
        <v>7</v>
      </c>
      <c r="J24467" s="4" t="s">
        <v>15</v>
      </c>
      <c r="K24467" s="4" t="s">
        <v>55</v>
      </c>
      <c r="L24467" s="4" t="s">
        <v>7</v>
      </c>
      <c r="M24467" s="4" t="s">
        <v>7</v>
      </c>
      <c r="N24467" s="4" t="s">
        <v>7</v>
      </c>
      <c r="O24467" s="4" t="s">
        <v>15</v>
      </c>
      <c r="P24467" s="4" t="s">
        <v>55</v>
      </c>
      <c r="Q24467" s="4" t="s">
        <v>7</v>
      </c>
      <c r="R24467" s="4" t="s">
        <v>7</v>
      </c>
    </row>
    <row r="24468" spans="1:13">
      <c r="A24468" t="n">
        <v>236128</v>
      </c>
      <c r="B24468" s="55" t="n">
        <v>26</v>
      </c>
      <c r="C24468" s="7" t="n">
        <v>0</v>
      </c>
      <c r="D24468" s="7" t="n">
        <v>17</v>
      </c>
      <c r="E24468" s="7" t="n">
        <v>63827</v>
      </c>
      <c r="F24468" s="7" t="s">
        <v>400</v>
      </c>
      <c r="G24468" s="7" t="n">
        <v>2</v>
      </c>
      <c r="H24468" s="7" t="n">
        <v>3</v>
      </c>
      <c r="I24468" s="7" t="n">
        <v>17</v>
      </c>
      <c r="J24468" s="7" t="n">
        <v>63828</v>
      </c>
      <c r="K24468" s="7" t="s">
        <v>401</v>
      </c>
      <c r="L24468" s="7" t="n">
        <v>2</v>
      </c>
      <c r="M24468" s="7" t="n">
        <v>3</v>
      </c>
      <c r="N24468" s="7" t="n">
        <v>17</v>
      </c>
      <c r="O24468" s="7" t="n">
        <v>63780</v>
      </c>
      <c r="P24468" s="7" t="s">
        <v>301</v>
      </c>
      <c r="Q24468" s="7" t="n">
        <v>2</v>
      </c>
      <c r="R24468" s="7" t="n">
        <v>0</v>
      </c>
    </row>
    <row r="24469" spans="1:13">
      <c r="A24469" t="s">
        <v>4</v>
      </c>
      <c r="B24469" s="4" t="s">
        <v>5</v>
      </c>
    </row>
    <row r="24470" spans="1:13">
      <c r="A24470" t="n">
        <v>236285</v>
      </c>
      <c r="B24470" s="27" t="n">
        <v>28</v>
      </c>
    </row>
    <row r="24471" spans="1:13">
      <c r="A24471" t="s">
        <v>4</v>
      </c>
      <c r="B24471" s="4" t="s">
        <v>5</v>
      </c>
      <c r="C24471" s="4" t="s">
        <v>7</v>
      </c>
      <c r="D24471" s="4" t="s">
        <v>11</v>
      </c>
      <c r="E24471" s="4" t="s">
        <v>8</v>
      </c>
    </row>
    <row r="24472" spans="1:13">
      <c r="A24472" t="n">
        <v>236286</v>
      </c>
      <c r="B24472" s="38" t="n">
        <v>51</v>
      </c>
      <c r="C24472" s="7" t="n">
        <v>4</v>
      </c>
      <c r="D24472" s="7" t="n">
        <v>3</v>
      </c>
      <c r="E24472" s="7" t="s">
        <v>238</v>
      </c>
    </row>
    <row r="24473" spans="1:13">
      <c r="A24473" t="s">
        <v>4</v>
      </c>
      <c r="B24473" s="4" t="s">
        <v>5</v>
      </c>
      <c r="C24473" s="4" t="s">
        <v>11</v>
      </c>
    </row>
    <row r="24474" spans="1:13">
      <c r="A24474" t="n">
        <v>236300</v>
      </c>
      <c r="B24474" s="29" t="n">
        <v>16</v>
      </c>
      <c r="C24474" s="7" t="n">
        <v>0</v>
      </c>
    </row>
    <row r="24475" spans="1:13">
      <c r="A24475" t="s">
        <v>4</v>
      </c>
      <c r="B24475" s="4" t="s">
        <v>5</v>
      </c>
      <c r="C24475" s="4" t="s">
        <v>11</v>
      </c>
      <c r="D24475" s="4" t="s">
        <v>7</v>
      </c>
      <c r="E24475" s="4" t="s">
        <v>15</v>
      </c>
      <c r="F24475" s="4" t="s">
        <v>55</v>
      </c>
      <c r="G24475" s="4" t="s">
        <v>7</v>
      </c>
      <c r="H24475" s="4" t="s">
        <v>7</v>
      </c>
    </row>
    <row r="24476" spans="1:13">
      <c r="A24476" t="n">
        <v>236303</v>
      </c>
      <c r="B24476" s="55" t="n">
        <v>26</v>
      </c>
      <c r="C24476" s="7" t="n">
        <v>3</v>
      </c>
      <c r="D24476" s="7" t="n">
        <v>17</v>
      </c>
      <c r="E24476" s="7" t="n">
        <v>63829</v>
      </c>
      <c r="F24476" s="7" t="s">
        <v>402</v>
      </c>
      <c r="G24476" s="7" t="n">
        <v>2</v>
      </c>
      <c r="H24476" s="7" t="n">
        <v>0</v>
      </c>
    </row>
    <row r="24477" spans="1:13">
      <c r="A24477" t="s">
        <v>4</v>
      </c>
      <c r="B24477" s="4" t="s">
        <v>5</v>
      </c>
    </row>
    <row r="24478" spans="1:13">
      <c r="A24478" t="n">
        <v>236333</v>
      </c>
      <c r="B24478" s="27" t="n">
        <v>28</v>
      </c>
    </row>
    <row r="24479" spans="1:13">
      <c r="A24479" t="s">
        <v>4</v>
      </c>
      <c r="B24479" s="4" t="s">
        <v>5</v>
      </c>
      <c r="C24479" s="4" t="s">
        <v>11</v>
      </c>
      <c r="D24479" s="4" t="s">
        <v>7</v>
      </c>
    </row>
    <row r="24480" spans="1:13">
      <c r="A24480" t="n">
        <v>236334</v>
      </c>
      <c r="B24480" s="68" t="n">
        <v>89</v>
      </c>
      <c r="C24480" s="7" t="n">
        <v>65533</v>
      </c>
      <c r="D24480" s="7" t="n">
        <v>1</v>
      </c>
    </row>
    <row r="24481" spans="1:18">
      <c r="A24481" t="s">
        <v>4</v>
      </c>
      <c r="B24481" s="4" t="s">
        <v>5</v>
      </c>
      <c r="C24481" s="4" t="s">
        <v>7</v>
      </c>
      <c r="D24481" s="4" t="s">
        <v>11</v>
      </c>
      <c r="E24481" s="4" t="s">
        <v>13</v>
      </c>
    </row>
    <row r="24482" spans="1:18">
      <c r="A24482" t="n">
        <v>236338</v>
      </c>
      <c r="B24482" s="23" t="n">
        <v>58</v>
      </c>
      <c r="C24482" s="7" t="n">
        <v>101</v>
      </c>
      <c r="D24482" s="7" t="n">
        <v>500</v>
      </c>
      <c r="E24482" s="7" t="n">
        <v>1</v>
      </c>
    </row>
    <row r="24483" spans="1:18">
      <c r="A24483" t="s">
        <v>4</v>
      </c>
      <c r="B24483" s="4" t="s">
        <v>5</v>
      </c>
      <c r="C24483" s="4" t="s">
        <v>7</v>
      </c>
      <c r="D24483" s="4" t="s">
        <v>11</v>
      </c>
    </row>
    <row r="24484" spans="1:18">
      <c r="A24484" t="n">
        <v>236346</v>
      </c>
      <c r="B24484" s="23" t="n">
        <v>58</v>
      </c>
      <c r="C24484" s="7" t="n">
        <v>254</v>
      </c>
      <c r="D24484" s="7" t="n">
        <v>0</v>
      </c>
    </row>
    <row r="24485" spans="1:18">
      <c r="A24485" t="s">
        <v>4</v>
      </c>
      <c r="B24485" s="4" t="s">
        <v>5</v>
      </c>
      <c r="C24485" s="4" t="s">
        <v>7</v>
      </c>
      <c r="D24485" s="4" t="s">
        <v>11</v>
      </c>
      <c r="E24485" s="4" t="s">
        <v>8</v>
      </c>
      <c r="F24485" s="4" t="s">
        <v>8</v>
      </c>
      <c r="G24485" s="4" t="s">
        <v>8</v>
      </c>
      <c r="H24485" s="4" t="s">
        <v>8</v>
      </c>
    </row>
    <row r="24486" spans="1:18">
      <c r="A24486" t="n">
        <v>236350</v>
      </c>
      <c r="B24486" s="38" t="n">
        <v>51</v>
      </c>
      <c r="C24486" s="7" t="n">
        <v>3</v>
      </c>
      <c r="D24486" s="7" t="n">
        <v>0</v>
      </c>
      <c r="E24486" s="7" t="s">
        <v>65</v>
      </c>
      <c r="F24486" s="7" t="s">
        <v>99</v>
      </c>
      <c r="G24486" s="7" t="s">
        <v>78</v>
      </c>
      <c r="H24486" s="7" t="s">
        <v>79</v>
      </c>
    </row>
    <row r="24487" spans="1:18">
      <c r="A24487" t="s">
        <v>4</v>
      </c>
      <c r="B24487" s="4" t="s">
        <v>5</v>
      </c>
      <c r="C24487" s="4" t="s">
        <v>7</v>
      </c>
      <c r="D24487" s="4" t="s">
        <v>11</v>
      </c>
      <c r="E24487" s="4" t="s">
        <v>8</v>
      </c>
      <c r="F24487" s="4" t="s">
        <v>8</v>
      </c>
      <c r="G24487" s="4" t="s">
        <v>8</v>
      </c>
      <c r="H24487" s="4" t="s">
        <v>8</v>
      </c>
    </row>
    <row r="24488" spans="1:18">
      <c r="A24488" t="n">
        <v>236371</v>
      </c>
      <c r="B24488" s="38" t="n">
        <v>51</v>
      </c>
      <c r="C24488" s="7" t="n">
        <v>3</v>
      </c>
      <c r="D24488" s="7" t="n">
        <v>3</v>
      </c>
      <c r="E24488" s="7" t="s">
        <v>65</v>
      </c>
      <c r="F24488" s="7" t="s">
        <v>232</v>
      </c>
      <c r="G24488" s="7" t="s">
        <v>78</v>
      </c>
      <c r="H24488" s="7" t="s">
        <v>79</v>
      </c>
    </row>
    <row r="24489" spans="1:18">
      <c r="A24489" t="s">
        <v>4</v>
      </c>
      <c r="B24489" s="4" t="s">
        <v>5</v>
      </c>
      <c r="C24489" s="4" t="s">
        <v>11</v>
      </c>
      <c r="D24489" s="4" t="s">
        <v>11</v>
      </c>
      <c r="E24489" s="4" t="s">
        <v>11</v>
      </c>
    </row>
    <row r="24490" spans="1:18">
      <c r="A24490" t="n">
        <v>236392</v>
      </c>
      <c r="B24490" s="72" t="n">
        <v>61</v>
      </c>
      <c r="C24490" s="7" t="n">
        <v>0</v>
      </c>
      <c r="D24490" s="7" t="n">
        <v>65533</v>
      </c>
      <c r="E24490" s="7" t="n">
        <v>0</v>
      </c>
    </row>
    <row r="24491" spans="1:18">
      <c r="A24491" t="s">
        <v>4</v>
      </c>
      <c r="B24491" s="4" t="s">
        <v>5</v>
      </c>
      <c r="C24491" s="4" t="s">
        <v>11</v>
      </c>
      <c r="D24491" s="4" t="s">
        <v>11</v>
      </c>
      <c r="E24491" s="4" t="s">
        <v>11</v>
      </c>
    </row>
    <row r="24492" spans="1:18">
      <c r="A24492" t="n">
        <v>236399</v>
      </c>
      <c r="B24492" s="72" t="n">
        <v>61</v>
      </c>
      <c r="C24492" s="7" t="n">
        <v>3</v>
      </c>
      <c r="D24492" s="7" t="n">
        <v>65533</v>
      </c>
      <c r="E24492" s="7" t="n">
        <v>0</v>
      </c>
    </row>
    <row r="24493" spans="1:18">
      <c r="A24493" t="s">
        <v>4</v>
      </c>
      <c r="B24493" s="4" t="s">
        <v>5</v>
      </c>
      <c r="C24493" s="4" t="s">
        <v>7</v>
      </c>
    </row>
    <row r="24494" spans="1:18">
      <c r="A24494" t="n">
        <v>236406</v>
      </c>
      <c r="B24494" s="49" t="n">
        <v>116</v>
      </c>
      <c r="C24494" s="7" t="n">
        <v>0</v>
      </c>
    </row>
    <row r="24495" spans="1:18">
      <c r="A24495" t="s">
        <v>4</v>
      </c>
      <c r="B24495" s="4" t="s">
        <v>5</v>
      </c>
      <c r="C24495" s="4" t="s">
        <v>7</v>
      </c>
      <c r="D24495" s="4" t="s">
        <v>11</v>
      </c>
    </row>
    <row r="24496" spans="1:18">
      <c r="A24496" t="n">
        <v>236408</v>
      </c>
      <c r="B24496" s="49" t="n">
        <v>116</v>
      </c>
      <c r="C24496" s="7" t="n">
        <v>2</v>
      </c>
      <c r="D24496" s="7" t="n">
        <v>1</v>
      </c>
    </row>
    <row r="24497" spans="1:8">
      <c r="A24497" t="s">
        <v>4</v>
      </c>
      <c r="B24497" s="4" t="s">
        <v>5</v>
      </c>
      <c r="C24497" s="4" t="s">
        <v>7</v>
      </c>
      <c r="D24497" s="4" t="s">
        <v>15</v>
      </c>
    </row>
    <row r="24498" spans="1:8">
      <c r="A24498" t="n">
        <v>236412</v>
      </c>
      <c r="B24498" s="49" t="n">
        <v>116</v>
      </c>
      <c r="C24498" s="7" t="n">
        <v>5</v>
      </c>
      <c r="D24498" s="7" t="n">
        <v>1106247680</v>
      </c>
    </row>
    <row r="24499" spans="1:8">
      <c r="A24499" t="s">
        <v>4</v>
      </c>
      <c r="B24499" s="4" t="s">
        <v>5</v>
      </c>
      <c r="C24499" s="4" t="s">
        <v>7</v>
      </c>
      <c r="D24499" s="4" t="s">
        <v>11</v>
      </c>
    </row>
    <row r="24500" spans="1:8">
      <c r="A24500" t="n">
        <v>236418</v>
      </c>
      <c r="B24500" s="49" t="n">
        <v>116</v>
      </c>
      <c r="C24500" s="7" t="n">
        <v>6</v>
      </c>
      <c r="D24500" s="7" t="n">
        <v>1</v>
      </c>
    </row>
    <row r="24501" spans="1:8">
      <c r="A24501" t="s">
        <v>4</v>
      </c>
      <c r="B24501" s="4" t="s">
        <v>5</v>
      </c>
      <c r="C24501" s="4" t="s">
        <v>7</v>
      </c>
      <c r="D24501" s="4" t="s">
        <v>7</v>
      </c>
      <c r="E24501" s="4" t="s">
        <v>13</v>
      </c>
      <c r="F24501" s="4" t="s">
        <v>13</v>
      </c>
      <c r="G24501" s="4" t="s">
        <v>13</v>
      </c>
      <c r="H24501" s="4" t="s">
        <v>11</v>
      </c>
    </row>
    <row r="24502" spans="1:8">
      <c r="A24502" t="n">
        <v>236422</v>
      </c>
      <c r="B24502" s="51" t="n">
        <v>45</v>
      </c>
      <c r="C24502" s="7" t="n">
        <v>2</v>
      </c>
      <c r="D24502" s="7" t="n">
        <v>3</v>
      </c>
      <c r="E24502" s="7" t="n">
        <v>4.53000020980835</v>
      </c>
      <c r="F24502" s="7" t="n">
        <v>1.30999994277954</v>
      </c>
      <c r="G24502" s="7" t="n">
        <v>46.2700004577637</v>
      </c>
      <c r="H24502" s="7" t="n">
        <v>0</v>
      </c>
    </row>
    <row r="24503" spans="1:8">
      <c r="A24503" t="s">
        <v>4</v>
      </c>
      <c r="B24503" s="4" t="s">
        <v>5</v>
      </c>
      <c r="C24503" s="4" t="s">
        <v>7</v>
      </c>
      <c r="D24503" s="4" t="s">
        <v>7</v>
      </c>
      <c r="E24503" s="4" t="s">
        <v>13</v>
      </c>
      <c r="F24503" s="4" t="s">
        <v>13</v>
      </c>
      <c r="G24503" s="4" t="s">
        <v>13</v>
      </c>
      <c r="H24503" s="4" t="s">
        <v>11</v>
      </c>
      <c r="I24503" s="4" t="s">
        <v>7</v>
      </c>
    </row>
    <row r="24504" spans="1:8">
      <c r="A24504" t="n">
        <v>236439</v>
      </c>
      <c r="B24504" s="51" t="n">
        <v>45</v>
      </c>
      <c r="C24504" s="7" t="n">
        <v>4</v>
      </c>
      <c r="D24504" s="7" t="n">
        <v>3</v>
      </c>
      <c r="E24504" s="7" t="n">
        <v>12.8699998855591</v>
      </c>
      <c r="F24504" s="7" t="n">
        <v>80.0199966430664</v>
      </c>
      <c r="G24504" s="7" t="n">
        <v>0</v>
      </c>
      <c r="H24504" s="7" t="n">
        <v>0</v>
      </c>
      <c r="I24504" s="7" t="n">
        <v>0</v>
      </c>
    </row>
    <row r="24505" spans="1:8">
      <c r="A24505" t="s">
        <v>4</v>
      </c>
      <c r="B24505" s="4" t="s">
        <v>5</v>
      </c>
      <c r="C24505" s="4" t="s">
        <v>7</v>
      </c>
      <c r="D24505" s="4" t="s">
        <v>7</v>
      </c>
      <c r="E24505" s="4" t="s">
        <v>13</v>
      </c>
      <c r="F24505" s="4" t="s">
        <v>11</v>
      </c>
    </row>
    <row r="24506" spans="1:8">
      <c r="A24506" t="n">
        <v>236457</v>
      </c>
      <c r="B24506" s="51" t="n">
        <v>45</v>
      </c>
      <c r="C24506" s="7" t="n">
        <v>5</v>
      </c>
      <c r="D24506" s="7" t="n">
        <v>3</v>
      </c>
      <c r="E24506" s="7" t="n">
        <v>3</v>
      </c>
      <c r="F24506" s="7" t="n">
        <v>0</v>
      </c>
    </row>
    <row r="24507" spans="1:8">
      <c r="A24507" t="s">
        <v>4</v>
      </c>
      <c r="B24507" s="4" t="s">
        <v>5</v>
      </c>
      <c r="C24507" s="4" t="s">
        <v>7</v>
      </c>
      <c r="D24507" s="4" t="s">
        <v>7</v>
      </c>
      <c r="E24507" s="4" t="s">
        <v>13</v>
      </c>
      <c r="F24507" s="4" t="s">
        <v>11</v>
      </c>
    </row>
    <row r="24508" spans="1:8">
      <c r="A24508" t="n">
        <v>236466</v>
      </c>
      <c r="B24508" s="51" t="n">
        <v>45</v>
      </c>
      <c r="C24508" s="7" t="n">
        <v>11</v>
      </c>
      <c r="D24508" s="7" t="n">
        <v>3</v>
      </c>
      <c r="E24508" s="7" t="n">
        <v>34</v>
      </c>
      <c r="F24508" s="7" t="n">
        <v>0</v>
      </c>
    </row>
    <row r="24509" spans="1:8">
      <c r="A24509" t="s">
        <v>4</v>
      </c>
      <c r="B24509" s="4" t="s">
        <v>5</v>
      </c>
      <c r="C24509" s="4" t="s">
        <v>7</v>
      </c>
      <c r="D24509" s="4" t="s">
        <v>7</v>
      </c>
      <c r="E24509" s="4" t="s">
        <v>13</v>
      </c>
      <c r="F24509" s="4" t="s">
        <v>13</v>
      </c>
      <c r="G24509" s="4" t="s">
        <v>13</v>
      </c>
      <c r="H24509" s="4" t="s">
        <v>11</v>
      </c>
    </row>
    <row r="24510" spans="1:8">
      <c r="A24510" t="n">
        <v>236475</v>
      </c>
      <c r="B24510" s="51" t="n">
        <v>45</v>
      </c>
      <c r="C24510" s="7" t="n">
        <v>2</v>
      </c>
      <c r="D24510" s="7" t="n">
        <v>3</v>
      </c>
      <c r="E24510" s="7" t="n">
        <v>4.53000020980835</v>
      </c>
      <c r="F24510" s="7" t="n">
        <v>2.30999994277954</v>
      </c>
      <c r="G24510" s="7" t="n">
        <v>46.2700004577637</v>
      </c>
      <c r="H24510" s="7" t="n">
        <v>5000</v>
      </c>
    </row>
    <row r="24511" spans="1:8">
      <c r="A24511" t="s">
        <v>4</v>
      </c>
      <c r="B24511" s="4" t="s">
        <v>5</v>
      </c>
      <c r="C24511" s="4" t="s">
        <v>7</v>
      </c>
      <c r="D24511" s="4" t="s">
        <v>11</v>
      </c>
    </row>
    <row r="24512" spans="1:8">
      <c r="A24512" t="n">
        <v>236492</v>
      </c>
      <c r="B24512" s="23" t="n">
        <v>58</v>
      </c>
      <c r="C24512" s="7" t="n">
        <v>255</v>
      </c>
      <c r="D24512" s="7" t="n">
        <v>0</v>
      </c>
    </row>
    <row r="24513" spans="1:9">
      <c r="A24513" t="s">
        <v>4</v>
      </c>
      <c r="B24513" s="4" t="s">
        <v>5</v>
      </c>
      <c r="C24513" s="4" t="s">
        <v>11</v>
      </c>
      <c r="D24513" s="4" t="s">
        <v>13</v>
      </c>
      <c r="E24513" s="4" t="s">
        <v>13</v>
      </c>
      <c r="F24513" s="4" t="s">
        <v>7</v>
      </c>
    </row>
    <row r="24514" spans="1:9">
      <c r="A24514" t="n">
        <v>236496</v>
      </c>
      <c r="B24514" s="65" t="n">
        <v>52</v>
      </c>
      <c r="C24514" s="7" t="n">
        <v>0</v>
      </c>
      <c r="D24514" s="7" t="n">
        <v>255</v>
      </c>
      <c r="E24514" s="7" t="n">
        <v>5</v>
      </c>
      <c r="F24514" s="7" t="n">
        <v>0</v>
      </c>
    </row>
    <row r="24515" spans="1:9">
      <c r="A24515" t="s">
        <v>4</v>
      </c>
      <c r="B24515" s="4" t="s">
        <v>5</v>
      </c>
      <c r="C24515" s="4" t="s">
        <v>11</v>
      </c>
    </row>
    <row r="24516" spans="1:9">
      <c r="A24516" t="n">
        <v>236508</v>
      </c>
      <c r="B24516" s="29" t="n">
        <v>16</v>
      </c>
      <c r="C24516" s="7" t="n">
        <v>100</v>
      </c>
    </row>
    <row r="24517" spans="1:9">
      <c r="A24517" t="s">
        <v>4</v>
      </c>
      <c r="B24517" s="4" t="s">
        <v>5</v>
      </c>
      <c r="C24517" s="4" t="s">
        <v>11</v>
      </c>
      <c r="D24517" s="4" t="s">
        <v>13</v>
      </c>
      <c r="E24517" s="4" t="s">
        <v>13</v>
      </c>
      <c r="F24517" s="4" t="s">
        <v>7</v>
      </c>
    </row>
    <row r="24518" spans="1:9">
      <c r="A24518" t="n">
        <v>236511</v>
      </c>
      <c r="B24518" s="65" t="n">
        <v>52</v>
      </c>
      <c r="C24518" s="7" t="n">
        <v>3</v>
      </c>
      <c r="D24518" s="7" t="n">
        <v>255</v>
      </c>
      <c r="E24518" s="7" t="n">
        <v>5</v>
      </c>
      <c r="F24518" s="7" t="n">
        <v>0</v>
      </c>
    </row>
    <row r="24519" spans="1:9">
      <c r="A24519" t="s">
        <v>4</v>
      </c>
      <c r="B24519" s="4" t="s">
        <v>5</v>
      </c>
      <c r="C24519" s="4" t="s">
        <v>11</v>
      </c>
    </row>
    <row r="24520" spans="1:9">
      <c r="A24520" t="n">
        <v>236523</v>
      </c>
      <c r="B24520" s="66" t="n">
        <v>54</v>
      </c>
      <c r="C24520" s="7" t="n">
        <v>0</v>
      </c>
    </row>
    <row r="24521" spans="1:9">
      <c r="A24521" t="s">
        <v>4</v>
      </c>
      <c r="B24521" s="4" t="s">
        <v>5</v>
      </c>
      <c r="C24521" s="4" t="s">
        <v>11</v>
      </c>
      <c r="D24521" s="4" t="s">
        <v>11</v>
      </c>
      <c r="E24521" s="4" t="s">
        <v>13</v>
      </c>
      <c r="F24521" s="4" t="s">
        <v>13</v>
      </c>
      <c r="G24521" s="4" t="s">
        <v>13</v>
      </c>
      <c r="H24521" s="4" t="s">
        <v>13</v>
      </c>
      <c r="I24521" s="4" t="s">
        <v>7</v>
      </c>
      <c r="J24521" s="4" t="s">
        <v>11</v>
      </c>
    </row>
    <row r="24522" spans="1:9">
      <c r="A24522" t="n">
        <v>236526</v>
      </c>
      <c r="B24522" s="53" t="n">
        <v>55</v>
      </c>
      <c r="C24522" s="7" t="n">
        <v>0</v>
      </c>
      <c r="D24522" s="7" t="n">
        <v>65024</v>
      </c>
      <c r="E24522" s="7" t="n">
        <v>0</v>
      </c>
      <c r="F24522" s="7" t="n">
        <v>0</v>
      </c>
      <c r="G24522" s="7" t="n">
        <v>6</v>
      </c>
      <c r="H24522" s="7" t="n">
        <v>1.20000004768372</v>
      </c>
      <c r="I24522" s="7" t="n">
        <v>1</v>
      </c>
      <c r="J24522" s="7" t="n">
        <v>0</v>
      </c>
    </row>
    <row r="24523" spans="1:9">
      <c r="A24523" t="s">
        <v>4</v>
      </c>
      <c r="B24523" s="4" t="s">
        <v>5</v>
      </c>
      <c r="C24523" s="4" t="s">
        <v>11</v>
      </c>
    </row>
    <row r="24524" spans="1:9">
      <c r="A24524" t="n">
        <v>236550</v>
      </c>
      <c r="B24524" s="66" t="n">
        <v>54</v>
      </c>
      <c r="C24524" s="7" t="n">
        <v>3</v>
      </c>
    </row>
    <row r="24525" spans="1:9">
      <c r="A24525" t="s">
        <v>4</v>
      </c>
      <c r="B24525" s="4" t="s">
        <v>5</v>
      </c>
      <c r="C24525" s="4" t="s">
        <v>11</v>
      </c>
    </row>
    <row r="24526" spans="1:9">
      <c r="A24526" t="n">
        <v>236553</v>
      </c>
      <c r="B24526" s="29" t="n">
        <v>16</v>
      </c>
      <c r="C24526" s="7" t="n">
        <v>200</v>
      </c>
    </row>
    <row r="24527" spans="1:9">
      <c r="A24527" t="s">
        <v>4</v>
      </c>
      <c r="B24527" s="4" t="s">
        <v>5</v>
      </c>
      <c r="C24527" s="4" t="s">
        <v>11</v>
      </c>
      <c r="D24527" s="4" t="s">
        <v>11</v>
      </c>
      <c r="E24527" s="4" t="s">
        <v>13</v>
      </c>
      <c r="F24527" s="4" t="s">
        <v>13</v>
      </c>
      <c r="G24527" s="4" t="s">
        <v>13</v>
      </c>
      <c r="H24527" s="4" t="s">
        <v>13</v>
      </c>
      <c r="I24527" s="4" t="s">
        <v>7</v>
      </c>
      <c r="J24527" s="4" t="s">
        <v>11</v>
      </c>
    </row>
    <row r="24528" spans="1:9">
      <c r="A24528" t="n">
        <v>236556</v>
      </c>
      <c r="B24528" s="53" t="n">
        <v>55</v>
      </c>
      <c r="C24528" s="7" t="n">
        <v>3</v>
      </c>
      <c r="D24528" s="7" t="n">
        <v>65024</v>
      </c>
      <c r="E24528" s="7" t="n">
        <v>0</v>
      </c>
      <c r="F24528" s="7" t="n">
        <v>0</v>
      </c>
      <c r="G24528" s="7" t="n">
        <v>6</v>
      </c>
      <c r="H24528" s="7" t="n">
        <v>1.20000004768372</v>
      </c>
      <c r="I24528" s="7" t="n">
        <v>1</v>
      </c>
      <c r="J24528" s="7" t="n">
        <v>0</v>
      </c>
    </row>
    <row r="24529" spans="1:10">
      <c r="A24529" t="s">
        <v>4</v>
      </c>
      <c r="B24529" s="4" t="s">
        <v>5</v>
      </c>
      <c r="C24529" s="4" t="s">
        <v>11</v>
      </c>
    </row>
    <row r="24530" spans="1:10">
      <c r="A24530" t="n">
        <v>236580</v>
      </c>
      <c r="B24530" s="29" t="n">
        <v>16</v>
      </c>
      <c r="C24530" s="7" t="n">
        <v>2000</v>
      </c>
    </row>
    <row r="24531" spans="1:10">
      <c r="A24531" t="s">
        <v>4</v>
      </c>
      <c r="B24531" s="4" t="s">
        <v>5</v>
      </c>
      <c r="C24531" s="4" t="s">
        <v>7</v>
      </c>
      <c r="D24531" s="4" t="s">
        <v>11</v>
      </c>
      <c r="E24531" s="4" t="s">
        <v>13</v>
      </c>
    </row>
    <row r="24532" spans="1:10">
      <c r="A24532" t="n">
        <v>236583</v>
      </c>
      <c r="B24532" s="23" t="n">
        <v>58</v>
      </c>
      <c r="C24532" s="7" t="n">
        <v>0</v>
      </c>
      <c r="D24532" s="7" t="n">
        <v>1000</v>
      </c>
      <c r="E24532" s="7" t="n">
        <v>1</v>
      </c>
    </row>
    <row r="24533" spans="1:10">
      <c r="A24533" t="s">
        <v>4</v>
      </c>
      <c r="B24533" s="4" t="s">
        <v>5</v>
      </c>
      <c r="C24533" s="4" t="s">
        <v>7</v>
      </c>
      <c r="D24533" s="4" t="s">
        <v>11</v>
      </c>
    </row>
    <row r="24534" spans="1:10">
      <c r="A24534" t="n">
        <v>236591</v>
      </c>
      <c r="B24534" s="23" t="n">
        <v>58</v>
      </c>
      <c r="C24534" s="7" t="n">
        <v>255</v>
      </c>
      <c r="D24534" s="7" t="n">
        <v>0</v>
      </c>
    </row>
    <row r="24535" spans="1:10">
      <c r="A24535" t="s">
        <v>4</v>
      </c>
      <c r="B24535" s="4" t="s">
        <v>5</v>
      </c>
      <c r="C24535" s="4" t="s">
        <v>11</v>
      </c>
      <c r="D24535" s="4" t="s">
        <v>7</v>
      </c>
    </row>
    <row r="24536" spans="1:10">
      <c r="A24536" t="n">
        <v>236595</v>
      </c>
      <c r="B24536" s="54" t="n">
        <v>56</v>
      </c>
      <c r="C24536" s="7" t="n">
        <v>0</v>
      </c>
      <c r="D24536" s="7" t="n">
        <v>1</v>
      </c>
    </row>
    <row r="24537" spans="1:10">
      <c r="A24537" t="s">
        <v>4</v>
      </c>
      <c r="B24537" s="4" t="s">
        <v>5</v>
      </c>
      <c r="C24537" s="4" t="s">
        <v>11</v>
      </c>
      <c r="D24537" s="4" t="s">
        <v>7</v>
      </c>
    </row>
    <row r="24538" spans="1:10">
      <c r="A24538" t="n">
        <v>236599</v>
      </c>
      <c r="B24538" s="54" t="n">
        <v>56</v>
      </c>
      <c r="C24538" s="7" t="n">
        <v>3</v>
      </c>
      <c r="D24538" s="7" t="n">
        <v>1</v>
      </c>
    </row>
    <row r="24539" spans="1:10">
      <c r="A24539" t="s">
        <v>4</v>
      </c>
      <c r="B24539" s="4" t="s">
        <v>5</v>
      </c>
      <c r="C24539" s="4" t="s">
        <v>11</v>
      </c>
      <c r="D24539" s="4" t="s">
        <v>13</v>
      </c>
      <c r="E24539" s="4" t="s">
        <v>13</v>
      </c>
      <c r="F24539" s="4" t="s">
        <v>13</v>
      </c>
      <c r="G24539" s="4" t="s">
        <v>13</v>
      </c>
    </row>
    <row r="24540" spans="1:10">
      <c r="A24540" t="n">
        <v>236603</v>
      </c>
      <c r="B24540" s="36" t="n">
        <v>46</v>
      </c>
      <c r="C24540" s="7" t="n">
        <v>0</v>
      </c>
      <c r="D24540" s="7" t="n">
        <v>-2.77999997138977</v>
      </c>
      <c r="E24540" s="7" t="n">
        <v>10.0100002288818</v>
      </c>
      <c r="F24540" s="7" t="n">
        <v>55.7299995422363</v>
      </c>
      <c r="G24540" s="7" t="n">
        <v>96</v>
      </c>
    </row>
    <row r="24541" spans="1:10">
      <c r="A24541" t="s">
        <v>4</v>
      </c>
      <c r="B24541" s="4" t="s">
        <v>5</v>
      </c>
      <c r="C24541" s="4" t="s">
        <v>11</v>
      </c>
      <c r="D24541" s="4" t="s">
        <v>13</v>
      </c>
      <c r="E24541" s="4" t="s">
        <v>13</v>
      </c>
      <c r="F24541" s="4" t="s">
        <v>13</v>
      </c>
      <c r="G24541" s="4" t="s">
        <v>13</v>
      </c>
    </row>
    <row r="24542" spans="1:10">
      <c r="A24542" t="n">
        <v>236622</v>
      </c>
      <c r="B24542" s="36" t="n">
        <v>46</v>
      </c>
      <c r="C24542" s="7" t="n">
        <v>3</v>
      </c>
      <c r="D24542" s="7" t="n">
        <v>-1.98000001907349</v>
      </c>
      <c r="E24542" s="7" t="n">
        <v>10.0100002288818</v>
      </c>
      <c r="F24542" s="7" t="n">
        <v>56.3600006103516</v>
      </c>
      <c r="G24542" s="7" t="n">
        <v>90.1999969482422</v>
      </c>
    </row>
    <row r="24543" spans="1:10">
      <c r="A24543" t="s">
        <v>4</v>
      </c>
      <c r="B24543" s="4" t="s">
        <v>5</v>
      </c>
      <c r="C24543" s="4" t="s">
        <v>11</v>
      </c>
      <c r="D24543" s="4" t="s">
        <v>11</v>
      </c>
      <c r="E24543" s="4" t="s">
        <v>11</v>
      </c>
    </row>
    <row r="24544" spans="1:10">
      <c r="A24544" t="n">
        <v>236641</v>
      </c>
      <c r="B24544" s="72" t="n">
        <v>61</v>
      </c>
      <c r="C24544" s="7" t="n">
        <v>0</v>
      </c>
      <c r="D24544" s="7" t="n">
        <v>65533</v>
      </c>
      <c r="E24544" s="7" t="n">
        <v>0</v>
      </c>
    </row>
    <row r="24545" spans="1:7">
      <c r="A24545" t="s">
        <v>4</v>
      </c>
      <c r="B24545" s="4" t="s">
        <v>5</v>
      </c>
      <c r="C24545" s="4" t="s">
        <v>11</v>
      </c>
      <c r="D24545" s="4" t="s">
        <v>11</v>
      </c>
      <c r="E24545" s="4" t="s">
        <v>11</v>
      </c>
    </row>
    <row r="24546" spans="1:7">
      <c r="A24546" t="n">
        <v>236648</v>
      </c>
      <c r="B24546" s="72" t="n">
        <v>61</v>
      </c>
      <c r="C24546" s="7" t="n">
        <v>3</v>
      </c>
      <c r="D24546" s="7" t="n">
        <v>65533</v>
      </c>
      <c r="E24546" s="7" t="n">
        <v>0</v>
      </c>
    </row>
    <row r="24547" spans="1:7">
      <c r="A24547" t="s">
        <v>4</v>
      </c>
      <c r="B24547" s="4" t="s">
        <v>5</v>
      </c>
      <c r="C24547" s="4" t="s">
        <v>7</v>
      </c>
      <c r="D24547" s="4" t="s">
        <v>7</v>
      </c>
      <c r="E24547" s="4" t="s">
        <v>13</v>
      </c>
      <c r="F24547" s="4" t="s">
        <v>13</v>
      </c>
      <c r="G24547" s="4" t="s">
        <v>13</v>
      </c>
      <c r="H24547" s="4" t="s">
        <v>11</v>
      </c>
    </row>
    <row r="24548" spans="1:7">
      <c r="A24548" t="n">
        <v>236655</v>
      </c>
      <c r="B24548" s="51" t="n">
        <v>45</v>
      </c>
      <c r="C24548" s="7" t="n">
        <v>2</v>
      </c>
      <c r="D24548" s="7" t="n">
        <v>3</v>
      </c>
      <c r="E24548" s="7" t="n">
        <v>6.67000007629395</v>
      </c>
      <c r="F24548" s="7" t="n">
        <v>11.6000003814697</v>
      </c>
      <c r="G24548" s="7" t="n">
        <v>55.4500007629395</v>
      </c>
      <c r="H24548" s="7" t="n">
        <v>0</v>
      </c>
    </row>
    <row r="24549" spans="1:7">
      <c r="A24549" t="s">
        <v>4</v>
      </c>
      <c r="B24549" s="4" t="s">
        <v>5</v>
      </c>
      <c r="C24549" s="4" t="s">
        <v>7</v>
      </c>
      <c r="D24549" s="4" t="s">
        <v>7</v>
      </c>
      <c r="E24549" s="4" t="s">
        <v>13</v>
      </c>
      <c r="F24549" s="4" t="s">
        <v>13</v>
      </c>
      <c r="G24549" s="4" t="s">
        <v>13</v>
      </c>
      <c r="H24549" s="4" t="s">
        <v>11</v>
      </c>
      <c r="I24549" s="4" t="s">
        <v>7</v>
      </c>
    </row>
    <row r="24550" spans="1:7">
      <c r="A24550" t="n">
        <v>236672</v>
      </c>
      <c r="B24550" s="51" t="n">
        <v>45</v>
      </c>
      <c r="C24550" s="7" t="n">
        <v>4</v>
      </c>
      <c r="D24550" s="7" t="n">
        <v>3</v>
      </c>
      <c r="E24550" s="7" t="n">
        <v>11.6499996185303</v>
      </c>
      <c r="F24550" s="7" t="n">
        <v>244.470001220703</v>
      </c>
      <c r="G24550" s="7" t="n">
        <v>0</v>
      </c>
      <c r="H24550" s="7" t="n">
        <v>0</v>
      </c>
      <c r="I24550" s="7" t="n">
        <v>0</v>
      </c>
    </row>
    <row r="24551" spans="1:7">
      <c r="A24551" t="s">
        <v>4</v>
      </c>
      <c r="B24551" s="4" t="s">
        <v>5</v>
      </c>
      <c r="C24551" s="4" t="s">
        <v>7</v>
      </c>
      <c r="D24551" s="4" t="s">
        <v>7</v>
      </c>
      <c r="E24551" s="4" t="s">
        <v>13</v>
      </c>
      <c r="F24551" s="4" t="s">
        <v>11</v>
      </c>
    </row>
    <row r="24552" spans="1:7">
      <c r="A24552" t="n">
        <v>236690</v>
      </c>
      <c r="B24552" s="51" t="n">
        <v>45</v>
      </c>
      <c r="C24552" s="7" t="n">
        <v>5</v>
      </c>
      <c r="D24552" s="7" t="n">
        <v>3</v>
      </c>
      <c r="E24552" s="7" t="n">
        <v>3.59999990463257</v>
      </c>
      <c r="F24552" s="7" t="n">
        <v>0</v>
      </c>
    </row>
    <row r="24553" spans="1:7">
      <c r="A24553" t="s">
        <v>4</v>
      </c>
      <c r="B24553" s="4" t="s">
        <v>5</v>
      </c>
      <c r="C24553" s="4" t="s">
        <v>7</v>
      </c>
      <c r="D24553" s="4" t="s">
        <v>7</v>
      </c>
      <c r="E24553" s="4" t="s">
        <v>13</v>
      </c>
      <c r="F24553" s="4" t="s">
        <v>11</v>
      </c>
    </row>
    <row r="24554" spans="1:7">
      <c r="A24554" t="n">
        <v>236699</v>
      </c>
      <c r="B24554" s="51" t="n">
        <v>45</v>
      </c>
      <c r="C24554" s="7" t="n">
        <v>11</v>
      </c>
      <c r="D24554" s="7" t="n">
        <v>3</v>
      </c>
      <c r="E24554" s="7" t="n">
        <v>34</v>
      </c>
      <c r="F24554" s="7" t="n">
        <v>0</v>
      </c>
    </row>
    <row r="24555" spans="1:7">
      <c r="A24555" t="s">
        <v>4</v>
      </c>
      <c r="B24555" s="4" t="s">
        <v>5</v>
      </c>
      <c r="C24555" s="4" t="s">
        <v>7</v>
      </c>
      <c r="D24555" s="4" t="s">
        <v>7</v>
      </c>
      <c r="E24555" s="4" t="s">
        <v>13</v>
      </c>
      <c r="F24555" s="4" t="s">
        <v>13</v>
      </c>
      <c r="G24555" s="4" t="s">
        <v>13</v>
      </c>
      <c r="H24555" s="4" t="s">
        <v>11</v>
      </c>
    </row>
    <row r="24556" spans="1:7">
      <c r="A24556" t="n">
        <v>236708</v>
      </c>
      <c r="B24556" s="51" t="n">
        <v>45</v>
      </c>
      <c r="C24556" s="7" t="n">
        <v>2</v>
      </c>
      <c r="D24556" s="7" t="n">
        <v>3</v>
      </c>
      <c r="E24556" s="7" t="n">
        <v>-2.00999999046326</v>
      </c>
      <c r="F24556" s="7" t="n">
        <v>11.1599998474121</v>
      </c>
      <c r="G24556" s="7" t="n">
        <v>56.2200012207031</v>
      </c>
      <c r="H24556" s="7" t="n">
        <v>6000</v>
      </c>
    </row>
    <row r="24557" spans="1:7">
      <c r="A24557" t="s">
        <v>4</v>
      </c>
      <c r="B24557" s="4" t="s">
        <v>5</v>
      </c>
      <c r="C24557" s="4" t="s">
        <v>7</v>
      </c>
      <c r="D24557" s="4" t="s">
        <v>7</v>
      </c>
      <c r="E24557" s="4" t="s">
        <v>13</v>
      </c>
      <c r="F24557" s="4" t="s">
        <v>13</v>
      </c>
      <c r="G24557" s="4" t="s">
        <v>13</v>
      </c>
      <c r="H24557" s="4" t="s">
        <v>11</v>
      </c>
      <c r="I24557" s="4" t="s">
        <v>7</v>
      </c>
    </row>
    <row r="24558" spans="1:7">
      <c r="A24558" t="n">
        <v>236725</v>
      </c>
      <c r="B24558" s="51" t="n">
        <v>45</v>
      </c>
      <c r="C24558" s="7" t="n">
        <v>4</v>
      </c>
      <c r="D24558" s="7" t="n">
        <v>3</v>
      </c>
      <c r="E24558" s="7" t="n">
        <v>2.75</v>
      </c>
      <c r="F24558" s="7" t="n">
        <v>329.100006103516</v>
      </c>
      <c r="G24558" s="7" t="n">
        <v>0</v>
      </c>
      <c r="H24558" s="7" t="n">
        <v>6000</v>
      </c>
      <c r="I24558" s="7" t="n">
        <v>1</v>
      </c>
    </row>
    <row r="24559" spans="1:7">
      <c r="A24559" t="s">
        <v>4</v>
      </c>
      <c r="B24559" s="4" t="s">
        <v>5</v>
      </c>
      <c r="C24559" s="4" t="s">
        <v>7</v>
      </c>
      <c r="D24559" s="4" t="s">
        <v>7</v>
      </c>
      <c r="E24559" s="4" t="s">
        <v>13</v>
      </c>
      <c r="F24559" s="4" t="s">
        <v>11</v>
      </c>
    </row>
    <row r="24560" spans="1:7">
      <c r="A24560" t="n">
        <v>236743</v>
      </c>
      <c r="B24560" s="51" t="n">
        <v>45</v>
      </c>
      <c r="C24560" s="7" t="n">
        <v>5</v>
      </c>
      <c r="D24560" s="7" t="n">
        <v>3</v>
      </c>
      <c r="E24560" s="7" t="n">
        <v>3.29999995231628</v>
      </c>
      <c r="F24560" s="7" t="n">
        <v>6000</v>
      </c>
    </row>
    <row r="24561" spans="1:9">
      <c r="A24561" t="s">
        <v>4</v>
      </c>
      <c r="B24561" s="4" t="s">
        <v>5</v>
      </c>
      <c r="C24561" s="4" t="s">
        <v>7</v>
      </c>
      <c r="D24561" s="4" t="s">
        <v>11</v>
      </c>
      <c r="E24561" s="4" t="s">
        <v>13</v>
      </c>
    </row>
    <row r="24562" spans="1:9">
      <c r="A24562" t="n">
        <v>236752</v>
      </c>
      <c r="B24562" s="23" t="n">
        <v>58</v>
      </c>
      <c r="C24562" s="7" t="n">
        <v>100</v>
      </c>
      <c r="D24562" s="7" t="n">
        <v>1000</v>
      </c>
      <c r="E24562" s="7" t="n">
        <v>1</v>
      </c>
    </row>
    <row r="24563" spans="1:9">
      <c r="A24563" t="s">
        <v>4</v>
      </c>
      <c r="B24563" s="4" t="s">
        <v>5</v>
      </c>
      <c r="C24563" s="4" t="s">
        <v>7</v>
      </c>
      <c r="D24563" s="4" t="s">
        <v>11</v>
      </c>
    </row>
    <row r="24564" spans="1:9">
      <c r="A24564" t="n">
        <v>236760</v>
      </c>
      <c r="B24564" s="23" t="n">
        <v>58</v>
      </c>
      <c r="C24564" s="7" t="n">
        <v>255</v>
      </c>
      <c r="D24564" s="7" t="n">
        <v>0</v>
      </c>
    </row>
    <row r="24565" spans="1:9">
      <c r="A24565" t="s">
        <v>4</v>
      </c>
      <c r="B24565" s="4" t="s">
        <v>5</v>
      </c>
      <c r="C24565" s="4" t="s">
        <v>8</v>
      </c>
      <c r="D24565" s="4" t="s">
        <v>8</v>
      </c>
    </row>
    <row r="24566" spans="1:9">
      <c r="A24566" t="n">
        <v>236764</v>
      </c>
      <c r="B24566" s="52" t="n">
        <v>70</v>
      </c>
      <c r="C24566" s="7" t="s">
        <v>403</v>
      </c>
      <c r="D24566" s="7" t="s">
        <v>109</v>
      </c>
    </row>
    <row r="24567" spans="1:9">
      <c r="A24567" t="s">
        <v>4</v>
      </c>
      <c r="B24567" s="4" t="s">
        <v>5</v>
      </c>
      <c r="C24567" s="4" t="s">
        <v>11</v>
      </c>
    </row>
    <row r="24568" spans="1:9">
      <c r="A24568" t="n">
        <v>236781</v>
      </c>
      <c r="B24568" s="29" t="n">
        <v>16</v>
      </c>
      <c r="C24568" s="7" t="n">
        <v>2000</v>
      </c>
    </row>
    <row r="24569" spans="1:9">
      <c r="A24569" t="s">
        <v>4</v>
      </c>
      <c r="B24569" s="4" t="s">
        <v>5</v>
      </c>
      <c r="C24569" s="4" t="s">
        <v>11</v>
      </c>
      <c r="D24569" s="4" t="s">
        <v>7</v>
      </c>
      <c r="E24569" s="4" t="s">
        <v>13</v>
      </c>
      <c r="F24569" s="4" t="s">
        <v>11</v>
      </c>
    </row>
    <row r="24570" spans="1:9">
      <c r="A24570" t="n">
        <v>236784</v>
      </c>
      <c r="B24570" s="56" t="n">
        <v>59</v>
      </c>
      <c r="C24570" s="7" t="n">
        <v>3</v>
      </c>
      <c r="D24570" s="7" t="n">
        <v>9</v>
      </c>
      <c r="E24570" s="7" t="n">
        <v>0.150000005960464</v>
      </c>
      <c r="F24570" s="7" t="n">
        <v>0</v>
      </c>
    </row>
    <row r="24571" spans="1:9">
      <c r="A24571" t="s">
        <v>4</v>
      </c>
      <c r="B24571" s="4" t="s">
        <v>5</v>
      </c>
      <c r="C24571" s="4" t="s">
        <v>11</v>
      </c>
      <c r="D24571" s="4" t="s">
        <v>13</v>
      </c>
      <c r="E24571" s="4" t="s">
        <v>13</v>
      </c>
      <c r="F24571" s="4" t="s">
        <v>13</v>
      </c>
      <c r="G24571" s="4" t="s">
        <v>11</v>
      </c>
      <c r="H24571" s="4" t="s">
        <v>11</v>
      </c>
    </row>
    <row r="24572" spans="1:9">
      <c r="A24572" t="n">
        <v>236794</v>
      </c>
      <c r="B24572" s="37" t="n">
        <v>60</v>
      </c>
      <c r="C24572" s="7" t="n">
        <v>3</v>
      </c>
      <c r="D24572" s="7" t="n">
        <v>-45</v>
      </c>
      <c r="E24572" s="7" t="n">
        <v>0</v>
      </c>
      <c r="F24572" s="7" t="n">
        <v>0</v>
      </c>
      <c r="G24572" s="7" t="n">
        <v>1000</v>
      </c>
      <c r="H24572" s="7" t="n">
        <v>0</v>
      </c>
    </row>
    <row r="24573" spans="1:9">
      <c r="A24573" t="s">
        <v>4</v>
      </c>
      <c r="B24573" s="4" t="s">
        <v>5</v>
      </c>
      <c r="C24573" s="4" t="s">
        <v>11</v>
      </c>
    </row>
    <row r="24574" spans="1:9">
      <c r="A24574" t="n">
        <v>236813</v>
      </c>
      <c r="B24574" s="29" t="n">
        <v>16</v>
      </c>
      <c r="C24574" s="7" t="n">
        <v>1000</v>
      </c>
    </row>
    <row r="24575" spans="1:9">
      <c r="A24575" t="s">
        <v>4</v>
      </c>
      <c r="B24575" s="4" t="s">
        <v>5</v>
      </c>
      <c r="C24575" s="4" t="s">
        <v>11</v>
      </c>
      <c r="D24575" s="4" t="s">
        <v>13</v>
      </c>
      <c r="E24575" s="4" t="s">
        <v>13</v>
      </c>
      <c r="F24575" s="4" t="s">
        <v>13</v>
      </c>
      <c r="G24575" s="4" t="s">
        <v>11</v>
      </c>
      <c r="H24575" s="4" t="s">
        <v>11</v>
      </c>
    </row>
    <row r="24576" spans="1:9">
      <c r="A24576" t="n">
        <v>236816</v>
      </c>
      <c r="B24576" s="37" t="n">
        <v>60</v>
      </c>
      <c r="C24576" s="7" t="n">
        <v>3</v>
      </c>
      <c r="D24576" s="7" t="n">
        <v>45</v>
      </c>
      <c r="E24576" s="7" t="n">
        <v>0</v>
      </c>
      <c r="F24576" s="7" t="n">
        <v>0</v>
      </c>
      <c r="G24576" s="7" t="n">
        <v>1000</v>
      </c>
      <c r="H24576" s="7" t="n">
        <v>0</v>
      </c>
    </row>
    <row r="24577" spans="1:8">
      <c r="A24577" t="s">
        <v>4</v>
      </c>
      <c r="B24577" s="4" t="s">
        <v>5</v>
      </c>
      <c r="C24577" s="4" t="s">
        <v>11</v>
      </c>
    </row>
    <row r="24578" spans="1:8">
      <c r="A24578" t="n">
        <v>236835</v>
      </c>
      <c r="B24578" s="29" t="n">
        <v>16</v>
      </c>
      <c r="C24578" s="7" t="n">
        <v>1000</v>
      </c>
    </row>
    <row r="24579" spans="1:8">
      <c r="A24579" t="s">
        <v>4</v>
      </c>
      <c r="B24579" s="4" t="s">
        <v>5</v>
      </c>
      <c r="C24579" s="4" t="s">
        <v>11</v>
      </c>
      <c r="D24579" s="4" t="s">
        <v>13</v>
      </c>
      <c r="E24579" s="4" t="s">
        <v>13</v>
      </c>
      <c r="F24579" s="4" t="s">
        <v>13</v>
      </c>
      <c r="G24579" s="4" t="s">
        <v>11</v>
      </c>
      <c r="H24579" s="4" t="s">
        <v>11</v>
      </c>
    </row>
    <row r="24580" spans="1:8">
      <c r="A24580" t="n">
        <v>236838</v>
      </c>
      <c r="B24580" s="37" t="n">
        <v>60</v>
      </c>
      <c r="C24580" s="7" t="n">
        <v>3</v>
      </c>
      <c r="D24580" s="7" t="n">
        <v>0</v>
      </c>
      <c r="E24580" s="7" t="n">
        <v>0</v>
      </c>
      <c r="F24580" s="7" t="n">
        <v>0</v>
      </c>
      <c r="G24580" s="7" t="n">
        <v>500</v>
      </c>
      <c r="H24580" s="7" t="n">
        <v>0</v>
      </c>
    </row>
    <row r="24581" spans="1:8">
      <c r="A24581" t="s">
        <v>4</v>
      </c>
      <c r="B24581" s="4" t="s">
        <v>5</v>
      </c>
      <c r="C24581" s="4" t="s">
        <v>11</v>
      </c>
    </row>
    <row r="24582" spans="1:8">
      <c r="A24582" t="n">
        <v>236857</v>
      </c>
      <c r="B24582" s="29" t="n">
        <v>16</v>
      </c>
      <c r="C24582" s="7" t="n">
        <v>1000</v>
      </c>
    </row>
    <row r="24583" spans="1:8">
      <c r="A24583" t="s">
        <v>4</v>
      </c>
      <c r="B24583" s="4" t="s">
        <v>5</v>
      </c>
      <c r="C24583" s="4" t="s">
        <v>7</v>
      </c>
      <c r="D24583" s="4" t="s">
        <v>11</v>
      </c>
    </row>
    <row r="24584" spans="1:8">
      <c r="A24584" t="n">
        <v>236860</v>
      </c>
      <c r="B24584" s="51" t="n">
        <v>45</v>
      </c>
      <c r="C24584" s="7" t="n">
        <v>7</v>
      </c>
      <c r="D24584" s="7" t="n">
        <v>255</v>
      </c>
    </row>
    <row r="24585" spans="1:8">
      <c r="A24585" t="s">
        <v>4</v>
      </c>
      <c r="B24585" s="4" t="s">
        <v>5</v>
      </c>
      <c r="C24585" s="4" t="s">
        <v>7</v>
      </c>
      <c r="D24585" s="4" t="s">
        <v>11</v>
      </c>
      <c r="E24585" s="4" t="s">
        <v>13</v>
      </c>
    </row>
    <row r="24586" spans="1:8">
      <c r="A24586" t="n">
        <v>236864</v>
      </c>
      <c r="B24586" s="23" t="n">
        <v>58</v>
      </c>
      <c r="C24586" s="7" t="n">
        <v>0</v>
      </c>
      <c r="D24586" s="7" t="n">
        <v>1000</v>
      </c>
      <c r="E24586" s="7" t="n">
        <v>1</v>
      </c>
    </row>
    <row r="24587" spans="1:8">
      <c r="A24587" t="s">
        <v>4</v>
      </c>
      <c r="B24587" s="4" t="s">
        <v>5</v>
      </c>
      <c r="C24587" s="4" t="s">
        <v>7</v>
      </c>
      <c r="D24587" s="4" t="s">
        <v>11</v>
      </c>
    </row>
    <row r="24588" spans="1:8">
      <c r="A24588" t="n">
        <v>236872</v>
      </c>
      <c r="B24588" s="23" t="n">
        <v>58</v>
      </c>
      <c r="C24588" s="7" t="n">
        <v>255</v>
      </c>
      <c r="D24588" s="7" t="n">
        <v>0</v>
      </c>
    </row>
    <row r="24589" spans="1:8">
      <c r="A24589" t="s">
        <v>4</v>
      </c>
      <c r="B24589" s="4" t="s">
        <v>5</v>
      </c>
      <c r="C24589" s="4" t="s">
        <v>11</v>
      </c>
      <c r="D24589" s="4" t="s">
        <v>11</v>
      </c>
      <c r="E24589" s="4" t="s">
        <v>11</v>
      </c>
    </row>
    <row r="24590" spans="1:8">
      <c r="A24590" t="n">
        <v>236876</v>
      </c>
      <c r="B24590" s="72" t="n">
        <v>61</v>
      </c>
      <c r="C24590" s="7" t="n">
        <v>0</v>
      </c>
      <c r="D24590" s="7" t="n">
        <v>65533</v>
      </c>
      <c r="E24590" s="7" t="n">
        <v>1000</v>
      </c>
    </row>
    <row r="24591" spans="1:8">
      <c r="A24591" t="s">
        <v>4</v>
      </c>
      <c r="B24591" s="4" t="s">
        <v>5</v>
      </c>
      <c r="C24591" s="4" t="s">
        <v>11</v>
      </c>
      <c r="D24591" s="4" t="s">
        <v>11</v>
      </c>
      <c r="E24591" s="4" t="s">
        <v>11</v>
      </c>
    </row>
    <row r="24592" spans="1:8">
      <c r="A24592" t="n">
        <v>236883</v>
      </c>
      <c r="B24592" s="72" t="n">
        <v>61</v>
      </c>
      <c r="C24592" s="7" t="n">
        <v>3</v>
      </c>
      <c r="D24592" s="7" t="n">
        <v>65533</v>
      </c>
      <c r="E24592" s="7" t="n">
        <v>1000</v>
      </c>
    </row>
    <row r="24593" spans="1:8">
      <c r="A24593" t="s">
        <v>4</v>
      </c>
      <c r="B24593" s="4" t="s">
        <v>5</v>
      </c>
      <c r="C24593" s="4" t="s">
        <v>11</v>
      </c>
      <c r="D24593" s="4" t="s">
        <v>13</v>
      </c>
      <c r="E24593" s="4" t="s">
        <v>13</v>
      </c>
      <c r="F24593" s="4" t="s">
        <v>13</v>
      </c>
      <c r="G24593" s="4" t="s">
        <v>13</v>
      </c>
    </row>
    <row r="24594" spans="1:8">
      <c r="A24594" t="n">
        <v>236890</v>
      </c>
      <c r="B24594" s="36" t="n">
        <v>46</v>
      </c>
      <c r="C24594" s="7" t="n">
        <v>0</v>
      </c>
      <c r="D24594" s="7" t="n">
        <v>-2.66000008583069</v>
      </c>
      <c r="E24594" s="7" t="n">
        <v>5.01000022888184</v>
      </c>
      <c r="F24594" s="7" t="n">
        <v>32.189998626709</v>
      </c>
      <c r="G24594" s="7" t="n">
        <v>90</v>
      </c>
    </row>
    <row r="24595" spans="1:8">
      <c r="A24595" t="s">
        <v>4</v>
      </c>
      <c r="B24595" s="4" t="s">
        <v>5</v>
      </c>
      <c r="C24595" s="4" t="s">
        <v>11</v>
      </c>
      <c r="D24595" s="4" t="s">
        <v>13</v>
      </c>
      <c r="E24595" s="4" t="s">
        <v>13</v>
      </c>
      <c r="F24595" s="4" t="s">
        <v>13</v>
      </c>
      <c r="G24595" s="4" t="s">
        <v>13</v>
      </c>
    </row>
    <row r="24596" spans="1:8">
      <c r="A24596" t="n">
        <v>236909</v>
      </c>
      <c r="B24596" s="36" t="n">
        <v>46</v>
      </c>
      <c r="C24596" s="7" t="n">
        <v>3</v>
      </c>
      <c r="D24596" s="7" t="n">
        <v>-3.16000008583069</v>
      </c>
      <c r="E24596" s="7" t="n">
        <v>5.01000022888184</v>
      </c>
      <c r="F24596" s="7" t="n">
        <v>31.7900009155273</v>
      </c>
      <c r="G24596" s="7" t="n">
        <v>90</v>
      </c>
    </row>
    <row r="24597" spans="1:8">
      <c r="A24597" t="s">
        <v>4</v>
      </c>
      <c r="B24597" s="4" t="s">
        <v>5</v>
      </c>
      <c r="C24597" s="4" t="s">
        <v>7</v>
      </c>
      <c r="D24597" s="4" t="s">
        <v>7</v>
      </c>
      <c r="E24597" s="4" t="s">
        <v>13</v>
      </c>
      <c r="F24597" s="4" t="s">
        <v>13</v>
      </c>
      <c r="G24597" s="4" t="s">
        <v>13</v>
      </c>
      <c r="H24597" s="4" t="s">
        <v>11</v>
      </c>
    </row>
    <row r="24598" spans="1:8">
      <c r="A24598" t="n">
        <v>236928</v>
      </c>
      <c r="B24598" s="51" t="n">
        <v>45</v>
      </c>
      <c r="C24598" s="7" t="n">
        <v>2</v>
      </c>
      <c r="D24598" s="7" t="n">
        <v>3</v>
      </c>
      <c r="E24598" s="7" t="n">
        <v>6.82000017166138</v>
      </c>
      <c r="F24598" s="7" t="n">
        <v>6.17999982833862</v>
      </c>
      <c r="G24598" s="7" t="n">
        <v>32.2799987792969</v>
      </c>
      <c r="H24598" s="7" t="n">
        <v>0</v>
      </c>
    </row>
    <row r="24599" spans="1:8">
      <c r="A24599" t="s">
        <v>4</v>
      </c>
      <c r="B24599" s="4" t="s">
        <v>5</v>
      </c>
      <c r="C24599" s="4" t="s">
        <v>7</v>
      </c>
      <c r="D24599" s="4" t="s">
        <v>7</v>
      </c>
      <c r="E24599" s="4" t="s">
        <v>13</v>
      </c>
      <c r="F24599" s="4" t="s">
        <v>13</v>
      </c>
      <c r="G24599" s="4" t="s">
        <v>13</v>
      </c>
      <c r="H24599" s="4" t="s">
        <v>11</v>
      </c>
      <c r="I24599" s="4" t="s">
        <v>7</v>
      </c>
    </row>
    <row r="24600" spans="1:8">
      <c r="A24600" t="n">
        <v>236945</v>
      </c>
      <c r="B24600" s="51" t="n">
        <v>45</v>
      </c>
      <c r="C24600" s="7" t="n">
        <v>4</v>
      </c>
      <c r="D24600" s="7" t="n">
        <v>3</v>
      </c>
      <c r="E24600" s="7" t="n">
        <v>358.239990234375</v>
      </c>
      <c r="F24600" s="7" t="n">
        <v>344.200012207031</v>
      </c>
      <c r="G24600" s="7" t="n">
        <v>0</v>
      </c>
      <c r="H24600" s="7" t="n">
        <v>0</v>
      </c>
      <c r="I24600" s="7" t="n">
        <v>0</v>
      </c>
    </row>
    <row r="24601" spans="1:8">
      <c r="A24601" t="s">
        <v>4</v>
      </c>
      <c r="B24601" s="4" t="s">
        <v>5</v>
      </c>
      <c r="C24601" s="4" t="s">
        <v>7</v>
      </c>
      <c r="D24601" s="4" t="s">
        <v>7</v>
      </c>
      <c r="E24601" s="4" t="s">
        <v>13</v>
      </c>
      <c r="F24601" s="4" t="s">
        <v>11</v>
      </c>
    </row>
    <row r="24602" spans="1:8">
      <c r="A24602" t="n">
        <v>236963</v>
      </c>
      <c r="B24602" s="51" t="n">
        <v>45</v>
      </c>
      <c r="C24602" s="7" t="n">
        <v>5</v>
      </c>
      <c r="D24602" s="7" t="n">
        <v>3</v>
      </c>
      <c r="E24602" s="7" t="n">
        <v>3.40000009536743</v>
      </c>
      <c r="F24602" s="7" t="n">
        <v>0</v>
      </c>
    </row>
    <row r="24603" spans="1:8">
      <c r="A24603" t="s">
        <v>4</v>
      </c>
      <c r="B24603" s="4" t="s">
        <v>5</v>
      </c>
      <c r="C24603" s="4" t="s">
        <v>7</v>
      </c>
      <c r="D24603" s="4" t="s">
        <v>7</v>
      </c>
      <c r="E24603" s="4" t="s">
        <v>13</v>
      </c>
      <c r="F24603" s="4" t="s">
        <v>11</v>
      </c>
    </row>
    <row r="24604" spans="1:8">
      <c r="A24604" t="n">
        <v>236972</v>
      </c>
      <c r="B24604" s="51" t="n">
        <v>45</v>
      </c>
      <c r="C24604" s="7" t="n">
        <v>11</v>
      </c>
      <c r="D24604" s="7" t="n">
        <v>3</v>
      </c>
      <c r="E24604" s="7" t="n">
        <v>40.2999992370605</v>
      </c>
      <c r="F24604" s="7" t="n">
        <v>0</v>
      </c>
    </row>
    <row r="24605" spans="1:8">
      <c r="A24605" t="s">
        <v>4</v>
      </c>
      <c r="B24605" s="4" t="s">
        <v>5</v>
      </c>
      <c r="C24605" s="4" t="s">
        <v>7</v>
      </c>
      <c r="D24605" s="4" t="s">
        <v>7</v>
      </c>
      <c r="E24605" s="4" t="s">
        <v>13</v>
      </c>
      <c r="F24605" s="4" t="s">
        <v>13</v>
      </c>
      <c r="G24605" s="4" t="s">
        <v>13</v>
      </c>
      <c r="H24605" s="4" t="s">
        <v>11</v>
      </c>
    </row>
    <row r="24606" spans="1:8">
      <c r="A24606" t="n">
        <v>236981</v>
      </c>
      <c r="B24606" s="51" t="n">
        <v>45</v>
      </c>
      <c r="C24606" s="7" t="n">
        <v>2</v>
      </c>
      <c r="D24606" s="7" t="n">
        <v>3</v>
      </c>
      <c r="E24606" s="7" t="n">
        <v>-2.55999994277954</v>
      </c>
      <c r="F24606" s="7" t="n">
        <v>6.17999982833862</v>
      </c>
      <c r="G24606" s="7" t="n">
        <v>32.1800003051758</v>
      </c>
      <c r="H24606" s="7" t="n">
        <v>6000</v>
      </c>
    </row>
    <row r="24607" spans="1:8">
      <c r="A24607" t="s">
        <v>4</v>
      </c>
      <c r="B24607" s="4" t="s">
        <v>5</v>
      </c>
      <c r="C24607" s="4" t="s">
        <v>7</v>
      </c>
      <c r="D24607" s="4" t="s">
        <v>7</v>
      </c>
      <c r="E24607" s="4" t="s">
        <v>13</v>
      </c>
      <c r="F24607" s="4" t="s">
        <v>13</v>
      </c>
      <c r="G24607" s="4" t="s">
        <v>13</v>
      </c>
      <c r="H24607" s="4" t="s">
        <v>11</v>
      </c>
      <c r="I24607" s="4" t="s">
        <v>7</v>
      </c>
    </row>
    <row r="24608" spans="1:8">
      <c r="A24608" t="n">
        <v>236998</v>
      </c>
      <c r="B24608" s="51" t="n">
        <v>45</v>
      </c>
      <c r="C24608" s="7" t="n">
        <v>4</v>
      </c>
      <c r="D24608" s="7" t="n">
        <v>3</v>
      </c>
      <c r="E24608" s="7" t="n">
        <v>12.2700004577637</v>
      </c>
      <c r="F24608" s="7" t="n">
        <v>75.7099990844727</v>
      </c>
      <c r="G24608" s="7" t="n">
        <v>0</v>
      </c>
      <c r="H24608" s="7" t="n">
        <v>6000</v>
      </c>
      <c r="I24608" s="7" t="n">
        <v>1</v>
      </c>
    </row>
    <row r="24609" spans="1:9">
      <c r="A24609" t="s">
        <v>4</v>
      </c>
      <c r="B24609" s="4" t="s">
        <v>5</v>
      </c>
      <c r="C24609" s="4" t="s">
        <v>7</v>
      </c>
      <c r="D24609" s="4" t="s">
        <v>7</v>
      </c>
      <c r="E24609" s="4" t="s">
        <v>13</v>
      </c>
      <c r="F24609" s="4" t="s">
        <v>11</v>
      </c>
    </row>
    <row r="24610" spans="1:9">
      <c r="A24610" t="n">
        <v>237016</v>
      </c>
      <c r="B24610" s="51" t="n">
        <v>45</v>
      </c>
      <c r="C24610" s="7" t="n">
        <v>5</v>
      </c>
      <c r="D24610" s="7" t="n">
        <v>3</v>
      </c>
      <c r="E24610" s="7" t="n">
        <v>2.70000004768372</v>
      </c>
      <c r="F24610" s="7" t="n">
        <v>6000</v>
      </c>
    </row>
    <row r="24611" spans="1:9">
      <c r="A24611" t="s">
        <v>4</v>
      </c>
      <c r="B24611" s="4" t="s">
        <v>5</v>
      </c>
      <c r="C24611" s="4" t="s">
        <v>7</v>
      </c>
      <c r="D24611" s="4" t="s">
        <v>11</v>
      </c>
      <c r="E24611" s="4" t="s">
        <v>13</v>
      </c>
    </row>
    <row r="24612" spans="1:9">
      <c r="A24612" t="n">
        <v>237025</v>
      </c>
      <c r="B24612" s="23" t="n">
        <v>58</v>
      </c>
      <c r="C24612" s="7" t="n">
        <v>100</v>
      </c>
      <c r="D24612" s="7" t="n">
        <v>1000</v>
      </c>
      <c r="E24612" s="7" t="n">
        <v>1</v>
      </c>
    </row>
    <row r="24613" spans="1:9">
      <c r="A24613" t="s">
        <v>4</v>
      </c>
      <c r="B24613" s="4" t="s">
        <v>5</v>
      </c>
      <c r="C24613" s="4" t="s">
        <v>7</v>
      </c>
      <c r="D24613" s="4" t="s">
        <v>11</v>
      </c>
    </row>
    <row r="24614" spans="1:9">
      <c r="A24614" t="n">
        <v>237033</v>
      </c>
      <c r="B24614" s="23" t="n">
        <v>58</v>
      </c>
      <c r="C24614" s="7" t="n">
        <v>255</v>
      </c>
      <c r="D24614" s="7" t="n">
        <v>0</v>
      </c>
    </row>
    <row r="24615" spans="1:9">
      <c r="A24615" t="s">
        <v>4</v>
      </c>
      <c r="B24615" s="4" t="s">
        <v>5</v>
      </c>
      <c r="C24615" s="4" t="s">
        <v>8</v>
      </c>
      <c r="D24615" s="4" t="s">
        <v>8</v>
      </c>
    </row>
    <row r="24616" spans="1:9">
      <c r="A24616" t="n">
        <v>237037</v>
      </c>
      <c r="B24616" s="52" t="n">
        <v>70</v>
      </c>
      <c r="C24616" s="7" t="s">
        <v>24</v>
      </c>
      <c r="D24616" s="7" t="s">
        <v>109</v>
      </c>
    </row>
    <row r="24617" spans="1:9">
      <c r="A24617" t="s">
        <v>4</v>
      </c>
      <c r="B24617" s="4" t="s">
        <v>5</v>
      </c>
      <c r="C24617" s="4" t="s">
        <v>11</v>
      </c>
    </row>
    <row r="24618" spans="1:9">
      <c r="A24618" t="n">
        <v>237054</v>
      </c>
      <c r="B24618" s="29" t="n">
        <v>16</v>
      </c>
      <c r="C24618" s="7" t="n">
        <v>4000</v>
      </c>
    </row>
    <row r="24619" spans="1:9">
      <c r="A24619" t="s">
        <v>4</v>
      </c>
      <c r="B24619" s="4" t="s">
        <v>5</v>
      </c>
      <c r="C24619" s="4" t="s">
        <v>11</v>
      </c>
      <c r="D24619" s="4" t="s">
        <v>7</v>
      </c>
      <c r="E24619" s="4" t="s">
        <v>13</v>
      </c>
      <c r="F24619" s="4" t="s">
        <v>11</v>
      </c>
    </row>
    <row r="24620" spans="1:9">
      <c r="A24620" t="n">
        <v>237057</v>
      </c>
      <c r="B24620" s="56" t="n">
        <v>59</v>
      </c>
      <c r="C24620" s="7" t="n">
        <v>0</v>
      </c>
      <c r="D24620" s="7" t="n">
        <v>9</v>
      </c>
      <c r="E24620" s="7" t="n">
        <v>0.150000005960464</v>
      </c>
      <c r="F24620" s="7" t="n">
        <v>0</v>
      </c>
    </row>
    <row r="24621" spans="1:9">
      <c r="A24621" t="s">
        <v>4</v>
      </c>
      <c r="B24621" s="4" t="s">
        <v>5</v>
      </c>
      <c r="C24621" s="4" t="s">
        <v>11</v>
      </c>
    </row>
    <row r="24622" spans="1:9">
      <c r="A24622" t="n">
        <v>237067</v>
      </c>
      <c r="B24622" s="29" t="n">
        <v>16</v>
      </c>
      <c r="C24622" s="7" t="n">
        <v>1800</v>
      </c>
    </row>
    <row r="24623" spans="1:9">
      <c r="A24623" t="s">
        <v>4</v>
      </c>
      <c r="B24623" s="4" t="s">
        <v>5</v>
      </c>
      <c r="C24623" s="4" t="s">
        <v>7</v>
      </c>
      <c r="D24623" s="4" t="s">
        <v>11</v>
      </c>
    </row>
    <row r="24624" spans="1:9">
      <c r="A24624" t="n">
        <v>237070</v>
      </c>
      <c r="B24624" s="51" t="n">
        <v>45</v>
      </c>
      <c r="C24624" s="7" t="n">
        <v>7</v>
      </c>
      <c r="D24624" s="7" t="n">
        <v>255</v>
      </c>
    </row>
    <row r="24625" spans="1:6">
      <c r="A24625" t="s">
        <v>4</v>
      </c>
      <c r="B24625" s="4" t="s">
        <v>5</v>
      </c>
      <c r="C24625" s="4" t="s">
        <v>7</v>
      </c>
      <c r="D24625" s="4" t="s">
        <v>11</v>
      </c>
      <c r="E24625" s="4" t="s">
        <v>13</v>
      </c>
    </row>
    <row r="24626" spans="1:6">
      <c r="A24626" t="n">
        <v>237074</v>
      </c>
      <c r="B24626" s="23" t="n">
        <v>58</v>
      </c>
      <c r="C24626" s="7" t="n">
        <v>0</v>
      </c>
      <c r="D24626" s="7" t="n">
        <v>1000</v>
      </c>
      <c r="E24626" s="7" t="n">
        <v>1</v>
      </c>
    </row>
    <row r="24627" spans="1:6">
      <c r="A24627" t="s">
        <v>4</v>
      </c>
      <c r="B24627" s="4" t="s">
        <v>5</v>
      </c>
      <c r="C24627" s="4" t="s">
        <v>7</v>
      </c>
      <c r="D24627" s="4" t="s">
        <v>11</v>
      </c>
    </row>
    <row r="24628" spans="1:6">
      <c r="A24628" t="n">
        <v>237082</v>
      </c>
      <c r="B24628" s="23" t="n">
        <v>58</v>
      </c>
      <c r="C24628" s="7" t="n">
        <v>255</v>
      </c>
      <c r="D24628" s="7" t="n">
        <v>0</v>
      </c>
    </row>
    <row r="24629" spans="1:6">
      <c r="A24629" t="s">
        <v>4</v>
      </c>
      <c r="B24629" s="4" t="s">
        <v>5</v>
      </c>
      <c r="C24629" s="4" t="s">
        <v>8</v>
      </c>
      <c r="D24629" s="4" t="s">
        <v>8</v>
      </c>
    </row>
    <row r="24630" spans="1:6">
      <c r="A24630" t="n">
        <v>237086</v>
      </c>
      <c r="B24630" s="52" t="n">
        <v>70</v>
      </c>
      <c r="C24630" s="7" t="s">
        <v>24</v>
      </c>
      <c r="D24630" s="7" t="s">
        <v>118</v>
      </c>
    </row>
    <row r="24631" spans="1:6">
      <c r="A24631" t="s">
        <v>4</v>
      </c>
      <c r="B24631" s="4" t="s">
        <v>5</v>
      </c>
      <c r="C24631" s="4" t="s">
        <v>11</v>
      </c>
      <c r="D24631" s="4" t="s">
        <v>13</v>
      </c>
      <c r="E24631" s="4" t="s">
        <v>13</v>
      </c>
      <c r="F24631" s="4" t="s">
        <v>13</v>
      </c>
      <c r="G24631" s="4" t="s">
        <v>13</v>
      </c>
    </row>
    <row r="24632" spans="1:6">
      <c r="A24632" t="n">
        <v>237102</v>
      </c>
      <c r="B24632" s="36" t="n">
        <v>46</v>
      </c>
      <c r="C24632" s="7" t="n">
        <v>0</v>
      </c>
      <c r="D24632" s="7" t="n">
        <v>-10.9899997711182</v>
      </c>
      <c r="E24632" s="7" t="n">
        <v>5.01000022888184</v>
      </c>
      <c r="F24632" s="7" t="n">
        <v>32.4300003051758</v>
      </c>
      <c r="G24632" s="7" t="n">
        <v>270</v>
      </c>
    </row>
    <row r="24633" spans="1:6">
      <c r="A24633" t="s">
        <v>4</v>
      </c>
      <c r="B24633" s="4" t="s">
        <v>5</v>
      </c>
      <c r="C24633" s="4" t="s">
        <v>11</v>
      </c>
      <c r="D24633" s="4" t="s">
        <v>13</v>
      </c>
      <c r="E24633" s="4" t="s">
        <v>13</v>
      </c>
      <c r="F24633" s="4" t="s">
        <v>13</v>
      </c>
      <c r="G24633" s="4" t="s">
        <v>13</v>
      </c>
    </row>
    <row r="24634" spans="1:6">
      <c r="A24634" t="n">
        <v>237121</v>
      </c>
      <c r="B24634" s="36" t="n">
        <v>46</v>
      </c>
      <c r="C24634" s="7" t="n">
        <v>3</v>
      </c>
      <c r="D24634" s="7" t="n">
        <v>-10.5500001907349</v>
      </c>
      <c r="E24634" s="7" t="n">
        <v>5.01000022888184</v>
      </c>
      <c r="F24634" s="7" t="n">
        <v>31.5499992370605</v>
      </c>
      <c r="G24634" s="7" t="n">
        <v>270</v>
      </c>
    </row>
    <row r="24635" spans="1:6">
      <c r="A24635" t="s">
        <v>4</v>
      </c>
      <c r="B24635" s="4" t="s">
        <v>5</v>
      </c>
      <c r="C24635" s="4" t="s">
        <v>7</v>
      </c>
      <c r="D24635" s="4" t="s">
        <v>7</v>
      </c>
      <c r="E24635" s="4" t="s">
        <v>13</v>
      </c>
      <c r="F24635" s="4" t="s">
        <v>13</v>
      </c>
      <c r="G24635" s="4" t="s">
        <v>13</v>
      </c>
      <c r="H24635" s="4" t="s">
        <v>11</v>
      </c>
    </row>
    <row r="24636" spans="1:6">
      <c r="A24636" t="n">
        <v>237140</v>
      </c>
      <c r="B24636" s="51" t="n">
        <v>45</v>
      </c>
      <c r="C24636" s="7" t="n">
        <v>2</v>
      </c>
      <c r="D24636" s="7" t="n">
        <v>3</v>
      </c>
      <c r="E24636" s="7" t="n">
        <v>-14.1199998855591</v>
      </c>
      <c r="F24636" s="7" t="n">
        <v>6.75</v>
      </c>
      <c r="G24636" s="7" t="n">
        <v>31.9300003051758</v>
      </c>
      <c r="H24636" s="7" t="n">
        <v>0</v>
      </c>
    </row>
    <row r="24637" spans="1:6">
      <c r="A24637" t="s">
        <v>4</v>
      </c>
      <c r="B24637" s="4" t="s">
        <v>5</v>
      </c>
      <c r="C24637" s="4" t="s">
        <v>7</v>
      </c>
      <c r="D24637" s="4" t="s">
        <v>7</v>
      </c>
      <c r="E24637" s="4" t="s">
        <v>13</v>
      </c>
      <c r="F24637" s="4" t="s">
        <v>13</v>
      </c>
      <c r="G24637" s="4" t="s">
        <v>13</v>
      </c>
      <c r="H24637" s="4" t="s">
        <v>11</v>
      </c>
      <c r="I24637" s="4" t="s">
        <v>7</v>
      </c>
    </row>
    <row r="24638" spans="1:6">
      <c r="A24638" t="n">
        <v>237157</v>
      </c>
      <c r="B24638" s="51" t="n">
        <v>45</v>
      </c>
      <c r="C24638" s="7" t="n">
        <v>4</v>
      </c>
      <c r="D24638" s="7" t="n">
        <v>3</v>
      </c>
      <c r="E24638" s="7" t="n">
        <v>7.63000011444092</v>
      </c>
      <c r="F24638" s="7" t="n">
        <v>90</v>
      </c>
      <c r="G24638" s="7" t="n">
        <v>0</v>
      </c>
      <c r="H24638" s="7" t="n">
        <v>0</v>
      </c>
      <c r="I24638" s="7" t="n">
        <v>0</v>
      </c>
    </row>
    <row r="24639" spans="1:6">
      <c r="A24639" t="s">
        <v>4</v>
      </c>
      <c r="B24639" s="4" t="s">
        <v>5</v>
      </c>
      <c r="C24639" s="4" t="s">
        <v>7</v>
      </c>
      <c r="D24639" s="4" t="s">
        <v>7</v>
      </c>
      <c r="E24639" s="4" t="s">
        <v>13</v>
      </c>
      <c r="F24639" s="4" t="s">
        <v>11</v>
      </c>
    </row>
    <row r="24640" spans="1:6">
      <c r="A24640" t="n">
        <v>237175</v>
      </c>
      <c r="B24640" s="51" t="n">
        <v>45</v>
      </c>
      <c r="C24640" s="7" t="n">
        <v>5</v>
      </c>
      <c r="D24640" s="7" t="n">
        <v>3</v>
      </c>
      <c r="E24640" s="7" t="n">
        <v>2.09999990463257</v>
      </c>
      <c r="F24640" s="7" t="n">
        <v>0</v>
      </c>
    </row>
    <row r="24641" spans="1:9">
      <c r="A24641" t="s">
        <v>4</v>
      </c>
      <c r="B24641" s="4" t="s">
        <v>5</v>
      </c>
      <c r="C24641" s="4" t="s">
        <v>7</v>
      </c>
      <c r="D24641" s="4" t="s">
        <v>7</v>
      </c>
      <c r="E24641" s="4" t="s">
        <v>13</v>
      </c>
      <c r="F24641" s="4" t="s">
        <v>11</v>
      </c>
    </row>
    <row r="24642" spans="1:9">
      <c r="A24642" t="n">
        <v>237184</v>
      </c>
      <c r="B24642" s="51" t="n">
        <v>45</v>
      </c>
      <c r="C24642" s="7" t="n">
        <v>11</v>
      </c>
      <c r="D24642" s="7" t="n">
        <v>3</v>
      </c>
      <c r="E24642" s="7" t="n">
        <v>40.2999992370605</v>
      </c>
      <c r="F24642" s="7" t="n">
        <v>0</v>
      </c>
    </row>
    <row r="24643" spans="1:9">
      <c r="A24643" t="s">
        <v>4</v>
      </c>
      <c r="B24643" s="4" t="s">
        <v>5</v>
      </c>
      <c r="C24643" s="4" t="s">
        <v>7</v>
      </c>
      <c r="D24643" s="4" t="s">
        <v>7</v>
      </c>
      <c r="E24643" s="4" t="s">
        <v>13</v>
      </c>
      <c r="F24643" s="4" t="s">
        <v>13</v>
      </c>
      <c r="G24643" s="4" t="s">
        <v>13</v>
      </c>
      <c r="H24643" s="4" t="s">
        <v>11</v>
      </c>
    </row>
    <row r="24644" spans="1:9">
      <c r="A24644" t="n">
        <v>237193</v>
      </c>
      <c r="B24644" s="51" t="n">
        <v>45</v>
      </c>
      <c r="C24644" s="7" t="n">
        <v>2</v>
      </c>
      <c r="D24644" s="7" t="n">
        <v>3</v>
      </c>
      <c r="E24644" s="7" t="n">
        <v>-9.10000038146973</v>
      </c>
      <c r="F24644" s="7" t="n">
        <v>6.75</v>
      </c>
      <c r="G24644" s="7" t="n">
        <v>31.9699993133545</v>
      </c>
      <c r="H24644" s="7" t="n">
        <v>6000</v>
      </c>
    </row>
    <row r="24645" spans="1:9">
      <c r="A24645" t="s">
        <v>4</v>
      </c>
      <c r="B24645" s="4" t="s">
        <v>5</v>
      </c>
      <c r="C24645" s="4" t="s">
        <v>7</v>
      </c>
      <c r="D24645" s="4" t="s">
        <v>7</v>
      </c>
      <c r="E24645" s="4" t="s">
        <v>13</v>
      </c>
      <c r="F24645" s="4" t="s">
        <v>13</v>
      </c>
      <c r="G24645" s="4" t="s">
        <v>13</v>
      </c>
      <c r="H24645" s="4" t="s">
        <v>11</v>
      </c>
      <c r="I24645" s="4" t="s">
        <v>7</v>
      </c>
    </row>
    <row r="24646" spans="1:9">
      <c r="A24646" t="n">
        <v>237210</v>
      </c>
      <c r="B24646" s="51" t="n">
        <v>45</v>
      </c>
      <c r="C24646" s="7" t="n">
        <v>4</v>
      </c>
      <c r="D24646" s="7" t="n">
        <v>3</v>
      </c>
      <c r="E24646" s="7" t="n">
        <v>0.0299999993294477</v>
      </c>
      <c r="F24646" s="7" t="n">
        <v>90</v>
      </c>
      <c r="G24646" s="7" t="n">
        <v>0</v>
      </c>
      <c r="H24646" s="7" t="n">
        <v>6000</v>
      </c>
      <c r="I24646" s="7" t="n">
        <v>0</v>
      </c>
    </row>
    <row r="24647" spans="1:9">
      <c r="A24647" t="s">
        <v>4</v>
      </c>
      <c r="B24647" s="4" t="s">
        <v>5</v>
      </c>
      <c r="C24647" s="4" t="s">
        <v>7</v>
      </c>
      <c r="D24647" s="4" t="s">
        <v>7</v>
      </c>
      <c r="E24647" s="4" t="s">
        <v>13</v>
      </c>
      <c r="F24647" s="4" t="s">
        <v>11</v>
      </c>
    </row>
    <row r="24648" spans="1:9">
      <c r="A24648" t="n">
        <v>237228</v>
      </c>
      <c r="B24648" s="51" t="n">
        <v>45</v>
      </c>
      <c r="C24648" s="7" t="n">
        <v>5</v>
      </c>
      <c r="D24648" s="7" t="n">
        <v>3</v>
      </c>
      <c r="E24648" s="7" t="n">
        <v>1.79999995231628</v>
      </c>
      <c r="F24648" s="7" t="n">
        <v>6000</v>
      </c>
    </row>
    <row r="24649" spans="1:9">
      <c r="A24649" t="s">
        <v>4</v>
      </c>
      <c r="B24649" s="4" t="s">
        <v>5</v>
      </c>
      <c r="C24649" s="4" t="s">
        <v>8</v>
      </c>
      <c r="D24649" s="4" t="s">
        <v>8</v>
      </c>
    </row>
    <row r="24650" spans="1:9">
      <c r="A24650" t="n">
        <v>237237</v>
      </c>
      <c r="B24650" s="52" t="n">
        <v>70</v>
      </c>
      <c r="C24650" s="7" t="s">
        <v>25</v>
      </c>
      <c r="D24650" s="7" t="s">
        <v>109</v>
      </c>
    </row>
    <row r="24651" spans="1:9">
      <c r="A24651" t="s">
        <v>4</v>
      </c>
      <c r="B24651" s="4" t="s">
        <v>5</v>
      </c>
      <c r="C24651" s="4" t="s">
        <v>7</v>
      </c>
      <c r="D24651" s="4" t="s">
        <v>11</v>
      </c>
      <c r="E24651" s="4" t="s">
        <v>13</v>
      </c>
    </row>
    <row r="24652" spans="1:9">
      <c r="A24652" t="n">
        <v>237254</v>
      </c>
      <c r="B24652" s="23" t="n">
        <v>58</v>
      </c>
      <c r="C24652" s="7" t="n">
        <v>100</v>
      </c>
      <c r="D24652" s="7" t="n">
        <v>1000</v>
      </c>
      <c r="E24652" s="7" t="n">
        <v>1</v>
      </c>
    </row>
    <row r="24653" spans="1:9">
      <c r="A24653" t="s">
        <v>4</v>
      </c>
      <c r="B24653" s="4" t="s">
        <v>5</v>
      </c>
      <c r="C24653" s="4" t="s">
        <v>7</v>
      </c>
      <c r="D24653" s="4" t="s">
        <v>11</v>
      </c>
    </row>
    <row r="24654" spans="1:9">
      <c r="A24654" t="n">
        <v>237262</v>
      </c>
      <c r="B24654" s="23" t="n">
        <v>58</v>
      </c>
      <c r="C24654" s="7" t="n">
        <v>255</v>
      </c>
      <c r="D24654" s="7" t="n">
        <v>0</v>
      </c>
    </row>
    <row r="24655" spans="1:9">
      <c r="A24655" t="s">
        <v>4</v>
      </c>
      <c r="B24655" s="4" t="s">
        <v>5</v>
      </c>
      <c r="C24655" s="4" t="s">
        <v>7</v>
      </c>
      <c r="D24655" s="4" t="s">
        <v>8</v>
      </c>
      <c r="E24655" s="4" t="s">
        <v>11</v>
      </c>
    </row>
    <row r="24656" spans="1:9">
      <c r="A24656" t="n">
        <v>237266</v>
      </c>
      <c r="B24656" s="15" t="n">
        <v>94</v>
      </c>
      <c r="C24656" s="7" t="n">
        <v>1</v>
      </c>
      <c r="D24656" s="7" t="s">
        <v>25</v>
      </c>
      <c r="E24656" s="7" t="n">
        <v>512</v>
      </c>
    </row>
    <row r="24657" spans="1:9">
      <c r="A24657" t="s">
        <v>4</v>
      </c>
      <c r="B24657" s="4" t="s">
        <v>5</v>
      </c>
      <c r="C24657" s="4" t="s">
        <v>11</v>
      </c>
    </row>
    <row r="24658" spans="1:9">
      <c r="A24658" t="n">
        <v>237280</v>
      </c>
      <c r="B24658" s="29" t="n">
        <v>16</v>
      </c>
      <c r="C24658" s="7" t="n">
        <v>4000</v>
      </c>
    </row>
    <row r="24659" spans="1:9">
      <c r="A24659" t="s">
        <v>4</v>
      </c>
      <c r="B24659" s="4" t="s">
        <v>5</v>
      </c>
      <c r="C24659" s="4" t="s">
        <v>11</v>
      </c>
      <c r="D24659" s="4" t="s">
        <v>7</v>
      </c>
      <c r="E24659" s="4" t="s">
        <v>13</v>
      </c>
      <c r="F24659" s="4" t="s">
        <v>11</v>
      </c>
    </row>
    <row r="24660" spans="1:9">
      <c r="A24660" t="n">
        <v>237283</v>
      </c>
      <c r="B24660" s="56" t="n">
        <v>59</v>
      </c>
      <c r="C24660" s="7" t="n">
        <v>0</v>
      </c>
      <c r="D24660" s="7" t="n">
        <v>9</v>
      </c>
      <c r="E24660" s="7" t="n">
        <v>0.150000005960464</v>
      </c>
      <c r="F24660" s="7" t="n">
        <v>0</v>
      </c>
    </row>
    <row r="24661" spans="1:9">
      <c r="A24661" t="s">
        <v>4</v>
      </c>
      <c r="B24661" s="4" t="s">
        <v>5</v>
      </c>
      <c r="C24661" s="4" t="s">
        <v>11</v>
      </c>
      <c r="D24661" s="4" t="s">
        <v>7</v>
      </c>
      <c r="E24661" s="4" t="s">
        <v>13</v>
      </c>
      <c r="F24661" s="4" t="s">
        <v>11</v>
      </c>
    </row>
    <row r="24662" spans="1:9">
      <c r="A24662" t="n">
        <v>237293</v>
      </c>
      <c r="B24662" s="56" t="n">
        <v>59</v>
      </c>
      <c r="C24662" s="7" t="n">
        <v>3</v>
      </c>
      <c r="D24662" s="7" t="n">
        <v>9</v>
      </c>
      <c r="E24662" s="7" t="n">
        <v>0.150000005960464</v>
      </c>
      <c r="F24662" s="7" t="n">
        <v>0</v>
      </c>
    </row>
    <row r="24663" spans="1:9">
      <c r="A24663" t="s">
        <v>4</v>
      </c>
      <c r="B24663" s="4" t="s">
        <v>5</v>
      </c>
      <c r="C24663" s="4" t="s">
        <v>11</v>
      </c>
    </row>
    <row r="24664" spans="1:9">
      <c r="A24664" t="n">
        <v>237303</v>
      </c>
      <c r="B24664" s="29" t="n">
        <v>16</v>
      </c>
      <c r="C24664" s="7" t="n">
        <v>1500</v>
      </c>
    </row>
    <row r="24665" spans="1:9">
      <c r="A24665" t="s">
        <v>4</v>
      </c>
      <c r="B24665" s="4" t="s">
        <v>5</v>
      </c>
      <c r="C24665" s="4" t="s">
        <v>7</v>
      </c>
      <c r="D24665" s="4" t="s">
        <v>11</v>
      </c>
    </row>
    <row r="24666" spans="1:9">
      <c r="A24666" t="n">
        <v>237306</v>
      </c>
      <c r="B24666" s="51" t="n">
        <v>45</v>
      </c>
      <c r="C24666" s="7" t="n">
        <v>7</v>
      </c>
      <c r="D24666" s="7" t="n">
        <v>255</v>
      </c>
    </row>
    <row r="24667" spans="1:9">
      <c r="A24667" t="s">
        <v>4</v>
      </c>
      <c r="B24667" s="4" t="s">
        <v>5</v>
      </c>
      <c r="C24667" s="4" t="s">
        <v>7</v>
      </c>
      <c r="D24667" s="4" t="s">
        <v>11</v>
      </c>
      <c r="E24667" s="4" t="s">
        <v>13</v>
      </c>
    </row>
    <row r="24668" spans="1:9">
      <c r="A24668" t="n">
        <v>237310</v>
      </c>
      <c r="B24668" s="23" t="n">
        <v>58</v>
      </c>
      <c r="C24668" s="7" t="n">
        <v>0</v>
      </c>
      <c r="D24668" s="7" t="n">
        <v>2000</v>
      </c>
      <c r="E24668" s="7" t="n">
        <v>1</v>
      </c>
    </row>
    <row r="24669" spans="1:9">
      <c r="A24669" t="s">
        <v>4</v>
      </c>
      <c r="B24669" s="4" t="s">
        <v>5</v>
      </c>
      <c r="C24669" s="4" t="s">
        <v>7</v>
      </c>
      <c r="D24669" s="4" t="s">
        <v>11</v>
      </c>
    </row>
    <row r="24670" spans="1:9">
      <c r="A24670" t="n">
        <v>237318</v>
      </c>
      <c r="B24670" s="23" t="n">
        <v>58</v>
      </c>
      <c r="C24670" s="7" t="n">
        <v>255</v>
      </c>
      <c r="D24670" s="7" t="n">
        <v>0</v>
      </c>
    </row>
    <row r="24671" spans="1:9">
      <c r="A24671" t="s">
        <v>4</v>
      </c>
      <c r="B24671" s="4" t="s">
        <v>5</v>
      </c>
      <c r="C24671" s="4" t="s">
        <v>7</v>
      </c>
      <c r="D24671" s="4" t="s">
        <v>7</v>
      </c>
      <c r="E24671" s="4" t="s">
        <v>13</v>
      </c>
      <c r="F24671" s="4" t="s">
        <v>13</v>
      </c>
      <c r="G24671" s="4" t="s">
        <v>13</v>
      </c>
      <c r="H24671" s="4" t="s">
        <v>11</v>
      </c>
    </row>
    <row r="24672" spans="1:9">
      <c r="A24672" t="n">
        <v>237322</v>
      </c>
      <c r="B24672" s="51" t="n">
        <v>45</v>
      </c>
      <c r="C24672" s="7" t="n">
        <v>2</v>
      </c>
      <c r="D24672" s="7" t="n">
        <v>3</v>
      </c>
      <c r="E24672" s="7" t="n">
        <v>-7.84000015258789</v>
      </c>
      <c r="F24672" s="7" t="n">
        <v>7.17000007629395</v>
      </c>
      <c r="G24672" s="7" t="n">
        <v>31.6599998474121</v>
      </c>
      <c r="H24672" s="7" t="n">
        <v>0</v>
      </c>
    </row>
    <row r="24673" spans="1:8">
      <c r="A24673" t="s">
        <v>4</v>
      </c>
      <c r="B24673" s="4" t="s">
        <v>5</v>
      </c>
      <c r="C24673" s="4" t="s">
        <v>7</v>
      </c>
      <c r="D24673" s="4" t="s">
        <v>7</v>
      </c>
      <c r="E24673" s="4" t="s">
        <v>13</v>
      </c>
      <c r="F24673" s="4" t="s">
        <v>13</v>
      </c>
      <c r="G24673" s="4" t="s">
        <v>13</v>
      </c>
      <c r="H24673" s="4" t="s">
        <v>11</v>
      </c>
      <c r="I24673" s="4" t="s">
        <v>7</v>
      </c>
    </row>
    <row r="24674" spans="1:8">
      <c r="A24674" t="n">
        <v>237339</v>
      </c>
      <c r="B24674" s="51" t="n">
        <v>45</v>
      </c>
      <c r="C24674" s="7" t="n">
        <v>4</v>
      </c>
      <c r="D24674" s="7" t="n">
        <v>3</v>
      </c>
      <c r="E24674" s="7" t="n">
        <v>9.01000022888184</v>
      </c>
      <c r="F24674" s="7" t="n">
        <v>55.7900009155273</v>
      </c>
      <c r="G24674" s="7" t="n">
        <v>0</v>
      </c>
      <c r="H24674" s="7" t="n">
        <v>0</v>
      </c>
      <c r="I24674" s="7" t="n">
        <v>0</v>
      </c>
    </row>
    <row r="24675" spans="1:8">
      <c r="A24675" t="s">
        <v>4</v>
      </c>
      <c r="B24675" s="4" t="s">
        <v>5</v>
      </c>
      <c r="C24675" s="4" t="s">
        <v>7</v>
      </c>
      <c r="D24675" s="4" t="s">
        <v>7</v>
      </c>
      <c r="E24675" s="4" t="s">
        <v>13</v>
      </c>
      <c r="F24675" s="4" t="s">
        <v>11</v>
      </c>
    </row>
    <row r="24676" spans="1:8">
      <c r="A24676" t="n">
        <v>237357</v>
      </c>
      <c r="B24676" s="51" t="n">
        <v>45</v>
      </c>
      <c r="C24676" s="7" t="n">
        <v>5</v>
      </c>
      <c r="D24676" s="7" t="n">
        <v>3</v>
      </c>
      <c r="E24676" s="7" t="n">
        <v>2.40000009536743</v>
      </c>
      <c r="F24676" s="7" t="n">
        <v>0</v>
      </c>
    </row>
    <row r="24677" spans="1:8">
      <c r="A24677" t="s">
        <v>4</v>
      </c>
      <c r="B24677" s="4" t="s">
        <v>5</v>
      </c>
      <c r="C24677" s="4" t="s">
        <v>7</v>
      </c>
      <c r="D24677" s="4" t="s">
        <v>7</v>
      </c>
      <c r="E24677" s="4" t="s">
        <v>13</v>
      </c>
      <c r="F24677" s="4" t="s">
        <v>11</v>
      </c>
    </row>
    <row r="24678" spans="1:8">
      <c r="A24678" t="n">
        <v>237366</v>
      </c>
      <c r="B24678" s="51" t="n">
        <v>45</v>
      </c>
      <c r="C24678" s="7" t="n">
        <v>11</v>
      </c>
      <c r="D24678" s="7" t="n">
        <v>3</v>
      </c>
      <c r="E24678" s="7" t="n">
        <v>40.2999992370605</v>
      </c>
      <c r="F24678" s="7" t="n">
        <v>0</v>
      </c>
    </row>
    <row r="24679" spans="1:8">
      <c r="A24679" t="s">
        <v>4</v>
      </c>
      <c r="B24679" s="4" t="s">
        <v>5</v>
      </c>
      <c r="C24679" s="4" t="s">
        <v>7</v>
      </c>
      <c r="D24679" s="4" t="s">
        <v>7</v>
      </c>
      <c r="E24679" s="4" t="s">
        <v>13</v>
      </c>
      <c r="F24679" s="4" t="s">
        <v>13</v>
      </c>
      <c r="G24679" s="4" t="s">
        <v>13</v>
      </c>
      <c r="H24679" s="4" t="s">
        <v>11</v>
      </c>
    </row>
    <row r="24680" spans="1:8">
      <c r="A24680" t="n">
        <v>237375</v>
      </c>
      <c r="B24680" s="51" t="n">
        <v>45</v>
      </c>
      <c r="C24680" s="7" t="n">
        <v>2</v>
      </c>
      <c r="D24680" s="7" t="n">
        <v>3</v>
      </c>
      <c r="E24680" s="7" t="n">
        <v>-6.8899998664856</v>
      </c>
      <c r="F24680" s="7" t="n">
        <v>6.26999998092651</v>
      </c>
      <c r="G24680" s="7" t="n">
        <v>30.0599994659424</v>
      </c>
      <c r="H24680" s="7" t="n">
        <v>6000</v>
      </c>
    </row>
    <row r="24681" spans="1:8">
      <c r="A24681" t="s">
        <v>4</v>
      </c>
      <c r="B24681" s="4" t="s">
        <v>5</v>
      </c>
      <c r="C24681" s="4" t="s">
        <v>7</v>
      </c>
      <c r="D24681" s="4" t="s">
        <v>7</v>
      </c>
      <c r="E24681" s="4" t="s">
        <v>13</v>
      </c>
      <c r="F24681" s="4" t="s">
        <v>13</v>
      </c>
      <c r="G24681" s="4" t="s">
        <v>13</v>
      </c>
      <c r="H24681" s="4" t="s">
        <v>11</v>
      </c>
      <c r="I24681" s="4" t="s">
        <v>7</v>
      </c>
    </row>
    <row r="24682" spans="1:8">
      <c r="A24682" t="n">
        <v>237392</v>
      </c>
      <c r="B24682" s="51" t="n">
        <v>45</v>
      </c>
      <c r="C24682" s="7" t="n">
        <v>4</v>
      </c>
      <c r="D24682" s="7" t="n">
        <v>3</v>
      </c>
      <c r="E24682" s="7" t="n">
        <v>6.73999977111816</v>
      </c>
      <c r="F24682" s="7" t="n">
        <v>13.6199998855591</v>
      </c>
      <c r="G24682" s="7" t="n">
        <v>0</v>
      </c>
      <c r="H24682" s="7" t="n">
        <v>6000</v>
      </c>
      <c r="I24682" s="7" t="n">
        <v>1</v>
      </c>
    </row>
    <row r="24683" spans="1:8">
      <c r="A24683" t="s">
        <v>4</v>
      </c>
      <c r="B24683" s="4" t="s">
        <v>5</v>
      </c>
      <c r="C24683" s="4" t="s">
        <v>11</v>
      </c>
      <c r="D24683" s="4" t="s">
        <v>13</v>
      </c>
      <c r="E24683" s="4" t="s">
        <v>13</v>
      </c>
      <c r="F24683" s="4" t="s">
        <v>13</v>
      </c>
      <c r="G24683" s="4" t="s">
        <v>13</v>
      </c>
    </row>
    <row r="24684" spans="1:8">
      <c r="A24684" t="n">
        <v>237410</v>
      </c>
      <c r="B24684" s="36" t="n">
        <v>46</v>
      </c>
      <c r="C24684" s="7" t="n">
        <v>0</v>
      </c>
      <c r="D24684" s="7" t="n">
        <v>-6.51000022888184</v>
      </c>
      <c r="E24684" s="7" t="n">
        <v>5</v>
      </c>
      <c r="F24684" s="7" t="n">
        <v>29.8999996185303</v>
      </c>
      <c r="G24684" s="7" t="n">
        <v>208</v>
      </c>
    </row>
    <row r="24685" spans="1:8">
      <c r="A24685" t="s">
        <v>4</v>
      </c>
      <c r="B24685" s="4" t="s">
        <v>5</v>
      </c>
      <c r="C24685" s="4" t="s">
        <v>11</v>
      </c>
      <c r="D24685" s="4" t="s">
        <v>13</v>
      </c>
      <c r="E24685" s="4" t="s">
        <v>13</v>
      </c>
      <c r="F24685" s="4" t="s">
        <v>13</v>
      </c>
      <c r="G24685" s="4" t="s">
        <v>13</v>
      </c>
    </row>
    <row r="24686" spans="1:8">
      <c r="A24686" t="n">
        <v>237429</v>
      </c>
      <c r="B24686" s="36" t="n">
        <v>46</v>
      </c>
      <c r="C24686" s="7" t="n">
        <v>3</v>
      </c>
      <c r="D24686" s="7" t="n">
        <v>-7.44999980926514</v>
      </c>
      <c r="E24686" s="7" t="n">
        <v>5</v>
      </c>
      <c r="F24686" s="7" t="n">
        <v>29.7999992370605</v>
      </c>
      <c r="G24686" s="7" t="n">
        <v>151.199996948242</v>
      </c>
    </row>
    <row r="24687" spans="1:8">
      <c r="A24687" t="s">
        <v>4</v>
      </c>
      <c r="B24687" s="4" t="s">
        <v>5</v>
      </c>
      <c r="C24687" s="4" t="s">
        <v>8</v>
      </c>
      <c r="D24687" s="4" t="s">
        <v>8</v>
      </c>
    </row>
    <row r="24688" spans="1:8">
      <c r="A24688" t="n">
        <v>237448</v>
      </c>
      <c r="B24688" s="52" t="n">
        <v>70</v>
      </c>
      <c r="C24688" s="7" t="s">
        <v>25</v>
      </c>
      <c r="D24688" s="7" t="s">
        <v>118</v>
      </c>
    </row>
    <row r="24689" spans="1:9">
      <c r="A24689" t="s">
        <v>4</v>
      </c>
      <c r="B24689" s="4" t="s">
        <v>5</v>
      </c>
      <c r="C24689" s="4" t="s">
        <v>7</v>
      </c>
      <c r="D24689" s="4" t="s">
        <v>11</v>
      </c>
      <c r="E24689" s="4" t="s">
        <v>13</v>
      </c>
    </row>
    <row r="24690" spans="1:9">
      <c r="A24690" t="n">
        <v>237464</v>
      </c>
      <c r="B24690" s="23" t="n">
        <v>58</v>
      </c>
      <c r="C24690" s="7" t="n">
        <v>100</v>
      </c>
      <c r="D24690" s="7" t="n">
        <v>1000</v>
      </c>
      <c r="E24690" s="7" t="n">
        <v>1</v>
      </c>
    </row>
    <row r="24691" spans="1:9">
      <c r="A24691" t="s">
        <v>4</v>
      </c>
      <c r="B24691" s="4" t="s">
        <v>5</v>
      </c>
      <c r="C24691" s="4" t="s">
        <v>7</v>
      </c>
      <c r="D24691" s="4" t="s">
        <v>11</v>
      </c>
    </row>
    <row r="24692" spans="1:9">
      <c r="A24692" t="n">
        <v>237472</v>
      </c>
      <c r="B24692" s="23" t="n">
        <v>58</v>
      </c>
      <c r="C24692" s="7" t="n">
        <v>255</v>
      </c>
      <c r="D24692" s="7" t="n">
        <v>0</v>
      </c>
    </row>
    <row r="24693" spans="1:9">
      <c r="A24693" t="s">
        <v>4</v>
      </c>
      <c r="B24693" s="4" t="s">
        <v>5</v>
      </c>
      <c r="C24693" s="4" t="s">
        <v>11</v>
      </c>
    </row>
    <row r="24694" spans="1:9">
      <c r="A24694" t="n">
        <v>237476</v>
      </c>
      <c r="B24694" s="29" t="n">
        <v>16</v>
      </c>
      <c r="C24694" s="7" t="n">
        <v>1000</v>
      </c>
    </row>
    <row r="24695" spans="1:9">
      <c r="A24695" t="s">
        <v>4</v>
      </c>
      <c r="B24695" s="4" t="s">
        <v>5</v>
      </c>
      <c r="C24695" s="4" t="s">
        <v>7</v>
      </c>
      <c r="D24695" s="4" t="s">
        <v>11</v>
      </c>
    </row>
    <row r="24696" spans="1:9">
      <c r="A24696" t="n">
        <v>237479</v>
      </c>
      <c r="B24696" s="51" t="n">
        <v>45</v>
      </c>
      <c r="C24696" s="7" t="n">
        <v>7</v>
      </c>
      <c r="D24696" s="7" t="n">
        <v>255</v>
      </c>
    </row>
    <row r="24697" spans="1:9">
      <c r="A24697" t="s">
        <v>4</v>
      </c>
      <c r="B24697" s="4" t="s">
        <v>5</v>
      </c>
      <c r="C24697" s="4" t="s">
        <v>7</v>
      </c>
      <c r="D24697" s="4" t="s">
        <v>11</v>
      </c>
      <c r="E24697" s="4" t="s">
        <v>13</v>
      </c>
    </row>
    <row r="24698" spans="1:9">
      <c r="A24698" t="n">
        <v>237483</v>
      </c>
      <c r="B24698" s="23" t="n">
        <v>58</v>
      </c>
      <c r="C24698" s="7" t="n">
        <v>101</v>
      </c>
      <c r="D24698" s="7" t="n">
        <v>500</v>
      </c>
      <c r="E24698" s="7" t="n">
        <v>1</v>
      </c>
    </row>
    <row r="24699" spans="1:9">
      <c r="A24699" t="s">
        <v>4</v>
      </c>
      <c r="B24699" s="4" t="s">
        <v>5</v>
      </c>
      <c r="C24699" s="4" t="s">
        <v>7</v>
      </c>
      <c r="D24699" s="4" t="s">
        <v>11</v>
      </c>
    </row>
    <row r="24700" spans="1:9">
      <c r="A24700" t="n">
        <v>237491</v>
      </c>
      <c r="B24700" s="23" t="n">
        <v>58</v>
      </c>
      <c r="C24700" s="7" t="n">
        <v>254</v>
      </c>
      <c r="D24700" s="7" t="n">
        <v>0</v>
      </c>
    </row>
    <row r="24701" spans="1:9">
      <c r="A24701" t="s">
        <v>4</v>
      </c>
      <c r="B24701" s="4" t="s">
        <v>5</v>
      </c>
      <c r="C24701" s="4" t="s">
        <v>7</v>
      </c>
      <c r="D24701" s="4" t="s">
        <v>11</v>
      </c>
      <c r="E24701" s="4" t="s">
        <v>8</v>
      </c>
      <c r="F24701" s="4" t="s">
        <v>8</v>
      </c>
      <c r="G24701" s="4" t="s">
        <v>8</v>
      </c>
      <c r="H24701" s="4" t="s">
        <v>8</v>
      </c>
    </row>
    <row r="24702" spans="1:9">
      <c r="A24702" t="n">
        <v>237495</v>
      </c>
      <c r="B24702" s="38" t="n">
        <v>51</v>
      </c>
      <c r="C24702" s="7" t="n">
        <v>3</v>
      </c>
      <c r="D24702" s="7" t="n">
        <v>3</v>
      </c>
      <c r="E24702" s="7" t="s">
        <v>79</v>
      </c>
      <c r="F24702" s="7" t="s">
        <v>79</v>
      </c>
      <c r="G24702" s="7" t="s">
        <v>78</v>
      </c>
      <c r="H24702" s="7" t="s">
        <v>79</v>
      </c>
    </row>
    <row r="24703" spans="1:9">
      <c r="A24703" t="s">
        <v>4</v>
      </c>
      <c r="B24703" s="4" t="s">
        <v>5</v>
      </c>
      <c r="C24703" s="4" t="s">
        <v>7</v>
      </c>
      <c r="D24703" s="4" t="s">
        <v>11</v>
      </c>
      <c r="E24703" s="4" t="s">
        <v>11</v>
      </c>
      <c r="F24703" s="4" t="s">
        <v>15</v>
      </c>
      <c r="G24703" s="4" t="s">
        <v>15</v>
      </c>
      <c r="H24703" s="4" t="s">
        <v>15</v>
      </c>
    </row>
    <row r="24704" spans="1:9">
      <c r="A24704" t="n">
        <v>237508</v>
      </c>
      <c r="B24704" s="77" t="n">
        <v>97</v>
      </c>
      <c r="C24704" s="7" t="n">
        <v>6</v>
      </c>
      <c r="D24704" s="7" t="n">
        <v>0</v>
      </c>
      <c r="E24704" s="7" t="n">
        <v>0</v>
      </c>
      <c r="F24704" s="7" t="n">
        <v>-1065143501</v>
      </c>
      <c r="G24704" s="7" t="n">
        <v>1101004800</v>
      </c>
      <c r="H24704" s="7" t="n">
        <v>1101004800</v>
      </c>
    </row>
    <row r="24705" spans="1:8">
      <c r="A24705" t="s">
        <v>4</v>
      </c>
      <c r="B24705" s="4" t="s">
        <v>5</v>
      </c>
      <c r="C24705" s="4" t="s">
        <v>7</v>
      </c>
      <c r="D24705" s="4" t="s">
        <v>7</v>
      </c>
      <c r="E24705" s="4" t="s">
        <v>13</v>
      </c>
      <c r="F24705" s="4" t="s">
        <v>13</v>
      </c>
      <c r="G24705" s="4" t="s">
        <v>13</v>
      </c>
      <c r="H24705" s="4" t="s">
        <v>11</v>
      </c>
    </row>
    <row r="24706" spans="1:8">
      <c r="A24706" t="n">
        <v>237526</v>
      </c>
      <c r="B24706" s="51" t="n">
        <v>45</v>
      </c>
      <c r="C24706" s="7" t="n">
        <v>2</v>
      </c>
      <c r="D24706" s="7" t="n">
        <v>3</v>
      </c>
      <c r="E24706" s="7" t="n">
        <v>-6.86999988555908</v>
      </c>
      <c r="F24706" s="7" t="n">
        <v>6.42999982833862</v>
      </c>
      <c r="G24706" s="7" t="n">
        <v>29.8400001525879</v>
      </c>
      <c r="H24706" s="7" t="n">
        <v>0</v>
      </c>
    </row>
    <row r="24707" spans="1:8">
      <c r="A24707" t="s">
        <v>4</v>
      </c>
      <c r="B24707" s="4" t="s">
        <v>5</v>
      </c>
      <c r="C24707" s="4" t="s">
        <v>7</v>
      </c>
      <c r="D24707" s="4" t="s">
        <v>7</v>
      </c>
      <c r="E24707" s="4" t="s">
        <v>13</v>
      </c>
      <c r="F24707" s="4" t="s">
        <v>13</v>
      </c>
      <c r="G24707" s="4" t="s">
        <v>13</v>
      </c>
      <c r="H24707" s="4" t="s">
        <v>11</v>
      </c>
      <c r="I24707" s="4" t="s">
        <v>7</v>
      </c>
    </row>
    <row r="24708" spans="1:8">
      <c r="A24708" t="n">
        <v>237543</v>
      </c>
      <c r="B24708" s="51" t="n">
        <v>45</v>
      </c>
      <c r="C24708" s="7" t="n">
        <v>4</v>
      </c>
      <c r="D24708" s="7" t="n">
        <v>3</v>
      </c>
      <c r="E24708" s="7" t="n">
        <v>18.2999992370605</v>
      </c>
      <c r="F24708" s="7" t="n">
        <v>135.5</v>
      </c>
      <c r="G24708" s="7" t="n">
        <v>0</v>
      </c>
      <c r="H24708" s="7" t="n">
        <v>0</v>
      </c>
      <c r="I24708" s="7" t="n">
        <v>0</v>
      </c>
    </row>
    <row r="24709" spans="1:8">
      <c r="A24709" t="s">
        <v>4</v>
      </c>
      <c r="B24709" s="4" t="s">
        <v>5</v>
      </c>
      <c r="C24709" s="4" t="s">
        <v>7</v>
      </c>
      <c r="D24709" s="4" t="s">
        <v>7</v>
      </c>
      <c r="E24709" s="4" t="s">
        <v>13</v>
      </c>
      <c r="F24709" s="4" t="s">
        <v>11</v>
      </c>
    </row>
    <row r="24710" spans="1:8">
      <c r="A24710" t="n">
        <v>237561</v>
      </c>
      <c r="B24710" s="51" t="n">
        <v>45</v>
      </c>
      <c r="C24710" s="7" t="n">
        <v>5</v>
      </c>
      <c r="D24710" s="7" t="n">
        <v>3</v>
      </c>
      <c r="E24710" s="7" t="n">
        <v>1.29999995231628</v>
      </c>
      <c r="F24710" s="7" t="n">
        <v>0</v>
      </c>
    </row>
    <row r="24711" spans="1:8">
      <c r="A24711" t="s">
        <v>4</v>
      </c>
      <c r="B24711" s="4" t="s">
        <v>5</v>
      </c>
      <c r="C24711" s="4" t="s">
        <v>7</v>
      </c>
      <c r="D24711" s="4" t="s">
        <v>7</v>
      </c>
      <c r="E24711" s="4" t="s">
        <v>13</v>
      </c>
      <c r="F24711" s="4" t="s">
        <v>11</v>
      </c>
    </row>
    <row r="24712" spans="1:8">
      <c r="A24712" t="n">
        <v>237570</v>
      </c>
      <c r="B24712" s="51" t="n">
        <v>45</v>
      </c>
      <c r="C24712" s="7" t="n">
        <v>11</v>
      </c>
      <c r="D24712" s="7" t="n">
        <v>3</v>
      </c>
      <c r="E24712" s="7" t="n">
        <v>40.2999992370605</v>
      </c>
      <c r="F24712" s="7" t="n">
        <v>0</v>
      </c>
    </row>
    <row r="24713" spans="1:8">
      <c r="A24713" t="s">
        <v>4</v>
      </c>
      <c r="B24713" s="4" t="s">
        <v>5</v>
      </c>
      <c r="C24713" s="4" t="s">
        <v>7</v>
      </c>
      <c r="D24713" s="4" t="s">
        <v>11</v>
      </c>
    </row>
    <row r="24714" spans="1:8">
      <c r="A24714" t="n">
        <v>237579</v>
      </c>
      <c r="B24714" s="23" t="n">
        <v>58</v>
      </c>
      <c r="C24714" s="7" t="n">
        <v>255</v>
      </c>
      <c r="D24714" s="7" t="n">
        <v>0</v>
      </c>
    </row>
    <row r="24715" spans="1:8">
      <c r="A24715" t="s">
        <v>4</v>
      </c>
      <c r="B24715" s="4" t="s">
        <v>5</v>
      </c>
      <c r="C24715" s="4" t="s">
        <v>7</v>
      </c>
      <c r="D24715" s="4" t="s">
        <v>11</v>
      </c>
      <c r="E24715" s="4" t="s">
        <v>8</v>
      </c>
    </row>
    <row r="24716" spans="1:8">
      <c r="A24716" t="n">
        <v>237583</v>
      </c>
      <c r="B24716" s="38" t="n">
        <v>51</v>
      </c>
      <c r="C24716" s="7" t="n">
        <v>4</v>
      </c>
      <c r="D24716" s="7" t="n">
        <v>0</v>
      </c>
      <c r="E24716" s="7" t="s">
        <v>242</v>
      </c>
    </row>
    <row r="24717" spans="1:8">
      <c r="A24717" t="s">
        <v>4</v>
      </c>
      <c r="B24717" s="4" t="s">
        <v>5</v>
      </c>
      <c r="C24717" s="4" t="s">
        <v>11</v>
      </c>
    </row>
    <row r="24718" spans="1:8">
      <c r="A24718" t="n">
        <v>237597</v>
      </c>
      <c r="B24718" s="29" t="n">
        <v>16</v>
      </c>
      <c r="C24718" s="7" t="n">
        <v>0</v>
      </c>
    </row>
    <row r="24719" spans="1:8">
      <c r="A24719" t="s">
        <v>4</v>
      </c>
      <c r="B24719" s="4" t="s">
        <v>5</v>
      </c>
      <c r="C24719" s="4" t="s">
        <v>11</v>
      </c>
      <c r="D24719" s="4" t="s">
        <v>7</v>
      </c>
      <c r="E24719" s="4" t="s">
        <v>15</v>
      </c>
      <c r="F24719" s="4" t="s">
        <v>55</v>
      </c>
      <c r="G24719" s="4" t="s">
        <v>7</v>
      </c>
      <c r="H24719" s="4" t="s">
        <v>7</v>
      </c>
      <c r="I24719" s="4" t="s">
        <v>7</v>
      </c>
      <c r="J24719" s="4" t="s">
        <v>15</v>
      </c>
      <c r="K24719" s="4" t="s">
        <v>55</v>
      </c>
      <c r="L24719" s="4" t="s">
        <v>7</v>
      </c>
      <c r="M24719" s="4" t="s">
        <v>7</v>
      </c>
    </row>
    <row r="24720" spans="1:8">
      <c r="A24720" t="n">
        <v>237600</v>
      </c>
      <c r="B24720" s="55" t="n">
        <v>26</v>
      </c>
      <c r="C24720" s="7" t="n">
        <v>0</v>
      </c>
      <c r="D24720" s="7" t="n">
        <v>17</v>
      </c>
      <c r="E24720" s="7" t="n">
        <v>63830</v>
      </c>
      <c r="F24720" s="7" t="s">
        <v>404</v>
      </c>
      <c r="G24720" s="7" t="n">
        <v>2</v>
      </c>
      <c r="H24720" s="7" t="n">
        <v>3</v>
      </c>
      <c r="I24720" s="7" t="n">
        <v>17</v>
      </c>
      <c r="J24720" s="7" t="n">
        <v>63831</v>
      </c>
      <c r="K24720" s="7" t="s">
        <v>405</v>
      </c>
      <c r="L24720" s="7" t="n">
        <v>2</v>
      </c>
      <c r="M24720" s="7" t="n">
        <v>0</v>
      </c>
    </row>
    <row r="24721" spans="1:13">
      <c r="A24721" t="s">
        <v>4</v>
      </c>
      <c r="B24721" s="4" t="s">
        <v>5</v>
      </c>
    </row>
    <row r="24722" spans="1:13">
      <c r="A24722" t="n">
        <v>237844</v>
      </c>
      <c r="B24722" s="27" t="n">
        <v>28</v>
      </c>
    </row>
    <row r="24723" spans="1:13">
      <c r="A24723" t="s">
        <v>4</v>
      </c>
      <c r="B24723" s="4" t="s">
        <v>5</v>
      </c>
      <c r="C24723" s="4" t="s">
        <v>11</v>
      </c>
      <c r="D24723" s="4" t="s">
        <v>11</v>
      </c>
      <c r="E24723" s="4" t="s">
        <v>11</v>
      </c>
    </row>
    <row r="24724" spans="1:13">
      <c r="A24724" t="n">
        <v>237845</v>
      </c>
      <c r="B24724" s="72" t="n">
        <v>61</v>
      </c>
      <c r="C24724" s="7" t="n">
        <v>3</v>
      </c>
      <c r="D24724" s="7" t="n">
        <v>0</v>
      </c>
      <c r="E24724" s="7" t="n">
        <v>1000</v>
      </c>
    </row>
    <row r="24725" spans="1:13">
      <c r="A24725" t="s">
        <v>4</v>
      </c>
      <c r="B24725" s="4" t="s">
        <v>5</v>
      </c>
      <c r="C24725" s="4" t="s">
        <v>11</v>
      </c>
    </row>
    <row r="24726" spans="1:13">
      <c r="A24726" t="n">
        <v>237852</v>
      </c>
      <c r="B24726" s="29" t="n">
        <v>16</v>
      </c>
      <c r="C24726" s="7" t="n">
        <v>300</v>
      </c>
    </row>
    <row r="24727" spans="1:13">
      <c r="A24727" t="s">
        <v>4</v>
      </c>
      <c r="B24727" s="4" t="s">
        <v>5</v>
      </c>
      <c r="C24727" s="4" t="s">
        <v>7</v>
      </c>
      <c r="D24727" s="4" t="s">
        <v>11</v>
      </c>
      <c r="E24727" s="4" t="s">
        <v>8</v>
      </c>
    </row>
    <row r="24728" spans="1:13">
      <c r="A24728" t="n">
        <v>237855</v>
      </c>
      <c r="B24728" s="38" t="n">
        <v>51</v>
      </c>
      <c r="C24728" s="7" t="n">
        <v>4</v>
      </c>
      <c r="D24728" s="7" t="n">
        <v>3</v>
      </c>
      <c r="E24728" s="7" t="s">
        <v>242</v>
      </c>
    </row>
    <row r="24729" spans="1:13">
      <c r="A24729" t="s">
        <v>4</v>
      </c>
      <c r="B24729" s="4" t="s">
        <v>5</v>
      </c>
      <c r="C24729" s="4" t="s">
        <v>11</v>
      </c>
    </row>
    <row r="24730" spans="1:13">
      <c r="A24730" t="n">
        <v>237869</v>
      </c>
      <c r="B24730" s="29" t="n">
        <v>16</v>
      </c>
      <c r="C24730" s="7" t="n">
        <v>0</v>
      </c>
    </row>
    <row r="24731" spans="1:13">
      <c r="A24731" t="s">
        <v>4</v>
      </c>
      <c r="B24731" s="4" t="s">
        <v>5</v>
      </c>
      <c r="C24731" s="4" t="s">
        <v>11</v>
      </c>
      <c r="D24731" s="4" t="s">
        <v>7</v>
      </c>
      <c r="E24731" s="4" t="s">
        <v>15</v>
      </c>
      <c r="F24731" s="4" t="s">
        <v>55</v>
      </c>
      <c r="G24731" s="4" t="s">
        <v>7</v>
      </c>
      <c r="H24731" s="4" t="s">
        <v>7</v>
      </c>
      <c r="I24731" s="4" t="s">
        <v>7</v>
      </c>
      <c r="J24731" s="4" t="s">
        <v>15</v>
      </c>
      <c r="K24731" s="4" t="s">
        <v>55</v>
      </c>
      <c r="L24731" s="4" t="s">
        <v>7</v>
      </c>
      <c r="M24731" s="4" t="s">
        <v>7</v>
      </c>
    </row>
    <row r="24732" spans="1:13">
      <c r="A24732" t="n">
        <v>237872</v>
      </c>
      <c r="B24732" s="55" t="n">
        <v>26</v>
      </c>
      <c r="C24732" s="7" t="n">
        <v>3</v>
      </c>
      <c r="D24732" s="7" t="n">
        <v>17</v>
      </c>
      <c r="E24732" s="7" t="n">
        <v>63832</v>
      </c>
      <c r="F24732" s="7" t="s">
        <v>406</v>
      </c>
      <c r="G24732" s="7" t="n">
        <v>2</v>
      </c>
      <c r="H24732" s="7" t="n">
        <v>3</v>
      </c>
      <c r="I24732" s="7" t="n">
        <v>17</v>
      </c>
      <c r="J24732" s="7" t="n">
        <v>63833</v>
      </c>
      <c r="K24732" s="7" t="s">
        <v>407</v>
      </c>
      <c r="L24732" s="7" t="n">
        <v>2</v>
      </c>
      <c r="M24732" s="7" t="n">
        <v>0</v>
      </c>
    </row>
    <row r="24733" spans="1:13">
      <c r="A24733" t="s">
        <v>4</v>
      </c>
      <c r="B24733" s="4" t="s">
        <v>5</v>
      </c>
    </row>
    <row r="24734" spans="1:13">
      <c r="A24734" t="n">
        <v>238001</v>
      </c>
      <c r="B24734" s="27" t="n">
        <v>28</v>
      </c>
    </row>
    <row r="24735" spans="1:13">
      <c r="A24735" t="s">
        <v>4</v>
      </c>
      <c r="B24735" s="4" t="s">
        <v>5</v>
      </c>
      <c r="C24735" s="4" t="s">
        <v>11</v>
      </c>
      <c r="D24735" s="4" t="s">
        <v>11</v>
      </c>
      <c r="E24735" s="4" t="s">
        <v>11</v>
      </c>
    </row>
    <row r="24736" spans="1:13">
      <c r="A24736" t="n">
        <v>238002</v>
      </c>
      <c r="B24736" s="72" t="n">
        <v>61</v>
      </c>
      <c r="C24736" s="7" t="n">
        <v>0</v>
      </c>
      <c r="D24736" s="7" t="n">
        <v>3</v>
      </c>
      <c r="E24736" s="7" t="n">
        <v>1000</v>
      </c>
    </row>
    <row r="24737" spans="1:13">
      <c r="A24737" t="s">
        <v>4</v>
      </c>
      <c r="B24737" s="4" t="s">
        <v>5</v>
      </c>
      <c r="C24737" s="4" t="s">
        <v>11</v>
      </c>
    </row>
    <row r="24738" spans="1:13">
      <c r="A24738" t="n">
        <v>238009</v>
      </c>
      <c r="B24738" s="29" t="n">
        <v>16</v>
      </c>
      <c r="C24738" s="7" t="n">
        <v>300</v>
      </c>
    </row>
    <row r="24739" spans="1:13">
      <c r="A24739" t="s">
        <v>4</v>
      </c>
      <c r="B24739" s="4" t="s">
        <v>5</v>
      </c>
      <c r="C24739" s="4" t="s">
        <v>7</v>
      </c>
      <c r="D24739" s="4" t="s">
        <v>11</v>
      </c>
      <c r="E24739" s="4" t="s">
        <v>8</v>
      </c>
    </row>
    <row r="24740" spans="1:13">
      <c r="A24740" t="n">
        <v>238012</v>
      </c>
      <c r="B24740" s="38" t="n">
        <v>51</v>
      </c>
      <c r="C24740" s="7" t="n">
        <v>4</v>
      </c>
      <c r="D24740" s="7" t="n">
        <v>0</v>
      </c>
      <c r="E24740" s="7" t="s">
        <v>242</v>
      </c>
    </row>
    <row r="24741" spans="1:13">
      <c r="A24741" t="s">
        <v>4</v>
      </c>
      <c r="B24741" s="4" t="s">
        <v>5</v>
      </c>
      <c r="C24741" s="4" t="s">
        <v>11</v>
      </c>
    </row>
    <row r="24742" spans="1:13">
      <c r="A24742" t="n">
        <v>238026</v>
      </c>
      <c r="B24742" s="29" t="n">
        <v>16</v>
      </c>
      <c r="C24742" s="7" t="n">
        <v>0</v>
      </c>
    </row>
    <row r="24743" spans="1:13">
      <c r="A24743" t="s">
        <v>4</v>
      </c>
      <c r="B24743" s="4" t="s">
        <v>5</v>
      </c>
      <c r="C24743" s="4" t="s">
        <v>11</v>
      </c>
      <c r="D24743" s="4" t="s">
        <v>7</v>
      </c>
      <c r="E24743" s="4" t="s">
        <v>15</v>
      </c>
      <c r="F24743" s="4" t="s">
        <v>55</v>
      </c>
      <c r="G24743" s="4" t="s">
        <v>7</v>
      </c>
      <c r="H24743" s="4" t="s">
        <v>7</v>
      </c>
      <c r="I24743" s="4" t="s">
        <v>7</v>
      </c>
      <c r="J24743" s="4" t="s">
        <v>15</v>
      </c>
      <c r="K24743" s="4" t="s">
        <v>55</v>
      </c>
      <c r="L24743" s="4" t="s">
        <v>7</v>
      </c>
      <c r="M24743" s="4" t="s">
        <v>7</v>
      </c>
    </row>
    <row r="24744" spans="1:13">
      <c r="A24744" t="n">
        <v>238029</v>
      </c>
      <c r="B24744" s="55" t="n">
        <v>26</v>
      </c>
      <c r="C24744" s="7" t="n">
        <v>0</v>
      </c>
      <c r="D24744" s="7" t="n">
        <v>17</v>
      </c>
      <c r="E24744" s="7" t="n">
        <v>63834</v>
      </c>
      <c r="F24744" s="7" t="s">
        <v>408</v>
      </c>
      <c r="G24744" s="7" t="n">
        <v>2</v>
      </c>
      <c r="H24744" s="7" t="n">
        <v>3</v>
      </c>
      <c r="I24744" s="7" t="n">
        <v>17</v>
      </c>
      <c r="J24744" s="7" t="n">
        <v>63835</v>
      </c>
      <c r="K24744" s="7" t="s">
        <v>409</v>
      </c>
      <c r="L24744" s="7" t="n">
        <v>2</v>
      </c>
      <c r="M24744" s="7" t="n">
        <v>0</v>
      </c>
    </row>
    <row r="24745" spans="1:13">
      <c r="A24745" t="s">
        <v>4</v>
      </c>
      <c r="B24745" s="4" t="s">
        <v>5</v>
      </c>
    </row>
    <row r="24746" spans="1:13">
      <c r="A24746" t="n">
        <v>238198</v>
      </c>
      <c r="B24746" s="27" t="n">
        <v>28</v>
      </c>
    </row>
    <row r="24747" spans="1:13">
      <c r="A24747" t="s">
        <v>4</v>
      </c>
      <c r="B24747" s="4" t="s">
        <v>5</v>
      </c>
      <c r="C24747" s="4" t="s">
        <v>7</v>
      </c>
      <c r="D24747" s="4" t="s">
        <v>11</v>
      </c>
      <c r="E24747" s="4" t="s">
        <v>8</v>
      </c>
    </row>
    <row r="24748" spans="1:13">
      <c r="A24748" t="n">
        <v>238199</v>
      </c>
      <c r="B24748" s="38" t="n">
        <v>51</v>
      </c>
      <c r="C24748" s="7" t="n">
        <v>4</v>
      </c>
      <c r="D24748" s="7" t="n">
        <v>3</v>
      </c>
      <c r="E24748" s="7" t="s">
        <v>247</v>
      </c>
    </row>
    <row r="24749" spans="1:13">
      <c r="A24749" t="s">
        <v>4</v>
      </c>
      <c r="B24749" s="4" t="s">
        <v>5</v>
      </c>
      <c r="C24749" s="4" t="s">
        <v>11</v>
      </c>
    </row>
    <row r="24750" spans="1:13">
      <c r="A24750" t="n">
        <v>238213</v>
      </c>
      <c r="B24750" s="29" t="n">
        <v>16</v>
      </c>
      <c r="C24750" s="7" t="n">
        <v>0</v>
      </c>
    </row>
    <row r="24751" spans="1:13">
      <c r="A24751" t="s">
        <v>4</v>
      </c>
      <c r="B24751" s="4" t="s">
        <v>5</v>
      </c>
      <c r="C24751" s="4" t="s">
        <v>11</v>
      </c>
      <c r="D24751" s="4" t="s">
        <v>7</v>
      </c>
      <c r="E24751" s="4" t="s">
        <v>15</v>
      </c>
      <c r="F24751" s="4" t="s">
        <v>55</v>
      </c>
      <c r="G24751" s="4" t="s">
        <v>7</v>
      </c>
      <c r="H24751" s="4" t="s">
        <v>7</v>
      </c>
      <c r="I24751" s="4" t="s">
        <v>7</v>
      </c>
      <c r="J24751" s="4" t="s">
        <v>15</v>
      </c>
      <c r="K24751" s="4" t="s">
        <v>55</v>
      </c>
      <c r="L24751" s="4" t="s">
        <v>7</v>
      </c>
      <c r="M24751" s="4" t="s">
        <v>7</v>
      </c>
    </row>
    <row r="24752" spans="1:13">
      <c r="A24752" t="n">
        <v>238216</v>
      </c>
      <c r="B24752" s="55" t="n">
        <v>26</v>
      </c>
      <c r="C24752" s="7" t="n">
        <v>3</v>
      </c>
      <c r="D24752" s="7" t="n">
        <v>17</v>
      </c>
      <c r="E24752" s="7" t="n">
        <v>63836</v>
      </c>
      <c r="F24752" s="7" t="s">
        <v>410</v>
      </c>
      <c r="G24752" s="7" t="n">
        <v>2</v>
      </c>
      <c r="H24752" s="7" t="n">
        <v>3</v>
      </c>
      <c r="I24752" s="7" t="n">
        <v>17</v>
      </c>
      <c r="J24752" s="7" t="n">
        <v>63837</v>
      </c>
      <c r="K24752" s="7" t="s">
        <v>411</v>
      </c>
      <c r="L24752" s="7" t="n">
        <v>2</v>
      </c>
      <c r="M24752" s="7" t="n">
        <v>0</v>
      </c>
    </row>
    <row r="24753" spans="1:13">
      <c r="A24753" t="s">
        <v>4</v>
      </c>
      <c r="B24753" s="4" t="s">
        <v>5</v>
      </c>
    </row>
    <row r="24754" spans="1:13">
      <c r="A24754" t="n">
        <v>238376</v>
      </c>
      <c r="B24754" s="27" t="n">
        <v>28</v>
      </c>
    </row>
    <row r="24755" spans="1:13">
      <c r="A24755" t="s">
        <v>4</v>
      </c>
      <c r="B24755" s="4" t="s">
        <v>5</v>
      </c>
      <c r="C24755" s="4" t="s">
        <v>7</v>
      </c>
      <c r="D24755" s="4" t="s">
        <v>11</v>
      </c>
      <c r="E24755" s="4" t="s">
        <v>7</v>
      </c>
    </row>
    <row r="24756" spans="1:13">
      <c r="A24756" t="n">
        <v>238377</v>
      </c>
      <c r="B24756" s="13" t="n">
        <v>49</v>
      </c>
      <c r="C24756" s="7" t="n">
        <v>1</v>
      </c>
      <c r="D24756" s="7" t="n">
        <v>3000</v>
      </c>
      <c r="E24756" s="7" t="n">
        <v>0</v>
      </c>
    </row>
    <row r="24757" spans="1:13">
      <c r="A24757" t="s">
        <v>4</v>
      </c>
      <c r="B24757" s="4" t="s">
        <v>5</v>
      </c>
      <c r="C24757" s="4" t="s">
        <v>7</v>
      </c>
      <c r="D24757" s="4" t="s">
        <v>11</v>
      </c>
      <c r="E24757" s="4" t="s">
        <v>8</v>
      </c>
      <c r="F24757" s="4" t="s">
        <v>8</v>
      </c>
      <c r="G24757" s="4" t="s">
        <v>8</v>
      </c>
      <c r="H24757" s="4" t="s">
        <v>8</v>
      </c>
    </row>
    <row r="24758" spans="1:13">
      <c r="A24758" t="n">
        <v>238382</v>
      </c>
      <c r="B24758" s="38" t="n">
        <v>51</v>
      </c>
      <c r="C24758" s="7" t="n">
        <v>3</v>
      </c>
      <c r="D24758" s="7" t="n">
        <v>3</v>
      </c>
      <c r="E24758" s="7" t="s">
        <v>319</v>
      </c>
      <c r="F24758" s="7" t="s">
        <v>232</v>
      </c>
      <c r="G24758" s="7" t="s">
        <v>78</v>
      </c>
      <c r="H24758" s="7" t="s">
        <v>79</v>
      </c>
    </row>
    <row r="24759" spans="1:13">
      <c r="A24759" t="s">
        <v>4</v>
      </c>
      <c r="B24759" s="4" t="s">
        <v>5</v>
      </c>
      <c r="C24759" s="4" t="s">
        <v>11</v>
      </c>
      <c r="D24759" s="4" t="s">
        <v>7</v>
      </c>
      <c r="E24759" s="4" t="s">
        <v>13</v>
      </c>
      <c r="F24759" s="4" t="s">
        <v>11</v>
      </c>
    </row>
    <row r="24760" spans="1:13">
      <c r="A24760" t="n">
        <v>238395</v>
      </c>
      <c r="B24760" s="56" t="n">
        <v>59</v>
      </c>
      <c r="C24760" s="7" t="n">
        <v>3</v>
      </c>
      <c r="D24760" s="7" t="n">
        <v>9</v>
      </c>
      <c r="E24760" s="7" t="n">
        <v>0.150000005960464</v>
      </c>
      <c r="F24760" s="7" t="n">
        <v>0</v>
      </c>
    </row>
    <row r="24761" spans="1:13">
      <c r="A24761" t="s">
        <v>4</v>
      </c>
      <c r="B24761" s="4" t="s">
        <v>5</v>
      </c>
      <c r="C24761" s="4" t="s">
        <v>11</v>
      </c>
    </row>
    <row r="24762" spans="1:13">
      <c r="A24762" t="n">
        <v>238405</v>
      </c>
      <c r="B24762" s="29" t="n">
        <v>16</v>
      </c>
      <c r="C24762" s="7" t="n">
        <v>1800</v>
      </c>
    </row>
    <row r="24763" spans="1:13">
      <c r="A24763" t="s">
        <v>4</v>
      </c>
      <c r="B24763" s="4" t="s">
        <v>5</v>
      </c>
      <c r="C24763" s="4" t="s">
        <v>7</v>
      </c>
      <c r="D24763" s="4" t="s">
        <v>11</v>
      </c>
      <c r="E24763" s="4" t="s">
        <v>13</v>
      </c>
    </row>
    <row r="24764" spans="1:13">
      <c r="A24764" t="n">
        <v>238408</v>
      </c>
      <c r="B24764" s="23" t="n">
        <v>58</v>
      </c>
      <c r="C24764" s="7" t="n">
        <v>101</v>
      </c>
      <c r="D24764" s="7" t="n">
        <v>800</v>
      </c>
      <c r="E24764" s="7" t="n">
        <v>1</v>
      </c>
    </row>
    <row r="24765" spans="1:13">
      <c r="A24765" t="s">
        <v>4</v>
      </c>
      <c r="B24765" s="4" t="s">
        <v>5</v>
      </c>
      <c r="C24765" s="4" t="s">
        <v>7</v>
      </c>
      <c r="D24765" s="4" t="s">
        <v>11</v>
      </c>
    </row>
    <row r="24766" spans="1:13">
      <c r="A24766" t="n">
        <v>238416</v>
      </c>
      <c r="B24766" s="23" t="n">
        <v>58</v>
      </c>
      <c r="C24766" s="7" t="n">
        <v>254</v>
      </c>
      <c r="D24766" s="7" t="n">
        <v>0</v>
      </c>
    </row>
    <row r="24767" spans="1:13">
      <c r="A24767" t="s">
        <v>4</v>
      </c>
      <c r="B24767" s="4" t="s">
        <v>5</v>
      </c>
      <c r="C24767" s="4" t="s">
        <v>7</v>
      </c>
      <c r="D24767" s="4" t="s">
        <v>7</v>
      </c>
      <c r="E24767" s="4" t="s">
        <v>13</v>
      </c>
      <c r="F24767" s="4" t="s">
        <v>13</v>
      </c>
      <c r="G24767" s="4" t="s">
        <v>13</v>
      </c>
      <c r="H24767" s="4" t="s">
        <v>11</v>
      </c>
    </row>
    <row r="24768" spans="1:13">
      <c r="A24768" t="n">
        <v>238420</v>
      </c>
      <c r="B24768" s="51" t="n">
        <v>45</v>
      </c>
      <c r="C24768" s="7" t="n">
        <v>2</v>
      </c>
      <c r="D24768" s="7" t="n">
        <v>3</v>
      </c>
      <c r="E24768" s="7" t="n">
        <v>-7.36999988555908</v>
      </c>
      <c r="F24768" s="7" t="n">
        <v>6.42999982833862</v>
      </c>
      <c r="G24768" s="7" t="n">
        <v>29.8199996948242</v>
      </c>
      <c r="H24768" s="7" t="n">
        <v>0</v>
      </c>
    </row>
    <row r="24769" spans="1:8">
      <c r="A24769" t="s">
        <v>4</v>
      </c>
      <c r="B24769" s="4" t="s">
        <v>5</v>
      </c>
      <c r="C24769" s="4" t="s">
        <v>7</v>
      </c>
      <c r="D24769" s="4" t="s">
        <v>7</v>
      </c>
      <c r="E24769" s="4" t="s">
        <v>13</v>
      </c>
      <c r="F24769" s="4" t="s">
        <v>13</v>
      </c>
      <c r="G24769" s="4" t="s">
        <v>13</v>
      </c>
      <c r="H24769" s="4" t="s">
        <v>11</v>
      </c>
      <c r="I24769" s="4" t="s">
        <v>7</v>
      </c>
    </row>
    <row r="24770" spans="1:8">
      <c r="A24770" t="n">
        <v>238437</v>
      </c>
      <c r="B24770" s="51" t="n">
        <v>45</v>
      </c>
      <c r="C24770" s="7" t="n">
        <v>4</v>
      </c>
      <c r="D24770" s="7" t="n">
        <v>3</v>
      </c>
      <c r="E24770" s="7" t="n">
        <v>10.3299999237061</v>
      </c>
      <c r="F24770" s="7" t="n">
        <v>61.2000007629395</v>
      </c>
      <c r="G24770" s="7" t="n">
        <v>356</v>
      </c>
      <c r="H24770" s="7" t="n">
        <v>0</v>
      </c>
      <c r="I24770" s="7" t="n">
        <v>0</v>
      </c>
    </row>
    <row r="24771" spans="1:8">
      <c r="A24771" t="s">
        <v>4</v>
      </c>
      <c r="B24771" s="4" t="s">
        <v>5</v>
      </c>
      <c r="C24771" s="4" t="s">
        <v>7</v>
      </c>
      <c r="D24771" s="4" t="s">
        <v>7</v>
      </c>
      <c r="E24771" s="4" t="s">
        <v>13</v>
      </c>
      <c r="F24771" s="4" t="s">
        <v>11</v>
      </c>
    </row>
    <row r="24772" spans="1:8">
      <c r="A24772" t="n">
        <v>238455</v>
      </c>
      <c r="B24772" s="51" t="n">
        <v>45</v>
      </c>
      <c r="C24772" s="7" t="n">
        <v>5</v>
      </c>
      <c r="D24772" s="7" t="n">
        <v>3</v>
      </c>
      <c r="E24772" s="7" t="n">
        <v>0.800000011920929</v>
      </c>
      <c r="F24772" s="7" t="n">
        <v>0</v>
      </c>
    </row>
    <row r="24773" spans="1:8">
      <c r="A24773" t="s">
        <v>4</v>
      </c>
      <c r="B24773" s="4" t="s">
        <v>5</v>
      </c>
      <c r="C24773" s="4" t="s">
        <v>7</v>
      </c>
      <c r="D24773" s="4" t="s">
        <v>7</v>
      </c>
      <c r="E24773" s="4" t="s">
        <v>13</v>
      </c>
      <c r="F24773" s="4" t="s">
        <v>11</v>
      </c>
    </row>
    <row r="24774" spans="1:8">
      <c r="A24774" t="n">
        <v>238464</v>
      </c>
      <c r="B24774" s="51" t="n">
        <v>45</v>
      </c>
      <c r="C24774" s="7" t="n">
        <v>11</v>
      </c>
      <c r="D24774" s="7" t="n">
        <v>3</v>
      </c>
      <c r="E24774" s="7" t="n">
        <v>40.2999992370605</v>
      </c>
      <c r="F24774" s="7" t="n">
        <v>0</v>
      </c>
    </row>
    <row r="24775" spans="1:8">
      <c r="A24775" t="s">
        <v>4</v>
      </c>
      <c r="B24775" s="4" t="s">
        <v>5</v>
      </c>
      <c r="C24775" s="4" t="s">
        <v>7</v>
      </c>
    </row>
    <row r="24776" spans="1:8">
      <c r="A24776" t="n">
        <v>238473</v>
      </c>
      <c r="B24776" s="49" t="n">
        <v>116</v>
      </c>
      <c r="C24776" s="7" t="n">
        <v>0</v>
      </c>
    </row>
    <row r="24777" spans="1:8">
      <c r="A24777" t="s">
        <v>4</v>
      </c>
      <c r="B24777" s="4" t="s">
        <v>5</v>
      </c>
      <c r="C24777" s="4" t="s">
        <v>7</v>
      </c>
      <c r="D24777" s="4" t="s">
        <v>11</v>
      </c>
    </row>
    <row r="24778" spans="1:8">
      <c r="A24778" t="n">
        <v>238475</v>
      </c>
      <c r="B24778" s="49" t="n">
        <v>116</v>
      </c>
      <c r="C24778" s="7" t="n">
        <v>2</v>
      </c>
      <c r="D24778" s="7" t="n">
        <v>1</v>
      </c>
    </row>
    <row r="24779" spans="1:8">
      <c r="A24779" t="s">
        <v>4</v>
      </c>
      <c r="B24779" s="4" t="s">
        <v>5</v>
      </c>
      <c r="C24779" s="4" t="s">
        <v>7</v>
      </c>
      <c r="D24779" s="4" t="s">
        <v>15</v>
      </c>
    </row>
    <row r="24780" spans="1:8">
      <c r="A24780" t="n">
        <v>238479</v>
      </c>
      <c r="B24780" s="49" t="n">
        <v>116</v>
      </c>
      <c r="C24780" s="7" t="n">
        <v>5</v>
      </c>
      <c r="D24780" s="7" t="n">
        <v>1077936128</v>
      </c>
    </row>
    <row r="24781" spans="1:8">
      <c r="A24781" t="s">
        <v>4</v>
      </c>
      <c r="B24781" s="4" t="s">
        <v>5</v>
      </c>
      <c r="C24781" s="4" t="s">
        <v>7</v>
      </c>
      <c r="D24781" s="4" t="s">
        <v>11</v>
      </c>
    </row>
    <row r="24782" spans="1:8">
      <c r="A24782" t="n">
        <v>238485</v>
      </c>
      <c r="B24782" s="49" t="n">
        <v>116</v>
      </c>
      <c r="C24782" s="7" t="n">
        <v>6</v>
      </c>
      <c r="D24782" s="7" t="n">
        <v>1</v>
      </c>
    </row>
    <row r="24783" spans="1:8">
      <c r="A24783" t="s">
        <v>4</v>
      </c>
      <c r="B24783" s="4" t="s">
        <v>5</v>
      </c>
      <c r="C24783" s="4" t="s">
        <v>7</v>
      </c>
      <c r="D24783" s="4" t="s">
        <v>11</v>
      </c>
      <c r="E24783" s="4" t="s">
        <v>8</v>
      </c>
      <c r="F24783" s="4" t="s">
        <v>8</v>
      </c>
      <c r="G24783" s="4" t="s">
        <v>8</v>
      </c>
      <c r="H24783" s="4" t="s">
        <v>8</v>
      </c>
    </row>
    <row r="24784" spans="1:8">
      <c r="A24784" t="n">
        <v>238489</v>
      </c>
      <c r="B24784" s="38" t="n">
        <v>51</v>
      </c>
      <c r="C24784" s="7" t="n">
        <v>3</v>
      </c>
      <c r="D24784" s="7" t="n">
        <v>3</v>
      </c>
      <c r="E24784" s="7" t="s">
        <v>86</v>
      </c>
      <c r="F24784" s="7" t="s">
        <v>79</v>
      </c>
      <c r="G24784" s="7" t="s">
        <v>78</v>
      </c>
      <c r="H24784" s="7" t="s">
        <v>79</v>
      </c>
    </row>
    <row r="24785" spans="1:9">
      <c r="A24785" t="s">
        <v>4</v>
      </c>
      <c r="B24785" s="4" t="s">
        <v>5</v>
      </c>
      <c r="C24785" s="4" t="s">
        <v>11</v>
      </c>
      <c r="D24785" s="4" t="s">
        <v>11</v>
      </c>
      <c r="E24785" s="4" t="s">
        <v>13</v>
      </c>
      <c r="F24785" s="4" t="s">
        <v>7</v>
      </c>
    </row>
    <row r="24786" spans="1:9">
      <c r="A24786" t="n">
        <v>238502</v>
      </c>
      <c r="B24786" s="73" t="n">
        <v>53</v>
      </c>
      <c r="C24786" s="7" t="n">
        <v>0</v>
      </c>
      <c r="D24786" s="7" t="n">
        <v>3</v>
      </c>
      <c r="E24786" s="7" t="n">
        <v>0</v>
      </c>
      <c r="F24786" s="7" t="n">
        <v>0</v>
      </c>
    </row>
    <row r="24787" spans="1:9">
      <c r="A24787" t="s">
        <v>4</v>
      </c>
      <c r="B24787" s="4" t="s">
        <v>5</v>
      </c>
      <c r="C24787" s="4" t="s">
        <v>7</v>
      </c>
      <c r="D24787" s="4" t="s">
        <v>11</v>
      </c>
    </row>
    <row r="24788" spans="1:9">
      <c r="A24788" t="n">
        <v>238512</v>
      </c>
      <c r="B24788" s="23" t="n">
        <v>58</v>
      </c>
      <c r="C24788" s="7" t="n">
        <v>255</v>
      </c>
      <c r="D24788" s="7" t="n">
        <v>0</v>
      </c>
    </row>
    <row r="24789" spans="1:9">
      <c r="A24789" t="s">
        <v>4</v>
      </c>
      <c r="B24789" s="4" t="s">
        <v>5</v>
      </c>
      <c r="C24789" s="4" t="s">
        <v>11</v>
      </c>
      <c r="D24789" s="4" t="s">
        <v>15</v>
      </c>
    </row>
    <row r="24790" spans="1:9">
      <c r="A24790" t="n">
        <v>238516</v>
      </c>
      <c r="B24790" s="39" t="n">
        <v>43</v>
      </c>
      <c r="C24790" s="7" t="n">
        <v>3</v>
      </c>
      <c r="D24790" s="7" t="n">
        <v>32768</v>
      </c>
    </row>
    <row r="24791" spans="1:9">
      <c r="A24791" t="s">
        <v>4</v>
      </c>
      <c r="B24791" s="4" t="s">
        <v>5</v>
      </c>
      <c r="C24791" s="4" t="s">
        <v>11</v>
      </c>
      <c r="D24791" s="4" t="s">
        <v>11</v>
      </c>
      <c r="E24791" s="4" t="s">
        <v>13</v>
      </c>
      <c r="F24791" s="4" t="s">
        <v>7</v>
      </c>
    </row>
    <row r="24792" spans="1:9">
      <c r="A24792" t="n">
        <v>238523</v>
      </c>
      <c r="B24792" s="73" t="n">
        <v>53</v>
      </c>
      <c r="C24792" s="7" t="n">
        <v>3</v>
      </c>
      <c r="D24792" s="7" t="n">
        <v>0</v>
      </c>
      <c r="E24792" s="7" t="n">
        <v>5</v>
      </c>
      <c r="F24792" s="7" t="n">
        <v>0</v>
      </c>
    </row>
    <row r="24793" spans="1:9">
      <c r="A24793" t="s">
        <v>4</v>
      </c>
      <c r="B24793" s="4" t="s">
        <v>5</v>
      </c>
      <c r="C24793" s="4" t="s">
        <v>11</v>
      </c>
    </row>
    <row r="24794" spans="1:9">
      <c r="A24794" t="n">
        <v>238533</v>
      </c>
      <c r="B24794" s="66" t="n">
        <v>54</v>
      </c>
      <c r="C24794" s="7" t="n">
        <v>3</v>
      </c>
    </row>
    <row r="24795" spans="1:9">
      <c r="A24795" t="s">
        <v>4</v>
      </c>
      <c r="B24795" s="4" t="s">
        <v>5</v>
      </c>
      <c r="C24795" s="4" t="s">
        <v>11</v>
      </c>
      <c r="D24795" s="4" t="s">
        <v>7</v>
      </c>
      <c r="E24795" s="4" t="s">
        <v>8</v>
      </c>
      <c r="F24795" s="4" t="s">
        <v>13</v>
      </c>
      <c r="G24795" s="4" t="s">
        <v>13</v>
      </c>
      <c r="H24795" s="4" t="s">
        <v>13</v>
      </c>
    </row>
    <row r="24796" spans="1:9">
      <c r="A24796" t="n">
        <v>238536</v>
      </c>
      <c r="B24796" s="42" t="n">
        <v>48</v>
      </c>
      <c r="C24796" s="7" t="n">
        <v>3</v>
      </c>
      <c r="D24796" s="7" t="n">
        <v>0</v>
      </c>
      <c r="E24796" s="7" t="s">
        <v>391</v>
      </c>
      <c r="F24796" s="7" t="n">
        <v>-1</v>
      </c>
      <c r="G24796" s="7" t="n">
        <v>1</v>
      </c>
      <c r="H24796" s="7" t="n">
        <v>0</v>
      </c>
    </row>
    <row r="24797" spans="1:9">
      <c r="A24797" t="s">
        <v>4</v>
      </c>
      <c r="B24797" s="4" t="s">
        <v>5</v>
      </c>
      <c r="C24797" s="4" t="s">
        <v>7</v>
      </c>
      <c r="D24797" s="4" t="s">
        <v>7</v>
      </c>
    </row>
    <row r="24798" spans="1:9">
      <c r="A24798" t="n">
        <v>238566</v>
      </c>
      <c r="B24798" s="13" t="n">
        <v>49</v>
      </c>
      <c r="C24798" s="7" t="n">
        <v>2</v>
      </c>
      <c r="D24798" s="7" t="n">
        <v>0</v>
      </c>
    </row>
    <row r="24799" spans="1:9">
      <c r="A24799" t="s">
        <v>4</v>
      </c>
      <c r="B24799" s="4" t="s">
        <v>5</v>
      </c>
      <c r="C24799" s="4" t="s">
        <v>7</v>
      </c>
      <c r="D24799" s="4" t="s">
        <v>11</v>
      </c>
      <c r="E24799" s="4" t="s">
        <v>15</v>
      </c>
      <c r="F24799" s="4" t="s">
        <v>11</v>
      </c>
      <c r="G24799" s="4" t="s">
        <v>15</v>
      </c>
      <c r="H24799" s="4" t="s">
        <v>7</v>
      </c>
    </row>
    <row r="24800" spans="1:9">
      <c r="A24800" t="n">
        <v>238569</v>
      </c>
      <c r="B24800" s="13" t="n">
        <v>49</v>
      </c>
      <c r="C24800" s="7" t="n">
        <v>0</v>
      </c>
      <c r="D24800" s="7" t="n">
        <v>551</v>
      </c>
      <c r="E24800" s="7" t="n">
        <v>1061997773</v>
      </c>
      <c r="F24800" s="7" t="n">
        <v>0</v>
      </c>
      <c r="G24800" s="7" t="n">
        <v>0</v>
      </c>
      <c r="H24800" s="7" t="n">
        <v>0</v>
      </c>
    </row>
    <row r="24801" spans="1:8">
      <c r="A24801" t="s">
        <v>4</v>
      </c>
      <c r="B24801" s="4" t="s">
        <v>5</v>
      </c>
      <c r="C24801" s="4" t="s">
        <v>7</v>
      </c>
      <c r="D24801" s="4" t="s">
        <v>11</v>
      </c>
    </row>
    <row r="24802" spans="1:8">
      <c r="A24802" t="n">
        <v>238584</v>
      </c>
      <c r="B24802" s="13" t="n">
        <v>49</v>
      </c>
      <c r="C24802" s="7" t="n">
        <v>6</v>
      </c>
      <c r="D24802" s="7" t="n">
        <v>551</v>
      </c>
    </row>
    <row r="24803" spans="1:8">
      <c r="A24803" t="s">
        <v>4</v>
      </c>
      <c r="B24803" s="4" t="s">
        <v>5</v>
      </c>
      <c r="C24803" s="4" t="s">
        <v>11</v>
      </c>
    </row>
    <row r="24804" spans="1:8">
      <c r="A24804" t="n">
        <v>238588</v>
      </c>
      <c r="B24804" s="29" t="n">
        <v>16</v>
      </c>
      <c r="C24804" s="7" t="n">
        <v>500</v>
      </c>
    </row>
    <row r="24805" spans="1:8">
      <c r="A24805" t="s">
        <v>4</v>
      </c>
      <c r="B24805" s="4" t="s">
        <v>5</v>
      </c>
      <c r="C24805" s="4" t="s">
        <v>7</v>
      </c>
      <c r="D24805" s="4" t="s">
        <v>11</v>
      </c>
      <c r="E24805" s="4" t="s">
        <v>8</v>
      </c>
    </row>
    <row r="24806" spans="1:8">
      <c r="A24806" t="n">
        <v>238591</v>
      </c>
      <c r="B24806" s="38" t="n">
        <v>51</v>
      </c>
      <c r="C24806" s="7" t="n">
        <v>4</v>
      </c>
      <c r="D24806" s="7" t="n">
        <v>3</v>
      </c>
      <c r="E24806" s="7" t="s">
        <v>242</v>
      </c>
    </row>
    <row r="24807" spans="1:8">
      <c r="A24807" t="s">
        <v>4</v>
      </c>
      <c r="B24807" s="4" t="s">
        <v>5</v>
      </c>
      <c r="C24807" s="4" t="s">
        <v>11</v>
      </c>
    </row>
    <row r="24808" spans="1:8">
      <c r="A24808" t="n">
        <v>238605</v>
      </c>
      <c r="B24808" s="29" t="n">
        <v>16</v>
      </c>
      <c r="C24808" s="7" t="n">
        <v>0</v>
      </c>
    </row>
    <row r="24809" spans="1:8">
      <c r="A24809" t="s">
        <v>4</v>
      </c>
      <c r="B24809" s="4" t="s">
        <v>5</v>
      </c>
      <c r="C24809" s="4" t="s">
        <v>11</v>
      </c>
      <c r="D24809" s="4" t="s">
        <v>7</v>
      </c>
      <c r="E24809" s="4" t="s">
        <v>15</v>
      </c>
      <c r="F24809" s="4" t="s">
        <v>55</v>
      </c>
      <c r="G24809" s="4" t="s">
        <v>7</v>
      </c>
      <c r="H24809" s="4" t="s">
        <v>7</v>
      </c>
      <c r="I24809" s="4" t="s">
        <v>7</v>
      </c>
      <c r="J24809" s="4" t="s">
        <v>15</v>
      </c>
      <c r="K24809" s="4" t="s">
        <v>55</v>
      </c>
      <c r="L24809" s="4" t="s">
        <v>7</v>
      </c>
      <c r="M24809" s="4" t="s">
        <v>7</v>
      </c>
    </row>
    <row r="24810" spans="1:8">
      <c r="A24810" t="n">
        <v>238608</v>
      </c>
      <c r="B24810" s="55" t="n">
        <v>26</v>
      </c>
      <c r="C24810" s="7" t="n">
        <v>3</v>
      </c>
      <c r="D24810" s="7" t="n">
        <v>17</v>
      </c>
      <c r="E24810" s="7" t="n">
        <v>2800</v>
      </c>
      <c r="F24810" s="7" t="s">
        <v>412</v>
      </c>
      <c r="G24810" s="7" t="n">
        <v>2</v>
      </c>
      <c r="H24810" s="7" t="n">
        <v>3</v>
      </c>
      <c r="I24810" s="7" t="n">
        <v>17</v>
      </c>
      <c r="J24810" s="7" t="n">
        <v>2801</v>
      </c>
      <c r="K24810" s="7" t="s">
        <v>413</v>
      </c>
      <c r="L24810" s="7" t="n">
        <v>2</v>
      </c>
      <c r="M24810" s="7" t="n">
        <v>0</v>
      </c>
    </row>
    <row r="24811" spans="1:8">
      <c r="A24811" t="s">
        <v>4</v>
      </c>
      <c r="B24811" s="4" t="s">
        <v>5</v>
      </c>
    </row>
    <row r="24812" spans="1:8">
      <c r="A24812" t="n">
        <v>238732</v>
      </c>
      <c r="B24812" s="27" t="n">
        <v>28</v>
      </c>
    </row>
    <row r="24813" spans="1:8">
      <c r="A24813" t="s">
        <v>4</v>
      </c>
      <c r="B24813" s="4" t="s">
        <v>5</v>
      </c>
      <c r="C24813" s="4" t="s">
        <v>11</v>
      </c>
      <c r="D24813" s="4" t="s">
        <v>7</v>
      </c>
    </row>
    <row r="24814" spans="1:8">
      <c r="A24814" t="n">
        <v>238733</v>
      </c>
      <c r="B24814" s="68" t="n">
        <v>89</v>
      </c>
      <c r="C24814" s="7" t="n">
        <v>65533</v>
      </c>
      <c r="D24814" s="7" t="n">
        <v>1</v>
      </c>
    </row>
    <row r="24815" spans="1:8">
      <c r="A24815" t="s">
        <v>4</v>
      </c>
      <c r="B24815" s="4" t="s">
        <v>5</v>
      </c>
      <c r="C24815" s="4" t="s">
        <v>7</v>
      </c>
      <c r="D24815" s="4" t="s">
        <v>13</v>
      </c>
      <c r="E24815" s="4" t="s">
        <v>11</v>
      </c>
      <c r="F24815" s="4" t="s">
        <v>7</v>
      </c>
    </row>
    <row r="24816" spans="1:8">
      <c r="A24816" t="n">
        <v>238737</v>
      </c>
      <c r="B24816" s="13" t="n">
        <v>49</v>
      </c>
      <c r="C24816" s="7" t="n">
        <v>3</v>
      </c>
      <c r="D24816" s="7" t="n">
        <v>0.600000023841858</v>
      </c>
      <c r="E24816" s="7" t="n">
        <v>500</v>
      </c>
      <c r="F24816" s="7" t="n">
        <v>0</v>
      </c>
    </row>
    <row r="24817" spans="1:13">
      <c r="A24817" t="s">
        <v>4</v>
      </c>
      <c r="B24817" s="4" t="s">
        <v>5</v>
      </c>
      <c r="C24817" s="4" t="s">
        <v>7</v>
      </c>
      <c r="D24817" s="4" t="s">
        <v>7</v>
      </c>
      <c r="E24817" s="4" t="s">
        <v>7</v>
      </c>
      <c r="F24817" s="4" t="s">
        <v>13</v>
      </c>
      <c r="G24817" s="4" t="s">
        <v>13</v>
      </c>
      <c r="H24817" s="4" t="s">
        <v>13</v>
      </c>
      <c r="I24817" s="4" t="s">
        <v>13</v>
      </c>
      <c r="J24817" s="4" t="s">
        <v>13</v>
      </c>
    </row>
    <row r="24818" spans="1:13">
      <c r="A24818" t="n">
        <v>238746</v>
      </c>
      <c r="B24818" s="25" t="n">
        <v>76</v>
      </c>
      <c r="C24818" s="7" t="n">
        <v>1</v>
      </c>
      <c r="D24818" s="7" t="n">
        <v>3</v>
      </c>
      <c r="E24818" s="7" t="n">
        <v>0</v>
      </c>
      <c r="F24818" s="7" t="n">
        <v>1</v>
      </c>
      <c r="G24818" s="7" t="n">
        <v>1</v>
      </c>
      <c r="H24818" s="7" t="n">
        <v>1</v>
      </c>
      <c r="I24818" s="7" t="n">
        <v>1</v>
      </c>
      <c r="J24818" s="7" t="n">
        <v>1000</v>
      </c>
    </row>
    <row r="24819" spans="1:13">
      <c r="A24819" t="s">
        <v>4</v>
      </c>
      <c r="B24819" s="4" t="s">
        <v>5</v>
      </c>
      <c r="C24819" s="4" t="s">
        <v>7</v>
      </c>
      <c r="D24819" s="4" t="s">
        <v>7</v>
      </c>
    </row>
    <row r="24820" spans="1:13">
      <c r="A24820" t="n">
        <v>238770</v>
      </c>
      <c r="B24820" s="26" t="n">
        <v>77</v>
      </c>
      <c r="C24820" s="7" t="n">
        <v>1</v>
      </c>
      <c r="D24820" s="7" t="n">
        <v>3</v>
      </c>
    </row>
    <row r="24821" spans="1:13">
      <c r="A24821" t="s">
        <v>4</v>
      </c>
      <c r="B24821" s="4" t="s">
        <v>5</v>
      </c>
      <c r="C24821" s="4" t="s">
        <v>11</v>
      </c>
    </row>
    <row r="24822" spans="1:13">
      <c r="A24822" t="n">
        <v>238773</v>
      </c>
      <c r="B24822" s="29" t="n">
        <v>16</v>
      </c>
      <c r="C24822" s="7" t="n">
        <v>2000</v>
      </c>
    </row>
    <row r="24823" spans="1:13">
      <c r="A24823" t="s">
        <v>4</v>
      </c>
      <c r="B24823" s="4" t="s">
        <v>5</v>
      </c>
      <c r="C24823" s="4" t="s">
        <v>7</v>
      </c>
      <c r="D24823" s="4" t="s">
        <v>13</v>
      </c>
      <c r="E24823" s="4" t="s">
        <v>11</v>
      </c>
      <c r="F24823" s="4" t="s">
        <v>7</v>
      </c>
    </row>
    <row r="24824" spans="1:13">
      <c r="A24824" t="n">
        <v>238776</v>
      </c>
      <c r="B24824" s="13" t="n">
        <v>49</v>
      </c>
      <c r="C24824" s="7" t="n">
        <v>3</v>
      </c>
      <c r="D24824" s="7" t="n">
        <v>0.800000011920929</v>
      </c>
      <c r="E24824" s="7" t="n">
        <v>1000</v>
      </c>
      <c r="F24824" s="7" t="n">
        <v>0</v>
      </c>
    </row>
    <row r="24825" spans="1:13">
      <c r="A24825" t="s">
        <v>4</v>
      </c>
      <c r="B24825" s="4" t="s">
        <v>5</v>
      </c>
      <c r="C24825" s="4" t="s">
        <v>7</v>
      </c>
      <c r="D24825" s="4" t="s">
        <v>7</v>
      </c>
      <c r="E24825" s="4" t="s">
        <v>7</v>
      </c>
      <c r="F24825" s="4" t="s">
        <v>13</v>
      </c>
      <c r="G24825" s="4" t="s">
        <v>13</v>
      </c>
      <c r="H24825" s="4" t="s">
        <v>13</v>
      </c>
      <c r="I24825" s="4" t="s">
        <v>13</v>
      </c>
      <c r="J24825" s="4" t="s">
        <v>13</v>
      </c>
    </row>
    <row r="24826" spans="1:13">
      <c r="A24826" t="n">
        <v>238785</v>
      </c>
      <c r="B24826" s="25" t="n">
        <v>76</v>
      </c>
      <c r="C24826" s="7" t="n">
        <v>1</v>
      </c>
      <c r="D24826" s="7" t="n">
        <v>3</v>
      </c>
      <c r="E24826" s="7" t="n">
        <v>0</v>
      </c>
      <c r="F24826" s="7" t="n">
        <v>1</v>
      </c>
      <c r="G24826" s="7" t="n">
        <v>1</v>
      </c>
      <c r="H24826" s="7" t="n">
        <v>1</v>
      </c>
      <c r="I24826" s="7" t="n">
        <v>0</v>
      </c>
      <c r="J24826" s="7" t="n">
        <v>1000</v>
      </c>
    </row>
    <row r="24827" spans="1:13">
      <c r="A24827" t="s">
        <v>4</v>
      </c>
      <c r="B24827" s="4" t="s">
        <v>5</v>
      </c>
      <c r="C24827" s="4" t="s">
        <v>7</v>
      </c>
      <c r="D24827" s="4" t="s">
        <v>7</v>
      </c>
    </row>
    <row r="24828" spans="1:13">
      <c r="A24828" t="n">
        <v>238809</v>
      </c>
      <c r="B24828" s="26" t="n">
        <v>77</v>
      </c>
      <c r="C24828" s="7" t="n">
        <v>1</v>
      </c>
      <c r="D24828" s="7" t="n">
        <v>3</v>
      </c>
    </row>
    <row r="24829" spans="1:13">
      <c r="A24829" t="s">
        <v>4</v>
      </c>
      <c r="B24829" s="4" t="s">
        <v>5</v>
      </c>
      <c r="C24829" s="4" t="s">
        <v>7</v>
      </c>
      <c r="D24829" s="4" t="s">
        <v>11</v>
      </c>
      <c r="E24829" s="4" t="s">
        <v>8</v>
      </c>
    </row>
    <row r="24830" spans="1:13">
      <c r="A24830" t="n">
        <v>238812</v>
      </c>
      <c r="B24830" s="38" t="n">
        <v>51</v>
      </c>
      <c r="C24830" s="7" t="n">
        <v>4</v>
      </c>
      <c r="D24830" s="7" t="n">
        <v>0</v>
      </c>
      <c r="E24830" s="7" t="s">
        <v>179</v>
      </c>
    </row>
    <row r="24831" spans="1:13">
      <c r="A24831" t="s">
        <v>4</v>
      </c>
      <c r="B24831" s="4" t="s">
        <v>5</v>
      </c>
      <c r="C24831" s="4" t="s">
        <v>11</v>
      </c>
    </row>
    <row r="24832" spans="1:13">
      <c r="A24832" t="n">
        <v>238826</v>
      </c>
      <c r="B24832" s="29" t="n">
        <v>16</v>
      </c>
      <c r="C24832" s="7" t="n">
        <v>0</v>
      </c>
    </row>
    <row r="24833" spans="1:10">
      <c r="A24833" t="s">
        <v>4</v>
      </c>
      <c r="B24833" s="4" t="s">
        <v>5</v>
      </c>
      <c r="C24833" s="4" t="s">
        <v>11</v>
      </c>
      <c r="D24833" s="4" t="s">
        <v>7</v>
      </c>
      <c r="E24833" s="4" t="s">
        <v>15</v>
      </c>
      <c r="F24833" s="4" t="s">
        <v>55</v>
      </c>
      <c r="G24833" s="4" t="s">
        <v>7</v>
      </c>
      <c r="H24833" s="4" t="s">
        <v>7</v>
      </c>
      <c r="I24833" s="4" t="s">
        <v>7</v>
      </c>
      <c r="J24833" s="4" t="s">
        <v>15</v>
      </c>
      <c r="K24833" s="4" t="s">
        <v>55</v>
      </c>
      <c r="L24833" s="4" t="s">
        <v>7</v>
      </c>
      <c r="M24833" s="4" t="s">
        <v>7</v>
      </c>
      <c r="N24833" s="4" t="s">
        <v>7</v>
      </c>
      <c r="O24833" s="4" t="s">
        <v>15</v>
      </c>
      <c r="P24833" s="4" t="s">
        <v>55</v>
      </c>
      <c r="Q24833" s="4" t="s">
        <v>7</v>
      </c>
      <c r="R24833" s="4" t="s">
        <v>7</v>
      </c>
    </row>
    <row r="24834" spans="1:10">
      <c r="A24834" t="n">
        <v>238829</v>
      </c>
      <c r="B24834" s="55" t="n">
        <v>26</v>
      </c>
      <c r="C24834" s="7" t="n">
        <v>0</v>
      </c>
      <c r="D24834" s="7" t="n">
        <v>17</v>
      </c>
      <c r="E24834" s="7" t="n">
        <v>63838</v>
      </c>
      <c r="F24834" s="7" t="s">
        <v>414</v>
      </c>
      <c r="G24834" s="7" t="n">
        <v>2</v>
      </c>
      <c r="H24834" s="7" t="n">
        <v>3</v>
      </c>
      <c r="I24834" s="7" t="n">
        <v>17</v>
      </c>
      <c r="J24834" s="7" t="n">
        <v>63839</v>
      </c>
      <c r="K24834" s="7" t="s">
        <v>415</v>
      </c>
      <c r="L24834" s="7" t="n">
        <v>2</v>
      </c>
      <c r="M24834" s="7" t="n">
        <v>3</v>
      </c>
      <c r="N24834" s="7" t="n">
        <v>17</v>
      </c>
      <c r="O24834" s="7" t="n">
        <v>63840</v>
      </c>
      <c r="P24834" s="7" t="s">
        <v>416</v>
      </c>
      <c r="Q24834" s="7" t="n">
        <v>2</v>
      </c>
      <c r="R24834" s="7" t="n">
        <v>0</v>
      </c>
    </row>
    <row r="24835" spans="1:10">
      <c r="A24835" t="s">
        <v>4</v>
      </c>
      <c r="B24835" s="4" t="s">
        <v>5</v>
      </c>
    </row>
    <row r="24836" spans="1:10">
      <c r="A24836" t="n">
        <v>239008</v>
      </c>
      <c r="B24836" s="27" t="n">
        <v>28</v>
      </c>
    </row>
    <row r="24837" spans="1:10">
      <c r="A24837" t="s">
        <v>4</v>
      </c>
      <c r="B24837" s="4" t="s">
        <v>5</v>
      </c>
      <c r="C24837" s="4" t="s">
        <v>7</v>
      </c>
      <c r="D24837" s="4" t="s">
        <v>11</v>
      </c>
      <c r="E24837" s="4" t="s">
        <v>8</v>
      </c>
    </row>
    <row r="24838" spans="1:10">
      <c r="A24838" t="n">
        <v>239009</v>
      </c>
      <c r="B24838" s="38" t="n">
        <v>51</v>
      </c>
      <c r="C24838" s="7" t="n">
        <v>4</v>
      </c>
      <c r="D24838" s="7" t="n">
        <v>3</v>
      </c>
      <c r="E24838" s="7" t="s">
        <v>417</v>
      </c>
    </row>
    <row r="24839" spans="1:10">
      <c r="A24839" t="s">
        <v>4</v>
      </c>
      <c r="B24839" s="4" t="s">
        <v>5</v>
      </c>
      <c r="C24839" s="4" t="s">
        <v>11</v>
      </c>
    </row>
    <row r="24840" spans="1:10">
      <c r="A24840" t="n">
        <v>239023</v>
      </c>
      <c r="B24840" s="29" t="n">
        <v>16</v>
      </c>
      <c r="C24840" s="7" t="n">
        <v>0</v>
      </c>
    </row>
    <row r="24841" spans="1:10">
      <c r="A24841" t="s">
        <v>4</v>
      </c>
      <c r="B24841" s="4" t="s">
        <v>5</v>
      </c>
      <c r="C24841" s="4" t="s">
        <v>11</v>
      </c>
      <c r="D24841" s="4" t="s">
        <v>7</v>
      </c>
      <c r="E24841" s="4" t="s">
        <v>15</v>
      </c>
      <c r="F24841" s="4" t="s">
        <v>55</v>
      </c>
      <c r="G24841" s="4" t="s">
        <v>7</v>
      </c>
      <c r="H24841" s="4" t="s">
        <v>7</v>
      </c>
      <c r="I24841" s="4" t="s">
        <v>7</v>
      </c>
      <c r="J24841" s="4" t="s">
        <v>15</v>
      </c>
      <c r="K24841" s="4" t="s">
        <v>55</v>
      </c>
      <c r="L24841" s="4" t="s">
        <v>7</v>
      </c>
      <c r="M24841" s="4" t="s">
        <v>7</v>
      </c>
      <c r="N24841" s="4" t="s">
        <v>7</v>
      </c>
      <c r="O24841" s="4" t="s">
        <v>15</v>
      </c>
      <c r="P24841" s="4" t="s">
        <v>55</v>
      </c>
      <c r="Q24841" s="4" t="s">
        <v>7</v>
      </c>
      <c r="R24841" s="4" t="s">
        <v>7</v>
      </c>
    </row>
    <row r="24842" spans="1:10">
      <c r="A24842" t="n">
        <v>239026</v>
      </c>
      <c r="B24842" s="55" t="n">
        <v>26</v>
      </c>
      <c r="C24842" s="7" t="n">
        <v>3</v>
      </c>
      <c r="D24842" s="7" t="n">
        <v>17</v>
      </c>
      <c r="E24842" s="7" t="n">
        <v>2802</v>
      </c>
      <c r="F24842" s="7" t="s">
        <v>418</v>
      </c>
      <c r="G24842" s="7" t="n">
        <v>2</v>
      </c>
      <c r="H24842" s="7" t="n">
        <v>3</v>
      </c>
      <c r="I24842" s="7" t="n">
        <v>17</v>
      </c>
      <c r="J24842" s="7" t="n">
        <v>2803</v>
      </c>
      <c r="K24842" s="7" t="s">
        <v>419</v>
      </c>
      <c r="L24842" s="7" t="n">
        <v>2</v>
      </c>
      <c r="M24842" s="7" t="n">
        <v>3</v>
      </c>
      <c r="N24842" s="7" t="n">
        <v>17</v>
      </c>
      <c r="O24842" s="7" t="n">
        <v>2804</v>
      </c>
      <c r="P24842" s="7" t="s">
        <v>420</v>
      </c>
      <c r="Q24842" s="7" t="n">
        <v>2</v>
      </c>
      <c r="R24842" s="7" t="n">
        <v>0</v>
      </c>
    </row>
    <row r="24843" spans="1:10">
      <c r="A24843" t="s">
        <v>4</v>
      </c>
      <c r="B24843" s="4" t="s">
        <v>5</v>
      </c>
    </row>
    <row r="24844" spans="1:10">
      <c r="A24844" t="n">
        <v>239284</v>
      </c>
      <c r="B24844" s="27" t="n">
        <v>28</v>
      </c>
    </row>
    <row r="24845" spans="1:10">
      <c r="A24845" t="s">
        <v>4</v>
      </c>
      <c r="B24845" s="4" t="s">
        <v>5</v>
      </c>
      <c r="C24845" s="4" t="s">
        <v>7</v>
      </c>
      <c r="D24845" s="4" t="s">
        <v>11</v>
      </c>
      <c r="E24845" s="4" t="s">
        <v>8</v>
      </c>
    </row>
    <row r="24846" spans="1:10">
      <c r="A24846" t="n">
        <v>239285</v>
      </c>
      <c r="B24846" s="38" t="n">
        <v>51</v>
      </c>
      <c r="C24846" s="7" t="n">
        <v>4</v>
      </c>
      <c r="D24846" s="7" t="n">
        <v>0</v>
      </c>
      <c r="E24846" s="7" t="s">
        <v>179</v>
      </c>
    </row>
    <row r="24847" spans="1:10">
      <c r="A24847" t="s">
        <v>4</v>
      </c>
      <c r="B24847" s="4" t="s">
        <v>5</v>
      </c>
      <c r="C24847" s="4" t="s">
        <v>11</v>
      </c>
    </row>
    <row r="24848" spans="1:10">
      <c r="A24848" t="n">
        <v>239299</v>
      </c>
      <c r="B24848" s="29" t="n">
        <v>16</v>
      </c>
      <c r="C24848" s="7" t="n">
        <v>0</v>
      </c>
    </row>
    <row r="24849" spans="1:18">
      <c r="A24849" t="s">
        <v>4</v>
      </c>
      <c r="B24849" s="4" t="s">
        <v>5</v>
      </c>
      <c r="C24849" s="4" t="s">
        <v>11</v>
      </c>
      <c r="D24849" s="4" t="s">
        <v>7</v>
      </c>
      <c r="E24849" s="4" t="s">
        <v>15</v>
      </c>
      <c r="F24849" s="4" t="s">
        <v>55</v>
      </c>
      <c r="G24849" s="4" t="s">
        <v>7</v>
      </c>
      <c r="H24849" s="4" t="s">
        <v>7</v>
      </c>
    </row>
    <row r="24850" spans="1:18">
      <c r="A24850" t="n">
        <v>239302</v>
      </c>
      <c r="B24850" s="55" t="n">
        <v>26</v>
      </c>
      <c r="C24850" s="7" t="n">
        <v>0</v>
      </c>
      <c r="D24850" s="7" t="n">
        <v>17</v>
      </c>
      <c r="E24850" s="7" t="n">
        <v>63841</v>
      </c>
      <c r="F24850" s="7" t="s">
        <v>421</v>
      </c>
      <c r="G24850" s="7" t="n">
        <v>2</v>
      </c>
      <c r="H24850" s="7" t="n">
        <v>0</v>
      </c>
    </row>
    <row r="24851" spans="1:18">
      <c r="A24851" t="s">
        <v>4</v>
      </c>
      <c r="B24851" s="4" t="s">
        <v>5</v>
      </c>
    </row>
    <row r="24852" spans="1:18">
      <c r="A24852" t="n">
        <v>239327</v>
      </c>
      <c r="B24852" s="27" t="n">
        <v>28</v>
      </c>
    </row>
    <row r="24853" spans="1:18">
      <c r="A24853" t="s">
        <v>4</v>
      </c>
      <c r="B24853" s="4" t="s">
        <v>5</v>
      </c>
      <c r="C24853" s="4" t="s">
        <v>11</v>
      </c>
    </row>
    <row r="24854" spans="1:18">
      <c r="A24854" t="n">
        <v>239328</v>
      </c>
      <c r="B24854" s="29" t="n">
        <v>16</v>
      </c>
      <c r="C24854" s="7" t="n">
        <v>300</v>
      </c>
    </row>
    <row r="24855" spans="1:18">
      <c r="A24855" t="s">
        <v>4</v>
      </c>
      <c r="B24855" s="4" t="s">
        <v>5</v>
      </c>
      <c r="C24855" s="4" t="s">
        <v>7</v>
      </c>
      <c r="D24855" s="4" t="s">
        <v>11</v>
      </c>
      <c r="E24855" s="4" t="s">
        <v>8</v>
      </c>
    </row>
    <row r="24856" spans="1:18">
      <c r="A24856" t="n">
        <v>239331</v>
      </c>
      <c r="B24856" s="38" t="n">
        <v>51</v>
      </c>
      <c r="C24856" s="7" t="n">
        <v>4</v>
      </c>
      <c r="D24856" s="7" t="n">
        <v>0</v>
      </c>
      <c r="E24856" s="7" t="s">
        <v>173</v>
      </c>
    </row>
    <row r="24857" spans="1:18">
      <c r="A24857" t="s">
        <v>4</v>
      </c>
      <c r="B24857" s="4" t="s">
        <v>5</v>
      </c>
      <c r="C24857" s="4" t="s">
        <v>11</v>
      </c>
    </row>
    <row r="24858" spans="1:18">
      <c r="A24858" t="n">
        <v>239344</v>
      </c>
      <c r="B24858" s="29" t="n">
        <v>16</v>
      </c>
      <c r="C24858" s="7" t="n">
        <v>500</v>
      </c>
    </row>
    <row r="24859" spans="1:18">
      <c r="A24859" t="s">
        <v>4</v>
      </c>
      <c r="B24859" s="4" t="s">
        <v>5</v>
      </c>
      <c r="C24859" s="4" t="s">
        <v>11</v>
      </c>
      <c r="D24859" s="4" t="s">
        <v>7</v>
      </c>
      <c r="E24859" s="4" t="s">
        <v>15</v>
      </c>
      <c r="F24859" s="4" t="s">
        <v>55</v>
      </c>
      <c r="G24859" s="4" t="s">
        <v>7</v>
      </c>
      <c r="H24859" s="4" t="s">
        <v>7</v>
      </c>
      <c r="I24859" s="4" t="s">
        <v>7</v>
      </c>
      <c r="J24859" s="4" t="s">
        <v>15</v>
      </c>
      <c r="K24859" s="4" t="s">
        <v>55</v>
      </c>
      <c r="L24859" s="4" t="s">
        <v>7</v>
      </c>
      <c r="M24859" s="4" t="s">
        <v>7</v>
      </c>
      <c r="N24859" s="4" t="s">
        <v>7</v>
      </c>
      <c r="O24859" s="4" t="s">
        <v>15</v>
      </c>
      <c r="P24859" s="4" t="s">
        <v>55</v>
      </c>
      <c r="Q24859" s="4" t="s">
        <v>7</v>
      </c>
      <c r="R24859" s="4" t="s">
        <v>7</v>
      </c>
    </row>
    <row r="24860" spans="1:18">
      <c r="A24860" t="n">
        <v>239347</v>
      </c>
      <c r="B24860" s="55" t="n">
        <v>26</v>
      </c>
      <c r="C24860" s="7" t="n">
        <v>0</v>
      </c>
      <c r="D24860" s="7" t="n">
        <v>17</v>
      </c>
      <c r="E24860" s="7" t="n">
        <v>63842</v>
      </c>
      <c r="F24860" s="7" t="s">
        <v>422</v>
      </c>
      <c r="G24860" s="7" t="n">
        <v>2</v>
      </c>
      <c r="H24860" s="7" t="n">
        <v>3</v>
      </c>
      <c r="I24860" s="7" t="n">
        <v>17</v>
      </c>
      <c r="J24860" s="7" t="n">
        <v>63843</v>
      </c>
      <c r="K24860" s="7" t="s">
        <v>423</v>
      </c>
      <c r="L24860" s="7" t="n">
        <v>2</v>
      </c>
      <c r="M24860" s="7" t="n">
        <v>3</v>
      </c>
      <c r="N24860" s="7" t="n">
        <v>17</v>
      </c>
      <c r="O24860" s="7" t="n">
        <v>63844</v>
      </c>
      <c r="P24860" s="7" t="s">
        <v>424</v>
      </c>
      <c r="Q24860" s="7" t="n">
        <v>2</v>
      </c>
      <c r="R24860" s="7" t="n">
        <v>0</v>
      </c>
    </row>
    <row r="24861" spans="1:18">
      <c r="A24861" t="s">
        <v>4</v>
      </c>
      <c r="B24861" s="4" t="s">
        <v>5</v>
      </c>
    </row>
    <row r="24862" spans="1:18">
      <c r="A24862" t="n">
        <v>239659</v>
      </c>
      <c r="B24862" s="27" t="n">
        <v>28</v>
      </c>
    </row>
    <row r="24863" spans="1:18">
      <c r="A24863" t="s">
        <v>4</v>
      </c>
      <c r="B24863" s="4" t="s">
        <v>5</v>
      </c>
      <c r="C24863" s="4" t="s">
        <v>7</v>
      </c>
      <c r="D24863" s="4" t="s">
        <v>11</v>
      </c>
      <c r="E24863" s="4" t="s">
        <v>8</v>
      </c>
    </row>
    <row r="24864" spans="1:18">
      <c r="A24864" t="n">
        <v>239660</v>
      </c>
      <c r="B24864" s="38" t="n">
        <v>51</v>
      </c>
      <c r="C24864" s="7" t="n">
        <v>4</v>
      </c>
      <c r="D24864" s="7" t="n">
        <v>3</v>
      </c>
      <c r="E24864" s="7" t="s">
        <v>247</v>
      </c>
    </row>
    <row r="24865" spans="1:18">
      <c r="A24865" t="s">
        <v>4</v>
      </c>
      <c r="B24865" s="4" t="s">
        <v>5</v>
      </c>
      <c r="C24865" s="4" t="s">
        <v>11</v>
      </c>
    </row>
    <row r="24866" spans="1:18">
      <c r="A24866" t="n">
        <v>239674</v>
      </c>
      <c r="B24866" s="29" t="n">
        <v>16</v>
      </c>
      <c r="C24866" s="7" t="n">
        <v>500</v>
      </c>
    </row>
    <row r="24867" spans="1:18">
      <c r="A24867" t="s">
        <v>4</v>
      </c>
      <c r="B24867" s="4" t="s">
        <v>5</v>
      </c>
      <c r="C24867" s="4" t="s">
        <v>11</v>
      </c>
      <c r="D24867" s="4" t="s">
        <v>7</v>
      </c>
      <c r="E24867" s="4" t="s">
        <v>15</v>
      </c>
      <c r="F24867" s="4" t="s">
        <v>55</v>
      </c>
      <c r="G24867" s="4" t="s">
        <v>7</v>
      </c>
      <c r="H24867" s="4" t="s">
        <v>7</v>
      </c>
      <c r="I24867" s="4" t="s">
        <v>7</v>
      </c>
      <c r="J24867" s="4" t="s">
        <v>15</v>
      </c>
      <c r="K24867" s="4" t="s">
        <v>55</v>
      </c>
      <c r="L24867" s="4" t="s">
        <v>7</v>
      </c>
      <c r="M24867" s="4" t="s">
        <v>7</v>
      </c>
      <c r="N24867" s="4" t="s">
        <v>7</v>
      </c>
      <c r="O24867" s="4" t="s">
        <v>15</v>
      </c>
      <c r="P24867" s="4" t="s">
        <v>55</v>
      </c>
      <c r="Q24867" s="4" t="s">
        <v>7</v>
      </c>
      <c r="R24867" s="4" t="s">
        <v>7</v>
      </c>
      <c r="S24867" s="4" t="s">
        <v>7</v>
      </c>
      <c r="T24867" s="4" t="s">
        <v>15</v>
      </c>
      <c r="U24867" s="4" t="s">
        <v>55</v>
      </c>
      <c r="V24867" s="4" t="s">
        <v>7</v>
      </c>
      <c r="W24867" s="4" t="s">
        <v>7</v>
      </c>
    </row>
    <row r="24868" spans="1:18">
      <c r="A24868" t="n">
        <v>239677</v>
      </c>
      <c r="B24868" s="55" t="n">
        <v>26</v>
      </c>
      <c r="C24868" s="7" t="n">
        <v>3</v>
      </c>
      <c r="D24868" s="7" t="n">
        <v>17</v>
      </c>
      <c r="E24868" s="7" t="n">
        <v>2805</v>
      </c>
      <c r="F24868" s="7" t="s">
        <v>425</v>
      </c>
      <c r="G24868" s="7" t="n">
        <v>2</v>
      </c>
      <c r="H24868" s="7" t="n">
        <v>3</v>
      </c>
      <c r="I24868" s="7" t="n">
        <v>17</v>
      </c>
      <c r="J24868" s="7" t="n">
        <v>2806</v>
      </c>
      <c r="K24868" s="7" t="s">
        <v>426</v>
      </c>
      <c r="L24868" s="7" t="n">
        <v>2</v>
      </c>
      <c r="M24868" s="7" t="n">
        <v>3</v>
      </c>
      <c r="N24868" s="7" t="n">
        <v>17</v>
      </c>
      <c r="O24868" s="7" t="n">
        <v>2807</v>
      </c>
      <c r="P24868" s="7" t="s">
        <v>427</v>
      </c>
      <c r="Q24868" s="7" t="n">
        <v>2</v>
      </c>
      <c r="R24868" s="7" t="n">
        <v>3</v>
      </c>
      <c r="S24868" s="7" t="n">
        <v>17</v>
      </c>
      <c r="T24868" s="7" t="n">
        <v>2808</v>
      </c>
      <c r="U24868" s="7" t="s">
        <v>428</v>
      </c>
      <c r="V24868" s="7" t="n">
        <v>2</v>
      </c>
      <c r="W24868" s="7" t="n">
        <v>0</v>
      </c>
    </row>
    <row r="24869" spans="1:18">
      <c r="A24869" t="s">
        <v>4</v>
      </c>
      <c r="B24869" s="4" t="s">
        <v>5</v>
      </c>
    </row>
    <row r="24870" spans="1:18">
      <c r="A24870" t="n">
        <v>240032</v>
      </c>
      <c r="B24870" s="27" t="n">
        <v>28</v>
      </c>
    </row>
    <row r="24871" spans="1:18">
      <c r="A24871" t="s">
        <v>4</v>
      </c>
      <c r="B24871" s="4" t="s">
        <v>5</v>
      </c>
      <c r="C24871" s="4" t="s">
        <v>7</v>
      </c>
      <c r="D24871" s="4" t="s">
        <v>11</v>
      </c>
      <c r="E24871" s="4" t="s">
        <v>8</v>
      </c>
      <c r="F24871" s="4" t="s">
        <v>8</v>
      </c>
      <c r="G24871" s="4" t="s">
        <v>8</v>
      </c>
      <c r="H24871" s="4" t="s">
        <v>8</v>
      </c>
    </row>
    <row r="24872" spans="1:18">
      <c r="A24872" t="n">
        <v>240033</v>
      </c>
      <c r="B24872" s="38" t="n">
        <v>51</v>
      </c>
      <c r="C24872" s="7" t="n">
        <v>3</v>
      </c>
      <c r="D24872" s="7" t="n">
        <v>3</v>
      </c>
      <c r="E24872" s="7" t="s">
        <v>99</v>
      </c>
      <c r="F24872" s="7" t="s">
        <v>79</v>
      </c>
      <c r="G24872" s="7" t="s">
        <v>78</v>
      </c>
      <c r="H24872" s="7" t="s">
        <v>79</v>
      </c>
    </row>
    <row r="24873" spans="1:18">
      <c r="A24873" t="s">
        <v>4</v>
      </c>
      <c r="B24873" s="4" t="s">
        <v>5</v>
      </c>
      <c r="C24873" s="4" t="s">
        <v>11</v>
      </c>
      <c r="D24873" s="4" t="s">
        <v>13</v>
      </c>
      <c r="E24873" s="4" t="s">
        <v>13</v>
      </c>
      <c r="F24873" s="4" t="s">
        <v>13</v>
      </c>
      <c r="G24873" s="4" t="s">
        <v>11</v>
      </c>
      <c r="H24873" s="4" t="s">
        <v>11</v>
      </c>
    </row>
    <row r="24874" spans="1:18">
      <c r="A24874" t="n">
        <v>240046</v>
      </c>
      <c r="B24874" s="37" t="n">
        <v>60</v>
      </c>
      <c r="C24874" s="7" t="n">
        <v>3</v>
      </c>
      <c r="D24874" s="7" t="n">
        <v>0</v>
      </c>
      <c r="E24874" s="7" t="n">
        <v>-10</v>
      </c>
      <c r="F24874" s="7" t="n">
        <v>0</v>
      </c>
      <c r="G24874" s="7" t="n">
        <v>1000</v>
      </c>
      <c r="H24874" s="7" t="n">
        <v>0</v>
      </c>
    </row>
    <row r="24875" spans="1:18">
      <c r="A24875" t="s">
        <v>4</v>
      </c>
      <c r="B24875" s="4" t="s">
        <v>5</v>
      </c>
      <c r="C24875" s="4" t="s">
        <v>11</v>
      </c>
    </row>
    <row r="24876" spans="1:18">
      <c r="A24876" t="n">
        <v>240065</v>
      </c>
      <c r="B24876" s="29" t="n">
        <v>16</v>
      </c>
      <c r="C24876" s="7" t="n">
        <v>800</v>
      </c>
    </row>
    <row r="24877" spans="1:18">
      <c r="A24877" t="s">
        <v>4</v>
      </c>
      <c r="B24877" s="4" t="s">
        <v>5</v>
      </c>
      <c r="C24877" s="4" t="s">
        <v>7</v>
      </c>
      <c r="D24877" s="4" t="s">
        <v>11</v>
      </c>
      <c r="E24877" s="4" t="s">
        <v>8</v>
      </c>
    </row>
    <row r="24878" spans="1:18">
      <c r="A24878" t="n">
        <v>240068</v>
      </c>
      <c r="B24878" s="38" t="n">
        <v>51</v>
      </c>
      <c r="C24878" s="7" t="n">
        <v>4</v>
      </c>
      <c r="D24878" s="7" t="n">
        <v>3</v>
      </c>
      <c r="E24878" s="7" t="s">
        <v>235</v>
      </c>
    </row>
    <row r="24879" spans="1:18">
      <c r="A24879" t="s">
        <v>4</v>
      </c>
      <c r="B24879" s="4" t="s">
        <v>5</v>
      </c>
      <c r="C24879" s="4" t="s">
        <v>11</v>
      </c>
    </row>
    <row r="24880" spans="1:18">
      <c r="A24880" t="n">
        <v>240082</v>
      </c>
      <c r="B24880" s="29" t="n">
        <v>16</v>
      </c>
      <c r="C24880" s="7" t="n">
        <v>0</v>
      </c>
    </row>
    <row r="24881" spans="1:23">
      <c r="A24881" t="s">
        <v>4</v>
      </c>
      <c r="B24881" s="4" t="s">
        <v>5</v>
      </c>
      <c r="C24881" s="4" t="s">
        <v>11</v>
      </c>
      <c r="D24881" s="4" t="s">
        <v>7</v>
      </c>
      <c r="E24881" s="4" t="s">
        <v>15</v>
      </c>
      <c r="F24881" s="4" t="s">
        <v>55</v>
      </c>
      <c r="G24881" s="4" t="s">
        <v>7</v>
      </c>
      <c r="H24881" s="4" t="s">
        <v>7</v>
      </c>
    </row>
    <row r="24882" spans="1:23">
      <c r="A24882" t="n">
        <v>240085</v>
      </c>
      <c r="B24882" s="55" t="n">
        <v>26</v>
      </c>
      <c r="C24882" s="7" t="n">
        <v>3</v>
      </c>
      <c r="D24882" s="7" t="n">
        <v>17</v>
      </c>
      <c r="E24882" s="7" t="n">
        <v>2809</v>
      </c>
      <c r="F24882" s="7" t="s">
        <v>429</v>
      </c>
      <c r="G24882" s="7" t="n">
        <v>2</v>
      </c>
      <c r="H24882" s="7" t="n">
        <v>0</v>
      </c>
    </row>
    <row r="24883" spans="1:23">
      <c r="A24883" t="s">
        <v>4</v>
      </c>
      <c r="B24883" s="4" t="s">
        <v>5</v>
      </c>
    </row>
    <row r="24884" spans="1:23">
      <c r="A24884" t="n">
        <v>240149</v>
      </c>
      <c r="B24884" s="27" t="n">
        <v>28</v>
      </c>
    </row>
    <row r="24885" spans="1:23">
      <c r="A24885" t="s">
        <v>4</v>
      </c>
      <c r="B24885" s="4" t="s">
        <v>5</v>
      </c>
      <c r="C24885" s="4" t="s">
        <v>7</v>
      </c>
      <c r="D24885" s="4" t="s">
        <v>11</v>
      </c>
      <c r="E24885" s="4" t="s">
        <v>8</v>
      </c>
    </row>
    <row r="24886" spans="1:23">
      <c r="A24886" t="n">
        <v>240150</v>
      </c>
      <c r="B24886" s="38" t="n">
        <v>51</v>
      </c>
      <c r="C24886" s="7" t="n">
        <v>4</v>
      </c>
      <c r="D24886" s="7" t="n">
        <v>0</v>
      </c>
      <c r="E24886" s="7" t="s">
        <v>430</v>
      </c>
    </row>
    <row r="24887" spans="1:23">
      <c r="A24887" t="s">
        <v>4</v>
      </c>
      <c r="B24887" s="4" t="s">
        <v>5</v>
      </c>
      <c r="C24887" s="4" t="s">
        <v>11</v>
      </c>
    </row>
    <row r="24888" spans="1:23">
      <c r="A24888" t="n">
        <v>240163</v>
      </c>
      <c r="B24888" s="29" t="n">
        <v>16</v>
      </c>
      <c r="C24888" s="7" t="n">
        <v>0</v>
      </c>
    </row>
    <row r="24889" spans="1:23">
      <c r="A24889" t="s">
        <v>4</v>
      </c>
      <c r="B24889" s="4" t="s">
        <v>5</v>
      </c>
      <c r="C24889" s="4" t="s">
        <v>11</v>
      </c>
      <c r="D24889" s="4" t="s">
        <v>7</v>
      </c>
      <c r="E24889" s="4" t="s">
        <v>15</v>
      </c>
      <c r="F24889" s="4" t="s">
        <v>55</v>
      </c>
      <c r="G24889" s="4" t="s">
        <v>7</v>
      </c>
      <c r="H24889" s="4" t="s">
        <v>7</v>
      </c>
    </row>
    <row r="24890" spans="1:23">
      <c r="A24890" t="n">
        <v>240166</v>
      </c>
      <c r="B24890" s="55" t="n">
        <v>26</v>
      </c>
      <c r="C24890" s="7" t="n">
        <v>0</v>
      </c>
      <c r="D24890" s="7" t="n">
        <v>17</v>
      </c>
      <c r="E24890" s="7" t="n">
        <v>63845</v>
      </c>
      <c r="F24890" s="7" t="s">
        <v>431</v>
      </c>
      <c r="G24890" s="7" t="n">
        <v>2</v>
      </c>
      <c r="H24890" s="7" t="n">
        <v>0</v>
      </c>
    </row>
    <row r="24891" spans="1:23">
      <c r="A24891" t="s">
        <v>4</v>
      </c>
      <c r="B24891" s="4" t="s">
        <v>5</v>
      </c>
    </row>
    <row r="24892" spans="1:23">
      <c r="A24892" t="n">
        <v>240202</v>
      </c>
      <c r="B24892" s="27" t="n">
        <v>28</v>
      </c>
    </row>
    <row r="24893" spans="1:23">
      <c r="A24893" t="s">
        <v>4</v>
      </c>
      <c r="B24893" s="4" t="s">
        <v>5</v>
      </c>
      <c r="C24893" s="4" t="s">
        <v>7</v>
      </c>
      <c r="D24893" s="4" t="s">
        <v>11</v>
      </c>
      <c r="E24893" s="4" t="s">
        <v>8</v>
      </c>
    </row>
    <row r="24894" spans="1:23">
      <c r="A24894" t="n">
        <v>240203</v>
      </c>
      <c r="B24894" s="38" t="n">
        <v>51</v>
      </c>
      <c r="C24894" s="7" t="n">
        <v>4</v>
      </c>
      <c r="D24894" s="7" t="n">
        <v>3</v>
      </c>
      <c r="E24894" s="7" t="s">
        <v>432</v>
      </c>
    </row>
    <row r="24895" spans="1:23">
      <c r="A24895" t="s">
        <v>4</v>
      </c>
      <c r="B24895" s="4" t="s">
        <v>5</v>
      </c>
      <c r="C24895" s="4" t="s">
        <v>11</v>
      </c>
    </row>
    <row r="24896" spans="1:23">
      <c r="A24896" t="n">
        <v>240216</v>
      </c>
      <c r="B24896" s="29" t="n">
        <v>16</v>
      </c>
      <c r="C24896" s="7" t="n">
        <v>0</v>
      </c>
    </row>
    <row r="24897" spans="1:8">
      <c r="A24897" t="s">
        <v>4</v>
      </c>
      <c r="B24897" s="4" t="s">
        <v>5</v>
      </c>
      <c r="C24897" s="4" t="s">
        <v>11</v>
      </c>
      <c r="D24897" s="4" t="s">
        <v>7</v>
      </c>
      <c r="E24897" s="4" t="s">
        <v>15</v>
      </c>
      <c r="F24897" s="4" t="s">
        <v>55</v>
      </c>
      <c r="G24897" s="4" t="s">
        <v>7</v>
      </c>
      <c r="H24897" s="4" t="s">
        <v>7</v>
      </c>
      <c r="I24897" s="4" t="s">
        <v>7</v>
      </c>
      <c r="J24897" s="4" t="s">
        <v>15</v>
      </c>
      <c r="K24897" s="4" t="s">
        <v>55</v>
      </c>
      <c r="L24897" s="4" t="s">
        <v>7</v>
      </c>
      <c r="M24897" s="4" t="s">
        <v>7</v>
      </c>
    </row>
    <row r="24898" spans="1:8">
      <c r="A24898" t="n">
        <v>240219</v>
      </c>
      <c r="B24898" s="55" t="n">
        <v>26</v>
      </c>
      <c r="C24898" s="7" t="n">
        <v>3</v>
      </c>
      <c r="D24898" s="7" t="n">
        <v>17</v>
      </c>
      <c r="E24898" s="7" t="n">
        <v>2810</v>
      </c>
      <c r="F24898" s="7" t="s">
        <v>433</v>
      </c>
      <c r="G24898" s="7" t="n">
        <v>2</v>
      </c>
      <c r="H24898" s="7" t="n">
        <v>3</v>
      </c>
      <c r="I24898" s="7" t="n">
        <v>17</v>
      </c>
      <c r="J24898" s="7" t="n">
        <v>2811</v>
      </c>
      <c r="K24898" s="7" t="s">
        <v>434</v>
      </c>
      <c r="L24898" s="7" t="n">
        <v>2</v>
      </c>
      <c r="M24898" s="7" t="n">
        <v>0</v>
      </c>
    </row>
    <row r="24899" spans="1:8">
      <c r="A24899" t="s">
        <v>4</v>
      </c>
      <c r="B24899" s="4" t="s">
        <v>5</v>
      </c>
    </row>
    <row r="24900" spans="1:8">
      <c r="A24900" t="n">
        <v>240405</v>
      </c>
      <c r="B24900" s="27" t="n">
        <v>28</v>
      </c>
    </row>
    <row r="24901" spans="1:8">
      <c r="A24901" t="s">
        <v>4</v>
      </c>
      <c r="B24901" s="4" t="s">
        <v>5</v>
      </c>
      <c r="C24901" s="4" t="s">
        <v>7</v>
      </c>
      <c r="D24901" s="4" t="s">
        <v>11</v>
      </c>
      <c r="E24901" s="4" t="s">
        <v>8</v>
      </c>
    </row>
    <row r="24902" spans="1:8">
      <c r="A24902" t="n">
        <v>240406</v>
      </c>
      <c r="B24902" s="38" t="n">
        <v>51</v>
      </c>
      <c r="C24902" s="7" t="n">
        <v>4</v>
      </c>
      <c r="D24902" s="7" t="n">
        <v>0</v>
      </c>
      <c r="E24902" s="7" t="s">
        <v>147</v>
      </c>
    </row>
    <row r="24903" spans="1:8">
      <c r="A24903" t="s">
        <v>4</v>
      </c>
      <c r="B24903" s="4" t="s">
        <v>5</v>
      </c>
      <c r="C24903" s="4" t="s">
        <v>11</v>
      </c>
    </row>
    <row r="24904" spans="1:8">
      <c r="A24904" t="n">
        <v>240420</v>
      </c>
      <c r="B24904" s="29" t="n">
        <v>16</v>
      </c>
      <c r="C24904" s="7" t="n">
        <v>0</v>
      </c>
    </row>
    <row r="24905" spans="1:8">
      <c r="A24905" t="s">
        <v>4</v>
      </c>
      <c r="B24905" s="4" t="s">
        <v>5</v>
      </c>
      <c r="C24905" s="4" t="s">
        <v>11</v>
      </c>
      <c r="D24905" s="4" t="s">
        <v>7</v>
      </c>
      <c r="E24905" s="4" t="s">
        <v>15</v>
      </c>
      <c r="F24905" s="4" t="s">
        <v>55</v>
      </c>
      <c r="G24905" s="4" t="s">
        <v>7</v>
      </c>
      <c r="H24905" s="4" t="s">
        <v>7</v>
      </c>
    </row>
    <row r="24906" spans="1:8">
      <c r="A24906" t="n">
        <v>240423</v>
      </c>
      <c r="B24906" s="55" t="n">
        <v>26</v>
      </c>
      <c r="C24906" s="7" t="n">
        <v>0</v>
      </c>
      <c r="D24906" s="7" t="n">
        <v>17</v>
      </c>
      <c r="E24906" s="7" t="n">
        <v>63846</v>
      </c>
      <c r="F24906" s="7" t="s">
        <v>435</v>
      </c>
      <c r="G24906" s="7" t="n">
        <v>2</v>
      </c>
      <c r="H24906" s="7" t="n">
        <v>0</v>
      </c>
    </row>
    <row r="24907" spans="1:8">
      <c r="A24907" t="s">
        <v>4</v>
      </c>
      <c r="B24907" s="4" t="s">
        <v>5</v>
      </c>
    </row>
    <row r="24908" spans="1:8">
      <c r="A24908" t="n">
        <v>240458</v>
      </c>
      <c r="B24908" s="27" t="n">
        <v>28</v>
      </c>
    </row>
    <row r="24909" spans="1:8">
      <c r="A24909" t="s">
        <v>4</v>
      </c>
      <c r="B24909" s="4" t="s">
        <v>5</v>
      </c>
      <c r="C24909" s="4" t="s">
        <v>11</v>
      </c>
    </row>
    <row r="24910" spans="1:8">
      <c r="A24910" t="n">
        <v>240459</v>
      </c>
      <c r="B24910" s="29" t="n">
        <v>16</v>
      </c>
      <c r="C24910" s="7" t="n">
        <v>300</v>
      </c>
    </row>
    <row r="24911" spans="1:8">
      <c r="A24911" t="s">
        <v>4</v>
      </c>
      <c r="B24911" s="4" t="s">
        <v>5</v>
      </c>
      <c r="C24911" s="4" t="s">
        <v>7</v>
      </c>
      <c r="D24911" s="4" t="s">
        <v>11</v>
      </c>
      <c r="E24911" s="4" t="s">
        <v>8</v>
      </c>
    </row>
    <row r="24912" spans="1:8">
      <c r="A24912" t="n">
        <v>240462</v>
      </c>
      <c r="B24912" s="38" t="n">
        <v>51</v>
      </c>
      <c r="C24912" s="7" t="n">
        <v>4</v>
      </c>
      <c r="D24912" s="7" t="n">
        <v>3</v>
      </c>
      <c r="E24912" s="7" t="s">
        <v>235</v>
      </c>
    </row>
    <row r="24913" spans="1:13">
      <c r="A24913" t="s">
        <v>4</v>
      </c>
      <c r="B24913" s="4" t="s">
        <v>5</v>
      </c>
      <c r="C24913" s="4" t="s">
        <v>11</v>
      </c>
    </row>
    <row r="24914" spans="1:13">
      <c r="A24914" t="n">
        <v>240476</v>
      </c>
      <c r="B24914" s="29" t="n">
        <v>16</v>
      </c>
      <c r="C24914" s="7" t="n">
        <v>0</v>
      </c>
    </row>
    <row r="24915" spans="1:13">
      <c r="A24915" t="s">
        <v>4</v>
      </c>
      <c r="B24915" s="4" t="s">
        <v>5</v>
      </c>
      <c r="C24915" s="4" t="s">
        <v>11</v>
      </c>
      <c r="D24915" s="4" t="s">
        <v>7</v>
      </c>
      <c r="E24915" s="4" t="s">
        <v>15</v>
      </c>
      <c r="F24915" s="4" t="s">
        <v>55</v>
      </c>
      <c r="G24915" s="4" t="s">
        <v>7</v>
      </c>
      <c r="H24915" s="4" t="s">
        <v>7</v>
      </c>
      <c r="I24915" s="4" t="s">
        <v>7</v>
      </c>
      <c r="J24915" s="4" t="s">
        <v>15</v>
      </c>
      <c r="K24915" s="4" t="s">
        <v>55</v>
      </c>
      <c r="L24915" s="4" t="s">
        <v>7</v>
      </c>
      <c r="M24915" s="4" t="s">
        <v>7</v>
      </c>
      <c r="N24915" s="4" t="s">
        <v>7</v>
      </c>
      <c r="O24915" s="4" t="s">
        <v>15</v>
      </c>
      <c r="P24915" s="4" t="s">
        <v>55</v>
      </c>
      <c r="Q24915" s="4" t="s">
        <v>7</v>
      </c>
      <c r="R24915" s="4" t="s">
        <v>7</v>
      </c>
    </row>
    <row r="24916" spans="1:13">
      <c r="A24916" t="n">
        <v>240479</v>
      </c>
      <c r="B24916" s="55" t="n">
        <v>26</v>
      </c>
      <c r="C24916" s="7" t="n">
        <v>3</v>
      </c>
      <c r="D24916" s="7" t="n">
        <v>17</v>
      </c>
      <c r="E24916" s="7" t="n">
        <v>2812</v>
      </c>
      <c r="F24916" s="7" t="s">
        <v>436</v>
      </c>
      <c r="G24916" s="7" t="n">
        <v>2</v>
      </c>
      <c r="H24916" s="7" t="n">
        <v>3</v>
      </c>
      <c r="I24916" s="7" t="n">
        <v>17</v>
      </c>
      <c r="J24916" s="7" t="n">
        <v>2813</v>
      </c>
      <c r="K24916" s="7" t="s">
        <v>437</v>
      </c>
      <c r="L24916" s="7" t="n">
        <v>2</v>
      </c>
      <c r="M24916" s="7" t="n">
        <v>3</v>
      </c>
      <c r="N24916" s="7" t="n">
        <v>17</v>
      </c>
      <c r="O24916" s="7" t="n">
        <v>2814</v>
      </c>
      <c r="P24916" s="7" t="s">
        <v>438</v>
      </c>
      <c r="Q24916" s="7" t="n">
        <v>2</v>
      </c>
      <c r="R24916" s="7" t="n">
        <v>0</v>
      </c>
    </row>
    <row r="24917" spans="1:13">
      <c r="A24917" t="s">
        <v>4</v>
      </c>
      <c r="B24917" s="4" t="s">
        <v>5</v>
      </c>
    </row>
    <row r="24918" spans="1:13">
      <c r="A24918" t="n">
        <v>240809</v>
      </c>
      <c r="B24918" s="27" t="n">
        <v>28</v>
      </c>
    </row>
    <row r="24919" spans="1:13">
      <c r="A24919" t="s">
        <v>4</v>
      </c>
      <c r="B24919" s="4" t="s">
        <v>5</v>
      </c>
      <c r="C24919" s="4" t="s">
        <v>11</v>
      </c>
      <c r="D24919" s="4" t="s">
        <v>7</v>
      </c>
      <c r="E24919" s="4" t="s">
        <v>8</v>
      </c>
      <c r="F24919" s="4" t="s">
        <v>13</v>
      </c>
      <c r="G24919" s="4" t="s">
        <v>13</v>
      </c>
      <c r="H24919" s="4" t="s">
        <v>13</v>
      </c>
    </row>
    <row r="24920" spans="1:13">
      <c r="A24920" t="n">
        <v>240810</v>
      </c>
      <c r="B24920" s="42" t="n">
        <v>48</v>
      </c>
      <c r="C24920" s="7" t="n">
        <v>3</v>
      </c>
      <c r="D24920" s="7" t="n">
        <v>0</v>
      </c>
      <c r="E24920" s="7" t="s">
        <v>392</v>
      </c>
      <c r="F24920" s="7" t="n">
        <v>-1</v>
      </c>
      <c r="G24920" s="7" t="n">
        <v>1</v>
      </c>
      <c r="H24920" s="7" t="n">
        <v>0</v>
      </c>
    </row>
    <row r="24921" spans="1:13">
      <c r="A24921" t="s">
        <v>4</v>
      </c>
      <c r="B24921" s="4" t="s">
        <v>5</v>
      </c>
      <c r="C24921" s="4" t="s">
        <v>7</v>
      </c>
      <c r="D24921" s="4" t="s">
        <v>11</v>
      </c>
      <c r="E24921" s="4" t="s">
        <v>8</v>
      </c>
      <c r="F24921" s="4" t="s">
        <v>8</v>
      </c>
      <c r="G24921" s="4" t="s">
        <v>8</v>
      </c>
      <c r="H24921" s="4" t="s">
        <v>8</v>
      </c>
    </row>
    <row r="24922" spans="1:13">
      <c r="A24922" t="n">
        <v>240838</v>
      </c>
      <c r="B24922" s="38" t="n">
        <v>51</v>
      </c>
      <c r="C24922" s="7" t="n">
        <v>3</v>
      </c>
      <c r="D24922" s="7" t="n">
        <v>3</v>
      </c>
      <c r="E24922" s="7" t="s">
        <v>86</v>
      </c>
      <c r="F24922" s="7" t="s">
        <v>232</v>
      </c>
      <c r="G24922" s="7" t="s">
        <v>78</v>
      </c>
      <c r="H24922" s="7" t="s">
        <v>79</v>
      </c>
    </row>
    <row r="24923" spans="1:13">
      <c r="A24923" t="s">
        <v>4</v>
      </c>
      <c r="B24923" s="4" t="s">
        <v>5</v>
      </c>
      <c r="C24923" s="4" t="s">
        <v>11</v>
      </c>
      <c r="D24923" s="4" t="s">
        <v>13</v>
      </c>
      <c r="E24923" s="4" t="s">
        <v>13</v>
      </c>
      <c r="F24923" s="4" t="s">
        <v>13</v>
      </c>
      <c r="G24923" s="4" t="s">
        <v>11</v>
      </c>
      <c r="H24923" s="4" t="s">
        <v>11</v>
      </c>
    </row>
    <row r="24924" spans="1:13">
      <c r="A24924" t="n">
        <v>240851</v>
      </c>
      <c r="B24924" s="37" t="n">
        <v>60</v>
      </c>
      <c r="C24924" s="7" t="n">
        <v>3</v>
      </c>
      <c r="D24924" s="7" t="n">
        <v>0</v>
      </c>
      <c r="E24924" s="7" t="n">
        <v>0</v>
      </c>
      <c r="F24924" s="7" t="n">
        <v>0</v>
      </c>
      <c r="G24924" s="7" t="n">
        <v>1000</v>
      </c>
      <c r="H24924" s="7" t="n">
        <v>0</v>
      </c>
    </row>
    <row r="24925" spans="1:13">
      <c r="A24925" t="s">
        <v>4</v>
      </c>
      <c r="B24925" s="4" t="s">
        <v>5</v>
      </c>
      <c r="C24925" s="4" t="s">
        <v>11</v>
      </c>
    </row>
    <row r="24926" spans="1:13">
      <c r="A24926" t="n">
        <v>240870</v>
      </c>
      <c r="B24926" s="29" t="n">
        <v>16</v>
      </c>
      <c r="C24926" s="7" t="n">
        <v>1000</v>
      </c>
    </row>
    <row r="24927" spans="1:13">
      <c r="A24927" t="s">
        <v>4</v>
      </c>
      <c r="B24927" s="4" t="s">
        <v>5</v>
      </c>
      <c r="C24927" s="4" t="s">
        <v>7</v>
      </c>
      <c r="D24927" s="4" t="s">
        <v>11</v>
      </c>
      <c r="E24927" s="4" t="s">
        <v>8</v>
      </c>
    </row>
    <row r="24928" spans="1:13">
      <c r="A24928" t="n">
        <v>240873</v>
      </c>
      <c r="B24928" s="38" t="n">
        <v>51</v>
      </c>
      <c r="C24928" s="7" t="n">
        <v>4</v>
      </c>
      <c r="D24928" s="7" t="n">
        <v>3</v>
      </c>
      <c r="E24928" s="7" t="s">
        <v>359</v>
      </c>
    </row>
    <row r="24929" spans="1:18">
      <c r="A24929" t="s">
        <v>4</v>
      </c>
      <c r="B24929" s="4" t="s">
        <v>5</v>
      </c>
      <c r="C24929" s="4" t="s">
        <v>11</v>
      </c>
    </row>
    <row r="24930" spans="1:18">
      <c r="A24930" t="n">
        <v>240892</v>
      </c>
      <c r="B24930" s="29" t="n">
        <v>16</v>
      </c>
      <c r="C24930" s="7" t="n">
        <v>0</v>
      </c>
    </row>
    <row r="24931" spans="1:18">
      <c r="A24931" t="s">
        <v>4</v>
      </c>
      <c r="B24931" s="4" t="s">
        <v>5</v>
      </c>
      <c r="C24931" s="4" t="s">
        <v>11</v>
      </c>
      <c r="D24931" s="4" t="s">
        <v>7</v>
      </c>
      <c r="E24931" s="4" t="s">
        <v>15</v>
      </c>
      <c r="F24931" s="4" t="s">
        <v>55</v>
      </c>
      <c r="G24931" s="4" t="s">
        <v>7</v>
      </c>
      <c r="H24931" s="4" t="s">
        <v>7</v>
      </c>
    </row>
    <row r="24932" spans="1:18">
      <c r="A24932" t="n">
        <v>240895</v>
      </c>
      <c r="B24932" s="55" t="n">
        <v>26</v>
      </c>
      <c r="C24932" s="7" t="n">
        <v>3</v>
      </c>
      <c r="D24932" s="7" t="n">
        <v>17</v>
      </c>
      <c r="E24932" s="7" t="n">
        <v>2815</v>
      </c>
      <c r="F24932" s="7" t="s">
        <v>439</v>
      </c>
      <c r="G24932" s="7" t="n">
        <v>2</v>
      </c>
      <c r="H24932" s="7" t="n">
        <v>0</v>
      </c>
    </row>
    <row r="24933" spans="1:18">
      <c r="A24933" t="s">
        <v>4</v>
      </c>
      <c r="B24933" s="4" t="s">
        <v>5</v>
      </c>
    </row>
    <row r="24934" spans="1:18">
      <c r="A24934" t="n">
        <v>240938</v>
      </c>
      <c r="B24934" s="27" t="n">
        <v>28</v>
      </c>
    </row>
    <row r="24935" spans="1:18">
      <c r="A24935" t="s">
        <v>4</v>
      </c>
      <c r="B24935" s="4" t="s">
        <v>5</v>
      </c>
      <c r="C24935" s="4" t="s">
        <v>7</v>
      </c>
      <c r="D24935" s="4" t="s">
        <v>11</v>
      </c>
      <c r="E24935" s="4" t="s">
        <v>8</v>
      </c>
    </row>
    <row r="24936" spans="1:18">
      <c r="A24936" t="n">
        <v>240939</v>
      </c>
      <c r="B24936" s="38" t="n">
        <v>51</v>
      </c>
      <c r="C24936" s="7" t="n">
        <v>4</v>
      </c>
      <c r="D24936" s="7" t="n">
        <v>0</v>
      </c>
      <c r="E24936" s="7" t="s">
        <v>322</v>
      </c>
    </row>
    <row r="24937" spans="1:18">
      <c r="A24937" t="s">
        <v>4</v>
      </c>
      <c r="B24937" s="4" t="s">
        <v>5</v>
      </c>
      <c r="C24937" s="4" t="s">
        <v>11</v>
      </c>
    </row>
    <row r="24938" spans="1:18">
      <c r="A24938" t="n">
        <v>240953</v>
      </c>
      <c r="B24938" s="29" t="n">
        <v>16</v>
      </c>
      <c r="C24938" s="7" t="n">
        <v>0</v>
      </c>
    </row>
    <row r="24939" spans="1:18">
      <c r="A24939" t="s">
        <v>4</v>
      </c>
      <c r="B24939" s="4" t="s">
        <v>5</v>
      </c>
      <c r="C24939" s="4" t="s">
        <v>11</v>
      </c>
      <c r="D24939" s="4" t="s">
        <v>7</v>
      </c>
      <c r="E24939" s="4" t="s">
        <v>15</v>
      </c>
      <c r="F24939" s="4" t="s">
        <v>55</v>
      </c>
      <c r="G24939" s="4" t="s">
        <v>7</v>
      </c>
      <c r="H24939" s="4" t="s">
        <v>7</v>
      </c>
    </row>
    <row r="24940" spans="1:18">
      <c r="A24940" t="n">
        <v>240956</v>
      </c>
      <c r="B24940" s="55" t="n">
        <v>26</v>
      </c>
      <c r="C24940" s="7" t="n">
        <v>0</v>
      </c>
      <c r="D24940" s="7" t="n">
        <v>17</v>
      </c>
      <c r="E24940" s="7" t="n">
        <v>63847</v>
      </c>
      <c r="F24940" s="7" t="s">
        <v>440</v>
      </c>
      <c r="G24940" s="7" t="n">
        <v>2</v>
      </c>
      <c r="H24940" s="7" t="n">
        <v>0</v>
      </c>
    </row>
    <row r="24941" spans="1:18">
      <c r="A24941" t="s">
        <v>4</v>
      </c>
      <c r="B24941" s="4" t="s">
        <v>5</v>
      </c>
    </row>
    <row r="24942" spans="1:18">
      <c r="A24942" t="n">
        <v>240983</v>
      </c>
      <c r="B24942" s="27" t="n">
        <v>28</v>
      </c>
    </row>
    <row r="24943" spans="1:18">
      <c r="A24943" t="s">
        <v>4</v>
      </c>
      <c r="B24943" s="4" t="s">
        <v>5</v>
      </c>
      <c r="C24943" s="4" t="s">
        <v>7</v>
      </c>
      <c r="D24943" s="4" t="s">
        <v>11</v>
      </c>
      <c r="E24943" s="4" t="s">
        <v>8</v>
      </c>
    </row>
    <row r="24944" spans="1:18">
      <c r="A24944" t="n">
        <v>240984</v>
      </c>
      <c r="B24944" s="38" t="n">
        <v>51</v>
      </c>
      <c r="C24944" s="7" t="n">
        <v>4</v>
      </c>
      <c r="D24944" s="7" t="n">
        <v>3</v>
      </c>
      <c r="E24944" s="7" t="s">
        <v>441</v>
      </c>
    </row>
    <row r="24945" spans="1:8">
      <c r="A24945" t="s">
        <v>4</v>
      </c>
      <c r="B24945" s="4" t="s">
        <v>5</v>
      </c>
      <c r="C24945" s="4" t="s">
        <v>11</v>
      </c>
    </row>
    <row r="24946" spans="1:8">
      <c r="A24946" t="n">
        <v>240998</v>
      </c>
      <c r="B24946" s="29" t="n">
        <v>16</v>
      </c>
      <c r="C24946" s="7" t="n">
        <v>0</v>
      </c>
    </row>
    <row r="24947" spans="1:8">
      <c r="A24947" t="s">
        <v>4</v>
      </c>
      <c r="B24947" s="4" t="s">
        <v>5</v>
      </c>
      <c r="C24947" s="4" t="s">
        <v>11</v>
      </c>
      <c r="D24947" s="4" t="s">
        <v>7</v>
      </c>
      <c r="E24947" s="4" t="s">
        <v>15</v>
      </c>
      <c r="F24947" s="4" t="s">
        <v>55</v>
      </c>
      <c r="G24947" s="4" t="s">
        <v>7</v>
      </c>
      <c r="H24947" s="4" t="s">
        <v>7</v>
      </c>
      <c r="I24947" s="4" t="s">
        <v>7</v>
      </c>
      <c r="J24947" s="4" t="s">
        <v>15</v>
      </c>
      <c r="K24947" s="4" t="s">
        <v>55</v>
      </c>
      <c r="L24947" s="4" t="s">
        <v>7</v>
      </c>
      <c r="M24947" s="4" t="s">
        <v>7</v>
      </c>
      <c r="N24947" s="4" t="s">
        <v>7</v>
      </c>
      <c r="O24947" s="4" t="s">
        <v>15</v>
      </c>
      <c r="P24947" s="4" t="s">
        <v>55</v>
      </c>
      <c r="Q24947" s="4" t="s">
        <v>7</v>
      </c>
      <c r="R24947" s="4" t="s">
        <v>7</v>
      </c>
      <c r="S24947" s="4" t="s">
        <v>7</v>
      </c>
      <c r="T24947" s="4" t="s">
        <v>15</v>
      </c>
      <c r="U24947" s="4" t="s">
        <v>55</v>
      </c>
      <c r="V24947" s="4" t="s">
        <v>7</v>
      </c>
      <c r="W24947" s="4" t="s">
        <v>7</v>
      </c>
    </row>
    <row r="24948" spans="1:8">
      <c r="A24948" t="n">
        <v>241001</v>
      </c>
      <c r="B24948" s="55" t="n">
        <v>26</v>
      </c>
      <c r="C24948" s="7" t="n">
        <v>3</v>
      </c>
      <c r="D24948" s="7" t="n">
        <v>17</v>
      </c>
      <c r="E24948" s="7" t="n">
        <v>2816</v>
      </c>
      <c r="F24948" s="7" t="s">
        <v>442</v>
      </c>
      <c r="G24948" s="7" t="n">
        <v>2</v>
      </c>
      <c r="H24948" s="7" t="n">
        <v>3</v>
      </c>
      <c r="I24948" s="7" t="n">
        <v>17</v>
      </c>
      <c r="J24948" s="7" t="n">
        <v>2817</v>
      </c>
      <c r="K24948" s="7" t="s">
        <v>443</v>
      </c>
      <c r="L24948" s="7" t="n">
        <v>2</v>
      </c>
      <c r="M24948" s="7" t="n">
        <v>3</v>
      </c>
      <c r="N24948" s="7" t="n">
        <v>17</v>
      </c>
      <c r="O24948" s="7" t="n">
        <v>2818</v>
      </c>
      <c r="P24948" s="7" t="s">
        <v>444</v>
      </c>
      <c r="Q24948" s="7" t="n">
        <v>2</v>
      </c>
      <c r="R24948" s="7" t="n">
        <v>3</v>
      </c>
      <c r="S24948" s="7" t="n">
        <v>17</v>
      </c>
      <c r="T24948" s="7" t="n">
        <v>2819</v>
      </c>
      <c r="U24948" s="7" t="s">
        <v>445</v>
      </c>
      <c r="V24948" s="7" t="n">
        <v>2</v>
      </c>
      <c r="W24948" s="7" t="n">
        <v>0</v>
      </c>
    </row>
    <row r="24949" spans="1:8">
      <c r="A24949" t="s">
        <v>4</v>
      </c>
      <c r="B24949" s="4" t="s">
        <v>5</v>
      </c>
    </row>
    <row r="24950" spans="1:8">
      <c r="A24950" t="n">
        <v>241236</v>
      </c>
      <c r="B24950" s="27" t="n">
        <v>28</v>
      </c>
    </row>
    <row r="24951" spans="1:8">
      <c r="A24951" t="s">
        <v>4</v>
      </c>
      <c r="B24951" s="4" t="s">
        <v>5</v>
      </c>
      <c r="C24951" s="4" t="s">
        <v>11</v>
      </c>
      <c r="D24951" s="4" t="s">
        <v>7</v>
      </c>
    </row>
    <row r="24952" spans="1:8">
      <c r="A24952" t="n">
        <v>241237</v>
      </c>
      <c r="B24952" s="68" t="n">
        <v>89</v>
      </c>
      <c r="C24952" s="7" t="n">
        <v>65533</v>
      </c>
      <c r="D24952" s="7" t="n">
        <v>1</v>
      </c>
    </row>
    <row r="24953" spans="1:8">
      <c r="A24953" t="s">
        <v>4</v>
      </c>
      <c r="B24953" s="4" t="s">
        <v>5</v>
      </c>
      <c r="C24953" s="4" t="s">
        <v>7</v>
      </c>
      <c r="D24953" s="4" t="s">
        <v>11</v>
      </c>
      <c r="E24953" s="4" t="s">
        <v>13</v>
      </c>
    </row>
    <row r="24954" spans="1:8">
      <c r="A24954" t="n">
        <v>241241</v>
      </c>
      <c r="B24954" s="23" t="n">
        <v>58</v>
      </c>
      <c r="C24954" s="7" t="n">
        <v>101</v>
      </c>
      <c r="D24954" s="7" t="n">
        <v>500</v>
      </c>
      <c r="E24954" s="7" t="n">
        <v>1</v>
      </c>
    </row>
    <row r="24955" spans="1:8">
      <c r="A24955" t="s">
        <v>4</v>
      </c>
      <c r="B24955" s="4" t="s">
        <v>5</v>
      </c>
      <c r="C24955" s="4" t="s">
        <v>7</v>
      </c>
      <c r="D24955" s="4" t="s">
        <v>11</v>
      </c>
    </row>
    <row r="24956" spans="1:8">
      <c r="A24956" t="n">
        <v>241249</v>
      </c>
      <c r="B24956" s="23" t="n">
        <v>58</v>
      </c>
      <c r="C24956" s="7" t="n">
        <v>254</v>
      </c>
      <c r="D24956" s="7" t="n">
        <v>0</v>
      </c>
    </row>
    <row r="24957" spans="1:8">
      <c r="A24957" t="s">
        <v>4</v>
      </c>
      <c r="B24957" s="4" t="s">
        <v>5</v>
      </c>
      <c r="C24957" s="4" t="s">
        <v>7</v>
      </c>
      <c r="D24957" s="4" t="s">
        <v>7</v>
      </c>
      <c r="E24957" s="4" t="s">
        <v>13</v>
      </c>
      <c r="F24957" s="4" t="s">
        <v>13</v>
      </c>
      <c r="G24957" s="4" t="s">
        <v>13</v>
      </c>
      <c r="H24957" s="4" t="s">
        <v>11</v>
      </c>
    </row>
    <row r="24958" spans="1:8">
      <c r="A24958" t="n">
        <v>241253</v>
      </c>
      <c r="B24958" s="51" t="n">
        <v>45</v>
      </c>
      <c r="C24958" s="7" t="n">
        <v>2</v>
      </c>
      <c r="D24958" s="7" t="n">
        <v>3</v>
      </c>
      <c r="E24958" s="7" t="n">
        <v>-6.86999988555908</v>
      </c>
      <c r="F24958" s="7" t="n">
        <v>6.46000003814697</v>
      </c>
      <c r="G24958" s="7" t="n">
        <v>29.9200000762939</v>
      </c>
      <c r="H24958" s="7" t="n">
        <v>0</v>
      </c>
    </row>
    <row r="24959" spans="1:8">
      <c r="A24959" t="s">
        <v>4</v>
      </c>
      <c r="B24959" s="4" t="s">
        <v>5</v>
      </c>
      <c r="C24959" s="4" t="s">
        <v>7</v>
      </c>
      <c r="D24959" s="4" t="s">
        <v>7</v>
      </c>
      <c r="E24959" s="4" t="s">
        <v>13</v>
      </c>
      <c r="F24959" s="4" t="s">
        <v>13</v>
      </c>
      <c r="G24959" s="4" t="s">
        <v>13</v>
      </c>
      <c r="H24959" s="4" t="s">
        <v>11</v>
      </c>
      <c r="I24959" s="4" t="s">
        <v>7</v>
      </c>
    </row>
    <row r="24960" spans="1:8">
      <c r="A24960" t="n">
        <v>241270</v>
      </c>
      <c r="B24960" s="51" t="n">
        <v>45</v>
      </c>
      <c r="C24960" s="7" t="n">
        <v>4</v>
      </c>
      <c r="D24960" s="7" t="n">
        <v>3</v>
      </c>
      <c r="E24960" s="7" t="n">
        <v>9.21000003814697</v>
      </c>
      <c r="F24960" s="7" t="n">
        <v>50.6699981689453</v>
      </c>
      <c r="G24960" s="7" t="n">
        <v>8</v>
      </c>
      <c r="H24960" s="7" t="n">
        <v>0</v>
      </c>
      <c r="I24960" s="7" t="n">
        <v>0</v>
      </c>
    </row>
    <row r="24961" spans="1:23">
      <c r="A24961" t="s">
        <v>4</v>
      </c>
      <c r="B24961" s="4" t="s">
        <v>5</v>
      </c>
      <c r="C24961" s="4" t="s">
        <v>7</v>
      </c>
      <c r="D24961" s="4" t="s">
        <v>7</v>
      </c>
      <c r="E24961" s="4" t="s">
        <v>13</v>
      </c>
      <c r="F24961" s="4" t="s">
        <v>11</v>
      </c>
    </row>
    <row r="24962" spans="1:23">
      <c r="A24962" t="n">
        <v>241288</v>
      </c>
      <c r="B24962" s="51" t="n">
        <v>45</v>
      </c>
      <c r="C24962" s="7" t="n">
        <v>5</v>
      </c>
      <c r="D24962" s="7" t="n">
        <v>3</v>
      </c>
      <c r="E24962" s="7" t="n">
        <v>1.10000002384186</v>
      </c>
      <c r="F24962" s="7" t="n">
        <v>0</v>
      </c>
    </row>
    <row r="24963" spans="1:23">
      <c r="A24963" t="s">
        <v>4</v>
      </c>
      <c r="B24963" s="4" t="s">
        <v>5</v>
      </c>
      <c r="C24963" s="4" t="s">
        <v>7</v>
      </c>
      <c r="D24963" s="4" t="s">
        <v>7</v>
      </c>
      <c r="E24963" s="4" t="s">
        <v>13</v>
      </c>
      <c r="F24963" s="4" t="s">
        <v>11</v>
      </c>
    </row>
    <row r="24964" spans="1:23">
      <c r="A24964" t="n">
        <v>241297</v>
      </c>
      <c r="B24964" s="51" t="n">
        <v>45</v>
      </c>
      <c r="C24964" s="7" t="n">
        <v>11</v>
      </c>
      <c r="D24964" s="7" t="n">
        <v>3</v>
      </c>
      <c r="E24964" s="7" t="n">
        <v>40.2999992370605</v>
      </c>
      <c r="F24964" s="7" t="n">
        <v>0</v>
      </c>
    </row>
    <row r="24965" spans="1:23">
      <c r="A24965" t="s">
        <v>4</v>
      </c>
      <c r="B24965" s="4" t="s">
        <v>5</v>
      </c>
      <c r="C24965" s="4" t="s">
        <v>7</v>
      </c>
      <c r="D24965" s="4" t="s">
        <v>11</v>
      </c>
    </row>
    <row r="24966" spans="1:23">
      <c r="A24966" t="n">
        <v>241306</v>
      </c>
      <c r="B24966" s="23" t="n">
        <v>58</v>
      </c>
      <c r="C24966" s="7" t="n">
        <v>255</v>
      </c>
      <c r="D24966" s="7" t="n">
        <v>0</v>
      </c>
    </row>
    <row r="24967" spans="1:23">
      <c r="A24967" t="s">
        <v>4</v>
      </c>
      <c r="B24967" s="4" t="s">
        <v>5</v>
      </c>
      <c r="C24967" s="4" t="s">
        <v>7</v>
      </c>
      <c r="D24967" s="4" t="s">
        <v>11</v>
      </c>
      <c r="E24967" s="4" t="s">
        <v>8</v>
      </c>
    </row>
    <row r="24968" spans="1:23">
      <c r="A24968" t="n">
        <v>241310</v>
      </c>
      <c r="B24968" s="38" t="n">
        <v>51</v>
      </c>
      <c r="C24968" s="7" t="n">
        <v>4</v>
      </c>
      <c r="D24968" s="7" t="n">
        <v>0</v>
      </c>
      <c r="E24968" s="7" t="s">
        <v>206</v>
      </c>
    </row>
    <row r="24969" spans="1:23">
      <c r="A24969" t="s">
        <v>4</v>
      </c>
      <c r="B24969" s="4" t="s">
        <v>5</v>
      </c>
      <c r="C24969" s="4" t="s">
        <v>11</v>
      </c>
    </row>
    <row r="24970" spans="1:23">
      <c r="A24970" t="n">
        <v>241325</v>
      </c>
      <c r="B24970" s="29" t="n">
        <v>16</v>
      </c>
      <c r="C24970" s="7" t="n">
        <v>0</v>
      </c>
    </row>
    <row r="24971" spans="1:23">
      <c r="A24971" t="s">
        <v>4</v>
      </c>
      <c r="B24971" s="4" t="s">
        <v>5</v>
      </c>
      <c r="C24971" s="4" t="s">
        <v>11</v>
      </c>
      <c r="D24971" s="4" t="s">
        <v>55</v>
      </c>
      <c r="E24971" s="4" t="s">
        <v>7</v>
      </c>
      <c r="F24971" s="4" t="s">
        <v>7</v>
      </c>
      <c r="G24971" s="4" t="s">
        <v>7</v>
      </c>
      <c r="H24971" s="4" t="s">
        <v>15</v>
      </c>
      <c r="I24971" s="4" t="s">
        <v>55</v>
      </c>
      <c r="J24971" s="4" t="s">
        <v>7</v>
      </c>
      <c r="K24971" s="4" t="s">
        <v>7</v>
      </c>
      <c r="L24971" s="4" t="s">
        <v>7</v>
      </c>
      <c r="M24971" s="4" t="s">
        <v>15</v>
      </c>
      <c r="N24971" s="4" t="s">
        <v>55</v>
      </c>
      <c r="O24971" s="4" t="s">
        <v>7</v>
      </c>
      <c r="P24971" s="4" t="s">
        <v>7</v>
      </c>
    </row>
    <row r="24972" spans="1:23">
      <c r="A24972" t="n">
        <v>241328</v>
      </c>
      <c r="B24972" s="55" t="n">
        <v>26</v>
      </c>
      <c r="C24972" s="7" t="n">
        <v>0</v>
      </c>
      <c r="D24972" s="7" t="s">
        <v>446</v>
      </c>
      <c r="E24972" s="7" t="n">
        <v>2</v>
      </c>
      <c r="F24972" s="7" t="n">
        <v>3</v>
      </c>
      <c r="G24972" s="7" t="n">
        <v>17</v>
      </c>
      <c r="H24972" s="7" t="n">
        <v>63848</v>
      </c>
      <c r="I24972" s="7" t="s">
        <v>447</v>
      </c>
      <c r="J24972" s="7" t="n">
        <v>2</v>
      </c>
      <c r="K24972" s="7" t="n">
        <v>3</v>
      </c>
      <c r="L24972" s="7" t="n">
        <v>17</v>
      </c>
      <c r="M24972" s="7" t="n">
        <v>63849</v>
      </c>
      <c r="N24972" s="7" t="s">
        <v>448</v>
      </c>
      <c r="O24972" s="7" t="n">
        <v>2</v>
      </c>
      <c r="P24972" s="7" t="n">
        <v>0</v>
      </c>
    </row>
    <row r="24973" spans="1:23">
      <c r="A24973" t="s">
        <v>4</v>
      </c>
      <c r="B24973" s="4" t="s">
        <v>5</v>
      </c>
    </row>
    <row r="24974" spans="1:23">
      <c r="A24974" t="n">
        <v>241510</v>
      </c>
      <c r="B24974" s="27" t="n">
        <v>28</v>
      </c>
    </row>
    <row r="24975" spans="1:23">
      <c r="A24975" t="s">
        <v>4</v>
      </c>
      <c r="B24975" s="4" t="s">
        <v>5</v>
      </c>
      <c r="C24975" s="4" t="s">
        <v>7</v>
      </c>
      <c r="D24975" s="4" t="s">
        <v>11</v>
      </c>
      <c r="E24975" s="4" t="s">
        <v>8</v>
      </c>
    </row>
    <row r="24976" spans="1:23">
      <c r="A24976" t="n">
        <v>241511</v>
      </c>
      <c r="B24976" s="38" t="n">
        <v>51</v>
      </c>
      <c r="C24976" s="7" t="n">
        <v>4</v>
      </c>
      <c r="D24976" s="7" t="n">
        <v>3</v>
      </c>
      <c r="E24976" s="7" t="s">
        <v>327</v>
      </c>
    </row>
    <row r="24977" spans="1:16">
      <c r="A24977" t="s">
        <v>4</v>
      </c>
      <c r="B24977" s="4" t="s">
        <v>5</v>
      </c>
      <c r="C24977" s="4" t="s">
        <v>11</v>
      </c>
    </row>
    <row r="24978" spans="1:16">
      <c r="A24978" t="n">
        <v>241530</v>
      </c>
      <c r="B24978" s="29" t="n">
        <v>16</v>
      </c>
      <c r="C24978" s="7" t="n">
        <v>0</v>
      </c>
    </row>
    <row r="24979" spans="1:16">
      <c r="A24979" t="s">
        <v>4</v>
      </c>
      <c r="B24979" s="4" t="s">
        <v>5</v>
      </c>
      <c r="C24979" s="4" t="s">
        <v>11</v>
      </c>
      <c r="D24979" s="4" t="s">
        <v>7</v>
      </c>
      <c r="E24979" s="4" t="s">
        <v>15</v>
      </c>
      <c r="F24979" s="4" t="s">
        <v>55</v>
      </c>
      <c r="G24979" s="4" t="s">
        <v>7</v>
      </c>
      <c r="H24979" s="4" t="s">
        <v>7</v>
      </c>
    </row>
    <row r="24980" spans="1:16">
      <c r="A24980" t="n">
        <v>241533</v>
      </c>
      <c r="B24980" s="55" t="n">
        <v>26</v>
      </c>
      <c r="C24980" s="7" t="n">
        <v>3</v>
      </c>
      <c r="D24980" s="7" t="n">
        <v>17</v>
      </c>
      <c r="E24980" s="7" t="n">
        <v>2820</v>
      </c>
      <c r="F24980" s="7" t="s">
        <v>449</v>
      </c>
      <c r="G24980" s="7" t="n">
        <v>2</v>
      </c>
      <c r="H24980" s="7" t="n">
        <v>0</v>
      </c>
    </row>
    <row r="24981" spans="1:16">
      <c r="A24981" t="s">
        <v>4</v>
      </c>
      <c r="B24981" s="4" t="s">
        <v>5</v>
      </c>
    </row>
    <row r="24982" spans="1:16">
      <c r="A24982" t="n">
        <v>241629</v>
      </c>
      <c r="B24982" s="27" t="n">
        <v>28</v>
      </c>
    </row>
    <row r="24983" spans="1:16">
      <c r="A24983" t="s">
        <v>4</v>
      </c>
      <c r="B24983" s="4" t="s">
        <v>5</v>
      </c>
      <c r="C24983" s="4" t="s">
        <v>7</v>
      </c>
      <c r="D24983" s="4" t="s">
        <v>11</v>
      </c>
      <c r="E24983" s="4" t="s">
        <v>8</v>
      </c>
    </row>
    <row r="24984" spans="1:16">
      <c r="A24984" t="n">
        <v>241630</v>
      </c>
      <c r="B24984" s="38" t="n">
        <v>51</v>
      </c>
      <c r="C24984" s="7" t="n">
        <v>4</v>
      </c>
      <c r="D24984" s="7" t="n">
        <v>0</v>
      </c>
      <c r="E24984" s="7" t="s">
        <v>450</v>
      </c>
    </row>
    <row r="24985" spans="1:16">
      <c r="A24985" t="s">
        <v>4</v>
      </c>
      <c r="B24985" s="4" t="s">
        <v>5</v>
      </c>
      <c r="C24985" s="4" t="s">
        <v>11</v>
      </c>
    </row>
    <row r="24986" spans="1:16">
      <c r="A24986" t="n">
        <v>241644</v>
      </c>
      <c r="B24986" s="29" t="n">
        <v>16</v>
      </c>
      <c r="C24986" s="7" t="n">
        <v>0</v>
      </c>
    </row>
    <row r="24987" spans="1:16">
      <c r="A24987" t="s">
        <v>4</v>
      </c>
      <c r="B24987" s="4" t="s">
        <v>5</v>
      </c>
      <c r="C24987" s="4" t="s">
        <v>11</v>
      </c>
      <c r="D24987" s="4" t="s">
        <v>7</v>
      </c>
      <c r="E24987" s="4" t="s">
        <v>15</v>
      </c>
      <c r="F24987" s="4" t="s">
        <v>55</v>
      </c>
      <c r="G24987" s="4" t="s">
        <v>7</v>
      </c>
      <c r="H24987" s="4" t="s">
        <v>7</v>
      </c>
      <c r="I24987" s="4" t="s">
        <v>7</v>
      </c>
      <c r="J24987" s="4" t="s">
        <v>15</v>
      </c>
      <c r="K24987" s="4" t="s">
        <v>55</v>
      </c>
      <c r="L24987" s="4" t="s">
        <v>7</v>
      </c>
      <c r="M24987" s="4" t="s">
        <v>7</v>
      </c>
      <c r="N24987" s="4" t="s">
        <v>7</v>
      </c>
      <c r="O24987" s="4" t="s">
        <v>15</v>
      </c>
      <c r="P24987" s="4" t="s">
        <v>55</v>
      </c>
      <c r="Q24987" s="4" t="s">
        <v>7</v>
      </c>
      <c r="R24987" s="4" t="s">
        <v>7</v>
      </c>
      <c r="S24987" s="4" t="s">
        <v>7</v>
      </c>
      <c r="T24987" s="4" t="s">
        <v>15</v>
      </c>
      <c r="U24987" s="4" t="s">
        <v>55</v>
      </c>
      <c r="V24987" s="4" t="s">
        <v>7</v>
      </c>
      <c r="W24987" s="4" t="s">
        <v>7</v>
      </c>
      <c r="X24987" s="4" t="s">
        <v>7</v>
      </c>
      <c r="Y24987" s="4" t="s">
        <v>15</v>
      </c>
      <c r="Z24987" s="4" t="s">
        <v>55</v>
      </c>
      <c r="AA24987" s="4" t="s">
        <v>7</v>
      </c>
      <c r="AB24987" s="4" t="s">
        <v>7</v>
      </c>
    </row>
    <row r="24988" spans="1:16">
      <c r="A24988" t="n">
        <v>241647</v>
      </c>
      <c r="B24988" s="55" t="n">
        <v>26</v>
      </c>
      <c r="C24988" s="7" t="n">
        <v>0</v>
      </c>
      <c r="D24988" s="7" t="n">
        <v>17</v>
      </c>
      <c r="E24988" s="7" t="n">
        <v>63850</v>
      </c>
      <c r="F24988" s="7" t="s">
        <v>451</v>
      </c>
      <c r="G24988" s="7" t="n">
        <v>2</v>
      </c>
      <c r="H24988" s="7" t="n">
        <v>3</v>
      </c>
      <c r="I24988" s="7" t="n">
        <v>17</v>
      </c>
      <c r="J24988" s="7" t="n">
        <v>63851</v>
      </c>
      <c r="K24988" s="7" t="s">
        <v>452</v>
      </c>
      <c r="L24988" s="7" t="n">
        <v>2</v>
      </c>
      <c r="M24988" s="7" t="n">
        <v>3</v>
      </c>
      <c r="N24988" s="7" t="n">
        <v>17</v>
      </c>
      <c r="O24988" s="7" t="n">
        <v>63852</v>
      </c>
      <c r="P24988" s="7" t="s">
        <v>453</v>
      </c>
      <c r="Q24988" s="7" t="n">
        <v>2</v>
      </c>
      <c r="R24988" s="7" t="n">
        <v>3</v>
      </c>
      <c r="S24988" s="7" t="n">
        <v>17</v>
      </c>
      <c r="T24988" s="7" t="n">
        <v>63853</v>
      </c>
      <c r="U24988" s="7" t="s">
        <v>454</v>
      </c>
      <c r="V24988" s="7" t="n">
        <v>2</v>
      </c>
      <c r="W24988" s="7" t="n">
        <v>3</v>
      </c>
      <c r="X24988" s="7" t="n">
        <v>17</v>
      </c>
      <c r="Y24988" s="7" t="n">
        <v>63854</v>
      </c>
      <c r="Z24988" s="7" t="s">
        <v>455</v>
      </c>
      <c r="AA24988" s="7" t="n">
        <v>2</v>
      </c>
      <c r="AB24988" s="7" t="n">
        <v>0</v>
      </c>
    </row>
    <row r="24989" spans="1:16">
      <c r="A24989" t="s">
        <v>4</v>
      </c>
      <c r="B24989" s="4" t="s">
        <v>5</v>
      </c>
    </row>
    <row r="24990" spans="1:16">
      <c r="A24990" t="n">
        <v>242160</v>
      </c>
      <c r="B24990" s="27" t="n">
        <v>28</v>
      </c>
    </row>
    <row r="24991" spans="1:16">
      <c r="A24991" t="s">
        <v>4</v>
      </c>
      <c r="B24991" s="4" t="s">
        <v>5</v>
      </c>
      <c r="C24991" s="4" t="s">
        <v>7</v>
      </c>
      <c r="D24991" s="4" t="s">
        <v>11</v>
      </c>
      <c r="E24991" s="4" t="s">
        <v>8</v>
      </c>
    </row>
    <row r="24992" spans="1:16">
      <c r="A24992" t="n">
        <v>242161</v>
      </c>
      <c r="B24992" s="38" t="n">
        <v>51</v>
      </c>
      <c r="C24992" s="7" t="n">
        <v>4</v>
      </c>
      <c r="D24992" s="7" t="n">
        <v>3</v>
      </c>
      <c r="E24992" s="7" t="s">
        <v>353</v>
      </c>
    </row>
    <row r="24993" spans="1:28">
      <c r="A24993" t="s">
        <v>4</v>
      </c>
      <c r="B24993" s="4" t="s">
        <v>5</v>
      </c>
      <c r="C24993" s="4" t="s">
        <v>11</v>
      </c>
    </row>
    <row r="24994" spans="1:28">
      <c r="A24994" t="n">
        <v>242180</v>
      </c>
      <c r="B24994" s="29" t="n">
        <v>16</v>
      </c>
      <c r="C24994" s="7" t="n">
        <v>0</v>
      </c>
    </row>
    <row r="24995" spans="1:28">
      <c r="A24995" t="s">
        <v>4</v>
      </c>
      <c r="B24995" s="4" t="s">
        <v>5</v>
      </c>
      <c r="C24995" s="4" t="s">
        <v>11</v>
      </c>
      <c r="D24995" s="4" t="s">
        <v>7</v>
      </c>
      <c r="E24995" s="4" t="s">
        <v>15</v>
      </c>
      <c r="F24995" s="4" t="s">
        <v>55</v>
      </c>
      <c r="G24995" s="4" t="s">
        <v>7</v>
      </c>
      <c r="H24995" s="4" t="s">
        <v>7</v>
      </c>
    </row>
    <row r="24996" spans="1:28">
      <c r="A24996" t="n">
        <v>242183</v>
      </c>
      <c r="B24996" s="55" t="n">
        <v>26</v>
      </c>
      <c r="C24996" s="7" t="n">
        <v>3</v>
      </c>
      <c r="D24996" s="7" t="n">
        <v>17</v>
      </c>
      <c r="E24996" s="7" t="n">
        <v>2821</v>
      </c>
      <c r="F24996" s="7" t="s">
        <v>456</v>
      </c>
      <c r="G24996" s="7" t="n">
        <v>2</v>
      </c>
      <c r="H24996" s="7" t="n">
        <v>0</v>
      </c>
    </row>
    <row r="24997" spans="1:28">
      <c r="A24997" t="s">
        <v>4</v>
      </c>
      <c r="B24997" s="4" t="s">
        <v>5</v>
      </c>
    </row>
    <row r="24998" spans="1:28">
      <c r="A24998" t="n">
        <v>242207</v>
      </c>
      <c r="B24998" s="27" t="n">
        <v>28</v>
      </c>
    </row>
    <row r="24999" spans="1:28">
      <c r="A24999" t="s">
        <v>4</v>
      </c>
      <c r="B24999" s="4" t="s">
        <v>5</v>
      </c>
      <c r="C24999" s="4" t="s">
        <v>11</v>
      </c>
      <c r="D24999" s="4" t="s">
        <v>7</v>
      </c>
    </row>
    <row r="25000" spans="1:28">
      <c r="A25000" t="n">
        <v>242208</v>
      </c>
      <c r="B25000" s="68" t="n">
        <v>89</v>
      </c>
      <c r="C25000" s="7" t="n">
        <v>65533</v>
      </c>
      <c r="D25000" s="7" t="n">
        <v>1</v>
      </c>
    </row>
    <row r="25001" spans="1:28">
      <c r="A25001" t="s">
        <v>4</v>
      </c>
      <c r="B25001" s="4" t="s">
        <v>5</v>
      </c>
      <c r="C25001" s="4" t="s">
        <v>7</v>
      </c>
      <c r="D25001" s="4" t="s">
        <v>11</v>
      </c>
      <c r="E25001" s="4" t="s">
        <v>13</v>
      </c>
    </row>
    <row r="25002" spans="1:28">
      <c r="A25002" t="n">
        <v>242212</v>
      </c>
      <c r="B25002" s="23" t="n">
        <v>58</v>
      </c>
      <c r="C25002" s="7" t="n">
        <v>101</v>
      </c>
      <c r="D25002" s="7" t="n">
        <v>500</v>
      </c>
      <c r="E25002" s="7" t="n">
        <v>1</v>
      </c>
    </row>
    <row r="25003" spans="1:28">
      <c r="A25003" t="s">
        <v>4</v>
      </c>
      <c r="B25003" s="4" t="s">
        <v>5</v>
      </c>
      <c r="C25003" s="4" t="s">
        <v>7</v>
      </c>
      <c r="D25003" s="4" t="s">
        <v>11</v>
      </c>
    </row>
    <row r="25004" spans="1:28">
      <c r="A25004" t="n">
        <v>242220</v>
      </c>
      <c r="B25004" s="23" t="n">
        <v>58</v>
      </c>
      <c r="C25004" s="7" t="n">
        <v>254</v>
      </c>
      <c r="D25004" s="7" t="n">
        <v>0</v>
      </c>
    </row>
    <row r="25005" spans="1:28">
      <c r="A25005" t="s">
        <v>4</v>
      </c>
      <c r="B25005" s="4" t="s">
        <v>5</v>
      </c>
      <c r="C25005" s="4" t="s">
        <v>7</v>
      </c>
      <c r="D25005" s="4" t="s">
        <v>7</v>
      </c>
      <c r="E25005" s="4" t="s">
        <v>13</v>
      </c>
      <c r="F25005" s="4" t="s">
        <v>13</v>
      </c>
      <c r="G25005" s="4" t="s">
        <v>13</v>
      </c>
      <c r="H25005" s="4" t="s">
        <v>11</v>
      </c>
    </row>
    <row r="25006" spans="1:28">
      <c r="A25006" t="n">
        <v>242224</v>
      </c>
      <c r="B25006" s="51" t="n">
        <v>45</v>
      </c>
      <c r="C25006" s="7" t="n">
        <v>2</v>
      </c>
      <c r="D25006" s="7" t="n">
        <v>3</v>
      </c>
      <c r="E25006" s="7" t="n">
        <v>-6.6100001335144</v>
      </c>
      <c r="F25006" s="7" t="n">
        <v>6.44000005722046</v>
      </c>
      <c r="G25006" s="7" t="n">
        <v>29.9300003051758</v>
      </c>
      <c r="H25006" s="7" t="n">
        <v>0</v>
      </c>
    </row>
    <row r="25007" spans="1:28">
      <c r="A25007" t="s">
        <v>4</v>
      </c>
      <c r="B25007" s="4" t="s">
        <v>5</v>
      </c>
      <c r="C25007" s="4" t="s">
        <v>7</v>
      </c>
      <c r="D25007" s="4" t="s">
        <v>7</v>
      </c>
      <c r="E25007" s="4" t="s">
        <v>13</v>
      </c>
      <c r="F25007" s="4" t="s">
        <v>13</v>
      </c>
      <c r="G25007" s="4" t="s">
        <v>13</v>
      </c>
      <c r="H25007" s="4" t="s">
        <v>11</v>
      </c>
      <c r="I25007" s="4" t="s">
        <v>7</v>
      </c>
    </row>
    <row r="25008" spans="1:28">
      <c r="A25008" t="n">
        <v>242241</v>
      </c>
      <c r="B25008" s="51" t="n">
        <v>45</v>
      </c>
      <c r="C25008" s="7" t="n">
        <v>4</v>
      </c>
      <c r="D25008" s="7" t="n">
        <v>3</v>
      </c>
      <c r="E25008" s="7" t="n">
        <v>357</v>
      </c>
      <c r="F25008" s="7" t="n">
        <v>284.700012207031</v>
      </c>
      <c r="G25008" s="7" t="n">
        <v>4</v>
      </c>
      <c r="H25008" s="7" t="n">
        <v>0</v>
      </c>
      <c r="I25008" s="7" t="n">
        <v>0</v>
      </c>
    </row>
    <row r="25009" spans="1:9">
      <c r="A25009" t="s">
        <v>4</v>
      </c>
      <c r="B25009" s="4" t="s">
        <v>5</v>
      </c>
      <c r="C25009" s="4" t="s">
        <v>7</v>
      </c>
      <c r="D25009" s="4" t="s">
        <v>7</v>
      </c>
      <c r="E25009" s="4" t="s">
        <v>13</v>
      </c>
      <c r="F25009" s="4" t="s">
        <v>11</v>
      </c>
    </row>
    <row r="25010" spans="1:9">
      <c r="A25010" t="n">
        <v>242259</v>
      </c>
      <c r="B25010" s="51" t="n">
        <v>45</v>
      </c>
      <c r="C25010" s="7" t="n">
        <v>5</v>
      </c>
      <c r="D25010" s="7" t="n">
        <v>3</v>
      </c>
      <c r="E25010" s="7" t="n">
        <v>1</v>
      </c>
      <c r="F25010" s="7" t="n">
        <v>0</v>
      </c>
    </row>
    <row r="25011" spans="1:9">
      <c r="A25011" t="s">
        <v>4</v>
      </c>
      <c r="B25011" s="4" t="s">
        <v>5</v>
      </c>
      <c r="C25011" s="4" t="s">
        <v>7</v>
      </c>
      <c r="D25011" s="4" t="s">
        <v>7</v>
      </c>
      <c r="E25011" s="4" t="s">
        <v>13</v>
      </c>
      <c r="F25011" s="4" t="s">
        <v>11</v>
      </c>
    </row>
    <row r="25012" spans="1:9">
      <c r="A25012" t="n">
        <v>242268</v>
      </c>
      <c r="B25012" s="51" t="n">
        <v>45</v>
      </c>
      <c r="C25012" s="7" t="n">
        <v>11</v>
      </c>
      <c r="D25012" s="7" t="n">
        <v>3</v>
      </c>
      <c r="E25012" s="7" t="n">
        <v>40.2999992370605</v>
      </c>
      <c r="F25012" s="7" t="n">
        <v>0</v>
      </c>
    </row>
    <row r="25013" spans="1:9">
      <c r="A25013" t="s">
        <v>4</v>
      </c>
      <c r="B25013" s="4" t="s">
        <v>5</v>
      </c>
      <c r="C25013" s="4" t="s">
        <v>7</v>
      </c>
      <c r="D25013" s="4" t="s">
        <v>11</v>
      </c>
      <c r="E25013" s="4" t="s">
        <v>8</v>
      </c>
      <c r="F25013" s="4" t="s">
        <v>8</v>
      </c>
      <c r="G25013" s="4" t="s">
        <v>8</v>
      </c>
      <c r="H25013" s="4" t="s">
        <v>8</v>
      </c>
    </row>
    <row r="25014" spans="1:9">
      <c r="A25014" t="n">
        <v>242277</v>
      </c>
      <c r="B25014" s="38" t="n">
        <v>51</v>
      </c>
      <c r="C25014" s="7" t="n">
        <v>3</v>
      </c>
      <c r="D25014" s="7" t="n">
        <v>0</v>
      </c>
      <c r="E25014" s="7" t="s">
        <v>86</v>
      </c>
      <c r="F25014" s="7" t="s">
        <v>79</v>
      </c>
      <c r="G25014" s="7" t="s">
        <v>78</v>
      </c>
      <c r="H25014" s="7" t="s">
        <v>79</v>
      </c>
    </row>
    <row r="25015" spans="1:9">
      <c r="A25015" t="s">
        <v>4</v>
      </c>
      <c r="B25015" s="4" t="s">
        <v>5</v>
      </c>
      <c r="C25015" s="4" t="s">
        <v>7</v>
      </c>
      <c r="D25015" s="4" t="s">
        <v>11</v>
      </c>
    </row>
    <row r="25016" spans="1:9">
      <c r="A25016" t="n">
        <v>242290</v>
      </c>
      <c r="B25016" s="23" t="n">
        <v>58</v>
      </c>
      <c r="C25016" s="7" t="n">
        <v>255</v>
      </c>
      <c r="D25016" s="7" t="n">
        <v>0</v>
      </c>
    </row>
    <row r="25017" spans="1:9">
      <c r="A25017" t="s">
        <v>4</v>
      </c>
      <c r="B25017" s="4" t="s">
        <v>5</v>
      </c>
      <c r="C25017" s="4" t="s">
        <v>7</v>
      </c>
      <c r="D25017" s="4" t="s">
        <v>11</v>
      </c>
    </row>
    <row r="25018" spans="1:9">
      <c r="A25018" t="n">
        <v>242294</v>
      </c>
      <c r="B25018" s="51" t="n">
        <v>45</v>
      </c>
      <c r="C25018" s="7" t="n">
        <v>7</v>
      </c>
      <c r="D25018" s="7" t="n">
        <v>255</v>
      </c>
    </row>
    <row r="25019" spans="1:9">
      <c r="A25019" t="s">
        <v>4</v>
      </c>
      <c r="B25019" s="4" t="s">
        <v>5</v>
      </c>
      <c r="C25019" s="4" t="s">
        <v>7</v>
      </c>
      <c r="D25019" s="4" t="s">
        <v>11</v>
      </c>
      <c r="E25019" s="4" t="s">
        <v>8</v>
      </c>
    </row>
    <row r="25020" spans="1:9">
      <c r="A25020" t="n">
        <v>242298</v>
      </c>
      <c r="B25020" s="38" t="n">
        <v>51</v>
      </c>
      <c r="C25020" s="7" t="n">
        <v>4</v>
      </c>
      <c r="D25020" s="7" t="n">
        <v>0</v>
      </c>
      <c r="E25020" s="7" t="s">
        <v>137</v>
      </c>
    </row>
    <row r="25021" spans="1:9">
      <c r="A25021" t="s">
        <v>4</v>
      </c>
      <c r="B25021" s="4" t="s">
        <v>5</v>
      </c>
      <c r="C25021" s="4" t="s">
        <v>11</v>
      </c>
    </row>
    <row r="25022" spans="1:9">
      <c r="A25022" t="n">
        <v>242311</v>
      </c>
      <c r="B25022" s="29" t="n">
        <v>16</v>
      </c>
      <c r="C25022" s="7" t="n">
        <v>500</v>
      </c>
    </row>
    <row r="25023" spans="1:9">
      <c r="A25023" t="s">
        <v>4</v>
      </c>
      <c r="B25023" s="4" t="s">
        <v>5</v>
      </c>
      <c r="C25023" s="4" t="s">
        <v>11</v>
      </c>
      <c r="D25023" s="4" t="s">
        <v>7</v>
      </c>
      <c r="E25023" s="4" t="s">
        <v>15</v>
      </c>
      <c r="F25023" s="4" t="s">
        <v>55</v>
      </c>
      <c r="G25023" s="4" t="s">
        <v>7</v>
      </c>
      <c r="H25023" s="4" t="s">
        <v>7</v>
      </c>
      <c r="I25023" s="4" t="s">
        <v>7</v>
      </c>
      <c r="J25023" s="4" t="s">
        <v>15</v>
      </c>
      <c r="K25023" s="4" t="s">
        <v>55</v>
      </c>
      <c r="L25023" s="4" t="s">
        <v>7</v>
      </c>
      <c r="M25023" s="4" t="s">
        <v>7</v>
      </c>
      <c r="N25023" s="4" t="s">
        <v>7</v>
      </c>
      <c r="O25023" s="4" t="s">
        <v>15</v>
      </c>
      <c r="P25023" s="4" t="s">
        <v>55</v>
      </c>
      <c r="Q25023" s="4" t="s">
        <v>7</v>
      </c>
      <c r="R25023" s="4" t="s">
        <v>7</v>
      </c>
      <c r="S25023" s="4" t="s">
        <v>7</v>
      </c>
      <c r="T25023" s="4" t="s">
        <v>15</v>
      </c>
      <c r="U25023" s="4" t="s">
        <v>55</v>
      </c>
      <c r="V25023" s="4" t="s">
        <v>7</v>
      </c>
      <c r="W25023" s="4" t="s">
        <v>7</v>
      </c>
    </row>
    <row r="25024" spans="1:9">
      <c r="A25024" t="n">
        <v>242314</v>
      </c>
      <c r="B25024" s="55" t="n">
        <v>26</v>
      </c>
      <c r="C25024" s="7" t="n">
        <v>0</v>
      </c>
      <c r="D25024" s="7" t="n">
        <v>17</v>
      </c>
      <c r="E25024" s="7" t="n">
        <v>63855</v>
      </c>
      <c r="F25024" s="7" t="s">
        <v>457</v>
      </c>
      <c r="G25024" s="7" t="n">
        <v>2</v>
      </c>
      <c r="H25024" s="7" t="n">
        <v>3</v>
      </c>
      <c r="I25024" s="7" t="n">
        <v>17</v>
      </c>
      <c r="J25024" s="7" t="n">
        <v>63856</v>
      </c>
      <c r="K25024" s="7" t="s">
        <v>458</v>
      </c>
      <c r="L25024" s="7" t="n">
        <v>2</v>
      </c>
      <c r="M25024" s="7" t="n">
        <v>3</v>
      </c>
      <c r="N25024" s="7" t="n">
        <v>17</v>
      </c>
      <c r="O25024" s="7" t="n">
        <v>63857</v>
      </c>
      <c r="P25024" s="7" t="s">
        <v>459</v>
      </c>
      <c r="Q25024" s="7" t="n">
        <v>2</v>
      </c>
      <c r="R25024" s="7" t="n">
        <v>3</v>
      </c>
      <c r="S25024" s="7" t="n">
        <v>17</v>
      </c>
      <c r="T25024" s="7" t="n">
        <v>63858</v>
      </c>
      <c r="U25024" s="7" t="s">
        <v>460</v>
      </c>
      <c r="V25024" s="7" t="n">
        <v>2</v>
      </c>
      <c r="W25024" s="7" t="n">
        <v>0</v>
      </c>
    </row>
    <row r="25025" spans="1:23">
      <c r="A25025" t="s">
        <v>4</v>
      </c>
      <c r="B25025" s="4" t="s">
        <v>5</v>
      </c>
    </row>
    <row r="25026" spans="1:23">
      <c r="A25026" t="n">
        <v>242615</v>
      </c>
      <c r="B25026" s="27" t="n">
        <v>28</v>
      </c>
    </row>
    <row r="25027" spans="1:23">
      <c r="A25027" t="s">
        <v>4</v>
      </c>
      <c r="B25027" s="4" t="s">
        <v>5</v>
      </c>
      <c r="C25027" s="4" t="s">
        <v>11</v>
      </c>
      <c r="D25027" s="4" t="s">
        <v>7</v>
      </c>
    </row>
    <row r="25028" spans="1:23">
      <c r="A25028" t="n">
        <v>242616</v>
      </c>
      <c r="B25028" s="68" t="n">
        <v>89</v>
      </c>
      <c r="C25028" s="7" t="n">
        <v>65533</v>
      </c>
      <c r="D25028" s="7" t="n">
        <v>1</v>
      </c>
    </row>
    <row r="25029" spans="1:23">
      <c r="A25029" t="s">
        <v>4</v>
      </c>
      <c r="B25029" s="4" t="s">
        <v>5</v>
      </c>
      <c r="C25029" s="4" t="s">
        <v>7</v>
      </c>
      <c r="D25029" s="4" t="s">
        <v>11</v>
      </c>
      <c r="E25029" s="4" t="s">
        <v>13</v>
      </c>
    </row>
    <row r="25030" spans="1:23">
      <c r="A25030" t="n">
        <v>242620</v>
      </c>
      <c r="B25030" s="23" t="n">
        <v>58</v>
      </c>
      <c r="C25030" s="7" t="n">
        <v>101</v>
      </c>
      <c r="D25030" s="7" t="n">
        <v>500</v>
      </c>
      <c r="E25030" s="7" t="n">
        <v>1</v>
      </c>
    </row>
    <row r="25031" spans="1:23">
      <c r="A25031" t="s">
        <v>4</v>
      </c>
      <c r="B25031" s="4" t="s">
        <v>5</v>
      </c>
      <c r="C25031" s="4" t="s">
        <v>7</v>
      </c>
      <c r="D25031" s="4" t="s">
        <v>11</v>
      </c>
    </row>
    <row r="25032" spans="1:23">
      <c r="A25032" t="n">
        <v>242628</v>
      </c>
      <c r="B25032" s="23" t="n">
        <v>58</v>
      </c>
      <c r="C25032" s="7" t="n">
        <v>254</v>
      </c>
      <c r="D25032" s="7" t="n">
        <v>0</v>
      </c>
    </row>
    <row r="25033" spans="1:23">
      <c r="A25033" t="s">
        <v>4</v>
      </c>
      <c r="B25033" s="4" t="s">
        <v>5</v>
      </c>
      <c r="C25033" s="4" t="s">
        <v>7</v>
      </c>
      <c r="D25033" s="4" t="s">
        <v>7</v>
      </c>
      <c r="E25033" s="4" t="s">
        <v>13</v>
      </c>
      <c r="F25033" s="4" t="s">
        <v>13</v>
      </c>
      <c r="G25033" s="4" t="s">
        <v>13</v>
      </c>
      <c r="H25033" s="4" t="s">
        <v>11</v>
      </c>
    </row>
    <row r="25034" spans="1:23">
      <c r="A25034" t="n">
        <v>242632</v>
      </c>
      <c r="B25034" s="51" t="n">
        <v>45</v>
      </c>
      <c r="C25034" s="7" t="n">
        <v>2</v>
      </c>
      <c r="D25034" s="7" t="n">
        <v>3</v>
      </c>
      <c r="E25034" s="7" t="n">
        <v>-7.3600001335144</v>
      </c>
      <c r="F25034" s="7" t="n">
        <v>6.42999982833862</v>
      </c>
      <c r="G25034" s="7" t="n">
        <v>29.8199996948242</v>
      </c>
      <c r="H25034" s="7" t="n">
        <v>0</v>
      </c>
    </row>
    <row r="25035" spans="1:23">
      <c r="A25035" t="s">
        <v>4</v>
      </c>
      <c r="B25035" s="4" t="s">
        <v>5</v>
      </c>
      <c r="C25035" s="4" t="s">
        <v>7</v>
      </c>
      <c r="D25035" s="4" t="s">
        <v>7</v>
      </c>
      <c r="E25035" s="4" t="s">
        <v>13</v>
      </c>
      <c r="F25035" s="4" t="s">
        <v>13</v>
      </c>
      <c r="G25035" s="4" t="s">
        <v>13</v>
      </c>
      <c r="H25035" s="4" t="s">
        <v>11</v>
      </c>
      <c r="I25035" s="4" t="s">
        <v>7</v>
      </c>
    </row>
    <row r="25036" spans="1:23">
      <c r="A25036" t="n">
        <v>242649</v>
      </c>
      <c r="B25036" s="51" t="n">
        <v>45</v>
      </c>
      <c r="C25036" s="7" t="n">
        <v>4</v>
      </c>
      <c r="D25036" s="7" t="n">
        <v>3</v>
      </c>
      <c r="E25036" s="7" t="n">
        <v>8.11999988555908</v>
      </c>
      <c r="F25036" s="7" t="n">
        <v>60.310001373291</v>
      </c>
      <c r="G25036" s="7" t="n">
        <v>354</v>
      </c>
      <c r="H25036" s="7" t="n">
        <v>0</v>
      </c>
      <c r="I25036" s="7" t="n">
        <v>0</v>
      </c>
    </row>
    <row r="25037" spans="1:23">
      <c r="A25037" t="s">
        <v>4</v>
      </c>
      <c r="B25037" s="4" t="s">
        <v>5</v>
      </c>
      <c r="C25037" s="4" t="s">
        <v>7</v>
      </c>
      <c r="D25037" s="4" t="s">
        <v>7</v>
      </c>
      <c r="E25037" s="4" t="s">
        <v>13</v>
      </c>
      <c r="F25037" s="4" t="s">
        <v>11</v>
      </c>
    </row>
    <row r="25038" spans="1:23">
      <c r="A25038" t="n">
        <v>242667</v>
      </c>
      <c r="B25038" s="51" t="n">
        <v>45</v>
      </c>
      <c r="C25038" s="7" t="n">
        <v>5</v>
      </c>
      <c r="D25038" s="7" t="n">
        <v>3</v>
      </c>
      <c r="E25038" s="7" t="n">
        <v>0.800000011920929</v>
      </c>
      <c r="F25038" s="7" t="n">
        <v>0</v>
      </c>
    </row>
    <row r="25039" spans="1:23">
      <c r="A25039" t="s">
        <v>4</v>
      </c>
      <c r="B25039" s="4" t="s">
        <v>5</v>
      </c>
      <c r="C25039" s="4" t="s">
        <v>7</v>
      </c>
      <c r="D25039" s="4" t="s">
        <v>7</v>
      </c>
      <c r="E25039" s="4" t="s">
        <v>13</v>
      </c>
      <c r="F25039" s="4" t="s">
        <v>11</v>
      </c>
    </row>
    <row r="25040" spans="1:23">
      <c r="A25040" t="n">
        <v>242676</v>
      </c>
      <c r="B25040" s="51" t="n">
        <v>45</v>
      </c>
      <c r="C25040" s="7" t="n">
        <v>11</v>
      </c>
      <c r="D25040" s="7" t="n">
        <v>3</v>
      </c>
      <c r="E25040" s="7" t="n">
        <v>40.2999992370605</v>
      </c>
      <c r="F25040" s="7" t="n">
        <v>0</v>
      </c>
    </row>
    <row r="25041" spans="1:9">
      <c r="A25041" t="s">
        <v>4</v>
      </c>
      <c r="B25041" s="4" t="s">
        <v>5</v>
      </c>
      <c r="C25041" s="4" t="s">
        <v>7</v>
      </c>
      <c r="D25041" s="4" t="s">
        <v>11</v>
      </c>
    </row>
    <row r="25042" spans="1:9">
      <c r="A25042" t="n">
        <v>242685</v>
      </c>
      <c r="B25042" s="23" t="n">
        <v>58</v>
      </c>
      <c r="C25042" s="7" t="n">
        <v>255</v>
      </c>
      <c r="D25042" s="7" t="n">
        <v>0</v>
      </c>
    </row>
    <row r="25043" spans="1:9">
      <c r="A25043" t="s">
        <v>4</v>
      </c>
      <c r="B25043" s="4" t="s">
        <v>5</v>
      </c>
      <c r="C25043" s="4" t="s">
        <v>7</v>
      </c>
      <c r="D25043" s="4" t="s">
        <v>11</v>
      </c>
      <c r="E25043" s="4" t="s">
        <v>8</v>
      </c>
    </row>
    <row r="25044" spans="1:9">
      <c r="A25044" t="n">
        <v>242689</v>
      </c>
      <c r="B25044" s="38" t="n">
        <v>51</v>
      </c>
      <c r="C25044" s="7" t="n">
        <v>4</v>
      </c>
      <c r="D25044" s="7" t="n">
        <v>3</v>
      </c>
      <c r="E25044" s="7" t="s">
        <v>461</v>
      </c>
    </row>
    <row r="25045" spans="1:9">
      <c r="A25045" t="s">
        <v>4</v>
      </c>
      <c r="B25045" s="4" t="s">
        <v>5</v>
      </c>
      <c r="C25045" s="4" t="s">
        <v>11</v>
      </c>
    </row>
    <row r="25046" spans="1:9">
      <c r="A25046" t="n">
        <v>242709</v>
      </c>
      <c r="B25046" s="29" t="n">
        <v>16</v>
      </c>
      <c r="C25046" s="7" t="n">
        <v>0</v>
      </c>
    </row>
    <row r="25047" spans="1:9">
      <c r="A25047" t="s">
        <v>4</v>
      </c>
      <c r="B25047" s="4" t="s">
        <v>5</v>
      </c>
      <c r="C25047" s="4" t="s">
        <v>11</v>
      </c>
      <c r="D25047" s="4" t="s">
        <v>7</v>
      </c>
      <c r="E25047" s="4" t="s">
        <v>15</v>
      </c>
      <c r="F25047" s="4" t="s">
        <v>55</v>
      </c>
      <c r="G25047" s="4" t="s">
        <v>7</v>
      </c>
      <c r="H25047" s="4" t="s">
        <v>7</v>
      </c>
    </row>
    <row r="25048" spans="1:9">
      <c r="A25048" t="n">
        <v>242712</v>
      </c>
      <c r="B25048" s="55" t="n">
        <v>26</v>
      </c>
      <c r="C25048" s="7" t="n">
        <v>3</v>
      </c>
      <c r="D25048" s="7" t="n">
        <v>17</v>
      </c>
      <c r="E25048" s="7" t="n">
        <v>2822</v>
      </c>
      <c r="F25048" s="7" t="s">
        <v>462</v>
      </c>
      <c r="G25048" s="7" t="n">
        <v>2</v>
      </c>
      <c r="H25048" s="7" t="n">
        <v>0</v>
      </c>
    </row>
    <row r="25049" spans="1:9">
      <c r="A25049" t="s">
        <v>4</v>
      </c>
      <c r="B25049" s="4" t="s">
        <v>5</v>
      </c>
    </row>
    <row r="25050" spans="1:9">
      <c r="A25050" t="n">
        <v>242731</v>
      </c>
      <c r="B25050" s="27" t="n">
        <v>28</v>
      </c>
    </row>
    <row r="25051" spans="1:9">
      <c r="A25051" t="s">
        <v>4</v>
      </c>
      <c r="B25051" s="4" t="s">
        <v>5</v>
      </c>
      <c r="C25051" s="4" t="s">
        <v>11</v>
      </c>
      <c r="D25051" s="4" t="s">
        <v>7</v>
      </c>
    </row>
    <row r="25052" spans="1:9">
      <c r="A25052" t="n">
        <v>242732</v>
      </c>
      <c r="B25052" s="68" t="n">
        <v>89</v>
      </c>
      <c r="C25052" s="7" t="n">
        <v>65533</v>
      </c>
      <c r="D25052" s="7" t="n">
        <v>1</v>
      </c>
    </row>
    <row r="25053" spans="1:9">
      <c r="A25053" t="s">
        <v>4</v>
      </c>
      <c r="B25053" s="4" t="s">
        <v>5</v>
      </c>
      <c r="C25053" s="4" t="s">
        <v>7</v>
      </c>
      <c r="D25053" s="4" t="s">
        <v>11</v>
      </c>
      <c r="E25053" s="4" t="s">
        <v>8</v>
      </c>
    </row>
    <row r="25054" spans="1:9">
      <c r="A25054" t="n">
        <v>242736</v>
      </c>
      <c r="B25054" s="38" t="n">
        <v>51</v>
      </c>
      <c r="C25054" s="7" t="n">
        <v>4</v>
      </c>
      <c r="D25054" s="7" t="n">
        <v>3</v>
      </c>
      <c r="E25054" s="7" t="s">
        <v>463</v>
      </c>
    </row>
    <row r="25055" spans="1:9">
      <c r="A25055" t="s">
        <v>4</v>
      </c>
      <c r="B25055" s="4" t="s">
        <v>5</v>
      </c>
      <c r="C25055" s="4" t="s">
        <v>11</v>
      </c>
    </row>
    <row r="25056" spans="1:9">
      <c r="A25056" t="n">
        <v>242756</v>
      </c>
      <c r="B25056" s="29" t="n">
        <v>16</v>
      </c>
      <c r="C25056" s="7" t="n">
        <v>0</v>
      </c>
    </row>
    <row r="25057" spans="1:8">
      <c r="A25057" t="s">
        <v>4</v>
      </c>
      <c r="B25057" s="4" t="s">
        <v>5</v>
      </c>
      <c r="C25057" s="4" t="s">
        <v>11</v>
      </c>
      <c r="D25057" s="4" t="s">
        <v>7</v>
      </c>
      <c r="E25057" s="4" t="s">
        <v>15</v>
      </c>
      <c r="F25057" s="4" t="s">
        <v>55</v>
      </c>
      <c r="G25057" s="4" t="s">
        <v>7</v>
      </c>
      <c r="H25057" s="4" t="s">
        <v>7</v>
      </c>
      <c r="I25057" s="4" t="s">
        <v>7</v>
      </c>
    </row>
    <row r="25058" spans="1:8">
      <c r="A25058" t="n">
        <v>242759</v>
      </c>
      <c r="B25058" s="55" t="n">
        <v>26</v>
      </c>
      <c r="C25058" s="7" t="n">
        <v>3</v>
      </c>
      <c r="D25058" s="7" t="n">
        <v>17</v>
      </c>
      <c r="E25058" s="7" t="n">
        <v>2823</v>
      </c>
      <c r="F25058" s="7" t="s">
        <v>464</v>
      </c>
      <c r="G25058" s="7" t="n">
        <v>8</v>
      </c>
      <c r="H25058" s="7" t="n">
        <v>2</v>
      </c>
      <c r="I25058" s="7" t="n">
        <v>0</v>
      </c>
    </row>
    <row r="25059" spans="1:8">
      <c r="A25059" t="s">
        <v>4</v>
      </c>
      <c r="B25059" s="4" t="s">
        <v>5</v>
      </c>
      <c r="C25059" s="4" t="s">
        <v>11</v>
      </c>
    </row>
    <row r="25060" spans="1:8">
      <c r="A25060" t="n">
        <v>242773</v>
      </c>
      <c r="B25060" s="29" t="n">
        <v>16</v>
      </c>
      <c r="C25060" s="7" t="n">
        <v>1</v>
      </c>
    </row>
    <row r="25061" spans="1:8">
      <c r="A25061" t="s">
        <v>4</v>
      </c>
      <c r="B25061" s="4" t="s">
        <v>5</v>
      </c>
      <c r="C25061" s="4" t="s">
        <v>7</v>
      </c>
      <c r="D25061" s="4" t="s">
        <v>11</v>
      </c>
    </row>
    <row r="25062" spans="1:8">
      <c r="A25062" t="n">
        <v>242776</v>
      </c>
      <c r="B25062" s="57" t="n">
        <v>50</v>
      </c>
      <c r="C25062" s="7" t="n">
        <v>52</v>
      </c>
      <c r="D25062" s="7" t="n">
        <v>2823</v>
      </c>
    </row>
    <row r="25063" spans="1:8">
      <c r="A25063" t="s">
        <v>4</v>
      </c>
      <c r="B25063" s="4" t="s">
        <v>5</v>
      </c>
      <c r="C25063" s="4" t="s">
        <v>11</v>
      </c>
    </row>
    <row r="25064" spans="1:8">
      <c r="A25064" t="n">
        <v>242780</v>
      </c>
      <c r="B25064" s="29" t="n">
        <v>16</v>
      </c>
      <c r="C25064" s="7" t="n">
        <v>1000</v>
      </c>
    </row>
    <row r="25065" spans="1:8">
      <c r="A25065" t="s">
        <v>4</v>
      </c>
      <c r="B25065" s="4" t="s">
        <v>5</v>
      </c>
      <c r="C25065" s="4" t="s">
        <v>11</v>
      </c>
      <c r="D25065" s="4" t="s">
        <v>7</v>
      </c>
    </row>
    <row r="25066" spans="1:8">
      <c r="A25066" t="n">
        <v>242783</v>
      </c>
      <c r="B25066" s="68" t="n">
        <v>89</v>
      </c>
      <c r="C25066" s="7" t="n">
        <v>65533</v>
      </c>
      <c r="D25066" s="7" t="n">
        <v>0</v>
      </c>
    </row>
    <row r="25067" spans="1:8">
      <c r="A25067" t="s">
        <v>4</v>
      </c>
      <c r="B25067" s="4" t="s">
        <v>5</v>
      </c>
      <c r="C25067" s="4" t="s">
        <v>11</v>
      </c>
      <c r="D25067" s="4" t="s">
        <v>7</v>
      </c>
    </row>
    <row r="25068" spans="1:8">
      <c r="A25068" t="n">
        <v>242787</v>
      </c>
      <c r="B25068" s="68" t="n">
        <v>89</v>
      </c>
      <c r="C25068" s="7" t="n">
        <v>65533</v>
      </c>
      <c r="D25068" s="7" t="n">
        <v>1</v>
      </c>
    </row>
    <row r="25069" spans="1:8">
      <c r="A25069" t="s">
        <v>4</v>
      </c>
      <c r="B25069" s="4" t="s">
        <v>5</v>
      </c>
      <c r="C25069" s="4" t="s">
        <v>11</v>
      </c>
      <c r="D25069" s="4" t="s">
        <v>11</v>
      </c>
      <c r="E25069" s="4" t="s">
        <v>13</v>
      </c>
      <c r="F25069" s="4" t="s">
        <v>13</v>
      </c>
      <c r="G25069" s="4" t="s">
        <v>13</v>
      </c>
      <c r="H25069" s="4" t="s">
        <v>13</v>
      </c>
      <c r="I25069" s="4" t="s">
        <v>7</v>
      </c>
      <c r="J25069" s="4" t="s">
        <v>11</v>
      </c>
    </row>
    <row r="25070" spans="1:8">
      <c r="A25070" t="n">
        <v>242791</v>
      </c>
      <c r="B25070" s="53" t="n">
        <v>55</v>
      </c>
      <c r="C25070" s="7" t="n">
        <v>3</v>
      </c>
      <c r="D25070" s="7" t="n">
        <v>65533</v>
      </c>
      <c r="E25070" s="7" t="n">
        <v>-6.90999984741211</v>
      </c>
      <c r="F25070" s="7" t="n">
        <v>5</v>
      </c>
      <c r="G25070" s="7" t="n">
        <v>29.8600006103516</v>
      </c>
      <c r="H25070" s="7" t="n">
        <v>2.79999995231628</v>
      </c>
      <c r="I25070" s="7" t="n">
        <v>1</v>
      </c>
      <c r="J25070" s="7" t="n">
        <v>0</v>
      </c>
    </row>
    <row r="25071" spans="1:8">
      <c r="A25071" t="s">
        <v>4</v>
      </c>
      <c r="B25071" s="4" t="s">
        <v>5</v>
      </c>
      <c r="C25071" s="4" t="s">
        <v>11</v>
      </c>
    </row>
    <row r="25072" spans="1:8">
      <c r="A25072" t="n">
        <v>242815</v>
      </c>
      <c r="B25072" s="29" t="n">
        <v>16</v>
      </c>
      <c r="C25072" s="7" t="n">
        <v>100</v>
      </c>
    </row>
    <row r="25073" spans="1:10">
      <c r="A25073" t="s">
        <v>4</v>
      </c>
      <c r="B25073" s="4" t="s">
        <v>5</v>
      </c>
      <c r="C25073" s="4" t="s">
        <v>7</v>
      </c>
      <c r="D25073" s="4" t="s">
        <v>11</v>
      </c>
      <c r="E25073" s="4" t="s">
        <v>13</v>
      </c>
    </row>
    <row r="25074" spans="1:10">
      <c r="A25074" t="n">
        <v>242818</v>
      </c>
      <c r="B25074" s="23" t="n">
        <v>58</v>
      </c>
      <c r="C25074" s="7" t="n">
        <v>101</v>
      </c>
      <c r="D25074" s="7" t="n">
        <v>500</v>
      </c>
      <c r="E25074" s="7" t="n">
        <v>1</v>
      </c>
    </row>
    <row r="25075" spans="1:10">
      <c r="A25075" t="s">
        <v>4</v>
      </c>
      <c r="B25075" s="4" t="s">
        <v>5</v>
      </c>
      <c r="C25075" s="4" t="s">
        <v>7</v>
      </c>
      <c r="D25075" s="4" t="s">
        <v>11</v>
      </c>
    </row>
    <row r="25076" spans="1:10">
      <c r="A25076" t="n">
        <v>242826</v>
      </c>
      <c r="B25076" s="23" t="n">
        <v>58</v>
      </c>
      <c r="C25076" s="7" t="n">
        <v>254</v>
      </c>
      <c r="D25076" s="7" t="n">
        <v>0</v>
      </c>
    </row>
    <row r="25077" spans="1:10">
      <c r="A25077" t="s">
        <v>4</v>
      </c>
      <c r="B25077" s="4" t="s">
        <v>5</v>
      </c>
      <c r="C25077" s="4" t="s">
        <v>11</v>
      </c>
      <c r="D25077" s="4" t="s">
        <v>13</v>
      </c>
      <c r="E25077" s="4" t="s">
        <v>13</v>
      </c>
      <c r="F25077" s="4" t="s">
        <v>13</v>
      </c>
      <c r="G25077" s="4" t="s">
        <v>11</v>
      </c>
      <c r="H25077" s="4" t="s">
        <v>11</v>
      </c>
    </row>
    <row r="25078" spans="1:10">
      <c r="A25078" t="n">
        <v>242830</v>
      </c>
      <c r="B25078" s="37" t="n">
        <v>60</v>
      </c>
      <c r="C25078" s="7" t="n">
        <v>0</v>
      </c>
      <c r="D25078" s="7" t="n">
        <v>0</v>
      </c>
      <c r="E25078" s="7" t="n">
        <v>0</v>
      </c>
      <c r="F25078" s="7" t="n">
        <v>0</v>
      </c>
      <c r="G25078" s="7" t="n">
        <v>0</v>
      </c>
      <c r="H25078" s="7" t="n">
        <v>1</v>
      </c>
    </row>
    <row r="25079" spans="1:10">
      <c r="A25079" t="s">
        <v>4</v>
      </c>
      <c r="B25079" s="4" t="s">
        <v>5</v>
      </c>
      <c r="C25079" s="4" t="s">
        <v>11</v>
      </c>
      <c r="D25079" s="4" t="s">
        <v>13</v>
      </c>
      <c r="E25079" s="4" t="s">
        <v>13</v>
      </c>
      <c r="F25079" s="4" t="s">
        <v>13</v>
      </c>
      <c r="G25079" s="4" t="s">
        <v>11</v>
      </c>
      <c r="H25079" s="4" t="s">
        <v>11</v>
      </c>
    </row>
    <row r="25080" spans="1:10">
      <c r="A25080" t="n">
        <v>242849</v>
      </c>
      <c r="B25080" s="37" t="n">
        <v>60</v>
      </c>
      <c r="C25080" s="7" t="n">
        <v>0</v>
      </c>
      <c r="D25080" s="7" t="n">
        <v>0</v>
      </c>
      <c r="E25080" s="7" t="n">
        <v>0</v>
      </c>
      <c r="F25080" s="7" t="n">
        <v>0</v>
      </c>
      <c r="G25080" s="7" t="n">
        <v>0</v>
      </c>
      <c r="H25080" s="7" t="n">
        <v>0</v>
      </c>
    </row>
    <row r="25081" spans="1:10">
      <c r="A25081" t="s">
        <v>4</v>
      </c>
      <c r="B25081" s="4" t="s">
        <v>5</v>
      </c>
      <c r="C25081" s="4" t="s">
        <v>11</v>
      </c>
      <c r="D25081" s="4" t="s">
        <v>11</v>
      </c>
      <c r="E25081" s="4" t="s">
        <v>11</v>
      </c>
    </row>
    <row r="25082" spans="1:10">
      <c r="A25082" t="n">
        <v>242868</v>
      </c>
      <c r="B25082" s="72" t="n">
        <v>61</v>
      </c>
      <c r="C25082" s="7" t="n">
        <v>0</v>
      </c>
      <c r="D25082" s="7" t="n">
        <v>65533</v>
      </c>
      <c r="E25082" s="7" t="n">
        <v>0</v>
      </c>
    </row>
    <row r="25083" spans="1:10">
      <c r="A25083" t="s">
        <v>4</v>
      </c>
      <c r="B25083" s="4" t="s">
        <v>5</v>
      </c>
      <c r="C25083" s="4" t="s">
        <v>11</v>
      </c>
      <c r="D25083" s="4" t="s">
        <v>13</v>
      </c>
      <c r="E25083" s="4" t="s">
        <v>13</v>
      </c>
      <c r="F25083" s="4" t="s">
        <v>13</v>
      </c>
      <c r="G25083" s="4" t="s">
        <v>11</v>
      </c>
      <c r="H25083" s="4" t="s">
        <v>11</v>
      </c>
    </row>
    <row r="25084" spans="1:10">
      <c r="A25084" t="n">
        <v>242875</v>
      </c>
      <c r="B25084" s="37" t="n">
        <v>60</v>
      </c>
      <c r="C25084" s="7" t="n">
        <v>3</v>
      </c>
      <c r="D25084" s="7" t="n">
        <v>0</v>
      </c>
      <c r="E25084" s="7" t="n">
        <v>0</v>
      </c>
      <c r="F25084" s="7" t="n">
        <v>0</v>
      </c>
      <c r="G25084" s="7" t="n">
        <v>0</v>
      </c>
      <c r="H25084" s="7" t="n">
        <v>1</v>
      </c>
    </row>
    <row r="25085" spans="1:10">
      <c r="A25085" t="s">
        <v>4</v>
      </c>
      <c r="B25085" s="4" t="s">
        <v>5</v>
      </c>
      <c r="C25085" s="4" t="s">
        <v>11</v>
      </c>
      <c r="D25085" s="4" t="s">
        <v>13</v>
      </c>
      <c r="E25085" s="4" t="s">
        <v>13</v>
      </c>
      <c r="F25085" s="4" t="s">
        <v>13</v>
      </c>
      <c r="G25085" s="4" t="s">
        <v>11</v>
      </c>
      <c r="H25085" s="4" t="s">
        <v>11</v>
      </c>
    </row>
    <row r="25086" spans="1:10">
      <c r="A25086" t="n">
        <v>242894</v>
      </c>
      <c r="B25086" s="37" t="n">
        <v>60</v>
      </c>
      <c r="C25086" s="7" t="n">
        <v>3</v>
      </c>
      <c r="D25086" s="7" t="n">
        <v>0</v>
      </c>
      <c r="E25086" s="7" t="n">
        <v>0</v>
      </c>
      <c r="F25086" s="7" t="n">
        <v>0</v>
      </c>
      <c r="G25086" s="7" t="n">
        <v>0</v>
      </c>
      <c r="H25086" s="7" t="n">
        <v>0</v>
      </c>
    </row>
    <row r="25087" spans="1:10">
      <c r="A25087" t="s">
        <v>4</v>
      </c>
      <c r="B25087" s="4" t="s">
        <v>5</v>
      </c>
      <c r="C25087" s="4" t="s">
        <v>11</v>
      </c>
      <c r="D25087" s="4" t="s">
        <v>11</v>
      </c>
      <c r="E25087" s="4" t="s">
        <v>11</v>
      </c>
    </row>
    <row r="25088" spans="1:10">
      <c r="A25088" t="n">
        <v>242913</v>
      </c>
      <c r="B25088" s="72" t="n">
        <v>61</v>
      </c>
      <c r="C25088" s="7" t="n">
        <v>3</v>
      </c>
      <c r="D25088" s="7" t="n">
        <v>65533</v>
      </c>
      <c r="E25088" s="7" t="n">
        <v>0</v>
      </c>
    </row>
    <row r="25089" spans="1:8">
      <c r="A25089" t="s">
        <v>4</v>
      </c>
      <c r="B25089" s="4" t="s">
        <v>5</v>
      </c>
      <c r="C25089" s="4" t="s">
        <v>7</v>
      </c>
      <c r="D25089" s="4" t="s">
        <v>7</v>
      </c>
      <c r="E25089" s="4" t="s">
        <v>13</v>
      </c>
      <c r="F25089" s="4" t="s">
        <v>13</v>
      </c>
      <c r="G25089" s="4" t="s">
        <v>13</v>
      </c>
      <c r="H25089" s="4" t="s">
        <v>11</v>
      </c>
    </row>
    <row r="25090" spans="1:8">
      <c r="A25090" t="n">
        <v>242920</v>
      </c>
      <c r="B25090" s="51" t="n">
        <v>45</v>
      </c>
      <c r="C25090" s="7" t="n">
        <v>2</v>
      </c>
      <c r="D25090" s="7" t="n">
        <v>3</v>
      </c>
      <c r="E25090" s="7" t="n">
        <v>-6.82000017166138</v>
      </c>
      <c r="F25090" s="7" t="n">
        <v>6.3600001335144</v>
      </c>
      <c r="G25090" s="7" t="n">
        <v>29.9099998474121</v>
      </c>
      <c r="H25090" s="7" t="n">
        <v>0</v>
      </c>
    </row>
    <row r="25091" spans="1:8">
      <c r="A25091" t="s">
        <v>4</v>
      </c>
      <c r="B25091" s="4" t="s">
        <v>5</v>
      </c>
      <c r="C25091" s="4" t="s">
        <v>7</v>
      </c>
      <c r="D25091" s="4" t="s">
        <v>7</v>
      </c>
      <c r="E25091" s="4" t="s">
        <v>13</v>
      </c>
      <c r="F25091" s="4" t="s">
        <v>13</v>
      </c>
      <c r="G25091" s="4" t="s">
        <v>13</v>
      </c>
      <c r="H25091" s="4" t="s">
        <v>11</v>
      </c>
      <c r="I25091" s="4" t="s">
        <v>7</v>
      </c>
    </row>
    <row r="25092" spans="1:8">
      <c r="A25092" t="n">
        <v>242937</v>
      </c>
      <c r="B25092" s="51" t="n">
        <v>45</v>
      </c>
      <c r="C25092" s="7" t="n">
        <v>4</v>
      </c>
      <c r="D25092" s="7" t="n">
        <v>3</v>
      </c>
      <c r="E25092" s="7" t="n">
        <v>13.1300001144409</v>
      </c>
      <c r="F25092" s="7" t="n">
        <v>311.959991455078</v>
      </c>
      <c r="G25092" s="7" t="n">
        <v>354</v>
      </c>
      <c r="H25092" s="7" t="n">
        <v>0</v>
      </c>
      <c r="I25092" s="7" t="n">
        <v>0</v>
      </c>
    </row>
    <row r="25093" spans="1:8">
      <c r="A25093" t="s">
        <v>4</v>
      </c>
      <c r="B25093" s="4" t="s">
        <v>5</v>
      </c>
      <c r="C25093" s="4" t="s">
        <v>7</v>
      </c>
      <c r="D25093" s="4" t="s">
        <v>7</v>
      </c>
      <c r="E25093" s="4" t="s">
        <v>13</v>
      </c>
      <c r="F25093" s="4" t="s">
        <v>11</v>
      </c>
    </row>
    <row r="25094" spans="1:8">
      <c r="A25094" t="n">
        <v>242955</v>
      </c>
      <c r="B25094" s="51" t="n">
        <v>45</v>
      </c>
      <c r="C25094" s="7" t="n">
        <v>5</v>
      </c>
      <c r="D25094" s="7" t="n">
        <v>3</v>
      </c>
      <c r="E25094" s="7" t="n">
        <v>1.10000002384186</v>
      </c>
      <c r="F25094" s="7" t="n">
        <v>0</v>
      </c>
    </row>
    <row r="25095" spans="1:8">
      <c r="A25095" t="s">
        <v>4</v>
      </c>
      <c r="B25095" s="4" t="s">
        <v>5</v>
      </c>
      <c r="C25095" s="4" t="s">
        <v>7</v>
      </c>
      <c r="D25095" s="4" t="s">
        <v>7</v>
      </c>
      <c r="E25095" s="4" t="s">
        <v>13</v>
      </c>
      <c r="F25095" s="4" t="s">
        <v>11</v>
      </c>
    </row>
    <row r="25096" spans="1:8">
      <c r="A25096" t="n">
        <v>242964</v>
      </c>
      <c r="B25096" s="51" t="n">
        <v>45</v>
      </c>
      <c r="C25096" s="7" t="n">
        <v>11</v>
      </c>
      <c r="D25096" s="7" t="n">
        <v>3</v>
      </c>
      <c r="E25096" s="7" t="n">
        <v>40.2999992370605</v>
      </c>
      <c r="F25096" s="7" t="n">
        <v>0</v>
      </c>
    </row>
    <row r="25097" spans="1:8">
      <c r="A25097" t="s">
        <v>4</v>
      </c>
      <c r="B25097" s="4" t="s">
        <v>5</v>
      </c>
      <c r="C25097" s="4" t="s">
        <v>7</v>
      </c>
      <c r="D25097" s="4" t="s">
        <v>7</v>
      </c>
      <c r="E25097" s="4" t="s">
        <v>13</v>
      </c>
      <c r="F25097" s="4" t="s">
        <v>13</v>
      </c>
      <c r="G25097" s="4" t="s">
        <v>13</v>
      </c>
      <c r="H25097" s="4" t="s">
        <v>11</v>
      </c>
    </row>
    <row r="25098" spans="1:8">
      <c r="A25098" t="n">
        <v>242973</v>
      </c>
      <c r="B25098" s="51" t="n">
        <v>45</v>
      </c>
      <c r="C25098" s="7" t="n">
        <v>2</v>
      </c>
      <c r="D25098" s="7" t="n">
        <v>3</v>
      </c>
      <c r="E25098" s="7" t="n">
        <v>-6.65000009536743</v>
      </c>
      <c r="F25098" s="7" t="n">
        <v>6.40999984741211</v>
      </c>
      <c r="G25098" s="7" t="n">
        <v>29.8899993896484</v>
      </c>
      <c r="H25098" s="7" t="n">
        <v>3000</v>
      </c>
    </row>
    <row r="25099" spans="1:8">
      <c r="A25099" t="s">
        <v>4</v>
      </c>
      <c r="B25099" s="4" t="s">
        <v>5</v>
      </c>
      <c r="C25099" s="4" t="s">
        <v>7</v>
      </c>
      <c r="D25099" s="4" t="s">
        <v>7</v>
      </c>
      <c r="E25099" s="4" t="s">
        <v>13</v>
      </c>
      <c r="F25099" s="4" t="s">
        <v>13</v>
      </c>
      <c r="G25099" s="4" t="s">
        <v>13</v>
      </c>
      <c r="H25099" s="4" t="s">
        <v>11</v>
      </c>
      <c r="I25099" s="4" t="s">
        <v>7</v>
      </c>
    </row>
    <row r="25100" spans="1:8">
      <c r="A25100" t="n">
        <v>242990</v>
      </c>
      <c r="B25100" s="51" t="n">
        <v>45</v>
      </c>
      <c r="C25100" s="7" t="n">
        <v>4</v>
      </c>
      <c r="D25100" s="7" t="n">
        <v>3</v>
      </c>
      <c r="E25100" s="7" t="n">
        <v>1.94000005722046</v>
      </c>
      <c r="F25100" s="7" t="n">
        <v>0.479999989271164</v>
      </c>
      <c r="G25100" s="7" t="n">
        <v>354</v>
      </c>
      <c r="H25100" s="7" t="n">
        <v>3000</v>
      </c>
      <c r="I25100" s="7" t="n">
        <v>1</v>
      </c>
    </row>
    <row r="25101" spans="1:8">
      <c r="A25101" t="s">
        <v>4</v>
      </c>
      <c r="B25101" s="4" t="s">
        <v>5</v>
      </c>
      <c r="C25101" s="4" t="s">
        <v>7</v>
      </c>
      <c r="D25101" s="4" t="s">
        <v>7</v>
      </c>
      <c r="E25101" s="4" t="s">
        <v>13</v>
      </c>
      <c r="F25101" s="4" t="s">
        <v>11</v>
      </c>
    </row>
    <row r="25102" spans="1:8">
      <c r="A25102" t="n">
        <v>243008</v>
      </c>
      <c r="B25102" s="51" t="n">
        <v>45</v>
      </c>
      <c r="C25102" s="7" t="n">
        <v>5</v>
      </c>
      <c r="D25102" s="7" t="n">
        <v>3</v>
      </c>
      <c r="E25102" s="7" t="n">
        <v>1</v>
      </c>
      <c r="F25102" s="7" t="n">
        <v>3000</v>
      </c>
    </row>
    <row r="25103" spans="1:8">
      <c r="A25103" t="s">
        <v>4</v>
      </c>
      <c r="B25103" s="4" t="s">
        <v>5</v>
      </c>
      <c r="C25103" s="4" t="s">
        <v>7</v>
      </c>
      <c r="D25103" s="4" t="s">
        <v>7</v>
      </c>
      <c r="E25103" s="4" t="s">
        <v>13</v>
      </c>
      <c r="F25103" s="4" t="s">
        <v>11</v>
      </c>
    </row>
    <row r="25104" spans="1:8">
      <c r="A25104" t="n">
        <v>243017</v>
      </c>
      <c r="B25104" s="51" t="n">
        <v>45</v>
      </c>
      <c r="C25104" s="7" t="n">
        <v>11</v>
      </c>
      <c r="D25104" s="7" t="n">
        <v>3</v>
      </c>
      <c r="E25104" s="7" t="n">
        <v>40.2999992370605</v>
      </c>
      <c r="F25104" s="7" t="n">
        <v>3000</v>
      </c>
    </row>
    <row r="25105" spans="1:9">
      <c r="A25105" t="s">
        <v>4</v>
      </c>
      <c r="B25105" s="4" t="s">
        <v>5</v>
      </c>
      <c r="C25105" s="4" t="s">
        <v>11</v>
      </c>
      <c r="D25105" s="4" t="s">
        <v>7</v>
      </c>
    </row>
    <row r="25106" spans="1:9">
      <c r="A25106" t="n">
        <v>243026</v>
      </c>
      <c r="B25106" s="54" t="n">
        <v>56</v>
      </c>
      <c r="C25106" s="7" t="n">
        <v>3</v>
      </c>
      <c r="D25106" s="7" t="n">
        <v>0</v>
      </c>
    </row>
    <row r="25107" spans="1:9">
      <c r="A25107" t="s">
        <v>4</v>
      </c>
      <c r="B25107" s="4" t="s">
        <v>5</v>
      </c>
      <c r="C25107" s="4" t="s">
        <v>11</v>
      </c>
      <c r="D25107" s="4" t="s">
        <v>7</v>
      </c>
      <c r="E25107" s="4" t="s">
        <v>8</v>
      </c>
      <c r="F25107" s="4" t="s">
        <v>13</v>
      </c>
      <c r="G25107" s="4" t="s">
        <v>13</v>
      </c>
      <c r="H25107" s="4" t="s">
        <v>13</v>
      </c>
    </row>
    <row r="25108" spans="1:9">
      <c r="A25108" t="n">
        <v>243030</v>
      </c>
      <c r="B25108" s="42" t="n">
        <v>48</v>
      </c>
      <c r="C25108" s="7" t="n">
        <v>0</v>
      </c>
      <c r="D25108" s="7" t="n">
        <v>0</v>
      </c>
      <c r="E25108" s="7" t="s">
        <v>210</v>
      </c>
      <c r="F25108" s="7" t="n">
        <v>0</v>
      </c>
      <c r="G25108" s="7" t="n">
        <v>1</v>
      </c>
      <c r="H25108" s="7" t="n">
        <v>0</v>
      </c>
    </row>
    <row r="25109" spans="1:9">
      <c r="A25109" t="s">
        <v>4</v>
      </c>
      <c r="B25109" s="4" t="s">
        <v>5</v>
      </c>
      <c r="C25109" s="4" t="s">
        <v>11</v>
      </c>
      <c r="D25109" s="4" t="s">
        <v>7</v>
      </c>
      <c r="E25109" s="4" t="s">
        <v>8</v>
      </c>
      <c r="F25109" s="4" t="s">
        <v>13</v>
      </c>
      <c r="G25109" s="4" t="s">
        <v>13</v>
      </c>
      <c r="H25109" s="4" t="s">
        <v>13</v>
      </c>
    </row>
    <row r="25110" spans="1:9">
      <c r="A25110" t="n">
        <v>243055</v>
      </c>
      <c r="B25110" s="42" t="n">
        <v>48</v>
      </c>
      <c r="C25110" s="7" t="n">
        <v>3</v>
      </c>
      <c r="D25110" s="7" t="n">
        <v>0</v>
      </c>
      <c r="E25110" s="7" t="s">
        <v>210</v>
      </c>
      <c r="F25110" s="7" t="n">
        <v>0</v>
      </c>
      <c r="G25110" s="7" t="n">
        <v>1</v>
      </c>
      <c r="H25110" s="7" t="n">
        <v>0</v>
      </c>
    </row>
    <row r="25111" spans="1:9">
      <c r="A25111" t="s">
        <v>4</v>
      </c>
      <c r="B25111" s="4" t="s">
        <v>5</v>
      </c>
      <c r="C25111" s="4" t="s">
        <v>7</v>
      </c>
      <c r="D25111" s="4" t="s">
        <v>11</v>
      </c>
      <c r="E25111" s="4" t="s">
        <v>8</v>
      </c>
      <c r="F25111" s="4" t="s">
        <v>8</v>
      </c>
      <c r="G25111" s="4" t="s">
        <v>8</v>
      </c>
      <c r="H25111" s="4" t="s">
        <v>8</v>
      </c>
    </row>
    <row r="25112" spans="1:9">
      <c r="A25112" t="n">
        <v>243080</v>
      </c>
      <c r="B25112" s="38" t="n">
        <v>51</v>
      </c>
      <c r="C25112" s="7" t="n">
        <v>3</v>
      </c>
      <c r="D25112" s="7" t="n">
        <v>0</v>
      </c>
      <c r="E25112" s="7" t="s">
        <v>154</v>
      </c>
      <c r="F25112" s="7" t="s">
        <v>155</v>
      </c>
      <c r="G25112" s="7" t="s">
        <v>78</v>
      </c>
      <c r="H25112" s="7" t="s">
        <v>79</v>
      </c>
    </row>
    <row r="25113" spans="1:9">
      <c r="A25113" t="s">
        <v>4</v>
      </c>
      <c r="B25113" s="4" t="s">
        <v>5</v>
      </c>
      <c r="C25113" s="4" t="s">
        <v>7</v>
      </c>
      <c r="D25113" s="4" t="s">
        <v>11</v>
      </c>
    </row>
    <row r="25114" spans="1:9">
      <c r="A25114" t="n">
        <v>243093</v>
      </c>
      <c r="B25114" s="23" t="n">
        <v>58</v>
      </c>
      <c r="C25114" s="7" t="n">
        <v>255</v>
      </c>
      <c r="D25114" s="7" t="n">
        <v>0</v>
      </c>
    </row>
    <row r="25115" spans="1:9">
      <c r="A25115" t="s">
        <v>4</v>
      </c>
      <c r="B25115" s="4" t="s">
        <v>5</v>
      </c>
      <c r="C25115" s="4" t="s">
        <v>11</v>
      </c>
      <c r="D25115" s="4" t="s">
        <v>7</v>
      </c>
      <c r="E25115" s="4" t="s">
        <v>8</v>
      </c>
      <c r="F25115" s="4" t="s">
        <v>13</v>
      </c>
      <c r="G25115" s="4" t="s">
        <v>13</v>
      </c>
      <c r="H25115" s="4" t="s">
        <v>13</v>
      </c>
    </row>
    <row r="25116" spans="1:9">
      <c r="A25116" t="n">
        <v>243097</v>
      </c>
      <c r="B25116" s="42" t="n">
        <v>48</v>
      </c>
      <c r="C25116" s="7" t="n">
        <v>0</v>
      </c>
      <c r="D25116" s="7" t="n">
        <v>0</v>
      </c>
      <c r="E25116" s="7" t="s">
        <v>389</v>
      </c>
      <c r="F25116" s="7" t="n">
        <v>-1</v>
      </c>
      <c r="G25116" s="7" t="n">
        <v>1</v>
      </c>
      <c r="H25116" s="7" t="n">
        <v>0</v>
      </c>
    </row>
    <row r="25117" spans="1:9">
      <c r="A25117" t="s">
        <v>4</v>
      </c>
      <c r="B25117" s="4" t="s">
        <v>5</v>
      </c>
      <c r="C25117" s="4" t="s">
        <v>11</v>
      </c>
      <c r="D25117" s="4" t="s">
        <v>7</v>
      </c>
      <c r="E25117" s="4" t="s">
        <v>8</v>
      </c>
      <c r="F25117" s="4" t="s">
        <v>13</v>
      </c>
      <c r="G25117" s="4" t="s">
        <v>13</v>
      </c>
      <c r="H25117" s="4" t="s">
        <v>13</v>
      </c>
    </row>
    <row r="25118" spans="1:9">
      <c r="A25118" t="n">
        <v>243123</v>
      </c>
      <c r="B25118" s="42" t="n">
        <v>48</v>
      </c>
      <c r="C25118" s="7" t="n">
        <v>3</v>
      </c>
      <c r="D25118" s="7" t="n">
        <v>0</v>
      </c>
      <c r="E25118" s="7" t="s">
        <v>389</v>
      </c>
      <c r="F25118" s="7" t="n">
        <v>-1</v>
      </c>
      <c r="G25118" s="7" t="n">
        <v>1</v>
      </c>
      <c r="H25118" s="7" t="n">
        <v>0</v>
      </c>
    </row>
    <row r="25119" spans="1:9">
      <c r="A25119" t="s">
        <v>4</v>
      </c>
      <c r="B25119" s="4" t="s">
        <v>5</v>
      </c>
      <c r="C25119" s="4" t="s">
        <v>7</v>
      </c>
      <c r="D25119" s="4" t="s">
        <v>11</v>
      </c>
      <c r="E25119" s="4" t="s">
        <v>13</v>
      </c>
      <c r="F25119" s="4" t="s">
        <v>11</v>
      </c>
      <c r="G25119" s="4" t="s">
        <v>15</v>
      </c>
      <c r="H25119" s="4" t="s">
        <v>15</v>
      </c>
      <c r="I25119" s="4" t="s">
        <v>11</v>
      </c>
      <c r="J25119" s="4" t="s">
        <v>11</v>
      </c>
      <c r="K25119" s="4" t="s">
        <v>15</v>
      </c>
      <c r="L25119" s="4" t="s">
        <v>15</v>
      </c>
      <c r="M25119" s="4" t="s">
        <v>15</v>
      </c>
      <c r="N25119" s="4" t="s">
        <v>15</v>
      </c>
      <c r="O25119" s="4" t="s">
        <v>8</v>
      </c>
    </row>
    <row r="25120" spans="1:9">
      <c r="A25120" t="n">
        <v>243149</v>
      </c>
      <c r="B25120" s="57" t="n">
        <v>50</v>
      </c>
      <c r="C25120" s="7" t="n">
        <v>0</v>
      </c>
      <c r="D25120" s="7" t="n">
        <v>2004</v>
      </c>
      <c r="E25120" s="7" t="n">
        <v>0.5</v>
      </c>
      <c r="F25120" s="7" t="n">
        <v>200</v>
      </c>
      <c r="G25120" s="7" t="n">
        <v>0</v>
      </c>
      <c r="H25120" s="7" t="n">
        <v>1073741824</v>
      </c>
      <c r="I25120" s="7" t="n">
        <v>0</v>
      </c>
      <c r="J25120" s="7" t="n">
        <v>65533</v>
      </c>
      <c r="K25120" s="7" t="n">
        <v>0</v>
      </c>
      <c r="L25120" s="7" t="n">
        <v>0</v>
      </c>
      <c r="M25120" s="7" t="n">
        <v>0</v>
      </c>
      <c r="N25120" s="7" t="n">
        <v>0</v>
      </c>
      <c r="O25120" s="7" t="s">
        <v>16</v>
      </c>
    </row>
    <row r="25121" spans="1:15">
      <c r="A25121" t="s">
        <v>4</v>
      </c>
      <c r="B25121" s="4" t="s">
        <v>5</v>
      </c>
      <c r="C25121" s="4" t="s">
        <v>11</v>
      </c>
      <c r="D25121" s="4" t="s">
        <v>15</v>
      </c>
      <c r="E25121" s="4" t="s">
        <v>7</v>
      </c>
    </row>
    <row r="25122" spans="1:15">
      <c r="A25122" t="n">
        <v>243188</v>
      </c>
      <c r="B25122" s="78" t="n">
        <v>35</v>
      </c>
      <c r="C25122" s="7" t="n">
        <v>0</v>
      </c>
      <c r="D25122" s="7" t="n">
        <v>0</v>
      </c>
      <c r="E25122" s="7" t="n">
        <v>0</v>
      </c>
    </row>
    <row r="25123" spans="1:15">
      <c r="A25123" t="s">
        <v>4</v>
      </c>
      <c r="B25123" s="4" t="s">
        <v>5</v>
      </c>
      <c r="C25123" s="4" t="s">
        <v>11</v>
      </c>
      <c r="D25123" s="4" t="s">
        <v>15</v>
      </c>
      <c r="E25123" s="4" t="s">
        <v>7</v>
      </c>
    </row>
    <row r="25124" spans="1:15">
      <c r="A25124" t="n">
        <v>243196</v>
      </c>
      <c r="B25124" s="78" t="n">
        <v>35</v>
      </c>
      <c r="C25124" s="7" t="n">
        <v>3</v>
      </c>
      <c r="D25124" s="7" t="n">
        <v>0</v>
      </c>
      <c r="E25124" s="7" t="n">
        <v>0</v>
      </c>
    </row>
    <row r="25125" spans="1:15">
      <c r="A25125" t="s">
        <v>4</v>
      </c>
      <c r="B25125" s="4" t="s">
        <v>5</v>
      </c>
      <c r="C25125" s="4" t="s">
        <v>7</v>
      </c>
      <c r="D25125" s="4" t="s">
        <v>11</v>
      </c>
    </row>
    <row r="25126" spans="1:15">
      <c r="A25126" t="n">
        <v>243204</v>
      </c>
      <c r="B25126" s="51" t="n">
        <v>45</v>
      </c>
      <c r="C25126" s="7" t="n">
        <v>7</v>
      </c>
      <c r="D25126" s="7" t="n">
        <v>255</v>
      </c>
    </row>
    <row r="25127" spans="1:15">
      <c r="A25127" t="s">
        <v>4</v>
      </c>
      <c r="B25127" s="4" t="s">
        <v>5</v>
      </c>
      <c r="C25127" s="4" t="s">
        <v>7</v>
      </c>
      <c r="D25127" s="4" t="s">
        <v>11</v>
      </c>
      <c r="E25127" s="4" t="s">
        <v>8</v>
      </c>
    </row>
    <row r="25128" spans="1:15">
      <c r="A25128" t="n">
        <v>243208</v>
      </c>
      <c r="B25128" s="38" t="n">
        <v>51</v>
      </c>
      <c r="C25128" s="7" t="n">
        <v>4</v>
      </c>
      <c r="D25128" s="7" t="n">
        <v>0</v>
      </c>
      <c r="E25128" s="7" t="s">
        <v>147</v>
      </c>
    </row>
    <row r="25129" spans="1:15">
      <c r="A25129" t="s">
        <v>4</v>
      </c>
      <c r="B25129" s="4" t="s">
        <v>5</v>
      </c>
      <c r="C25129" s="4" t="s">
        <v>11</v>
      </c>
    </row>
    <row r="25130" spans="1:15">
      <c r="A25130" t="n">
        <v>243222</v>
      </c>
      <c r="B25130" s="29" t="n">
        <v>16</v>
      </c>
      <c r="C25130" s="7" t="n">
        <v>0</v>
      </c>
    </row>
    <row r="25131" spans="1:15">
      <c r="A25131" t="s">
        <v>4</v>
      </c>
      <c r="B25131" s="4" t="s">
        <v>5</v>
      </c>
      <c r="C25131" s="4" t="s">
        <v>11</v>
      </c>
      <c r="D25131" s="4" t="s">
        <v>7</v>
      </c>
      <c r="E25131" s="4" t="s">
        <v>15</v>
      </c>
      <c r="F25131" s="4" t="s">
        <v>55</v>
      </c>
      <c r="G25131" s="4" t="s">
        <v>7</v>
      </c>
      <c r="H25131" s="4" t="s">
        <v>7</v>
      </c>
    </row>
    <row r="25132" spans="1:15">
      <c r="A25132" t="n">
        <v>243225</v>
      </c>
      <c r="B25132" s="55" t="n">
        <v>26</v>
      </c>
      <c r="C25132" s="7" t="n">
        <v>0</v>
      </c>
      <c r="D25132" s="7" t="n">
        <v>17</v>
      </c>
      <c r="E25132" s="7" t="n">
        <v>63859</v>
      </c>
      <c r="F25132" s="7" t="s">
        <v>465</v>
      </c>
      <c r="G25132" s="7" t="n">
        <v>2</v>
      </c>
      <c r="H25132" s="7" t="n">
        <v>0</v>
      </c>
    </row>
    <row r="25133" spans="1:15">
      <c r="A25133" t="s">
        <v>4</v>
      </c>
      <c r="B25133" s="4" t="s">
        <v>5</v>
      </c>
    </row>
    <row r="25134" spans="1:15">
      <c r="A25134" t="n">
        <v>243249</v>
      </c>
      <c r="B25134" s="27" t="n">
        <v>28</v>
      </c>
    </row>
    <row r="25135" spans="1:15">
      <c r="A25135" t="s">
        <v>4</v>
      </c>
      <c r="B25135" s="4" t="s">
        <v>5</v>
      </c>
      <c r="C25135" s="4" t="s">
        <v>7</v>
      </c>
      <c r="D25135" s="4" t="s">
        <v>11</v>
      </c>
      <c r="E25135" s="4" t="s">
        <v>8</v>
      </c>
    </row>
    <row r="25136" spans="1:15">
      <c r="A25136" t="n">
        <v>243250</v>
      </c>
      <c r="B25136" s="38" t="n">
        <v>51</v>
      </c>
      <c r="C25136" s="7" t="n">
        <v>4</v>
      </c>
      <c r="D25136" s="7" t="n">
        <v>3</v>
      </c>
      <c r="E25136" s="7" t="s">
        <v>466</v>
      </c>
    </row>
    <row r="25137" spans="1:8">
      <c r="A25137" t="s">
        <v>4</v>
      </c>
      <c r="B25137" s="4" t="s">
        <v>5</v>
      </c>
      <c r="C25137" s="4" t="s">
        <v>11</v>
      </c>
    </row>
    <row r="25138" spans="1:8">
      <c r="A25138" t="n">
        <v>243264</v>
      </c>
      <c r="B25138" s="29" t="n">
        <v>16</v>
      </c>
      <c r="C25138" s="7" t="n">
        <v>0</v>
      </c>
    </row>
    <row r="25139" spans="1:8">
      <c r="A25139" t="s">
        <v>4</v>
      </c>
      <c r="B25139" s="4" t="s">
        <v>5</v>
      </c>
      <c r="C25139" s="4" t="s">
        <v>11</v>
      </c>
      <c r="D25139" s="4" t="s">
        <v>7</v>
      </c>
      <c r="E25139" s="4" t="s">
        <v>15</v>
      </c>
      <c r="F25139" s="4" t="s">
        <v>55</v>
      </c>
      <c r="G25139" s="4" t="s">
        <v>7</v>
      </c>
      <c r="H25139" s="4" t="s">
        <v>7</v>
      </c>
      <c r="I25139" s="4" t="s">
        <v>7</v>
      </c>
      <c r="J25139" s="4" t="s">
        <v>15</v>
      </c>
      <c r="K25139" s="4" t="s">
        <v>55</v>
      </c>
      <c r="L25139" s="4" t="s">
        <v>7</v>
      </c>
      <c r="M25139" s="4" t="s">
        <v>7</v>
      </c>
    </row>
    <row r="25140" spans="1:8">
      <c r="A25140" t="n">
        <v>243267</v>
      </c>
      <c r="B25140" s="55" t="n">
        <v>26</v>
      </c>
      <c r="C25140" s="7" t="n">
        <v>3</v>
      </c>
      <c r="D25140" s="7" t="n">
        <v>17</v>
      </c>
      <c r="E25140" s="7" t="n">
        <v>2824</v>
      </c>
      <c r="F25140" s="7" t="s">
        <v>467</v>
      </c>
      <c r="G25140" s="7" t="n">
        <v>2</v>
      </c>
      <c r="H25140" s="7" t="n">
        <v>3</v>
      </c>
      <c r="I25140" s="7" t="n">
        <v>17</v>
      </c>
      <c r="J25140" s="7" t="n">
        <v>2825</v>
      </c>
      <c r="K25140" s="7" t="s">
        <v>468</v>
      </c>
      <c r="L25140" s="7" t="n">
        <v>2</v>
      </c>
      <c r="M25140" s="7" t="n">
        <v>0</v>
      </c>
    </row>
    <row r="25141" spans="1:8">
      <c r="A25141" t="s">
        <v>4</v>
      </c>
      <c r="B25141" s="4" t="s">
        <v>5</v>
      </c>
    </row>
    <row r="25142" spans="1:8">
      <c r="A25142" t="n">
        <v>243424</v>
      </c>
      <c r="B25142" s="27" t="n">
        <v>28</v>
      </c>
    </row>
    <row r="25143" spans="1:8">
      <c r="A25143" t="s">
        <v>4</v>
      </c>
      <c r="B25143" s="4" t="s">
        <v>5</v>
      </c>
      <c r="C25143" s="4" t="s">
        <v>7</v>
      </c>
      <c r="D25143" s="4" t="s">
        <v>11</v>
      </c>
      <c r="E25143" s="4" t="s">
        <v>8</v>
      </c>
    </row>
    <row r="25144" spans="1:8">
      <c r="A25144" t="n">
        <v>243425</v>
      </c>
      <c r="B25144" s="38" t="n">
        <v>51</v>
      </c>
      <c r="C25144" s="7" t="n">
        <v>4</v>
      </c>
      <c r="D25144" s="7" t="n">
        <v>0</v>
      </c>
      <c r="E25144" s="7" t="s">
        <v>379</v>
      </c>
    </row>
    <row r="25145" spans="1:8">
      <c r="A25145" t="s">
        <v>4</v>
      </c>
      <c r="B25145" s="4" t="s">
        <v>5</v>
      </c>
      <c r="C25145" s="4" t="s">
        <v>11</v>
      </c>
    </row>
    <row r="25146" spans="1:8">
      <c r="A25146" t="n">
        <v>243439</v>
      </c>
      <c r="B25146" s="29" t="n">
        <v>16</v>
      </c>
      <c r="C25146" s="7" t="n">
        <v>0</v>
      </c>
    </row>
    <row r="25147" spans="1:8">
      <c r="A25147" t="s">
        <v>4</v>
      </c>
      <c r="B25147" s="4" t="s">
        <v>5</v>
      </c>
      <c r="C25147" s="4" t="s">
        <v>11</v>
      </c>
      <c r="D25147" s="4" t="s">
        <v>7</v>
      </c>
      <c r="E25147" s="4" t="s">
        <v>15</v>
      </c>
      <c r="F25147" s="4" t="s">
        <v>55</v>
      </c>
      <c r="G25147" s="4" t="s">
        <v>7</v>
      </c>
      <c r="H25147" s="4" t="s">
        <v>7</v>
      </c>
    </row>
    <row r="25148" spans="1:8">
      <c r="A25148" t="n">
        <v>243442</v>
      </c>
      <c r="B25148" s="55" t="n">
        <v>26</v>
      </c>
      <c r="C25148" s="7" t="n">
        <v>0</v>
      </c>
      <c r="D25148" s="7" t="n">
        <v>17</v>
      </c>
      <c r="E25148" s="7" t="n">
        <v>63860</v>
      </c>
      <c r="F25148" s="7" t="s">
        <v>469</v>
      </c>
      <c r="G25148" s="7" t="n">
        <v>2</v>
      </c>
      <c r="H25148" s="7" t="n">
        <v>0</v>
      </c>
    </row>
    <row r="25149" spans="1:8">
      <c r="A25149" t="s">
        <v>4</v>
      </c>
      <c r="B25149" s="4" t="s">
        <v>5</v>
      </c>
    </row>
    <row r="25150" spans="1:8">
      <c r="A25150" t="n">
        <v>243494</v>
      </c>
      <c r="B25150" s="27" t="n">
        <v>28</v>
      </c>
    </row>
    <row r="25151" spans="1:8">
      <c r="A25151" t="s">
        <v>4</v>
      </c>
      <c r="B25151" s="4" t="s">
        <v>5</v>
      </c>
      <c r="C25151" s="4" t="s">
        <v>11</v>
      </c>
      <c r="D25151" s="4" t="s">
        <v>7</v>
      </c>
      <c r="E25151" s="4" t="s">
        <v>8</v>
      </c>
      <c r="F25151" s="4" t="s">
        <v>13</v>
      </c>
      <c r="G25151" s="4" t="s">
        <v>13</v>
      </c>
      <c r="H25151" s="4" t="s">
        <v>13</v>
      </c>
    </row>
    <row r="25152" spans="1:8">
      <c r="A25152" t="n">
        <v>243495</v>
      </c>
      <c r="B25152" s="42" t="n">
        <v>48</v>
      </c>
      <c r="C25152" s="7" t="n">
        <v>0</v>
      </c>
      <c r="D25152" s="7" t="n">
        <v>0</v>
      </c>
      <c r="E25152" s="7" t="s">
        <v>390</v>
      </c>
      <c r="F25152" s="7" t="n">
        <v>-1</v>
      </c>
      <c r="G25152" s="7" t="n">
        <v>1</v>
      </c>
      <c r="H25152" s="7" t="n">
        <v>0</v>
      </c>
    </row>
    <row r="25153" spans="1:13">
      <c r="A25153" t="s">
        <v>4</v>
      </c>
      <c r="B25153" s="4" t="s">
        <v>5</v>
      </c>
      <c r="C25153" s="4" t="s">
        <v>11</v>
      </c>
      <c r="D25153" s="4" t="s">
        <v>7</v>
      </c>
      <c r="E25153" s="4" t="s">
        <v>8</v>
      </c>
      <c r="F25153" s="4" t="s">
        <v>13</v>
      </c>
      <c r="G25153" s="4" t="s">
        <v>13</v>
      </c>
      <c r="H25153" s="4" t="s">
        <v>13</v>
      </c>
    </row>
    <row r="25154" spans="1:13">
      <c r="A25154" t="n">
        <v>243521</v>
      </c>
      <c r="B25154" s="42" t="n">
        <v>48</v>
      </c>
      <c r="C25154" s="7" t="n">
        <v>3</v>
      </c>
      <c r="D25154" s="7" t="n">
        <v>0</v>
      </c>
      <c r="E25154" s="7" t="s">
        <v>390</v>
      </c>
      <c r="F25154" s="7" t="n">
        <v>-1</v>
      </c>
      <c r="G25154" s="7" t="n">
        <v>1</v>
      </c>
      <c r="H25154" s="7" t="n">
        <v>0</v>
      </c>
    </row>
    <row r="25155" spans="1:13">
      <c r="A25155" t="s">
        <v>4</v>
      </c>
      <c r="B25155" s="4" t="s">
        <v>5</v>
      </c>
      <c r="C25155" s="4" t="s">
        <v>11</v>
      </c>
    </row>
    <row r="25156" spans="1:13">
      <c r="A25156" t="n">
        <v>243547</v>
      </c>
      <c r="B25156" s="29" t="n">
        <v>16</v>
      </c>
      <c r="C25156" s="7" t="n">
        <v>500</v>
      </c>
    </row>
    <row r="25157" spans="1:13">
      <c r="A25157" t="s">
        <v>4</v>
      </c>
      <c r="B25157" s="4" t="s">
        <v>5</v>
      </c>
      <c r="C25157" s="4" t="s">
        <v>7</v>
      </c>
      <c r="D25157" s="4" t="s">
        <v>11</v>
      </c>
      <c r="E25157" s="4" t="s">
        <v>13</v>
      </c>
      <c r="F25157" s="4" t="s">
        <v>11</v>
      </c>
      <c r="G25157" s="4" t="s">
        <v>15</v>
      </c>
      <c r="H25157" s="4" t="s">
        <v>15</v>
      </c>
      <c r="I25157" s="4" t="s">
        <v>11</v>
      </c>
      <c r="J25157" s="4" t="s">
        <v>11</v>
      </c>
      <c r="K25157" s="4" t="s">
        <v>15</v>
      </c>
      <c r="L25157" s="4" t="s">
        <v>15</v>
      </c>
      <c r="M25157" s="4" t="s">
        <v>15</v>
      </c>
      <c r="N25157" s="4" t="s">
        <v>15</v>
      </c>
      <c r="O25157" s="4" t="s">
        <v>8</v>
      </c>
    </row>
    <row r="25158" spans="1:13">
      <c r="A25158" t="n">
        <v>243550</v>
      </c>
      <c r="B25158" s="57" t="n">
        <v>50</v>
      </c>
      <c r="C25158" s="7" t="n">
        <v>0</v>
      </c>
      <c r="D25158" s="7" t="n">
        <v>2000</v>
      </c>
      <c r="E25158" s="7" t="n">
        <v>0.400000005960464</v>
      </c>
      <c r="F25158" s="7" t="n">
        <v>0</v>
      </c>
      <c r="G25158" s="7" t="n">
        <v>0</v>
      </c>
      <c r="H25158" s="7" t="n">
        <v>1073741824</v>
      </c>
      <c r="I25158" s="7" t="n">
        <v>0</v>
      </c>
      <c r="J25158" s="7" t="n">
        <v>65533</v>
      </c>
      <c r="K25158" s="7" t="n">
        <v>0</v>
      </c>
      <c r="L25158" s="7" t="n">
        <v>0</v>
      </c>
      <c r="M25158" s="7" t="n">
        <v>0</v>
      </c>
      <c r="N25158" s="7" t="n">
        <v>0</v>
      </c>
      <c r="O25158" s="7" t="s">
        <v>16</v>
      </c>
    </row>
    <row r="25159" spans="1:13">
      <c r="A25159" t="s">
        <v>4</v>
      </c>
      <c r="B25159" s="4" t="s">
        <v>5</v>
      </c>
      <c r="C25159" s="4" t="s">
        <v>11</v>
      </c>
      <c r="D25159" s="4" t="s">
        <v>15</v>
      </c>
      <c r="E25159" s="4" t="s">
        <v>7</v>
      </c>
    </row>
    <row r="25160" spans="1:13">
      <c r="A25160" t="n">
        <v>243589</v>
      </c>
      <c r="B25160" s="78" t="n">
        <v>35</v>
      </c>
      <c r="C25160" s="7" t="n">
        <v>0</v>
      </c>
      <c r="D25160" s="7" t="n">
        <v>0</v>
      </c>
      <c r="E25160" s="7" t="n">
        <v>0</v>
      </c>
    </row>
    <row r="25161" spans="1:13">
      <c r="A25161" t="s">
        <v>4</v>
      </c>
      <c r="B25161" s="4" t="s">
        <v>5</v>
      </c>
      <c r="C25161" s="4" t="s">
        <v>11</v>
      </c>
      <c r="D25161" s="4" t="s">
        <v>15</v>
      </c>
      <c r="E25161" s="4" t="s">
        <v>7</v>
      </c>
    </row>
    <row r="25162" spans="1:13">
      <c r="A25162" t="n">
        <v>243597</v>
      </c>
      <c r="B25162" s="78" t="n">
        <v>35</v>
      </c>
      <c r="C25162" s="7" t="n">
        <v>3</v>
      </c>
      <c r="D25162" s="7" t="n">
        <v>0</v>
      </c>
      <c r="E25162" s="7" t="n">
        <v>0</v>
      </c>
    </row>
    <row r="25163" spans="1:13">
      <c r="A25163" t="s">
        <v>4</v>
      </c>
      <c r="B25163" s="4" t="s">
        <v>5</v>
      </c>
      <c r="C25163" s="4" t="s">
        <v>7</v>
      </c>
      <c r="D25163" s="4" t="s">
        <v>11</v>
      </c>
      <c r="E25163" s="4" t="s">
        <v>13</v>
      </c>
    </row>
    <row r="25164" spans="1:13">
      <c r="A25164" t="n">
        <v>243605</v>
      </c>
      <c r="B25164" s="23" t="n">
        <v>58</v>
      </c>
      <c r="C25164" s="7" t="n">
        <v>101</v>
      </c>
      <c r="D25164" s="7" t="n">
        <v>500</v>
      </c>
      <c r="E25164" s="7" t="n">
        <v>1</v>
      </c>
    </row>
    <row r="25165" spans="1:13">
      <c r="A25165" t="s">
        <v>4</v>
      </c>
      <c r="B25165" s="4" t="s">
        <v>5</v>
      </c>
      <c r="C25165" s="4" t="s">
        <v>7</v>
      </c>
      <c r="D25165" s="4" t="s">
        <v>11</v>
      </c>
    </row>
    <row r="25166" spans="1:13">
      <c r="A25166" t="n">
        <v>243613</v>
      </c>
      <c r="B25166" s="23" t="n">
        <v>58</v>
      </c>
      <c r="C25166" s="7" t="n">
        <v>254</v>
      </c>
      <c r="D25166" s="7" t="n">
        <v>0</v>
      </c>
    </row>
    <row r="25167" spans="1:13">
      <c r="A25167" t="s">
        <v>4</v>
      </c>
      <c r="B25167" s="4" t="s">
        <v>5</v>
      </c>
      <c r="C25167" s="4" t="s">
        <v>7</v>
      </c>
      <c r="D25167" s="4" t="s">
        <v>11</v>
      </c>
      <c r="E25167" s="4" t="s">
        <v>8</v>
      </c>
      <c r="F25167" s="4" t="s">
        <v>8</v>
      </c>
      <c r="G25167" s="4" t="s">
        <v>8</v>
      </c>
      <c r="H25167" s="4" t="s">
        <v>8</v>
      </c>
    </row>
    <row r="25168" spans="1:13">
      <c r="A25168" t="n">
        <v>243617</v>
      </c>
      <c r="B25168" s="38" t="n">
        <v>51</v>
      </c>
      <c r="C25168" s="7" t="n">
        <v>3</v>
      </c>
      <c r="D25168" s="7" t="n">
        <v>0</v>
      </c>
      <c r="E25168" s="7" t="s">
        <v>86</v>
      </c>
      <c r="F25168" s="7" t="s">
        <v>99</v>
      </c>
      <c r="G25168" s="7" t="s">
        <v>78</v>
      </c>
      <c r="H25168" s="7" t="s">
        <v>79</v>
      </c>
    </row>
    <row r="25169" spans="1:15">
      <c r="A25169" t="s">
        <v>4</v>
      </c>
      <c r="B25169" s="4" t="s">
        <v>5</v>
      </c>
      <c r="C25169" s="4" t="s">
        <v>7</v>
      </c>
      <c r="D25169" s="4" t="s">
        <v>7</v>
      </c>
      <c r="E25169" s="4" t="s">
        <v>13</v>
      </c>
      <c r="F25169" s="4" t="s">
        <v>13</v>
      </c>
      <c r="G25169" s="4" t="s">
        <v>13</v>
      </c>
      <c r="H25169" s="4" t="s">
        <v>11</v>
      </c>
    </row>
    <row r="25170" spans="1:15">
      <c r="A25170" t="n">
        <v>243630</v>
      </c>
      <c r="B25170" s="51" t="n">
        <v>45</v>
      </c>
      <c r="C25170" s="7" t="n">
        <v>2</v>
      </c>
      <c r="D25170" s="7" t="n">
        <v>3</v>
      </c>
      <c r="E25170" s="7" t="n">
        <v>-6.67000007629395</v>
      </c>
      <c r="F25170" s="7" t="n">
        <v>6.42000007629395</v>
      </c>
      <c r="G25170" s="7" t="n">
        <v>29.8899993896484</v>
      </c>
      <c r="H25170" s="7" t="n">
        <v>0</v>
      </c>
    </row>
    <row r="25171" spans="1:15">
      <c r="A25171" t="s">
        <v>4</v>
      </c>
      <c r="B25171" s="4" t="s">
        <v>5</v>
      </c>
      <c r="C25171" s="4" t="s">
        <v>7</v>
      </c>
      <c r="D25171" s="4" t="s">
        <v>7</v>
      </c>
      <c r="E25171" s="4" t="s">
        <v>13</v>
      </c>
      <c r="F25171" s="4" t="s">
        <v>13</v>
      </c>
      <c r="G25171" s="4" t="s">
        <v>13</v>
      </c>
      <c r="H25171" s="4" t="s">
        <v>11</v>
      </c>
      <c r="I25171" s="4" t="s">
        <v>7</v>
      </c>
    </row>
    <row r="25172" spans="1:15">
      <c r="A25172" t="n">
        <v>243647</v>
      </c>
      <c r="B25172" s="51" t="n">
        <v>45</v>
      </c>
      <c r="C25172" s="7" t="n">
        <v>4</v>
      </c>
      <c r="D25172" s="7" t="n">
        <v>3</v>
      </c>
      <c r="E25172" s="7" t="n">
        <v>15.4700002670288</v>
      </c>
      <c r="F25172" s="7" t="n">
        <v>48.25</v>
      </c>
      <c r="G25172" s="7" t="n">
        <v>354</v>
      </c>
      <c r="H25172" s="7" t="n">
        <v>0</v>
      </c>
      <c r="I25172" s="7" t="n">
        <v>0</v>
      </c>
    </row>
    <row r="25173" spans="1:15">
      <c r="A25173" t="s">
        <v>4</v>
      </c>
      <c r="B25173" s="4" t="s">
        <v>5</v>
      </c>
      <c r="C25173" s="4" t="s">
        <v>7</v>
      </c>
      <c r="D25173" s="4" t="s">
        <v>7</v>
      </c>
      <c r="E25173" s="4" t="s">
        <v>13</v>
      </c>
      <c r="F25173" s="4" t="s">
        <v>13</v>
      </c>
      <c r="G25173" s="4" t="s">
        <v>13</v>
      </c>
      <c r="H25173" s="4" t="s">
        <v>11</v>
      </c>
      <c r="I25173" s="4" t="s">
        <v>7</v>
      </c>
    </row>
    <row r="25174" spans="1:15">
      <c r="A25174" t="n">
        <v>243665</v>
      </c>
      <c r="B25174" s="51" t="n">
        <v>45</v>
      </c>
      <c r="C25174" s="7" t="n">
        <v>4</v>
      </c>
      <c r="D25174" s="7" t="n">
        <v>3</v>
      </c>
      <c r="E25174" s="7" t="n">
        <v>15.4700002670288</v>
      </c>
      <c r="F25174" s="7" t="n">
        <v>33.1500015258789</v>
      </c>
      <c r="G25174" s="7" t="n">
        <v>354</v>
      </c>
      <c r="H25174" s="7" t="n">
        <v>20000</v>
      </c>
      <c r="I25174" s="7" t="n">
        <v>1</v>
      </c>
    </row>
    <row r="25175" spans="1:15">
      <c r="A25175" t="s">
        <v>4</v>
      </c>
      <c r="B25175" s="4" t="s">
        <v>5</v>
      </c>
      <c r="C25175" s="4" t="s">
        <v>7</v>
      </c>
      <c r="D25175" s="4" t="s">
        <v>7</v>
      </c>
      <c r="E25175" s="4" t="s">
        <v>13</v>
      </c>
      <c r="F25175" s="4" t="s">
        <v>11</v>
      </c>
    </row>
    <row r="25176" spans="1:15">
      <c r="A25176" t="n">
        <v>243683</v>
      </c>
      <c r="B25176" s="51" t="n">
        <v>45</v>
      </c>
      <c r="C25176" s="7" t="n">
        <v>5</v>
      </c>
      <c r="D25176" s="7" t="n">
        <v>3</v>
      </c>
      <c r="E25176" s="7" t="n">
        <v>1</v>
      </c>
      <c r="F25176" s="7" t="n">
        <v>0</v>
      </c>
    </row>
    <row r="25177" spans="1:15">
      <c r="A25177" t="s">
        <v>4</v>
      </c>
      <c r="B25177" s="4" t="s">
        <v>5</v>
      </c>
      <c r="C25177" s="4" t="s">
        <v>7</v>
      </c>
      <c r="D25177" s="4" t="s">
        <v>7</v>
      </c>
      <c r="E25177" s="4" t="s">
        <v>13</v>
      </c>
      <c r="F25177" s="4" t="s">
        <v>11</v>
      </c>
    </row>
    <row r="25178" spans="1:15">
      <c r="A25178" t="n">
        <v>243692</v>
      </c>
      <c r="B25178" s="51" t="n">
        <v>45</v>
      </c>
      <c r="C25178" s="7" t="n">
        <v>11</v>
      </c>
      <c r="D25178" s="7" t="n">
        <v>3</v>
      </c>
      <c r="E25178" s="7" t="n">
        <v>40.2999992370605</v>
      </c>
      <c r="F25178" s="7" t="n">
        <v>0</v>
      </c>
    </row>
    <row r="25179" spans="1:15">
      <c r="A25179" t="s">
        <v>4</v>
      </c>
      <c r="B25179" s="4" t="s">
        <v>5</v>
      </c>
      <c r="C25179" s="4" t="s">
        <v>7</v>
      </c>
      <c r="D25179" s="4" t="s">
        <v>11</v>
      </c>
    </row>
    <row r="25180" spans="1:15">
      <c r="A25180" t="n">
        <v>243701</v>
      </c>
      <c r="B25180" s="23" t="n">
        <v>58</v>
      </c>
      <c r="C25180" s="7" t="n">
        <v>254</v>
      </c>
      <c r="D25180" s="7" t="n">
        <v>0</v>
      </c>
    </row>
    <row r="25181" spans="1:15">
      <c r="A25181" t="s">
        <v>4</v>
      </c>
      <c r="B25181" s="4" t="s">
        <v>5</v>
      </c>
      <c r="C25181" s="4" t="s">
        <v>7</v>
      </c>
      <c r="D25181" s="4" t="s">
        <v>11</v>
      </c>
    </row>
    <row r="25182" spans="1:15">
      <c r="A25182" t="n">
        <v>243705</v>
      </c>
      <c r="B25182" s="23" t="n">
        <v>58</v>
      </c>
      <c r="C25182" s="7" t="n">
        <v>255</v>
      </c>
      <c r="D25182" s="7" t="n">
        <v>0</v>
      </c>
    </row>
    <row r="25183" spans="1:15">
      <c r="A25183" t="s">
        <v>4</v>
      </c>
      <c r="B25183" s="4" t="s">
        <v>5</v>
      </c>
      <c r="C25183" s="4" t="s">
        <v>7</v>
      </c>
      <c r="D25183" s="4" t="s">
        <v>11</v>
      </c>
      <c r="E25183" s="4" t="s">
        <v>8</v>
      </c>
    </row>
    <row r="25184" spans="1:15">
      <c r="A25184" t="n">
        <v>243709</v>
      </c>
      <c r="B25184" s="38" t="n">
        <v>51</v>
      </c>
      <c r="C25184" s="7" t="n">
        <v>4</v>
      </c>
      <c r="D25184" s="7" t="n">
        <v>0</v>
      </c>
      <c r="E25184" s="7" t="s">
        <v>470</v>
      </c>
    </row>
    <row r="25185" spans="1:9">
      <c r="A25185" t="s">
        <v>4</v>
      </c>
      <c r="B25185" s="4" t="s">
        <v>5</v>
      </c>
      <c r="C25185" s="4" t="s">
        <v>11</v>
      </c>
    </row>
    <row r="25186" spans="1:9">
      <c r="A25186" t="n">
        <v>243723</v>
      </c>
      <c r="B25186" s="29" t="n">
        <v>16</v>
      </c>
      <c r="C25186" s="7" t="n">
        <v>0</v>
      </c>
    </row>
    <row r="25187" spans="1:9">
      <c r="A25187" t="s">
        <v>4</v>
      </c>
      <c r="B25187" s="4" t="s">
        <v>5</v>
      </c>
      <c r="C25187" s="4" t="s">
        <v>11</v>
      </c>
      <c r="D25187" s="4" t="s">
        <v>7</v>
      </c>
      <c r="E25187" s="4" t="s">
        <v>15</v>
      </c>
      <c r="F25187" s="4" t="s">
        <v>55</v>
      </c>
      <c r="G25187" s="4" t="s">
        <v>7</v>
      </c>
      <c r="H25187" s="4" t="s">
        <v>7</v>
      </c>
      <c r="I25187" s="4" t="s">
        <v>7</v>
      </c>
      <c r="J25187" s="4" t="s">
        <v>15</v>
      </c>
      <c r="K25187" s="4" t="s">
        <v>55</v>
      </c>
      <c r="L25187" s="4" t="s">
        <v>7</v>
      </c>
      <c r="M25187" s="4" t="s">
        <v>7</v>
      </c>
      <c r="N25187" s="4" t="s">
        <v>7</v>
      </c>
      <c r="O25187" s="4" t="s">
        <v>15</v>
      </c>
      <c r="P25187" s="4" t="s">
        <v>55</v>
      </c>
      <c r="Q25187" s="4" t="s">
        <v>7</v>
      </c>
      <c r="R25187" s="4" t="s">
        <v>7</v>
      </c>
    </row>
    <row r="25188" spans="1:9">
      <c r="A25188" t="n">
        <v>243726</v>
      </c>
      <c r="B25188" s="55" t="n">
        <v>26</v>
      </c>
      <c r="C25188" s="7" t="n">
        <v>0</v>
      </c>
      <c r="D25188" s="7" t="n">
        <v>17</v>
      </c>
      <c r="E25188" s="7" t="n">
        <v>63861</v>
      </c>
      <c r="F25188" s="7" t="s">
        <v>471</v>
      </c>
      <c r="G25188" s="7" t="n">
        <v>2</v>
      </c>
      <c r="H25188" s="7" t="n">
        <v>3</v>
      </c>
      <c r="I25188" s="7" t="n">
        <v>17</v>
      </c>
      <c r="J25188" s="7" t="n">
        <v>63862</v>
      </c>
      <c r="K25188" s="7" t="s">
        <v>472</v>
      </c>
      <c r="L25188" s="7" t="n">
        <v>2</v>
      </c>
      <c r="M25188" s="7" t="n">
        <v>3</v>
      </c>
      <c r="N25188" s="7" t="n">
        <v>17</v>
      </c>
      <c r="O25188" s="7" t="n">
        <v>63863</v>
      </c>
      <c r="P25188" s="7" t="s">
        <v>473</v>
      </c>
      <c r="Q25188" s="7" t="n">
        <v>2</v>
      </c>
      <c r="R25188" s="7" t="n">
        <v>0</v>
      </c>
    </row>
    <row r="25189" spans="1:9">
      <c r="A25189" t="s">
        <v>4</v>
      </c>
      <c r="B25189" s="4" t="s">
        <v>5</v>
      </c>
    </row>
    <row r="25190" spans="1:9">
      <c r="A25190" t="n">
        <v>244014</v>
      </c>
      <c r="B25190" s="27" t="n">
        <v>28</v>
      </c>
    </row>
    <row r="25191" spans="1:9">
      <c r="A25191" t="s">
        <v>4</v>
      </c>
      <c r="B25191" s="4" t="s">
        <v>5</v>
      </c>
      <c r="C25191" s="4" t="s">
        <v>7</v>
      </c>
      <c r="D25191" s="4" t="s">
        <v>11</v>
      </c>
      <c r="E25191" s="4" t="s">
        <v>8</v>
      </c>
      <c r="F25191" s="4" t="s">
        <v>8</v>
      </c>
      <c r="G25191" s="4" t="s">
        <v>8</v>
      </c>
      <c r="H25191" s="4" t="s">
        <v>8</v>
      </c>
    </row>
    <row r="25192" spans="1:9">
      <c r="A25192" t="n">
        <v>244015</v>
      </c>
      <c r="B25192" s="38" t="n">
        <v>51</v>
      </c>
      <c r="C25192" s="7" t="n">
        <v>3</v>
      </c>
      <c r="D25192" s="7" t="n">
        <v>3</v>
      </c>
      <c r="E25192" s="7" t="s">
        <v>319</v>
      </c>
      <c r="F25192" s="7" t="s">
        <v>232</v>
      </c>
      <c r="G25192" s="7" t="s">
        <v>16</v>
      </c>
      <c r="H25192" s="7" t="s">
        <v>68</v>
      </c>
    </row>
    <row r="25193" spans="1:9">
      <c r="A25193" t="s">
        <v>4</v>
      </c>
      <c r="B25193" s="4" t="s">
        <v>5</v>
      </c>
      <c r="C25193" s="4" t="s">
        <v>11</v>
      </c>
      <c r="D25193" s="4" t="s">
        <v>13</v>
      </c>
      <c r="E25193" s="4" t="s">
        <v>13</v>
      </c>
      <c r="F25193" s="4" t="s">
        <v>13</v>
      </c>
      <c r="G25193" s="4" t="s">
        <v>11</v>
      </c>
      <c r="H25193" s="4" t="s">
        <v>11</v>
      </c>
    </row>
    <row r="25194" spans="1:9">
      <c r="A25194" t="n">
        <v>244026</v>
      </c>
      <c r="B25194" s="37" t="n">
        <v>60</v>
      </c>
      <c r="C25194" s="7" t="n">
        <v>3</v>
      </c>
      <c r="D25194" s="7" t="n">
        <v>0</v>
      </c>
      <c r="E25194" s="7" t="n">
        <v>20</v>
      </c>
      <c r="F25194" s="7" t="n">
        <v>0</v>
      </c>
      <c r="G25194" s="7" t="n">
        <v>800</v>
      </c>
      <c r="H25194" s="7" t="n">
        <v>0</v>
      </c>
    </row>
    <row r="25195" spans="1:9">
      <c r="A25195" t="s">
        <v>4</v>
      </c>
      <c r="B25195" s="4" t="s">
        <v>5</v>
      </c>
      <c r="C25195" s="4" t="s">
        <v>11</v>
      </c>
    </row>
    <row r="25196" spans="1:9">
      <c r="A25196" t="n">
        <v>244045</v>
      </c>
      <c r="B25196" s="29" t="n">
        <v>16</v>
      </c>
      <c r="C25196" s="7" t="n">
        <v>600</v>
      </c>
    </row>
    <row r="25197" spans="1:9">
      <c r="A25197" t="s">
        <v>4</v>
      </c>
      <c r="B25197" s="4" t="s">
        <v>5</v>
      </c>
      <c r="C25197" s="4" t="s">
        <v>7</v>
      </c>
      <c r="D25197" s="4" t="s">
        <v>11</v>
      </c>
      <c r="E25197" s="4" t="s">
        <v>8</v>
      </c>
    </row>
    <row r="25198" spans="1:9">
      <c r="A25198" t="n">
        <v>244048</v>
      </c>
      <c r="B25198" s="38" t="n">
        <v>51</v>
      </c>
      <c r="C25198" s="7" t="n">
        <v>4</v>
      </c>
      <c r="D25198" s="7" t="n">
        <v>3</v>
      </c>
      <c r="E25198" s="7" t="s">
        <v>359</v>
      </c>
    </row>
    <row r="25199" spans="1:9">
      <c r="A25199" t="s">
        <v>4</v>
      </c>
      <c r="B25199" s="4" t="s">
        <v>5</v>
      </c>
      <c r="C25199" s="4" t="s">
        <v>11</v>
      </c>
    </row>
    <row r="25200" spans="1:9">
      <c r="A25200" t="n">
        <v>244067</v>
      </c>
      <c r="B25200" s="29" t="n">
        <v>16</v>
      </c>
      <c r="C25200" s="7" t="n">
        <v>0</v>
      </c>
    </row>
    <row r="25201" spans="1:18">
      <c r="A25201" t="s">
        <v>4</v>
      </c>
      <c r="B25201" s="4" t="s">
        <v>5</v>
      </c>
      <c r="C25201" s="4" t="s">
        <v>11</v>
      </c>
      <c r="D25201" s="4" t="s">
        <v>7</v>
      </c>
      <c r="E25201" s="4" t="s">
        <v>15</v>
      </c>
      <c r="F25201" s="4" t="s">
        <v>55</v>
      </c>
      <c r="G25201" s="4" t="s">
        <v>7</v>
      </c>
      <c r="H25201" s="4" t="s">
        <v>7</v>
      </c>
      <c r="I25201" s="4" t="s">
        <v>7</v>
      </c>
      <c r="J25201" s="4" t="s">
        <v>15</v>
      </c>
      <c r="K25201" s="4" t="s">
        <v>55</v>
      </c>
      <c r="L25201" s="4" t="s">
        <v>7</v>
      </c>
      <c r="M25201" s="4" t="s">
        <v>7</v>
      </c>
    </row>
    <row r="25202" spans="1:18">
      <c r="A25202" t="n">
        <v>244070</v>
      </c>
      <c r="B25202" s="55" t="n">
        <v>26</v>
      </c>
      <c r="C25202" s="7" t="n">
        <v>3</v>
      </c>
      <c r="D25202" s="7" t="n">
        <v>17</v>
      </c>
      <c r="E25202" s="7" t="n">
        <v>2826</v>
      </c>
      <c r="F25202" s="7" t="s">
        <v>474</v>
      </c>
      <c r="G25202" s="7" t="n">
        <v>2</v>
      </c>
      <c r="H25202" s="7" t="n">
        <v>3</v>
      </c>
      <c r="I25202" s="7" t="n">
        <v>17</v>
      </c>
      <c r="J25202" s="7" t="n">
        <v>2827</v>
      </c>
      <c r="K25202" s="7" t="s">
        <v>475</v>
      </c>
      <c r="L25202" s="7" t="n">
        <v>2</v>
      </c>
      <c r="M25202" s="7" t="n">
        <v>0</v>
      </c>
    </row>
    <row r="25203" spans="1:18">
      <c r="A25203" t="s">
        <v>4</v>
      </c>
      <c r="B25203" s="4" t="s">
        <v>5</v>
      </c>
    </row>
    <row r="25204" spans="1:18">
      <c r="A25204" t="n">
        <v>244218</v>
      </c>
      <c r="B25204" s="27" t="n">
        <v>28</v>
      </c>
    </row>
    <row r="25205" spans="1:18">
      <c r="A25205" t="s">
        <v>4</v>
      </c>
      <c r="B25205" s="4" t="s">
        <v>5</v>
      </c>
      <c r="C25205" s="4" t="s">
        <v>11</v>
      </c>
    </row>
    <row r="25206" spans="1:18">
      <c r="A25206" t="n">
        <v>244219</v>
      </c>
      <c r="B25206" s="29" t="n">
        <v>16</v>
      </c>
      <c r="C25206" s="7" t="n">
        <v>1000</v>
      </c>
    </row>
    <row r="25207" spans="1:18">
      <c r="A25207" t="s">
        <v>4</v>
      </c>
      <c r="B25207" s="4" t="s">
        <v>5</v>
      </c>
      <c r="C25207" s="4" t="s">
        <v>7</v>
      </c>
      <c r="D25207" s="4" t="s">
        <v>13</v>
      </c>
      <c r="E25207" s="4" t="s">
        <v>11</v>
      </c>
      <c r="F25207" s="4" t="s">
        <v>7</v>
      </c>
    </row>
    <row r="25208" spans="1:18">
      <c r="A25208" t="n">
        <v>244222</v>
      </c>
      <c r="B25208" s="13" t="n">
        <v>49</v>
      </c>
      <c r="C25208" s="7" t="n">
        <v>3</v>
      </c>
      <c r="D25208" s="7" t="n">
        <v>1</v>
      </c>
      <c r="E25208" s="7" t="n">
        <v>1000</v>
      </c>
      <c r="F25208" s="7" t="n">
        <v>0</v>
      </c>
    </row>
    <row r="25209" spans="1:18">
      <c r="A25209" t="s">
        <v>4</v>
      </c>
      <c r="B25209" s="4" t="s">
        <v>5</v>
      </c>
      <c r="C25209" s="4" t="s">
        <v>7</v>
      </c>
      <c r="D25209" s="4" t="s">
        <v>11</v>
      </c>
      <c r="E25209" s="4" t="s">
        <v>13</v>
      </c>
    </row>
    <row r="25210" spans="1:18">
      <c r="A25210" t="n">
        <v>244231</v>
      </c>
      <c r="B25210" s="23" t="n">
        <v>58</v>
      </c>
      <c r="C25210" s="7" t="n">
        <v>101</v>
      </c>
      <c r="D25210" s="7" t="n">
        <v>1000</v>
      </c>
      <c r="E25210" s="7" t="n">
        <v>1</v>
      </c>
    </row>
    <row r="25211" spans="1:18">
      <c r="A25211" t="s">
        <v>4</v>
      </c>
      <c r="B25211" s="4" t="s">
        <v>5</v>
      </c>
      <c r="C25211" s="4" t="s">
        <v>7</v>
      </c>
      <c r="D25211" s="4" t="s">
        <v>11</v>
      </c>
    </row>
    <row r="25212" spans="1:18">
      <c r="A25212" t="n">
        <v>244239</v>
      </c>
      <c r="B25212" s="23" t="n">
        <v>58</v>
      </c>
      <c r="C25212" s="7" t="n">
        <v>254</v>
      </c>
      <c r="D25212" s="7" t="n">
        <v>0</v>
      </c>
    </row>
    <row r="25213" spans="1:18">
      <c r="A25213" t="s">
        <v>4</v>
      </c>
      <c r="B25213" s="4" t="s">
        <v>5</v>
      </c>
      <c r="C25213" s="4" t="s">
        <v>7</v>
      </c>
    </row>
    <row r="25214" spans="1:18">
      <c r="A25214" t="n">
        <v>244243</v>
      </c>
      <c r="B25214" s="49" t="n">
        <v>116</v>
      </c>
      <c r="C25214" s="7" t="n">
        <v>0</v>
      </c>
    </row>
    <row r="25215" spans="1:18">
      <c r="A25215" t="s">
        <v>4</v>
      </c>
      <c r="B25215" s="4" t="s">
        <v>5</v>
      </c>
      <c r="C25215" s="4" t="s">
        <v>7</v>
      </c>
      <c r="D25215" s="4" t="s">
        <v>11</v>
      </c>
    </row>
    <row r="25216" spans="1:18">
      <c r="A25216" t="n">
        <v>244245</v>
      </c>
      <c r="B25216" s="49" t="n">
        <v>116</v>
      </c>
      <c r="C25216" s="7" t="n">
        <v>2</v>
      </c>
      <c r="D25216" s="7" t="n">
        <v>1</v>
      </c>
    </row>
    <row r="25217" spans="1:13">
      <c r="A25217" t="s">
        <v>4</v>
      </c>
      <c r="B25217" s="4" t="s">
        <v>5</v>
      </c>
      <c r="C25217" s="4" t="s">
        <v>7</v>
      </c>
      <c r="D25217" s="4" t="s">
        <v>15</v>
      </c>
    </row>
    <row r="25218" spans="1:13">
      <c r="A25218" t="n">
        <v>244249</v>
      </c>
      <c r="B25218" s="49" t="n">
        <v>116</v>
      </c>
      <c r="C25218" s="7" t="n">
        <v>5</v>
      </c>
      <c r="D25218" s="7" t="n">
        <v>1092616192</v>
      </c>
    </row>
    <row r="25219" spans="1:13">
      <c r="A25219" t="s">
        <v>4</v>
      </c>
      <c r="B25219" s="4" t="s">
        <v>5</v>
      </c>
      <c r="C25219" s="4" t="s">
        <v>7</v>
      </c>
      <c r="D25219" s="4" t="s">
        <v>11</v>
      </c>
    </row>
    <row r="25220" spans="1:13">
      <c r="A25220" t="n">
        <v>244255</v>
      </c>
      <c r="B25220" s="49" t="n">
        <v>116</v>
      </c>
      <c r="C25220" s="7" t="n">
        <v>6</v>
      </c>
      <c r="D25220" s="7" t="n">
        <v>1</v>
      </c>
    </row>
    <row r="25221" spans="1:13">
      <c r="A25221" t="s">
        <v>4</v>
      </c>
      <c r="B25221" s="4" t="s">
        <v>5</v>
      </c>
      <c r="C25221" s="4" t="s">
        <v>7</v>
      </c>
      <c r="D25221" s="4" t="s">
        <v>7</v>
      </c>
      <c r="E25221" s="4" t="s">
        <v>13</v>
      </c>
      <c r="F25221" s="4" t="s">
        <v>13</v>
      </c>
      <c r="G25221" s="4" t="s">
        <v>13</v>
      </c>
      <c r="H25221" s="4" t="s">
        <v>11</v>
      </c>
    </row>
    <row r="25222" spans="1:13">
      <c r="A25222" t="n">
        <v>244259</v>
      </c>
      <c r="B25222" s="51" t="n">
        <v>45</v>
      </c>
      <c r="C25222" s="7" t="n">
        <v>2</v>
      </c>
      <c r="D25222" s="7" t="n">
        <v>3</v>
      </c>
      <c r="E25222" s="7" t="n">
        <v>-6.67000007629395</v>
      </c>
      <c r="F25222" s="7" t="n">
        <v>6.42000007629395</v>
      </c>
      <c r="G25222" s="7" t="n">
        <v>29.8899993896484</v>
      </c>
      <c r="H25222" s="7" t="n">
        <v>0</v>
      </c>
    </row>
    <row r="25223" spans="1:13">
      <c r="A25223" t="s">
        <v>4</v>
      </c>
      <c r="B25223" s="4" t="s">
        <v>5</v>
      </c>
      <c r="C25223" s="4" t="s">
        <v>7</v>
      </c>
      <c r="D25223" s="4" t="s">
        <v>7</v>
      </c>
      <c r="E25223" s="4" t="s">
        <v>13</v>
      </c>
      <c r="F25223" s="4" t="s">
        <v>13</v>
      </c>
      <c r="G25223" s="4" t="s">
        <v>13</v>
      </c>
      <c r="H25223" s="4" t="s">
        <v>11</v>
      </c>
      <c r="I25223" s="4" t="s">
        <v>7</v>
      </c>
    </row>
    <row r="25224" spans="1:13">
      <c r="A25224" t="n">
        <v>244276</v>
      </c>
      <c r="B25224" s="51" t="n">
        <v>45</v>
      </c>
      <c r="C25224" s="7" t="n">
        <v>4</v>
      </c>
      <c r="D25224" s="7" t="n">
        <v>3</v>
      </c>
      <c r="E25224" s="7" t="n">
        <v>15.4700002670288</v>
      </c>
      <c r="F25224" s="7" t="n">
        <v>56.1100006103516</v>
      </c>
      <c r="G25224" s="7" t="n">
        <v>354</v>
      </c>
      <c r="H25224" s="7" t="n">
        <v>0</v>
      </c>
      <c r="I25224" s="7" t="n">
        <v>0</v>
      </c>
    </row>
    <row r="25225" spans="1:13">
      <c r="A25225" t="s">
        <v>4</v>
      </c>
      <c r="B25225" s="4" t="s">
        <v>5</v>
      </c>
      <c r="C25225" s="4" t="s">
        <v>7</v>
      </c>
      <c r="D25225" s="4" t="s">
        <v>7</v>
      </c>
      <c r="E25225" s="4" t="s">
        <v>13</v>
      </c>
      <c r="F25225" s="4" t="s">
        <v>11</v>
      </c>
    </row>
    <row r="25226" spans="1:13">
      <c r="A25226" t="n">
        <v>244294</v>
      </c>
      <c r="B25226" s="51" t="n">
        <v>45</v>
      </c>
      <c r="C25226" s="7" t="n">
        <v>5</v>
      </c>
      <c r="D25226" s="7" t="n">
        <v>3</v>
      </c>
      <c r="E25226" s="7" t="n">
        <v>1.5</v>
      </c>
      <c r="F25226" s="7" t="n">
        <v>0</v>
      </c>
    </row>
    <row r="25227" spans="1:13">
      <c r="A25227" t="s">
        <v>4</v>
      </c>
      <c r="B25227" s="4" t="s">
        <v>5</v>
      </c>
      <c r="C25227" s="4" t="s">
        <v>7</v>
      </c>
      <c r="D25227" s="4" t="s">
        <v>7</v>
      </c>
      <c r="E25227" s="4" t="s">
        <v>13</v>
      </c>
      <c r="F25227" s="4" t="s">
        <v>11</v>
      </c>
    </row>
    <row r="25228" spans="1:13">
      <c r="A25228" t="n">
        <v>244303</v>
      </c>
      <c r="B25228" s="51" t="n">
        <v>45</v>
      </c>
      <c r="C25228" s="7" t="n">
        <v>11</v>
      </c>
      <c r="D25228" s="7" t="n">
        <v>3</v>
      </c>
      <c r="E25228" s="7" t="n">
        <v>40.2999992370605</v>
      </c>
      <c r="F25228" s="7" t="n">
        <v>0</v>
      </c>
    </row>
    <row r="25229" spans="1:13">
      <c r="A25229" t="s">
        <v>4</v>
      </c>
      <c r="B25229" s="4" t="s">
        <v>5</v>
      </c>
      <c r="C25229" s="4" t="s">
        <v>7</v>
      </c>
      <c r="D25229" s="4" t="s">
        <v>7</v>
      </c>
      <c r="E25229" s="4" t="s">
        <v>13</v>
      </c>
      <c r="F25229" s="4" t="s">
        <v>13</v>
      </c>
      <c r="G25229" s="4" t="s">
        <v>13</v>
      </c>
      <c r="H25229" s="4" t="s">
        <v>11</v>
      </c>
    </row>
    <row r="25230" spans="1:13">
      <c r="A25230" t="n">
        <v>244312</v>
      </c>
      <c r="B25230" s="51" t="n">
        <v>45</v>
      </c>
      <c r="C25230" s="7" t="n">
        <v>2</v>
      </c>
      <c r="D25230" s="7" t="n">
        <v>3</v>
      </c>
      <c r="E25230" s="7" t="n">
        <v>-6.34000015258789</v>
      </c>
      <c r="F25230" s="7" t="n">
        <v>6.59000015258789</v>
      </c>
      <c r="G25230" s="7" t="n">
        <v>28.8899993896484</v>
      </c>
      <c r="H25230" s="7" t="n">
        <v>6000</v>
      </c>
    </row>
    <row r="25231" spans="1:13">
      <c r="A25231" t="s">
        <v>4</v>
      </c>
      <c r="B25231" s="4" t="s">
        <v>5</v>
      </c>
      <c r="C25231" s="4" t="s">
        <v>7</v>
      </c>
      <c r="D25231" s="4" t="s">
        <v>7</v>
      </c>
      <c r="E25231" s="4" t="s">
        <v>13</v>
      </c>
      <c r="F25231" s="4" t="s">
        <v>13</v>
      </c>
      <c r="G25231" s="4" t="s">
        <v>13</v>
      </c>
      <c r="H25231" s="4" t="s">
        <v>11</v>
      </c>
      <c r="I25231" s="4" t="s">
        <v>7</v>
      </c>
    </row>
    <row r="25232" spans="1:13">
      <c r="A25232" t="n">
        <v>244329</v>
      </c>
      <c r="B25232" s="51" t="n">
        <v>45</v>
      </c>
      <c r="C25232" s="7" t="n">
        <v>4</v>
      </c>
      <c r="D25232" s="7" t="n">
        <v>3</v>
      </c>
      <c r="E25232" s="7" t="n">
        <v>10.7700004577637</v>
      </c>
      <c r="F25232" s="7" t="n">
        <v>43.6100006103516</v>
      </c>
      <c r="G25232" s="7" t="n">
        <v>360</v>
      </c>
      <c r="H25232" s="7" t="n">
        <v>6000</v>
      </c>
      <c r="I25232" s="7" t="n">
        <v>1</v>
      </c>
    </row>
    <row r="25233" spans="1:9">
      <c r="A25233" t="s">
        <v>4</v>
      </c>
      <c r="B25233" s="4" t="s">
        <v>5</v>
      </c>
      <c r="C25233" s="4" t="s">
        <v>7</v>
      </c>
      <c r="D25233" s="4" t="s">
        <v>11</v>
      </c>
    </row>
    <row r="25234" spans="1:9">
      <c r="A25234" t="n">
        <v>244347</v>
      </c>
      <c r="B25234" s="23" t="n">
        <v>58</v>
      </c>
      <c r="C25234" s="7" t="n">
        <v>255</v>
      </c>
      <c r="D25234" s="7" t="n">
        <v>0</v>
      </c>
    </row>
    <row r="25235" spans="1:9">
      <c r="A25235" t="s">
        <v>4</v>
      </c>
      <c r="B25235" s="4" t="s">
        <v>5</v>
      </c>
      <c r="C25235" s="4" t="s">
        <v>7</v>
      </c>
      <c r="D25235" s="4" t="s">
        <v>11</v>
      </c>
    </row>
    <row r="25236" spans="1:9">
      <c r="A25236" t="n">
        <v>244351</v>
      </c>
      <c r="B25236" s="51" t="n">
        <v>45</v>
      </c>
      <c r="C25236" s="7" t="n">
        <v>7</v>
      </c>
      <c r="D25236" s="7" t="n">
        <v>255</v>
      </c>
    </row>
    <row r="25237" spans="1:9">
      <c r="A25237" t="s">
        <v>4</v>
      </c>
      <c r="B25237" s="4" t="s">
        <v>5</v>
      </c>
      <c r="C25237" s="4" t="s">
        <v>7</v>
      </c>
      <c r="D25237" s="4" t="s">
        <v>11</v>
      </c>
      <c r="E25237" s="4" t="s">
        <v>13</v>
      </c>
    </row>
    <row r="25238" spans="1:9">
      <c r="A25238" t="n">
        <v>244355</v>
      </c>
      <c r="B25238" s="23" t="n">
        <v>58</v>
      </c>
      <c r="C25238" s="7" t="n">
        <v>0</v>
      </c>
      <c r="D25238" s="7" t="n">
        <v>2000</v>
      </c>
      <c r="E25238" s="7" t="n">
        <v>1</v>
      </c>
    </row>
    <row r="25239" spans="1:9">
      <c r="A25239" t="s">
        <v>4</v>
      </c>
      <c r="B25239" s="4" t="s">
        <v>5</v>
      </c>
      <c r="C25239" s="4" t="s">
        <v>7</v>
      </c>
      <c r="D25239" s="4" t="s">
        <v>11</v>
      </c>
    </row>
    <row r="25240" spans="1:9">
      <c r="A25240" t="n">
        <v>244363</v>
      </c>
      <c r="B25240" s="23" t="n">
        <v>58</v>
      </c>
      <c r="C25240" s="7" t="n">
        <v>255</v>
      </c>
      <c r="D25240" s="7" t="n">
        <v>0</v>
      </c>
    </row>
    <row r="25241" spans="1:9">
      <c r="A25241" t="s">
        <v>4</v>
      </c>
      <c r="B25241" s="4" t="s">
        <v>5</v>
      </c>
      <c r="C25241" s="4" t="s">
        <v>7</v>
      </c>
      <c r="D25241" s="4" t="s">
        <v>11</v>
      </c>
      <c r="E25241" s="4" t="s">
        <v>11</v>
      </c>
      <c r="F25241" s="4" t="s">
        <v>15</v>
      </c>
    </row>
    <row r="25242" spans="1:9">
      <c r="A25242" t="n">
        <v>244367</v>
      </c>
      <c r="B25242" s="76" t="n">
        <v>84</v>
      </c>
      <c r="C25242" s="7" t="n">
        <v>1</v>
      </c>
      <c r="D25242" s="7" t="n">
        <v>0</v>
      </c>
      <c r="E25242" s="7" t="n">
        <v>0</v>
      </c>
      <c r="F25242" s="7" t="n">
        <v>0</v>
      </c>
    </row>
    <row r="25243" spans="1:9">
      <c r="A25243" t="s">
        <v>4</v>
      </c>
      <c r="B25243" s="4" t="s">
        <v>5</v>
      </c>
      <c r="C25243" s="4" t="s">
        <v>7</v>
      </c>
    </row>
    <row r="25244" spans="1:9">
      <c r="A25244" t="n">
        <v>244377</v>
      </c>
      <c r="B25244" s="28" t="n">
        <v>78</v>
      </c>
      <c r="C25244" s="7" t="n">
        <v>255</v>
      </c>
    </row>
    <row r="25245" spans="1:9">
      <c r="A25245" t="s">
        <v>4</v>
      </c>
      <c r="B25245" s="4" t="s">
        <v>5</v>
      </c>
      <c r="C25245" s="4" t="s">
        <v>7</v>
      </c>
      <c r="D25245" s="4" t="s">
        <v>11</v>
      </c>
      <c r="E25245" s="4" t="s">
        <v>7</v>
      </c>
    </row>
    <row r="25246" spans="1:9">
      <c r="A25246" t="n">
        <v>244379</v>
      </c>
      <c r="B25246" s="40" t="n">
        <v>36</v>
      </c>
      <c r="C25246" s="7" t="n">
        <v>9</v>
      </c>
      <c r="D25246" s="7" t="n">
        <v>0</v>
      </c>
      <c r="E25246" s="7" t="n">
        <v>0</v>
      </c>
    </row>
    <row r="25247" spans="1:9">
      <c r="A25247" t="s">
        <v>4</v>
      </c>
      <c r="B25247" s="4" t="s">
        <v>5</v>
      </c>
      <c r="C25247" s="4" t="s">
        <v>7</v>
      </c>
      <c r="D25247" s="4" t="s">
        <v>11</v>
      </c>
      <c r="E25247" s="4" t="s">
        <v>7</v>
      </c>
    </row>
    <row r="25248" spans="1:9">
      <c r="A25248" t="n">
        <v>244384</v>
      </c>
      <c r="B25248" s="40" t="n">
        <v>36</v>
      </c>
      <c r="C25248" s="7" t="n">
        <v>9</v>
      </c>
      <c r="D25248" s="7" t="n">
        <v>3</v>
      </c>
      <c r="E25248" s="7" t="n">
        <v>0</v>
      </c>
    </row>
    <row r="25249" spans="1:6">
      <c r="A25249" t="s">
        <v>4</v>
      </c>
      <c r="B25249" s="4" t="s">
        <v>5</v>
      </c>
      <c r="C25249" s="4" t="s">
        <v>7</v>
      </c>
      <c r="D25249" s="4" t="s">
        <v>11</v>
      </c>
      <c r="E25249" s="4" t="s">
        <v>11</v>
      </c>
      <c r="F25249" s="4" t="s">
        <v>15</v>
      </c>
      <c r="G25249" s="4" t="s">
        <v>15</v>
      </c>
      <c r="H25249" s="4" t="s">
        <v>15</v>
      </c>
    </row>
    <row r="25250" spans="1:6">
      <c r="A25250" t="n">
        <v>244389</v>
      </c>
      <c r="B25250" s="77" t="n">
        <v>97</v>
      </c>
      <c r="C25250" s="7" t="n">
        <v>7</v>
      </c>
      <c r="D25250" s="7" t="n">
        <v>0</v>
      </c>
      <c r="E25250" s="7" t="n">
        <v>0</v>
      </c>
      <c r="F25250" s="7" t="n">
        <v>0</v>
      </c>
      <c r="G25250" s="7" t="n">
        <v>0</v>
      </c>
      <c r="H25250" s="7" t="n">
        <v>0</v>
      </c>
    </row>
    <row r="25251" spans="1:6">
      <c r="A25251" t="s">
        <v>4</v>
      </c>
      <c r="B25251" s="4" t="s">
        <v>5</v>
      </c>
      <c r="C25251" s="4" t="s">
        <v>11</v>
      </c>
      <c r="D25251" s="4" t="s">
        <v>13</v>
      </c>
      <c r="E25251" s="4" t="s">
        <v>13</v>
      </c>
      <c r="F25251" s="4" t="s">
        <v>13</v>
      </c>
      <c r="G25251" s="4" t="s">
        <v>13</v>
      </c>
    </row>
    <row r="25252" spans="1:6">
      <c r="A25252" t="n">
        <v>244407</v>
      </c>
      <c r="B25252" s="36" t="n">
        <v>46</v>
      </c>
      <c r="C25252" s="7" t="n">
        <v>61456</v>
      </c>
      <c r="D25252" s="7" t="n">
        <v>0</v>
      </c>
      <c r="E25252" s="7" t="n">
        <v>0</v>
      </c>
      <c r="F25252" s="7" t="n">
        <v>0</v>
      </c>
      <c r="G25252" s="7" t="n">
        <v>0</v>
      </c>
    </row>
    <row r="25253" spans="1:6">
      <c r="A25253" t="s">
        <v>4</v>
      </c>
      <c r="B25253" s="4" t="s">
        <v>5</v>
      </c>
      <c r="C25253" s="4" t="s">
        <v>7</v>
      </c>
      <c r="D25253" s="4" t="s">
        <v>8</v>
      </c>
    </row>
    <row r="25254" spans="1:6">
      <c r="A25254" t="n">
        <v>244426</v>
      </c>
      <c r="B25254" s="6" t="n">
        <v>2</v>
      </c>
      <c r="C25254" s="7" t="n">
        <v>10</v>
      </c>
      <c r="D25254" s="7" t="s">
        <v>1834</v>
      </c>
    </row>
    <row r="25255" spans="1:6">
      <c r="A25255" t="s">
        <v>4</v>
      </c>
      <c r="B25255" s="4" t="s">
        <v>5</v>
      </c>
    </row>
    <row r="25256" spans="1:6">
      <c r="A25256" t="n">
        <v>244447</v>
      </c>
      <c r="B25256" s="5" t="n">
        <v>1</v>
      </c>
    </row>
    <row r="25257" spans="1:6" s="3" customFormat="1" customHeight="0">
      <c r="A25257" s="3" t="s">
        <v>2</v>
      </c>
      <c r="B25257" s="3" t="s">
        <v>1837</v>
      </c>
    </row>
    <row r="25258" spans="1:6">
      <c r="A25258" t="s">
        <v>4</v>
      </c>
      <c r="B25258" s="4" t="s">
        <v>5</v>
      </c>
      <c r="C25258" s="4" t="s">
        <v>7</v>
      </c>
      <c r="D25258" s="4" t="s">
        <v>7</v>
      </c>
      <c r="E25258" s="4" t="s">
        <v>7</v>
      </c>
      <c r="F25258" s="4" t="s">
        <v>7</v>
      </c>
    </row>
    <row r="25259" spans="1:6">
      <c r="A25259" t="n">
        <v>244448</v>
      </c>
      <c r="B25259" s="9" t="n">
        <v>14</v>
      </c>
      <c r="C25259" s="7" t="n">
        <v>2</v>
      </c>
      <c r="D25259" s="7" t="n">
        <v>0</v>
      </c>
      <c r="E25259" s="7" t="n">
        <v>0</v>
      </c>
      <c r="F25259" s="7" t="n">
        <v>0</v>
      </c>
    </row>
    <row r="25260" spans="1:6">
      <c r="A25260" t="s">
        <v>4</v>
      </c>
      <c r="B25260" s="4" t="s">
        <v>5</v>
      </c>
      <c r="C25260" s="4" t="s">
        <v>7</v>
      </c>
      <c r="D25260" s="20" t="s">
        <v>35</v>
      </c>
      <c r="E25260" s="4" t="s">
        <v>5</v>
      </c>
      <c r="F25260" s="4" t="s">
        <v>7</v>
      </c>
      <c r="G25260" s="4" t="s">
        <v>11</v>
      </c>
      <c r="H25260" s="20" t="s">
        <v>36</v>
      </c>
      <c r="I25260" s="4" t="s">
        <v>7</v>
      </c>
      <c r="J25260" s="4" t="s">
        <v>15</v>
      </c>
      <c r="K25260" s="4" t="s">
        <v>7</v>
      </c>
      <c r="L25260" s="4" t="s">
        <v>7</v>
      </c>
      <c r="M25260" s="20" t="s">
        <v>35</v>
      </c>
      <c r="N25260" s="4" t="s">
        <v>5</v>
      </c>
      <c r="O25260" s="4" t="s">
        <v>7</v>
      </c>
      <c r="P25260" s="4" t="s">
        <v>11</v>
      </c>
      <c r="Q25260" s="20" t="s">
        <v>36</v>
      </c>
      <c r="R25260" s="4" t="s">
        <v>7</v>
      </c>
      <c r="S25260" s="4" t="s">
        <v>15</v>
      </c>
      <c r="T25260" s="4" t="s">
        <v>7</v>
      </c>
      <c r="U25260" s="4" t="s">
        <v>7</v>
      </c>
      <c r="V25260" s="4" t="s">
        <v>7</v>
      </c>
      <c r="W25260" s="4" t="s">
        <v>12</v>
      </c>
    </row>
    <row r="25261" spans="1:6">
      <c r="A25261" t="n">
        <v>244453</v>
      </c>
      <c r="B25261" s="10" t="n">
        <v>5</v>
      </c>
      <c r="C25261" s="7" t="n">
        <v>28</v>
      </c>
      <c r="D25261" s="20" t="s">
        <v>3</v>
      </c>
      <c r="E25261" s="8" t="n">
        <v>162</v>
      </c>
      <c r="F25261" s="7" t="n">
        <v>3</v>
      </c>
      <c r="G25261" s="7" t="n">
        <v>36873</v>
      </c>
      <c r="H25261" s="20" t="s">
        <v>3</v>
      </c>
      <c r="I25261" s="7" t="n">
        <v>0</v>
      </c>
      <c r="J25261" s="7" t="n">
        <v>1</v>
      </c>
      <c r="K25261" s="7" t="n">
        <v>2</v>
      </c>
      <c r="L25261" s="7" t="n">
        <v>28</v>
      </c>
      <c r="M25261" s="20" t="s">
        <v>3</v>
      </c>
      <c r="N25261" s="8" t="n">
        <v>162</v>
      </c>
      <c r="O25261" s="7" t="n">
        <v>3</v>
      </c>
      <c r="P25261" s="7" t="n">
        <v>36873</v>
      </c>
      <c r="Q25261" s="20" t="s">
        <v>3</v>
      </c>
      <c r="R25261" s="7" t="n">
        <v>0</v>
      </c>
      <c r="S25261" s="7" t="n">
        <v>2</v>
      </c>
      <c r="T25261" s="7" t="n">
        <v>2</v>
      </c>
      <c r="U25261" s="7" t="n">
        <v>11</v>
      </c>
      <c r="V25261" s="7" t="n">
        <v>1</v>
      </c>
      <c r="W25261" s="11" t="n">
        <f t="normal" ca="1">A25265</f>
        <v>0</v>
      </c>
    </row>
    <row r="25262" spans="1:6">
      <c r="A25262" t="s">
        <v>4</v>
      </c>
      <c r="B25262" s="4" t="s">
        <v>5</v>
      </c>
      <c r="C25262" s="4" t="s">
        <v>7</v>
      </c>
      <c r="D25262" s="4" t="s">
        <v>11</v>
      </c>
      <c r="E25262" s="4" t="s">
        <v>13</v>
      </c>
    </row>
    <row r="25263" spans="1:6">
      <c r="A25263" t="n">
        <v>244482</v>
      </c>
      <c r="B25263" s="23" t="n">
        <v>58</v>
      </c>
      <c r="C25263" s="7" t="n">
        <v>0</v>
      </c>
      <c r="D25263" s="7" t="n">
        <v>0</v>
      </c>
      <c r="E25263" s="7" t="n">
        <v>1</v>
      </c>
    </row>
    <row r="25264" spans="1:6">
      <c r="A25264" t="s">
        <v>4</v>
      </c>
      <c r="B25264" s="4" t="s">
        <v>5</v>
      </c>
      <c r="C25264" s="4" t="s">
        <v>7</v>
      </c>
      <c r="D25264" s="20" t="s">
        <v>35</v>
      </c>
      <c r="E25264" s="4" t="s">
        <v>5</v>
      </c>
      <c r="F25264" s="4" t="s">
        <v>7</v>
      </c>
      <c r="G25264" s="4" t="s">
        <v>11</v>
      </c>
      <c r="H25264" s="20" t="s">
        <v>36</v>
      </c>
      <c r="I25264" s="4" t="s">
        <v>7</v>
      </c>
      <c r="J25264" s="4" t="s">
        <v>15</v>
      </c>
      <c r="K25264" s="4" t="s">
        <v>7</v>
      </c>
      <c r="L25264" s="4" t="s">
        <v>7</v>
      </c>
      <c r="M25264" s="20" t="s">
        <v>35</v>
      </c>
      <c r="N25264" s="4" t="s">
        <v>5</v>
      </c>
      <c r="O25264" s="4" t="s">
        <v>7</v>
      </c>
      <c r="P25264" s="4" t="s">
        <v>11</v>
      </c>
      <c r="Q25264" s="20" t="s">
        <v>36</v>
      </c>
      <c r="R25264" s="4" t="s">
        <v>7</v>
      </c>
      <c r="S25264" s="4" t="s">
        <v>15</v>
      </c>
      <c r="T25264" s="4" t="s">
        <v>7</v>
      </c>
      <c r="U25264" s="4" t="s">
        <v>7</v>
      </c>
      <c r="V25264" s="4" t="s">
        <v>7</v>
      </c>
      <c r="W25264" s="4" t="s">
        <v>12</v>
      </c>
    </row>
    <row r="25265" spans="1:23">
      <c r="A25265" t="n">
        <v>244490</v>
      </c>
      <c r="B25265" s="10" t="n">
        <v>5</v>
      </c>
      <c r="C25265" s="7" t="n">
        <v>28</v>
      </c>
      <c r="D25265" s="20" t="s">
        <v>3</v>
      </c>
      <c r="E25265" s="8" t="n">
        <v>162</v>
      </c>
      <c r="F25265" s="7" t="n">
        <v>3</v>
      </c>
      <c r="G25265" s="7" t="n">
        <v>36873</v>
      </c>
      <c r="H25265" s="20" t="s">
        <v>3</v>
      </c>
      <c r="I25265" s="7" t="n">
        <v>0</v>
      </c>
      <c r="J25265" s="7" t="n">
        <v>1</v>
      </c>
      <c r="K25265" s="7" t="n">
        <v>3</v>
      </c>
      <c r="L25265" s="7" t="n">
        <v>28</v>
      </c>
      <c r="M25265" s="20" t="s">
        <v>3</v>
      </c>
      <c r="N25265" s="8" t="n">
        <v>162</v>
      </c>
      <c r="O25265" s="7" t="n">
        <v>3</v>
      </c>
      <c r="P25265" s="7" t="n">
        <v>36873</v>
      </c>
      <c r="Q25265" s="20" t="s">
        <v>3</v>
      </c>
      <c r="R25265" s="7" t="n">
        <v>0</v>
      </c>
      <c r="S25265" s="7" t="n">
        <v>2</v>
      </c>
      <c r="T25265" s="7" t="n">
        <v>3</v>
      </c>
      <c r="U25265" s="7" t="n">
        <v>9</v>
      </c>
      <c r="V25265" s="7" t="n">
        <v>1</v>
      </c>
      <c r="W25265" s="11" t="n">
        <f t="normal" ca="1">A25275</f>
        <v>0</v>
      </c>
    </row>
    <row r="25266" spans="1:23">
      <c r="A25266" t="s">
        <v>4</v>
      </c>
      <c r="B25266" s="4" t="s">
        <v>5</v>
      </c>
      <c r="C25266" s="4" t="s">
        <v>7</v>
      </c>
      <c r="D25266" s="20" t="s">
        <v>35</v>
      </c>
      <c r="E25266" s="4" t="s">
        <v>5</v>
      </c>
      <c r="F25266" s="4" t="s">
        <v>11</v>
      </c>
      <c r="G25266" s="4" t="s">
        <v>7</v>
      </c>
      <c r="H25266" s="4" t="s">
        <v>7</v>
      </c>
      <c r="I25266" s="4" t="s">
        <v>8</v>
      </c>
      <c r="J25266" s="20" t="s">
        <v>36</v>
      </c>
      <c r="K25266" s="4" t="s">
        <v>7</v>
      </c>
      <c r="L25266" s="4" t="s">
        <v>7</v>
      </c>
      <c r="M25266" s="20" t="s">
        <v>35</v>
      </c>
      <c r="N25266" s="4" t="s">
        <v>5</v>
      </c>
      <c r="O25266" s="4" t="s">
        <v>7</v>
      </c>
      <c r="P25266" s="20" t="s">
        <v>36</v>
      </c>
      <c r="Q25266" s="4" t="s">
        <v>7</v>
      </c>
      <c r="R25266" s="4" t="s">
        <v>15</v>
      </c>
      <c r="S25266" s="4" t="s">
        <v>7</v>
      </c>
      <c r="T25266" s="4" t="s">
        <v>7</v>
      </c>
      <c r="U25266" s="4" t="s">
        <v>7</v>
      </c>
      <c r="V25266" s="20" t="s">
        <v>35</v>
      </c>
      <c r="W25266" s="4" t="s">
        <v>5</v>
      </c>
      <c r="X25266" s="4" t="s">
        <v>7</v>
      </c>
      <c r="Y25266" s="20" t="s">
        <v>36</v>
      </c>
      <c r="Z25266" s="4" t="s">
        <v>7</v>
      </c>
      <c r="AA25266" s="4" t="s">
        <v>15</v>
      </c>
      <c r="AB25266" s="4" t="s">
        <v>7</v>
      </c>
      <c r="AC25266" s="4" t="s">
        <v>7</v>
      </c>
      <c r="AD25266" s="4" t="s">
        <v>7</v>
      </c>
      <c r="AE25266" s="4" t="s">
        <v>12</v>
      </c>
    </row>
    <row r="25267" spans="1:23">
      <c r="A25267" t="n">
        <v>244519</v>
      </c>
      <c r="B25267" s="10" t="n">
        <v>5</v>
      </c>
      <c r="C25267" s="7" t="n">
        <v>28</v>
      </c>
      <c r="D25267" s="20" t="s">
        <v>3</v>
      </c>
      <c r="E25267" s="41" t="n">
        <v>47</v>
      </c>
      <c r="F25267" s="7" t="n">
        <v>61456</v>
      </c>
      <c r="G25267" s="7" t="n">
        <v>2</v>
      </c>
      <c r="H25267" s="7" t="n">
        <v>0</v>
      </c>
      <c r="I25267" s="7" t="s">
        <v>105</v>
      </c>
      <c r="J25267" s="20" t="s">
        <v>3</v>
      </c>
      <c r="K25267" s="7" t="n">
        <v>8</v>
      </c>
      <c r="L25267" s="7" t="n">
        <v>28</v>
      </c>
      <c r="M25267" s="20" t="s">
        <v>3</v>
      </c>
      <c r="N25267" s="45" t="n">
        <v>74</v>
      </c>
      <c r="O25267" s="7" t="n">
        <v>65</v>
      </c>
      <c r="P25267" s="20" t="s">
        <v>3</v>
      </c>
      <c r="Q25267" s="7" t="n">
        <v>0</v>
      </c>
      <c r="R25267" s="7" t="n">
        <v>1</v>
      </c>
      <c r="S25267" s="7" t="n">
        <v>3</v>
      </c>
      <c r="T25267" s="7" t="n">
        <v>9</v>
      </c>
      <c r="U25267" s="7" t="n">
        <v>28</v>
      </c>
      <c r="V25267" s="20" t="s">
        <v>3</v>
      </c>
      <c r="W25267" s="45" t="n">
        <v>74</v>
      </c>
      <c r="X25267" s="7" t="n">
        <v>65</v>
      </c>
      <c r="Y25267" s="20" t="s">
        <v>3</v>
      </c>
      <c r="Z25267" s="7" t="n">
        <v>0</v>
      </c>
      <c r="AA25267" s="7" t="n">
        <v>2</v>
      </c>
      <c r="AB25267" s="7" t="n">
        <v>3</v>
      </c>
      <c r="AC25267" s="7" t="n">
        <v>9</v>
      </c>
      <c r="AD25267" s="7" t="n">
        <v>1</v>
      </c>
      <c r="AE25267" s="11" t="n">
        <f t="normal" ca="1">A25271</f>
        <v>0</v>
      </c>
    </row>
    <row r="25268" spans="1:23">
      <c r="A25268" t="s">
        <v>4</v>
      </c>
      <c r="B25268" s="4" t="s">
        <v>5</v>
      </c>
      <c r="C25268" s="4" t="s">
        <v>11</v>
      </c>
      <c r="D25268" s="4" t="s">
        <v>7</v>
      </c>
      <c r="E25268" s="4" t="s">
        <v>7</v>
      </c>
      <c r="F25268" s="4" t="s">
        <v>8</v>
      </c>
    </row>
    <row r="25269" spans="1:23">
      <c r="A25269" t="n">
        <v>244567</v>
      </c>
      <c r="B25269" s="41" t="n">
        <v>47</v>
      </c>
      <c r="C25269" s="7" t="n">
        <v>61456</v>
      </c>
      <c r="D25269" s="7" t="n">
        <v>0</v>
      </c>
      <c r="E25269" s="7" t="n">
        <v>0</v>
      </c>
      <c r="F25269" s="7" t="s">
        <v>106</v>
      </c>
    </row>
    <row r="25270" spans="1:23">
      <c r="A25270" t="s">
        <v>4</v>
      </c>
      <c r="B25270" s="4" t="s">
        <v>5</v>
      </c>
      <c r="C25270" s="4" t="s">
        <v>7</v>
      </c>
      <c r="D25270" s="4" t="s">
        <v>11</v>
      </c>
      <c r="E25270" s="4" t="s">
        <v>13</v>
      </c>
    </row>
    <row r="25271" spans="1:23">
      <c r="A25271" t="n">
        <v>244580</v>
      </c>
      <c r="B25271" s="23" t="n">
        <v>58</v>
      </c>
      <c r="C25271" s="7" t="n">
        <v>0</v>
      </c>
      <c r="D25271" s="7" t="n">
        <v>300</v>
      </c>
      <c r="E25271" s="7" t="n">
        <v>1</v>
      </c>
    </row>
    <row r="25272" spans="1:23">
      <c r="A25272" t="s">
        <v>4</v>
      </c>
      <c r="B25272" s="4" t="s">
        <v>5</v>
      </c>
      <c r="C25272" s="4" t="s">
        <v>7</v>
      </c>
      <c r="D25272" s="4" t="s">
        <v>11</v>
      </c>
    </row>
    <row r="25273" spans="1:23">
      <c r="A25273" t="n">
        <v>244588</v>
      </c>
      <c r="B25273" s="23" t="n">
        <v>58</v>
      </c>
      <c r="C25273" s="7" t="n">
        <v>255</v>
      </c>
      <c r="D25273" s="7" t="n">
        <v>0</v>
      </c>
    </row>
    <row r="25274" spans="1:23">
      <c r="A25274" t="s">
        <v>4</v>
      </c>
      <c r="B25274" s="4" t="s">
        <v>5</v>
      </c>
      <c r="C25274" s="4" t="s">
        <v>7</v>
      </c>
      <c r="D25274" s="4" t="s">
        <v>7</v>
      </c>
      <c r="E25274" s="4" t="s">
        <v>7</v>
      </c>
      <c r="F25274" s="4" t="s">
        <v>7</v>
      </c>
    </row>
    <row r="25275" spans="1:23">
      <c r="A25275" t="n">
        <v>244592</v>
      </c>
      <c r="B25275" s="9" t="n">
        <v>14</v>
      </c>
      <c r="C25275" s="7" t="n">
        <v>0</v>
      </c>
      <c r="D25275" s="7" t="n">
        <v>0</v>
      </c>
      <c r="E25275" s="7" t="n">
        <v>0</v>
      </c>
      <c r="F25275" s="7" t="n">
        <v>64</v>
      </c>
    </row>
    <row r="25276" spans="1:23">
      <c r="A25276" t="s">
        <v>4</v>
      </c>
      <c r="B25276" s="4" t="s">
        <v>5</v>
      </c>
      <c r="C25276" s="4" t="s">
        <v>7</v>
      </c>
      <c r="D25276" s="4" t="s">
        <v>11</v>
      </c>
    </row>
    <row r="25277" spans="1:23">
      <c r="A25277" t="n">
        <v>244597</v>
      </c>
      <c r="B25277" s="22" t="n">
        <v>22</v>
      </c>
      <c r="C25277" s="7" t="n">
        <v>0</v>
      </c>
      <c r="D25277" s="7" t="n">
        <v>36873</v>
      </c>
    </row>
    <row r="25278" spans="1:23">
      <c r="A25278" t="s">
        <v>4</v>
      </c>
      <c r="B25278" s="4" t="s">
        <v>5</v>
      </c>
      <c r="C25278" s="4" t="s">
        <v>7</v>
      </c>
      <c r="D25278" s="4" t="s">
        <v>11</v>
      </c>
    </row>
    <row r="25279" spans="1:23">
      <c r="A25279" t="n">
        <v>244601</v>
      </c>
      <c r="B25279" s="23" t="n">
        <v>58</v>
      </c>
      <c r="C25279" s="7" t="n">
        <v>5</v>
      </c>
      <c r="D25279" s="7" t="n">
        <v>300</v>
      </c>
    </row>
    <row r="25280" spans="1:23">
      <c r="A25280" t="s">
        <v>4</v>
      </c>
      <c r="B25280" s="4" t="s">
        <v>5</v>
      </c>
      <c r="C25280" s="4" t="s">
        <v>13</v>
      </c>
      <c r="D25280" s="4" t="s">
        <v>11</v>
      </c>
    </row>
    <row r="25281" spans="1:31">
      <c r="A25281" t="n">
        <v>244605</v>
      </c>
      <c r="B25281" s="46" t="n">
        <v>103</v>
      </c>
      <c r="C25281" s="7" t="n">
        <v>0</v>
      </c>
      <c r="D25281" s="7" t="n">
        <v>300</v>
      </c>
    </row>
    <row r="25282" spans="1:31">
      <c r="A25282" t="s">
        <v>4</v>
      </c>
      <c r="B25282" s="4" t="s">
        <v>5</v>
      </c>
      <c r="C25282" s="4" t="s">
        <v>7</v>
      </c>
    </row>
    <row r="25283" spans="1:31">
      <c r="A25283" t="n">
        <v>244612</v>
      </c>
      <c r="B25283" s="47" t="n">
        <v>64</v>
      </c>
      <c r="C25283" s="7" t="n">
        <v>7</v>
      </c>
    </row>
    <row r="25284" spans="1:31">
      <c r="A25284" t="s">
        <v>4</v>
      </c>
      <c r="B25284" s="4" t="s">
        <v>5</v>
      </c>
      <c r="C25284" s="4" t="s">
        <v>7</v>
      </c>
      <c r="D25284" s="4" t="s">
        <v>11</v>
      </c>
    </row>
    <row r="25285" spans="1:31">
      <c r="A25285" t="n">
        <v>244614</v>
      </c>
      <c r="B25285" s="48" t="n">
        <v>72</v>
      </c>
      <c r="C25285" s="7" t="n">
        <v>5</v>
      </c>
      <c r="D25285" s="7" t="n">
        <v>0</v>
      </c>
    </row>
    <row r="25286" spans="1:31">
      <c r="A25286" t="s">
        <v>4</v>
      </c>
      <c r="B25286" s="4" t="s">
        <v>5</v>
      </c>
      <c r="C25286" s="4" t="s">
        <v>7</v>
      </c>
      <c r="D25286" s="20" t="s">
        <v>35</v>
      </c>
      <c r="E25286" s="4" t="s">
        <v>5</v>
      </c>
      <c r="F25286" s="4" t="s">
        <v>7</v>
      </c>
      <c r="G25286" s="4" t="s">
        <v>11</v>
      </c>
      <c r="H25286" s="20" t="s">
        <v>36</v>
      </c>
      <c r="I25286" s="4" t="s">
        <v>7</v>
      </c>
      <c r="J25286" s="4" t="s">
        <v>15</v>
      </c>
      <c r="K25286" s="4" t="s">
        <v>7</v>
      </c>
      <c r="L25286" s="4" t="s">
        <v>7</v>
      </c>
      <c r="M25286" s="4" t="s">
        <v>12</v>
      </c>
    </row>
    <row r="25287" spans="1:31">
      <c r="A25287" t="n">
        <v>244618</v>
      </c>
      <c r="B25287" s="10" t="n">
        <v>5</v>
      </c>
      <c r="C25287" s="7" t="n">
        <v>28</v>
      </c>
      <c r="D25287" s="20" t="s">
        <v>3</v>
      </c>
      <c r="E25287" s="8" t="n">
        <v>162</v>
      </c>
      <c r="F25287" s="7" t="n">
        <v>4</v>
      </c>
      <c r="G25287" s="7" t="n">
        <v>36873</v>
      </c>
      <c r="H25287" s="20" t="s">
        <v>3</v>
      </c>
      <c r="I25287" s="7" t="n">
        <v>0</v>
      </c>
      <c r="J25287" s="7" t="n">
        <v>1</v>
      </c>
      <c r="K25287" s="7" t="n">
        <v>2</v>
      </c>
      <c r="L25287" s="7" t="n">
        <v>1</v>
      </c>
      <c r="M25287" s="11" t="n">
        <f t="normal" ca="1">A25293</f>
        <v>0</v>
      </c>
    </row>
    <row r="25288" spans="1:31">
      <c r="A25288" t="s">
        <v>4</v>
      </c>
      <c r="B25288" s="4" t="s">
        <v>5</v>
      </c>
      <c r="C25288" s="4" t="s">
        <v>7</v>
      </c>
      <c r="D25288" s="4" t="s">
        <v>8</v>
      </c>
    </row>
    <row r="25289" spans="1:31">
      <c r="A25289" t="n">
        <v>244635</v>
      </c>
      <c r="B25289" s="6" t="n">
        <v>2</v>
      </c>
      <c r="C25289" s="7" t="n">
        <v>10</v>
      </c>
      <c r="D25289" s="7" t="s">
        <v>107</v>
      </c>
    </row>
    <row r="25290" spans="1:31">
      <c r="A25290" t="s">
        <v>4</v>
      </c>
      <c r="B25290" s="4" t="s">
        <v>5</v>
      </c>
      <c r="C25290" s="4" t="s">
        <v>11</v>
      </c>
    </row>
    <row r="25291" spans="1:31">
      <c r="A25291" t="n">
        <v>244652</v>
      </c>
      <c r="B25291" s="29" t="n">
        <v>16</v>
      </c>
      <c r="C25291" s="7" t="n">
        <v>0</v>
      </c>
    </row>
    <row r="25292" spans="1:31">
      <c r="A25292" t="s">
        <v>4</v>
      </c>
      <c r="B25292" s="4" t="s">
        <v>5</v>
      </c>
      <c r="C25292" s="4" t="s">
        <v>7</v>
      </c>
      <c r="D25292" s="4" t="s">
        <v>11</v>
      </c>
      <c r="E25292" s="4" t="s">
        <v>15</v>
      </c>
      <c r="F25292" s="4" t="s">
        <v>11</v>
      </c>
      <c r="G25292" s="4" t="s">
        <v>15</v>
      </c>
      <c r="H25292" s="4" t="s">
        <v>7</v>
      </c>
    </row>
    <row r="25293" spans="1:31">
      <c r="A25293" t="n">
        <v>244655</v>
      </c>
      <c r="B25293" s="13" t="n">
        <v>49</v>
      </c>
      <c r="C25293" s="7" t="n">
        <v>0</v>
      </c>
      <c r="D25293" s="7" t="n">
        <v>501</v>
      </c>
      <c r="E25293" s="7" t="n">
        <v>1065353216</v>
      </c>
      <c r="F25293" s="7" t="n">
        <v>0</v>
      </c>
      <c r="G25293" s="7" t="n">
        <v>0</v>
      </c>
      <c r="H25293" s="7" t="n">
        <v>0</v>
      </c>
    </row>
    <row r="25294" spans="1:31">
      <c r="A25294" t="s">
        <v>4</v>
      </c>
      <c r="B25294" s="4" t="s">
        <v>5</v>
      </c>
      <c r="C25294" s="4" t="s">
        <v>7</v>
      </c>
      <c r="D25294" s="4" t="s">
        <v>11</v>
      </c>
      <c r="E25294" s="4" t="s">
        <v>11</v>
      </c>
      <c r="F25294" s="4" t="s">
        <v>11</v>
      </c>
      <c r="G25294" s="4" t="s">
        <v>11</v>
      </c>
      <c r="H25294" s="4" t="s">
        <v>11</v>
      </c>
      <c r="I25294" s="4" t="s">
        <v>11</v>
      </c>
      <c r="J25294" s="4" t="s">
        <v>11</v>
      </c>
      <c r="K25294" s="4" t="s">
        <v>11</v>
      </c>
      <c r="L25294" s="4" t="s">
        <v>11</v>
      </c>
      <c r="M25294" s="4" t="s">
        <v>11</v>
      </c>
      <c r="N25294" s="4" t="s">
        <v>15</v>
      </c>
      <c r="O25294" s="4" t="s">
        <v>15</v>
      </c>
      <c r="P25294" s="4" t="s">
        <v>15</v>
      </c>
      <c r="Q25294" s="4" t="s">
        <v>15</v>
      </c>
      <c r="R25294" s="4" t="s">
        <v>7</v>
      </c>
      <c r="S25294" s="4" t="s">
        <v>8</v>
      </c>
    </row>
    <row r="25295" spans="1:31">
      <c r="A25295" t="n">
        <v>244670</v>
      </c>
      <c r="B25295" s="24" t="n">
        <v>75</v>
      </c>
      <c r="C25295" s="7" t="n">
        <v>0</v>
      </c>
      <c r="D25295" s="7" t="n">
        <v>422</v>
      </c>
      <c r="E25295" s="7" t="n">
        <v>72</v>
      </c>
      <c r="F25295" s="7" t="n">
        <v>858</v>
      </c>
      <c r="G25295" s="7" t="n">
        <v>648</v>
      </c>
      <c r="H25295" s="7" t="n">
        <v>0</v>
      </c>
      <c r="I25295" s="7" t="n">
        <v>0</v>
      </c>
      <c r="J25295" s="7" t="n">
        <v>0</v>
      </c>
      <c r="K25295" s="7" t="n">
        <v>0</v>
      </c>
      <c r="L25295" s="7" t="n">
        <v>436</v>
      </c>
      <c r="M25295" s="7" t="n">
        <v>576</v>
      </c>
      <c r="N25295" s="7" t="n">
        <v>1065353216</v>
      </c>
      <c r="O25295" s="7" t="n">
        <v>1065353216</v>
      </c>
      <c r="P25295" s="7" t="n">
        <v>1065353216</v>
      </c>
      <c r="Q25295" s="7" t="n">
        <v>0</v>
      </c>
      <c r="R25295" s="7" t="n">
        <v>0</v>
      </c>
      <c r="S25295" s="7" t="s">
        <v>50</v>
      </c>
    </row>
    <row r="25296" spans="1:31">
      <c r="A25296" t="s">
        <v>4</v>
      </c>
      <c r="B25296" s="4" t="s">
        <v>5</v>
      </c>
      <c r="C25296" s="4" t="s">
        <v>11</v>
      </c>
      <c r="D25296" s="4" t="s">
        <v>8</v>
      </c>
      <c r="E25296" s="4" t="s">
        <v>8</v>
      </c>
      <c r="F25296" s="4" t="s">
        <v>8</v>
      </c>
      <c r="G25296" s="4" t="s">
        <v>7</v>
      </c>
      <c r="H25296" s="4" t="s">
        <v>15</v>
      </c>
      <c r="I25296" s="4" t="s">
        <v>13</v>
      </c>
      <c r="J25296" s="4" t="s">
        <v>13</v>
      </c>
      <c r="K25296" s="4" t="s">
        <v>13</v>
      </c>
      <c r="L25296" s="4" t="s">
        <v>13</v>
      </c>
      <c r="M25296" s="4" t="s">
        <v>13</v>
      </c>
      <c r="N25296" s="4" t="s">
        <v>13</v>
      </c>
      <c r="O25296" s="4" t="s">
        <v>13</v>
      </c>
      <c r="P25296" s="4" t="s">
        <v>8</v>
      </c>
      <c r="Q25296" s="4" t="s">
        <v>8</v>
      </c>
      <c r="R25296" s="4" t="s">
        <v>15</v>
      </c>
      <c r="S25296" s="4" t="s">
        <v>7</v>
      </c>
      <c r="T25296" s="4" t="s">
        <v>15</v>
      </c>
      <c r="U25296" s="4" t="s">
        <v>15</v>
      </c>
      <c r="V25296" s="4" t="s">
        <v>11</v>
      </c>
    </row>
    <row r="25297" spans="1:22">
      <c r="A25297" t="n">
        <v>244718</v>
      </c>
      <c r="B25297" s="62" t="n">
        <v>19</v>
      </c>
      <c r="C25297" s="7" t="n">
        <v>3</v>
      </c>
      <c r="D25297" s="7" t="s">
        <v>387</v>
      </c>
      <c r="E25297" s="7" t="s">
        <v>388</v>
      </c>
      <c r="F25297" s="7" t="s">
        <v>16</v>
      </c>
      <c r="G25297" s="7" t="n">
        <v>0</v>
      </c>
      <c r="H25297" s="7" t="n">
        <v>1</v>
      </c>
      <c r="I25297" s="7" t="n">
        <v>0</v>
      </c>
      <c r="J25297" s="7" t="n">
        <v>0</v>
      </c>
      <c r="K25297" s="7" t="n">
        <v>0</v>
      </c>
      <c r="L25297" s="7" t="n">
        <v>0</v>
      </c>
      <c r="M25297" s="7" t="n">
        <v>1</v>
      </c>
      <c r="N25297" s="7" t="n">
        <v>1.60000002384186</v>
      </c>
      <c r="O25297" s="7" t="n">
        <v>0.0900000035762787</v>
      </c>
      <c r="P25297" s="7" t="s">
        <v>16</v>
      </c>
      <c r="Q25297" s="7" t="s">
        <v>16</v>
      </c>
      <c r="R25297" s="7" t="n">
        <v>-1</v>
      </c>
      <c r="S25297" s="7" t="n">
        <v>0</v>
      </c>
      <c r="T25297" s="7" t="n">
        <v>0</v>
      </c>
      <c r="U25297" s="7" t="n">
        <v>0</v>
      </c>
      <c r="V25297" s="7" t="n">
        <v>0</v>
      </c>
    </row>
    <row r="25298" spans="1:22">
      <c r="A25298" t="s">
        <v>4</v>
      </c>
      <c r="B25298" s="4" t="s">
        <v>5</v>
      </c>
      <c r="C25298" s="4" t="s">
        <v>11</v>
      </c>
      <c r="D25298" s="4" t="s">
        <v>7</v>
      </c>
      <c r="E25298" s="4" t="s">
        <v>7</v>
      </c>
      <c r="F25298" s="4" t="s">
        <v>8</v>
      </c>
    </row>
    <row r="25299" spans="1:22">
      <c r="A25299" t="n">
        <v>244791</v>
      </c>
      <c r="B25299" s="50" t="n">
        <v>20</v>
      </c>
      <c r="C25299" s="7" t="n">
        <v>0</v>
      </c>
      <c r="D25299" s="7" t="n">
        <v>3</v>
      </c>
      <c r="E25299" s="7" t="n">
        <v>10</v>
      </c>
      <c r="F25299" s="7" t="s">
        <v>108</v>
      </c>
    </row>
    <row r="25300" spans="1:22">
      <c r="A25300" t="s">
        <v>4</v>
      </c>
      <c r="B25300" s="4" t="s">
        <v>5</v>
      </c>
      <c r="C25300" s="4" t="s">
        <v>11</v>
      </c>
    </row>
    <row r="25301" spans="1:22">
      <c r="A25301" t="n">
        <v>244809</v>
      </c>
      <c r="B25301" s="29" t="n">
        <v>16</v>
      </c>
      <c r="C25301" s="7" t="n">
        <v>0</v>
      </c>
    </row>
    <row r="25302" spans="1:22">
      <c r="A25302" t="s">
        <v>4</v>
      </c>
      <c r="B25302" s="4" t="s">
        <v>5</v>
      </c>
      <c r="C25302" s="4" t="s">
        <v>11</v>
      </c>
      <c r="D25302" s="4" t="s">
        <v>7</v>
      </c>
      <c r="E25302" s="4" t="s">
        <v>7</v>
      </c>
      <c r="F25302" s="4" t="s">
        <v>8</v>
      </c>
    </row>
    <row r="25303" spans="1:22">
      <c r="A25303" t="n">
        <v>244812</v>
      </c>
      <c r="B25303" s="50" t="n">
        <v>20</v>
      </c>
      <c r="C25303" s="7" t="n">
        <v>3</v>
      </c>
      <c r="D25303" s="7" t="n">
        <v>3</v>
      </c>
      <c r="E25303" s="7" t="n">
        <v>10</v>
      </c>
      <c r="F25303" s="7" t="s">
        <v>108</v>
      </c>
    </row>
    <row r="25304" spans="1:22">
      <c r="A25304" t="s">
        <v>4</v>
      </c>
      <c r="B25304" s="4" t="s">
        <v>5</v>
      </c>
      <c r="C25304" s="4" t="s">
        <v>11</v>
      </c>
    </row>
    <row r="25305" spans="1:22">
      <c r="A25305" t="n">
        <v>244830</v>
      </c>
      <c r="B25305" s="29" t="n">
        <v>16</v>
      </c>
      <c r="C25305" s="7" t="n">
        <v>0</v>
      </c>
    </row>
    <row r="25306" spans="1:22">
      <c r="A25306" t="s">
        <v>4</v>
      </c>
      <c r="B25306" s="4" t="s">
        <v>5</v>
      </c>
      <c r="C25306" s="4" t="s">
        <v>7</v>
      </c>
      <c r="D25306" s="4" t="s">
        <v>11</v>
      </c>
      <c r="E25306" s="4" t="s">
        <v>7</v>
      </c>
      <c r="F25306" s="4" t="s">
        <v>8</v>
      </c>
      <c r="G25306" s="4" t="s">
        <v>8</v>
      </c>
      <c r="H25306" s="4" t="s">
        <v>8</v>
      </c>
      <c r="I25306" s="4" t="s">
        <v>8</v>
      </c>
      <c r="J25306" s="4" t="s">
        <v>8</v>
      </c>
      <c r="K25306" s="4" t="s">
        <v>8</v>
      </c>
      <c r="L25306" s="4" t="s">
        <v>8</v>
      </c>
      <c r="M25306" s="4" t="s">
        <v>8</v>
      </c>
      <c r="N25306" s="4" t="s">
        <v>8</v>
      </c>
      <c r="O25306" s="4" t="s">
        <v>8</v>
      </c>
      <c r="P25306" s="4" t="s">
        <v>8</v>
      </c>
      <c r="Q25306" s="4" t="s">
        <v>8</v>
      </c>
      <c r="R25306" s="4" t="s">
        <v>8</v>
      </c>
      <c r="S25306" s="4" t="s">
        <v>8</v>
      </c>
      <c r="T25306" s="4" t="s">
        <v>8</v>
      </c>
      <c r="U25306" s="4" t="s">
        <v>8</v>
      </c>
    </row>
    <row r="25307" spans="1:22">
      <c r="A25307" t="n">
        <v>244833</v>
      </c>
      <c r="B25307" s="40" t="n">
        <v>36</v>
      </c>
      <c r="C25307" s="7" t="n">
        <v>8</v>
      </c>
      <c r="D25307" s="7" t="n">
        <v>0</v>
      </c>
      <c r="E25307" s="7" t="n">
        <v>0</v>
      </c>
      <c r="F25307" s="7" t="s">
        <v>389</v>
      </c>
      <c r="G25307" s="7" t="s">
        <v>390</v>
      </c>
      <c r="H25307" s="7" t="s">
        <v>16</v>
      </c>
      <c r="I25307" s="7" t="s">
        <v>16</v>
      </c>
      <c r="J25307" s="7" t="s">
        <v>16</v>
      </c>
      <c r="K25307" s="7" t="s">
        <v>16</v>
      </c>
      <c r="L25307" s="7" t="s">
        <v>16</v>
      </c>
      <c r="M25307" s="7" t="s">
        <v>16</v>
      </c>
      <c r="N25307" s="7" t="s">
        <v>16</v>
      </c>
      <c r="O25307" s="7" t="s">
        <v>16</v>
      </c>
      <c r="P25307" s="7" t="s">
        <v>16</v>
      </c>
      <c r="Q25307" s="7" t="s">
        <v>16</v>
      </c>
      <c r="R25307" s="7" t="s">
        <v>16</v>
      </c>
      <c r="S25307" s="7" t="s">
        <v>16</v>
      </c>
      <c r="T25307" s="7" t="s">
        <v>16</v>
      </c>
      <c r="U25307" s="7" t="s">
        <v>16</v>
      </c>
    </row>
    <row r="25308" spans="1:22">
      <c r="A25308" t="s">
        <v>4</v>
      </c>
      <c r="B25308" s="4" t="s">
        <v>5</v>
      </c>
      <c r="C25308" s="4" t="s">
        <v>7</v>
      </c>
      <c r="D25308" s="4" t="s">
        <v>11</v>
      </c>
      <c r="E25308" s="4" t="s">
        <v>7</v>
      </c>
      <c r="F25308" s="4" t="s">
        <v>8</v>
      </c>
      <c r="G25308" s="4" t="s">
        <v>8</v>
      </c>
      <c r="H25308" s="4" t="s">
        <v>8</v>
      </c>
      <c r="I25308" s="4" t="s">
        <v>8</v>
      </c>
      <c r="J25308" s="4" t="s">
        <v>8</v>
      </c>
      <c r="K25308" s="4" t="s">
        <v>8</v>
      </c>
      <c r="L25308" s="4" t="s">
        <v>8</v>
      </c>
      <c r="M25308" s="4" t="s">
        <v>8</v>
      </c>
      <c r="N25308" s="4" t="s">
        <v>8</v>
      </c>
      <c r="O25308" s="4" t="s">
        <v>8</v>
      </c>
      <c r="P25308" s="4" t="s">
        <v>8</v>
      </c>
      <c r="Q25308" s="4" t="s">
        <v>8</v>
      </c>
      <c r="R25308" s="4" t="s">
        <v>8</v>
      </c>
      <c r="S25308" s="4" t="s">
        <v>8</v>
      </c>
      <c r="T25308" s="4" t="s">
        <v>8</v>
      </c>
      <c r="U25308" s="4" t="s">
        <v>8</v>
      </c>
    </row>
    <row r="25309" spans="1:22">
      <c r="A25309" t="n">
        <v>244872</v>
      </c>
      <c r="B25309" s="40" t="n">
        <v>36</v>
      </c>
      <c r="C25309" s="7" t="n">
        <v>8</v>
      </c>
      <c r="D25309" s="7" t="n">
        <v>3</v>
      </c>
      <c r="E25309" s="7" t="n">
        <v>0</v>
      </c>
      <c r="F25309" s="7" t="s">
        <v>389</v>
      </c>
      <c r="G25309" s="7" t="s">
        <v>390</v>
      </c>
      <c r="H25309" s="7" t="s">
        <v>16</v>
      </c>
      <c r="I25309" s="7" t="s">
        <v>16</v>
      </c>
      <c r="J25309" s="7" t="s">
        <v>16</v>
      </c>
      <c r="K25309" s="7" t="s">
        <v>16</v>
      </c>
      <c r="L25309" s="7" t="s">
        <v>16</v>
      </c>
      <c r="M25309" s="7" t="s">
        <v>16</v>
      </c>
      <c r="N25309" s="7" t="s">
        <v>16</v>
      </c>
      <c r="O25309" s="7" t="s">
        <v>16</v>
      </c>
      <c r="P25309" s="7" t="s">
        <v>16</v>
      </c>
      <c r="Q25309" s="7" t="s">
        <v>16</v>
      </c>
      <c r="R25309" s="7" t="s">
        <v>16</v>
      </c>
      <c r="S25309" s="7" t="s">
        <v>16</v>
      </c>
      <c r="T25309" s="7" t="s">
        <v>16</v>
      </c>
      <c r="U25309" s="7" t="s">
        <v>16</v>
      </c>
    </row>
    <row r="25310" spans="1:22">
      <c r="A25310" t="s">
        <v>4</v>
      </c>
      <c r="B25310" s="4" t="s">
        <v>5</v>
      </c>
      <c r="C25310" s="4" t="s">
        <v>7</v>
      </c>
    </row>
    <row r="25311" spans="1:22">
      <c r="A25311" t="n">
        <v>244911</v>
      </c>
      <c r="B25311" s="49" t="n">
        <v>116</v>
      </c>
      <c r="C25311" s="7" t="n">
        <v>0</v>
      </c>
    </row>
    <row r="25312" spans="1:22">
      <c r="A25312" t="s">
        <v>4</v>
      </c>
      <c r="B25312" s="4" t="s">
        <v>5</v>
      </c>
      <c r="C25312" s="4" t="s">
        <v>7</v>
      </c>
      <c r="D25312" s="4" t="s">
        <v>11</v>
      </c>
    </row>
    <row r="25313" spans="1:22">
      <c r="A25313" t="n">
        <v>244913</v>
      </c>
      <c r="B25313" s="49" t="n">
        <v>116</v>
      </c>
      <c r="C25313" s="7" t="n">
        <v>2</v>
      </c>
      <c r="D25313" s="7" t="n">
        <v>1</v>
      </c>
    </row>
    <row r="25314" spans="1:22">
      <c r="A25314" t="s">
        <v>4</v>
      </c>
      <c r="B25314" s="4" t="s">
        <v>5</v>
      </c>
      <c r="C25314" s="4" t="s">
        <v>7</v>
      </c>
      <c r="D25314" s="4" t="s">
        <v>15</v>
      </c>
    </row>
    <row r="25315" spans="1:22">
      <c r="A25315" t="n">
        <v>244917</v>
      </c>
      <c r="B25315" s="49" t="n">
        <v>116</v>
      </c>
      <c r="C25315" s="7" t="n">
        <v>5</v>
      </c>
      <c r="D25315" s="7" t="n">
        <v>1088421888</v>
      </c>
    </row>
    <row r="25316" spans="1:22">
      <c r="A25316" t="s">
        <v>4</v>
      </c>
      <c r="B25316" s="4" t="s">
        <v>5</v>
      </c>
      <c r="C25316" s="4" t="s">
        <v>7</v>
      </c>
      <c r="D25316" s="4" t="s">
        <v>11</v>
      </c>
    </row>
    <row r="25317" spans="1:22">
      <c r="A25317" t="n">
        <v>244923</v>
      </c>
      <c r="B25317" s="49" t="n">
        <v>116</v>
      </c>
      <c r="C25317" s="7" t="n">
        <v>6</v>
      </c>
      <c r="D25317" s="7" t="n">
        <v>1</v>
      </c>
    </row>
    <row r="25318" spans="1:22">
      <c r="A25318" t="s">
        <v>4</v>
      </c>
      <c r="B25318" s="4" t="s">
        <v>5</v>
      </c>
      <c r="C25318" s="4" t="s">
        <v>11</v>
      </c>
      <c r="D25318" s="4" t="s">
        <v>13</v>
      </c>
      <c r="E25318" s="4" t="s">
        <v>13</v>
      </c>
      <c r="F25318" s="4" t="s">
        <v>13</v>
      </c>
      <c r="G25318" s="4" t="s">
        <v>13</v>
      </c>
    </row>
    <row r="25319" spans="1:22">
      <c r="A25319" t="n">
        <v>244927</v>
      </c>
      <c r="B25319" s="36" t="n">
        <v>46</v>
      </c>
      <c r="C25319" s="7" t="n">
        <v>0</v>
      </c>
      <c r="D25319" s="7" t="n">
        <v>-0.270000010728836</v>
      </c>
      <c r="E25319" s="7" t="n">
        <v>10.0100002288818</v>
      </c>
      <c r="F25319" s="7" t="n">
        <v>57.7200012207031</v>
      </c>
      <c r="G25319" s="7" t="n">
        <v>58.5999984741211</v>
      </c>
    </row>
    <row r="25320" spans="1:22">
      <c r="A25320" t="s">
        <v>4</v>
      </c>
      <c r="B25320" s="4" t="s">
        <v>5</v>
      </c>
      <c r="C25320" s="4" t="s">
        <v>11</v>
      </c>
      <c r="D25320" s="4" t="s">
        <v>13</v>
      </c>
      <c r="E25320" s="4" t="s">
        <v>13</v>
      </c>
      <c r="F25320" s="4" t="s">
        <v>13</v>
      </c>
      <c r="G25320" s="4" t="s">
        <v>13</v>
      </c>
    </row>
    <row r="25321" spans="1:22">
      <c r="A25321" t="n">
        <v>244946</v>
      </c>
      <c r="B25321" s="36" t="n">
        <v>46</v>
      </c>
      <c r="C25321" s="7" t="n">
        <v>3</v>
      </c>
      <c r="D25321" s="7" t="n">
        <v>0.430000007152557</v>
      </c>
      <c r="E25321" s="7" t="n">
        <v>10.0100002288818</v>
      </c>
      <c r="F25321" s="7" t="n">
        <v>58.3400001525879</v>
      </c>
      <c r="G25321" s="7" t="n">
        <v>0</v>
      </c>
    </row>
    <row r="25322" spans="1:22">
      <c r="A25322" t="s">
        <v>4</v>
      </c>
      <c r="B25322" s="4" t="s">
        <v>5</v>
      </c>
      <c r="C25322" s="4" t="s">
        <v>7</v>
      </c>
      <c r="D25322" s="4" t="s">
        <v>8</v>
      </c>
      <c r="E25322" s="4" t="s">
        <v>13</v>
      </c>
      <c r="F25322" s="4" t="s">
        <v>13</v>
      </c>
      <c r="G25322" s="4" t="s">
        <v>13</v>
      </c>
    </row>
    <row r="25323" spans="1:22">
      <c r="A25323" t="n">
        <v>244965</v>
      </c>
      <c r="B25323" s="15" t="n">
        <v>94</v>
      </c>
      <c r="C25323" s="7" t="n">
        <v>2</v>
      </c>
      <c r="D25323" s="7" t="s">
        <v>40</v>
      </c>
      <c r="E25323" s="7" t="n">
        <v>-0.0729999989271164</v>
      </c>
      <c r="F25323" s="7" t="n">
        <v>11.1999998092651</v>
      </c>
      <c r="G25323" s="7" t="n">
        <v>59.2150001525879</v>
      </c>
    </row>
    <row r="25324" spans="1:22">
      <c r="A25324" t="s">
        <v>4</v>
      </c>
      <c r="B25324" s="4" t="s">
        <v>5</v>
      </c>
      <c r="C25324" s="4" t="s">
        <v>7</v>
      </c>
      <c r="D25324" s="4" t="s">
        <v>8</v>
      </c>
      <c r="E25324" s="4" t="s">
        <v>11</v>
      </c>
    </row>
    <row r="25325" spans="1:22">
      <c r="A25325" t="n">
        <v>244990</v>
      </c>
      <c r="B25325" s="15" t="n">
        <v>94</v>
      </c>
      <c r="C25325" s="7" t="n">
        <v>0</v>
      </c>
      <c r="D25325" s="7" t="s">
        <v>20</v>
      </c>
      <c r="E25325" s="7" t="n">
        <v>1</v>
      </c>
    </row>
    <row r="25326" spans="1:22">
      <c r="A25326" t="s">
        <v>4</v>
      </c>
      <c r="B25326" s="4" t="s">
        <v>5</v>
      </c>
      <c r="C25326" s="4" t="s">
        <v>7</v>
      </c>
      <c r="D25326" s="4" t="s">
        <v>8</v>
      </c>
      <c r="E25326" s="4" t="s">
        <v>11</v>
      </c>
    </row>
    <row r="25327" spans="1:22">
      <c r="A25327" t="n">
        <v>245008</v>
      </c>
      <c r="B25327" s="15" t="n">
        <v>94</v>
      </c>
      <c r="C25327" s="7" t="n">
        <v>0</v>
      </c>
      <c r="D25327" s="7" t="s">
        <v>20</v>
      </c>
      <c r="E25327" s="7" t="n">
        <v>2</v>
      </c>
    </row>
    <row r="25328" spans="1:22">
      <c r="A25328" t="s">
        <v>4</v>
      </c>
      <c r="B25328" s="4" t="s">
        <v>5</v>
      </c>
      <c r="C25328" s="4" t="s">
        <v>7</v>
      </c>
      <c r="D25328" s="4" t="s">
        <v>8</v>
      </c>
      <c r="E25328" s="4" t="s">
        <v>11</v>
      </c>
    </row>
    <row r="25329" spans="1:7">
      <c r="A25329" t="n">
        <v>245026</v>
      </c>
      <c r="B25329" s="15" t="n">
        <v>94</v>
      </c>
      <c r="C25329" s="7" t="n">
        <v>1</v>
      </c>
      <c r="D25329" s="7" t="s">
        <v>20</v>
      </c>
      <c r="E25329" s="7" t="n">
        <v>4</v>
      </c>
    </row>
    <row r="25330" spans="1:7">
      <c r="A25330" t="s">
        <v>4</v>
      </c>
      <c r="B25330" s="4" t="s">
        <v>5</v>
      </c>
      <c r="C25330" s="4" t="s">
        <v>7</v>
      </c>
      <c r="D25330" s="4" t="s">
        <v>8</v>
      </c>
    </row>
    <row r="25331" spans="1:7">
      <c r="A25331" t="n">
        <v>245044</v>
      </c>
      <c r="B25331" s="15" t="n">
        <v>94</v>
      </c>
      <c r="C25331" s="7" t="n">
        <v>5</v>
      </c>
      <c r="D25331" s="7" t="s">
        <v>20</v>
      </c>
    </row>
    <row r="25332" spans="1:7">
      <c r="A25332" t="s">
        <v>4</v>
      </c>
      <c r="B25332" s="4" t="s">
        <v>5</v>
      </c>
      <c r="C25332" s="4" t="s">
        <v>7</v>
      </c>
      <c r="D25332" s="4" t="s">
        <v>7</v>
      </c>
      <c r="E25332" s="4" t="s">
        <v>13</v>
      </c>
      <c r="F25332" s="4" t="s">
        <v>13</v>
      </c>
      <c r="G25332" s="4" t="s">
        <v>13</v>
      </c>
      <c r="H25332" s="4" t="s">
        <v>11</v>
      </c>
    </row>
    <row r="25333" spans="1:7">
      <c r="A25333" t="n">
        <v>245060</v>
      </c>
      <c r="B25333" s="51" t="n">
        <v>45</v>
      </c>
      <c r="C25333" s="7" t="n">
        <v>2</v>
      </c>
      <c r="D25333" s="7" t="n">
        <v>3</v>
      </c>
      <c r="E25333" s="7" t="n">
        <v>0.0799999982118607</v>
      </c>
      <c r="F25333" s="7" t="n">
        <v>11.3699998855591</v>
      </c>
      <c r="G25333" s="7" t="n">
        <v>58.0900001525879</v>
      </c>
      <c r="H25333" s="7" t="n">
        <v>0</v>
      </c>
    </row>
    <row r="25334" spans="1:7">
      <c r="A25334" t="s">
        <v>4</v>
      </c>
      <c r="B25334" s="4" t="s">
        <v>5</v>
      </c>
      <c r="C25334" s="4" t="s">
        <v>7</v>
      </c>
      <c r="D25334" s="4" t="s">
        <v>7</v>
      </c>
      <c r="E25334" s="4" t="s">
        <v>13</v>
      </c>
      <c r="F25334" s="4" t="s">
        <v>13</v>
      </c>
      <c r="G25334" s="4" t="s">
        <v>13</v>
      </c>
      <c r="H25334" s="4" t="s">
        <v>11</v>
      </c>
      <c r="I25334" s="4" t="s">
        <v>7</v>
      </c>
    </row>
    <row r="25335" spans="1:7">
      <c r="A25335" t="n">
        <v>245077</v>
      </c>
      <c r="B25335" s="51" t="n">
        <v>45</v>
      </c>
      <c r="C25335" s="7" t="n">
        <v>4</v>
      </c>
      <c r="D25335" s="7" t="n">
        <v>3</v>
      </c>
      <c r="E25335" s="7" t="n">
        <v>10.6899995803833</v>
      </c>
      <c r="F25335" s="7" t="n">
        <v>197.380004882813</v>
      </c>
      <c r="G25335" s="7" t="n">
        <v>0</v>
      </c>
      <c r="H25335" s="7" t="n">
        <v>0</v>
      </c>
      <c r="I25335" s="7" t="n">
        <v>0</v>
      </c>
    </row>
    <row r="25336" spans="1:7">
      <c r="A25336" t="s">
        <v>4</v>
      </c>
      <c r="B25336" s="4" t="s">
        <v>5</v>
      </c>
      <c r="C25336" s="4" t="s">
        <v>7</v>
      </c>
      <c r="D25336" s="4" t="s">
        <v>7</v>
      </c>
      <c r="E25336" s="4" t="s">
        <v>13</v>
      </c>
      <c r="F25336" s="4" t="s">
        <v>11</v>
      </c>
    </row>
    <row r="25337" spans="1:7">
      <c r="A25337" t="n">
        <v>245095</v>
      </c>
      <c r="B25337" s="51" t="n">
        <v>45</v>
      </c>
      <c r="C25337" s="7" t="n">
        <v>5</v>
      </c>
      <c r="D25337" s="7" t="n">
        <v>3</v>
      </c>
      <c r="E25337" s="7" t="n">
        <v>1.79999995231628</v>
      </c>
      <c r="F25337" s="7" t="n">
        <v>0</v>
      </c>
    </row>
    <row r="25338" spans="1:7">
      <c r="A25338" t="s">
        <v>4</v>
      </c>
      <c r="B25338" s="4" t="s">
        <v>5</v>
      </c>
      <c r="C25338" s="4" t="s">
        <v>7</v>
      </c>
      <c r="D25338" s="4" t="s">
        <v>7</v>
      </c>
      <c r="E25338" s="4" t="s">
        <v>13</v>
      </c>
      <c r="F25338" s="4" t="s">
        <v>11</v>
      </c>
    </row>
    <row r="25339" spans="1:7">
      <c r="A25339" t="n">
        <v>245104</v>
      </c>
      <c r="B25339" s="51" t="n">
        <v>45</v>
      </c>
      <c r="C25339" s="7" t="n">
        <v>11</v>
      </c>
      <c r="D25339" s="7" t="n">
        <v>3</v>
      </c>
      <c r="E25339" s="7" t="n">
        <v>34.5999984741211</v>
      </c>
      <c r="F25339" s="7" t="n">
        <v>0</v>
      </c>
    </row>
    <row r="25340" spans="1:7">
      <c r="A25340" t="s">
        <v>4</v>
      </c>
      <c r="B25340" s="4" t="s">
        <v>5</v>
      </c>
      <c r="C25340" s="4" t="s">
        <v>7</v>
      </c>
      <c r="D25340" s="4" t="s">
        <v>7</v>
      </c>
      <c r="E25340" s="4" t="s">
        <v>13</v>
      </c>
      <c r="F25340" s="4" t="s">
        <v>11</v>
      </c>
    </row>
    <row r="25341" spans="1:7">
      <c r="A25341" t="n">
        <v>245113</v>
      </c>
      <c r="B25341" s="51" t="n">
        <v>45</v>
      </c>
      <c r="C25341" s="7" t="n">
        <v>5</v>
      </c>
      <c r="D25341" s="7" t="n">
        <v>3</v>
      </c>
      <c r="E25341" s="7" t="n">
        <v>1.5</v>
      </c>
      <c r="F25341" s="7" t="n">
        <v>3000</v>
      </c>
    </row>
    <row r="25342" spans="1:7">
      <c r="A25342" t="s">
        <v>4</v>
      </c>
      <c r="B25342" s="4" t="s">
        <v>5</v>
      </c>
      <c r="C25342" s="4" t="s">
        <v>11</v>
      </c>
      <c r="D25342" s="4" t="s">
        <v>7</v>
      </c>
      <c r="E25342" s="4" t="s">
        <v>8</v>
      </c>
      <c r="F25342" s="4" t="s">
        <v>13</v>
      </c>
      <c r="G25342" s="4" t="s">
        <v>13</v>
      </c>
      <c r="H25342" s="4" t="s">
        <v>13</v>
      </c>
    </row>
    <row r="25343" spans="1:7">
      <c r="A25343" t="n">
        <v>245122</v>
      </c>
      <c r="B25343" s="42" t="n">
        <v>48</v>
      </c>
      <c r="C25343" s="7" t="n">
        <v>0</v>
      </c>
      <c r="D25343" s="7" t="n">
        <v>0</v>
      </c>
      <c r="E25343" s="7" t="s">
        <v>275</v>
      </c>
      <c r="F25343" s="7" t="n">
        <v>0</v>
      </c>
      <c r="G25343" s="7" t="n">
        <v>1</v>
      </c>
      <c r="H25343" s="7" t="n">
        <v>0</v>
      </c>
    </row>
    <row r="25344" spans="1:7">
      <c r="A25344" t="s">
        <v>4</v>
      </c>
      <c r="B25344" s="4" t="s">
        <v>5</v>
      </c>
      <c r="C25344" s="4" t="s">
        <v>11</v>
      </c>
    </row>
    <row r="25345" spans="1:9">
      <c r="A25345" t="n">
        <v>245147</v>
      </c>
      <c r="B25345" s="29" t="n">
        <v>16</v>
      </c>
      <c r="C25345" s="7" t="n">
        <v>0</v>
      </c>
    </row>
    <row r="25346" spans="1:9">
      <c r="A25346" t="s">
        <v>4</v>
      </c>
      <c r="B25346" s="4" t="s">
        <v>5</v>
      </c>
      <c r="C25346" s="4" t="s">
        <v>11</v>
      </c>
      <c r="D25346" s="4" t="s">
        <v>11</v>
      </c>
      <c r="E25346" s="4" t="s">
        <v>11</v>
      </c>
    </row>
    <row r="25347" spans="1:9">
      <c r="A25347" t="n">
        <v>245150</v>
      </c>
      <c r="B25347" s="72" t="n">
        <v>61</v>
      </c>
      <c r="C25347" s="7" t="n">
        <v>0</v>
      </c>
      <c r="D25347" s="7" t="n">
        <v>3</v>
      </c>
      <c r="E25347" s="7" t="n">
        <v>0</v>
      </c>
    </row>
    <row r="25348" spans="1:9">
      <c r="A25348" t="s">
        <v>4</v>
      </c>
      <c r="B25348" s="4" t="s">
        <v>5</v>
      </c>
      <c r="C25348" s="4" t="s">
        <v>7</v>
      </c>
      <c r="D25348" s="4" t="s">
        <v>11</v>
      </c>
      <c r="E25348" s="4" t="s">
        <v>13</v>
      </c>
    </row>
    <row r="25349" spans="1:9">
      <c r="A25349" t="n">
        <v>245157</v>
      </c>
      <c r="B25349" s="23" t="n">
        <v>58</v>
      </c>
      <c r="C25349" s="7" t="n">
        <v>100</v>
      </c>
      <c r="D25349" s="7" t="n">
        <v>1000</v>
      </c>
      <c r="E25349" s="7" t="n">
        <v>1</v>
      </c>
    </row>
    <row r="25350" spans="1:9">
      <c r="A25350" t="s">
        <v>4</v>
      </c>
      <c r="B25350" s="4" t="s">
        <v>5</v>
      </c>
      <c r="C25350" s="4" t="s">
        <v>7</v>
      </c>
      <c r="D25350" s="4" t="s">
        <v>11</v>
      </c>
    </row>
    <row r="25351" spans="1:9">
      <c r="A25351" t="n">
        <v>245165</v>
      </c>
      <c r="B25351" s="23" t="n">
        <v>58</v>
      </c>
      <c r="C25351" s="7" t="n">
        <v>255</v>
      </c>
      <c r="D25351" s="7" t="n">
        <v>0</v>
      </c>
    </row>
    <row r="25352" spans="1:9">
      <c r="A25352" t="s">
        <v>4</v>
      </c>
      <c r="B25352" s="4" t="s">
        <v>5</v>
      </c>
      <c r="C25352" s="4" t="s">
        <v>11</v>
      </c>
    </row>
    <row r="25353" spans="1:9">
      <c r="A25353" t="n">
        <v>245169</v>
      </c>
      <c r="B25353" s="29" t="n">
        <v>16</v>
      </c>
      <c r="C25353" s="7" t="n">
        <v>1000</v>
      </c>
    </row>
    <row r="25354" spans="1:9">
      <c r="A25354" t="s">
        <v>4</v>
      </c>
      <c r="B25354" s="4" t="s">
        <v>5</v>
      </c>
      <c r="C25354" s="4" t="s">
        <v>7</v>
      </c>
      <c r="D25354" s="4" t="s">
        <v>11</v>
      </c>
      <c r="E25354" s="4" t="s">
        <v>8</v>
      </c>
    </row>
    <row r="25355" spans="1:9">
      <c r="A25355" t="n">
        <v>245172</v>
      </c>
      <c r="B25355" s="38" t="n">
        <v>51</v>
      </c>
      <c r="C25355" s="7" t="n">
        <v>4</v>
      </c>
      <c r="D25355" s="7" t="n">
        <v>3</v>
      </c>
      <c r="E25355" s="7" t="s">
        <v>1516</v>
      </c>
    </row>
    <row r="25356" spans="1:9">
      <c r="A25356" t="s">
        <v>4</v>
      </c>
      <c r="B25356" s="4" t="s">
        <v>5</v>
      </c>
      <c r="C25356" s="4" t="s">
        <v>11</v>
      </c>
    </row>
    <row r="25357" spans="1:9">
      <c r="A25357" t="n">
        <v>245187</v>
      </c>
      <c r="B25357" s="29" t="n">
        <v>16</v>
      </c>
      <c r="C25357" s="7" t="n">
        <v>0</v>
      </c>
    </row>
    <row r="25358" spans="1:9">
      <c r="A25358" t="s">
        <v>4</v>
      </c>
      <c r="B25358" s="4" t="s">
        <v>5</v>
      </c>
      <c r="C25358" s="4" t="s">
        <v>11</v>
      </c>
      <c r="D25358" s="4" t="s">
        <v>7</v>
      </c>
      <c r="E25358" s="4" t="s">
        <v>15</v>
      </c>
      <c r="F25358" s="4" t="s">
        <v>55</v>
      </c>
      <c r="G25358" s="4" t="s">
        <v>7</v>
      </c>
      <c r="H25358" s="4" t="s">
        <v>7</v>
      </c>
    </row>
    <row r="25359" spans="1:9">
      <c r="A25359" t="n">
        <v>245190</v>
      </c>
      <c r="B25359" s="55" t="n">
        <v>26</v>
      </c>
      <c r="C25359" s="7" t="n">
        <v>3</v>
      </c>
      <c r="D25359" s="7" t="n">
        <v>17</v>
      </c>
      <c r="E25359" s="7" t="n">
        <v>64538</v>
      </c>
      <c r="F25359" s="7" t="s">
        <v>318</v>
      </c>
      <c r="G25359" s="7" t="n">
        <v>2</v>
      </c>
      <c r="H25359" s="7" t="n">
        <v>0</v>
      </c>
    </row>
    <row r="25360" spans="1:9">
      <c r="A25360" t="s">
        <v>4</v>
      </c>
      <c r="B25360" s="4" t="s">
        <v>5</v>
      </c>
    </row>
    <row r="25361" spans="1:8">
      <c r="A25361" t="n">
        <v>245206</v>
      </c>
      <c r="B25361" s="27" t="n">
        <v>28</v>
      </c>
    </row>
    <row r="25362" spans="1:8">
      <c r="A25362" t="s">
        <v>4</v>
      </c>
      <c r="B25362" s="4" t="s">
        <v>5</v>
      </c>
      <c r="C25362" s="4" t="s">
        <v>7</v>
      </c>
      <c r="D25362" s="4" t="s">
        <v>11</v>
      </c>
      <c r="E25362" s="4" t="s">
        <v>8</v>
      </c>
    </row>
    <row r="25363" spans="1:8">
      <c r="A25363" t="n">
        <v>245207</v>
      </c>
      <c r="B25363" s="38" t="n">
        <v>51</v>
      </c>
      <c r="C25363" s="7" t="n">
        <v>4</v>
      </c>
      <c r="D25363" s="7" t="n">
        <v>0</v>
      </c>
      <c r="E25363" s="7" t="s">
        <v>430</v>
      </c>
    </row>
    <row r="25364" spans="1:8">
      <c r="A25364" t="s">
        <v>4</v>
      </c>
      <c r="B25364" s="4" t="s">
        <v>5</v>
      </c>
      <c r="C25364" s="4" t="s">
        <v>11</v>
      </c>
    </row>
    <row r="25365" spans="1:8">
      <c r="A25365" t="n">
        <v>245220</v>
      </c>
      <c r="B25365" s="29" t="n">
        <v>16</v>
      </c>
      <c r="C25365" s="7" t="n">
        <v>0</v>
      </c>
    </row>
    <row r="25366" spans="1:8">
      <c r="A25366" t="s">
        <v>4</v>
      </c>
      <c r="B25366" s="4" t="s">
        <v>5</v>
      </c>
      <c r="C25366" s="4" t="s">
        <v>11</v>
      </c>
      <c r="D25366" s="4" t="s">
        <v>7</v>
      </c>
      <c r="E25366" s="4" t="s">
        <v>15</v>
      </c>
      <c r="F25366" s="4" t="s">
        <v>55</v>
      </c>
      <c r="G25366" s="4" t="s">
        <v>7</v>
      </c>
      <c r="H25366" s="4" t="s">
        <v>7</v>
      </c>
    </row>
    <row r="25367" spans="1:8">
      <c r="A25367" t="n">
        <v>245223</v>
      </c>
      <c r="B25367" s="55" t="n">
        <v>26</v>
      </c>
      <c r="C25367" s="7" t="n">
        <v>0</v>
      </c>
      <c r="D25367" s="7" t="n">
        <v>17</v>
      </c>
      <c r="E25367" s="7" t="n">
        <v>64539</v>
      </c>
      <c r="F25367" s="7" t="s">
        <v>1517</v>
      </c>
      <c r="G25367" s="7" t="n">
        <v>2</v>
      </c>
      <c r="H25367" s="7" t="n">
        <v>0</v>
      </c>
    </row>
    <row r="25368" spans="1:8">
      <c r="A25368" t="s">
        <v>4</v>
      </c>
      <c r="B25368" s="4" t="s">
        <v>5</v>
      </c>
    </row>
    <row r="25369" spans="1:8">
      <c r="A25369" t="n">
        <v>245269</v>
      </c>
      <c r="B25369" s="27" t="n">
        <v>28</v>
      </c>
    </row>
    <row r="25370" spans="1:8">
      <c r="A25370" t="s">
        <v>4</v>
      </c>
      <c r="B25370" s="4" t="s">
        <v>5</v>
      </c>
      <c r="C25370" s="4" t="s">
        <v>7</v>
      </c>
      <c r="D25370" s="4" t="s">
        <v>11</v>
      </c>
      <c r="E25370" s="4" t="s">
        <v>11</v>
      </c>
      <c r="F25370" s="4" t="s">
        <v>7</v>
      </c>
    </row>
    <row r="25371" spans="1:8">
      <c r="A25371" t="n">
        <v>245270</v>
      </c>
      <c r="B25371" s="31" t="n">
        <v>25</v>
      </c>
      <c r="C25371" s="7" t="n">
        <v>1</v>
      </c>
      <c r="D25371" s="7" t="n">
        <v>65535</v>
      </c>
      <c r="E25371" s="7" t="n">
        <v>65535</v>
      </c>
      <c r="F25371" s="7" t="n">
        <v>0</v>
      </c>
    </row>
    <row r="25372" spans="1:8">
      <c r="A25372" t="s">
        <v>4</v>
      </c>
      <c r="B25372" s="4" t="s">
        <v>5</v>
      </c>
      <c r="C25372" s="4" t="s">
        <v>7</v>
      </c>
      <c r="D25372" s="4" t="s">
        <v>11</v>
      </c>
      <c r="E25372" s="4" t="s">
        <v>8</v>
      </c>
      <c r="F25372" s="4" t="s">
        <v>8</v>
      </c>
      <c r="G25372" s="4" t="s">
        <v>8</v>
      </c>
      <c r="H25372" s="4" t="s">
        <v>8</v>
      </c>
    </row>
    <row r="25373" spans="1:8">
      <c r="A25373" t="n">
        <v>245277</v>
      </c>
      <c r="B25373" s="38" t="n">
        <v>51</v>
      </c>
      <c r="C25373" s="7" t="n">
        <v>3</v>
      </c>
      <c r="D25373" s="7" t="n">
        <v>3</v>
      </c>
      <c r="E25373" s="7" t="s">
        <v>154</v>
      </c>
      <c r="F25373" s="7" t="s">
        <v>218</v>
      </c>
      <c r="G25373" s="7" t="s">
        <v>78</v>
      </c>
      <c r="H25373" s="7" t="s">
        <v>79</v>
      </c>
    </row>
    <row r="25374" spans="1:8">
      <c r="A25374" t="s">
        <v>4</v>
      </c>
      <c r="B25374" s="4" t="s">
        <v>5</v>
      </c>
      <c r="C25374" s="4" t="s">
        <v>11</v>
      </c>
      <c r="D25374" s="4" t="s">
        <v>7</v>
      </c>
      <c r="E25374" s="4" t="s">
        <v>13</v>
      </c>
      <c r="F25374" s="4" t="s">
        <v>11</v>
      </c>
    </row>
    <row r="25375" spans="1:8">
      <c r="A25375" t="n">
        <v>245290</v>
      </c>
      <c r="B25375" s="56" t="n">
        <v>59</v>
      </c>
      <c r="C25375" s="7" t="n">
        <v>3</v>
      </c>
      <c r="D25375" s="7" t="n">
        <v>13</v>
      </c>
      <c r="E25375" s="7" t="n">
        <v>0.150000005960464</v>
      </c>
      <c r="F25375" s="7" t="n">
        <v>0</v>
      </c>
    </row>
    <row r="25376" spans="1:8">
      <c r="A25376" t="s">
        <v>4</v>
      </c>
      <c r="B25376" s="4" t="s">
        <v>5</v>
      </c>
      <c r="C25376" s="4" t="s">
        <v>11</v>
      </c>
    </row>
    <row r="25377" spans="1:8">
      <c r="A25377" t="n">
        <v>245300</v>
      </c>
      <c r="B25377" s="29" t="n">
        <v>16</v>
      </c>
      <c r="C25377" s="7" t="n">
        <v>800</v>
      </c>
    </row>
    <row r="25378" spans="1:8">
      <c r="A25378" t="s">
        <v>4</v>
      </c>
      <c r="B25378" s="4" t="s">
        <v>5</v>
      </c>
      <c r="C25378" s="4" t="s">
        <v>11</v>
      </c>
      <c r="D25378" s="4" t="s">
        <v>13</v>
      </c>
      <c r="E25378" s="4" t="s">
        <v>13</v>
      </c>
      <c r="F25378" s="4" t="s">
        <v>7</v>
      </c>
    </row>
    <row r="25379" spans="1:8">
      <c r="A25379" t="n">
        <v>245303</v>
      </c>
      <c r="B25379" s="65" t="n">
        <v>52</v>
      </c>
      <c r="C25379" s="7" t="n">
        <v>3</v>
      </c>
      <c r="D25379" s="7" t="n">
        <v>228.300003051758</v>
      </c>
      <c r="E25379" s="7" t="n">
        <v>5</v>
      </c>
      <c r="F25379" s="7" t="n">
        <v>0</v>
      </c>
    </row>
    <row r="25380" spans="1:8">
      <c r="A25380" t="s">
        <v>4</v>
      </c>
      <c r="B25380" s="4" t="s">
        <v>5</v>
      </c>
      <c r="C25380" s="4" t="s">
        <v>11</v>
      </c>
    </row>
    <row r="25381" spans="1:8">
      <c r="A25381" t="n">
        <v>245315</v>
      </c>
      <c r="B25381" s="66" t="n">
        <v>54</v>
      </c>
      <c r="C25381" s="7" t="n">
        <v>3</v>
      </c>
    </row>
    <row r="25382" spans="1:8">
      <c r="A25382" t="s">
        <v>4</v>
      </c>
      <c r="B25382" s="4" t="s">
        <v>5</v>
      </c>
      <c r="C25382" s="4" t="s">
        <v>11</v>
      </c>
      <c r="D25382" s="4" t="s">
        <v>11</v>
      </c>
      <c r="E25382" s="4" t="s">
        <v>11</v>
      </c>
    </row>
    <row r="25383" spans="1:8">
      <c r="A25383" t="n">
        <v>245318</v>
      </c>
      <c r="B25383" s="72" t="n">
        <v>61</v>
      </c>
      <c r="C25383" s="7" t="n">
        <v>3</v>
      </c>
      <c r="D25383" s="7" t="n">
        <v>0</v>
      </c>
      <c r="E25383" s="7" t="n">
        <v>1000</v>
      </c>
    </row>
    <row r="25384" spans="1:8">
      <c r="A25384" t="s">
        <v>4</v>
      </c>
      <c r="B25384" s="4" t="s">
        <v>5</v>
      </c>
      <c r="C25384" s="4" t="s">
        <v>7</v>
      </c>
      <c r="D25384" s="4" t="s">
        <v>11</v>
      </c>
      <c r="E25384" s="4" t="s">
        <v>8</v>
      </c>
    </row>
    <row r="25385" spans="1:8">
      <c r="A25385" t="n">
        <v>245325</v>
      </c>
      <c r="B25385" s="38" t="n">
        <v>51</v>
      </c>
      <c r="C25385" s="7" t="n">
        <v>4</v>
      </c>
      <c r="D25385" s="7" t="n">
        <v>3</v>
      </c>
      <c r="E25385" s="7" t="s">
        <v>233</v>
      </c>
    </row>
    <row r="25386" spans="1:8">
      <c r="A25386" t="s">
        <v>4</v>
      </c>
      <c r="B25386" s="4" t="s">
        <v>5</v>
      </c>
      <c r="C25386" s="4" t="s">
        <v>11</v>
      </c>
    </row>
    <row r="25387" spans="1:8">
      <c r="A25387" t="n">
        <v>245338</v>
      </c>
      <c r="B25387" s="29" t="n">
        <v>16</v>
      </c>
      <c r="C25387" s="7" t="n">
        <v>0</v>
      </c>
    </row>
    <row r="25388" spans="1:8">
      <c r="A25388" t="s">
        <v>4</v>
      </c>
      <c r="B25388" s="4" t="s">
        <v>5</v>
      </c>
      <c r="C25388" s="4" t="s">
        <v>11</v>
      </c>
      <c r="D25388" s="4" t="s">
        <v>7</v>
      </c>
      <c r="E25388" s="4" t="s">
        <v>15</v>
      </c>
      <c r="F25388" s="4" t="s">
        <v>55</v>
      </c>
      <c r="G25388" s="4" t="s">
        <v>7</v>
      </c>
      <c r="H25388" s="4" t="s">
        <v>7</v>
      </c>
      <c r="I25388" s="4" t="s">
        <v>7</v>
      </c>
      <c r="J25388" s="4" t="s">
        <v>15</v>
      </c>
      <c r="K25388" s="4" t="s">
        <v>55</v>
      </c>
      <c r="L25388" s="4" t="s">
        <v>7</v>
      </c>
      <c r="M25388" s="4" t="s">
        <v>7</v>
      </c>
    </row>
    <row r="25389" spans="1:8">
      <c r="A25389" t="n">
        <v>245341</v>
      </c>
      <c r="B25389" s="55" t="n">
        <v>26</v>
      </c>
      <c r="C25389" s="7" t="n">
        <v>3</v>
      </c>
      <c r="D25389" s="7" t="n">
        <v>17</v>
      </c>
      <c r="E25389" s="7" t="n">
        <v>64540</v>
      </c>
      <c r="F25389" s="7" t="s">
        <v>1518</v>
      </c>
      <c r="G25389" s="7" t="n">
        <v>2</v>
      </c>
      <c r="H25389" s="7" t="n">
        <v>3</v>
      </c>
      <c r="I25389" s="7" t="n">
        <v>17</v>
      </c>
      <c r="J25389" s="7" t="n">
        <v>64541</v>
      </c>
      <c r="K25389" s="7" t="s">
        <v>1519</v>
      </c>
      <c r="L25389" s="7" t="n">
        <v>2</v>
      </c>
      <c r="M25389" s="7" t="n">
        <v>0</v>
      </c>
    </row>
    <row r="25390" spans="1:8">
      <c r="A25390" t="s">
        <v>4</v>
      </c>
      <c r="B25390" s="4" t="s">
        <v>5</v>
      </c>
    </row>
    <row r="25391" spans="1:8">
      <c r="A25391" t="n">
        <v>245396</v>
      </c>
      <c r="B25391" s="27" t="n">
        <v>28</v>
      </c>
    </row>
    <row r="25392" spans="1:8">
      <c r="A25392" t="s">
        <v>4</v>
      </c>
      <c r="B25392" s="4" t="s">
        <v>5</v>
      </c>
      <c r="C25392" s="4" t="s">
        <v>7</v>
      </c>
      <c r="D25392" s="4" t="s">
        <v>11</v>
      </c>
      <c r="E25392" s="4" t="s">
        <v>13</v>
      </c>
    </row>
    <row r="25393" spans="1:13">
      <c r="A25393" t="n">
        <v>245397</v>
      </c>
      <c r="B25393" s="23" t="n">
        <v>58</v>
      </c>
      <c r="C25393" s="7" t="n">
        <v>0</v>
      </c>
      <c r="D25393" s="7" t="n">
        <v>300</v>
      </c>
      <c r="E25393" s="7" t="n">
        <v>0.300000011920929</v>
      </c>
    </row>
    <row r="25394" spans="1:13">
      <c r="A25394" t="s">
        <v>4</v>
      </c>
      <c r="B25394" s="4" t="s">
        <v>5</v>
      </c>
      <c r="C25394" s="4" t="s">
        <v>7</v>
      </c>
      <c r="D25394" s="4" t="s">
        <v>11</v>
      </c>
    </row>
    <row r="25395" spans="1:13">
      <c r="A25395" t="n">
        <v>245405</v>
      </c>
      <c r="B25395" s="23" t="n">
        <v>58</v>
      </c>
      <c r="C25395" s="7" t="n">
        <v>255</v>
      </c>
      <c r="D25395" s="7" t="n">
        <v>0</v>
      </c>
    </row>
    <row r="25396" spans="1:13">
      <c r="A25396" t="s">
        <v>4</v>
      </c>
      <c r="B25396" s="4" t="s">
        <v>5</v>
      </c>
      <c r="C25396" s="4" t="s">
        <v>7</v>
      </c>
      <c r="D25396" s="4" t="s">
        <v>7</v>
      </c>
      <c r="E25396" s="4" t="s">
        <v>7</v>
      </c>
      <c r="F25396" s="4" t="s">
        <v>13</v>
      </c>
      <c r="G25396" s="4" t="s">
        <v>13</v>
      </c>
      <c r="H25396" s="4" t="s">
        <v>13</v>
      </c>
      <c r="I25396" s="4" t="s">
        <v>13</v>
      </c>
      <c r="J25396" s="4" t="s">
        <v>13</v>
      </c>
    </row>
    <row r="25397" spans="1:13">
      <c r="A25397" t="n">
        <v>245409</v>
      </c>
      <c r="B25397" s="25" t="n">
        <v>76</v>
      </c>
      <c r="C25397" s="7" t="n">
        <v>0</v>
      </c>
      <c r="D25397" s="7" t="n">
        <v>3</v>
      </c>
      <c r="E25397" s="7" t="n">
        <v>0</v>
      </c>
      <c r="F25397" s="7" t="n">
        <v>1</v>
      </c>
      <c r="G25397" s="7" t="n">
        <v>1</v>
      </c>
      <c r="H25397" s="7" t="n">
        <v>1</v>
      </c>
      <c r="I25397" s="7" t="n">
        <v>1</v>
      </c>
      <c r="J25397" s="7" t="n">
        <v>800</v>
      </c>
    </row>
    <row r="25398" spans="1:13">
      <c r="A25398" t="s">
        <v>4</v>
      </c>
      <c r="B25398" s="4" t="s">
        <v>5</v>
      </c>
      <c r="C25398" s="4" t="s">
        <v>7</v>
      </c>
      <c r="D25398" s="4" t="s">
        <v>7</v>
      </c>
    </row>
    <row r="25399" spans="1:13">
      <c r="A25399" t="n">
        <v>245433</v>
      </c>
      <c r="B25399" s="26" t="n">
        <v>77</v>
      </c>
      <c r="C25399" s="7" t="n">
        <v>0</v>
      </c>
      <c r="D25399" s="7" t="n">
        <v>3</v>
      </c>
    </row>
    <row r="25400" spans="1:13">
      <c r="A25400" t="s">
        <v>4</v>
      </c>
      <c r="B25400" s="4" t="s">
        <v>5</v>
      </c>
      <c r="C25400" s="4" t="s">
        <v>11</v>
      </c>
    </row>
    <row r="25401" spans="1:13">
      <c r="A25401" t="n">
        <v>245436</v>
      </c>
      <c r="B25401" s="29" t="n">
        <v>16</v>
      </c>
      <c r="C25401" s="7" t="n">
        <v>1000</v>
      </c>
    </row>
    <row r="25402" spans="1:13">
      <c r="A25402" t="s">
        <v>4</v>
      </c>
      <c r="B25402" s="4" t="s">
        <v>5</v>
      </c>
      <c r="C25402" s="4" t="s">
        <v>7</v>
      </c>
      <c r="D25402" s="4" t="s">
        <v>11</v>
      </c>
      <c r="E25402" s="4" t="s">
        <v>11</v>
      </c>
      <c r="F25402" s="4" t="s">
        <v>7</v>
      </c>
    </row>
    <row r="25403" spans="1:13">
      <c r="A25403" t="n">
        <v>245439</v>
      </c>
      <c r="B25403" s="31" t="n">
        <v>25</v>
      </c>
      <c r="C25403" s="7" t="n">
        <v>1</v>
      </c>
      <c r="D25403" s="7" t="n">
        <v>60</v>
      </c>
      <c r="E25403" s="7" t="n">
        <v>640</v>
      </c>
      <c r="F25403" s="7" t="n">
        <v>2</v>
      </c>
    </row>
    <row r="25404" spans="1:13">
      <c r="A25404" t="s">
        <v>4</v>
      </c>
      <c r="B25404" s="4" t="s">
        <v>5</v>
      </c>
      <c r="C25404" s="4" t="s">
        <v>7</v>
      </c>
      <c r="D25404" s="4" t="s">
        <v>11</v>
      </c>
      <c r="E25404" s="4" t="s">
        <v>8</v>
      </c>
    </row>
    <row r="25405" spans="1:13">
      <c r="A25405" t="n">
        <v>245446</v>
      </c>
      <c r="B25405" s="38" t="n">
        <v>51</v>
      </c>
      <c r="C25405" s="7" t="n">
        <v>4</v>
      </c>
      <c r="D25405" s="7" t="n">
        <v>0</v>
      </c>
      <c r="E25405" s="7" t="s">
        <v>1520</v>
      </c>
    </row>
    <row r="25406" spans="1:13">
      <c r="A25406" t="s">
        <v>4</v>
      </c>
      <c r="B25406" s="4" t="s">
        <v>5</v>
      </c>
      <c r="C25406" s="4" t="s">
        <v>11</v>
      </c>
    </row>
    <row r="25407" spans="1:13">
      <c r="A25407" t="n">
        <v>245460</v>
      </c>
      <c r="B25407" s="29" t="n">
        <v>16</v>
      </c>
      <c r="C25407" s="7" t="n">
        <v>0</v>
      </c>
    </row>
    <row r="25408" spans="1:13">
      <c r="A25408" t="s">
        <v>4</v>
      </c>
      <c r="B25408" s="4" t="s">
        <v>5</v>
      </c>
      <c r="C25408" s="4" t="s">
        <v>11</v>
      </c>
      <c r="D25408" s="4" t="s">
        <v>7</v>
      </c>
      <c r="E25408" s="4" t="s">
        <v>15</v>
      </c>
      <c r="F25408" s="4" t="s">
        <v>55</v>
      </c>
      <c r="G25408" s="4" t="s">
        <v>7</v>
      </c>
      <c r="H25408" s="4" t="s">
        <v>7</v>
      </c>
      <c r="I25408" s="4" t="s">
        <v>7</v>
      </c>
      <c r="J25408" s="4" t="s">
        <v>15</v>
      </c>
      <c r="K25408" s="4" t="s">
        <v>55</v>
      </c>
      <c r="L25408" s="4" t="s">
        <v>7</v>
      </c>
      <c r="M25408" s="4" t="s">
        <v>7</v>
      </c>
    </row>
    <row r="25409" spans="1:13">
      <c r="A25409" t="n">
        <v>245463</v>
      </c>
      <c r="B25409" s="55" t="n">
        <v>26</v>
      </c>
      <c r="C25409" s="7" t="n">
        <v>0</v>
      </c>
      <c r="D25409" s="7" t="n">
        <v>17</v>
      </c>
      <c r="E25409" s="7" t="n">
        <v>64542</v>
      </c>
      <c r="F25409" s="7" t="s">
        <v>1521</v>
      </c>
      <c r="G25409" s="7" t="n">
        <v>2</v>
      </c>
      <c r="H25409" s="7" t="n">
        <v>3</v>
      </c>
      <c r="I25409" s="7" t="n">
        <v>17</v>
      </c>
      <c r="J25409" s="7" t="n">
        <v>64543</v>
      </c>
      <c r="K25409" s="7" t="s">
        <v>1522</v>
      </c>
      <c r="L25409" s="7" t="n">
        <v>2</v>
      </c>
      <c r="M25409" s="7" t="n">
        <v>0</v>
      </c>
    </row>
    <row r="25410" spans="1:13">
      <c r="A25410" t="s">
        <v>4</v>
      </c>
      <c r="B25410" s="4" t="s">
        <v>5</v>
      </c>
    </row>
    <row r="25411" spans="1:13">
      <c r="A25411" t="n">
        <v>245572</v>
      </c>
      <c r="B25411" s="27" t="n">
        <v>28</v>
      </c>
    </row>
    <row r="25412" spans="1:13">
      <c r="A25412" t="s">
        <v>4</v>
      </c>
      <c r="B25412" s="4" t="s">
        <v>5</v>
      </c>
      <c r="C25412" s="4" t="s">
        <v>7</v>
      </c>
      <c r="D25412" s="4" t="s">
        <v>11</v>
      </c>
      <c r="E25412" s="4" t="s">
        <v>11</v>
      </c>
      <c r="F25412" s="4" t="s">
        <v>7</v>
      </c>
    </row>
    <row r="25413" spans="1:13">
      <c r="A25413" t="n">
        <v>245573</v>
      </c>
      <c r="B25413" s="31" t="n">
        <v>25</v>
      </c>
      <c r="C25413" s="7" t="n">
        <v>1</v>
      </c>
      <c r="D25413" s="7" t="n">
        <v>65535</v>
      </c>
      <c r="E25413" s="7" t="n">
        <v>65535</v>
      </c>
      <c r="F25413" s="7" t="n">
        <v>0</v>
      </c>
    </row>
    <row r="25414" spans="1:13">
      <c r="A25414" t="s">
        <v>4</v>
      </c>
      <c r="B25414" s="4" t="s">
        <v>5</v>
      </c>
      <c r="C25414" s="4" t="s">
        <v>7</v>
      </c>
      <c r="D25414" s="4" t="s">
        <v>11</v>
      </c>
      <c r="E25414" s="4" t="s">
        <v>11</v>
      </c>
      <c r="F25414" s="4" t="s">
        <v>7</v>
      </c>
    </row>
    <row r="25415" spans="1:13">
      <c r="A25415" t="n">
        <v>245580</v>
      </c>
      <c r="B25415" s="31" t="n">
        <v>25</v>
      </c>
      <c r="C25415" s="7" t="n">
        <v>1</v>
      </c>
      <c r="D25415" s="7" t="n">
        <v>60</v>
      </c>
      <c r="E25415" s="7" t="n">
        <v>640</v>
      </c>
      <c r="F25415" s="7" t="n">
        <v>1</v>
      </c>
    </row>
    <row r="25416" spans="1:13">
      <c r="A25416" t="s">
        <v>4</v>
      </c>
      <c r="B25416" s="4" t="s">
        <v>5</v>
      </c>
      <c r="C25416" s="4" t="s">
        <v>11</v>
      </c>
      <c r="D25416" s="4" t="s">
        <v>7</v>
      </c>
      <c r="E25416" s="4" t="s">
        <v>7</v>
      </c>
      <c r="F25416" s="4" t="s">
        <v>8</v>
      </c>
    </row>
    <row r="25417" spans="1:13">
      <c r="A25417" t="n">
        <v>245587</v>
      </c>
      <c r="B25417" s="50" t="n">
        <v>20</v>
      </c>
      <c r="C25417" s="7" t="n">
        <v>3</v>
      </c>
      <c r="D25417" s="7" t="n">
        <v>2</v>
      </c>
      <c r="E25417" s="7" t="n">
        <v>10</v>
      </c>
      <c r="F25417" s="7" t="s">
        <v>223</v>
      </c>
    </row>
    <row r="25418" spans="1:13">
      <c r="A25418" t="s">
        <v>4</v>
      </c>
      <c r="B25418" s="4" t="s">
        <v>5</v>
      </c>
      <c r="C25418" s="4" t="s">
        <v>7</v>
      </c>
      <c r="D25418" s="4" t="s">
        <v>11</v>
      </c>
      <c r="E25418" s="4" t="s">
        <v>8</v>
      </c>
    </row>
    <row r="25419" spans="1:13">
      <c r="A25419" t="n">
        <v>245608</v>
      </c>
      <c r="B25419" s="38" t="n">
        <v>51</v>
      </c>
      <c r="C25419" s="7" t="n">
        <v>4</v>
      </c>
      <c r="D25419" s="7" t="n">
        <v>3</v>
      </c>
      <c r="E25419" s="7" t="s">
        <v>1134</v>
      </c>
    </row>
    <row r="25420" spans="1:13">
      <c r="A25420" t="s">
        <v>4</v>
      </c>
      <c r="B25420" s="4" t="s">
        <v>5</v>
      </c>
      <c r="C25420" s="4" t="s">
        <v>11</v>
      </c>
    </row>
    <row r="25421" spans="1:13">
      <c r="A25421" t="n">
        <v>245622</v>
      </c>
      <c r="B25421" s="29" t="n">
        <v>16</v>
      </c>
      <c r="C25421" s="7" t="n">
        <v>0</v>
      </c>
    </row>
    <row r="25422" spans="1:13">
      <c r="A25422" t="s">
        <v>4</v>
      </c>
      <c r="B25422" s="4" t="s">
        <v>5</v>
      </c>
      <c r="C25422" s="4" t="s">
        <v>11</v>
      </c>
      <c r="D25422" s="4" t="s">
        <v>7</v>
      </c>
      <c r="E25422" s="4" t="s">
        <v>15</v>
      </c>
      <c r="F25422" s="4" t="s">
        <v>55</v>
      </c>
      <c r="G25422" s="4" t="s">
        <v>7</v>
      </c>
      <c r="H25422" s="4" t="s">
        <v>7</v>
      </c>
      <c r="I25422" s="4" t="s">
        <v>7</v>
      </c>
      <c r="J25422" s="4" t="s">
        <v>15</v>
      </c>
      <c r="K25422" s="4" t="s">
        <v>55</v>
      </c>
      <c r="L25422" s="4" t="s">
        <v>7</v>
      </c>
      <c r="M25422" s="4" t="s">
        <v>7</v>
      </c>
    </row>
    <row r="25423" spans="1:13">
      <c r="A25423" t="n">
        <v>245625</v>
      </c>
      <c r="B25423" s="55" t="n">
        <v>26</v>
      </c>
      <c r="C25423" s="7" t="n">
        <v>3</v>
      </c>
      <c r="D25423" s="7" t="n">
        <v>17</v>
      </c>
      <c r="E25423" s="7" t="n">
        <v>64544</v>
      </c>
      <c r="F25423" s="7" t="s">
        <v>1523</v>
      </c>
      <c r="G25423" s="7" t="n">
        <v>2</v>
      </c>
      <c r="H25423" s="7" t="n">
        <v>3</v>
      </c>
      <c r="I25423" s="7" t="n">
        <v>17</v>
      </c>
      <c r="J25423" s="7" t="n">
        <v>64545</v>
      </c>
      <c r="K25423" s="7" t="s">
        <v>1524</v>
      </c>
      <c r="L25423" s="7" t="n">
        <v>2</v>
      </c>
      <c r="M25423" s="7" t="n">
        <v>0</v>
      </c>
    </row>
    <row r="25424" spans="1:13">
      <c r="A25424" t="s">
        <v>4</v>
      </c>
      <c r="B25424" s="4" t="s">
        <v>5</v>
      </c>
    </row>
    <row r="25425" spans="1:13">
      <c r="A25425" t="n">
        <v>245813</v>
      </c>
      <c r="B25425" s="27" t="n">
        <v>28</v>
      </c>
    </row>
    <row r="25426" spans="1:13">
      <c r="A25426" t="s">
        <v>4</v>
      </c>
      <c r="B25426" s="4" t="s">
        <v>5</v>
      </c>
      <c r="C25426" s="4" t="s">
        <v>7</v>
      </c>
      <c r="D25426" s="4" t="s">
        <v>11</v>
      </c>
      <c r="E25426" s="4" t="s">
        <v>11</v>
      </c>
      <c r="F25426" s="4" t="s">
        <v>7</v>
      </c>
    </row>
    <row r="25427" spans="1:13">
      <c r="A25427" t="n">
        <v>245814</v>
      </c>
      <c r="B25427" s="31" t="n">
        <v>25</v>
      </c>
      <c r="C25427" s="7" t="n">
        <v>1</v>
      </c>
      <c r="D25427" s="7" t="n">
        <v>60</v>
      </c>
      <c r="E25427" s="7" t="n">
        <v>640</v>
      </c>
      <c r="F25427" s="7" t="n">
        <v>2</v>
      </c>
    </row>
    <row r="25428" spans="1:13">
      <c r="A25428" t="s">
        <v>4</v>
      </c>
      <c r="B25428" s="4" t="s">
        <v>5</v>
      </c>
      <c r="C25428" s="4" t="s">
        <v>7</v>
      </c>
      <c r="D25428" s="4" t="s">
        <v>11</v>
      </c>
      <c r="E25428" s="4" t="s">
        <v>8</v>
      </c>
    </row>
    <row r="25429" spans="1:13">
      <c r="A25429" t="n">
        <v>245821</v>
      </c>
      <c r="B25429" s="38" t="n">
        <v>51</v>
      </c>
      <c r="C25429" s="7" t="n">
        <v>4</v>
      </c>
      <c r="D25429" s="7" t="n">
        <v>0</v>
      </c>
      <c r="E25429" s="7" t="s">
        <v>1285</v>
      </c>
    </row>
    <row r="25430" spans="1:13">
      <c r="A25430" t="s">
        <v>4</v>
      </c>
      <c r="B25430" s="4" t="s">
        <v>5</v>
      </c>
      <c r="C25430" s="4" t="s">
        <v>11</v>
      </c>
    </row>
    <row r="25431" spans="1:13">
      <c r="A25431" t="n">
        <v>245836</v>
      </c>
      <c r="B25431" s="29" t="n">
        <v>16</v>
      </c>
      <c r="C25431" s="7" t="n">
        <v>0</v>
      </c>
    </row>
    <row r="25432" spans="1:13">
      <c r="A25432" t="s">
        <v>4</v>
      </c>
      <c r="B25432" s="4" t="s">
        <v>5</v>
      </c>
      <c r="C25432" s="4" t="s">
        <v>11</v>
      </c>
      <c r="D25432" s="4" t="s">
        <v>7</v>
      </c>
      <c r="E25432" s="4" t="s">
        <v>15</v>
      </c>
      <c r="F25432" s="4" t="s">
        <v>55</v>
      </c>
      <c r="G25432" s="4" t="s">
        <v>7</v>
      </c>
      <c r="H25432" s="4" t="s">
        <v>7</v>
      </c>
    </row>
    <row r="25433" spans="1:13">
      <c r="A25433" t="n">
        <v>245839</v>
      </c>
      <c r="B25433" s="55" t="n">
        <v>26</v>
      </c>
      <c r="C25433" s="7" t="n">
        <v>0</v>
      </c>
      <c r="D25433" s="7" t="n">
        <v>17</v>
      </c>
      <c r="E25433" s="7" t="n">
        <v>64546</v>
      </c>
      <c r="F25433" s="7" t="s">
        <v>1525</v>
      </c>
      <c r="G25433" s="7" t="n">
        <v>2</v>
      </c>
      <c r="H25433" s="7" t="n">
        <v>0</v>
      </c>
    </row>
    <row r="25434" spans="1:13">
      <c r="A25434" t="s">
        <v>4</v>
      </c>
      <c r="B25434" s="4" t="s">
        <v>5</v>
      </c>
    </row>
    <row r="25435" spans="1:13">
      <c r="A25435" t="n">
        <v>245951</v>
      </c>
      <c r="B25435" s="27" t="n">
        <v>28</v>
      </c>
    </row>
    <row r="25436" spans="1:13">
      <c r="A25436" t="s">
        <v>4</v>
      </c>
      <c r="B25436" s="4" t="s">
        <v>5</v>
      </c>
      <c r="C25436" s="4" t="s">
        <v>7</v>
      </c>
      <c r="D25436" s="4" t="s">
        <v>11</v>
      </c>
      <c r="E25436" s="4" t="s">
        <v>11</v>
      </c>
      <c r="F25436" s="4" t="s">
        <v>7</v>
      </c>
    </row>
    <row r="25437" spans="1:13">
      <c r="A25437" t="n">
        <v>245952</v>
      </c>
      <c r="B25437" s="31" t="n">
        <v>25</v>
      </c>
      <c r="C25437" s="7" t="n">
        <v>1</v>
      </c>
      <c r="D25437" s="7" t="n">
        <v>65535</v>
      </c>
      <c r="E25437" s="7" t="n">
        <v>65535</v>
      </c>
      <c r="F25437" s="7" t="n">
        <v>0</v>
      </c>
    </row>
    <row r="25438" spans="1:13">
      <c r="A25438" t="s">
        <v>4</v>
      </c>
      <c r="B25438" s="4" t="s">
        <v>5</v>
      </c>
      <c r="C25438" s="4" t="s">
        <v>11</v>
      </c>
      <c r="D25438" s="4" t="s">
        <v>7</v>
      </c>
    </row>
    <row r="25439" spans="1:13">
      <c r="A25439" t="n">
        <v>245959</v>
      </c>
      <c r="B25439" s="68" t="n">
        <v>89</v>
      </c>
      <c r="C25439" s="7" t="n">
        <v>65533</v>
      </c>
      <c r="D25439" s="7" t="n">
        <v>1</v>
      </c>
    </row>
    <row r="25440" spans="1:13">
      <c r="A25440" t="s">
        <v>4</v>
      </c>
      <c r="B25440" s="4" t="s">
        <v>5</v>
      </c>
      <c r="C25440" s="4" t="s">
        <v>11</v>
      </c>
    </row>
    <row r="25441" spans="1:8">
      <c r="A25441" t="n">
        <v>245963</v>
      </c>
      <c r="B25441" s="29" t="n">
        <v>16</v>
      </c>
      <c r="C25441" s="7" t="n">
        <v>300</v>
      </c>
    </row>
    <row r="25442" spans="1:8">
      <c r="A25442" t="s">
        <v>4</v>
      </c>
      <c r="B25442" s="4" t="s">
        <v>5</v>
      </c>
      <c r="C25442" s="4" t="s">
        <v>7</v>
      </c>
      <c r="D25442" s="4" t="s">
        <v>7</v>
      </c>
      <c r="E25442" s="4" t="s">
        <v>7</v>
      </c>
      <c r="F25442" s="4" t="s">
        <v>13</v>
      </c>
      <c r="G25442" s="4" t="s">
        <v>13</v>
      </c>
      <c r="H25442" s="4" t="s">
        <v>13</v>
      </c>
      <c r="I25442" s="4" t="s">
        <v>13</v>
      </c>
      <c r="J25442" s="4" t="s">
        <v>13</v>
      </c>
    </row>
    <row r="25443" spans="1:8">
      <c r="A25443" t="n">
        <v>245966</v>
      </c>
      <c r="B25443" s="25" t="n">
        <v>76</v>
      </c>
      <c r="C25443" s="7" t="n">
        <v>0</v>
      </c>
      <c r="D25443" s="7" t="n">
        <v>3</v>
      </c>
      <c r="E25443" s="7" t="n">
        <v>0</v>
      </c>
      <c r="F25443" s="7" t="n">
        <v>1</v>
      </c>
      <c r="G25443" s="7" t="n">
        <v>1</v>
      </c>
      <c r="H25443" s="7" t="n">
        <v>1</v>
      </c>
      <c r="I25443" s="7" t="n">
        <v>0</v>
      </c>
      <c r="J25443" s="7" t="n">
        <v>800</v>
      </c>
    </row>
    <row r="25444" spans="1:8">
      <c r="A25444" t="s">
        <v>4</v>
      </c>
      <c r="B25444" s="4" t="s">
        <v>5</v>
      </c>
      <c r="C25444" s="4" t="s">
        <v>7</v>
      </c>
      <c r="D25444" s="4" t="s">
        <v>7</v>
      </c>
    </row>
    <row r="25445" spans="1:8">
      <c r="A25445" t="n">
        <v>245990</v>
      </c>
      <c r="B25445" s="26" t="n">
        <v>77</v>
      </c>
      <c r="C25445" s="7" t="n">
        <v>0</v>
      </c>
      <c r="D25445" s="7" t="n">
        <v>3</v>
      </c>
    </row>
    <row r="25446" spans="1:8">
      <c r="A25446" t="s">
        <v>4</v>
      </c>
      <c r="B25446" s="4" t="s">
        <v>5</v>
      </c>
      <c r="C25446" s="4" t="s">
        <v>7</v>
      </c>
      <c r="D25446" s="4" t="s">
        <v>11</v>
      </c>
      <c r="E25446" s="4" t="s">
        <v>13</v>
      </c>
    </row>
    <row r="25447" spans="1:8">
      <c r="A25447" t="n">
        <v>245993</v>
      </c>
      <c r="B25447" s="23" t="n">
        <v>58</v>
      </c>
      <c r="C25447" s="7" t="n">
        <v>100</v>
      </c>
      <c r="D25447" s="7" t="n">
        <v>300</v>
      </c>
      <c r="E25447" s="7" t="n">
        <v>0.300000011920929</v>
      </c>
    </row>
    <row r="25448" spans="1:8">
      <c r="A25448" t="s">
        <v>4</v>
      </c>
      <c r="B25448" s="4" t="s">
        <v>5</v>
      </c>
      <c r="C25448" s="4" t="s">
        <v>7</v>
      </c>
      <c r="D25448" s="4" t="s">
        <v>11</v>
      </c>
    </row>
    <row r="25449" spans="1:8">
      <c r="A25449" t="n">
        <v>246001</v>
      </c>
      <c r="B25449" s="23" t="n">
        <v>58</v>
      </c>
      <c r="C25449" s="7" t="n">
        <v>255</v>
      </c>
      <c r="D25449" s="7" t="n">
        <v>0</v>
      </c>
    </row>
    <row r="25450" spans="1:8">
      <c r="A25450" t="s">
        <v>4</v>
      </c>
      <c r="B25450" s="4" t="s">
        <v>5</v>
      </c>
      <c r="C25450" s="4" t="s">
        <v>7</v>
      </c>
      <c r="D25450" s="4" t="s">
        <v>11</v>
      </c>
      <c r="E25450" s="4" t="s">
        <v>8</v>
      </c>
    </row>
    <row r="25451" spans="1:8">
      <c r="A25451" t="n">
        <v>246005</v>
      </c>
      <c r="B25451" s="38" t="n">
        <v>51</v>
      </c>
      <c r="C25451" s="7" t="n">
        <v>4</v>
      </c>
      <c r="D25451" s="7" t="n">
        <v>0</v>
      </c>
      <c r="E25451" s="7" t="s">
        <v>304</v>
      </c>
    </row>
    <row r="25452" spans="1:8">
      <c r="A25452" t="s">
        <v>4</v>
      </c>
      <c r="B25452" s="4" t="s">
        <v>5</v>
      </c>
      <c r="C25452" s="4" t="s">
        <v>11</v>
      </c>
    </row>
    <row r="25453" spans="1:8">
      <c r="A25453" t="n">
        <v>246018</v>
      </c>
      <c r="B25453" s="29" t="n">
        <v>16</v>
      </c>
      <c r="C25453" s="7" t="n">
        <v>0</v>
      </c>
    </row>
    <row r="25454" spans="1:8">
      <c r="A25454" t="s">
        <v>4</v>
      </c>
      <c r="B25454" s="4" t="s">
        <v>5</v>
      </c>
      <c r="C25454" s="4" t="s">
        <v>11</v>
      </c>
      <c r="D25454" s="4" t="s">
        <v>7</v>
      </c>
      <c r="E25454" s="4" t="s">
        <v>15</v>
      </c>
      <c r="F25454" s="4" t="s">
        <v>55</v>
      </c>
      <c r="G25454" s="4" t="s">
        <v>7</v>
      </c>
      <c r="H25454" s="4" t="s">
        <v>7</v>
      </c>
      <c r="I25454" s="4" t="s">
        <v>7</v>
      </c>
      <c r="J25454" s="4" t="s">
        <v>15</v>
      </c>
      <c r="K25454" s="4" t="s">
        <v>55</v>
      </c>
      <c r="L25454" s="4" t="s">
        <v>7</v>
      </c>
      <c r="M25454" s="4" t="s">
        <v>7</v>
      </c>
    </row>
    <row r="25455" spans="1:8">
      <c r="A25455" t="n">
        <v>246021</v>
      </c>
      <c r="B25455" s="55" t="n">
        <v>26</v>
      </c>
      <c r="C25455" s="7" t="n">
        <v>0</v>
      </c>
      <c r="D25455" s="7" t="n">
        <v>17</v>
      </c>
      <c r="E25455" s="7" t="n">
        <v>64547</v>
      </c>
      <c r="F25455" s="7" t="s">
        <v>1526</v>
      </c>
      <c r="G25455" s="7" t="n">
        <v>2</v>
      </c>
      <c r="H25455" s="7" t="n">
        <v>3</v>
      </c>
      <c r="I25455" s="7" t="n">
        <v>17</v>
      </c>
      <c r="J25455" s="7" t="n">
        <v>64548</v>
      </c>
      <c r="K25455" s="7" t="s">
        <v>1527</v>
      </c>
      <c r="L25455" s="7" t="n">
        <v>2</v>
      </c>
      <c r="M25455" s="7" t="n">
        <v>0</v>
      </c>
    </row>
    <row r="25456" spans="1:8">
      <c r="A25456" t="s">
        <v>4</v>
      </c>
      <c r="B25456" s="4" t="s">
        <v>5</v>
      </c>
    </row>
    <row r="25457" spans="1:13">
      <c r="A25457" t="n">
        <v>246216</v>
      </c>
      <c r="B25457" s="27" t="n">
        <v>28</v>
      </c>
    </row>
    <row r="25458" spans="1:13">
      <c r="A25458" t="s">
        <v>4</v>
      </c>
      <c r="B25458" s="4" t="s">
        <v>5</v>
      </c>
      <c r="C25458" s="4" t="s">
        <v>7</v>
      </c>
      <c r="D25458" s="4" t="s">
        <v>11</v>
      </c>
      <c r="E25458" s="4" t="s">
        <v>11</v>
      </c>
      <c r="F25458" s="4" t="s">
        <v>7</v>
      </c>
    </row>
    <row r="25459" spans="1:13">
      <c r="A25459" t="n">
        <v>246217</v>
      </c>
      <c r="B25459" s="31" t="n">
        <v>25</v>
      </c>
      <c r="C25459" s="7" t="n">
        <v>1</v>
      </c>
      <c r="D25459" s="7" t="n">
        <v>65535</v>
      </c>
      <c r="E25459" s="7" t="n">
        <v>65535</v>
      </c>
      <c r="F25459" s="7" t="n">
        <v>0</v>
      </c>
    </row>
    <row r="25460" spans="1:13">
      <c r="A25460" t="s">
        <v>4</v>
      </c>
      <c r="B25460" s="4" t="s">
        <v>5</v>
      </c>
      <c r="C25460" s="4" t="s">
        <v>7</v>
      </c>
      <c r="D25460" s="4" t="s">
        <v>11</v>
      </c>
      <c r="E25460" s="4" t="s">
        <v>8</v>
      </c>
    </row>
    <row r="25461" spans="1:13">
      <c r="A25461" t="n">
        <v>246224</v>
      </c>
      <c r="B25461" s="38" t="n">
        <v>51</v>
      </c>
      <c r="C25461" s="7" t="n">
        <v>4</v>
      </c>
      <c r="D25461" s="7" t="n">
        <v>3</v>
      </c>
      <c r="E25461" s="7" t="s">
        <v>313</v>
      </c>
    </row>
    <row r="25462" spans="1:13">
      <c r="A25462" t="s">
        <v>4</v>
      </c>
      <c r="B25462" s="4" t="s">
        <v>5</v>
      </c>
      <c r="C25462" s="4" t="s">
        <v>11</v>
      </c>
    </row>
    <row r="25463" spans="1:13">
      <c r="A25463" t="n">
        <v>246237</v>
      </c>
      <c r="B25463" s="29" t="n">
        <v>16</v>
      </c>
      <c r="C25463" s="7" t="n">
        <v>0</v>
      </c>
    </row>
    <row r="25464" spans="1:13">
      <c r="A25464" t="s">
        <v>4</v>
      </c>
      <c r="B25464" s="4" t="s">
        <v>5</v>
      </c>
      <c r="C25464" s="4" t="s">
        <v>11</v>
      </c>
      <c r="D25464" s="4" t="s">
        <v>7</v>
      </c>
      <c r="E25464" s="4" t="s">
        <v>15</v>
      </c>
      <c r="F25464" s="4" t="s">
        <v>55</v>
      </c>
      <c r="G25464" s="4" t="s">
        <v>7</v>
      </c>
      <c r="H25464" s="4" t="s">
        <v>7</v>
      </c>
      <c r="I25464" s="4" t="s">
        <v>7</v>
      </c>
      <c r="J25464" s="4" t="s">
        <v>15</v>
      </c>
      <c r="K25464" s="4" t="s">
        <v>55</v>
      </c>
      <c r="L25464" s="4" t="s">
        <v>7</v>
      </c>
      <c r="M25464" s="4" t="s">
        <v>7</v>
      </c>
      <c r="N25464" s="4" t="s">
        <v>7</v>
      </c>
      <c r="O25464" s="4" t="s">
        <v>15</v>
      </c>
      <c r="P25464" s="4" t="s">
        <v>55</v>
      </c>
      <c r="Q25464" s="4" t="s">
        <v>7</v>
      </c>
      <c r="R25464" s="4" t="s">
        <v>7</v>
      </c>
    </row>
    <row r="25465" spans="1:13">
      <c r="A25465" t="n">
        <v>246240</v>
      </c>
      <c r="B25465" s="55" t="n">
        <v>26</v>
      </c>
      <c r="C25465" s="7" t="n">
        <v>3</v>
      </c>
      <c r="D25465" s="7" t="n">
        <v>17</v>
      </c>
      <c r="E25465" s="7" t="n">
        <v>64549</v>
      </c>
      <c r="F25465" s="7" t="s">
        <v>1528</v>
      </c>
      <c r="G25465" s="7" t="n">
        <v>2</v>
      </c>
      <c r="H25465" s="7" t="n">
        <v>3</v>
      </c>
      <c r="I25465" s="7" t="n">
        <v>17</v>
      </c>
      <c r="J25465" s="7" t="n">
        <v>64550</v>
      </c>
      <c r="K25465" s="7" t="s">
        <v>1529</v>
      </c>
      <c r="L25465" s="7" t="n">
        <v>2</v>
      </c>
      <c r="M25465" s="7" t="n">
        <v>3</v>
      </c>
      <c r="N25465" s="7" t="n">
        <v>17</v>
      </c>
      <c r="O25465" s="7" t="n">
        <v>64551</v>
      </c>
      <c r="P25465" s="7" t="s">
        <v>1530</v>
      </c>
      <c r="Q25465" s="7" t="n">
        <v>2</v>
      </c>
      <c r="R25465" s="7" t="n">
        <v>0</v>
      </c>
    </row>
    <row r="25466" spans="1:13">
      <c r="A25466" t="s">
        <v>4</v>
      </c>
      <c r="B25466" s="4" t="s">
        <v>5</v>
      </c>
    </row>
    <row r="25467" spans="1:13">
      <c r="A25467" t="n">
        <v>246437</v>
      </c>
      <c r="B25467" s="27" t="n">
        <v>28</v>
      </c>
    </row>
    <row r="25468" spans="1:13">
      <c r="A25468" t="s">
        <v>4</v>
      </c>
      <c r="B25468" s="4" t="s">
        <v>5</v>
      </c>
      <c r="C25468" s="4" t="s">
        <v>11</v>
      </c>
      <c r="D25468" s="4" t="s">
        <v>13</v>
      </c>
      <c r="E25468" s="4" t="s">
        <v>13</v>
      </c>
      <c r="F25468" s="4" t="s">
        <v>13</v>
      </c>
      <c r="G25468" s="4" t="s">
        <v>11</v>
      </c>
      <c r="H25468" s="4" t="s">
        <v>11</v>
      </c>
    </row>
    <row r="25469" spans="1:13">
      <c r="A25469" t="n">
        <v>246438</v>
      </c>
      <c r="B25469" s="37" t="n">
        <v>60</v>
      </c>
      <c r="C25469" s="7" t="n">
        <v>3</v>
      </c>
      <c r="D25469" s="7" t="n">
        <v>0</v>
      </c>
      <c r="E25469" s="7" t="n">
        <v>-10</v>
      </c>
      <c r="F25469" s="7" t="n">
        <v>0</v>
      </c>
      <c r="G25469" s="7" t="n">
        <v>1000</v>
      </c>
      <c r="H25469" s="7" t="n">
        <v>0</v>
      </c>
    </row>
    <row r="25470" spans="1:13">
      <c r="A25470" t="s">
        <v>4</v>
      </c>
      <c r="B25470" s="4" t="s">
        <v>5</v>
      </c>
      <c r="C25470" s="4" t="s">
        <v>7</v>
      </c>
      <c r="D25470" s="4" t="s">
        <v>11</v>
      </c>
      <c r="E25470" s="4" t="s">
        <v>8</v>
      </c>
    </row>
    <row r="25471" spans="1:13">
      <c r="A25471" t="n">
        <v>246457</v>
      </c>
      <c r="B25471" s="38" t="n">
        <v>51</v>
      </c>
      <c r="C25471" s="7" t="n">
        <v>4</v>
      </c>
      <c r="D25471" s="7" t="n">
        <v>3</v>
      </c>
      <c r="E25471" s="7" t="s">
        <v>441</v>
      </c>
    </row>
    <row r="25472" spans="1:13">
      <c r="A25472" t="s">
        <v>4</v>
      </c>
      <c r="B25472" s="4" t="s">
        <v>5</v>
      </c>
      <c r="C25472" s="4" t="s">
        <v>11</v>
      </c>
    </row>
    <row r="25473" spans="1:18">
      <c r="A25473" t="n">
        <v>246471</v>
      </c>
      <c r="B25473" s="29" t="n">
        <v>16</v>
      </c>
      <c r="C25473" s="7" t="n">
        <v>500</v>
      </c>
    </row>
    <row r="25474" spans="1:18">
      <c r="A25474" t="s">
        <v>4</v>
      </c>
      <c r="B25474" s="4" t="s">
        <v>5</v>
      </c>
      <c r="C25474" s="4" t="s">
        <v>11</v>
      </c>
      <c r="D25474" s="4" t="s">
        <v>7</v>
      </c>
      <c r="E25474" s="4" t="s">
        <v>15</v>
      </c>
      <c r="F25474" s="4" t="s">
        <v>55</v>
      </c>
      <c r="G25474" s="4" t="s">
        <v>7</v>
      </c>
      <c r="H25474" s="4" t="s">
        <v>7</v>
      </c>
    </row>
    <row r="25475" spans="1:18">
      <c r="A25475" t="n">
        <v>246474</v>
      </c>
      <c r="B25475" s="55" t="n">
        <v>26</v>
      </c>
      <c r="C25475" s="7" t="n">
        <v>3</v>
      </c>
      <c r="D25475" s="7" t="n">
        <v>17</v>
      </c>
      <c r="E25475" s="7" t="n">
        <v>64552</v>
      </c>
      <c r="F25475" s="7" t="s">
        <v>1531</v>
      </c>
      <c r="G25475" s="7" t="n">
        <v>2</v>
      </c>
      <c r="H25475" s="7" t="n">
        <v>0</v>
      </c>
    </row>
    <row r="25476" spans="1:18">
      <c r="A25476" t="s">
        <v>4</v>
      </c>
      <c r="B25476" s="4" t="s">
        <v>5</v>
      </c>
    </row>
    <row r="25477" spans="1:18">
      <c r="A25477" t="n">
        <v>246559</v>
      </c>
      <c r="B25477" s="27" t="n">
        <v>28</v>
      </c>
    </row>
    <row r="25478" spans="1:18">
      <c r="A25478" t="s">
        <v>4</v>
      </c>
      <c r="B25478" s="4" t="s">
        <v>5</v>
      </c>
      <c r="C25478" s="4" t="s">
        <v>7</v>
      </c>
      <c r="D25478" s="4" t="s">
        <v>11</v>
      </c>
      <c r="E25478" s="4" t="s">
        <v>8</v>
      </c>
    </row>
    <row r="25479" spans="1:18">
      <c r="A25479" t="n">
        <v>246560</v>
      </c>
      <c r="B25479" s="38" t="n">
        <v>51</v>
      </c>
      <c r="C25479" s="7" t="n">
        <v>4</v>
      </c>
      <c r="D25479" s="7" t="n">
        <v>0</v>
      </c>
      <c r="E25479" s="7" t="s">
        <v>147</v>
      </c>
    </row>
    <row r="25480" spans="1:18">
      <c r="A25480" t="s">
        <v>4</v>
      </c>
      <c r="B25480" s="4" t="s">
        <v>5</v>
      </c>
      <c r="C25480" s="4" t="s">
        <v>11</v>
      </c>
    </row>
    <row r="25481" spans="1:18">
      <c r="A25481" t="n">
        <v>246574</v>
      </c>
      <c r="B25481" s="29" t="n">
        <v>16</v>
      </c>
      <c r="C25481" s="7" t="n">
        <v>0</v>
      </c>
    </row>
    <row r="25482" spans="1:18">
      <c r="A25482" t="s">
        <v>4</v>
      </c>
      <c r="B25482" s="4" t="s">
        <v>5</v>
      </c>
      <c r="C25482" s="4" t="s">
        <v>11</v>
      </c>
      <c r="D25482" s="4" t="s">
        <v>7</v>
      </c>
      <c r="E25482" s="4" t="s">
        <v>15</v>
      </c>
      <c r="F25482" s="4" t="s">
        <v>55</v>
      </c>
      <c r="G25482" s="4" t="s">
        <v>7</v>
      </c>
      <c r="H25482" s="4" t="s">
        <v>7</v>
      </c>
    </row>
    <row r="25483" spans="1:18">
      <c r="A25483" t="n">
        <v>246577</v>
      </c>
      <c r="B25483" s="55" t="n">
        <v>26</v>
      </c>
      <c r="C25483" s="7" t="n">
        <v>0</v>
      </c>
      <c r="D25483" s="7" t="n">
        <v>17</v>
      </c>
      <c r="E25483" s="7" t="n">
        <v>64553</v>
      </c>
      <c r="F25483" s="7" t="s">
        <v>1532</v>
      </c>
      <c r="G25483" s="7" t="n">
        <v>2</v>
      </c>
      <c r="H25483" s="7" t="n">
        <v>0</v>
      </c>
    </row>
    <row r="25484" spans="1:18">
      <c r="A25484" t="s">
        <v>4</v>
      </c>
      <c r="B25484" s="4" t="s">
        <v>5</v>
      </c>
    </row>
    <row r="25485" spans="1:18">
      <c r="A25485" t="n">
        <v>246647</v>
      </c>
      <c r="B25485" s="27" t="n">
        <v>28</v>
      </c>
    </row>
    <row r="25486" spans="1:18">
      <c r="A25486" t="s">
        <v>4</v>
      </c>
      <c r="B25486" s="4" t="s">
        <v>5</v>
      </c>
      <c r="C25486" s="4" t="s">
        <v>7</v>
      </c>
      <c r="D25486" s="4" t="s">
        <v>11</v>
      </c>
      <c r="E25486" s="4" t="s">
        <v>11</v>
      </c>
      <c r="F25486" s="4" t="s">
        <v>7</v>
      </c>
    </row>
    <row r="25487" spans="1:18">
      <c r="A25487" t="n">
        <v>246648</v>
      </c>
      <c r="B25487" s="31" t="n">
        <v>25</v>
      </c>
      <c r="C25487" s="7" t="n">
        <v>1</v>
      </c>
      <c r="D25487" s="7" t="n">
        <v>65535</v>
      </c>
      <c r="E25487" s="7" t="n">
        <v>65535</v>
      </c>
      <c r="F25487" s="7" t="n">
        <v>0</v>
      </c>
    </row>
    <row r="25488" spans="1:18">
      <c r="A25488" t="s">
        <v>4</v>
      </c>
      <c r="B25488" s="4" t="s">
        <v>5</v>
      </c>
      <c r="C25488" s="4" t="s">
        <v>7</v>
      </c>
      <c r="D25488" s="4" t="s">
        <v>11</v>
      </c>
      <c r="E25488" s="4" t="s">
        <v>8</v>
      </c>
      <c r="F25488" s="4" t="s">
        <v>8</v>
      </c>
      <c r="G25488" s="4" t="s">
        <v>8</v>
      </c>
      <c r="H25488" s="4" t="s">
        <v>8</v>
      </c>
    </row>
    <row r="25489" spans="1:8">
      <c r="A25489" t="n">
        <v>246655</v>
      </c>
      <c r="B25489" s="38" t="n">
        <v>51</v>
      </c>
      <c r="C25489" s="7" t="n">
        <v>3</v>
      </c>
      <c r="D25489" s="7" t="n">
        <v>3</v>
      </c>
      <c r="E25489" s="7" t="s">
        <v>99</v>
      </c>
      <c r="F25489" s="7" t="s">
        <v>232</v>
      </c>
      <c r="G25489" s="7" t="s">
        <v>78</v>
      </c>
      <c r="H25489" s="7" t="s">
        <v>79</v>
      </c>
    </row>
    <row r="25490" spans="1:8">
      <c r="A25490" t="s">
        <v>4</v>
      </c>
      <c r="B25490" s="4" t="s">
        <v>5</v>
      </c>
      <c r="C25490" s="4" t="s">
        <v>11</v>
      </c>
      <c r="D25490" s="4" t="s">
        <v>7</v>
      </c>
      <c r="E25490" s="4" t="s">
        <v>7</v>
      </c>
      <c r="F25490" s="4" t="s">
        <v>8</v>
      </c>
    </row>
    <row r="25491" spans="1:8">
      <c r="A25491" t="n">
        <v>246668</v>
      </c>
      <c r="B25491" s="50" t="n">
        <v>20</v>
      </c>
      <c r="C25491" s="7" t="n">
        <v>3</v>
      </c>
      <c r="D25491" s="7" t="n">
        <v>2</v>
      </c>
      <c r="E25491" s="7" t="n">
        <v>10</v>
      </c>
      <c r="F25491" s="7" t="s">
        <v>260</v>
      </c>
    </row>
    <row r="25492" spans="1:8">
      <c r="A25492" t="s">
        <v>4</v>
      </c>
      <c r="B25492" s="4" t="s">
        <v>5</v>
      </c>
      <c r="C25492" s="4" t="s">
        <v>11</v>
      </c>
    </row>
    <row r="25493" spans="1:8">
      <c r="A25493" t="n">
        <v>246688</v>
      </c>
      <c r="B25493" s="29" t="n">
        <v>16</v>
      </c>
      <c r="C25493" s="7" t="n">
        <v>1000</v>
      </c>
    </row>
    <row r="25494" spans="1:8">
      <c r="A25494" t="s">
        <v>4</v>
      </c>
      <c r="B25494" s="4" t="s">
        <v>5</v>
      </c>
      <c r="C25494" s="4" t="s">
        <v>7</v>
      </c>
      <c r="D25494" s="4" t="s">
        <v>11</v>
      </c>
      <c r="E25494" s="4" t="s">
        <v>8</v>
      </c>
    </row>
    <row r="25495" spans="1:8">
      <c r="A25495" t="n">
        <v>246691</v>
      </c>
      <c r="B25495" s="38" t="n">
        <v>51</v>
      </c>
      <c r="C25495" s="7" t="n">
        <v>4</v>
      </c>
      <c r="D25495" s="7" t="n">
        <v>3</v>
      </c>
      <c r="E25495" s="7" t="s">
        <v>313</v>
      </c>
    </row>
    <row r="25496" spans="1:8">
      <c r="A25496" t="s">
        <v>4</v>
      </c>
      <c r="B25496" s="4" t="s">
        <v>5</v>
      </c>
      <c r="C25496" s="4" t="s">
        <v>11</v>
      </c>
    </row>
    <row r="25497" spans="1:8">
      <c r="A25497" t="n">
        <v>246704</v>
      </c>
      <c r="B25497" s="29" t="n">
        <v>16</v>
      </c>
      <c r="C25497" s="7" t="n">
        <v>500</v>
      </c>
    </row>
    <row r="25498" spans="1:8">
      <c r="A25498" t="s">
        <v>4</v>
      </c>
      <c r="B25498" s="4" t="s">
        <v>5</v>
      </c>
      <c r="C25498" s="4" t="s">
        <v>11</v>
      </c>
      <c r="D25498" s="4" t="s">
        <v>7</v>
      </c>
      <c r="E25498" s="4" t="s">
        <v>15</v>
      </c>
      <c r="F25498" s="4" t="s">
        <v>55</v>
      </c>
      <c r="G25498" s="4" t="s">
        <v>7</v>
      </c>
      <c r="H25498" s="4" t="s">
        <v>7</v>
      </c>
      <c r="I25498" s="4" t="s">
        <v>7</v>
      </c>
      <c r="J25498" s="4" t="s">
        <v>15</v>
      </c>
      <c r="K25498" s="4" t="s">
        <v>55</v>
      </c>
      <c r="L25498" s="4" t="s">
        <v>7</v>
      </c>
      <c r="M25498" s="4" t="s">
        <v>7</v>
      </c>
    </row>
    <row r="25499" spans="1:8">
      <c r="A25499" t="n">
        <v>246707</v>
      </c>
      <c r="B25499" s="55" t="n">
        <v>26</v>
      </c>
      <c r="C25499" s="7" t="n">
        <v>3</v>
      </c>
      <c r="D25499" s="7" t="n">
        <v>17</v>
      </c>
      <c r="E25499" s="7" t="n">
        <v>64554</v>
      </c>
      <c r="F25499" s="7" t="s">
        <v>1533</v>
      </c>
      <c r="G25499" s="7" t="n">
        <v>2</v>
      </c>
      <c r="H25499" s="7" t="n">
        <v>3</v>
      </c>
      <c r="I25499" s="7" t="n">
        <v>17</v>
      </c>
      <c r="J25499" s="7" t="n">
        <v>64555</v>
      </c>
      <c r="K25499" s="7" t="s">
        <v>1534</v>
      </c>
      <c r="L25499" s="7" t="n">
        <v>2</v>
      </c>
      <c r="M25499" s="7" t="n">
        <v>0</v>
      </c>
    </row>
    <row r="25500" spans="1:8">
      <c r="A25500" t="s">
        <v>4</v>
      </c>
      <c r="B25500" s="4" t="s">
        <v>5</v>
      </c>
    </row>
    <row r="25501" spans="1:8">
      <c r="A25501" t="n">
        <v>246957</v>
      </c>
      <c r="B25501" s="27" t="n">
        <v>28</v>
      </c>
    </row>
    <row r="25502" spans="1:8">
      <c r="A25502" t="s">
        <v>4</v>
      </c>
      <c r="B25502" s="4" t="s">
        <v>5</v>
      </c>
      <c r="C25502" s="4" t="s">
        <v>7</v>
      </c>
      <c r="D25502" s="4" t="s">
        <v>11</v>
      </c>
      <c r="E25502" s="4" t="s">
        <v>8</v>
      </c>
    </row>
    <row r="25503" spans="1:8">
      <c r="A25503" t="n">
        <v>246958</v>
      </c>
      <c r="B25503" s="38" t="n">
        <v>51</v>
      </c>
      <c r="C25503" s="7" t="n">
        <v>4</v>
      </c>
      <c r="D25503" s="7" t="n">
        <v>0</v>
      </c>
      <c r="E25503" s="7" t="s">
        <v>911</v>
      </c>
    </row>
    <row r="25504" spans="1:8">
      <c r="A25504" t="s">
        <v>4</v>
      </c>
      <c r="B25504" s="4" t="s">
        <v>5</v>
      </c>
      <c r="C25504" s="4" t="s">
        <v>11</v>
      </c>
    </row>
    <row r="25505" spans="1:13">
      <c r="A25505" t="n">
        <v>246971</v>
      </c>
      <c r="B25505" s="29" t="n">
        <v>16</v>
      </c>
      <c r="C25505" s="7" t="n">
        <v>0</v>
      </c>
    </row>
    <row r="25506" spans="1:13">
      <c r="A25506" t="s">
        <v>4</v>
      </c>
      <c r="B25506" s="4" t="s">
        <v>5</v>
      </c>
      <c r="C25506" s="4" t="s">
        <v>11</v>
      </c>
      <c r="D25506" s="4" t="s">
        <v>7</v>
      </c>
      <c r="E25506" s="4" t="s">
        <v>15</v>
      </c>
      <c r="F25506" s="4" t="s">
        <v>55</v>
      </c>
      <c r="G25506" s="4" t="s">
        <v>7</v>
      </c>
      <c r="H25506" s="4" t="s">
        <v>7</v>
      </c>
    </row>
    <row r="25507" spans="1:13">
      <c r="A25507" t="n">
        <v>246974</v>
      </c>
      <c r="B25507" s="55" t="n">
        <v>26</v>
      </c>
      <c r="C25507" s="7" t="n">
        <v>0</v>
      </c>
      <c r="D25507" s="7" t="n">
        <v>17</v>
      </c>
      <c r="E25507" s="7" t="n">
        <v>64556</v>
      </c>
      <c r="F25507" s="7" t="s">
        <v>1535</v>
      </c>
      <c r="G25507" s="7" t="n">
        <v>2</v>
      </c>
      <c r="H25507" s="7" t="n">
        <v>0</v>
      </c>
    </row>
    <row r="25508" spans="1:13">
      <c r="A25508" t="s">
        <v>4</v>
      </c>
      <c r="B25508" s="4" t="s">
        <v>5</v>
      </c>
    </row>
    <row r="25509" spans="1:13">
      <c r="A25509" t="n">
        <v>247073</v>
      </c>
      <c r="B25509" s="27" t="n">
        <v>28</v>
      </c>
    </row>
    <row r="25510" spans="1:13">
      <c r="A25510" t="s">
        <v>4</v>
      </c>
      <c r="B25510" s="4" t="s">
        <v>5</v>
      </c>
      <c r="C25510" s="4" t="s">
        <v>11</v>
      </c>
      <c r="D25510" s="4" t="s">
        <v>7</v>
      </c>
    </row>
    <row r="25511" spans="1:13">
      <c r="A25511" t="n">
        <v>247074</v>
      </c>
      <c r="B25511" s="68" t="n">
        <v>89</v>
      </c>
      <c r="C25511" s="7" t="n">
        <v>65533</v>
      </c>
      <c r="D25511" s="7" t="n">
        <v>1</v>
      </c>
    </row>
    <row r="25512" spans="1:13">
      <c r="A25512" t="s">
        <v>4</v>
      </c>
      <c r="B25512" s="4" t="s">
        <v>5</v>
      </c>
      <c r="C25512" s="4" t="s">
        <v>7</v>
      </c>
      <c r="D25512" s="4" t="s">
        <v>11</v>
      </c>
      <c r="E25512" s="4" t="s">
        <v>11</v>
      </c>
      <c r="F25512" s="4" t="s">
        <v>7</v>
      </c>
    </row>
    <row r="25513" spans="1:13">
      <c r="A25513" t="n">
        <v>247078</v>
      </c>
      <c r="B25513" s="31" t="n">
        <v>25</v>
      </c>
      <c r="C25513" s="7" t="n">
        <v>1</v>
      </c>
      <c r="D25513" s="7" t="n">
        <v>65535</v>
      </c>
      <c r="E25513" s="7" t="n">
        <v>65535</v>
      </c>
      <c r="F25513" s="7" t="n">
        <v>0</v>
      </c>
    </row>
    <row r="25514" spans="1:13">
      <c r="A25514" t="s">
        <v>4</v>
      </c>
      <c r="B25514" s="4" t="s">
        <v>5</v>
      </c>
      <c r="C25514" s="4" t="s">
        <v>7</v>
      </c>
      <c r="D25514" s="4" t="s">
        <v>11</v>
      </c>
      <c r="E25514" s="4" t="s">
        <v>13</v>
      </c>
    </row>
    <row r="25515" spans="1:13">
      <c r="A25515" t="n">
        <v>247085</v>
      </c>
      <c r="B25515" s="23" t="n">
        <v>58</v>
      </c>
      <c r="C25515" s="7" t="n">
        <v>101</v>
      </c>
      <c r="D25515" s="7" t="n">
        <v>500</v>
      </c>
      <c r="E25515" s="7" t="n">
        <v>1</v>
      </c>
    </row>
    <row r="25516" spans="1:13">
      <c r="A25516" t="s">
        <v>4</v>
      </c>
      <c r="B25516" s="4" t="s">
        <v>5</v>
      </c>
      <c r="C25516" s="4" t="s">
        <v>7</v>
      </c>
      <c r="D25516" s="4" t="s">
        <v>11</v>
      </c>
    </row>
    <row r="25517" spans="1:13">
      <c r="A25517" t="n">
        <v>247093</v>
      </c>
      <c r="B25517" s="23" t="n">
        <v>58</v>
      </c>
      <c r="C25517" s="7" t="n">
        <v>254</v>
      </c>
      <c r="D25517" s="7" t="n">
        <v>0</v>
      </c>
    </row>
    <row r="25518" spans="1:13">
      <c r="A25518" t="s">
        <v>4</v>
      </c>
      <c r="B25518" s="4" t="s">
        <v>5</v>
      </c>
      <c r="C25518" s="4" t="s">
        <v>7</v>
      </c>
    </row>
    <row r="25519" spans="1:13">
      <c r="A25519" t="n">
        <v>247097</v>
      </c>
      <c r="B25519" s="49" t="n">
        <v>116</v>
      </c>
      <c r="C25519" s="7" t="n">
        <v>0</v>
      </c>
    </row>
    <row r="25520" spans="1:13">
      <c r="A25520" t="s">
        <v>4</v>
      </c>
      <c r="B25520" s="4" t="s">
        <v>5</v>
      </c>
      <c r="C25520" s="4" t="s">
        <v>7</v>
      </c>
      <c r="D25520" s="4" t="s">
        <v>11</v>
      </c>
    </row>
    <row r="25521" spans="1:8">
      <c r="A25521" t="n">
        <v>247099</v>
      </c>
      <c r="B25521" s="49" t="n">
        <v>116</v>
      </c>
      <c r="C25521" s="7" t="n">
        <v>2</v>
      </c>
      <c r="D25521" s="7" t="n">
        <v>1</v>
      </c>
    </row>
    <row r="25522" spans="1:8">
      <c r="A25522" t="s">
        <v>4</v>
      </c>
      <c r="B25522" s="4" t="s">
        <v>5</v>
      </c>
      <c r="C25522" s="4" t="s">
        <v>7</v>
      </c>
      <c r="D25522" s="4" t="s">
        <v>15</v>
      </c>
    </row>
    <row r="25523" spans="1:8">
      <c r="A25523" t="n">
        <v>247103</v>
      </c>
      <c r="B25523" s="49" t="n">
        <v>116</v>
      </c>
      <c r="C25523" s="7" t="n">
        <v>5</v>
      </c>
      <c r="D25523" s="7" t="n">
        <v>1097859072</v>
      </c>
    </row>
    <row r="25524" spans="1:8">
      <c r="A25524" t="s">
        <v>4</v>
      </c>
      <c r="B25524" s="4" t="s">
        <v>5</v>
      </c>
      <c r="C25524" s="4" t="s">
        <v>7</v>
      </c>
      <c r="D25524" s="4" t="s">
        <v>11</v>
      </c>
    </row>
    <row r="25525" spans="1:8">
      <c r="A25525" t="n">
        <v>247109</v>
      </c>
      <c r="B25525" s="49" t="n">
        <v>116</v>
      </c>
      <c r="C25525" s="7" t="n">
        <v>6</v>
      </c>
      <c r="D25525" s="7" t="n">
        <v>1</v>
      </c>
    </row>
    <row r="25526" spans="1:8">
      <c r="A25526" t="s">
        <v>4</v>
      </c>
      <c r="B25526" s="4" t="s">
        <v>5</v>
      </c>
      <c r="C25526" s="4" t="s">
        <v>7</v>
      </c>
      <c r="D25526" s="4" t="s">
        <v>7</v>
      </c>
      <c r="E25526" s="4" t="s">
        <v>13</v>
      </c>
      <c r="F25526" s="4" t="s">
        <v>13</v>
      </c>
      <c r="G25526" s="4" t="s">
        <v>13</v>
      </c>
      <c r="H25526" s="4" t="s">
        <v>11</v>
      </c>
    </row>
    <row r="25527" spans="1:8">
      <c r="A25527" t="n">
        <v>247113</v>
      </c>
      <c r="B25527" s="51" t="n">
        <v>45</v>
      </c>
      <c r="C25527" s="7" t="n">
        <v>2</v>
      </c>
      <c r="D25527" s="7" t="n">
        <v>3</v>
      </c>
      <c r="E25527" s="7" t="n">
        <v>0.5</v>
      </c>
      <c r="F25527" s="7" t="n">
        <v>11.8699998855591</v>
      </c>
      <c r="G25527" s="7" t="n">
        <v>57.8199996948242</v>
      </c>
      <c r="H25527" s="7" t="n">
        <v>0</v>
      </c>
    </row>
    <row r="25528" spans="1:8">
      <c r="A25528" t="s">
        <v>4</v>
      </c>
      <c r="B25528" s="4" t="s">
        <v>5</v>
      </c>
      <c r="C25528" s="4" t="s">
        <v>7</v>
      </c>
      <c r="D25528" s="4" t="s">
        <v>7</v>
      </c>
      <c r="E25528" s="4" t="s">
        <v>13</v>
      </c>
      <c r="F25528" s="4" t="s">
        <v>13</v>
      </c>
      <c r="G25528" s="4" t="s">
        <v>13</v>
      </c>
      <c r="H25528" s="4" t="s">
        <v>11</v>
      </c>
      <c r="I25528" s="4" t="s">
        <v>7</v>
      </c>
    </row>
    <row r="25529" spans="1:8">
      <c r="A25529" t="n">
        <v>247130</v>
      </c>
      <c r="B25529" s="51" t="n">
        <v>45</v>
      </c>
      <c r="C25529" s="7" t="n">
        <v>4</v>
      </c>
      <c r="D25529" s="7" t="n">
        <v>3</v>
      </c>
      <c r="E25529" s="7" t="n">
        <v>3.14000010490417</v>
      </c>
      <c r="F25529" s="7" t="n">
        <v>281.790008544922</v>
      </c>
      <c r="G25529" s="7" t="n">
        <v>2</v>
      </c>
      <c r="H25529" s="7" t="n">
        <v>0</v>
      </c>
      <c r="I25529" s="7" t="n">
        <v>0</v>
      </c>
    </row>
    <row r="25530" spans="1:8">
      <c r="A25530" t="s">
        <v>4</v>
      </c>
      <c r="B25530" s="4" t="s">
        <v>5</v>
      </c>
      <c r="C25530" s="4" t="s">
        <v>7</v>
      </c>
      <c r="D25530" s="4" t="s">
        <v>7</v>
      </c>
      <c r="E25530" s="4" t="s">
        <v>13</v>
      </c>
      <c r="F25530" s="4" t="s">
        <v>11</v>
      </c>
    </row>
    <row r="25531" spans="1:8">
      <c r="A25531" t="n">
        <v>247148</v>
      </c>
      <c r="B25531" s="51" t="n">
        <v>45</v>
      </c>
      <c r="C25531" s="7" t="n">
        <v>5</v>
      </c>
      <c r="D25531" s="7" t="n">
        <v>3</v>
      </c>
      <c r="E25531" s="7" t="n">
        <v>1.60000002384186</v>
      </c>
      <c r="F25531" s="7" t="n">
        <v>0</v>
      </c>
    </row>
    <row r="25532" spans="1:8">
      <c r="A25532" t="s">
        <v>4</v>
      </c>
      <c r="B25532" s="4" t="s">
        <v>5</v>
      </c>
      <c r="C25532" s="4" t="s">
        <v>7</v>
      </c>
      <c r="D25532" s="4" t="s">
        <v>7</v>
      </c>
      <c r="E25532" s="4" t="s">
        <v>13</v>
      </c>
      <c r="F25532" s="4" t="s">
        <v>11</v>
      </c>
    </row>
    <row r="25533" spans="1:8">
      <c r="A25533" t="n">
        <v>247157</v>
      </c>
      <c r="B25533" s="51" t="n">
        <v>45</v>
      </c>
      <c r="C25533" s="7" t="n">
        <v>11</v>
      </c>
      <c r="D25533" s="7" t="n">
        <v>3</v>
      </c>
      <c r="E25533" s="7" t="n">
        <v>35.7000007629395</v>
      </c>
      <c r="F25533" s="7" t="n">
        <v>0</v>
      </c>
    </row>
    <row r="25534" spans="1:8">
      <c r="A25534" t="s">
        <v>4</v>
      </c>
      <c r="B25534" s="4" t="s">
        <v>5</v>
      </c>
      <c r="C25534" s="4" t="s">
        <v>7</v>
      </c>
      <c r="D25534" s="4" t="s">
        <v>7</v>
      </c>
      <c r="E25534" s="4" t="s">
        <v>13</v>
      </c>
      <c r="F25534" s="4" t="s">
        <v>13</v>
      </c>
      <c r="G25534" s="4" t="s">
        <v>13</v>
      </c>
      <c r="H25534" s="4" t="s">
        <v>11</v>
      </c>
    </row>
    <row r="25535" spans="1:8">
      <c r="A25535" t="n">
        <v>247166</v>
      </c>
      <c r="B25535" s="51" t="n">
        <v>45</v>
      </c>
      <c r="C25535" s="7" t="n">
        <v>2</v>
      </c>
      <c r="D25535" s="7" t="n">
        <v>3</v>
      </c>
      <c r="E25535" s="7" t="n">
        <v>0.5</v>
      </c>
      <c r="F25535" s="7" t="n">
        <v>11.3699998855591</v>
      </c>
      <c r="G25535" s="7" t="n">
        <v>57.8199996948242</v>
      </c>
      <c r="H25535" s="7" t="n">
        <v>3500</v>
      </c>
    </row>
    <row r="25536" spans="1:8">
      <c r="A25536" t="s">
        <v>4</v>
      </c>
      <c r="B25536" s="4" t="s">
        <v>5</v>
      </c>
      <c r="C25536" s="4" t="s">
        <v>11</v>
      </c>
      <c r="D25536" s="4" t="s">
        <v>13</v>
      </c>
      <c r="E25536" s="4" t="s">
        <v>13</v>
      </c>
      <c r="F25536" s="4" t="s">
        <v>13</v>
      </c>
      <c r="G25536" s="4" t="s">
        <v>11</v>
      </c>
      <c r="H25536" s="4" t="s">
        <v>11</v>
      </c>
    </row>
    <row r="25537" spans="1:9">
      <c r="A25537" t="n">
        <v>247183</v>
      </c>
      <c r="B25537" s="37" t="n">
        <v>60</v>
      </c>
      <c r="C25537" s="7" t="n">
        <v>0</v>
      </c>
      <c r="D25537" s="7" t="n">
        <v>15</v>
      </c>
      <c r="E25537" s="7" t="n">
        <v>0</v>
      </c>
      <c r="F25537" s="7" t="n">
        <v>0</v>
      </c>
      <c r="G25537" s="7" t="n">
        <v>1000</v>
      </c>
      <c r="H25537" s="7" t="n">
        <v>0</v>
      </c>
    </row>
    <row r="25538" spans="1:9">
      <c r="A25538" t="s">
        <v>4</v>
      </c>
      <c r="B25538" s="4" t="s">
        <v>5</v>
      </c>
      <c r="C25538" s="4" t="s">
        <v>11</v>
      </c>
      <c r="D25538" s="4" t="s">
        <v>13</v>
      </c>
      <c r="E25538" s="4" t="s">
        <v>13</v>
      </c>
      <c r="F25538" s="4" t="s">
        <v>13</v>
      </c>
      <c r="G25538" s="4" t="s">
        <v>11</v>
      </c>
      <c r="H25538" s="4" t="s">
        <v>11</v>
      </c>
    </row>
    <row r="25539" spans="1:9">
      <c r="A25539" t="n">
        <v>247202</v>
      </c>
      <c r="B25539" s="37" t="n">
        <v>60</v>
      </c>
      <c r="C25539" s="7" t="n">
        <v>3</v>
      </c>
      <c r="D25539" s="7" t="n">
        <v>-15</v>
      </c>
      <c r="E25539" s="7" t="n">
        <v>0</v>
      </c>
      <c r="F25539" s="7" t="n">
        <v>0</v>
      </c>
      <c r="G25539" s="7" t="n">
        <v>1000</v>
      </c>
      <c r="H25539" s="7" t="n">
        <v>0</v>
      </c>
    </row>
    <row r="25540" spans="1:9">
      <c r="A25540" t="s">
        <v>4</v>
      </c>
      <c r="B25540" s="4" t="s">
        <v>5</v>
      </c>
      <c r="C25540" s="4" t="s">
        <v>7</v>
      </c>
      <c r="D25540" s="4" t="s">
        <v>11</v>
      </c>
      <c r="E25540" s="4" t="s">
        <v>8</v>
      </c>
      <c r="F25540" s="4" t="s">
        <v>8</v>
      </c>
      <c r="G25540" s="4" t="s">
        <v>8</v>
      </c>
      <c r="H25540" s="4" t="s">
        <v>8</v>
      </c>
    </row>
    <row r="25541" spans="1:9">
      <c r="A25541" t="n">
        <v>247221</v>
      </c>
      <c r="B25541" s="38" t="n">
        <v>51</v>
      </c>
      <c r="C25541" s="7" t="n">
        <v>3</v>
      </c>
      <c r="D25541" s="7" t="n">
        <v>3</v>
      </c>
      <c r="E25541" s="7" t="s">
        <v>295</v>
      </c>
      <c r="F25541" s="7" t="s">
        <v>232</v>
      </c>
      <c r="G25541" s="7" t="s">
        <v>78</v>
      </c>
      <c r="H25541" s="7" t="s">
        <v>79</v>
      </c>
    </row>
    <row r="25542" spans="1:9">
      <c r="A25542" t="s">
        <v>4</v>
      </c>
      <c r="B25542" s="4" t="s">
        <v>5</v>
      </c>
      <c r="C25542" s="4" t="s">
        <v>11</v>
      </c>
    </row>
    <row r="25543" spans="1:9">
      <c r="A25543" t="n">
        <v>247234</v>
      </c>
      <c r="B25543" s="29" t="n">
        <v>16</v>
      </c>
      <c r="C25543" s="7" t="n">
        <v>3500</v>
      </c>
    </row>
    <row r="25544" spans="1:9">
      <c r="A25544" t="s">
        <v>4</v>
      </c>
      <c r="B25544" s="4" t="s">
        <v>5</v>
      </c>
      <c r="C25544" s="4" t="s">
        <v>7</v>
      </c>
      <c r="D25544" s="4" t="s">
        <v>11</v>
      </c>
      <c r="E25544" s="4" t="s">
        <v>8</v>
      </c>
    </row>
    <row r="25545" spans="1:9">
      <c r="A25545" t="n">
        <v>247237</v>
      </c>
      <c r="B25545" s="38" t="n">
        <v>51</v>
      </c>
      <c r="C25545" s="7" t="n">
        <v>4</v>
      </c>
      <c r="D25545" s="7" t="n">
        <v>3</v>
      </c>
      <c r="E25545" s="7" t="s">
        <v>242</v>
      </c>
    </row>
    <row r="25546" spans="1:9">
      <c r="A25546" t="s">
        <v>4</v>
      </c>
      <c r="B25546" s="4" t="s">
        <v>5</v>
      </c>
      <c r="C25546" s="4" t="s">
        <v>11</v>
      </c>
    </row>
    <row r="25547" spans="1:9">
      <c r="A25547" t="n">
        <v>247251</v>
      </c>
      <c r="B25547" s="29" t="n">
        <v>16</v>
      </c>
      <c r="C25547" s="7" t="n">
        <v>0</v>
      </c>
    </row>
    <row r="25548" spans="1:9">
      <c r="A25548" t="s">
        <v>4</v>
      </c>
      <c r="B25548" s="4" t="s">
        <v>5</v>
      </c>
      <c r="C25548" s="4" t="s">
        <v>11</v>
      </c>
      <c r="D25548" s="4" t="s">
        <v>7</v>
      </c>
      <c r="E25548" s="4" t="s">
        <v>15</v>
      </c>
      <c r="F25548" s="4" t="s">
        <v>55</v>
      </c>
      <c r="G25548" s="4" t="s">
        <v>7</v>
      </c>
      <c r="H25548" s="4" t="s">
        <v>7</v>
      </c>
      <c r="I25548" s="4" t="s">
        <v>7</v>
      </c>
      <c r="J25548" s="4" t="s">
        <v>15</v>
      </c>
      <c r="K25548" s="4" t="s">
        <v>55</v>
      </c>
      <c r="L25548" s="4" t="s">
        <v>7</v>
      </c>
      <c r="M25548" s="4" t="s">
        <v>7</v>
      </c>
    </row>
    <row r="25549" spans="1:9">
      <c r="A25549" t="n">
        <v>247254</v>
      </c>
      <c r="B25549" s="55" t="n">
        <v>26</v>
      </c>
      <c r="C25549" s="7" t="n">
        <v>3</v>
      </c>
      <c r="D25549" s="7" t="n">
        <v>17</v>
      </c>
      <c r="E25549" s="7" t="n">
        <v>64557</v>
      </c>
      <c r="F25549" s="7" t="s">
        <v>1536</v>
      </c>
      <c r="G25549" s="7" t="n">
        <v>2</v>
      </c>
      <c r="H25549" s="7" t="n">
        <v>3</v>
      </c>
      <c r="I25549" s="7" t="n">
        <v>17</v>
      </c>
      <c r="J25549" s="7" t="n">
        <v>64558</v>
      </c>
      <c r="K25549" s="7" t="s">
        <v>1537</v>
      </c>
      <c r="L25549" s="7" t="n">
        <v>2</v>
      </c>
      <c r="M25549" s="7" t="n">
        <v>0</v>
      </c>
    </row>
    <row r="25550" spans="1:9">
      <c r="A25550" t="s">
        <v>4</v>
      </c>
      <c r="B25550" s="4" t="s">
        <v>5</v>
      </c>
    </row>
    <row r="25551" spans="1:9">
      <c r="A25551" t="n">
        <v>247482</v>
      </c>
      <c r="B25551" s="27" t="n">
        <v>28</v>
      </c>
    </row>
    <row r="25552" spans="1:9">
      <c r="A25552" t="s">
        <v>4</v>
      </c>
      <c r="B25552" s="4" t="s">
        <v>5</v>
      </c>
      <c r="C25552" s="4" t="s">
        <v>7</v>
      </c>
      <c r="D25552" s="4" t="s">
        <v>11</v>
      </c>
      <c r="E25552" s="4" t="s">
        <v>8</v>
      </c>
    </row>
    <row r="25553" spans="1:13">
      <c r="A25553" t="n">
        <v>247483</v>
      </c>
      <c r="B25553" s="38" t="n">
        <v>51</v>
      </c>
      <c r="C25553" s="7" t="n">
        <v>4</v>
      </c>
      <c r="D25553" s="7" t="n">
        <v>0</v>
      </c>
      <c r="E25553" s="7" t="s">
        <v>1538</v>
      </c>
    </row>
    <row r="25554" spans="1:13">
      <c r="A25554" t="s">
        <v>4</v>
      </c>
      <c r="B25554" s="4" t="s">
        <v>5</v>
      </c>
      <c r="C25554" s="4" t="s">
        <v>11</v>
      </c>
    </row>
    <row r="25555" spans="1:13">
      <c r="A25555" t="n">
        <v>247497</v>
      </c>
      <c r="B25555" s="29" t="n">
        <v>16</v>
      </c>
      <c r="C25555" s="7" t="n">
        <v>0</v>
      </c>
    </row>
    <row r="25556" spans="1:13">
      <c r="A25556" t="s">
        <v>4</v>
      </c>
      <c r="B25556" s="4" t="s">
        <v>5</v>
      </c>
      <c r="C25556" s="4" t="s">
        <v>11</v>
      </c>
      <c r="D25556" s="4" t="s">
        <v>7</v>
      </c>
      <c r="E25556" s="4" t="s">
        <v>15</v>
      </c>
      <c r="F25556" s="4" t="s">
        <v>55</v>
      </c>
      <c r="G25556" s="4" t="s">
        <v>7</v>
      </c>
      <c r="H25556" s="4" t="s">
        <v>7</v>
      </c>
      <c r="I25556" s="4" t="s">
        <v>7</v>
      </c>
      <c r="J25556" s="4" t="s">
        <v>15</v>
      </c>
      <c r="K25556" s="4" t="s">
        <v>55</v>
      </c>
      <c r="L25556" s="4" t="s">
        <v>7</v>
      </c>
      <c r="M25556" s="4" t="s">
        <v>7</v>
      </c>
    </row>
    <row r="25557" spans="1:13">
      <c r="A25557" t="n">
        <v>247500</v>
      </c>
      <c r="B25557" s="55" t="n">
        <v>26</v>
      </c>
      <c r="C25557" s="7" t="n">
        <v>0</v>
      </c>
      <c r="D25557" s="7" t="n">
        <v>17</v>
      </c>
      <c r="E25557" s="7" t="n">
        <v>64559</v>
      </c>
      <c r="F25557" s="7" t="s">
        <v>1539</v>
      </c>
      <c r="G25557" s="7" t="n">
        <v>2</v>
      </c>
      <c r="H25557" s="7" t="n">
        <v>3</v>
      </c>
      <c r="I25557" s="7" t="n">
        <v>17</v>
      </c>
      <c r="J25557" s="7" t="n">
        <v>64560</v>
      </c>
      <c r="K25557" s="7" t="s">
        <v>1540</v>
      </c>
      <c r="L25557" s="7" t="n">
        <v>2</v>
      </c>
      <c r="M25557" s="7" t="n">
        <v>0</v>
      </c>
    </row>
    <row r="25558" spans="1:13">
      <c r="A25558" t="s">
        <v>4</v>
      </c>
      <c r="B25558" s="4" t="s">
        <v>5</v>
      </c>
    </row>
    <row r="25559" spans="1:13">
      <c r="A25559" t="n">
        <v>247705</v>
      </c>
      <c r="B25559" s="27" t="n">
        <v>28</v>
      </c>
    </row>
    <row r="25560" spans="1:13">
      <c r="A25560" t="s">
        <v>4</v>
      </c>
      <c r="B25560" s="4" t="s">
        <v>5</v>
      </c>
      <c r="C25560" s="4" t="s">
        <v>7</v>
      </c>
      <c r="D25560" s="4" t="s">
        <v>11</v>
      </c>
      <c r="E25560" s="4" t="s">
        <v>11</v>
      </c>
      <c r="F25560" s="4" t="s">
        <v>7</v>
      </c>
    </row>
    <row r="25561" spans="1:13">
      <c r="A25561" t="n">
        <v>247706</v>
      </c>
      <c r="B25561" s="31" t="n">
        <v>25</v>
      </c>
      <c r="C25561" s="7" t="n">
        <v>1</v>
      </c>
      <c r="D25561" s="7" t="n">
        <v>65535</v>
      </c>
      <c r="E25561" s="7" t="n">
        <v>65535</v>
      </c>
      <c r="F25561" s="7" t="n">
        <v>0</v>
      </c>
    </row>
    <row r="25562" spans="1:13">
      <c r="A25562" t="s">
        <v>4</v>
      </c>
      <c r="B25562" s="4" t="s">
        <v>5</v>
      </c>
      <c r="C25562" s="4" t="s">
        <v>7</v>
      </c>
      <c r="D25562" s="4" t="s">
        <v>11</v>
      </c>
      <c r="E25562" s="4" t="s">
        <v>8</v>
      </c>
    </row>
    <row r="25563" spans="1:13">
      <c r="A25563" t="n">
        <v>247713</v>
      </c>
      <c r="B25563" s="38" t="n">
        <v>51</v>
      </c>
      <c r="C25563" s="7" t="n">
        <v>4</v>
      </c>
      <c r="D25563" s="7" t="n">
        <v>3</v>
      </c>
      <c r="E25563" s="7" t="s">
        <v>242</v>
      </c>
    </row>
    <row r="25564" spans="1:13">
      <c r="A25564" t="s">
        <v>4</v>
      </c>
      <c r="B25564" s="4" t="s">
        <v>5</v>
      </c>
      <c r="C25564" s="4" t="s">
        <v>11</v>
      </c>
    </row>
    <row r="25565" spans="1:13">
      <c r="A25565" t="n">
        <v>247727</v>
      </c>
      <c r="B25565" s="29" t="n">
        <v>16</v>
      </c>
      <c r="C25565" s="7" t="n">
        <v>0</v>
      </c>
    </row>
    <row r="25566" spans="1:13">
      <c r="A25566" t="s">
        <v>4</v>
      </c>
      <c r="B25566" s="4" t="s">
        <v>5</v>
      </c>
      <c r="C25566" s="4" t="s">
        <v>11</v>
      </c>
      <c r="D25566" s="4" t="s">
        <v>7</v>
      </c>
      <c r="E25566" s="4" t="s">
        <v>15</v>
      </c>
      <c r="F25566" s="4" t="s">
        <v>55</v>
      </c>
      <c r="G25566" s="4" t="s">
        <v>7</v>
      </c>
      <c r="H25566" s="4" t="s">
        <v>7</v>
      </c>
      <c r="I25566" s="4" t="s">
        <v>7</v>
      </c>
      <c r="J25566" s="4" t="s">
        <v>15</v>
      </c>
      <c r="K25566" s="4" t="s">
        <v>55</v>
      </c>
      <c r="L25566" s="4" t="s">
        <v>7</v>
      </c>
      <c r="M25566" s="4" t="s">
        <v>7</v>
      </c>
    </row>
    <row r="25567" spans="1:13">
      <c r="A25567" t="n">
        <v>247730</v>
      </c>
      <c r="B25567" s="55" t="n">
        <v>26</v>
      </c>
      <c r="C25567" s="7" t="n">
        <v>3</v>
      </c>
      <c r="D25567" s="7" t="n">
        <v>17</v>
      </c>
      <c r="E25567" s="7" t="n">
        <v>64561</v>
      </c>
      <c r="F25567" s="7" t="s">
        <v>1541</v>
      </c>
      <c r="G25567" s="7" t="n">
        <v>2</v>
      </c>
      <c r="H25567" s="7" t="n">
        <v>3</v>
      </c>
      <c r="I25567" s="7" t="n">
        <v>17</v>
      </c>
      <c r="J25567" s="7" t="n">
        <v>64562</v>
      </c>
      <c r="K25567" s="7" t="s">
        <v>1542</v>
      </c>
      <c r="L25567" s="7" t="n">
        <v>2</v>
      </c>
      <c r="M25567" s="7" t="n">
        <v>0</v>
      </c>
    </row>
    <row r="25568" spans="1:13">
      <c r="A25568" t="s">
        <v>4</v>
      </c>
      <c r="B25568" s="4" t="s">
        <v>5</v>
      </c>
    </row>
    <row r="25569" spans="1:13">
      <c r="A25569" t="n">
        <v>247955</v>
      </c>
      <c r="B25569" s="27" t="n">
        <v>28</v>
      </c>
    </row>
    <row r="25570" spans="1:13">
      <c r="A25570" t="s">
        <v>4</v>
      </c>
      <c r="B25570" s="4" t="s">
        <v>5</v>
      </c>
      <c r="C25570" s="4" t="s">
        <v>11</v>
      </c>
      <c r="D25570" s="4" t="s">
        <v>13</v>
      </c>
      <c r="E25570" s="4" t="s">
        <v>13</v>
      </c>
      <c r="F25570" s="4" t="s">
        <v>13</v>
      </c>
      <c r="G25570" s="4" t="s">
        <v>11</v>
      </c>
      <c r="H25570" s="4" t="s">
        <v>11</v>
      </c>
    </row>
    <row r="25571" spans="1:13">
      <c r="A25571" t="n">
        <v>247956</v>
      </c>
      <c r="B25571" s="37" t="n">
        <v>60</v>
      </c>
      <c r="C25571" s="7" t="n">
        <v>0</v>
      </c>
      <c r="D25571" s="7" t="n">
        <v>0</v>
      </c>
      <c r="E25571" s="7" t="n">
        <v>0</v>
      </c>
      <c r="F25571" s="7" t="n">
        <v>0</v>
      </c>
      <c r="G25571" s="7" t="n">
        <v>1000</v>
      </c>
      <c r="H25571" s="7" t="n">
        <v>0</v>
      </c>
    </row>
    <row r="25572" spans="1:13">
      <c r="A25572" t="s">
        <v>4</v>
      </c>
      <c r="B25572" s="4" t="s">
        <v>5</v>
      </c>
      <c r="C25572" s="4" t="s">
        <v>7</v>
      </c>
      <c r="D25572" s="4" t="s">
        <v>11</v>
      </c>
      <c r="E25572" s="4" t="s">
        <v>8</v>
      </c>
    </row>
    <row r="25573" spans="1:13">
      <c r="A25573" t="n">
        <v>247975</v>
      </c>
      <c r="B25573" s="38" t="n">
        <v>51</v>
      </c>
      <c r="C25573" s="7" t="n">
        <v>4</v>
      </c>
      <c r="D25573" s="7" t="n">
        <v>0</v>
      </c>
      <c r="E25573" s="7" t="s">
        <v>285</v>
      </c>
    </row>
    <row r="25574" spans="1:13">
      <c r="A25574" t="s">
        <v>4</v>
      </c>
      <c r="B25574" s="4" t="s">
        <v>5</v>
      </c>
      <c r="C25574" s="4" t="s">
        <v>11</v>
      </c>
    </row>
    <row r="25575" spans="1:13">
      <c r="A25575" t="n">
        <v>247988</v>
      </c>
      <c r="B25575" s="29" t="n">
        <v>16</v>
      </c>
      <c r="C25575" s="7" t="n">
        <v>0</v>
      </c>
    </row>
    <row r="25576" spans="1:13">
      <c r="A25576" t="s">
        <v>4</v>
      </c>
      <c r="B25576" s="4" t="s">
        <v>5</v>
      </c>
      <c r="C25576" s="4" t="s">
        <v>11</v>
      </c>
      <c r="D25576" s="4" t="s">
        <v>7</v>
      </c>
      <c r="E25576" s="4" t="s">
        <v>15</v>
      </c>
      <c r="F25576" s="4" t="s">
        <v>55</v>
      </c>
      <c r="G25576" s="4" t="s">
        <v>7</v>
      </c>
      <c r="H25576" s="4" t="s">
        <v>7</v>
      </c>
      <c r="I25576" s="4" t="s">
        <v>7</v>
      </c>
      <c r="J25576" s="4" t="s">
        <v>15</v>
      </c>
      <c r="K25576" s="4" t="s">
        <v>55</v>
      </c>
      <c r="L25576" s="4" t="s">
        <v>7</v>
      </c>
      <c r="M25576" s="4" t="s">
        <v>7</v>
      </c>
    </row>
    <row r="25577" spans="1:13">
      <c r="A25577" t="n">
        <v>247991</v>
      </c>
      <c r="B25577" s="55" t="n">
        <v>26</v>
      </c>
      <c r="C25577" s="7" t="n">
        <v>0</v>
      </c>
      <c r="D25577" s="7" t="n">
        <v>17</v>
      </c>
      <c r="E25577" s="7" t="n">
        <v>64563</v>
      </c>
      <c r="F25577" s="7" t="s">
        <v>1543</v>
      </c>
      <c r="G25577" s="7" t="n">
        <v>2</v>
      </c>
      <c r="H25577" s="7" t="n">
        <v>3</v>
      </c>
      <c r="I25577" s="7" t="n">
        <v>17</v>
      </c>
      <c r="J25577" s="7" t="n">
        <v>64564</v>
      </c>
      <c r="K25577" s="7" t="s">
        <v>1544</v>
      </c>
      <c r="L25577" s="7" t="n">
        <v>2</v>
      </c>
      <c r="M25577" s="7" t="n">
        <v>0</v>
      </c>
    </row>
    <row r="25578" spans="1:13">
      <c r="A25578" t="s">
        <v>4</v>
      </c>
      <c r="B25578" s="4" t="s">
        <v>5</v>
      </c>
    </row>
    <row r="25579" spans="1:13">
      <c r="A25579" t="n">
        <v>248197</v>
      </c>
      <c r="B25579" s="27" t="n">
        <v>28</v>
      </c>
    </row>
    <row r="25580" spans="1:13">
      <c r="A25580" t="s">
        <v>4</v>
      </c>
      <c r="B25580" s="4" t="s">
        <v>5</v>
      </c>
      <c r="C25580" s="4" t="s">
        <v>7</v>
      </c>
      <c r="D25580" s="4" t="s">
        <v>11</v>
      </c>
      <c r="E25580" s="4" t="s">
        <v>11</v>
      </c>
      <c r="F25580" s="4" t="s">
        <v>7</v>
      </c>
    </row>
    <row r="25581" spans="1:13">
      <c r="A25581" t="n">
        <v>248198</v>
      </c>
      <c r="B25581" s="31" t="n">
        <v>25</v>
      </c>
      <c r="C25581" s="7" t="n">
        <v>1</v>
      </c>
      <c r="D25581" s="7" t="n">
        <v>65535</v>
      </c>
      <c r="E25581" s="7" t="n">
        <v>65535</v>
      </c>
      <c r="F25581" s="7" t="n">
        <v>0</v>
      </c>
    </row>
    <row r="25582" spans="1:13">
      <c r="A25582" t="s">
        <v>4</v>
      </c>
      <c r="B25582" s="4" t="s">
        <v>5</v>
      </c>
      <c r="C25582" s="4" t="s">
        <v>11</v>
      </c>
      <c r="D25582" s="4" t="s">
        <v>13</v>
      </c>
      <c r="E25582" s="4" t="s">
        <v>13</v>
      </c>
      <c r="F25582" s="4" t="s">
        <v>13</v>
      </c>
      <c r="G25582" s="4" t="s">
        <v>11</v>
      </c>
      <c r="H25582" s="4" t="s">
        <v>11</v>
      </c>
    </row>
    <row r="25583" spans="1:13">
      <c r="A25583" t="n">
        <v>248205</v>
      </c>
      <c r="B25583" s="37" t="n">
        <v>60</v>
      </c>
      <c r="C25583" s="7" t="n">
        <v>3</v>
      </c>
      <c r="D25583" s="7" t="n">
        <v>0</v>
      </c>
      <c r="E25583" s="7" t="n">
        <v>0</v>
      </c>
      <c r="F25583" s="7" t="n">
        <v>0</v>
      </c>
      <c r="G25583" s="7" t="n">
        <v>1000</v>
      </c>
      <c r="H25583" s="7" t="n">
        <v>0</v>
      </c>
    </row>
    <row r="25584" spans="1:13">
      <c r="A25584" t="s">
        <v>4</v>
      </c>
      <c r="B25584" s="4" t="s">
        <v>5</v>
      </c>
      <c r="C25584" s="4" t="s">
        <v>11</v>
      </c>
    </row>
    <row r="25585" spans="1:13">
      <c r="A25585" t="n">
        <v>248224</v>
      </c>
      <c r="B25585" s="29" t="n">
        <v>16</v>
      </c>
      <c r="C25585" s="7" t="n">
        <v>300</v>
      </c>
    </row>
    <row r="25586" spans="1:13">
      <c r="A25586" t="s">
        <v>4</v>
      </c>
      <c r="B25586" s="4" t="s">
        <v>5</v>
      </c>
      <c r="C25586" s="4" t="s">
        <v>7</v>
      </c>
      <c r="D25586" s="4" t="s">
        <v>11</v>
      </c>
      <c r="E25586" s="4" t="s">
        <v>8</v>
      </c>
    </row>
    <row r="25587" spans="1:13">
      <c r="A25587" t="n">
        <v>248227</v>
      </c>
      <c r="B25587" s="38" t="n">
        <v>51</v>
      </c>
      <c r="C25587" s="7" t="n">
        <v>4</v>
      </c>
      <c r="D25587" s="7" t="n">
        <v>3</v>
      </c>
      <c r="E25587" s="7" t="s">
        <v>242</v>
      </c>
    </row>
    <row r="25588" spans="1:13">
      <c r="A25588" t="s">
        <v>4</v>
      </c>
      <c r="B25588" s="4" t="s">
        <v>5</v>
      </c>
      <c r="C25588" s="4" t="s">
        <v>11</v>
      </c>
    </row>
    <row r="25589" spans="1:13">
      <c r="A25589" t="n">
        <v>248241</v>
      </c>
      <c r="B25589" s="29" t="n">
        <v>16</v>
      </c>
      <c r="C25589" s="7" t="n">
        <v>0</v>
      </c>
    </row>
    <row r="25590" spans="1:13">
      <c r="A25590" t="s">
        <v>4</v>
      </c>
      <c r="B25590" s="4" t="s">
        <v>5</v>
      </c>
      <c r="C25590" s="4" t="s">
        <v>11</v>
      </c>
      <c r="D25590" s="4" t="s">
        <v>7</v>
      </c>
      <c r="E25590" s="4" t="s">
        <v>15</v>
      </c>
      <c r="F25590" s="4" t="s">
        <v>55</v>
      </c>
      <c r="G25590" s="4" t="s">
        <v>7</v>
      </c>
      <c r="H25590" s="4" t="s">
        <v>7</v>
      </c>
    </row>
    <row r="25591" spans="1:13">
      <c r="A25591" t="n">
        <v>248244</v>
      </c>
      <c r="B25591" s="55" t="n">
        <v>26</v>
      </c>
      <c r="C25591" s="7" t="n">
        <v>3</v>
      </c>
      <c r="D25591" s="7" t="n">
        <v>17</v>
      </c>
      <c r="E25591" s="7" t="n">
        <v>64565</v>
      </c>
      <c r="F25591" s="7" t="s">
        <v>1545</v>
      </c>
      <c r="G25591" s="7" t="n">
        <v>2</v>
      </c>
      <c r="H25591" s="7" t="n">
        <v>0</v>
      </c>
    </row>
    <row r="25592" spans="1:13">
      <c r="A25592" t="s">
        <v>4</v>
      </c>
      <c r="B25592" s="4" t="s">
        <v>5</v>
      </c>
    </row>
    <row r="25593" spans="1:13">
      <c r="A25593" t="n">
        <v>248274</v>
      </c>
      <c r="B25593" s="27" t="n">
        <v>28</v>
      </c>
    </row>
    <row r="25594" spans="1:13">
      <c r="A25594" t="s">
        <v>4</v>
      </c>
      <c r="B25594" s="4" t="s">
        <v>5</v>
      </c>
      <c r="C25594" s="4" t="s">
        <v>11</v>
      </c>
    </row>
    <row r="25595" spans="1:13">
      <c r="A25595" t="n">
        <v>248275</v>
      </c>
      <c r="B25595" s="29" t="n">
        <v>16</v>
      </c>
      <c r="C25595" s="7" t="n">
        <v>300</v>
      </c>
    </row>
    <row r="25596" spans="1:13">
      <c r="A25596" t="s">
        <v>4</v>
      </c>
      <c r="B25596" s="4" t="s">
        <v>5</v>
      </c>
      <c r="C25596" s="4" t="s">
        <v>7</v>
      </c>
      <c r="D25596" s="4" t="s">
        <v>11</v>
      </c>
      <c r="E25596" s="4" t="s">
        <v>8</v>
      </c>
    </row>
    <row r="25597" spans="1:13">
      <c r="A25597" t="n">
        <v>248278</v>
      </c>
      <c r="B25597" s="38" t="n">
        <v>51</v>
      </c>
      <c r="C25597" s="7" t="n">
        <v>4</v>
      </c>
      <c r="D25597" s="7" t="n">
        <v>3</v>
      </c>
      <c r="E25597" s="7" t="s">
        <v>1546</v>
      </c>
    </row>
    <row r="25598" spans="1:13">
      <c r="A25598" t="s">
        <v>4</v>
      </c>
      <c r="B25598" s="4" t="s">
        <v>5</v>
      </c>
      <c r="C25598" s="4" t="s">
        <v>11</v>
      </c>
    </row>
    <row r="25599" spans="1:13">
      <c r="A25599" t="n">
        <v>248292</v>
      </c>
      <c r="B25599" s="29" t="n">
        <v>16</v>
      </c>
      <c r="C25599" s="7" t="n">
        <v>0</v>
      </c>
    </row>
    <row r="25600" spans="1:13">
      <c r="A25600" t="s">
        <v>4</v>
      </c>
      <c r="B25600" s="4" t="s">
        <v>5</v>
      </c>
      <c r="C25600" s="4" t="s">
        <v>11</v>
      </c>
      <c r="D25600" s="4" t="s">
        <v>7</v>
      </c>
      <c r="E25600" s="4" t="s">
        <v>15</v>
      </c>
      <c r="F25600" s="4" t="s">
        <v>55</v>
      </c>
      <c r="G25600" s="4" t="s">
        <v>7</v>
      </c>
      <c r="H25600" s="4" t="s">
        <v>7</v>
      </c>
    </row>
    <row r="25601" spans="1:8">
      <c r="A25601" t="n">
        <v>248295</v>
      </c>
      <c r="B25601" s="55" t="n">
        <v>26</v>
      </c>
      <c r="C25601" s="7" t="n">
        <v>3</v>
      </c>
      <c r="D25601" s="7" t="n">
        <v>17</v>
      </c>
      <c r="E25601" s="7" t="n">
        <v>65278</v>
      </c>
      <c r="F25601" s="7" t="s">
        <v>464</v>
      </c>
      <c r="G25601" s="7" t="n">
        <v>2</v>
      </c>
      <c r="H25601" s="7" t="n">
        <v>0</v>
      </c>
    </row>
    <row r="25602" spans="1:8">
      <c r="A25602" t="s">
        <v>4</v>
      </c>
      <c r="B25602" s="4" t="s">
        <v>5</v>
      </c>
    </row>
    <row r="25603" spans="1:8">
      <c r="A25603" t="n">
        <v>248308</v>
      </c>
      <c r="B25603" s="27" t="n">
        <v>28</v>
      </c>
    </row>
    <row r="25604" spans="1:8">
      <c r="A25604" t="s">
        <v>4</v>
      </c>
      <c r="B25604" s="4" t="s">
        <v>5</v>
      </c>
      <c r="C25604" s="4" t="s">
        <v>11</v>
      </c>
      <c r="D25604" s="4" t="s">
        <v>7</v>
      </c>
    </row>
    <row r="25605" spans="1:8">
      <c r="A25605" t="n">
        <v>248309</v>
      </c>
      <c r="B25605" s="68" t="n">
        <v>89</v>
      </c>
      <c r="C25605" s="7" t="n">
        <v>65533</v>
      </c>
      <c r="D25605" s="7" t="n">
        <v>1</v>
      </c>
    </row>
    <row r="25606" spans="1:8">
      <c r="A25606" t="s">
        <v>4</v>
      </c>
      <c r="B25606" s="4" t="s">
        <v>5</v>
      </c>
      <c r="C25606" s="4" t="s">
        <v>11</v>
      </c>
    </row>
    <row r="25607" spans="1:8">
      <c r="A25607" t="n">
        <v>248313</v>
      </c>
      <c r="B25607" s="29" t="n">
        <v>16</v>
      </c>
      <c r="C25607" s="7" t="n">
        <v>300</v>
      </c>
    </row>
    <row r="25608" spans="1:8">
      <c r="A25608" t="s">
        <v>4</v>
      </c>
      <c r="B25608" s="4" t="s">
        <v>5</v>
      </c>
      <c r="C25608" s="4" t="s">
        <v>7</v>
      </c>
      <c r="D25608" s="4" t="s">
        <v>11</v>
      </c>
      <c r="E25608" s="4" t="s">
        <v>13</v>
      </c>
    </row>
    <row r="25609" spans="1:8">
      <c r="A25609" t="n">
        <v>248316</v>
      </c>
      <c r="B25609" s="23" t="n">
        <v>58</v>
      </c>
      <c r="C25609" s="7" t="n">
        <v>101</v>
      </c>
      <c r="D25609" s="7" t="n">
        <v>800</v>
      </c>
      <c r="E25609" s="7" t="n">
        <v>1</v>
      </c>
    </row>
    <row r="25610" spans="1:8">
      <c r="A25610" t="s">
        <v>4</v>
      </c>
      <c r="B25610" s="4" t="s">
        <v>5</v>
      </c>
      <c r="C25610" s="4" t="s">
        <v>7</v>
      </c>
      <c r="D25610" s="4" t="s">
        <v>11</v>
      </c>
    </row>
    <row r="25611" spans="1:8">
      <c r="A25611" t="n">
        <v>248324</v>
      </c>
      <c r="B25611" s="23" t="n">
        <v>58</v>
      </c>
      <c r="C25611" s="7" t="n">
        <v>254</v>
      </c>
      <c r="D25611" s="7" t="n">
        <v>0</v>
      </c>
    </row>
    <row r="25612" spans="1:8">
      <c r="A25612" t="s">
        <v>4</v>
      </c>
      <c r="B25612" s="4" t="s">
        <v>5</v>
      </c>
      <c r="C25612" s="4" t="s">
        <v>7</v>
      </c>
    </row>
    <row r="25613" spans="1:8">
      <c r="A25613" t="n">
        <v>248328</v>
      </c>
      <c r="B25613" s="49" t="n">
        <v>116</v>
      </c>
      <c r="C25613" s="7" t="n">
        <v>0</v>
      </c>
    </row>
    <row r="25614" spans="1:8">
      <c r="A25614" t="s">
        <v>4</v>
      </c>
      <c r="B25614" s="4" t="s">
        <v>5</v>
      </c>
      <c r="C25614" s="4" t="s">
        <v>7</v>
      </c>
      <c r="D25614" s="4" t="s">
        <v>11</v>
      </c>
    </row>
    <row r="25615" spans="1:8">
      <c r="A25615" t="n">
        <v>248330</v>
      </c>
      <c r="B25615" s="49" t="n">
        <v>116</v>
      </c>
      <c r="C25615" s="7" t="n">
        <v>2</v>
      </c>
      <c r="D25615" s="7" t="n">
        <v>1</v>
      </c>
    </row>
    <row r="25616" spans="1:8">
      <c r="A25616" t="s">
        <v>4</v>
      </c>
      <c r="B25616" s="4" t="s">
        <v>5</v>
      </c>
      <c r="C25616" s="4" t="s">
        <v>7</v>
      </c>
      <c r="D25616" s="4" t="s">
        <v>15</v>
      </c>
    </row>
    <row r="25617" spans="1:8">
      <c r="A25617" t="n">
        <v>248334</v>
      </c>
      <c r="B25617" s="49" t="n">
        <v>116</v>
      </c>
      <c r="C25617" s="7" t="n">
        <v>5</v>
      </c>
      <c r="D25617" s="7" t="n">
        <v>1084227584</v>
      </c>
    </row>
    <row r="25618" spans="1:8">
      <c r="A25618" t="s">
        <v>4</v>
      </c>
      <c r="B25618" s="4" t="s">
        <v>5</v>
      </c>
      <c r="C25618" s="4" t="s">
        <v>7</v>
      </c>
      <c r="D25618" s="4" t="s">
        <v>11</v>
      </c>
    </row>
    <row r="25619" spans="1:8">
      <c r="A25619" t="n">
        <v>248340</v>
      </c>
      <c r="B25619" s="49" t="n">
        <v>116</v>
      </c>
      <c r="C25619" s="7" t="n">
        <v>6</v>
      </c>
      <c r="D25619" s="7" t="n">
        <v>1</v>
      </c>
    </row>
    <row r="25620" spans="1:8">
      <c r="A25620" t="s">
        <v>4</v>
      </c>
      <c r="B25620" s="4" t="s">
        <v>5</v>
      </c>
      <c r="C25620" s="4" t="s">
        <v>7</v>
      </c>
      <c r="D25620" s="4" t="s">
        <v>7</v>
      </c>
      <c r="E25620" s="4" t="s">
        <v>13</v>
      </c>
      <c r="F25620" s="4" t="s">
        <v>13</v>
      </c>
      <c r="G25620" s="4" t="s">
        <v>13</v>
      </c>
      <c r="H25620" s="4" t="s">
        <v>11</v>
      </c>
    </row>
    <row r="25621" spans="1:8">
      <c r="A25621" t="n">
        <v>248344</v>
      </c>
      <c r="B25621" s="51" t="n">
        <v>45</v>
      </c>
      <c r="C25621" s="7" t="n">
        <v>2</v>
      </c>
      <c r="D25621" s="7" t="n">
        <v>3</v>
      </c>
      <c r="E25621" s="7" t="n">
        <v>0.100000001490116</v>
      </c>
      <c r="F25621" s="7" t="n">
        <v>11.4200000762939</v>
      </c>
      <c r="G25621" s="7" t="n">
        <v>58.060001373291</v>
      </c>
      <c r="H25621" s="7" t="n">
        <v>0</v>
      </c>
    </row>
    <row r="25622" spans="1:8">
      <c r="A25622" t="s">
        <v>4</v>
      </c>
      <c r="B25622" s="4" t="s">
        <v>5</v>
      </c>
      <c r="C25622" s="4" t="s">
        <v>7</v>
      </c>
      <c r="D25622" s="4" t="s">
        <v>7</v>
      </c>
      <c r="E25622" s="4" t="s">
        <v>13</v>
      </c>
      <c r="F25622" s="4" t="s">
        <v>13</v>
      </c>
      <c r="G25622" s="4" t="s">
        <v>13</v>
      </c>
      <c r="H25622" s="4" t="s">
        <v>11</v>
      </c>
      <c r="I25622" s="4" t="s">
        <v>7</v>
      </c>
    </row>
    <row r="25623" spans="1:8">
      <c r="A25623" t="n">
        <v>248361</v>
      </c>
      <c r="B25623" s="51" t="n">
        <v>45</v>
      </c>
      <c r="C25623" s="7" t="n">
        <v>4</v>
      </c>
      <c r="D25623" s="7" t="n">
        <v>3</v>
      </c>
      <c r="E25623" s="7" t="n">
        <v>11.3500003814697</v>
      </c>
      <c r="F25623" s="7" t="n">
        <v>204.479995727539</v>
      </c>
      <c r="G25623" s="7" t="n">
        <v>356</v>
      </c>
      <c r="H25623" s="7" t="n">
        <v>0</v>
      </c>
      <c r="I25623" s="7" t="n">
        <v>0</v>
      </c>
    </row>
    <row r="25624" spans="1:8">
      <c r="A25624" t="s">
        <v>4</v>
      </c>
      <c r="B25624" s="4" t="s">
        <v>5</v>
      </c>
      <c r="C25624" s="4" t="s">
        <v>7</v>
      </c>
      <c r="D25624" s="4" t="s">
        <v>7</v>
      </c>
      <c r="E25624" s="4" t="s">
        <v>13</v>
      </c>
      <c r="F25624" s="4" t="s">
        <v>11</v>
      </c>
    </row>
    <row r="25625" spans="1:8">
      <c r="A25625" t="n">
        <v>248379</v>
      </c>
      <c r="B25625" s="51" t="n">
        <v>45</v>
      </c>
      <c r="C25625" s="7" t="n">
        <v>5</v>
      </c>
      <c r="D25625" s="7" t="n">
        <v>3</v>
      </c>
      <c r="E25625" s="7" t="n">
        <v>1.39999997615814</v>
      </c>
      <c r="F25625" s="7" t="n">
        <v>0</v>
      </c>
    </row>
    <row r="25626" spans="1:8">
      <c r="A25626" t="s">
        <v>4</v>
      </c>
      <c r="B25626" s="4" t="s">
        <v>5</v>
      </c>
      <c r="C25626" s="4" t="s">
        <v>7</v>
      </c>
      <c r="D25626" s="4" t="s">
        <v>7</v>
      </c>
      <c r="E25626" s="4" t="s">
        <v>13</v>
      </c>
      <c r="F25626" s="4" t="s">
        <v>11</v>
      </c>
    </row>
    <row r="25627" spans="1:8">
      <c r="A25627" t="n">
        <v>248388</v>
      </c>
      <c r="B25627" s="51" t="n">
        <v>45</v>
      </c>
      <c r="C25627" s="7" t="n">
        <v>5</v>
      </c>
      <c r="D25627" s="7" t="n">
        <v>3</v>
      </c>
      <c r="E25627" s="7" t="n">
        <v>1.29999995231628</v>
      </c>
      <c r="F25627" s="7" t="n">
        <v>2000</v>
      </c>
    </row>
    <row r="25628" spans="1:8">
      <c r="A25628" t="s">
        <v>4</v>
      </c>
      <c r="B25628" s="4" t="s">
        <v>5</v>
      </c>
      <c r="C25628" s="4" t="s">
        <v>7</v>
      </c>
      <c r="D25628" s="4" t="s">
        <v>7</v>
      </c>
      <c r="E25628" s="4" t="s">
        <v>13</v>
      </c>
      <c r="F25628" s="4" t="s">
        <v>11</v>
      </c>
    </row>
    <row r="25629" spans="1:8">
      <c r="A25629" t="n">
        <v>248397</v>
      </c>
      <c r="B25629" s="51" t="n">
        <v>45</v>
      </c>
      <c r="C25629" s="7" t="n">
        <v>11</v>
      </c>
      <c r="D25629" s="7" t="n">
        <v>3</v>
      </c>
      <c r="E25629" s="7" t="n">
        <v>30.5</v>
      </c>
      <c r="F25629" s="7" t="n">
        <v>0</v>
      </c>
    </row>
    <row r="25630" spans="1:8">
      <c r="A25630" t="s">
        <v>4</v>
      </c>
      <c r="B25630" s="4" t="s">
        <v>5</v>
      </c>
      <c r="C25630" s="4" t="s">
        <v>11</v>
      </c>
    </row>
    <row r="25631" spans="1:8">
      <c r="A25631" t="n">
        <v>248406</v>
      </c>
      <c r="B25631" s="29" t="n">
        <v>16</v>
      </c>
      <c r="C25631" s="7" t="n">
        <v>400</v>
      </c>
    </row>
    <row r="25632" spans="1:8">
      <c r="A25632" t="s">
        <v>4</v>
      </c>
      <c r="B25632" s="4" t="s">
        <v>5</v>
      </c>
      <c r="C25632" s="4" t="s">
        <v>7</v>
      </c>
      <c r="D25632" s="4" t="s">
        <v>11</v>
      </c>
      <c r="E25632" s="4" t="s">
        <v>8</v>
      </c>
      <c r="F25632" s="4" t="s">
        <v>8</v>
      </c>
      <c r="G25632" s="4" t="s">
        <v>8</v>
      </c>
      <c r="H25632" s="4" t="s">
        <v>8</v>
      </c>
    </row>
    <row r="25633" spans="1:9">
      <c r="A25633" t="n">
        <v>248409</v>
      </c>
      <c r="B25633" s="38" t="n">
        <v>51</v>
      </c>
      <c r="C25633" s="7" t="n">
        <v>3</v>
      </c>
      <c r="D25633" s="7" t="n">
        <v>3</v>
      </c>
      <c r="E25633" s="7" t="s">
        <v>86</v>
      </c>
      <c r="F25633" s="7" t="s">
        <v>79</v>
      </c>
      <c r="G25633" s="7" t="s">
        <v>78</v>
      </c>
      <c r="H25633" s="7" t="s">
        <v>79</v>
      </c>
    </row>
    <row r="25634" spans="1:9">
      <c r="A25634" t="s">
        <v>4</v>
      </c>
      <c r="B25634" s="4" t="s">
        <v>5</v>
      </c>
      <c r="C25634" s="4" t="s">
        <v>11</v>
      </c>
      <c r="D25634" s="4" t="s">
        <v>7</v>
      </c>
      <c r="E25634" s="4" t="s">
        <v>13</v>
      </c>
      <c r="F25634" s="4" t="s">
        <v>11</v>
      </c>
    </row>
    <row r="25635" spans="1:9">
      <c r="A25635" t="n">
        <v>248422</v>
      </c>
      <c r="B25635" s="56" t="n">
        <v>59</v>
      </c>
      <c r="C25635" s="7" t="n">
        <v>3</v>
      </c>
      <c r="D25635" s="7" t="n">
        <v>9</v>
      </c>
      <c r="E25635" s="7" t="n">
        <v>0.150000005960464</v>
      </c>
      <c r="F25635" s="7" t="n">
        <v>0</v>
      </c>
    </row>
    <row r="25636" spans="1:9">
      <c r="A25636" t="s">
        <v>4</v>
      </c>
      <c r="B25636" s="4" t="s">
        <v>5</v>
      </c>
      <c r="C25636" s="4" t="s">
        <v>11</v>
      </c>
    </row>
    <row r="25637" spans="1:9">
      <c r="A25637" t="n">
        <v>248432</v>
      </c>
      <c r="B25637" s="29" t="n">
        <v>16</v>
      </c>
      <c r="C25637" s="7" t="n">
        <v>1800</v>
      </c>
    </row>
    <row r="25638" spans="1:9">
      <c r="A25638" t="s">
        <v>4</v>
      </c>
      <c r="B25638" s="4" t="s">
        <v>5</v>
      </c>
      <c r="C25638" s="4" t="s">
        <v>7</v>
      </c>
      <c r="D25638" s="4" t="s">
        <v>11</v>
      </c>
      <c r="E25638" s="4" t="s">
        <v>8</v>
      </c>
    </row>
    <row r="25639" spans="1:9">
      <c r="A25639" t="n">
        <v>248435</v>
      </c>
      <c r="B25639" s="38" t="n">
        <v>51</v>
      </c>
      <c r="C25639" s="7" t="n">
        <v>4</v>
      </c>
      <c r="D25639" s="7" t="n">
        <v>3</v>
      </c>
      <c r="E25639" s="7" t="s">
        <v>242</v>
      </c>
    </row>
    <row r="25640" spans="1:9">
      <c r="A25640" t="s">
        <v>4</v>
      </c>
      <c r="B25640" s="4" t="s">
        <v>5</v>
      </c>
      <c r="C25640" s="4" t="s">
        <v>11</v>
      </c>
    </row>
    <row r="25641" spans="1:9">
      <c r="A25641" t="n">
        <v>248449</v>
      </c>
      <c r="B25641" s="29" t="n">
        <v>16</v>
      </c>
      <c r="C25641" s="7" t="n">
        <v>0</v>
      </c>
    </row>
    <row r="25642" spans="1:9">
      <c r="A25642" t="s">
        <v>4</v>
      </c>
      <c r="B25642" s="4" t="s">
        <v>5</v>
      </c>
      <c r="C25642" s="4" t="s">
        <v>11</v>
      </c>
      <c r="D25642" s="4" t="s">
        <v>7</v>
      </c>
      <c r="E25642" s="4" t="s">
        <v>15</v>
      </c>
      <c r="F25642" s="4" t="s">
        <v>55</v>
      </c>
      <c r="G25642" s="4" t="s">
        <v>7</v>
      </c>
      <c r="H25642" s="4" t="s">
        <v>7</v>
      </c>
      <c r="I25642" s="4" t="s">
        <v>7</v>
      </c>
      <c r="J25642" s="4" t="s">
        <v>15</v>
      </c>
      <c r="K25642" s="4" t="s">
        <v>55</v>
      </c>
      <c r="L25642" s="4" t="s">
        <v>7</v>
      </c>
      <c r="M25642" s="4" t="s">
        <v>7</v>
      </c>
    </row>
    <row r="25643" spans="1:9">
      <c r="A25643" t="n">
        <v>248452</v>
      </c>
      <c r="B25643" s="55" t="n">
        <v>26</v>
      </c>
      <c r="C25643" s="7" t="n">
        <v>3</v>
      </c>
      <c r="D25643" s="7" t="n">
        <v>17</v>
      </c>
      <c r="E25643" s="7" t="n">
        <v>64573</v>
      </c>
      <c r="F25643" s="7" t="s">
        <v>1554</v>
      </c>
      <c r="G25643" s="7" t="n">
        <v>2</v>
      </c>
      <c r="H25643" s="7" t="n">
        <v>3</v>
      </c>
      <c r="I25643" s="7" t="n">
        <v>17</v>
      </c>
      <c r="J25643" s="7" t="n">
        <v>64574</v>
      </c>
      <c r="K25643" s="7" t="s">
        <v>1555</v>
      </c>
      <c r="L25643" s="7" t="n">
        <v>2</v>
      </c>
      <c r="M25643" s="7" t="n">
        <v>0</v>
      </c>
    </row>
    <row r="25644" spans="1:9">
      <c r="A25644" t="s">
        <v>4</v>
      </c>
      <c r="B25644" s="4" t="s">
        <v>5</v>
      </c>
    </row>
    <row r="25645" spans="1:9">
      <c r="A25645" t="n">
        <v>248536</v>
      </c>
      <c r="B25645" s="27" t="n">
        <v>28</v>
      </c>
    </row>
    <row r="25646" spans="1:9">
      <c r="A25646" t="s">
        <v>4</v>
      </c>
      <c r="B25646" s="4" t="s">
        <v>5</v>
      </c>
      <c r="C25646" s="4" t="s">
        <v>11</v>
      </c>
      <c r="D25646" s="4" t="s">
        <v>7</v>
      </c>
      <c r="E25646" s="4" t="s">
        <v>7</v>
      </c>
      <c r="F25646" s="4" t="s">
        <v>8</v>
      </c>
    </row>
    <row r="25647" spans="1:9">
      <c r="A25647" t="n">
        <v>248537</v>
      </c>
      <c r="B25647" s="50" t="n">
        <v>20</v>
      </c>
      <c r="C25647" s="7" t="n">
        <v>0</v>
      </c>
      <c r="D25647" s="7" t="n">
        <v>2</v>
      </c>
      <c r="E25647" s="7" t="n">
        <v>10</v>
      </c>
      <c r="F25647" s="7" t="s">
        <v>260</v>
      </c>
    </row>
    <row r="25648" spans="1:9">
      <c r="A25648" t="s">
        <v>4</v>
      </c>
      <c r="B25648" s="4" t="s">
        <v>5</v>
      </c>
      <c r="C25648" s="4" t="s">
        <v>7</v>
      </c>
      <c r="D25648" s="4" t="s">
        <v>11</v>
      </c>
      <c r="E25648" s="4" t="s">
        <v>8</v>
      </c>
    </row>
    <row r="25649" spans="1:13">
      <c r="A25649" t="n">
        <v>248557</v>
      </c>
      <c r="B25649" s="38" t="n">
        <v>51</v>
      </c>
      <c r="C25649" s="7" t="n">
        <v>4</v>
      </c>
      <c r="D25649" s="7" t="n">
        <v>0</v>
      </c>
      <c r="E25649" s="7" t="s">
        <v>242</v>
      </c>
    </row>
    <row r="25650" spans="1:13">
      <c r="A25650" t="s">
        <v>4</v>
      </c>
      <c r="B25650" s="4" t="s">
        <v>5</v>
      </c>
      <c r="C25650" s="4" t="s">
        <v>11</v>
      </c>
    </row>
    <row r="25651" spans="1:13">
      <c r="A25651" t="n">
        <v>248571</v>
      </c>
      <c r="B25651" s="29" t="n">
        <v>16</v>
      </c>
      <c r="C25651" s="7" t="n">
        <v>0</v>
      </c>
    </row>
    <row r="25652" spans="1:13">
      <c r="A25652" t="s">
        <v>4</v>
      </c>
      <c r="B25652" s="4" t="s">
        <v>5</v>
      </c>
      <c r="C25652" s="4" t="s">
        <v>11</v>
      </c>
      <c r="D25652" s="4" t="s">
        <v>7</v>
      </c>
      <c r="E25652" s="4" t="s">
        <v>15</v>
      </c>
      <c r="F25652" s="4" t="s">
        <v>55</v>
      </c>
      <c r="G25652" s="4" t="s">
        <v>7</v>
      </c>
      <c r="H25652" s="4" t="s">
        <v>7</v>
      </c>
      <c r="I25652" s="4" t="s">
        <v>7</v>
      </c>
      <c r="J25652" s="4" t="s">
        <v>15</v>
      </c>
      <c r="K25652" s="4" t="s">
        <v>55</v>
      </c>
      <c r="L25652" s="4" t="s">
        <v>7</v>
      </c>
      <c r="M25652" s="4" t="s">
        <v>7</v>
      </c>
    </row>
    <row r="25653" spans="1:13">
      <c r="A25653" t="n">
        <v>248574</v>
      </c>
      <c r="B25653" s="55" t="n">
        <v>26</v>
      </c>
      <c r="C25653" s="7" t="n">
        <v>0</v>
      </c>
      <c r="D25653" s="7" t="n">
        <v>17</v>
      </c>
      <c r="E25653" s="7" t="n">
        <v>64575</v>
      </c>
      <c r="F25653" s="7" t="s">
        <v>1556</v>
      </c>
      <c r="G25653" s="7" t="n">
        <v>2</v>
      </c>
      <c r="H25653" s="7" t="n">
        <v>3</v>
      </c>
      <c r="I25653" s="7" t="n">
        <v>17</v>
      </c>
      <c r="J25653" s="7" t="n">
        <v>64418</v>
      </c>
      <c r="K25653" s="7" t="s">
        <v>1375</v>
      </c>
      <c r="L25653" s="7" t="n">
        <v>2</v>
      </c>
      <c r="M25653" s="7" t="n">
        <v>0</v>
      </c>
    </row>
    <row r="25654" spans="1:13">
      <c r="A25654" t="s">
        <v>4</v>
      </c>
      <c r="B25654" s="4" t="s">
        <v>5</v>
      </c>
    </row>
    <row r="25655" spans="1:13">
      <c r="A25655" t="n">
        <v>248642</v>
      </c>
      <c r="B25655" s="27" t="n">
        <v>28</v>
      </c>
    </row>
    <row r="25656" spans="1:13">
      <c r="A25656" t="s">
        <v>4</v>
      </c>
      <c r="B25656" s="4" t="s">
        <v>5</v>
      </c>
      <c r="C25656" s="4" t="s">
        <v>7</v>
      </c>
      <c r="D25656" s="4" t="s">
        <v>11</v>
      </c>
      <c r="E25656" s="4" t="s">
        <v>11</v>
      </c>
      <c r="F25656" s="4" t="s">
        <v>7</v>
      </c>
    </row>
    <row r="25657" spans="1:13">
      <c r="A25657" t="n">
        <v>248643</v>
      </c>
      <c r="B25657" s="31" t="n">
        <v>25</v>
      </c>
      <c r="C25657" s="7" t="n">
        <v>1</v>
      </c>
      <c r="D25657" s="7" t="n">
        <v>65535</v>
      </c>
      <c r="E25657" s="7" t="n">
        <v>65535</v>
      </c>
      <c r="F25657" s="7" t="n">
        <v>0</v>
      </c>
    </row>
    <row r="25658" spans="1:13">
      <c r="A25658" t="s">
        <v>4</v>
      </c>
      <c r="B25658" s="4" t="s">
        <v>5</v>
      </c>
      <c r="C25658" s="4" t="s">
        <v>7</v>
      </c>
      <c r="D25658" s="4" t="s">
        <v>11</v>
      </c>
      <c r="E25658" s="4" t="s">
        <v>8</v>
      </c>
    </row>
    <row r="25659" spans="1:13">
      <c r="A25659" t="n">
        <v>248650</v>
      </c>
      <c r="B25659" s="38" t="n">
        <v>51</v>
      </c>
      <c r="C25659" s="7" t="n">
        <v>4</v>
      </c>
      <c r="D25659" s="7" t="n">
        <v>3</v>
      </c>
      <c r="E25659" s="7" t="s">
        <v>1376</v>
      </c>
    </row>
    <row r="25660" spans="1:13">
      <c r="A25660" t="s">
        <v>4</v>
      </c>
      <c r="B25660" s="4" t="s">
        <v>5</v>
      </c>
      <c r="C25660" s="4" t="s">
        <v>11</v>
      </c>
    </row>
    <row r="25661" spans="1:13">
      <c r="A25661" t="n">
        <v>248665</v>
      </c>
      <c r="B25661" s="29" t="n">
        <v>16</v>
      </c>
      <c r="C25661" s="7" t="n">
        <v>0</v>
      </c>
    </row>
    <row r="25662" spans="1:13">
      <c r="A25662" t="s">
        <v>4</v>
      </c>
      <c r="B25662" s="4" t="s">
        <v>5</v>
      </c>
      <c r="C25662" s="4" t="s">
        <v>11</v>
      </c>
      <c r="D25662" s="4" t="s">
        <v>7</v>
      </c>
      <c r="E25662" s="4" t="s">
        <v>15</v>
      </c>
      <c r="F25662" s="4" t="s">
        <v>55</v>
      </c>
      <c r="G25662" s="4" t="s">
        <v>7</v>
      </c>
      <c r="H25662" s="4" t="s">
        <v>7</v>
      </c>
    </row>
    <row r="25663" spans="1:13">
      <c r="A25663" t="n">
        <v>248668</v>
      </c>
      <c r="B25663" s="55" t="n">
        <v>26</v>
      </c>
      <c r="C25663" s="7" t="n">
        <v>3</v>
      </c>
      <c r="D25663" s="7" t="n">
        <v>17</v>
      </c>
      <c r="E25663" s="7" t="n">
        <v>65280</v>
      </c>
      <c r="F25663" s="7" t="s">
        <v>464</v>
      </c>
      <c r="G25663" s="7" t="n">
        <v>2</v>
      </c>
      <c r="H25663" s="7" t="n">
        <v>0</v>
      </c>
    </row>
    <row r="25664" spans="1:13">
      <c r="A25664" t="s">
        <v>4</v>
      </c>
      <c r="B25664" s="4" t="s">
        <v>5</v>
      </c>
    </row>
    <row r="25665" spans="1:13">
      <c r="A25665" t="n">
        <v>248681</v>
      </c>
      <c r="B25665" s="27" t="n">
        <v>28</v>
      </c>
    </row>
    <row r="25666" spans="1:13">
      <c r="A25666" t="s">
        <v>4</v>
      </c>
      <c r="B25666" s="4" t="s">
        <v>5</v>
      </c>
      <c r="C25666" s="4" t="s">
        <v>7</v>
      </c>
      <c r="D25666" s="4" t="s">
        <v>11</v>
      </c>
      <c r="E25666" s="4" t="s">
        <v>8</v>
      </c>
    </row>
    <row r="25667" spans="1:13">
      <c r="A25667" t="n">
        <v>248682</v>
      </c>
      <c r="B25667" s="38" t="n">
        <v>51</v>
      </c>
      <c r="C25667" s="7" t="n">
        <v>4</v>
      </c>
      <c r="D25667" s="7" t="n">
        <v>0</v>
      </c>
      <c r="E25667" s="7" t="s">
        <v>242</v>
      </c>
    </row>
    <row r="25668" spans="1:13">
      <c r="A25668" t="s">
        <v>4</v>
      </c>
      <c r="B25668" s="4" t="s">
        <v>5</v>
      </c>
      <c r="C25668" s="4" t="s">
        <v>11</v>
      </c>
    </row>
    <row r="25669" spans="1:13">
      <c r="A25669" t="n">
        <v>248696</v>
      </c>
      <c r="B25669" s="29" t="n">
        <v>16</v>
      </c>
      <c r="C25669" s="7" t="n">
        <v>0</v>
      </c>
    </row>
    <row r="25670" spans="1:13">
      <c r="A25670" t="s">
        <v>4</v>
      </c>
      <c r="B25670" s="4" t="s">
        <v>5</v>
      </c>
      <c r="C25670" s="4" t="s">
        <v>11</v>
      </c>
      <c r="D25670" s="4" t="s">
        <v>7</v>
      </c>
      <c r="E25670" s="4" t="s">
        <v>15</v>
      </c>
      <c r="F25670" s="4" t="s">
        <v>55</v>
      </c>
      <c r="G25670" s="4" t="s">
        <v>7</v>
      </c>
      <c r="H25670" s="4" t="s">
        <v>7</v>
      </c>
      <c r="I25670" s="4" t="s">
        <v>7</v>
      </c>
      <c r="J25670" s="4" t="s">
        <v>15</v>
      </c>
      <c r="K25670" s="4" t="s">
        <v>55</v>
      </c>
      <c r="L25670" s="4" t="s">
        <v>7</v>
      </c>
      <c r="M25670" s="4" t="s">
        <v>7</v>
      </c>
      <c r="N25670" s="4" t="s">
        <v>7</v>
      </c>
      <c r="O25670" s="4" t="s">
        <v>15</v>
      </c>
      <c r="P25670" s="4" t="s">
        <v>55</v>
      </c>
      <c r="Q25670" s="4" t="s">
        <v>7</v>
      </c>
      <c r="R25670" s="4" t="s">
        <v>7</v>
      </c>
    </row>
    <row r="25671" spans="1:13">
      <c r="A25671" t="n">
        <v>248699</v>
      </c>
      <c r="B25671" s="55" t="n">
        <v>26</v>
      </c>
      <c r="C25671" s="7" t="n">
        <v>0</v>
      </c>
      <c r="D25671" s="7" t="n">
        <v>17</v>
      </c>
      <c r="E25671" s="7" t="n">
        <v>64576</v>
      </c>
      <c r="F25671" s="7" t="s">
        <v>1557</v>
      </c>
      <c r="G25671" s="7" t="n">
        <v>2</v>
      </c>
      <c r="H25671" s="7" t="n">
        <v>3</v>
      </c>
      <c r="I25671" s="7" t="n">
        <v>17</v>
      </c>
      <c r="J25671" s="7" t="n">
        <v>64577</v>
      </c>
      <c r="K25671" s="7" t="s">
        <v>1558</v>
      </c>
      <c r="L25671" s="7" t="n">
        <v>2</v>
      </c>
      <c r="M25671" s="7" t="n">
        <v>3</v>
      </c>
      <c r="N25671" s="7" t="n">
        <v>17</v>
      </c>
      <c r="O25671" s="7" t="n">
        <v>64578</v>
      </c>
      <c r="P25671" s="7" t="s">
        <v>1559</v>
      </c>
      <c r="Q25671" s="7" t="n">
        <v>2</v>
      </c>
      <c r="R25671" s="7" t="n">
        <v>0</v>
      </c>
    </row>
    <row r="25672" spans="1:13">
      <c r="A25672" t="s">
        <v>4</v>
      </c>
      <c r="B25672" s="4" t="s">
        <v>5</v>
      </c>
    </row>
    <row r="25673" spans="1:13">
      <c r="A25673" t="n">
        <v>249001</v>
      </c>
      <c r="B25673" s="27" t="n">
        <v>28</v>
      </c>
    </row>
    <row r="25674" spans="1:13">
      <c r="A25674" t="s">
        <v>4</v>
      </c>
      <c r="B25674" s="4" t="s">
        <v>5</v>
      </c>
      <c r="C25674" s="4" t="s">
        <v>7</v>
      </c>
      <c r="D25674" s="4" t="s">
        <v>11</v>
      </c>
      <c r="E25674" s="4" t="s">
        <v>11</v>
      </c>
      <c r="F25674" s="4" t="s">
        <v>7</v>
      </c>
    </row>
    <row r="25675" spans="1:13">
      <c r="A25675" t="n">
        <v>249002</v>
      </c>
      <c r="B25675" s="31" t="n">
        <v>25</v>
      </c>
      <c r="C25675" s="7" t="n">
        <v>1</v>
      </c>
      <c r="D25675" s="7" t="n">
        <v>65535</v>
      </c>
      <c r="E25675" s="7" t="n">
        <v>65535</v>
      </c>
      <c r="F25675" s="7" t="n">
        <v>0</v>
      </c>
    </row>
    <row r="25676" spans="1:13">
      <c r="A25676" t="s">
        <v>4</v>
      </c>
      <c r="B25676" s="4" t="s">
        <v>5</v>
      </c>
      <c r="C25676" s="4" t="s">
        <v>11</v>
      </c>
      <c r="D25676" s="4" t="s">
        <v>13</v>
      </c>
      <c r="E25676" s="4" t="s">
        <v>13</v>
      </c>
      <c r="F25676" s="4" t="s">
        <v>13</v>
      </c>
      <c r="G25676" s="4" t="s">
        <v>11</v>
      </c>
      <c r="H25676" s="4" t="s">
        <v>11</v>
      </c>
    </row>
    <row r="25677" spans="1:13">
      <c r="A25677" t="n">
        <v>249009</v>
      </c>
      <c r="B25677" s="37" t="n">
        <v>60</v>
      </c>
      <c r="C25677" s="7" t="n">
        <v>3</v>
      </c>
      <c r="D25677" s="7" t="n">
        <v>0</v>
      </c>
      <c r="E25677" s="7" t="n">
        <v>-10</v>
      </c>
      <c r="F25677" s="7" t="n">
        <v>0</v>
      </c>
      <c r="G25677" s="7" t="n">
        <v>1000</v>
      </c>
      <c r="H25677" s="7" t="n">
        <v>0</v>
      </c>
    </row>
    <row r="25678" spans="1:13">
      <c r="A25678" t="s">
        <v>4</v>
      </c>
      <c r="B25678" s="4" t="s">
        <v>5</v>
      </c>
      <c r="C25678" s="4" t="s">
        <v>7</v>
      </c>
      <c r="D25678" s="4" t="s">
        <v>11</v>
      </c>
      <c r="E25678" s="4" t="s">
        <v>8</v>
      </c>
    </row>
    <row r="25679" spans="1:13">
      <c r="A25679" t="n">
        <v>249028</v>
      </c>
      <c r="B25679" s="38" t="n">
        <v>51</v>
      </c>
      <c r="C25679" s="7" t="n">
        <v>4</v>
      </c>
      <c r="D25679" s="7" t="n">
        <v>3</v>
      </c>
      <c r="E25679" s="7" t="s">
        <v>242</v>
      </c>
    </row>
    <row r="25680" spans="1:13">
      <c r="A25680" t="s">
        <v>4</v>
      </c>
      <c r="B25680" s="4" t="s">
        <v>5</v>
      </c>
      <c r="C25680" s="4" t="s">
        <v>11</v>
      </c>
    </row>
    <row r="25681" spans="1:18">
      <c r="A25681" t="n">
        <v>249042</v>
      </c>
      <c r="B25681" s="29" t="n">
        <v>16</v>
      </c>
      <c r="C25681" s="7" t="n">
        <v>500</v>
      </c>
    </row>
    <row r="25682" spans="1:18">
      <c r="A25682" t="s">
        <v>4</v>
      </c>
      <c r="B25682" s="4" t="s">
        <v>5</v>
      </c>
      <c r="C25682" s="4" t="s">
        <v>11</v>
      </c>
      <c r="D25682" s="4" t="s">
        <v>7</v>
      </c>
      <c r="E25682" s="4" t="s">
        <v>15</v>
      </c>
      <c r="F25682" s="4" t="s">
        <v>55</v>
      </c>
      <c r="G25682" s="4" t="s">
        <v>7</v>
      </c>
      <c r="H25682" s="4" t="s">
        <v>7</v>
      </c>
      <c r="I25682" s="4" t="s">
        <v>7</v>
      </c>
      <c r="J25682" s="4" t="s">
        <v>15</v>
      </c>
      <c r="K25682" s="4" t="s">
        <v>55</v>
      </c>
      <c r="L25682" s="4" t="s">
        <v>7</v>
      </c>
      <c r="M25682" s="4" t="s">
        <v>7</v>
      </c>
      <c r="N25682" s="4" t="s">
        <v>7</v>
      </c>
      <c r="O25682" s="4" t="s">
        <v>15</v>
      </c>
      <c r="P25682" s="4" t="s">
        <v>55</v>
      </c>
      <c r="Q25682" s="4" t="s">
        <v>7</v>
      </c>
      <c r="R25682" s="4" t="s">
        <v>7</v>
      </c>
    </row>
    <row r="25683" spans="1:18">
      <c r="A25683" t="n">
        <v>249045</v>
      </c>
      <c r="B25683" s="55" t="n">
        <v>26</v>
      </c>
      <c r="C25683" s="7" t="n">
        <v>3</v>
      </c>
      <c r="D25683" s="7" t="n">
        <v>17</v>
      </c>
      <c r="E25683" s="7" t="n">
        <v>64579</v>
      </c>
      <c r="F25683" s="7" t="s">
        <v>1560</v>
      </c>
      <c r="G25683" s="7" t="n">
        <v>2</v>
      </c>
      <c r="H25683" s="7" t="n">
        <v>3</v>
      </c>
      <c r="I25683" s="7" t="n">
        <v>17</v>
      </c>
      <c r="J25683" s="7" t="n">
        <v>64580</v>
      </c>
      <c r="K25683" s="7" t="s">
        <v>1561</v>
      </c>
      <c r="L25683" s="7" t="n">
        <v>2</v>
      </c>
      <c r="M25683" s="7" t="n">
        <v>3</v>
      </c>
      <c r="N25683" s="7" t="n">
        <v>17</v>
      </c>
      <c r="O25683" s="7" t="n">
        <v>64581</v>
      </c>
      <c r="P25683" s="7" t="s">
        <v>1562</v>
      </c>
      <c r="Q25683" s="7" t="n">
        <v>2</v>
      </c>
      <c r="R25683" s="7" t="n">
        <v>0</v>
      </c>
    </row>
    <row r="25684" spans="1:18">
      <c r="A25684" t="s">
        <v>4</v>
      </c>
      <c r="B25684" s="4" t="s">
        <v>5</v>
      </c>
    </row>
    <row r="25685" spans="1:18">
      <c r="A25685" t="n">
        <v>249258</v>
      </c>
      <c r="B25685" s="27" t="n">
        <v>28</v>
      </c>
    </row>
    <row r="25686" spans="1:18">
      <c r="A25686" t="s">
        <v>4</v>
      </c>
      <c r="B25686" s="4" t="s">
        <v>5</v>
      </c>
      <c r="C25686" s="4" t="s">
        <v>11</v>
      </c>
      <c r="D25686" s="4" t="s">
        <v>13</v>
      </c>
      <c r="E25686" s="4" t="s">
        <v>13</v>
      </c>
      <c r="F25686" s="4" t="s">
        <v>13</v>
      </c>
      <c r="G25686" s="4" t="s">
        <v>11</v>
      </c>
      <c r="H25686" s="4" t="s">
        <v>11</v>
      </c>
    </row>
    <row r="25687" spans="1:18">
      <c r="A25687" t="n">
        <v>249259</v>
      </c>
      <c r="B25687" s="37" t="n">
        <v>60</v>
      </c>
      <c r="C25687" s="7" t="n">
        <v>3</v>
      </c>
      <c r="D25687" s="7" t="n">
        <v>0</v>
      </c>
      <c r="E25687" s="7" t="n">
        <v>0</v>
      </c>
      <c r="F25687" s="7" t="n">
        <v>0</v>
      </c>
      <c r="G25687" s="7" t="n">
        <v>800</v>
      </c>
      <c r="H25687" s="7" t="n">
        <v>0</v>
      </c>
    </row>
    <row r="25688" spans="1:18">
      <c r="A25688" t="s">
        <v>4</v>
      </c>
      <c r="B25688" s="4" t="s">
        <v>5</v>
      </c>
      <c r="C25688" s="4" t="s">
        <v>7</v>
      </c>
      <c r="D25688" s="4" t="s">
        <v>11</v>
      </c>
      <c r="E25688" s="4" t="s">
        <v>8</v>
      </c>
    </row>
    <row r="25689" spans="1:18">
      <c r="A25689" t="n">
        <v>249278</v>
      </c>
      <c r="B25689" s="38" t="n">
        <v>51</v>
      </c>
      <c r="C25689" s="7" t="n">
        <v>4</v>
      </c>
      <c r="D25689" s="7" t="n">
        <v>3</v>
      </c>
      <c r="E25689" s="7" t="s">
        <v>233</v>
      </c>
    </row>
    <row r="25690" spans="1:18">
      <c r="A25690" t="s">
        <v>4</v>
      </c>
      <c r="B25690" s="4" t="s">
        <v>5</v>
      </c>
      <c r="C25690" s="4" t="s">
        <v>11</v>
      </c>
    </row>
    <row r="25691" spans="1:18">
      <c r="A25691" t="n">
        <v>249291</v>
      </c>
      <c r="B25691" s="29" t="n">
        <v>16</v>
      </c>
      <c r="C25691" s="7" t="n">
        <v>500</v>
      </c>
    </row>
    <row r="25692" spans="1:18">
      <c r="A25692" t="s">
        <v>4</v>
      </c>
      <c r="B25692" s="4" t="s">
        <v>5</v>
      </c>
      <c r="C25692" s="4" t="s">
        <v>11</v>
      </c>
      <c r="D25692" s="4" t="s">
        <v>7</v>
      </c>
      <c r="E25692" s="4" t="s">
        <v>15</v>
      </c>
      <c r="F25692" s="4" t="s">
        <v>55</v>
      </c>
      <c r="G25692" s="4" t="s">
        <v>7</v>
      </c>
      <c r="H25692" s="4" t="s">
        <v>7</v>
      </c>
    </row>
    <row r="25693" spans="1:18">
      <c r="A25693" t="n">
        <v>249294</v>
      </c>
      <c r="B25693" s="55" t="n">
        <v>26</v>
      </c>
      <c r="C25693" s="7" t="n">
        <v>3</v>
      </c>
      <c r="D25693" s="7" t="n">
        <v>17</v>
      </c>
      <c r="E25693" s="7" t="n">
        <v>64582</v>
      </c>
      <c r="F25693" s="7" t="s">
        <v>1563</v>
      </c>
      <c r="G25693" s="7" t="n">
        <v>2</v>
      </c>
      <c r="H25693" s="7" t="n">
        <v>0</v>
      </c>
    </row>
    <row r="25694" spans="1:18">
      <c r="A25694" t="s">
        <v>4</v>
      </c>
      <c r="B25694" s="4" t="s">
        <v>5</v>
      </c>
    </row>
    <row r="25695" spans="1:18">
      <c r="A25695" t="n">
        <v>249385</v>
      </c>
      <c r="B25695" s="27" t="n">
        <v>28</v>
      </c>
    </row>
    <row r="25696" spans="1:18">
      <c r="A25696" t="s">
        <v>4</v>
      </c>
      <c r="B25696" s="4" t="s">
        <v>5</v>
      </c>
      <c r="C25696" s="4" t="s">
        <v>11</v>
      </c>
      <c r="D25696" s="4" t="s">
        <v>7</v>
      </c>
    </row>
    <row r="25697" spans="1:18">
      <c r="A25697" t="n">
        <v>249386</v>
      </c>
      <c r="B25697" s="68" t="n">
        <v>89</v>
      </c>
      <c r="C25697" s="7" t="n">
        <v>65533</v>
      </c>
      <c r="D25697" s="7" t="n">
        <v>1</v>
      </c>
    </row>
    <row r="25698" spans="1:18">
      <c r="A25698" t="s">
        <v>4</v>
      </c>
      <c r="B25698" s="4" t="s">
        <v>5</v>
      </c>
      <c r="C25698" s="4" t="s">
        <v>7</v>
      </c>
      <c r="D25698" s="4" t="s">
        <v>11</v>
      </c>
      <c r="E25698" s="4" t="s">
        <v>8</v>
      </c>
      <c r="F25698" s="4" t="s">
        <v>8</v>
      </c>
      <c r="G25698" s="4" t="s">
        <v>8</v>
      </c>
      <c r="H25698" s="4" t="s">
        <v>8</v>
      </c>
    </row>
    <row r="25699" spans="1:18">
      <c r="A25699" t="n">
        <v>249390</v>
      </c>
      <c r="B25699" s="38" t="n">
        <v>51</v>
      </c>
      <c r="C25699" s="7" t="n">
        <v>3</v>
      </c>
      <c r="D25699" s="7" t="n">
        <v>3</v>
      </c>
      <c r="E25699" s="7" t="s">
        <v>86</v>
      </c>
      <c r="F25699" s="7" t="s">
        <v>232</v>
      </c>
      <c r="G25699" s="7" t="s">
        <v>78</v>
      </c>
      <c r="H25699" s="7" t="s">
        <v>79</v>
      </c>
    </row>
    <row r="25700" spans="1:18">
      <c r="A25700" t="s">
        <v>4</v>
      </c>
      <c r="B25700" s="4" t="s">
        <v>5</v>
      </c>
      <c r="C25700" s="4" t="s">
        <v>11</v>
      </c>
      <c r="D25700" s="4" t="s">
        <v>11</v>
      </c>
      <c r="E25700" s="4" t="s">
        <v>13</v>
      </c>
      <c r="F25700" s="4" t="s">
        <v>13</v>
      </c>
      <c r="G25700" s="4" t="s">
        <v>13</v>
      </c>
      <c r="H25700" s="4" t="s">
        <v>13</v>
      </c>
      <c r="I25700" s="4" t="s">
        <v>7</v>
      </c>
      <c r="J25700" s="4" t="s">
        <v>11</v>
      </c>
    </row>
    <row r="25701" spans="1:18">
      <c r="A25701" t="n">
        <v>249403</v>
      </c>
      <c r="B25701" s="53" t="n">
        <v>55</v>
      </c>
      <c r="C25701" s="7" t="n">
        <v>3</v>
      </c>
      <c r="D25701" s="7" t="n">
        <v>65533</v>
      </c>
      <c r="E25701" s="7" t="n">
        <v>0.0700000002980232</v>
      </c>
      <c r="F25701" s="7" t="n">
        <v>10.0100002288818</v>
      </c>
      <c r="G25701" s="7" t="n">
        <v>57.9199981689453</v>
      </c>
      <c r="H25701" s="7" t="n">
        <v>0.600000023841858</v>
      </c>
      <c r="I25701" s="7" t="n">
        <v>1</v>
      </c>
      <c r="J25701" s="7" t="n">
        <v>0</v>
      </c>
    </row>
    <row r="25702" spans="1:18">
      <c r="A25702" t="s">
        <v>4</v>
      </c>
      <c r="B25702" s="4" t="s">
        <v>5</v>
      </c>
      <c r="C25702" s="4" t="s">
        <v>11</v>
      </c>
    </row>
    <row r="25703" spans="1:18">
      <c r="A25703" t="n">
        <v>249427</v>
      </c>
      <c r="B25703" s="29" t="n">
        <v>16</v>
      </c>
      <c r="C25703" s="7" t="n">
        <v>300</v>
      </c>
    </row>
    <row r="25704" spans="1:18">
      <c r="A25704" t="s">
        <v>4</v>
      </c>
      <c r="B25704" s="4" t="s">
        <v>5</v>
      </c>
      <c r="C25704" s="4" t="s">
        <v>11</v>
      </c>
    </row>
    <row r="25705" spans="1:18">
      <c r="A25705" t="n">
        <v>249430</v>
      </c>
      <c r="B25705" s="29" t="n">
        <v>16</v>
      </c>
      <c r="C25705" s="7" t="n">
        <v>500</v>
      </c>
    </row>
    <row r="25706" spans="1:18">
      <c r="A25706" t="s">
        <v>4</v>
      </c>
      <c r="B25706" s="4" t="s">
        <v>5</v>
      </c>
      <c r="C25706" s="4" t="s">
        <v>7</v>
      </c>
      <c r="D25706" s="4" t="s">
        <v>11</v>
      </c>
      <c r="E25706" s="4" t="s">
        <v>13</v>
      </c>
    </row>
    <row r="25707" spans="1:18">
      <c r="A25707" t="n">
        <v>249433</v>
      </c>
      <c r="B25707" s="23" t="n">
        <v>58</v>
      </c>
      <c r="C25707" s="7" t="n">
        <v>101</v>
      </c>
      <c r="D25707" s="7" t="n">
        <v>500</v>
      </c>
      <c r="E25707" s="7" t="n">
        <v>1</v>
      </c>
    </row>
    <row r="25708" spans="1:18">
      <c r="A25708" t="s">
        <v>4</v>
      </c>
      <c r="B25708" s="4" t="s">
        <v>5</v>
      </c>
      <c r="C25708" s="4" t="s">
        <v>7</v>
      </c>
      <c r="D25708" s="4" t="s">
        <v>11</v>
      </c>
    </row>
    <row r="25709" spans="1:18">
      <c r="A25709" t="n">
        <v>249441</v>
      </c>
      <c r="B25709" s="23" t="n">
        <v>58</v>
      </c>
      <c r="C25709" s="7" t="n">
        <v>254</v>
      </c>
      <c r="D25709" s="7" t="n">
        <v>0</v>
      </c>
    </row>
    <row r="25710" spans="1:18">
      <c r="A25710" t="s">
        <v>4</v>
      </c>
      <c r="B25710" s="4" t="s">
        <v>5</v>
      </c>
      <c r="C25710" s="4" t="s">
        <v>11</v>
      </c>
      <c r="D25710" s="4" t="s">
        <v>7</v>
      </c>
    </row>
    <row r="25711" spans="1:18">
      <c r="A25711" t="n">
        <v>249445</v>
      </c>
      <c r="B25711" s="54" t="n">
        <v>56</v>
      </c>
      <c r="C25711" s="7" t="n">
        <v>3</v>
      </c>
      <c r="D25711" s="7" t="n">
        <v>1</v>
      </c>
    </row>
    <row r="25712" spans="1:18">
      <c r="A25712" t="s">
        <v>4</v>
      </c>
      <c r="B25712" s="4" t="s">
        <v>5</v>
      </c>
      <c r="C25712" s="4" t="s">
        <v>11</v>
      </c>
    </row>
    <row r="25713" spans="1:10">
      <c r="A25713" t="n">
        <v>249449</v>
      </c>
      <c r="B25713" s="29" t="n">
        <v>16</v>
      </c>
      <c r="C25713" s="7" t="n">
        <v>0</v>
      </c>
    </row>
    <row r="25714" spans="1:10">
      <c r="A25714" t="s">
        <v>4</v>
      </c>
      <c r="B25714" s="4" t="s">
        <v>5</v>
      </c>
      <c r="C25714" s="4" t="s">
        <v>11</v>
      </c>
      <c r="D25714" s="4" t="s">
        <v>13</v>
      </c>
      <c r="E25714" s="4" t="s">
        <v>13</v>
      </c>
      <c r="F25714" s="4" t="s">
        <v>13</v>
      </c>
      <c r="G25714" s="4" t="s">
        <v>13</v>
      </c>
    </row>
    <row r="25715" spans="1:10">
      <c r="A25715" t="n">
        <v>249452</v>
      </c>
      <c r="B25715" s="36" t="n">
        <v>46</v>
      </c>
      <c r="C25715" s="7" t="n">
        <v>3</v>
      </c>
      <c r="D25715" s="7" t="n">
        <v>0.0700000002980232</v>
      </c>
      <c r="E25715" s="7" t="n">
        <v>10.0100002288818</v>
      </c>
      <c r="F25715" s="7" t="n">
        <v>57.9199981689453</v>
      </c>
      <c r="G25715" s="7" t="n">
        <v>238.5</v>
      </c>
    </row>
    <row r="25716" spans="1:10">
      <c r="A25716" t="s">
        <v>4</v>
      </c>
      <c r="B25716" s="4" t="s">
        <v>5</v>
      </c>
      <c r="C25716" s="4" t="s">
        <v>11</v>
      </c>
      <c r="D25716" s="4" t="s">
        <v>11</v>
      </c>
      <c r="E25716" s="4" t="s">
        <v>11</v>
      </c>
    </row>
    <row r="25717" spans="1:10">
      <c r="A25717" t="n">
        <v>249471</v>
      </c>
      <c r="B25717" s="72" t="n">
        <v>61</v>
      </c>
      <c r="C25717" s="7" t="n">
        <v>3</v>
      </c>
      <c r="D25717" s="7" t="n">
        <v>65533</v>
      </c>
      <c r="E25717" s="7" t="n">
        <v>0</v>
      </c>
    </row>
    <row r="25718" spans="1:10">
      <c r="A25718" t="s">
        <v>4</v>
      </c>
      <c r="B25718" s="4" t="s">
        <v>5</v>
      </c>
      <c r="C25718" s="4" t="s">
        <v>11</v>
      </c>
      <c r="D25718" s="4" t="s">
        <v>11</v>
      </c>
      <c r="E25718" s="4" t="s">
        <v>11</v>
      </c>
    </row>
    <row r="25719" spans="1:10">
      <c r="A25719" t="n">
        <v>249478</v>
      </c>
      <c r="B25719" s="72" t="n">
        <v>61</v>
      </c>
      <c r="C25719" s="7" t="n">
        <v>0</v>
      </c>
      <c r="D25719" s="7" t="n">
        <v>65533</v>
      </c>
      <c r="E25719" s="7" t="n">
        <v>0</v>
      </c>
    </row>
    <row r="25720" spans="1:10">
      <c r="A25720" t="s">
        <v>4</v>
      </c>
      <c r="B25720" s="4" t="s">
        <v>5</v>
      </c>
      <c r="C25720" s="4" t="s">
        <v>7</v>
      </c>
      <c r="D25720" s="4" t="s">
        <v>7</v>
      </c>
      <c r="E25720" s="4" t="s">
        <v>13</v>
      </c>
      <c r="F25720" s="4" t="s">
        <v>13</v>
      </c>
      <c r="G25720" s="4" t="s">
        <v>13</v>
      </c>
      <c r="H25720" s="4" t="s">
        <v>11</v>
      </c>
    </row>
    <row r="25721" spans="1:10">
      <c r="A25721" t="n">
        <v>249485</v>
      </c>
      <c r="B25721" s="51" t="n">
        <v>45</v>
      </c>
      <c r="C25721" s="7" t="n">
        <v>2</v>
      </c>
      <c r="D25721" s="7" t="n">
        <v>3</v>
      </c>
      <c r="E25721" s="7" t="n">
        <v>0.0199999995529652</v>
      </c>
      <c r="F25721" s="7" t="n">
        <v>11.4499998092651</v>
      </c>
      <c r="G25721" s="7" t="n">
        <v>57.7900009155273</v>
      </c>
      <c r="H25721" s="7" t="n">
        <v>0</v>
      </c>
    </row>
    <row r="25722" spans="1:10">
      <c r="A25722" t="s">
        <v>4</v>
      </c>
      <c r="B25722" s="4" t="s">
        <v>5</v>
      </c>
      <c r="C25722" s="4" t="s">
        <v>7</v>
      </c>
      <c r="D25722" s="4" t="s">
        <v>7</v>
      </c>
      <c r="E25722" s="4" t="s">
        <v>13</v>
      </c>
      <c r="F25722" s="4" t="s">
        <v>13</v>
      </c>
      <c r="G25722" s="4" t="s">
        <v>13</v>
      </c>
      <c r="H25722" s="4" t="s">
        <v>11</v>
      </c>
      <c r="I25722" s="4" t="s">
        <v>7</v>
      </c>
    </row>
    <row r="25723" spans="1:10">
      <c r="A25723" t="n">
        <v>249502</v>
      </c>
      <c r="B25723" s="51" t="n">
        <v>45</v>
      </c>
      <c r="C25723" s="7" t="n">
        <v>4</v>
      </c>
      <c r="D25723" s="7" t="n">
        <v>3</v>
      </c>
      <c r="E25723" s="7" t="n">
        <v>18.9200000762939</v>
      </c>
      <c r="F25723" s="7" t="n">
        <v>185.220001220703</v>
      </c>
      <c r="G25723" s="7" t="n">
        <v>6</v>
      </c>
      <c r="H25723" s="7" t="n">
        <v>0</v>
      </c>
      <c r="I25723" s="7" t="n">
        <v>0</v>
      </c>
    </row>
    <row r="25724" spans="1:10">
      <c r="A25724" t="s">
        <v>4</v>
      </c>
      <c r="B25724" s="4" t="s">
        <v>5</v>
      </c>
      <c r="C25724" s="4" t="s">
        <v>7</v>
      </c>
      <c r="D25724" s="4" t="s">
        <v>7</v>
      </c>
      <c r="E25724" s="4" t="s">
        <v>13</v>
      </c>
      <c r="F25724" s="4" t="s">
        <v>11</v>
      </c>
    </row>
    <row r="25725" spans="1:10">
      <c r="A25725" t="n">
        <v>249520</v>
      </c>
      <c r="B25725" s="51" t="n">
        <v>45</v>
      </c>
      <c r="C25725" s="7" t="n">
        <v>5</v>
      </c>
      <c r="D25725" s="7" t="n">
        <v>3</v>
      </c>
      <c r="E25725" s="7" t="n">
        <v>1.10000002384186</v>
      </c>
      <c r="F25725" s="7" t="n">
        <v>0</v>
      </c>
    </row>
    <row r="25726" spans="1:10">
      <c r="A25726" t="s">
        <v>4</v>
      </c>
      <c r="B25726" s="4" t="s">
        <v>5</v>
      </c>
      <c r="C25726" s="4" t="s">
        <v>7</v>
      </c>
      <c r="D25726" s="4" t="s">
        <v>7</v>
      </c>
      <c r="E25726" s="4" t="s">
        <v>13</v>
      </c>
      <c r="F25726" s="4" t="s">
        <v>11</v>
      </c>
    </row>
    <row r="25727" spans="1:10">
      <c r="A25727" t="n">
        <v>249529</v>
      </c>
      <c r="B25727" s="51" t="n">
        <v>45</v>
      </c>
      <c r="C25727" s="7" t="n">
        <v>11</v>
      </c>
      <c r="D25727" s="7" t="n">
        <v>3</v>
      </c>
      <c r="E25727" s="7" t="n">
        <v>32.7999992370605</v>
      </c>
      <c r="F25727" s="7" t="n">
        <v>0</v>
      </c>
    </row>
    <row r="25728" spans="1:10">
      <c r="A25728" t="s">
        <v>4</v>
      </c>
      <c r="B25728" s="4" t="s">
        <v>5</v>
      </c>
      <c r="C25728" s="4" t="s">
        <v>7</v>
      </c>
      <c r="D25728" s="4" t="s">
        <v>7</v>
      </c>
      <c r="E25728" s="4" t="s">
        <v>13</v>
      </c>
      <c r="F25728" s="4" t="s">
        <v>13</v>
      </c>
      <c r="G25728" s="4" t="s">
        <v>13</v>
      </c>
      <c r="H25728" s="4" t="s">
        <v>11</v>
      </c>
    </row>
    <row r="25729" spans="1:9">
      <c r="A25729" t="n">
        <v>249538</v>
      </c>
      <c r="B25729" s="51" t="n">
        <v>45</v>
      </c>
      <c r="C25729" s="7" t="n">
        <v>2</v>
      </c>
      <c r="D25729" s="7" t="n">
        <v>3</v>
      </c>
      <c r="E25729" s="7" t="n">
        <v>-0.150000005960464</v>
      </c>
      <c r="F25729" s="7" t="n">
        <v>11.4499998092651</v>
      </c>
      <c r="G25729" s="7" t="n">
        <v>57.75</v>
      </c>
      <c r="H25729" s="7" t="n">
        <v>2500</v>
      </c>
    </row>
    <row r="25730" spans="1:9">
      <c r="A25730" t="s">
        <v>4</v>
      </c>
      <c r="B25730" s="4" t="s">
        <v>5</v>
      </c>
      <c r="C25730" s="4" t="s">
        <v>7</v>
      </c>
      <c r="D25730" s="4" t="s">
        <v>11</v>
      </c>
      <c r="E25730" s="4" t="s">
        <v>8</v>
      </c>
      <c r="F25730" s="4" t="s">
        <v>8</v>
      </c>
      <c r="G25730" s="4" t="s">
        <v>8</v>
      </c>
      <c r="H25730" s="4" t="s">
        <v>8</v>
      </c>
    </row>
    <row r="25731" spans="1:9">
      <c r="A25731" t="n">
        <v>249555</v>
      </c>
      <c r="B25731" s="38" t="n">
        <v>51</v>
      </c>
      <c r="C25731" s="7" t="n">
        <v>3</v>
      </c>
      <c r="D25731" s="7" t="n">
        <v>3</v>
      </c>
      <c r="E25731" s="7" t="s">
        <v>319</v>
      </c>
      <c r="F25731" s="7" t="s">
        <v>232</v>
      </c>
      <c r="G25731" s="7" t="s">
        <v>67</v>
      </c>
      <c r="H25731" s="7" t="s">
        <v>68</v>
      </c>
    </row>
    <row r="25732" spans="1:9">
      <c r="A25732" t="s">
        <v>4</v>
      </c>
      <c r="B25732" s="4" t="s">
        <v>5</v>
      </c>
      <c r="C25732" s="4" t="s">
        <v>11</v>
      </c>
      <c r="D25732" s="4" t="s">
        <v>7</v>
      </c>
      <c r="E25732" s="4" t="s">
        <v>8</v>
      </c>
      <c r="F25732" s="4" t="s">
        <v>13</v>
      </c>
      <c r="G25732" s="4" t="s">
        <v>13</v>
      </c>
      <c r="H25732" s="4" t="s">
        <v>13</v>
      </c>
    </row>
    <row r="25733" spans="1:9">
      <c r="A25733" t="n">
        <v>249567</v>
      </c>
      <c r="B25733" s="42" t="n">
        <v>48</v>
      </c>
      <c r="C25733" s="7" t="n">
        <v>0</v>
      </c>
      <c r="D25733" s="7" t="n">
        <v>0</v>
      </c>
      <c r="E25733" s="7" t="s">
        <v>389</v>
      </c>
      <c r="F25733" s="7" t="n">
        <v>0</v>
      </c>
      <c r="G25733" s="7" t="n">
        <v>1</v>
      </c>
      <c r="H25733" s="7" t="n">
        <v>0</v>
      </c>
    </row>
    <row r="25734" spans="1:9">
      <c r="A25734" t="s">
        <v>4</v>
      </c>
      <c r="B25734" s="4" t="s">
        <v>5</v>
      </c>
      <c r="C25734" s="4" t="s">
        <v>11</v>
      </c>
      <c r="D25734" s="4" t="s">
        <v>7</v>
      </c>
      <c r="E25734" s="4" t="s">
        <v>8</v>
      </c>
      <c r="F25734" s="4" t="s">
        <v>13</v>
      </c>
      <c r="G25734" s="4" t="s">
        <v>13</v>
      </c>
      <c r="H25734" s="4" t="s">
        <v>13</v>
      </c>
    </row>
    <row r="25735" spans="1:9">
      <c r="A25735" t="n">
        <v>249593</v>
      </c>
      <c r="B25735" s="42" t="n">
        <v>48</v>
      </c>
      <c r="C25735" s="7" t="n">
        <v>3</v>
      </c>
      <c r="D25735" s="7" t="n">
        <v>0</v>
      </c>
      <c r="E25735" s="7" t="s">
        <v>389</v>
      </c>
      <c r="F25735" s="7" t="n">
        <v>0</v>
      </c>
      <c r="G25735" s="7" t="n">
        <v>1</v>
      </c>
      <c r="H25735" s="7" t="n">
        <v>0</v>
      </c>
    </row>
    <row r="25736" spans="1:9">
      <c r="A25736" t="s">
        <v>4</v>
      </c>
      <c r="B25736" s="4" t="s">
        <v>5</v>
      </c>
      <c r="C25736" s="4" t="s">
        <v>11</v>
      </c>
    </row>
    <row r="25737" spans="1:9">
      <c r="A25737" t="n">
        <v>249619</v>
      </c>
      <c r="B25737" s="29" t="n">
        <v>16</v>
      </c>
      <c r="C25737" s="7" t="n">
        <v>500</v>
      </c>
    </row>
    <row r="25738" spans="1:9">
      <c r="A25738" t="s">
        <v>4</v>
      </c>
      <c r="B25738" s="4" t="s">
        <v>5</v>
      </c>
      <c r="C25738" s="4" t="s">
        <v>7</v>
      </c>
      <c r="D25738" s="4" t="s">
        <v>11</v>
      </c>
      <c r="E25738" s="4" t="s">
        <v>13</v>
      </c>
      <c r="F25738" s="4" t="s">
        <v>11</v>
      </c>
      <c r="G25738" s="4" t="s">
        <v>15</v>
      </c>
      <c r="H25738" s="4" t="s">
        <v>15</v>
      </c>
      <c r="I25738" s="4" t="s">
        <v>11</v>
      </c>
      <c r="J25738" s="4" t="s">
        <v>11</v>
      </c>
      <c r="K25738" s="4" t="s">
        <v>15</v>
      </c>
      <c r="L25738" s="4" t="s">
        <v>15</v>
      </c>
      <c r="M25738" s="4" t="s">
        <v>15</v>
      </c>
      <c r="N25738" s="4" t="s">
        <v>15</v>
      </c>
      <c r="O25738" s="4" t="s">
        <v>8</v>
      </c>
    </row>
    <row r="25739" spans="1:9">
      <c r="A25739" t="n">
        <v>249622</v>
      </c>
      <c r="B25739" s="57" t="n">
        <v>50</v>
      </c>
      <c r="C25739" s="7" t="n">
        <v>0</v>
      </c>
      <c r="D25739" s="7" t="n">
        <v>2000</v>
      </c>
      <c r="E25739" s="7" t="n">
        <v>0.699999988079071</v>
      </c>
      <c r="F25739" s="7" t="n">
        <v>250</v>
      </c>
      <c r="G25739" s="7" t="n">
        <v>0</v>
      </c>
      <c r="H25739" s="7" t="n">
        <v>1073741824</v>
      </c>
      <c r="I25739" s="7" t="n">
        <v>0</v>
      </c>
      <c r="J25739" s="7" t="n">
        <v>65533</v>
      </c>
      <c r="K25739" s="7" t="n">
        <v>0</v>
      </c>
      <c r="L25739" s="7" t="n">
        <v>0</v>
      </c>
      <c r="M25739" s="7" t="n">
        <v>0</v>
      </c>
      <c r="N25739" s="7" t="n">
        <v>0</v>
      </c>
      <c r="O25739" s="7" t="s">
        <v>16</v>
      </c>
    </row>
    <row r="25740" spans="1:9">
      <c r="A25740" t="s">
        <v>4</v>
      </c>
      <c r="B25740" s="4" t="s">
        <v>5</v>
      </c>
      <c r="C25740" s="4" t="s">
        <v>7</v>
      </c>
      <c r="D25740" s="4" t="s">
        <v>11</v>
      </c>
    </row>
    <row r="25741" spans="1:9">
      <c r="A25741" t="n">
        <v>249661</v>
      </c>
      <c r="B25741" s="51" t="n">
        <v>45</v>
      </c>
      <c r="C25741" s="7" t="n">
        <v>7</v>
      </c>
      <c r="D25741" s="7" t="n">
        <v>255</v>
      </c>
    </row>
    <row r="25742" spans="1:9">
      <c r="A25742" t="s">
        <v>4</v>
      </c>
      <c r="B25742" s="4" t="s">
        <v>5</v>
      </c>
      <c r="C25742" s="4" t="s">
        <v>7</v>
      </c>
      <c r="D25742" s="4" t="s">
        <v>11</v>
      </c>
      <c r="E25742" s="4" t="s">
        <v>8</v>
      </c>
    </row>
    <row r="25743" spans="1:9">
      <c r="A25743" t="n">
        <v>249665</v>
      </c>
      <c r="B25743" s="38" t="n">
        <v>51</v>
      </c>
      <c r="C25743" s="7" t="n">
        <v>4</v>
      </c>
      <c r="D25743" s="7" t="n">
        <v>0</v>
      </c>
      <c r="E25743" s="7" t="s">
        <v>245</v>
      </c>
    </row>
    <row r="25744" spans="1:9">
      <c r="A25744" t="s">
        <v>4</v>
      </c>
      <c r="B25744" s="4" t="s">
        <v>5</v>
      </c>
      <c r="C25744" s="4" t="s">
        <v>11</v>
      </c>
    </row>
    <row r="25745" spans="1:15">
      <c r="A25745" t="n">
        <v>249679</v>
      </c>
      <c r="B25745" s="29" t="n">
        <v>16</v>
      </c>
      <c r="C25745" s="7" t="n">
        <v>0</v>
      </c>
    </row>
    <row r="25746" spans="1:15">
      <c r="A25746" t="s">
        <v>4</v>
      </c>
      <c r="B25746" s="4" t="s">
        <v>5</v>
      </c>
      <c r="C25746" s="4" t="s">
        <v>11</v>
      </c>
      <c r="D25746" s="4" t="s">
        <v>7</v>
      </c>
      <c r="E25746" s="4" t="s">
        <v>15</v>
      </c>
      <c r="F25746" s="4" t="s">
        <v>55</v>
      </c>
      <c r="G25746" s="4" t="s">
        <v>7</v>
      </c>
      <c r="H25746" s="4" t="s">
        <v>7</v>
      </c>
      <c r="I25746" s="4" t="s">
        <v>7</v>
      </c>
      <c r="J25746" s="4" t="s">
        <v>15</v>
      </c>
      <c r="K25746" s="4" t="s">
        <v>55</v>
      </c>
      <c r="L25746" s="4" t="s">
        <v>7</v>
      </c>
      <c r="M25746" s="4" t="s">
        <v>7</v>
      </c>
    </row>
    <row r="25747" spans="1:15">
      <c r="A25747" t="n">
        <v>249682</v>
      </c>
      <c r="B25747" s="55" t="n">
        <v>26</v>
      </c>
      <c r="C25747" s="7" t="n">
        <v>0</v>
      </c>
      <c r="D25747" s="7" t="n">
        <v>17</v>
      </c>
      <c r="E25747" s="7" t="n">
        <v>64583</v>
      </c>
      <c r="F25747" s="7" t="s">
        <v>1564</v>
      </c>
      <c r="G25747" s="7" t="n">
        <v>2</v>
      </c>
      <c r="H25747" s="7" t="n">
        <v>3</v>
      </c>
      <c r="I25747" s="7" t="n">
        <v>17</v>
      </c>
      <c r="J25747" s="7" t="n">
        <v>64268</v>
      </c>
      <c r="K25747" s="7" t="s">
        <v>1565</v>
      </c>
      <c r="L25747" s="7" t="n">
        <v>2</v>
      </c>
      <c r="M25747" s="7" t="n">
        <v>0</v>
      </c>
    </row>
    <row r="25748" spans="1:15">
      <c r="A25748" t="s">
        <v>4</v>
      </c>
      <c r="B25748" s="4" t="s">
        <v>5</v>
      </c>
    </row>
    <row r="25749" spans="1:15">
      <c r="A25749" t="n">
        <v>249740</v>
      </c>
      <c r="B25749" s="27" t="n">
        <v>28</v>
      </c>
    </row>
    <row r="25750" spans="1:15">
      <c r="A25750" t="s">
        <v>4</v>
      </c>
      <c r="B25750" s="4" t="s">
        <v>5</v>
      </c>
      <c r="C25750" s="4" t="s">
        <v>7</v>
      </c>
      <c r="D25750" s="4" t="s">
        <v>11</v>
      </c>
      <c r="E25750" s="4" t="s">
        <v>11</v>
      </c>
      <c r="F25750" s="4" t="s">
        <v>7</v>
      </c>
    </row>
    <row r="25751" spans="1:15">
      <c r="A25751" t="n">
        <v>249741</v>
      </c>
      <c r="B25751" s="31" t="n">
        <v>25</v>
      </c>
      <c r="C25751" s="7" t="n">
        <v>1</v>
      </c>
      <c r="D25751" s="7" t="n">
        <v>65535</v>
      </c>
      <c r="E25751" s="7" t="n">
        <v>65535</v>
      </c>
      <c r="F25751" s="7" t="n">
        <v>0</v>
      </c>
    </row>
    <row r="25752" spans="1:15">
      <c r="A25752" t="s">
        <v>4</v>
      </c>
      <c r="B25752" s="4" t="s">
        <v>5</v>
      </c>
      <c r="C25752" s="4" t="s">
        <v>11</v>
      </c>
      <c r="D25752" s="4" t="s">
        <v>7</v>
      </c>
      <c r="E25752" s="4" t="s">
        <v>8</v>
      </c>
      <c r="F25752" s="4" t="s">
        <v>13</v>
      </c>
      <c r="G25752" s="4" t="s">
        <v>13</v>
      </c>
      <c r="H25752" s="4" t="s">
        <v>13</v>
      </c>
    </row>
    <row r="25753" spans="1:15">
      <c r="A25753" t="n">
        <v>249748</v>
      </c>
      <c r="B25753" s="42" t="n">
        <v>48</v>
      </c>
      <c r="C25753" s="7" t="n">
        <v>0</v>
      </c>
      <c r="D25753" s="7" t="n">
        <v>0</v>
      </c>
      <c r="E25753" s="7" t="s">
        <v>390</v>
      </c>
      <c r="F25753" s="7" t="n">
        <v>-1</v>
      </c>
      <c r="G25753" s="7" t="n">
        <v>1</v>
      </c>
      <c r="H25753" s="7" t="n">
        <v>0</v>
      </c>
    </row>
    <row r="25754" spans="1:15">
      <c r="A25754" t="s">
        <v>4</v>
      </c>
      <c r="B25754" s="4" t="s">
        <v>5</v>
      </c>
      <c r="C25754" s="4" t="s">
        <v>11</v>
      </c>
      <c r="D25754" s="4" t="s">
        <v>7</v>
      </c>
      <c r="E25754" s="4" t="s">
        <v>8</v>
      </c>
      <c r="F25754" s="4" t="s">
        <v>13</v>
      </c>
      <c r="G25754" s="4" t="s">
        <v>13</v>
      </c>
      <c r="H25754" s="4" t="s">
        <v>13</v>
      </c>
    </row>
    <row r="25755" spans="1:15">
      <c r="A25755" t="n">
        <v>249774</v>
      </c>
      <c r="B25755" s="42" t="n">
        <v>48</v>
      </c>
      <c r="C25755" s="7" t="n">
        <v>3</v>
      </c>
      <c r="D25755" s="7" t="n">
        <v>0</v>
      </c>
      <c r="E25755" s="7" t="s">
        <v>390</v>
      </c>
      <c r="F25755" s="7" t="n">
        <v>-1</v>
      </c>
      <c r="G25755" s="7" t="n">
        <v>1</v>
      </c>
      <c r="H25755" s="7" t="n">
        <v>0</v>
      </c>
    </row>
    <row r="25756" spans="1:15">
      <c r="A25756" t="s">
        <v>4</v>
      </c>
      <c r="B25756" s="4" t="s">
        <v>5</v>
      </c>
      <c r="C25756" s="4" t="s">
        <v>11</v>
      </c>
    </row>
    <row r="25757" spans="1:15">
      <c r="A25757" t="n">
        <v>249800</v>
      </c>
      <c r="B25757" s="29" t="n">
        <v>16</v>
      </c>
      <c r="C25757" s="7" t="n">
        <v>500</v>
      </c>
    </row>
    <row r="25758" spans="1:15">
      <c r="A25758" t="s">
        <v>4</v>
      </c>
      <c r="B25758" s="4" t="s">
        <v>5</v>
      </c>
      <c r="C25758" s="4" t="s">
        <v>7</v>
      </c>
      <c r="D25758" s="4" t="s">
        <v>11</v>
      </c>
      <c r="E25758" s="4" t="s">
        <v>13</v>
      </c>
      <c r="F25758" s="4" t="s">
        <v>11</v>
      </c>
      <c r="G25758" s="4" t="s">
        <v>15</v>
      </c>
      <c r="H25758" s="4" t="s">
        <v>15</v>
      </c>
      <c r="I25758" s="4" t="s">
        <v>11</v>
      </c>
      <c r="J25758" s="4" t="s">
        <v>11</v>
      </c>
      <c r="K25758" s="4" t="s">
        <v>15</v>
      </c>
      <c r="L25758" s="4" t="s">
        <v>15</v>
      </c>
      <c r="M25758" s="4" t="s">
        <v>15</v>
      </c>
      <c r="N25758" s="4" t="s">
        <v>15</v>
      </c>
      <c r="O25758" s="4" t="s">
        <v>8</v>
      </c>
    </row>
    <row r="25759" spans="1:15">
      <c r="A25759" t="n">
        <v>249803</v>
      </c>
      <c r="B25759" s="57" t="n">
        <v>50</v>
      </c>
      <c r="C25759" s="7" t="n">
        <v>0</v>
      </c>
      <c r="D25759" s="7" t="n">
        <v>2000</v>
      </c>
      <c r="E25759" s="7" t="n">
        <v>0.600000023841858</v>
      </c>
      <c r="F25759" s="7" t="n">
        <v>350</v>
      </c>
      <c r="G25759" s="7" t="n">
        <v>0</v>
      </c>
      <c r="H25759" s="7" t="n">
        <v>0</v>
      </c>
      <c r="I25759" s="7" t="n">
        <v>0</v>
      </c>
      <c r="J25759" s="7" t="n">
        <v>65533</v>
      </c>
      <c r="K25759" s="7" t="n">
        <v>0</v>
      </c>
      <c r="L25759" s="7" t="n">
        <v>0</v>
      </c>
      <c r="M25759" s="7" t="n">
        <v>0</v>
      </c>
      <c r="N25759" s="7" t="n">
        <v>0</v>
      </c>
      <c r="O25759" s="7" t="s">
        <v>16</v>
      </c>
    </row>
    <row r="25760" spans="1:15">
      <c r="A25760" t="s">
        <v>4</v>
      </c>
      <c r="B25760" s="4" t="s">
        <v>5</v>
      </c>
      <c r="C25760" s="4" t="s">
        <v>11</v>
      </c>
    </row>
    <row r="25761" spans="1:15">
      <c r="A25761" t="n">
        <v>249842</v>
      </c>
      <c r="B25761" s="29" t="n">
        <v>16</v>
      </c>
      <c r="C25761" s="7" t="n">
        <v>2500</v>
      </c>
    </row>
    <row r="25762" spans="1:15">
      <c r="A25762" t="s">
        <v>4</v>
      </c>
      <c r="B25762" s="4" t="s">
        <v>5</v>
      </c>
      <c r="C25762" s="4" t="s">
        <v>7</v>
      </c>
      <c r="D25762" s="4" t="s">
        <v>11</v>
      </c>
      <c r="E25762" s="4" t="s">
        <v>8</v>
      </c>
    </row>
    <row r="25763" spans="1:15">
      <c r="A25763" t="n">
        <v>249845</v>
      </c>
      <c r="B25763" s="38" t="n">
        <v>51</v>
      </c>
      <c r="C25763" s="7" t="n">
        <v>4</v>
      </c>
      <c r="D25763" s="7" t="n">
        <v>3</v>
      </c>
      <c r="E25763" s="7" t="s">
        <v>1566</v>
      </c>
    </row>
    <row r="25764" spans="1:15">
      <c r="A25764" t="s">
        <v>4</v>
      </c>
      <c r="B25764" s="4" t="s">
        <v>5</v>
      </c>
      <c r="C25764" s="4" t="s">
        <v>11</v>
      </c>
    </row>
    <row r="25765" spans="1:15">
      <c r="A25765" t="n">
        <v>249864</v>
      </c>
      <c r="B25765" s="29" t="n">
        <v>16</v>
      </c>
      <c r="C25765" s="7" t="n">
        <v>0</v>
      </c>
    </row>
    <row r="25766" spans="1:15">
      <c r="A25766" t="s">
        <v>4</v>
      </c>
      <c r="B25766" s="4" t="s">
        <v>5</v>
      </c>
      <c r="C25766" s="4" t="s">
        <v>11</v>
      </c>
      <c r="D25766" s="4" t="s">
        <v>7</v>
      </c>
      <c r="E25766" s="4" t="s">
        <v>15</v>
      </c>
      <c r="F25766" s="4" t="s">
        <v>55</v>
      </c>
      <c r="G25766" s="4" t="s">
        <v>7</v>
      </c>
      <c r="H25766" s="4" t="s">
        <v>7</v>
      </c>
      <c r="I25766" s="4" t="s">
        <v>7</v>
      </c>
      <c r="J25766" s="4" t="s">
        <v>15</v>
      </c>
      <c r="K25766" s="4" t="s">
        <v>55</v>
      </c>
      <c r="L25766" s="4" t="s">
        <v>7</v>
      </c>
      <c r="M25766" s="4" t="s">
        <v>7</v>
      </c>
      <c r="N25766" s="4" t="s">
        <v>7</v>
      </c>
      <c r="O25766" s="4" t="s">
        <v>15</v>
      </c>
      <c r="P25766" s="4" t="s">
        <v>55</v>
      </c>
      <c r="Q25766" s="4" t="s">
        <v>7</v>
      </c>
      <c r="R25766" s="4" t="s">
        <v>7</v>
      </c>
    </row>
    <row r="25767" spans="1:15">
      <c r="A25767" t="n">
        <v>249867</v>
      </c>
      <c r="B25767" s="55" t="n">
        <v>26</v>
      </c>
      <c r="C25767" s="7" t="n">
        <v>3</v>
      </c>
      <c r="D25767" s="7" t="n">
        <v>17</v>
      </c>
      <c r="E25767" s="7" t="n">
        <v>64584</v>
      </c>
      <c r="F25767" s="7" t="s">
        <v>1567</v>
      </c>
      <c r="G25767" s="7" t="n">
        <v>2</v>
      </c>
      <c r="H25767" s="7" t="n">
        <v>3</v>
      </c>
      <c r="I25767" s="7" t="n">
        <v>17</v>
      </c>
      <c r="J25767" s="7" t="n">
        <v>64585</v>
      </c>
      <c r="K25767" s="7" t="s">
        <v>1568</v>
      </c>
      <c r="L25767" s="7" t="n">
        <v>2</v>
      </c>
      <c r="M25767" s="7" t="n">
        <v>3</v>
      </c>
      <c r="N25767" s="7" t="n">
        <v>17</v>
      </c>
      <c r="O25767" s="7" t="n">
        <v>64586</v>
      </c>
      <c r="P25767" s="7" t="s">
        <v>1569</v>
      </c>
      <c r="Q25767" s="7" t="n">
        <v>2</v>
      </c>
      <c r="R25767" s="7" t="n">
        <v>0</v>
      </c>
    </row>
    <row r="25768" spans="1:15">
      <c r="A25768" t="s">
        <v>4</v>
      </c>
      <c r="B25768" s="4" t="s">
        <v>5</v>
      </c>
    </row>
    <row r="25769" spans="1:15">
      <c r="A25769" t="n">
        <v>250150</v>
      </c>
      <c r="B25769" s="27" t="n">
        <v>28</v>
      </c>
    </row>
    <row r="25770" spans="1:15">
      <c r="A25770" t="s">
        <v>4</v>
      </c>
      <c r="B25770" s="4" t="s">
        <v>5</v>
      </c>
      <c r="C25770" s="4" t="s">
        <v>7</v>
      </c>
      <c r="D25770" s="4" t="s">
        <v>11</v>
      </c>
      <c r="E25770" s="4" t="s">
        <v>8</v>
      </c>
    </row>
    <row r="25771" spans="1:15">
      <c r="A25771" t="n">
        <v>250151</v>
      </c>
      <c r="B25771" s="38" t="n">
        <v>51</v>
      </c>
      <c r="C25771" s="7" t="n">
        <v>4</v>
      </c>
      <c r="D25771" s="7" t="n">
        <v>0</v>
      </c>
      <c r="E25771" s="7" t="s">
        <v>1134</v>
      </c>
    </row>
    <row r="25772" spans="1:15">
      <c r="A25772" t="s">
        <v>4</v>
      </c>
      <c r="B25772" s="4" t="s">
        <v>5</v>
      </c>
      <c r="C25772" s="4" t="s">
        <v>11</v>
      </c>
    </row>
    <row r="25773" spans="1:15">
      <c r="A25773" t="n">
        <v>250165</v>
      </c>
      <c r="B25773" s="29" t="n">
        <v>16</v>
      </c>
      <c r="C25773" s="7" t="n">
        <v>0</v>
      </c>
    </row>
    <row r="25774" spans="1:15">
      <c r="A25774" t="s">
        <v>4</v>
      </c>
      <c r="B25774" s="4" t="s">
        <v>5</v>
      </c>
      <c r="C25774" s="4" t="s">
        <v>11</v>
      </c>
      <c r="D25774" s="4" t="s">
        <v>7</v>
      </c>
      <c r="E25774" s="4" t="s">
        <v>15</v>
      </c>
      <c r="F25774" s="4" t="s">
        <v>55</v>
      </c>
      <c r="G25774" s="4" t="s">
        <v>7</v>
      </c>
      <c r="H25774" s="4" t="s">
        <v>7</v>
      </c>
    </row>
    <row r="25775" spans="1:15">
      <c r="A25775" t="n">
        <v>250168</v>
      </c>
      <c r="B25775" s="55" t="n">
        <v>26</v>
      </c>
      <c r="C25775" s="7" t="n">
        <v>0</v>
      </c>
      <c r="D25775" s="7" t="n">
        <v>17</v>
      </c>
      <c r="E25775" s="7" t="n">
        <v>64587</v>
      </c>
      <c r="F25775" s="7" t="s">
        <v>1570</v>
      </c>
      <c r="G25775" s="7" t="n">
        <v>2</v>
      </c>
      <c r="H25775" s="7" t="n">
        <v>0</v>
      </c>
    </row>
    <row r="25776" spans="1:15">
      <c r="A25776" t="s">
        <v>4</v>
      </c>
      <c r="B25776" s="4" t="s">
        <v>5</v>
      </c>
    </row>
    <row r="25777" spans="1:18">
      <c r="A25777" t="n">
        <v>250217</v>
      </c>
      <c r="B25777" s="27" t="n">
        <v>28</v>
      </c>
    </row>
    <row r="25778" spans="1:18">
      <c r="A25778" t="s">
        <v>4</v>
      </c>
      <c r="B25778" s="4" t="s">
        <v>5</v>
      </c>
      <c r="C25778" s="4" t="s">
        <v>7</v>
      </c>
      <c r="D25778" s="4" t="s">
        <v>11</v>
      </c>
      <c r="E25778" s="4" t="s">
        <v>11</v>
      </c>
      <c r="F25778" s="4" t="s">
        <v>7</v>
      </c>
    </row>
    <row r="25779" spans="1:18">
      <c r="A25779" t="n">
        <v>250218</v>
      </c>
      <c r="B25779" s="31" t="n">
        <v>25</v>
      </c>
      <c r="C25779" s="7" t="n">
        <v>1</v>
      </c>
      <c r="D25779" s="7" t="n">
        <v>65535</v>
      </c>
      <c r="E25779" s="7" t="n">
        <v>65535</v>
      </c>
      <c r="F25779" s="7" t="n">
        <v>0</v>
      </c>
    </row>
    <row r="25780" spans="1:18">
      <c r="A25780" t="s">
        <v>4</v>
      </c>
      <c r="B25780" s="4" t="s">
        <v>5</v>
      </c>
      <c r="C25780" s="4" t="s">
        <v>7</v>
      </c>
      <c r="D25780" s="4" t="s">
        <v>11</v>
      </c>
      <c r="E25780" s="4" t="s">
        <v>13</v>
      </c>
    </row>
    <row r="25781" spans="1:18">
      <c r="A25781" t="n">
        <v>250225</v>
      </c>
      <c r="B25781" s="23" t="n">
        <v>58</v>
      </c>
      <c r="C25781" s="7" t="n">
        <v>0</v>
      </c>
      <c r="D25781" s="7" t="n">
        <v>2000</v>
      </c>
      <c r="E25781" s="7" t="n">
        <v>1</v>
      </c>
    </row>
    <row r="25782" spans="1:18">
      <c r="A25782" t="s">
        <v>4</v>
      </c>
      <c r="B25782" s="4" t="s">
        <v>5</v>
      </c>
      <c r="C25782" s="4" t="s">
        <v>7</v>
      </c>
      <c r="D25782" s="4" t="s">
        <v>11</v>
      </c>
    </row>
    <row r="25783" spans="1:18">
      <c r="A25783" t="n">
        <v>250233</v>
      </c>
      <c r="B25783" s="23" t="n">
        <v>58</v>
      </c>
      <c r="C25783" s="7" t="n">
        <v>255</v>
      </c>
      <c r="D25783" s="7" t="n">
        <v>0</v>
      </c>
    </row>
    <row r="25784" spans="1:18">
      <c r="A25784" t="s">
        <v>4</v>
      </c>
      <c r="B25784" s="4" t="s">
        <v>5</v>
      </c>
      <c r="C25784" s="4" t="s">
        <v>11</v>
      </c>
    </row>
    <row r="25785" spans="1:18">
      <c r="A25785" t="n">
        <v>250237</v>
      </c>
      <c r="B25785" s="29" t="n">
        <v>16</v>
      </c>
      <c r="C25785" s="7" t="n">
        <v>1000</v>
      </c>
    </row>
    <row r="25786" spans="1:18">
      <c r="A25786" t="s">
        <v>4</v>
      </c>
      <c r="B25786" s="4" t="s">
        <v>5</v>
      </c>
      <c r="C25786" s="4" t="s">
        <v>7</v>
      </c>
    </row>
    <row r="25787" spans="1:18">
      <c r="A25787" t="n">
        <v>250240</v>
      </c>
      <c r="B25787" s="28" t="n">
        <v>78</v>
      </c>
      <c r="C25787" s="7" t="n">
        <v>255</v>
      </c>
    </row>
    <row r="25788" spans="1:18">
      <c r="A25788" t="s">
        <v>4</v>
      </c>
      <c r="B25788" s="4" t="s">
        <v>5</v>
      </c>
      <c r="C25788" s="4" t="s">
        <v>7</v>
      </c>
      <c r="D25788" s="4" t="s">
        <v>11</v>
      </c>
      <c r="E25788" s="4" t="s">
        <v>7</v>
      </c>
    </row>
    <row r="25789" spans="1:18">
      <c r="A25789" t="n">
        <v>250242</v>
      </c>
      <c r="B25789" s="40" t="n">
        <v>36</v>
      </c>
      <c r="C25789" s="7" t="n">
        <v>9</v>
      </c>
      <c r="D25789" s="7" t="n">
        <v>0</v>
      </c>
      <c r="E25789" s="7" t="n">
        <v>0</v>
      </c>
    </row>
    <row r="25790" spans="1:18">
      <c r="A25790" t="s">
        <v>4</v>
      </c>
      <c r="B25790" s="4" t="s">
        <v>5</v>
      </c>
      <c r="C25790" s="4" t="s">
        <v>7</v>
      </c>
      <c r="D25790" s="4" t="s">
        <v>11</v>
      </c>
      <c r="E25790" s="4" t="s">
        <v>7</v>
      </c>
    </row>
    <row r="25791" spans="1:18">
      <c r="A25791" t="n">
        <v>250247</v>
      </c>
      <c r="B25791" s="40" t="n">
        <v>36</v>
      </c>
      <c r="C25791" s="7" t="n">
        <v>9</v>
      </c>
      <c r="D25791" s="7" t="n">
        <v>3</v>
      </c>
      <c r="E25791" s="7" t="n">
        <v>0</v>
      </c>
    </row>
    <row r="25792" spans="1:18">
      <c r="A25792" t="s">
        <v>4</v>
      </c>
      <c r="B25792" s="4" t="s">
        <v>5</v>
      </c>
      <c r="C25792" s="4" t="s">
        <v>11</v>
      </c>
      <c r="D25792" s="4" t="s">
        <v>13</v>
      </c>
      <c r="E25792" s="4" t="s">
        <v>13</v>
      </c>
      <c r="F25792" s="4" t="s">
        <v>13</v>
      </c>
      <c r="G25792" s="4" t="s">
        <v>13</v>
      </c>
    </row>
    <row r="25793" spans="1:7">
      <c r="A25793" t="n">
        <v>250252</v>
      </c>
      <c r="B25793" s="36" t="n">
        <v>46</v>
      </c>
      <c r="C25793" s="7" t="n">
        <v>61456</v>
      </c>
      <c r="D25793" s="7" t="n">
        <v>-0.579999983310699</v>
      </c>
      <c r="E25793" s="7" t="n">
        <v>10.0100002288818</v>
      </c>
      <c r="F25793" s="7" t="n">
        <v>57.8300018310547</v>
      </c>
      <c r="G25793" s="7" t="n">
        <v>220.699996948242</v>
      </c>
    </row>
    <row r="25794" spans="1:7">
      <c r="A25794" t="s">
        <v>4</v>
      </c>
      <c r="B25794" s="4" t="s">
        <v>5</v>
      </c>
      <c r="C25794" s="4" t="s">
        <v>7</v>
      </c>
      <c r="D25794" s="4" t="s">
        <v>7</v>
      </c>
      <c r="E25794" s="4" t="s">
        <v>13</v>
      </c>
      <c r="F25794" s="4" t="s">
        <v>13</v>
      </c>
      <c r="G25794" s="4" t="s">
        <v>13</v>
      </c>
      <c r="H25794" s="4" t="s">
        <v>11</v>
      </c>
      <c r="I25794" s="4" t="s">
        <v>7</v>
      </c>
    </row>
    <row r="25795" spans="1:7">
      <c r="A25795" t="n">
        <v>250271</v>
      </c>
      <c r="B25795" s="51" t="n">
        <v>45</v>
      </c>
      <c r="C25795" s="7" t="n">
        <v>4</v>
      </c>
      <c r="D25795" s="7" t="n">
        <v>3</v>
      </c>
      <c r="E25795" s="7" t="n">
        <v>7.01999998092651</v>
      </c>
      <c r="F25795" s="7" t="n">
        <v>198.089996337891</v>
      </c>
      <c r="G25795" s="7" t="n">
        <v>0</v>
      </c>
      <c r="H25795" s="7" t="n">
        <v>0</v>
      </c>
      <c r="I25795" s="7" t="n">
        <v>0</v>
      </c>
    </row>
    <row r="25796" spans="1:7">
      <c r="A25796" t="s">
        <v>4</v>
      </c>
      <c r="B25796" s="4" t="s">
        <v>5</v>
      </c>
      <c r="C25796" s="4" t="s">
        <v>7</v>
      </c>
      <c r="D25796" s="4" t="s">
        <v>8</v>
      </c>
    </row>
    <row r="25797" spans="1:7">
      <c r="A25797" t="n">
        <v>250289</v>
      </c>
      <c r="B25797" s="6" t="n">
        <v>2</v>
      </c>
      <c r="C25797" s="7" t="n">
        <v>10</v>
      </c>
      <c r="D25797" s="7" t="s">
        <v>1834</v>
      </c>
    </row>
    <row r="25798" spans="1:7">
      <c r="A25798" t="s">
        <v>4</v>
      </c>
      <c r="B25798" s="4" t="s">
        <v>5</v>
      </c>
    </row>
    <row r="25799" spans="1:7">
      <c r="A25799" t="n">
        <v>250310</v>
      </c>
      <c r="B25799" s="5" t="n">
        <v>1</v>
      </c>
    </row>
    <row r="25800" spans="1:7" s="3" customFormat="1" customHeight="0">
      <c r="A25800" s="3" t="s">
        <v>2</v>
      </c>
      <c r="B25800" s="3" t="s">
        <v>1838</v>
      </c>
    </row>
    <row r="25801" spans="1:7">
      <c r="A25801" t="s">
        <v>4</v>
      </c>
      <c r="B25801" s="4" t="s">
        <v>5</v>
      </c>
      <c r="C25801" s="4" t="s">
        <v>7</v>
      </c>
      <c r="D25801" s="4" t="s">
        <v>7</v>
      </c>
      <c r="E25801" s="4" t="s">
        <v>7</v>
      </c>
      <c r="F25801" s="4" t="s">
        <v>7</v>
      </c>
    </row>
    <row r="25802" spans="1:7">
      <c r="A25802" t="n">
        <v>250312</v>
      </c>
      <c r="B25802" s="9" t="n">
        <v>14</v>
      </c>
      <c r="C25802" s="7" t="n">
        <v>2</v>
      </c>
      <c r="D25802" s="7" t="n">
        <v>0</v>
      </c>
      <c r="E25802" s="7" t="n">
        <v>0</v>
      </c>
      <c r="F25802" s="7" t="n">
        <v>0</v>
      </c>
    </row>
    <row r="25803" spans="1:7">
      <c r="A25803" t="s">
        <v>4</v>
      </c>
      <c r="B25803" s="4" t="s">
        <v>5</v>
      </c>
      <c r="C25803" s="4" t="s">
        <v>7</v>
      </c>
      <c r="D25803" s="20" t="s">
        <v>35</v>
      </c>
      <c r="E25803" s="4" t="s">
        <v>5</v>
      </c>
      <c r="F25803" s="4" t="s">
        <v>7</v>
      </c>
      <c r="G25803" s="4" t="s">
        <v>11</v>
      </c>
      <c r="H25803" s="20" t="s">
        <v>36</v>
      </c>
      <c r="I25803" s="4" t="s">
        <v>7</v>
      </c>
      <c r="J25803" s="4" t="s">
        <v>15</v>
      </c>
      <c r="K25803" s="4" t="s">
        <v>7</v>
      </c>
      <c r="L25803" s="4" t="s">
        <v>7</v>
      </c>
      <c r="M25803" s="20" t="s">
        <v>35</v>
      </c>
      <c r="N25803" s="4" t="s">
        <v>5</v>
      </c>
      <c r="O25803" s="4" t="s">
        <v>7</v>
      </c>
      <c r="P25803" s="4" t="s">
        <v>11</v>
      </c>
      <c r="Q25803" s="20" t="s">
        <v>36</v>
      </c>
      <c r="R25803" s="4" t="s">
        <v>7</v>
      </c>
      <c r="S25803" s="4" t="s">
        <v>15</v>
      </c>
      <c r="T25803" s="4" t="s">
        <v>7</v>
      </c>
      <c r="U25803" s="4" t="s">
        <v>7</v>
      </c>
      <c r="V25803" s="4" t="s">
        <v>7</v>
      </c>
      <c r="W25803" s="4" t="s">
        <v>12</v>
      </c>
    </row>
    <row r="25804" spans="1:7">
      <c r="A25804" t="n">
        <v>250317</v>
      </c>
      <c r="B25804" s="10" t="n">
        <v>5</v>
      </c>
      <c r="C25804" s="7" t="n">
        <v>28</v>
      </c>
      <c r="D25804" s="20" t="s">
        <v>3</v>
      </c>
      <c r="E25804" s="8" t="n">
        <v>162</v>
      </c>
      <c r="F25804" s="7" t="n">
        <v>3</v>
      </c>
      <c r="G25804" s="7" t="n">
        <v>36877</v>
      </c>
      <c r="H25804" s="20" t="s">
        <v>3</v>
      </c>
      <c r="I25804" s="7" t="n">
        <v>0</v>
      </c>
      <c r="J25804" s="7" t="n">
        <v>1</v>
      </c>
      <c r="K25804" s="7" t="n">
        <v>2</v>
      </c>
      <c r="L25804" s="7" t="n">
        <v>28</v>
      </c>
      <c r="M25804" s="20" t="s">
        <v>3</v>
      </c>
      <c r="N25804" s="8" t="n">
        <v>162</v>
      </c>
      <c r="O25804" s="7" t="n">
        <v>3</v>
      </c>
      <c r="P25804" s="7" t="n">
        <v>36877</v>
      </c>
      <c r="Q25804" s="20" t="s">
        <v>3</v>
      </c>
      <c r="R25804" s="7" t="n">
        <v>0</v>
      </c>
      <c r="S25804" s="7" t="n">
        <v>2</v>
      </c>
      <c r="T25804" s="7" t="n">
        <v>2</v>
      </c>
      <c r="U25804" s="7" t="n">
        <v>11</v>
      </c>
      <c r="V25804" s="7" t="n">
        <v>1</v>
      </c>
      <c r="W25804" s="11" t="n">
        <f t="normal" ca="1">A25808</f>
        <v>0</v>
      </c>
    </row>
    <row r="25805" spans="1:7">
      <c r="A25805" t="s">
        <v>4</v>
      </c>
      <c r="B25805" s="4" t="s">
        <v>5</v>
      </c>
      <c r="C25805" s="4" t="s">
        <v>7</v>
      </c>
      <c r="D25805" s="4" t="s">
        <v>11</v>
      </c>
      <c r="E25805" s="4" t="s">
        <v>13</v>
      </c>
    </row>
    <row r="25806" spans="1:7">
      <c r="A25806" t="n">
        <v>250346</v>
      </c>
      <c r="B25806" s="23" t="n">
        <v>58</v>
      </c>
      <c r="C25806" s="7" t="n">
        <v>0</v>
      </c>
      <c r="D25806" s="7" t="n">
        <v>0</v>
      </c>
      <c r="E25806" s="7" t="n">
        <v>1</v>
      </c>
    </row>
    <row r="25807" spans="1:7">
      <c r="A25807" t="s">
        <v>4</v>
      </c>
      <c r="B25807" s="4" t="s">
        <v>5</v>
      </c>
      <c r="C25807" s="4" t="s">
        <v>7</v>
      </c>
      <c r="D25807" s="20" t="s">
        <v>35</v>
      </c>
      <c r="E25807" s="4" t="s">
        <v>5</v>
      </c>
      <c r="F25807" s="4" t="s">
        <v>7</v>
      </c>
      <c r="G25807" s="4" t="s">
        <v>11</v>
      </c>
      <c r="H25807" s="20" t="s">
        <v>36</v>
      </c>
      <c r="I25807" s="4" t="s">
        <v>7</v>
      </c>
      <c r="J25807" s="4" t="s">
        <v>15</v>
      </c>
      <c r="K25807" s="4" t="s">
        <v>7</v>
      </c>
      <c r="L25807" s="4" t="s">
        <v>7</v>
      </c>
      <c r="M25807" s="20" t="s">
        <v>35</v>
      </c>
      <c r="N25807" s="4" t="s">
        <v>5</v>
      </c>
      <c r="O25807" s="4" t="s">
        <v>7</v>
      </c>
      <c r="P25807" s="4" t="s">
        <v>11</v>
      </c>
      <c r="Q25807" s="20" t="s">
        <v>36</v>
      </c>
      <c r="R25807" s="4" t="s">
        <v>7</v>
      </c>
      <c r="S25807" s="4" t="s">
        <v>15</v>
      </c>
      <c r="T25807" s="4" t="s">
        <v>7</v>
      </c>
      <c r="U25807" s="4" t="s">
        <v>7</v>
      </c>
      <c r="V25807" s="4" t="s">
        <v>7</v>
      </c>
      <c r="W25807" s="4" t="s">
        <v>12</v>
      </c>
    </row>
    <row r="25808" spans="1:7">
      <c r="A25808" t="n">
        <v>250354</v>
      </c>
      <c r="B25808" s="10" t="n">
        <v>5</v>
      </c>
      <c r="C25808" s="7" t="n">
        <v>28</v>
      </c>
      <c r="D25808" s="20" t="s">
        <v>3</v>
      </c>
      <c r="E25808" s="8" t="n">
        <v>162</v>
      </c>
      <c r="F25808" s="7" t="n">
        <v>3</v>
      </c>
      <c r="G25808" s="7" t="n">
        <v>36877</v>
      </c>
      <c r="H25808" s="20" t="s">
        <v>3</v>
      </c>
      <c r="I25808" s="7" t="n">
        <v>0</v>
      </c>
      <c r="J25808" s="7" t="n">
        <v>1</v>
      </c>
      <c r="K25808" s="7" t="n">
        <v>3</v>
      </c>
      <c r="L25808" s="7" t="n">
        <v>28</v>
      </c>
      <c r="M25808" s="20" t="s">
        <v>3</v>
      </c>
      <c r="N25808" s="8" t="n">
        <v>162</v>
      </c>
      <c r="O25808" s="7" t="n">
        <v>3</v>
      </c>
      <c r="P25808" s="7" t="n">
        <v>36877</v>
      </c>
      <c r="Q25808" s="20" t="s">
        <v>3</v>
      </c>
      <c r="R25808" s="7" t="n">
        <v>0</v>
      </c>
      <c r="S25808" s="7" t="n">
        <v>2</v>
      </c>
      <c r="T25808" s="7" t="n">
        <v>3</v>
      </c>
      <c r="U25808" s="7" t="n">
        <v>9</v>
      </c>
      <c r="V25808" s="7" t="n">
        <v>1</v>
      </c>
      <c r="W25808" s="11" t="n">
        <f t="normal" ca="1">A25818</f>
        <v>0</v>
      </c>
    </row>
    <row r="25809" spans="1:23">
      <c r="A25809" t="s">
        <v>4</v>
      </c>
      <c r="B25809" s="4" t="s">
        <v>5</v>
      </c>
      <c r="C25809" s="4" t="s">
        <v>7</v>
      </c>
      <c r="D25809" s="20" t="s">
        <v>35</v>
      </c>
      <c r="E25809" s="4" t="s">
        <v>5</v>
      </c>
      <c r="F25809" s="4" t="s">
        <v>11</v>
      </c>
      <c r="G25809" s="4" t="s">
        <v>7</v>
      </c>
      <c r="H25809" s="4" t="s">
        <v>7</v>
      </c>
      <c r="I25809" s="4" t="s">
        <v>8</v>
      </c>
      <c r="J25809" s="20" t="s">
        <v>36</v>
      </c>
      <c r="K25809" s="4" t="s">
        <v>7</v>
      </c>
      <c r="L25809" s="4" t="s">
        <v>7</v>
      </c>
      <c r="M25809" s="20" t="s">
        <v>35</v>
      </c>
      <c r="N25809" s="4" t="s">
        <v>5</v>
      </c>
      <c r="O25809" s="4" t="s">
        <v>7</v>
      </c>
      <c r="P25809" s="20" t="s">
        <v>36</v>
      </c>
      <c r="Q25809" s="4" t="s">
        <v>7</v>
      </c>
      <c r="R25809" s="4" t="s">
        <v>15</v>
      </c>
      <c r="S25809" s="4" t="s">
        <v>7</v>
      </c>
      <c r="T25809" s="4" t="s">
        <v>7</v>
      </c>
      <c r="U25809" s="4" t="s">
        <v>7</v>
      </c>
      <c r="V25809" s="20" t="s">
        <v>35</v>
      </c>
      <c r="W25809" s="4" t="s">
        <v>5</v>
      </c>
      <c r="X25809" s="4" t="s">
        <v>7</v>
      </c>
      <c r="Y25809" s="20" t="s">
        <v>36</v>
      </c>
      <c r="Z25809" s="4" t="s">
        <v>7</v>
      </c>
      <c r="AA25809" s="4" t="s">
        <v>15</v>
      </c>
      <c r="AB25809" s="4" t="s">
        <v>7</v>
      </c>
      <c r="AC25809" s="4" t="s">
        <v>7</v>
      </c>
      <c r="AD25809" s="4" t="s">
        <v>7</v>
      </c>
      <c r="AE25809" s="4" t="s">
        <v>12</v>
      </c>
    </row>
    <row r="25810" spans="1:23">
      <c r="A25810" t="n">
        <v>250383</v>
      </c>
      <c r="B25810" s="10" t="n">
        <v>5</v>
      </c>
      <c r="C25810" s="7" t="n">
        <v>28</v>
      </c>
      <c r="D25810" s="20" t="s">
        <v>3</v>
      </c>
      <c r="E25810" s="41" t="n">
        <v>47</v>
      </c>
      <c r="F25810" s="7" t="n">
        <v>61456</v>
      </c>
      <c r="G25810" s="7" t="n">
        <v>2</v>
      </c>
      <c r="H25810" s="7" t="n">
        <v>0</v>
      </c>
      <c r="I25810" s="7" t="s">
        <v>105</v>
      </c>
      <c r="J25810" s="20" t="s">
        <v>3</v>
      </c>
      <c r="K25810" s="7" t="n">
        <v>8</v>
      </c>
      <c r="L25810" s="7" t="n">
        <v>28</v>
      </c>
      <c r="M25810" s="20" t="s">
        <v>3</v>
      </c>
      <c r="N25810" s="45" t="n">
        <v>74</v>
      </c>
      <c r="O25810" s="7" t="n">
        <v>65</v>
      </c>
      <c r="P25810" s="20" t="s">
        <v>3</v>
      </c>
      <c r="Q25810" s="7" t="n">
        <v>0</v>
      </c>
      <c r="R25810" s="7" t="n">
        <v>1</v>
      </c>
      <c r="S25810" s="7" t="n">
        <v>3</v>
      </c>
      <c r="T25810" s="7" t="n">
        <v>9</v>
      </c>
      <c r="U25810" s="7" t="n">
        <v>28</v>
      </c>
      <c r="V25810" s="20" t="s">
        <v>3</v>
      </c>
      <c r="W25810" s="45" t="n">
        <v>74</v>
      </c>
      <c r="X25810" s="7" t="n">
        <v>65</v>
      </c>
      <c r="Y25810" s="20" t="s">
        <v>3</v>
      </c>
      <c r="Z25810" s="7" t="n">
        <v>0</v>
      </c>
      <c r="AA25810" s="7" t="n">
        <v>2</v>
      </c>
      <c r="AB25810" s="7" t="n">
        <v>3</v>
      </c>
      <c r="AC25810" s="7" t="n">
        <v>9</v>
      </c>
      <c r="AD25810" s="7" t="n">
        <v>1</v>
      </c>
      <c r="AE25810" s="11" t="n">
        <f t="normal" ca="1">A25814</f>
        <v>0</v>
      </c>
    </row>
    <row r="25811" spans="1:23">
      <c r="A25811" t="s">
        <v>4</v>
      </c>
      <c r="B25811" s="4" t="s">
        <v>5</v>
      </c>
      <c r="C25811" s="4" t="s">
        <v>11</v>
      </c>
      <c r="D25811" s="4" t="s">
        <v>7</v>
      </c>
      <c r="E25811" s="4" t="s">
        <v>7</v>
      </c>
      <c r="F25811" s="4" t="s">
        <v>8</v>
      </c>
    </row>
    <row r="25812" spans="1:23">
      <c r="A25812" t="n">
        <v>250431</v>
      </c>
      <c r="B25812" s="41" t="n">
        <v>47</v>
      </c>
      <c r="C25812" s="7" t="n">
        <v>61456</v>
      </c>
      <c r="D25812" s="7" t="n">
        <v>0</v>
      </c>
      <c r="E25812" s="7" t="n">
        <v>0</v>
      </c>
      <c r="F25812" s="7" t="s">
        <v>106</v>
      </c>
    </row>
    <row r="25813" spans="1:23">
      <c r="A25813" t="s">
        <v>4</v>
      </c>
      <c r="B25813" s="4" t="s">
        <v>5</v>
      </c>
      <c r="C25813" s="4" t="s">
        <v>7</v>
      </c>
      <c r="D25813" s="4" t="s">
        <v>11</v>
      </c>
      <c r="E25813" s="4" t="s">
        <v>13</v>
      </c>
    </row>
    <row r="25814" spans="1:23">
      <c r="A25814" t="n">
        <v>250444</v>
      </c>
      <c r="B25814" s="23" t="n">
        <v>58</v>
      </c>
      <c r="C25814" s="7" t="n">
        <v>0</v>
      </c>
      <c r="D25814" s="7" t="n">
        <v>300</v>
      </c>
      <c r="E25814" s="7" t="n">
        <v>1</v>
      </c>
    </row>
    <row r="25815" spans="1:23">
      <c r="A25815" t="s">
        <v>4</v>
      </c>
      <c r="B25815" s="4" t="s">
        <v>5</v>
      </c>
      <c r="C25815" s="4" t="s">
        <v>7</v>
      </c>
      <c r="D25815" s="4" t="s">
        <v>11</v>
      </c>
    </row>
    <row r="25816" spans="1:23">
      <c r="A25816" t="n">
        <v>250452</v>
      </c>
      <c r="B25816" s="23" t="n">
        <v>58</v>
      </c>
      <c r="C25816" s="7" t="n">
        <v>255</v>
      </c>
      <c r="D25816" s="7" t="n">
        <v>0</v>
      </c>
    </row>
    <row r="25817" spans="1:23">
      <c r="A25817" t="s">
        <v>4</v>
      </c>
      <c r="B25817" s="4" t="s">
        <v>5</v>
      </c>
      <c r="C25817" s="4" t="s">
        <v>7</v>
      </c>
      <c r="D25817" s="4" t="s">
        <v>7</v>
      </c>
      <c r="E25817" s="4" t="s">
        <v>7</v>
      </c>
      <c r="F25817" s="4" t="s">
        <v>7</v>
      </c>
    </row>
    <row r="25818" spans="1:23">
      <c r="A25818" t="n">
        <v>250456</v>
      </c>
      <c r="B25818" s="9" t="n">
        <v>14</v>
      </c>
      <c r="C25818" s="7" t="n">
        <v>0</v>
      </c>
      <c r="D25818" s="7" t="n">
        <v>0</v>
      </c>
      <c r="E25818" s="7" t="n">
        <v>0</v>
      </c>
      <c r="F25818" s="7" t="n">
        <v>64</v>
      </c>
    </row>
    <row r="25819" spans="1:23">
      <c r="A25819" t="s">
        <v>4</v>
      </c>
      <c r="B25819" s="4" t="s">
        <v>5</v>
      </c>
      <c r="C25819" s="4" t="s">
        <v>7</v>
      </c>
      <c r="D25819" s="4" t="s">
        <v>11</v>
      </c>
    </row>
    <row r="25820" spans="1:23">
      <c r="A25820" t="n">
        <v>250461</v>
      </c>
      <c r="B25820" s="22" t="n">
        <v>22</v>
      </c>
      <c r="C25820" s="7" t="n">
        <v>0</v>
      </c>
      <c r="D25820" s="7" t="n">
        <v>36877</v>
      </c>
    </row>
    <row r="25821" spans="1:23">
      <c r="A25821" t="s">
        <v>4</v>
      </c>
      <c r="B25821" s="4" t="s">
        <v>5</v>
      </c>
      <c r="C25821" s="4" t="s">
        <v>7</v>
      </c>
      <c r="D25821" s="4" t="s">
        <v>11</v>
      </c>
    </row>
    <row r="25822" spans="1:23">
      <c r="A25822" t="n">
        <v>250465</v>
      </c>
      <c r="B25822" s="23" t="n">
        <v>58</v>
      </c>
      <c r="C25822" s="7" t="n">
        <v>5</v>
      </c>
      <c r="D25822" s="7" t="n">
        <v>300</v>
      </c>
    </row>
    <row r="25823" spans="1:23">
      <c r="A25823" t="s">
        <v>4</v>
      </c>
      <c r="B25823" s="4" t="s">
        <v>5</v>
      </c>
      <c r="C25823" s="4" t="s">
        <v>13</v>
      </c>
      <c r="D25823" s="4" t="s">
        <v>11</v>
      </c>
    </row>
    <row r="25824" spans="1:23">
      <c r="A25824" t="n">
        <v>250469</v>
      </c>
      <c r="B25824" s="46" t="n">
        <v>103</v>
      </c>
      <c r="C25824" s="7" t="n">
        <v>0</v>
      </c>
      <c r="D25824" s="7" t="n">
        <v>300</v>
      </c>
    </row>
    <row r="25825" spans="1:31">
      <c r="A25825" t="s">
        <v>4</v>
      </c>
      <c r="B25825" s="4" t="s">
        <v>5</v>
      </c>
      <c r="C25825" s="4" t="s">
        <v>7</v>
      </c>
    </row>
    <row r="25826" spans="1:31">
      <c r="A25826" t="n">
        <v>250476</v>
      </c>
      <c r="B25826" s="47" t="n">
        <v>64</v>
      </c>
      <c r="C25826" s="7" t="n">
        <v>7</v>
      </c>
    </row>
    <row r="25827" spans="1:31">
      <c r="A25827" t="s">
        <v>4</v>
      </c>
      <c r="B25827" s="4" t="s">
        <v>5</v>
      </c>
      <c r="C25827" s="4" t="s">
        <v>7</v>
      </c>
      <c r="D25827" s="4" t="s">
        <v>11</v>
      </c>
    </row>
    <row r="25828" spans="1:31">
      <c r="A25828" t="n">
        <v>250478</v>
      </c>
      <c r="B25828" s="48" t="n">
        <v>72</v>
      </c>
      <c r="C25828" s="7" t="n">
        <v>5</v>
      </c>
      <c r="D25828" s="7" t="n">
        <v>0</v>
      </c>
    </row>
    <row r="25829" spans="1:31">
      <c r="A25829" t="s">
        <v>4</v>
      </c>
      <c r="B25829" s="4" t="s">
        <v>5</v>
      </c>
      <c r="C25829" s="4" t="s">
        <v>7</v>
      </c>
      <c r="D25829" s="20" t="s">
        <v>35</v>
      </c>
      <c r="E25829" s="4" t="s">
        <v>5</v>
      </c>
      <c r="F25829" s="4" t="s">
        <v>7</v>
      </c>
      <c r="G25829" s="4" t="s">
        <v>11</v>
      </c>
      <c r="H25829" s="20" t="s">
        <v>36</v>
      </c>
      <c r="I25829" s="4" t="s">
        <v>7</v>
      </c>
      <c r="J25829" s="4" t="s">
        <v>15</v>
      </c>
      <c r="K25829" s="4" t="s">
        <v>7</v>
      </c>
      <c r="L25829" s="4" t="s">
        <v>7</v>
      </c>
      <c r="M25829" s="4" t="s">
        <v>12</v>
      </c>
    </row>
    <row r="25830" spans="1:31">
      <c r="A25830" t="n">
        <v>250482</v>
      </c>
      <c r="B25830" s="10" t="n">
        <v>5</v>
      </c>
      <c r="C25830" s="7" t="n">
        <v>28</v>
      </c>
      <c r="D25830" s="20" t="s">
        <v>3</v>
      </c>
      <c r="E25830" s="8" t="n">
        <v>162</v>
      </c>
      <c r="F25830" s="7" t="n">
        <v>4</v>
      </c>
      <c r="G25830" s="7" t="n">
        <v>36877</v>
      </c>
      <c r="H25830" s="20" t="s">
        <v>3</v>
      </c>
      <c r="I25830" s="7" t="n">
        <v>0</v>
      </c>
      <c r="J25830" s="7" t="n">
        <v>1</v>
      </c>
      <c r="K25830" s="7" t="n">
        <v>2</v>
      </c>
      <c r="L25830" s="7" t="n">
        <v>1</v>
      </c>
      <c r="M25830" s="11" t="n">
        <f t="normal" ca="1">A25836</f>
        <v>0</v>
      </c>
    </row>
    <row r="25831" spans="1:31">
      <c r="A25831" t="s">
        <v>4</v>
      </c>
      <c r="B25831" s="4" t="s">
        <v>5</v>
      </c>
      <c r="C25831" s="4" t="s">
        <v>7</v>
      </c>
      <c r="D25831" s="4" t="s">
        <v>8</v>
      </c>
    </row>
    <row r="25832" spans="1:31">
      <c r="A25832" t="n">
        <v>250499</v>
      </c>
      <c r="B25832" s="6" t="n">
        <v>2</v>
      </c>
      <c r="C25832" s="7" t="n">
        <v>10</v>
      </c>
      <c r="D25832" s="7" t="s">
        <v>107</v>
      </c>
    </row>
    <row r="25833" spans="1:31">
      <c r="A25833" t="s">
        <v>4</v>
      </c>
      <c r="B25833" s="4" t="s">
        <v>5</v>
      </c>
      <c r="C25833" s="4" t="s">
        <v>11</v>
      </c>
    </row>
    <row r="25834" spans="1:31">
      <c r="A25834" t="n">
        <v>250516</v>
      </c>
      <c r="B25834" s="29" t="n">
        <v>16</v>
      </c>
      <c r="C25834" s="7" t="n">
        <v>0</v>
      </c>
    </row>
    <row r="25835" spans="1:31">
      <c r="A25835" t="s">
        <v>4</v>
      </c>
      <c r="B25835" s="4" t="s">
        <v>5</v>
      </c>
      <c r="C25835" s="4" t="s">
        <v>7</v>
      </c>
      <c r="D25835" s="4" t="s">
        <v>11</v>
      </c>
      <c r="E25835" s="4" t="s">
        <v>11</v>
      </c>
      <c r="F25835" s="4" t="s">
        <v>11</v>
      </c>
      <c r="G25835" s="4" t="s">
        <v>11</v>
      </c>
      <c r="H25835" s="4" t="s">
        <v>11</v>
      </c>
      <c r="I25835" s="4" t="s">
        <v>11</v>
      </c>
      <c r="J25835" s="4" t="s">
        <v>11</v>
      </c>
      <c r="K25835" s="4" t="s">
        <v>11</v>
      </c>
      <c r="L25835" s="4" t="s">
        <v>11</v>
      </c>
      <c r="M25835" s="4" t="s">
        <v>11</v>
      </c>
      <c r="N25835" s="4" t="s">
        <v>15</v>
      </c>
      <c r="O25835" s="4" t="s">
        <v>15</v>
      </c>
      <c r="P25835" s="4" t="s">
        <v>15</v>
      </c>
      <c r="Q25835" s="4" t="s">
        <v>15</v>
      </c>
      <c r="R25835" s="4" t="s">
        <v>7</v>
      </c>
      <c r="S25835" s="4" t="s">
        <v>8</v>
      </c>
    </row>
    <row r="25836" spans="1:31">
      <c r="A25836" t="n">
        <v>250519</v>
      </c>
      <c r="B25836" s="24" t="n">
        <v>75</v>
      </c>
      <c r="C25836" s="7" t="n">
        <v>0</v>
      </c>
      <c r="D25836" s="7" t="n">
        <v>484</v>
      </c>
      <c r="E25836" s="7" t="n">
        <v>328</v>
      </c>
      <c r="F25836" s="7" t="n">
        <v>996</v>
      </c>
      <c r="G25836" s="7" t="n">
        <v>392</v>
      </c>
      <c r="H25836" s="7" t="n">
        <v>0</v>
      </c>
      <c r="I25836" s="7" t="n">
        <v>0</v>
      </c>
      <c r="J25836" s="7" t="n">
        <v>0</v>
      </c>
      <c r="K25836" s="7" t="n">
        <v>448</v>
      </c>
      <c r="L25836" s="7" t="n">
        <v>512</v>
      </c>
      <c r="M25836" s="7" t="n">
        <v>512</v>
      </c>
      <c r="N25836" s="7" t="n">
        <v>1065353216</v>
      </c>
      <c r="O25836" s="7" t="n">
        <v>1065353216</v>
      </c>
      <c r="P25836" s="7" t="n">
        <v>1065353216</v>
      </c>
      <c r="Q25836" s="7" t="n">
        <v>0</v>
      </c>
      <c r="R25836" s="7" t="n">
        <v>0</v>
      </c>
      <c r="S25836" s="7" t="s">
        <v>271</v>
      </c>
    </row>
    <row r="25837" spans="1:31">
      <c r="A25837" t="s">
        <v>4</v>
      </c>
      <c r="B25837" s="4" t="s">
        <v>5</v>
      </c>
      <c r="C25837" s="4" t="s">
        <v>11</v>
      </c>
      <c r="D25837" s="4" t="s">
        <v>8</v>
      </c>
      <c r="E25837" s="4" t="s">
        <v>8</v>
      </c>
      <c r="F25837" s="4" t="s">
        <v>8</v>
      </c>
      <c r="G25837" s="4" t="s">
        <v>7</v>
      </c>
      <c r="H25837" s="4" t="s">
        <v>15</v>
      </c>
      <c r="I25837" s="4" t="s">
        <v>13</v>
      </c>
      <c r="J25837" s="4" t="s">
        <v>13</v>
      </c>
      <c r="K25837" s="4" t="s">
        <v>13</v>
      </c>
      <c r="L25837" s="4" t="s">
        <v>13</v>
      </c>
      <c r="M25837" s="4" t="s">
        <v>13</v>
      </c>
      <c r="N25837" s="4" t="s">
        <v>13</v>
      </c>
      <c r="O25837" s="4" t="s">
        <v>13</v>
      </c>
      <c r="P25837" s="4" t="s">
        <v>8</v>
      </c>
      <c r="Q25837" s="4" t="s">
        <v>8</v>
      </c>
      <c r="R25837" s="4" t="s">
        <v>15</v>
      </c>
      <c r="S25837" s="4" t="s">
        <v>7</v>
      </c>
      <c r="T25837" s="4" t="s">
        <v>15</v>
      </c>
      <c r="U25837" s="4" t="s">
        <v>15</v>
      </c>
      <c r="V25837" s="4" t="s">
        <v>11</v>
      </c>
    </row>
    <row r="25838" spans="1:31">
      <c r="A25838" t="n">
        <v>250568</v>
      </c>
      <c r="B25838" s="62" t="n">
        <v>19</v>
      </c>
      <c r="C25838" s="7" t="n">
        <v>5</v>
      </c>
      <c r="D25838" s="7" t="s">
        <v>477</v>
      </c>
      <c r="E25838" s="7" t="s">
        <v>478</v>
      </c>
      <c r="F25838" s="7" t="s">
        <v>16</v>
      </c>
      <c r="G25838" s="7" t="n">
        <v>0</v>
      </c>
      <c r="H25838" s="7" t="n">
        <v>1</v>
      </c>
      <c r="I25838" s="7" t="n">
        <v>0</v>
      </c>
      <c r="J25838" s="7" t="n">
        <v>0</v>
      </c>
      <c r="K25838" s="7" t="n">
        <v>0</v>
      </c>
      <c r="L25838" s="7" t="n">
        <v>0</v>
      </c>
      <c r="M25838" s="7" t="n">
        <v>1</v>
      </c>
      <c r="N25838" s="7" t="n">
        <v>1.60000002384186</v>
      </c>
      <c r="O25838" s="7" t="n">
        <v>0.0900000035762787</v>
      </c>
      <c r="P25838" s="7" t="s">
        <v>16</v>
      </c>
      <c r="Q25838" s="7" t="s">
        <v>16</v>
      </c>
      <c r="R25838" s="7" t="n">
        <v>-1</v>
      </c>
      <c r="S25838" s="7" t="n">
        <v>0</v>
      </c>
      <c r="T25838" s="7" t="n">
        <v>0</v>
      </c>
      <c r="U25838" s="7" t="n">
        <v>0</v>
      </c>
      <c r="V25838" s="7" t="n">
        <v>0</v>
      </c>
    </row>
    <row r="25839" spans="1:31">
      <c r="A25839" t="s">
        <v>4</v>
      </c>
      <c r="B25839" s="4" t="s">
        <v>5</v>
      </c>
      <c r="C25839" s="4" t="s">
        <v>11</v>
      </c>
      <c r="D25839" s="4" t="s">
        <v>7</v>
      </c>
      <c r="E25839" s="4" t="s">
        <v>7</v>
      </c>
      <c r="F25839" s="4" t="s">
        <v>8</v>
      </c>
    </row>
    <row r="25840" spans="1:31">
      <c r="A25840" t="n">
        <v>250640</v>
      </c>
      <c r="B25840" s="50" t="n">
        <v>20</v>
      </c>
      <c r="C25840" s="7" t="n">
        <v>0</v>
      </c>
      <c r="D25840" s="7" t="n">
        <v>3</v>
      </c>
      <c r="E25840" s="7" t="n">
        <v>10</v>
      </c>
      <c r="F25840" s="7" t="s">
        <v>108</v>
      </c>
    </row>
    <row r="25841" spans="1:22">
      <c r="A25841" t="s">
        <v>4</v>
      </c>
      <c r="B25841" s="4" t="s">
        <v>5</v>
      </c>
      <c r="C25841" s="4" t="s">
        <v>11</v>
      </c>
    </row>
    <row r="25842" spans="1:22">
      <c r="A25842" t="n">
        <v>250658</v>
      </c>
      <c r="B25842" s="29" t="n">
        <v>16</v>
      </c>
      <c r="C25842" s="7" t="n">
        <v>0</v>
      </c>
    </row>
    <row r="25843" spans="1:22">
      <c r="A25843" t="s">
        <v>4</v>
      </c>
      <c r="B25843" s="4" t="s">
        <v>5</v>
      </c>
      <c r="C25843" s="4" t="s">
        <v>11</v>
      </c>
      <c r="D25843" s="4" t="s">
        <v>7</v>
      </c>
      <c r="E25843" s="4" t="s">
        <v>7</v>
      </c>
      <c r="F25843" s="4" t="s">
        <v>8</v>
      </c>
    </row>
    <row r="25844" spans="1:22">
      <c r="A25844" t="n">
        <v>250661</v>
      </c>
      <c r="B25844" s="50" t="n">
        <v>20</v>
      </c>
      <c r="C25844" s="7" t="n">
        <v>5</v>
      </c>
      <c r="D25844" s="7" t="n">
        <v>3</v>
      </c>
      <c r="E25844" s="7" t="n">
        <v>10</v>
      </c>
      <c r="F25844" s="7" t="s">
        <v>108</v>
      </c>
    </row>
    <row r="25845" spans="1:22">
      <c r="A25845" t="s">
        <v>4</v>
      </c>
      <c r="B25845" s="4" t="s">
        <v>5</v>
      </c>
      <c r="C25845" s="4" t="s">
        <v>11</v>
      </c>
    </row>
    <row r="25846" spans="1:22">
      <c r="A25846" t="n">
        <v>250679</v>
      </c>
      <c r="B25846" s="29" t="n">
        <v>16</v>
      </c>
      <c r="C25846" s="7" t="n">
        <v>0</v>
      </c>
    </row>
    <row r="25847" spans="1:22">
      <c r="A25847" t="s">
        <v>4</v>
      </c>
      <c r="B25847" s="4" t="s">
        <v>5</v>
      </c>
      <c r="C25847" s="4" t="s">
        <v>11</v>
      </c>
      <c r="D25847" s="4" t="s">
        <v>15</v>
      </c>
    </row>
    <row r="25848" spans="1:22">
      <c r="A25848" t="n">
        <v>250682</v>
      </c>
      <c r="B25848" s="39" t="n">
        <v>43</v>
      </c>
      <c r="C25848" s="7" t="n">
        <v>5</v>
      </c>
      <c r="D25848" s="7" t="n">
        <v>1</v>
      </c>
    </row>
    <row r="25849" spans="1:22">
      <c r="A25849" t="s">
        <v>4</v>
      </c>
      <c r="B25849" s="4" t="s">
        <v>5</v>
      </c>
      <c r="C25849" s="4" t="s">
        <v>7</v>
      </c>
    </row>
    <row r="25850" spans="1:22">
      <c r="A25850" t="n">
        <v>250689</v>
      </c>
      <c r="B25850" s="49" t="n">
        <v>116</v>
      </c>
      <c r="C25850" s="7" t="n">
        <v>0</v>
      </c>
    </row>
    <row r="25851" spans="1:22">
      <c r="A25851" t="s">
        <v>4</v>
      </c>
      <c r="B25851" s="4" t="s">
        <v>5</v>
      </c>
      <c r="C25851" s="4" t="s">
        <v>7</v>
      </c>
      <c r="D25851" s="4" t="s">
        <v>11</v>
      </c>
    </row>
    <row r="25852" spans="1:22">
      <c r="A25852" t="n">
        <v>250691</v>
      </c>
      <c r="B25852" s="49" t="n">
        <v>116</v>
      </c>
      <c r="C25852" s="7" t="n">
        <v>2</v>
      </c>
      <c r="D25852" s="7" t="n">
        <v>1</v>
      </c>
    </row>
    <row r="25853" spans="1:22">
      <c r="A25853" t="s">
        <v>4</v>
      </c>
      <c r="B25853" s="4" t="s">
        <v>5</v>
      </c>
      <c r="C25853" s="4" t="s">
        <v>7</v>
      </c>
      <c r="D25853" s="4" t="s">
        <v>15</v>
      </c>
    </row>
    <row r="25854" spans="1:22">
      <c r="A25854" t="n">
        <v>250695</v>
      </c>
      <c r="B25854" s="49" t="n">
        <v>116</v>
      </c>
      <c r="C25854" s="7" t="n">
        <v>5</v>
      </c>
      <c r="D25854" s="7" t="n">
        <v>1106247680</v>
      </c>
    </row>
    <row r="25855" spans="1:22">
      <c r="A25855" t="s">
        <v>4</v>
      </c>
      <c r="B25855" s="4" t="s">
        <v>5</v>
      </c>
      <c r="C25855" s="4" t="s">
        <v>7</v>
      </c>
      <c r="D25855" s="4" t="s">
        <v>11</v>
      </c>
    </row>
    <row r="25856" spans="1:22">
      <c r="A25856" t="n">
        <v>250701</v>
      </c>
      <c r="B25856" s="49" t="n">
        <v>116</v>
      </c>
      <c r="C25856" s="7" t="n">
        <v>6</v>
      </c>
      <c r="D25856" s="7" t="n">
        <v>1</v>
      </c>
    </row>
    <row r="25857" spans="1:6">
      <c r="A25857" t="s">
        <v>4</v>
      </c>
      <c r="B25857" s="4" t="s">
        <v>5</v>
      </c>
      <c r="C25857" s="4" t="s">
        <v>7</v>
      </c>
      <c r="D25857" s="4" t="s">
        <v>11</v>
      </c>
      <c r="E25857" s="4" t="s">
        <v>11</v>
      </c>
      <c r="F25857" s="4" t="s">
        <v>15</v>
      </c>
    </row>
    <row r="25858" spans="1:6">
      <c r="A25858" t="n">
        <v>250705</v>
      </c>
      <c r="B25858" s="76" t="n">
        <v>84</v>
      </c>
      <c r="C25858" s="7" t="n">
        <v>0</v>
      </c>
      <c r="D25858" s="7" t="n">
        <v>0</v>
      </c>
      <c r="E25858" s="7" t="n">
        <v>0</v>
      </c>
      <c r="F25858" s="7" t="n">
        <v>1045220557</v>
      </c>
    </row>
    <row r="25859" spans="1:6">
      <c r="A25859" t="s">
        <v>4</v>
      </c>
      <c r="B25859" s="4" t="s">
        <v>5</v>
      </c>
      <c r="C25859" s="4" t="s">
        <v>11</v>
      </c>
      <c r="D25859" s="4" t="s">
        <v>13</v>
      </c>
      <c r="E25859" s="4" t="s">
        <v>13</v>
      </c>
      <c r="F25859" s="4" t="s">
        <v>13</v>
      </c>
      <c r="G25859" s="4" t="s">
        <v>13</v>
      </c>
    </row>
    <row r="25860" spans="1:6">
      <c r="A25860" t="n">
        <v>250715</v>
      </c>
      <c r="B25860" s="36" t="n">
        <v>46</v>
      </c>
      <c r="C25860" s="7" t="n">
        <v>5</v>
      </c>
      <c r="D25860" s="7" t="n">
        <v>7.6100001335144</v>
      </c>
      <c r="E25860" s="7" t="n">
        <v>0</v>
      </c>
      <c r="F25860" s="7" t="n">
        <v>46.0200004577637</v>
      </c>
      <c r="G25860" s="7" t="n">
        <v>272.200012207031</v>
      </c>
    </row>
    <row r="25861" spans="1:6">
      <c r="A25861" t="s">
        <v>4</v>
      </c>
      <c r="B25861" s="4" t="s">
        <v>5</v>
      </c>
      <c r="C25861" s="4" t="s">
        <v>11</v>
      </c>
      <c r="D25861" s="4" t="s">
        <v>13</v>
      </c>
      <c r="E25861" s="4" t="s">
        <v>13</v>
      </c>
      <c r="F25861" s="4" t="s">
        <v>13</v>
      </c>
      <c r="G25861" s="4" t="s">
        <v>13</v>
      </c>
    </row>
    <row r="25862" spans="1:6">
      <c r="A25862" t="n">
        <v>250734</v>
      </c>
      <c r="B25862" s="36" t="n">
        <v>46</v>
      </c>
      <c r="C25862" s="7" t="n">
        <v>0</v>
      </c>
      <c r="D25862" s="7" t="n">
        <v>4.78000020980835</v>
      </c>
      <c r="E25862" s="7" t="n">
        <v>0</v>
      </c>
      <c r="F25862" s="7" t="n">
        <v>45.3300018310547</v>
      </c>
      <c r="G25862" s="7" t="n">
        <v>-102.300003051758</v>
      </c>
    </row>
    <row r="25863" spans="1:6">
      <c r="A25863" t="s">
        <v>4</v>
      </c>
      <c r="B25863" s="4" t="s">
        <v>5</v>
      </c>
      <c r="C25863" s="4" t="s">
        <v>11</v>
      </c>
      <c r="D25863" s="4" t="s">
        <v>7</v>
      </c>
      <c r="E25863" s="4" t="s">
        <v>8</v>
      </c>
      <c r="F25863" s="4" t="s">
        <v>13</v>
      </c>
      <c r="G25863" s="4" t="s">
        <v>13</v>
      </c>
      <c r="H25863" s="4" t="s">
        <v>13</v>
      </c>
    </row>
    <row r="25864" spans="1:6">
      <c r="A25864" t="n">
        <v>250753</v>
      </c>
      <c r="B25864" s="42" t="n">
        <v>48</v>
      </c>
      <c r="C25864" s="7" t="n">
        <v>0</v>
      </c>
      <c r="D25864" s="7" t="n">
        <v>0</v>
      </c>
      <c r="E25864" s="7" t="s">
        <v>275</v>
      </c>
      <c r="F25864" s="7" t="n">
        <v>0</v>
      </c>
      <c r="G25864" s="7" t="n">
        <v>1</v>
      </c>
      <c r="H25864" s="7" t="n">
        <v>0</v>
      </c>
    </row>
    <row r="25865" spans="1:6">
      <c r="A25865" t="s">
        <v>4</v>
      </c>
      <c r="B25865" s="4" t="s">
        <v>5</v>
      </c>
      <c r="C25865" s="4" t="s">
        <v>7</v>
      </c>
      <c r="D25865" s="4" t="s">
        <v>11</v>
      </c>
      <c r="E25865" s="4" t="s">
        <v>8</v>
      </c>
      <c r="F25865" s="4" t="s">
        <v>8</v>
      </c>
      <c r="G25865" s="4" t="s">
        <v>8</v>
      </c>
      <c r="H25865" s="4" t="s">
        <v>8</v>
      </c>
    </row>
    <row r="25866" spans="1:6">
      <c r="A25866" t="n">
        <v>250778</v>
      </c>
      <c r="B25866" s="38" t="n">
        <v>51</v>
      </c>
      <c r="C25866" s="7" t="n">
        <v>3</v>
      </c>
      <c r="D25866" s="7" t="n">
        <v>0</v>
      </c>
      <c r="E25866" s="7" t="s">
        <v>101</v>
      </c>
      <c r="F25866" s="7" t="s">
        <v>99</v>
      </c>
      <c r="G25866" s="7" t="s">
        <v>78</v>
      </c>
      <c r="H25866" s="7" t="s">
        <v>79</v>
      </c>
    </row>
    <row r="25867" spans="1:6">
      <c r="A25867" t="s">
        <v>4</v>
      </c>
      <c r="B25867" s="4" t="s">
        <v>5</v>
      </c>
      <c r="C25867" s="4" t="s">
        <v>7</v>
      </c>
      <c r="D25867" s="4" t="s">
        <v>11</v>
      </c>
      <c r="E25867" s="4" t="s">
        <v>8</v>
      </c>
      <c r="F25867" s="4" t="s">
        <v>8</v>
      </c>
      <c r="G25867" s="4" t="s">
        <v>8</v>
      </c>
      <c r="H25867" s="4" t="s">
        <v>8</v>
      </c>
    </row>
    <row r="25868" spans="1:6">
      <c r="A25868" t="n">
        <v>250799</v>
      </c>
      <c r="B25868" s="38" t="n">
        <v>51</v>
      </c>
      <c r="C25868" s="7" t="n">
        <v>3</v>
      </c>
      <c r="D25868" s="7" t="n">
        <v>5</v>
      </c>
      <c r="E25868" s="7" t="s">
        <v>101</v>
      </c>
      <c r="F25868" s="7" t="s">
        <v>79</v>
      </c>
      <c r="G25868" s="7" t="s">
        <v>78</v>
      </c>
      <c r="H25868" s="7" t="s">
        <v>79</v>
      </c>
    </row>
    <row r="25869" spans="1:6">
      <c r="A25869" t="s">
        <v>4</v>
      </c>
      <c r="B25869" s="4" t="s">
        <v>5</v>
      </c>
      <c r="C25869" s="4" t="s">
        <v>7</v>
      </c>
      <c r="D25869" s="4" t="s">
        <v>11</v>
      </c>
      <c r="E25869" s="4" t="s">
        <v>7</v>
      </c>
      <c r="F25869" s="4" t="s">
        <v>8</v>
      </c>
      <c r="G25869" s="4" t="s">
        <v>8</v>
      </c>
      <c r="H25869" s="4" t="s">
        <v>8</v>
      </c>
      <c r="I25869" s="4" t="s">
        <v>8</v>
      </c>
      <c r="J25869" s="4" t="s">
        <v>8</v>
      </c>
      <c r="K25869" s="4" t="s">
        <v>8</v>
      </c>
      <c r="L25869" s="4" t="s">
        <v>8</v>
      </c>
      <c r="M25869" s="4" t="s">
        <v>8</v>
      </c>
      <c r="N25869" s="4" t="s">
        <v>8</v>
      </c>
      <c r="O25869" s="4" t="s">
        <v>8</v>
      </c>
      <c r="P25869" s="4" t="s">
        <v>8</v>
      </c>
      <c r="Q25869" s="4" t="s">
        <v>8</v>
      </c>
      <c r="R25869" s="4" t="s">
        <v>8</v>
      </c>
      <c r="S25869" s="4" t="s">
        <v>8</v>
      </c>
      <c r="T25869" s="4" t="s">
        <v>8</v>
      </c>
      <c r="U25869" s="4" t="s">
        <v>8</v>
      </c>
    </row>
    <row r="25870" spans="1:6">
      <c r="A25870" t="n">
        <v>250820</v>
      </c>
      <c r="B25870" s="40" t="n">
        <v>36</v>
      </c>
      <c r="C25870" s="7" t="n">
        <v>8</v>
      </c>
      <c r="D25870" s="7" t="n">
        <v>0</v>
      </c>
      <c r="E25870" s="7" t="n">
        <v>0</v>
      </c>
      <c r="F25870" s="7" t="s">
        <v>479</v>
      </c>
      <c r="G25870" s="7" t="s">
        <v>16</v>
      </c>
      <c r="H25870" s="7" t="s">
        <v>16</v>
      </c>
      <c r="I25870" s="7" t="s">
        <v>16</v>
      </c>
      <c r="J25870" s="7" t="s">
        <v>16</v>
      </c>
      <c r="K25870" s="7" t="s">
        <v>16</v>
      </c>
      <c r="L25870" s="7" t="s">
        <v>16</v>
      </c>
      <c r="M25870" s="7" t="s">
        <v>16</v>
      </c>
      <c r="N25870" s="7" t="s">
        <v>16</v>
      </c>
      <c r="O25870" s="7" t="s">
        <v>16</v>
      </c>
      <c r="P25870" s="7" t="s">
        <v>16</v>
      </c>
      <c r="Q25870" s="7" t="s">
        <v>16</v>
      </c>
      <c r="R25870" s="7" t="s">
        <v>16</v>
      </c>
      <c r="S25870" s="7" t="s">
        <v>16</v>
      </c>
      <c r="T25870" s="7" t="s">
        <v>16</v>
      </c>
      <c r="U25870" s="7" t="s">
        <v>16</v>
      </c>
    </row>
    <row r="25871" spans="1:6">
      <c r="A25871" t="s">
        <v>4</v>
      </c>
      <c r="B25871" s="4" t="s">
        <v>5</v>
      </c>
      <c r="C25871" s="4" t="s">
        <v>7</v>
      </c>
      <c r="D25871" s="4" t="s">
        <v>11</v>
      </c>
      <c r="E25871" s="4" t="s">
        <v>7</v>
      </c>
      <c r="F25871" s="4" t="s">
        <v>8</v>
      </c>
      <c r="G25871" s="4" t="s">
        <v>8</v>
      </c>
      <c r="H25871" s="4" t="s">
        <v>8</v>
      </c>
      <c r="I25871" s="4" t="s">
        <v>8</v>
      </c>
      <c r="J25871" s="4" t="s">
        <v>8</v>
      </c>
      <c r="K25871" s="4" t="s">
        <v>8</v>
      </c>
      <c r="L25871" s="4" t="s">
        <v>8</v>
      </c>
      <c r="M25871" s="4" t="s">
        <v>8</v>
      </c>
      <c r="N25871" s="4" t="s">
        <v>8</v>
      </c>
      <c r="O25871" s="4" t="s">
        <v>8</v>
      </c>
      <c r="P25871" s="4" t="s">
        <v>8</v>
      </c>
      <c r="Q25871" s="4" t="s">
        <v>8</v>
      </c>
      <c r="R25871" s="4" t="s">
        <v>8</v>
      </c>
      <c r="S25871" s="4" t="s">
        <v>8</v>
      </c>
      <c r="T25871" s="4" t="s">
        <v>8</v>
      </c>
      <c r="U25871" s="4" t="s">
        <v>8</v>
      </c>
    </row>
    <row r="25872" spans="1:6">
      <c r="A25872" t="n">
        <v>250850</v>
      </c>
      <c r="B25872" s="40" t="n">
        <v>36</v>
      </c>
      <c r="C25872" s="7" t="n">
        <v>8</v>
      </c>
      <c r="D25872" s="7" t="n">
        <v>5</v>
      </c>
      <c r="E25872" s="7" t="n">
        <v>0</v>
      </c>
      <c r="F25872" s="7" t="s">
        <v>479</v>
      </c>
      <c r="G25872" s="7" t="s">
        <v>480</v>
      </c>
      <c r="H25872" s="7" t="s">
        <v>16</v>
      </c>
      <c r="I25872" s="7" t="s">
        <v>16</v>
      </c>
      <c r="J25872" s="7" t="s">
        <v>16</v>
      </c>
      <c r="K25872" s="7" t="s">
        <v>16</v>
      </c>
      <c r="L25872" s="7" t="s">
        <v>16</v>
      </c>
      <c r="M25872" s="7" t="s">
        <v>16</v>
      </c>
      <c r="N25872" s="7" t="s">
        <v>16</v>
      </c>
      <c r="O25872" s="7" t="s">
        <v>16</v>
      </c>
      <c r="P25872" s="7" t="s">
        <v>16</v>
      </c>
      <c r="Q25872" s="7" t="s">
        <v>16</v>
      </c>
      <c r="R25872" s="7" t="s">
        <v>16</v>
      </c>
      <c r="S25872" s="7" t="s">
        <v>16</v>
      </c>
      <c r="T25872" s="7" t="s">
        <v>16</v>
      </c>
      <c r="U25872" s="7" t="s">
        <v>16</v>
      </c>
    </row>
    <row r="25873" spans="1:21">
      <c r="A25873" t="s">
        <v>4</v>
      </c>
      <c r="B25873" s="4" t="s">
        <v>5</v>
      </c>
      <c r="C25873" s="4" t="s">
        <v>7</v>
      </c>
      <c r="D25873" s="4" t="s">
        <v>7</v>
      </c>
      <c r="E25873" s="4" t="s">
        <v>13</v>
      </c>
      <c r="F25873" s="4" t="s">
        <v>13</v>
      </c>
      <c r="G25873" s="4" t="s">
        <v>13</v>
      </c>
      <c r="H25873" s="4" t="s">
        <v>11</v>
      </c>
    </row>
    <row r="25874" spans="1:21">
      <c r="A25874" t="n">
        <v>250893</v>
      </c>
      <c r="B25874" s="51" t="n">
        <v>45</v>
      </c>
      <c r="C25874" s="7" t="n">
        <v>2</v>
      </c>
      <c r="D25874" s="7" t="n">
        <v>3</v>
      </c>
      <c r="E25874" s="7" t="n">
        <v>-3</v>
      </c>
      <c r="F25874" s="7" t="n">
        <v>2.89000010490417</v>
      </c>
      <c r="G25874" s="7" t="n">
        <v>41.3699989318848</v>
      </c>
      <c r="H25874" s="7" t="n">
        <v>0</v>
      </c>
    </row>
    <row r="25875" spans="1:21">
      <c r="A25875" t="s">
        <v>4</v>
      </c>
      <c r="B25875" s="4" t="s">
        <v>5</v>
      </c>
      <c r="C25875" s="4" t="s">
        <v>7</v>
      </c>
      <c r="D25875" s="4" t="s">
        <v>7</v>
      </c>
      <c r="E25875" s="4" t="s">
        <v>13</v>
      </c>
      <c r="F25875" s="4" t="s">
        <v>13</v>
      </c>
      <c r="G25875" s="4" t="s">
        <v>13</v>
      </c>
      <c r="H25875" s="4" t="s">
        <v>11</v>
      </c>
      <c r="I25875" s="4" t="s">
        <v>7</v>
      </c>
    </row>
    <row r="25876" spans="1:21">
      <c r="A25876" t="n">
        <v>250910</v>
      </c>
      <c r="B25876" s="51" t="n">
        <v>45</v>
      </c>
      <c r="C25876" s="7" t="n">
        <v>4</v>
      </c>
      <c r="D25876" s="7" t="n">
        <v>3</v>
      </c>
      <c r="E25876" s="7" t="n">
        <v>0.649999976158142</v>
      </c>
      <c r="F25876" s="7" t="n">
        <v>105.529998779297</v>
      </c>
      <c r="G25876" s="7" t="n">
        <v>0</v>
      </c>
      <c r="H25876" s="7" t="n">
        <v>0</v>
      </c>
      <c r="I25876" s="7" t="n">
        <v>0</v>
      </c>
    </row>
    <row r="25877" spans="1:21">
      <c r="A25877" t="s">
        <v>4</v>
      </c>
      <c r="B25877" s="4" t="s">
        <v>5</v>
      </c>
      <c r="C25877" s="4" t="s">
        <v>7</v>
      </c>
      <c r="D25877" s="4" t="s">
        <v>7</v>
      </c>
      <c r="E25877" s="4" t="s">
        <v>13</v>
      </c>
      <c r="F25877" s="4" t="s">
        <v>11</v>
      </c>
    </row>
    <row r="25878" spans="1:21">
      <c r="A25878" t="n">
        <v>250928</v>
      </c>
      <c r="B25878" s="51" t="n">
        <v>45</v>
      </c>
      <c r="C25878" s="7" t="n">
        <v>5</v>
      </c>
      <c r="D25878" s="7" t="n">
        <v>3</v>
      </c>
      <c r="E25878" s="7" t="n">
        <v>2.40000009536743</v>
      </c>
      <c r="F25878" s="7" t="n">
        <v>0</v>
      </c>
    </row>
    <row r="25879" spans="1:21">
      <c r="A25879" t="s">
        <v>4</v>
      </c>
      <c r="B25879" s="4" t="s">
        <v>5</v>
      </c>
      <c r="C25879" s="4" t="s">
        <v>7</v>
      </c>
      <c r="D25879" s="4" t="s">
        <v>7</v>
      </c>
      <c r="E25879" s="4" t="s">
        <v>13</v>
      </c>
      <c r="F25879" s="4" t="s">
        <v>11</v>
      </c>
    </row>
    <row r="25880" spans="1:21">
      <c r="A25880" t="n">
        <v>250937</v>
      </c>
      <c r="B25880" s="51" t="n">
        <v>45</v>
      </c>
      <c r="C25880" s="7" t="n">
        <v>11</v>
      </c>
      <c r="D25880" s="7" t="n">
        <v>3</v>
      </c>
      <c r="E25880" s="7" t="n">
        <v>33.4000015258789</v>
      </c>
      <c r="F25880" s="7" t="n">
        <v>0</v>
      </c>
    </row>
    <row r="25881" spans="1:21">
      <c r="A25881" t="s">
        <v>4</v>
      </c>
      <c r="B25881" s="4" t="s">
        <v>5</v>
      </c>
      <c r="C25881" s="4" t="s">
        <v>11</v>
      </c>
      <c r="D25881" s="4" t="s">
        <v>13</v>
      </c>
      <c r="E25881" s="4" t="s">
        <v>13</v>
      </c>
      <c r="F25881" s="4" t="s">
        <v>13</v>
      </c>
      <c r="G25881" s="4" t="s">
        <v>11</v>
      </c>
      <c r="H25881" s="4" t="s">
        <v>11</v>
      </c>
    </row>
    <row r="25882" spans="1:21">
      <c r="A25882" t="n">
        <v>250946</v>
      </c>
      <c r="B25882" s="37" t="n">
        <v>60</v>
      </c>
      <c r="C25882" s="7" t="n">
        <v>0</v>
      </c>
      <c r="D25882" s="7" t="n">
        <v>0</v>
      </c>
      <c r="E25882" s="7" t="n">
        <v>20</v>
      </c>
      <c r="F25882" s="7" t="n">
        <v>0</v>
      </c>
      <c r="G25882" s="7" t="n">
        <v>0</v>
      </c>
      <c r="H25882" s="7" t="n">
        <v>0</v>
      </c>
    </row>
    <row r="25883" spans="1:21">
      <c r="A25883" t="s">
        <v>4</v>
      </c>
      <c r="B25883" s="4" t="s">
        <v>5</v>
      </c>
      <c r="C25883" s="4" t="s">
        <v>7</v>
      </c>
      <c r="D25883" s="4" t="s">
        <v>7</v>
      </c>
      <c r="E25883" s="4" t="s">
        <v>7</v>
      </c>
      <c r="F25883" s="4" t="s">
        <v>13</v>
      </c>
      <c r="G25883" s="4" t="s">
        <v>13</v>
      </c>
      <c r="H25883" s="4" t="s">
        <v>13</v>
      </c>
      <c r="I25883" s="4" t="s">
        <v>13</v>
      </c>
      <c r="J25883" s="4" t="s">
        <v>13</v>
      </c>
    </row>
    <row r="25884" spans="1:21">
      <c r="A25884" t="n">
        <v>250965</v>
      </c>
      <c r="B25884" s="25" t="n">
        <v>76</v>
      </c>
      <c r="C25884" s="7" t="n">
        <v>0</v>
      </c>
      <c r="D25884" s="7" t="n">
        <v>3</v>
      </c>
      <c r="E25884" s="7" t="n">
        <v>2</v>
      </c>
      <c r="F25884" s="7" t="n">
        <v>1</v>
      </c>
      <c r="G25884" s="7" t="n">
        <v>1</v>
      </c>
      <c r="H25884" s="7" t="n">
        <v>1</v>
      </c>
      <c r="I25884" s="7" t="n">
        <v>1</v>
      </c>
      <c r="J25884" s="7" t="n">
        <v>2000</v>
      </c>
    </row>
    <row r="25885" spans="1:21">
      <c r="A25885" t="s">
        <v>4</v>
      </c>
      <c r="B25885" s="4" t="s">
        <v>5</v>
      </c>
      <c r="C25885" s="4" t="s">
        <v>7</v>
      </c>
      <c r="D25885" s="4" t="s">
        <v>7</v>
      </c>
      <c r="E25885" s="4" t="s">
        <v>7</v>
      </c>
      <c r="F25885" s="4" t="s">
        <v>13</v>
      </c>
      <c r="G25885" s="4" t="s">
        <v>13</v>
      </c>
      <c r="H25885" s="4" t="s">
        <v>13</v>
      </c>
      <c r="I25885" s="4" t="s">
        <v>13</v>
      </c>
      <c r="J25885" s="4" t="s">
        <v>13</v>
      </c>
    </row>
    <row r="25886" spans="1:21">
      <c r="A25886" t="n">
        <v>250989</v>
      </c>
      <c r="B25886" s="25" t="n">
        <v>76</v>
      </c>
      <c r="C25886" s="7" t="n">
        <v>0</v>
      </c>
      <c r="D25886" s="7" t="n">
        <v>0</v>
      </c>
      <c r="E25886" s="7" t="n">
        <v>2</v>
      </c>
      <c r="F25886" s="7" t="n">
        <v>64</v>
      </c>
      <c r="G25886" s="7" t="n">
        <v>0</v>
      </c>
      <c r="H25886" s="7" t="n">
        <v>2000</v>
      </c>
      <c r="I25886" s="7" t="n">
        <v>0</v>
      </c>
      <c r="J25886" s="7" t="n">
        <v>0</v>
      </c>
    </row>
    <row r="25887" spans="1:21">
      <c r="A25887" t="s">
        <v>4</v>
      </c>
      <c r="B25887" s="4" t="s">
        <v>5</v>
      </c>
      <c r="C25887" s="4" t="s">
        <v>7</v>
      </c>
      <c r="D25887" s="4" t="s">
        <v>7</v>
      </c>
    </row>
    <row r="25888" spans="1:21">
      <c r="A25888" t="n">
        <v>251013</v>
      </c>
      <c r="B25888" s="26" t="n">
        <v>77</v>
      </c>
      <c r="C25888" s="7" t="n">
        <v>0</v>
      </c>
      <c r="D25888" s="7" t="n">
        <v>3</v>
      </c>
    </row>
    <row r="25889" spans="1:10">
      <c r="A25889" t="s">
        <v>4</v>
      </c>
      <c r="B25889" s="4" t="s">
        <v>5</v>
      </c>
      <c r="C25889" s="4" t="s">
        <v>7</v>
      </c>
      <c r="D25889" s="4" t="s">
        <v>7</v>
      </c>
    </row>
    <row r="25890" spans="1:10">
      <c r="A25890" t="n">
        <v>251016</v>
      </c>
      <c r="B25890" s="26" t="n">
        <v>77</v>
      </c>
      <c r="C25890" s="7" t="n">
        <v>0</v>
      </c>
      <c r="D25890" s="7" t="n">
        <v>0</v>
      </c>
    </row>
    <row r="25891" spans="1:10">
      <c r="A25891" t="s">
        <v>4</v>
      </c>
      <c r="B25891" s="4" t="s">
        <v>5</v>
      </c>
      <c r="C25891" s="4" t="s">
        <v>11</v>
      </c>
    </row>
    <row r="25892" spans="1:10">
      <c r="A25892" t="n">
        <v>251019</v>
      </c>
      <c r="B25892" s="29" t="n">
        <v>16</v>
      </c>
      <c r="C25892" s="7" t="n">
        <v>2000</v>
      </c>
    </row>
    <row r="25893" spans="1:10">
      <c r="A25893" t="s">
        <v>4</v>
      </c>
      <c r="B25893" s="4" t="s">
        <v>5</v>
      </c>
      <c r="C25893" s="4" t="s">
        <v>7</v>
      </c>
      <c r="D25893" s="4" t="s">
        <v>11</v>
      </c>
      <c r="E25893" s="4" t="s">
        <v>15</v>
      </c>
      <c r="F25893" s="4" t="s">
        <v>11</v>
      </c>
      <c r="G25893" s="4" t="s">
        <v>15</v>
      </c>
      <c r="H25893" s="4" t="s">
        <v>7</v>
      </c>
    </row>
    <row r="25894" spans="1:10">
      <c r="A25894" t="n">
        <v>251022</v>
      </c>
      <c r="B25894" s="13" t="n">
        <v>49</v>
      </c>
      <c r="C25894" s="7" t="n">
        <v>0</v>
      </c>
      <c r="D25894" s="7" t="n">
        <v>514</v>
      </c>
      <c r="E25894" s="7" t="n">
        <v>1065353216</v>
      </c>
      <c r="F25894" s="7" t="n">
        <v>0</v>
      </c>
      <c r="G25894" s="7" t="n">
        <v>0</v>
      </c>
      <c r="H25894" s="7" t="n">
        <v>0</v>
      </c>
    </row>
    <row r="25895" spans="1:10">
      <c r="A25895" t="s">
        <v>4</v>
      </c>
      <c r="B25895" s="4" t="s">
        <v>5</v>
      </c>
      <c r="C25895" s="4" t="s">
        <v>7</v>
      </c>
      <c r="D25895" s="4" t="s">
        <v>7</v>
      </c>
      <c r="E25895" s="4" t="s">
        <v>7</v>
      </c>
      <c r="F25895" s="4" t="s">
        <v>13</v>
      </c>
      <c r="G25895" s="4" t="s">
        <v>13</v>
      </c>
      <c r="H25895" s="4" t="s">
        <v>13</v>
      </c>
      <c r="I25895" s="4" t="s">
        <v>13</v>
      </c>
      <c r="J25895" s="4" t="s">
        <v>13</v>
      </c>
    </row>
    <row r="25896" spans="1:10">
      <c r="A25896" t="n">
        <v>251037</v>
      </c>
      <c r="B25896" s="25" t="n">
        <v>76</v>
      </c>
      <c r="C25896" s="7" t="n">
        <v>0</v>
      </c>
      <c r="D25896" s="7" t="n">
        <v>3</v>
      </c>
      <c r="E25896" s="7" t="n">
        <v>1</v>
      </c>
      <c r="F25896" s="7" t="n">
        <v>1</v>
      </c>
      <c r="G25896" s="7" t="n">
        <v>1</v>
      </c>
      <c r="H25896" s="7" t="n">
        <v>1</v>
      </c>
      <c r="I25896" s="7" t="n">
        <v>0</v>
      </c>
      <c r="J25896" s="7" t="n">
        <v>2000</v>
      </c>
    </row>
    <row r="25897" spans="1:10">
      <c r="A25897" t="s">
        <v>4</v>
      </c>
      <c r="B25897" s="4" t="s">
        <v>5</v>
      </c>
      <c r="C25897" s="4" t="s">
        <v>7</v>
      </c>
      <c r="D25897" s="4" t="s">
        <v>7</v>
      </c>
      <c r="E25897" s="4" t="s">
        <v>7</v>
      </c>
      <c r="F25897" s="4" t="s">
        <v>13</v>
      </c>
      <c r="G25897" s="4" t="s">
        <v>13</v>
      </c>
      <c r="H25897" s="4" t="s">
        <v>13</v>
      </c>
      <c r="I25897" s="4" t="s">
        <v>13</v>
      </c>
      <c r="J25897" s="4" t="s">
        <v>13</v>
      </c>
    </row>
    <row r="25898" spans="1:10">
      <c r="A25898" t="n">
        <v>251061</v>
      </c>
      <c r="B25898" s="25" t="n">
        <v>76</v>
      </c>
      <c r="C25898" s="7" t="n">
        <v>0</v>
      </c>
      <c r="D25898" s="7" t="n">
        <v>0</v>
      </c>
      <c r="E25898" s="7" t="n">
        <v>1</v>
      </c>
      <c r="F25898" s="7" t="n">
        <v>128</v>
      </c>
      <c r="G25898" s="7" t="n">
        <v>0</v>
      </c>
      <c r="H25898" s="7" t="n">
        <v>2000</v>
      </c>
      <c r="I25898" s="7" t="n">
        <v>0</v>
      </c>
      <c r="J25898" s="7" t="n">
        <v>0</v>
      </c>
    </row>
    <row r="25899" spans="1:10">
      <c r="A25899" t="s">
        <v>4</v>
      </c>
      <c r="B25899" s="4" t="s">
        <v>5</v>
      </c>
      <c r="C25899" s="4" t="s">
        <v>7</v>
      </c>
      <c r="D25899" s="4" t="s">
        <v>7</v>
      </c>
    </row>
    <row r="25900" spans="1:10">
      <c r="A25900" t="n">
        <v>251085</v>
      </c>
      <c r="B25900" s="26" t="n">
        <v>77</v>
      </c>
      <c r="C25900" s="7" t="n">
        <v>0</v>
      </c>
      <c r="D25900" s="7" t="n">
        <v>3</v>
      </c>
    </row>
    <row r="25901" spans="1:10">
      <c r="A25901" t="s">
        <v>4</v>
      </c>
      <c r="B25901" s="4" t="s">
        <v>5</v>
      </c>
      <c r="C25901" s="4" t="s">
        <v>7</v>
      </c>
      <c r="D25901" s="4" t="s">
        <v>7</v>
      </c>
    </row>
    <row r="25902" spans="1:10">
      <c r="A25902" t="n">
        <v>251088</v>
      </c>
      <c r="B25902" s="26" t="n">
        <v>77</v>
      </c>
      <c r="C25902" s="7" t="n">
        <v>0</v>
      </c>
      <c r="D25902" s="7" t="n">
        <v>0</v>
      </c>
    </row>
    <row r="25903" spans="1:10">
      <c r="A25903" t="s">
        <v>4</v>
      </c>
      <c r="B25903" s="4" t="s">
        <v>5</v>
      </c>
      <c r="C25903" s="4" t="s">
        <v>7</v>
      </c>
      <c r="D25903" s="4" t="s">
        <v>7</v>
      </c>
      <c r="E25903" s="4" t="s">
        <v>13</v>
      </c>
      <c r="F25903" s="4" t="s">
        <v>13</v>
      </c>
      <c r="G25903" s="4" t="s">
        <v>13</v>
      </c>
      <c r="H25903" s="4" t="s">
        <v>11</v>
      </c>
    </row>
    <row r="25904" spans="1:10">
      <c r="A25904" t="n">
        <v>251091</v>
      </c>
      <c r="B25904" s="51" t="n">
        <v>45</v>
      </c>
      <c r="C25904" s="7" t="n">
        <v>2</v>
      </c>
      <c r="D25904" s="7" t="n">
        <v>3</v>
      </c>
      <c r="E25904" s="7" t="n">
        <v>5.23999977111816</v>
      </c>
      <c r="F25904" s="7" t="n">
        <v>2.15000009536743</v>
      </c>
      <c r="G25904" s="7" t="n">
        <v>43.8600006103516</v>
      </c>
      <c r="H25904" s="7" t="n">
        <v>8000</v>
      </c>
    </row>
    <row r="25905" spans="1:10">
      <c r="A25905" t="s">
        <v>4</v>
      </c>
      <c r="B25905" s="4" t="s">
        <v>5</v>
      </c>
      <c r="C25905" s="4" t="s">
        <v>7</v>
      </c>
      <c r="D25905" s="4" t="s">
        <v>7</v>
      </c>
      <c r="E25905" s="4" t="s">
        <v>13</v>
      </c>
      <c r="F25905" s="4" t="s">
        <v>13</v>
      </c>
      <c r="G25905" s="4" t="s">
        <v>13</v>
      </c>
      <c r="H25905" s="4" t="s">
        <v>11</v>
      </c>
      <c r="I25905" s="4" t="s">
        <v>7</v>
      </c>
    </row>
    <row r="25906" spans="1:10">
      <c r="A25906" t="n">
        <v>251108</v>
      </c>
      <c r="B25906" s="51" t="n">
        <v>45</v>
      </c>
      <c r="C25906" s="7" t="n">
        <v>4</v>
      </c>
      <c r="D25906" s="7" t="n">
        <v>3</v>
      </c>
      <c r="E25906" s="7" t="n">
        <v>12.4799995422363</v>
      </c>
      <c r="F25906" s="7" t="n">
        <v>144.25</v>
      </c>
      <c r="G25906" s="7" t="n">
        <v>0</v>
      </c>
      <c r="H25906" s="7" t="n">
        <v>8000</v>
      </c>
      <c r="I25906" s="7" t="n">
        <v>0</v>
      </c>
    </row>
    <row r="25907" spans="1:10">
      <c r="A25907" t="s">
        <v>4</v>
      </c>
      <c r="B25907" s="4" t="s">
        <v>5</v>
      </c>
      <c r="C25907" s="4" t="s">
        <v>7</v>
      </c>
      <c r="D25907" s="4" t="s">
        <v>7</v>
      </c>
      <c r="E25907" s="4" t="s">
        <v>13</v>
      </c>
      <c r="F25907" s="4" t="s">
        <v>11</v>
      </c>
    </row>
    <row r="25908" spans="1:10">
      <c r="A25908" t="n">
        <v>251126</v>
      </c>
      <c r="B25908" s="51" t="n">
        <v>45</v>
      </c>
      <c r="C25908" s="7" t="n">
        <v>5</v>
      </c>
      <c r="D25908" s="7" t="n">
        <v>3</v>
      </c>
      <c r="E25908" s="7" t="n">
        <v>2.40000009536743</v>
      </c>
      <c r="F25908" s="7" t="n">
        <v>8000</v>
      </c>
    </row>
    <row r="25909" spans="1:10">
      <c r="A25909" t="s">
        <v>4</v>
      </c>
      <c r="B25909" s="4" t="s">
        <v>5</v>
      </c>
      <c r="C25909" s="4" t="s">
        <v>7</v>
      </c>
      <c r="D25909" s="4" t="s">
        <v>7</v>
      </c>
      <c r="E25909" s="4" t="s">
        <v>13</v>
      </c>
      <c r="F25909" s="4" t="s">
        <v>11</v>
      </c>
    </row>
    <row r="25910" spans="1:10">
      <c r="A25910" t="n">
        <v>251135</v>
      </c>
      <c r="B25910" s="51" t="n">
        <v>45</v>
      </c>
      <c r="C25910" s="7" t="n">
        <v>11</v>
      </c>
      <c r="D25910" s="7" t="n">
        <v>3</v>
      </c>
      <c r="E25910" s="7" t="n">
        <v>33.4000015258789</v>
      </c>
      <c r="F25910" s="7" t="n">
        <v>8000</v>
      </c>
    </row>
    <row r="25911" spans="1:10">
      <c r="A25911" t="s">
        <v>4</v>
      </c>
      <c r="B25911" s="4" t="s">
        <v>5</v>
      </c>
      <c r="C25911" s="4" t="s">
        <v>7</v>
      </c>
      <c r="D25911" s="4" t="s">
        <v>11</v>
      </c>
      <c r="E25911" s="4" t="s">
        <v>13</v>
      </c>
    </row>
    <row r="25912" spans="1:10">
      <c r="A25912" t="n">
        <v>251144</v>
      </c>
      <c r="B25912" s="23" t="n">
        <v>58</v>
      </c>
      <c r="C25912" s="7" t="n">
        <v>100</v>
      </c>
      <c r="D25912" s="7" t="n">
        <v>1000</v>
      </c>
      <c r="E25912" s="7" t="n">
        <v>1</v>
      </c>
    </row>
    <row r="25913" spans="1:10">
      <c r="A25913" t="s">
        <v>4</v>
      </c>
      <c r="B25913" s="4" t="s">
        <v>5</v>
      </c>
      <c r="C25913" s="4" t="s">
        <v>7</v>
      </c>
      <c r="D25913" s="4" t="s">
        <v>11</v>
      </c>
    </row>
    <row r="25914" spans="1:10">
      <c r="A25914" t="n">
        <v>251152</v>
      </c>
      <c r="B25914" s="23" t="n">
        <v>58</v>
      </c>
      <c r="C25914" s="7" t="n">
        <v>255</v>
      </c>
      <c r="D25914" s="7" t="n">
        <v>0</v>
      </c>
    </row>
    <row r="25915" spans="1:10">
      <c r="A25915" t="s">
        <v>4</v>
      </c>
      <c r="B25915" s="4" t="s">
        <v>5</v>
      </c>
      <c r="C25915" s="4" t="s">
        <v>7</v>
      </c>
      <c r="D25915" s="4" t="s">
        <v>11</v>
      </c>
    </row>
    <row r="25916" spans="1:10">
      <c r="A25916" t="n">
        <v>251156</v>
      </c>
      <c r="B25916" s="51" t="n">
        <v>45</v>
      </c>
      <c r="C25916" s="7" t="n">
        <v>7</v>
      </c>
      <c r="D25916" s="7" t="n">
        <v>255</v>
      </c>
    </row>
    <row r="25917" spans="1:10">
      <c r="A25917" t="s">
        <v>4</v>
      </c>
      <c r="B25917" s="4" t="s">
        <v>5</v>
      </c>
      <c r="C25917" s="4" t="s">
        <v>7</v>
      </c>
      <c r="D25917" s="4" t="s">
        <v>11</v>
      </c>
      <c r="E25917" s="4" t="s">
        <v>13</v>
      </c>
    </row>
    <row r="25918" spans="1:10">
      <c r="A25918" t="n">
        <v>251160</v>
      </c>
      <c r="B25918" s="23" t="n">
        <v>58</v>
      </c>
      <c r="C25918" s="7" t="n">
        <v>101</v>
      </c>
      <c r="D25918" s="7" t="n">
        <v>800</v>
      </c>
      <c r="E25918" s="7" t="n">
        <v>1</v>
      </c>
    </row>
    <row r="25919" spans="1:10">
      <c r="A25919" t="s">
        <v>4</v>
      </c>
      <c r="B25919" s="4" t="s">
        <v>5</v>
      </c>
      <c r="C25919" s="4" t="s">
        <v>7</v>
      </c>
      <c r="D25919" s="4" t="s">
        <v>11</v>
      </c>
    </row>
    <row r="25920" spans="1:10">
      <c r="A25920" t="n">
        <v>251168</v>
      </c>
      <c r="B25920" s="23" t="n">
        <v>58</v>
      </c>
      <c r="C25920" s="7" t="n">
        <v>254</v>
      </c>
      <c r="D25920" s="7" t="n">
        <v>0</v>
      </c>
    </row>
    <row r="25921" spans="1:9">
      <c r="A25921" t="s">
        <v>4</v>
      </c>
      <c r="B25921" s="4" t="s">
        <v>5</v>
      </c>
      <c r="C25921" s="4" t="s">
        <v>7</v>
      </c>
      <c r="D25921" s="4" t="s">
        <v>7</v>
      </c>
      <c r="E25921" s="4" t="s">
        <v>13</v>
      </c>
      <c r="F25921" s="4" t="s">
        <v>13</v>
      </c>
      <c r="G25921" s="4" t="s">
        <v>13</v>
      </c>
      <c r="H25921" s="4" t="s">
        <v>11</v>
      </c>
    </row>
    <row r="25922" spans="1:9">
      <c r="A25922" t="n">
        <v>251172</v>
      </c>
      <c r="B25922" s="51" t="n">
        <v>45</v>
      </c>
      <c r="C25922" s="7" t="n">
        <v>2</v>
      </c>
      <c r="D25922" s="7" t="n">
        <v>3</v>
      </c>
      <c r="E25922" s="7" t="n">
        <v>4.26999998092651</v>
      </c>
      <c r="F25922" s="7" t="n">
        <v>2.44000005722046</v>
      </c>
      <c r="G25922" s="7" t="n">
        <v>44.1500015258789</v>
      </c>
      <c r="H25922" s="7" t="n">
        <v>0</v>
      </c>
    </row>
    <row r="25923" spans="1:9">
      <c r="A25923" t="s">
        <v>4</v>
      </c>
      <c r="B25923" s="4" t="s">
        <v>5</v>
      </c>
      <c r="C25923" s="4" t="s">
        <v>7</v>
      </c>
      <c r="D25923" s="4" t="s">
        <v>7</v>
      </c>
      <c r="E25923" s="4" t="s">
        <v>13</v>
      </c>
      <c r="F25923" s="4" t="s">
        <v>13</v>
      </c>
      <c r="G25923" s="4" t="s">
        <v>13</v>
      </c>
      <c r="H25923" s="4" t="s">
        <v>11</v>
      </c>
      <c r="I25923" s="4" t="s">
        <v>7</v>
      </c>
    </row>
    <row r="25924" spans="1:9">
      <c r="A25924" t="n">
        <v>251189</v>
      </c>
      <c r="B25924" s="51" t="n">
        <v>45</v>
      </c>
      <c r="C25924" s="7" t="n">
        <v>4</v>
      </c>
      <c r="D25924" s="7" t="n">
        <v>3</v>
      </c>
      <c r="E25924" s="7" t="n">
        <v>357.880004882813</v>
      </c>
      <c r="F25924" s="7" t="n">
        <v>321.779998779297</v>
      </c>
      <c r="G25924" s="7" t="n">
        <v>0</v>
      </c>
      <c r="H25924" s="7" t="n">
        <v>0</v>
      </c>
      <c r="I25924" s="7" t="n">
        <v>0</v>
      </c>
    </row>
    <row r="25925" spans="1:9">
      <c r="A25925" t="s">
        <v>4</v>
      </c>
      <c r="B25925" s="4" t="s">
        <v>5</v>
      </c>
      <c r="C25925" s="4" t="s">
        <v>7</v>
      </c>
      <c r="D25925" s="4" t="s">
        <v>7</v>
      </c>
      <c r="E25925" s="4" t="s">
        <v>13</v>
      </c>
      <c r="F25925" s="4" t="s">
        <v>11</v>
      </c>
    </row>
    <row r="25926" spans="1:9">
      <c r="A25926" t="n">
        <v>251207</v>
      </c>
      <c r="B25926" s="51" t="n">
        <v>45</v>
      </c>
      <c r="C25926" s="7" t="n">
        <v>5</v>
      </c>
      <c r="D25926" s="7" t="n">
        <v>3</v>
      </c>
      <c r="E25926" s="7" t="n">
        <v>2.40000009536743</v>
      </c>
      <c r="F25926" s="7" t="n">
        <v>0</v>
      </c>
    </row>
    <row r="25927" spans="1:9">
      <c r="A25927" t="s">
        <v>4</v>
      </c>
      <c r="B25927" s="4" t="s">
        <v>5</v>
      </c>
      <c r="C25927" s="4" t="s">
        <v>7</v>
      </c>
      <c r="D25927" s="4" t="s">
        <v>7</v>
      </c>
      <c r="E25927" s="4" t="s">
        <v>13</v>
      </c>
      <c r="F25927" s="4" t="s">
        <v>11</v>
      </c>
    </row>
    <row r="25928" spans="1:9">
      <c r="A25928" t="n">
        <v>251216</v>
      </c>
      <c r="B25928" s="51" t="n">
        <v>45</v>
      </c>
      <c r="C25928" s="7" t="n">
        <v>11</v>
      </c>
      <c r="D25928" s="7" t="n">
        <v>3</v>
      </c>
      <c r="E25928" s="7" t="n">
        <v>33.4000015258789</v>
      </c>
      <c r="F25928" s="7" t="n">
        <v>0</v>
      </c>
    </row>
    <row r="25929" spans="1:9">
      <c r="A25929" t="s">
        <v>4</v>
      </c>
      <c r="B25929" s="4" t="s">
        <v>5</v>
      </c>
      <c r="C25929" s="4" t="s">
        <v>7</v>
      </c>
      <c r="D25929" s="4" t="s">
        <v>7</v>
      </c>
      <c r="E25929" s="4" t="s">
        <v>13</v>
      </c>
      <c r="F25929" s="4" t="s">
        <v>13</v>
      </c>
      <c r="G25929" s="4" t="s">
        <v>13</v>
      </c>
      <c r="H25929" s="4" t="s">
        <v>11</v>
      </c>
    </row>
    <row r="25930" spans="1:9">
      <c r="A25930" t="n">
        <v>251225</v>
      </c>
      <c r="B25930" s="51" t="n">
        <v>45</v>
      </c>
      <c r="C25930" s="7" t="n">
        <v>2</v>
      </c>
      <c r="D25930" s="7" t="n">
        <v>3</v>
      </c>
      <c r="E25930" s="7" t="n">
        <v>4.76999998092651</v>
      </c>
      <c r="F25930" s="7" t="n">
        <v>1.45000004768372</v>
      </c>
      <c r="G25930" s="7" t="n">
        <v>45.2599983215332</v>
      </c>
      <c r="H25930" s="7" t="n">
        <v>8000</v>
      </c>
    </row>
    <row r="25931" spans="1:9">
      <c r="A25931" t="s">
        <v>4</v>
      </c>
      <c r="B25931" s="4" t="s">
        <v>5</v>
      </c>
      <c r="C25931" s="4" t="s">
        <v>7</v>
      </c>
      <c r="D25931" s="4" t="s">
        <v>7</v>
      </c>
      <c r="E25931" s="4" t="s">
        <v>13</v>
      </c>
      <c r="F25931" s="4" t="s">
        <v>13</v>
      </c>
      <c r="G25931" s="4" t="s">
        <v>13</v>
      </c>
      <c r="H25931" s="4" t="s">
        <v>11</v>
      </c>
      <c r="I25931" s="4" t="s">
        <v>7</v>
      </c>
    </row>
    <row r="25932" spans="1:9">
      <c r="A25932" t="n">
        <v>251242</v>
      </c>
      <c r="B25932" s="51" t="n">
        <v>45</v>
      </c>
      <c r="C25932" s="7" t="n">
        <v>4</v>
      </c>
      <c r="D25932" s="7" t="n">
        <v>3</v>
      </c>
      <c r="E25932" s="7" t="n">
        <v>358.660003662109</v>
      </c>
      <c r="F25932" s="7" t="n">
        <v>283.079986572266</v>
      </c>
      <c r="G25932" s="7" t="n">
        <v>0</v>
      </c>
      <c r="H25932" s="7" t="n">
        <v>8000</v>
      </c>
      <c r="I25932" s="7" t="n">
        <v>0</v>
      </c>
    </row>
    <row r="25933" spans="1:9">
      <c r="A25933" t="s">
        <v>4</v>
      </c>
      <c r="B25933" s="4" t="s">
        <v>5</v>
      </c>
      <c r="C25933" s="4" t="s">
        <v>7</v>
      </c>
      <c r="D25933" s="4" t="s">
        <v>7</v>
      </c>
      <c r="E25933" s="4" t="s">
        <v>13</v>
      </c>
      <c r="F25933" s="4" t="s">
        <v>11</v>
      </c>
    </row>
    <row r="25934" spans="1:9">
      <c r="A25934" t="n">
        <v>251260</v>
      </c>
      <c r="B25934" s="51" t="n">
        <v>45</v>
      </c>
      <c r="C25934" s="7" t="n">
        <v>5</v>
      </c>
      <c r="D25934" s="7" t="n">
        <v>3</v>
      </c>
      <c r="E25934" s="7" t="n">
        <v>2</v>
      </c>
      <c r="F25934" s="7" t="n">
        <v>8000</v>
      </c>
    </row>
    <row r="25935" spans="1:9">
      <c r="A25935" t="s">
        <v>4</v>
      </c>
      <c r="B25935" s="4" t="s">
        <v>5</v>
      </c>
      <c r="C25935" s="4" t="s">
        <v>7</v>
      </c>
      <c r="D25935" s="4" t="s">
        <v>11</v>
      </c>
    </row>
    <row r="25936" spans="1:9">
      <c r="A25936" t="n">
        <v>251269</v>
      </c>
      <c r="B25936" s="23" t="n">
        <v>58</v>
      </c>
      <c r="C25936" s="7" t="n">
        <v>255</v>
      </c>
      <c r="D25936" s="7" t="n">
        <v>0</v>
      </c>
    </row>
    <row r="25937" spans="1:9">
      <c r="A25937" t="s">
        <v>4</v>
      </c>
      <c r="B25937" s="4" t="s">
        <v>5</v>
      </c>
      <c r="C25937" s="4" t="s">
        <v>7</v>
      </c>
      <c r="D25937" s="4" t="s">
        <v>11</v>
      </c>
    </row>
    <row r="25938" spans="1:9">
      <c r="A25938" t="n">
        <v>251273</v>
      </c>
      <c r="B25938" s="51" t="n">
        <v>45</v>
      </c>
      <c r="C25938" s="7" t="n">
        <v>7</v>
      </c>
      <c r="D25938" s="7" t="n">
        <v>255</v>
      </c>
    </row>
    <row r="25939" spans="1:9">
      <c r="A25939" t="s">
        <v>4</v>
      </c>
      <c r="B25939" s="4" t="s">
        <v>5</v>
      </c>
      <c r="C25939" s="4" t="s">
        <v>7</v>
      </c>
      <c r="D25939" s="4" t="s">
        <v>11</v>
      </c>
      <c r="E25939" s="4" t="s">
        <v>13</v>
      </c>
    </row>
    <row r="25940" spans="1:9">
      <c r="A25940" t="n">
        <v>251277</v>
      </c>
      <c r="B25940" s="23" t="n">
        <v>58</v>
      </c>
      <c r="C25940" s="7" t="n">
        <v>101</v>
      </c>
      <c r="D25940" s="7" t="n">
        <v>800</v>
      </c>
      <c r="E25940" s="7" t="n">
        <v>1</v>
      </c>
    </row>
    <row r="25941" spans="1:9">
      <c r="A25941" t="s">
        <v>4</v>
      </c>
      <c r="B25941" s="4" t="s">
        <v>5</v>
      </c>
      <c r="C25941" s="4" t="s">
        <v>7</v>
      </c>
      <c r="D25941" s="4" t="s">
        <v>11</v>
      </c>
    </row>
    <row r="25942" spans="1:9">
      <c r="A25942" t="n">
        <v>251285</v>
      </c>
      <c r="B25942" s="23" t="n">
        <v>58</v>
      </c>
      <c r="C25942" s="7" t="n">
        <v>254</v>
      </c>
      <c r="D25942" s="7" t="n">
        <v>0</v>
      </c>
    </row>
    <row r="25943" spans="1:9">
      <c r="A25943" t="s">
        <v>4</v>
      </c>
      <c r="B25943" s="4" t="s">
        <v>5</v>
      </c>
      <c r="C25943" s="4" t="s">
        <v>7</v>
      </c>
      <c r="D25943" s="4" t="s">
        <v>7</v>
      </c>
      <c r="E25943" s="4" t="s">
        <v>13</v>
      </c>
      <c r="F25943" s="4" t="s">
        <v>13</v>
      </c>
      <c r="G25943" s="4" t="s">
        <v>13</v>
      </c>
      <c r="H25943" s="4" t="s">
        <v>11</v>
      </c>
    </row>
    <row r="25944" spans="1:9">
      <c r="A25944" t="n">
        <v>251289</v>
      </c>
      <c r="B25944" s="51" t="n">
        <v>45</v>
      </c>
      <c r="C25944" s="7" t="n">
        <v>2</v>
      </c>
      <c r="D25944" s="7" t="n">
        <v>3</v>
      </c>
      <c r="E25944" s="7" t="n">
        <v>4.73999977111816</v>
      </c>
      <c r="F25944" s="7" t="n">
        <v>1.37000000476837</v>
      </c>
      <c r="G25944" s="7" t="n">
        <v>45.310001373291</v>
      </c>
      <c r="H25944" s="7" t="n">
        <v>0</v>
      </c>
    </row>
    <row r="25945" spans="1:9">
      <c r="A25945" t="s">
        <v>4</v>
      </c>
      <c r="B25945" s="4" t="s">
        <v>5</v>
      </c>
      <c r="C25945" s="4" t="s">
        <v>7</v>
      </c>
      <c r="D25945" s="4" t="s">
        <v>7</v>
      </c>
      <c r="E25945" s="4" t="s">
        <v>13</v>
      </c>
      <c r="F25945" s="4" t="s">
        <v>13</v>
      </c>
      <c r="G25945" s="4" t="s">
        <v>13</v>
      </c>
      <c r="H25945" s="4" t="s">
        <v>11</v>
      </c>
      <c r="I25945" s="4" t="s">
        <v>7</v>
      </c>
    </row>
    <row r="25946" spans="1:9">
      <c r="A25946" t="n">
        <v>251306</v>
      </c>
      <c r="B25946" s="51" t="n">
        <v>45</v>
      </c>
      <c r="C25946" s="7" t="n">
        <v>4</v>
      </c>
      <c r="D25946" s="7" t="n">
        <v>3</v>
      </c>
      <c r="E25946" s="7" t="n">
        <v>4.3899998664856</v>
      </c>
      <c r="F25946" s="7" t="n">
        <v>107.779998779297</v>
      </c>
      <c r="G25946" s="7" t="n">
        <v>0</v>
      </c>
      <c r="H25946" s="7" t="n">
        <v>0</v>
      </c>
      <c r="I25946" s="7" t="n">
        <v>0</v>
      </c>
    </row>
    <row r="25947" spans="1:9">
      <c r="A25947" t="s">
        <v>4</v>
      </c>
      <c r="B25947" s="4" t="s">
        <v>5</v>
      </c>
      <c r="C25947" s="4" t="s">
        <v>7</v>
      </c>
      <c r="D25947" s="4" t="s">
        <v>7</v>
      </c>
      <c r="E25947" s="4" t="s">
        <v>13</v>
      </c>
      <c r="F25947" s="4" t="s">
        <v>11</v>
      </c>
    </row>
    <row r="25948" spans="1:9">
      <c r="A25948" t="n">
        <v>251324</v>
      </c>
      <c r="B25948" s="51" t="n">
        <v>45</v>
      </c>
      <c r="C25948" s="7" t="n">
        <v>5</v>
      </c>
      <c r="D25948" s="7" t="n">
        <v>3</v>
      </c>
      <c r="E25948" s="7" t="n">
        <v>2</v>
      </c>
      <c r="F25948" s="7" t="n">
        <v>0</v>
      </c>
    </row>
    <row r="25949" spans="1:9">
      <c r="A25949" t="s">
        <v>4</v>
      </c>
      <c r="B25949" s="4" t="s">
        <v>5</v>
      </c>
      <c r="C25949" s="4" t="s">
        <v>7</v>
      </c>
      <c r="D25949" s="4" t="s">
        <v>7</v>
      </c>
      <c r="E25949" s="4" t="s">
        <v>13</v>
      </c>
      <c r="F25949" s="4" t="s">
        <v>11</v>
      </c>
    </row>
    <row r="25950" spans="1:9">
      <c r="A25950" t="n">
        <v>251333</v>
      </c>
      <c r="B25950" s="51" t="n">
        <v>45</v>
      </c>
      <c r="C25950" s="7" t="n">
        <v>11</v>
      </c>
      <c r="D25950" s="7" t="n">
        <v>3</v>
      </c>
      <c r="E25950" s="7" t="n">
        <v>33.4000015258789</v>
      </c>
      <c r="F25950" s="7" t="n">
        <v>0</v>
      </c>
    </row>
    <row r="25951" spans="1:9">
      <c r="A25951" t="s">
        <v>4</v>
      </c>
      <c r="B25951" s="4" t="s">
        <v>5</v>
      </c>
      <c r="C25951" s="4" t="s">
        <v>11</v>
      </c>
      <c r="D25951" s="4" t="s">
        <v>15</v>
      </c>
    </row>
    <row r="25952" spans="1:9">
      <c r="A25952" t="n">
        <v>251342</v>
      </c>
      <c r="B25952" s="63" t="n">
        <v>44</v>
      </c>
      <c r="C25952" s="7" t="n">
        <v>5</v>
      </c>
      <c r="D25952" s="7" t="n">
        <v>1</v>
      </c>
    </row>
    <row r="25953" spans="1:9">
      <c r="A25953" t="s">
        <v>4</v>
      </c>
      <c r="B25953" s="4" t="s">
        <v>5</v>
      </c>
      <c r="C25953" s="4" t="s">
        <v>7</v>
      </c>
      <c r="D25953" s="4" t="s">
        <v>11</v>
      </c>
    </row>
    <row r="25954" spans="1:9">
      <c r="A25954" t="n">
        <v>251349</v>
      </c>
      <c r="B25954" s="23" t="n">
        <v>58</v>
      </c>
      <c r="C25954" s="7" t="n">
        <v>255</v>
      </c>
      <c r="D25954" s="7" t="n">
        <v>0</v>
      </c>
    </row>
    <row r="25955" spans="1:9">
      <c r="A25955" t="s">
        <v>4</v>
      </c>
      <c r="B25955" s="4" t="s">
        <v>5</v>
      </c>
      <c r="C25955" s="4" t="s">
        <v>8</v>
      </c>
      <c r="D25955" s="4" t="s">
        <v>8</v>
      </c>
    </row>
    <row r="25956" spans="1:9">
      <c r="A25956" t="n">
        <v>251353</v>
      </c>
      <c r="B25956" s="52" t="n">
        <v>70</v>
      </c>
      <c r="C25956" s="7" t="s">
        <v>279</v>
      </c>
      <c r="D25956" s="7" t="s">
        <v>280</v>
      </c>
    </row>
    <row r="25957" spans="1:9">
      <c r="A25957" t="s">
        <v>4</v>
      </c>
      <c r="B25957" s="4" t="s">
        <v>5</v>
      </c>
      <c r="C25957" s="4" t="s">
        <v>11</v>
      </c>
    </row>
    <row r="25958" spans="1:9">
      <c r="A25958" t="n">
        <v>251370</v>
      </c>
      <c r="B25958" s="29" t="n">
        <v>16</v>
      </c>
      <c r="C25958" s="7" t="n">
        <v>1000</v>
      </c>
    </row>
    <row r="25959" spans="1:9">
      <c r="A25959" t="s">
        <v>4</v>
      </c>
      <c r="B25959" s="4" t="s">
        <v>5</v>
      </c>
      <c r="C25959" s="4" t="s">
        <v>7</v>
      </c>
      <c r="D25959" s="4" t="s">
        <v>11</v>
      </c>
      <c r="E25959" s="4" t="s">
        <v>11</v>
      </c>
      <c r="F25959" s="4" t="s">
        <v>7</v>
      </c>
    </row>
    <row r="25960" spans="1:9">
      <c r="A25960" t="n">
        <v>251373</v>
      </c>
      <c r="B25960" s="31" t="n">
        <v>25</v>
      </c>
      <c r="C25960" s="7" t="n">
        <v>1</v>
      </c>
      <c r="D25960" s="7" t="n">
        <v>100</v>
      </c>
      <c r="E25960" s="7" t="n">
        <v>500</v>
      </c>
      <c r="F25960" s="7" t="n">
        <v>5</v>
      </c>
    </row>
    <row r="25961" spans="1:9">
      <c r="A25961" t="s">
        <v>4</v>
      </c>
      <c r="B25961" s="4" t="s">
        <v>5</v>
      </c>
      <c r="C25961" s="4" t="s">
        <v>8</v>
      </c>
      <c r="D25961" s="4" t="s">
        <v>11</v>
      </c>
    </row>
    <row r="25962" spans="1:9">
      <c r="A25962" t="n">
        <v>251380</v>
      </c>
      <c r="B25962" s="67" t="n">
        <v>29</v>
      </c>
      <c r="C25962" s="7" t="s">
        <v>281</v>
      </c>
      <c r="D25962" s="7" t="n">
        <v>65533</v>
      </c>
    </row>
    <row r="25963" spans="1:9">
      <c r="A25963" t="s">
        <v>4</v>
      </c>
      <c r="B25963" s="4" t="s">
        <v>5</v>
      </c>
      <c r="C25963" s="4" t="s">
        <v>7</v>
      </c>
      <c r="D25963" s="4" t="s">
        <v>11</v>
      </c>
      <c r="E25963" s="4" t="s">
        <v>8</v>
      </c>
    </row>
    <row r="25964" spans="1:9">
      <c r="A25964" t="n">
        <v>251389</v>
      </c>
      <c r="B25964" s="38" t="n">
        <v>51</v>
      </c>
      <c r="C25964" s="7" t="n">
        <v>4</v>
      </c>
      <c r="D25964" s="7" t="n">
        <v>5</v>
      </c>
      <c r="E25964" s="7" t="s">
        <v>16</v>
      </c>
    </row>
    <row r="25965" spans="1:9">
      <c r="A25965" t="s">
        <v>4</v>
      </c>
      <c r="B25965" s="4" t="s">
        <v>5</v>
      </c>
      <c r="C25965" s="4" t="s">
        <v>11</v>
      </c>
    </row>
    <row r="25966" spans="1:9">
      <c r="A25966" t="n">
        <v>251394</v>
      </c>
      <c r="B25966" s="29" t="n">
        <v>16</v>
      </c>
      <c r="C25966" s="7" t="n">
        <v>0</v>
      </c>
    </row>
    <row r="25967" spans="1:9">
      <c r="A25967" t="s">
        <v>4</v>
      </c>
      <c r="B25967" s="4" t="s">
        <v>5</v>
      </c>
      <c r="C25967" s="4" t="s">
        <v>11</v>
      </c>
      <c r="D25967" s="4" t="s">
        <v>7</v>
      </c>
      <c r="E25967" s="4" t="s">
        <v>15</v>
      </c>
      <c r="F25967" s="4" t="s">
        <v>55</v>
      </c>
      <c r="G25967" s="4" t="s">
        <v>7</v>
      </c>
      <c r="H25967" s="4" t="s">
        <v>7</v>
      </c>
    </row>
    <row r="25968" spans="1:9">
      <c r="A25968" t="n">
        <v>251397</v>
      </c>
      <c r="B25968" s="55" t="n">
        <v>26</v>
      </c>
      <c r="C25968" s="7" t="n">
        <v>5</v>
      </c>
      <c r="D25968" s="7" t="n">
        <v>17</v>
      </c>
      <c r="E25968" s="7" t="n">
        <v>63864</v>
      </c>
      <c r="F25968" s="7" t="s">
        <v>481</v>
      </c>
      <c r="G25968" s="7" t="n">
        <v>2</v>
      </c>
      <c r="H25968" s="7" t="n">
        <v>0</v>
      </c>
    </row>
    <row r="25969" spans="1:8">
      <c r="A25969" t="s">
        <v>4</v>
      </c>
      <c r="B25969" s="4" t="s">
        <v>5</v>
      </c>
    </row>
    <row r="25970" spans="1:8">
      <c r="A25970" t="n">
        <v>251476</v>
      </c>
      <c r="B25970" s="27" t="n">
        <v>28</v>
      </c>
    </row>
    <row r="25971" spans="1:8">
      <c r="A25971" t="s">
        <v>4</v>
      </c>
      <c r="B25971" s="4" t="s">
        <v>5</v>
      </c>
      <c r="C25971" s="4" t="s">
        <v>11</v>
      </c>
      <c r="D25971" s="4" t="s">
        <v>7</v>
      </c>
    </row>
    <row r="25972" spans="1:8">
      <c r="A25972" t="n">
        <v>251477</v>
      </c>
      <c r="B25972" s="68" t="n">
        <v>89</v>
      </c>
      <c r="C25972" s="7" t="n">
        <v>65533</v>
      </c>
      <c r="D25972" s="7" t="n">
        <v>1</v>
      </c>
    </row>
    <row r="25973" spans="1:8">
      <c r="A25973" t="s">
        <v>4</v>
      </c>
      <c r="B25973" s="4" t="s">
        <v>5</v>
      </c>
      <c r="C25973" s="4" t="s">
        <v>7</v>
      </c>
      <c r="D25973" s="4" t="s">
        <v>11</v>
      </c>
      <c r="E25973" s="4" t="s">
        <v>11</v>
      </c>
      <c r="F25973" s="4" t="s">
        <v>7</v>
      </c>
    </row>
    <row r="25974" spans="1:8">
      <c r="A25974" t="n">
        <v>251481</v>
      </c>
      <c r="B25974" s="31" t="n">
        <v>25</v>
      </c>
      <c r="C25974" s="7" t="n">
        <v>1</v>
      </c>
      <c r="D25974" s="7" t="n">
        <v>65535</v>
      </c>
      <c r="E25974" s="7" t="n">
        <v>65535</v>
      </c>
      <c r="F25974" s="7" t="n">
        <v>0</v>
      </c>
    </row>
    <row r="25975" spans="1:8">
      <c r="A25975" t="s">
        <v>4</v>
      </c>
      <c r="B25975" s="4" t="s">
        <v>5</v>
      </c>
      <c r="C25975" s="4" t="s">
        <v>8</v>
      </c>
      <c r="D25975" s="4" t="s">
        <v>11</v>
      </c>
    </row>
    <row r="25976" spans="1:8">
      <c r="A25976" t="n">
        <v>251488</v>
      </c>
      <c r="B25976" s="67" t="n">
        <v>29</v>
      </c>
      <c r="C25976" s="7" t="s">
        <v>16</v>
      </c>
      <c r="D25976" s="7" t="n">
        <v>65533</v>
      </c>
    </row>
    <row r="25977" spans="1:8">
      <c r="A25977" t="s">
        <v>4</v>
      </c>
      <c r="B25977" s="4" t="s">
        <v>5</v>
      </c>
      <c r="C25977" s="4" t="s">
        <v>11</v>
      </c>
      <c r="D25977" s="4" t="s">
        <v>7</v>
      </c>
      <c r="E25977" s="4" t="s">
        <v>13</v>
      </c>
      <c r="F25977" s="4" t="s">
        <v>11</v>
      </c>
    </row>
    <row r="25978" spans="1:8">
      <c r="A25978" t="n">
        <v>251492</v>
      </c>
      <c r="B25978" s="56" t="n">
        <v>59</v>
      </c>
      <c r="C25978" s="7" t="n">
        <v>0</v>
      </c>
      <c r="D25978" s="7" t="n">
        <v>13</v>
      </c>
      <c r="E25978" s="7" t="n">
        <v>0.150000005960464</v>
      </c>
      <c r="F25978" s="7" t="n">
        <v>0</v>
      </c>
    </row>
    <row r="25979" spans="1:8">
      <c r="A25979" t="s">
        <v>4</v>
      </c>
      <c r="B25979" s="4" t="s">
        <v>5</v>
      </c>
      <c r="C25979" s="4" t="s">
        <v>11</v>
      </c>
    </row>
    <row r="25980" spans="1:8">
      <c r="A25980" t="n">
        <v>251502</v>
      </c>
      <c r="B25980" s="29" t="n">
        <v>16</v>
      </c>
      <c r="C25980" s="7" t="n">
        <v>1000</v>
      </c>
    </row>
    <row r="25981" spans="1:8">
      <c r="A25981" t="s">
        <v>4</v>
      </c>
      <c r="B25981" s="4" t="s">
        <v>5</v>
      </c>
      <c r="C25981" s="4" t="s">
        <v>11</v>
      </c>
      <c r="D25981" s="4" t="s">
        <v>13</v>
      </c>
      <c r="E25981" s="4" t="s">
        <v>13</v>
      </c>
      <c r="F25981" s="4" t="s">
        <v>13</v>
      </c>
      <c r="G25981" s="4" t="s">
        <v>11</v>
      </c>
      <c r="H25981" s="4" t="s">
        <v>11</v>
      </c>
    </row>
    <row r="25982" spans="1:8">
      <c r="A25982" t="n">
        <v>251505</v>
      </c>
      <c r="B25982" s="37" t="n">
        <v>60</v>
      </c>
      <c r="C25982" s="7" t="n">
        <v>0</v>
      </c>
      <c r="D25982" s="7" t="n">
        <v>0</v>
      </c>
      <c r="E25982" s="7" t="n">
        <v>0</v>
      </c>
      <c r="F25982" s="7" t="n">
        <v>0</v>
      </c>
      <c r="G25982" s="7" t="n">
        <v>1000</v>
      </c>
      <c r="H25982" s="7" t="n">
        <v>0</v>
      </c>
    </row>
    <row r="25983" spans="1:8">
      <c r="A25983" t="s">
        <v>4</v>
      </c>
      <c r="B25983" s="4" t="s">
        <v>5</v>
      </c>
      <c r="C25983" s="4" t="s">
        <v>11</v>
      </c>
      <c r="D25983" s="4" t="s">
        <v>11</v>
      </c>
      <c r="E25983" s="4" t="s">
        <v>11</v>
      </c>
    </row>
    <row r="25984" spans="1:8">
      <c r="A25984" t="n">
        <v>251524</v>
      </c>
      <c r="B25984" s="72" t="n">
        <v>61</v>
      </c>
      <c r="C25984" s="7" t="n">
        <v>0</v>
      </c>
      <c r="D25984" s="7" t="n">
        <v>5</v>
      </c>
      <c r="E25984" s="7" t="n">
        <v>1000</v>
      </c>
    </row>
    <row r="25985" spans="1:8">
      <c r="A25985" t="s">
        <v>4</v>
      </c>
      <c r="B25985" s="4" t="s">
        <v>5</v>
      </c>
      <c r="C25985" s="4" t="s">
        <v>11</v>
      </c>
      <c r="D25985" s="4" t="s">
        <v>11</v>
      </c>
      <c r="E25985" s="4" t="s">
        <v>11</v>
      </c>
    </row>
    <row r="25986" spans="1:8">
      <c r="A25986" t="n">
        <v>251531</v>
      </c>
      <c r="B25986" s="72" t="n">
        <v>61</v>
      </c>
      <c r="C25986" s="7" t="n">
        <v>5</v>
      </c>
      <c r="D25986" s="7" t="n">
        <v>0</v>
      </c>
      <c r="E25986" s="7" t="n">
        <v>1000</v>
      </c>
    </row>
    <row r="25987" spans="1:8">
      <c r="A25987" t="s">
        <v>4</v>
      </c>
      <c r="B25987" s="4" t="s">
        <v>5</v>
      </c>
      <c r="C25987" s="4" t="s">
        <v>11</v>
      </c>
      <c r="D25987" s="4" t="s">
        <v>13</v>
      </c>
      <c r="E25987" s="4" t="s">
        <v>13</v>
      </c>
      <c r="F25987" s="4" t="s">
        <v>7</v>
      </c>
    </row>
    <row r="25988" spans="1:8">
      <c r="A25988" t="n">
        <v>251538</v>
      </c>
      <c r="B25988" s="65" t="n">
        <v>52</v>
      </c>
      <c r="C25988" s="7" t="n">
        <v>0</v>
      </c>
      <c r="D25988" s="7" t="n">
        <v>332.399993896484</v>
      </c>
      <c r="E25988" s="7" t="n">
        <v>5</v>
      </c>
      <c r="F25988" s="7" t="n">
        <v>0</v>
      </c>
    </row>
    <row r="25989" spans="1:8">
      <c r="A25989" t="s">
        <v>4</v>
      </c>
      <c r="B25989" s="4" t="s">
        <v>5</v>
      </c>
      <c r="C25989" s="4" t="s">
        <v>11</v>
      </c>
    </row>
    <row r="25990" spans="1:8">
      <c r="A25990" t="n">
        <v>251550</v>
      </c>
      <c r="B25990" s="66" t="n">
        <v>54</v>
      </c>
      <c r="C25990" s="7" t="n">
        <v>0</v>
      </c>
    </row>
    <row r="25991" spans="1:8">
      <c r="A25991" t="s">
        <v>4</v>
      </c>
      <c r="B25991" s="4" t="s">
        <v>5</v>
      </c>
      <c r="C25991" s="4" t="s">
        <v>7</v>
      </c>
      <c r="D25991" s="4" t="s">
        <v>11</v>
      </c>
      <c r="E25991" s="4" t="s">
        <v>13</v>
      </c>
    </row>
    <row r="25992" spans="1:8">
      <c r="A25992" t="n">
        <v>251553</v>
      </c>
      <c r="B25992" s="23" t="n">
        <v>58</v>
      </c>
      <c r="C25992" s="7" t="n">
        <v>101</v>
      </c>
      <c r="D25992" s="7" t="n">
        <v>500</v>
      </c>
      <c r="E25992" s="7" t="n">
        <v>1</v>
      </c>
    </row>
    <row r="25993" spans="1:8">
      <c r="A25993" t="s">
        <v>4</v>
      </c>
      <c r="B25993" s="4" t="s">
        <v>5</v>
      </c>
      <c r="C25993" s="4" t="s">
        <v>7</v>
      </c>
      <c r="D25993" s="4" t="s">
        <v>11</v>
      </c>
    </row>
    <row r="25994" spans="1:8">
      <c r="A25994" t="n">
        <v>251561</v>
      </c>
      <c r="B25994" s="23" t="n">
        <v>58</v>
      </c>
      <c r="C25994" s="7" t="n">
        <v>254</v>
      </c>
      <c r="D25994" s="7" t="n">
        <v>0</v>
      </c>
    </row>
    <row r="25995" spans="1:8">
      <c r="A25995" t="s">
        <v>4</v>
      </c>
      <c r="B25995" s="4" t="s">
        <v>5</v>
      </c>
      <c r="C25995" s="4" t="s">
        <v>7</v>
      </c>
      <c r="D25995" s="4" t="s">
        <v>7</v>
      </c>
      <c r="E25995" s="4" t="s">
        <v>13</v>
      </c>
      <c r="F25995" s="4" t="s">
        <v>13</v>
      </c>
      <c r="G25995" s="4" t="s">
        <v>13</v>
      </c>
      <c r="H25995" s="4" t="s">
        <v>11</v>
      </c>
    </row>
    <row r="25996" spans="1:8">
      <c r="A25996" t="n">
        <v>251565</v>
      </c>
      <c r="B25996" s="51" t="n">
        <v>45</v>
      </c>
      <c r="C25996" s="7" t="n">
        <v>2</v>
      </c>
      <c r="D25996" s="7" t="n">
        <v>3</v>
      </c>
      <c r="E25996" s="7" t="n">
        <v>4.92999982833862</v>
      </c>
      <c r="F25996" s="7" t="n">
        <v>1.46000003814697</v>
      </c>
      <c r="G25996" s="7" t="n">
        <v>45.6699981689453</v>
      </c>
      <c r="H25996" s="7" t="n">
        <v>0</v>
      </c>
    </row>
    <row r="25997" spans="1:8">
      <c r="A25997" t="s">
        <v>4</v>
      </c>
      <c r="B25997" s="4" t="s">
        <v>5</v>
      </c>
      <c r="C25997" s="4" t="s">
        <v>7</v>
      </c>
      <c r="D25997" s="4" t="s">
        <v>7</v>
      </c>
      <c r="E25997" s="4" t="s">
        <v>13</v>
      </c>
      <c r="F25997" s="4" t="s">
        <v>13</v>
      </c>
      <c r="G25997" s="4" t="s">
        <v>13</v>
      </c>
      <c r="H25997" s="4" t="s">
        <v>11</v>
      </c>
      <c r="I25997" s="4" t="s">
        <v>7</v>
      </c>
    </row>
    <row r="25998" spans="1:8">
      <c r="A25998" t="n">
        <v>251582</v>
      </c>
      <c r="B25998" s="51" t="n">
        <v>45</v>
      </c>
      <c r="C25998" s="7" t="n">
        <v>4</v>
      </c>
      <c r="D25998" s="7" t="n">
        <v>3</v>
      </c>
      <c r="E25998" s="7" t="n">
        <v>5.69000005722046</v>
      </c>
      <c r="F25998" s="7" t="n">
        <v>260.239990234375</v>
      </c>
      <c r="G25998" s="7" t="n">
        <v>0</v>
      </c>
      <c r="H25998" s="7" t="n">
        <v>0</v>
      </c>
      <c r="I25998" s="7" t="n">
        <v>0</v>
      </c>
    </row>
    <row r="25999" spans="1:8">
      <c r="A25999" t="s">
        <v>4</v>
      </c>
      <c r="B25999" s="4" t="s">
        <v>5</v>
      </c>
      <c r="C25999" s="4" t="s">
        <v>7</v>
      </c>
      <c r="D25999" s="4" t="s">
        <v>7</v>
      </c>
      <c r="E25999" s="4" t="s">
        <v>13</v>
      </c>
      <c r="F25999" s="4" t="s">
        <v>11</v>
      </c>
    </row>
    <row r="26000" spans="1:8">
      <c r="A26000" t="n">
        <v>251600</v>
      </c>
      <c r="B26000" s="51" t="n">
        <v>45</v>
      </c>
      <c r="C26000" s="7" t="n">
        <v>5</v>
      </c>
      <c r="D26000" s="7" t="n">
        <v>3</v>
      </c>
      <c r="E26000" s="7" t="n">
        <v>1.70000004768372</v>
      </c>
      <c r="F26000" s="7" t="n">
        <v>0</v>
      </c>
    </row>
    <row r="26001" spans="1:9">
      <c r="A26001" t="s">
        <v>4</v>
      </c>
      <c r="B26001" s="4" t="s">
        <v>5</v>
      </c>
      <c r="C26001" s="4" t="s">
        <v>7</v>
      </c>
      <c r="D26001" s="4" t="s">
        <v>7</v>
      </c>
      <c r="E26001" s="4" t="s">
        <v>13</v>
      </c>
      <c r="F26001" s="4" t="s">
        <v>11</v>
      </c>
    </row>
    <row r="26002" spans="1:9">
      <c r="A26002" t="n">
        <v>251609</v>
      </c>
      <c r="B26002" s="51" t="n">
        <v>45</v>
      </c>
      <c r="C26002" s="7" t="n">
        <v>11</v>
      </c>
      <c r="D26002" s="7" t="n">
        <v>3</v>
      </c>
      <c r="E26002" s="7" t="n">
        <v>34</v>
      </c>
      <c r="F26002" s="7" t="n">
        <v>0</v>
      </c>
    </row>
    <row r="26003" spans="1:9">
      <c r="A26003" t="s">
        <v>4</v>
      </c>
      <c r="B26003" s="4" t="s">
        <v>5</v>
      </c>
      <c r="C26003" s="4" t="s">
        <v>7</v>
      </c>
      <c r="D26003" s="4" t="s">
        <v>7</v>
      </c>
      <c r="E26003" s="4" t="s">
        <v>13</v>
      </c>
      <c r="F26003" s="4" t="s">
        <v>13</v>
      </c>
      <c r="G26003" s="4" t="s">
        <v>13</v>
      </c>
      <c r="H26003" s="4" t="s">
        <v>11</v>
      </c>
    </row>
    <row r="26004" spans="1:9">
      <c r="A26004" t="n">
        <v>251618</v>
      </c>
      <c r="B26004" s="51" t="n">
        <v>45</v>
      </c>
      <c r="C26004" s="7" t="n">
        <v>2</v>
      </c>
      <c r="D26004" s="7" t="n">
        <v>3</v>
      </c>
      <c r="E26004" s="7" t="n">
        <v>4.84999990463257</v>
      </c>
      <c r="F26004" s="7" t="n">
        <v>1.4099999666214</v>
      </c>
      <c r="G26004" s="7" t="n">
        <v>45.7999992370605</v>
      </c>
      <c r="H26004" s="7" t="n">
        <v>5500</v>
      </c>
    </row>
    <row r="26005" spans="1:9">
      <c r="A26005" t="s">
        <v>4</v>
      </c>
      <c r="B26005" s="4" t="s">
        <v>5</v>
      </c>
      <c r="C26005" s="4" t="s">
        <v>7</v>
      </c>
      <c r="D26005" s="4" t="s">
        <v>7</v>
      </c>
      <c r="E26005" s="4" t="s">
        <v>13</v>
      </c>
      <c r="F26005" s="4" t="s">
        <v>13</v>
      </c>
      <c r="G26005" s="4" t="s">
        <v>13</v>
      </c>
      <c r="H26005" s="4" t="s">
        <v>11</v>
      </c>
      <c r="I26005" s="4" t="s">
        <v>7</v>
      </c>
    </row>
    <row r="26006" spans="1:9">
      <c r="A26006" t="n">
        <v>251635</v>
      </c>
      <c r="B26006" s="51" t="n">
        <v>45</v>
      </c>
      <c r="C26006" s="7" t="n">
        <v>4</v>
      </c>
      <c r="D26006" s="7" t="n">
        <v>3</v>
      </c>
      <c r="E26006" s="7" t="n">
        <v>5.46999979019165</v>
      </c>
      <c r="F26006" s="7" t="n">
        <v>232.490005493164</v>
      </c>
      <c r="G26006" s="7" t="n">
        <v>0</v>
      </c>
      <c r="H26006" s="7" t="n">
        <v>5500</v>
      </c>
      <c r="I26006" s="7" t="n">
        <v>0</v>
      </c>
    </row>
    <row r="26007" spans="1:9">
      <c r="A26007" t="s">
        <v>4</v>
      </c>
      <c r="B26007" s="4" t="s">
        <v>5</v>
      </c>
      <c r="C26007" s="4" t="s">
        <v>11</v>
      </c>
      <c r="D26007" s="4" t="s">
        <v>7</v>
      </c>
      <c r="E26007" s="4" t="s">
        <v>7</v>
      </c>
      <c r="F26007" s="4" t="s">
        <v>8</v>
      </c>
    </row>
    <row r="26008" spans="1:9">
      <c r="A26008" t="n">
        <v>251653</v>
      </c>
      <c r="B26008" s="50" t="n">
        <v>20</v>
      </c>
      <c r="C26008" s="7" t="n">
        <v>5</v>
      </c>
      <c r="D26008" s="7" t="n">
        <v>2</v>
      </c>
      <c r="E26008" s="7" t="n">
        <v>11</v>
      </c>
      <c r="F26008" s="7" t="s">
        <v>283</v>
      </c>
    </row>
    <row r="26009" spans="1:9">
      <c r="A26009" t="s">
        <v>4</v>
      </c>
      <c r="B26009" s="4" t="s">
        <v>5</v>
      </c>
      <c r="C26009" s="4" t="s">
        <v>7</v>
      </c>
    </row>
    <row r="26010" spans="1:9">
      <c r="A26010" t="n">
        <v>251680</v>
      </c>
      <c r="B26010" s="49" t="n">
        <v>116</v>
      </c>
      <c r="C26010" s="7" t="n">
        <v>0</v>
      </c>
    </row>
    <row r="26011" spans="1:9">
      <c r="A26011" t="s">
        <v>4</v>
      </c>
      <c r="B26011" s="4" t="s">
        <v>5</v>
      </c>
      <c r="C26011" s="4" t="s">
        <v>7</v>
      </c>
      <c r="D26011" s="4" t="s">
        <v>11</v>
      </c>
    </row>
    <row r="26012" spans="1:9">
      <c r="A26012" t="n">
        <v>251682</v>
      </c>
      <c r="B26012" s="49" t="n">
        <v>116</v>
      </c>
      <c r="C26012" s="7" t="n">
        <v>2</v>
      </c>
      <c r="D26012" s="7" t="n">
        <v>1</v>
      </c>
    </row>
    <row r="26013" spans="1:9">
      <c r="A26013" t="s">
        <v>4</v>
      </c>
      <c r="B26013" s="4" t="s">
        <v>5</v>
      </c>
      <c r="C26013" s="4" t="s">
        <v>7</v>
      </c>
      <c r="D26013" s="4" t="s">
        <v>15</v>
      </c>
    </row>
    <row r="26014" spans="1:9">
      <c r="A26014" t="n">
        <v>251686</v>
      </c>
      <c r="B26014" s="49" t="n">
        <v>116</v>
      </c>
      <c r="C26014" s="7" t="n">
        <v>5</v>
      </c>
      <c r="D26014" s="7" t="n">
        <v>1084227584</v>
      </c>
    </row>
    <row r="26015" spans="1:9">
      <c r="A26015" t="s">
        <v>4</v>
      </c>
      <c r="B26015" s="4" t="s">
        <v>5</v>
      </c>
      <c r="C26015" s="4" t="s">
        <v>7</v>
      </c>
      <c r="D26015" s="4" t="s">
        <v>11</v>
      </c>
    </row>
    <row r="26016" spans="1:9">
      <c r="A26016" t="n">
        <v>251692</v>
      </c>
      <c r="B26016" s="49" t="n">
        <v>116</v>
      </c>
      <c r="C26016" s="7" t="n">
        <v>6</v>
      </c>
      <c r="D26016" s="7" t="n">
        <v>1</v>
      </c>
    </row>
    <row r="26017" spans="1:9">
      <c r="A26017" t="s">
        <v>4</v>
      </c>
      <c r="B26017" s="4" t="s">
        <v>5</v>
      </c>
      <c r="C26017" s="4" t="s">
        <v>7</v>
      </c>
      <c r="D26017" s="4" t="s">
        <v>11</v>
      </c>
    </row>
    <row r="26018" spans="1:9">
      <c r="A26018" t="n">
        <v>251696</v>
      </c>
      <c r="B26018" s="23" t="n">
        <v>58</v>
      </c>
      <c r="C26018" s="7" t="n">
        <v>255</v>
      </c>
      <c r="D26018" s="7" t="n">
        <v>0</v>
      </c>
    </row>
    <row r="26019" spans="1:9">
      <c r="A26019" t="s">
        <v>4</v>
      </c>
      <c r="B26019" s="4" t="s">
        <v>5</v>
      </c>
      <c r="C26019" s="4" t="s">
        <v>11</v>
      </c>
    </row>
    <row r="26020" spans="1:9">
      <c r="A26020" t="n">
        <v>251700</v>
      </c>
      <c r="B26020" s="29" t="n">
        <v>16</v>
      </c>
      <c r="C26020" s="7" t="n">
        <v>800</v>
      </c>
    </row>
    <row r="26021" spans="1:9">
      <c r="A26021" t="s">
        <v>4</v>
      </c>
      <c r="B26021" s="4" t="s">
        <v>5</v>
      </c>
      <c r="C26021" s="4" t="s">
        <v>8</v>
      </c>
      <c r="D26021" s="4" t="s">
        <v>8</v>
      </c>
    </row>
    <row r="26022" spans="1:9">
      <c r="A26022" t="n">
        <v>251703</v>
      </c>
      <c r="B26022" s="52" t="n">
        <v>70</v>
      </c>
      <c r="C26022" s="7" t="s">
        <v>279</v>
      </c>
      <c r="D26022" s="7" t="s">
        <v>284</v>
      </c>
    </row>
    <row r="26023" spans="1:9">
      <c r="A26023" t="s">
        <v>4</v>
      </c>
      <c r="B26023" s="4" t="s">
        <v>5</v>
      </c>
      <c r="C26023" s="4" t="s">
        <v>7</v>
      </c>
      <c r="D26023" s="4" t="s">
        <v>11</v>
      </c>
    </row>
    <row r="26024" spans="1:9">
      <c r="A26024" t="n">
        <v>251721</v>
      </c>
      <c r="B26024" s="51" t="n">
        <v>45</v>
      </c>
      <c r="C26024" s="7" t="n">
        <v>7</v>
      </c>
      <c r="D26024" s="7" t="n">
        <v>255</v>
      </c>
    </row>
    <row r="26025" spans="1:9">
      <c r="A26025" t="s">
        <v>4</v>
      </c>
      <c r="B26025" s="4" t="s">
        <v>5</v>
      </c>
      <c r="C26025" s="4" t="s">
        <v>7</v>
      </c>
      <c r="D26025" s="4" t="s">
        <v>11</v>
      </c>
      <c r="E26025" s="4" t="s">
        <v>8</v>
      </c>
    </row>
    <row r="26026" spans="1:9">
      <c r="A26026" t="n">
        <v>251725</v>
      </c>
      <c r="B26026" s="38" t="n">
        <v>51</v>
      </c>
      <c r="C26026" s="7" t="n">
        <v>4</v>
      </c>
      <c r="D26026" s="7" t="n">
        <v>0</v>
      </c>
      <c r="E26026" s="7" t="s">
        <v>285</v>
      </c>
    </row>
    <row r="26027" spans="1:9">
      <c r="A26027" t="s">
        <v>4</v>
      </c>
      <c r="B26027" s="4" t="s">
        <v>5</v>
      </c>
      <c r="C26027" s="4" t="s">
        <v>11</v>
      </c>
    </row>
    <row r="26028" spans="1:9">
      <c r="A26028" t="n">
        <v>251738</v>
      </c>
      <c r="B26028" s="29" t="n">
        <v>16</v>
      </c>
      <c r="C26028" s="7" t="n">
        <v>0</v>
      </c>
    </row>
    <row r="26029" spans="1:9">
      <c r="A26029" t="s">
        <v>4</v>
      </c>
      <c r="B26029" s="4" t="s">
        <v>5</v>
      </c>
      <c r="C26029" s="4" t="s">
        <v>11</v>
      </c>
      <c r="D26029" s="4" t="s">
        <v>7</v>
      </c>
      <c r="E26029" s="4" t="s">
        <v>15</v>
      </c>
      <c r="F26029" s="4" t="s">
        <v>55</v>
      </c>
      <c r="G26029" s="4" t="s">
        <v>7</v>
      </c>
      <c r="H26029" s="4" t="s">
        <v>7</v>
      </c>
      <c r="I26029" s="4" t="s">
        <v>7</v>
      </c>
      <c r="J26029" s="4" t="s">
        <v>15</v>
      </c>
      <c r="K26029" s="4" t="s">
        <v>55</v>
      </c>
      <c r="L26029" s="4" t="s">
        <v>7</v>
      </c>
      <c r="M26029" s="4" t="s">
        <v>7</v>
      </c>
    </row>
    <row r="26030" spans="1:9">
      <c r="A26030" t="n">
        <v>251741</v>
      </c>
      <c r="B26030" s="55" t="n">
        <v>26</v>
      </c>
      <c r="C26030" s="7" t="n">
        <v>0</v>
      </c>
      <c r="D26030" s="7" t="n">
        <v>17</v>
      </c>
      <c r="E26030" s="7" t="n">
        <v>63865</v>
      </c>
      <c r="F26030" s="7" t="s">
        <v>482</v>
      </c>
      <c r="G26030" s="7" t="n">
        <v>2</v>
      </c>
      <c r="H26030" s="7" t="n">
        <v>3</v>
      </c>
      <c r="I26030" s="7" t="n">
        <v>17</v>
      </c>
      <c r="J26030" s="7" t="n">
        <v>63866</v>
      </c>
      <c r="K26030" s="7" t="s">
        <v>483</v>
      </c>
      <c r="L26030" s="7" t="n">
        <v>2</v>
      </c>
      <c r="M26030" s="7" t="n">
        <v>0</v>
      </c>
    </row>
    <row r="26031" spans="1:9">
      <c r="A26031" t="s">
        <v>4</v>
      </c>
      <c r="B26031" s="4" t="s">
        <v>5</v>
      </c>
    </row>
    <row r="26032" spans="1:9">
      <c r="A26032" t="n">
        <v>251848</v>
      </c>
      <c r="B26032" s="27" t="n">
        <v>28</v>
      </c>
    </row>
    <row r="26033" spans="1:13">
      <c r="A26033" t="s">
        <v>4</v>
      </c>
      <c r="B26033" s="4" t="s">
        <v>5</v>
      </c>
      <c r="C26033" s="4" t="s">
        <v>7</v>
      </c>
      <c r="D26033" s="4" t="s">
        <v>11</v>
      </c>
      <c r="E26033" s="4" t="s">
        <v>13</v>
      </c>
    </row>
    <row r="26034" spans="1:13">
      <c r="A26034" t="n">
        <v>251849</v>
      </c>
      <c r="B26034" s="23" t="n">
        <v>58</v>
      </c>
      <c r="C26034" s="7" t="n">
        <v>101</v>
      </c>
      <c r="D26034" s="7" t="n">
        <v>500</v>
      </c>
      <c r="E26034" s="7" t="n">
        <v>1</v>
      </c>
    </row>
    <row r="26035" spans="1:13">
      <c r="A26035" t="s">
        <v>4</v>
      </c>
      <c r="B26035" s="4" t="s">
        <v>5</v>
      </c>
      <c r="C26035" s="4" t="s">
        <v>7</v>
      </c>
      <c r="D26035" s="4" t="s">
        <v>11</v>
      </c>
    </row>
    <row r="26036" spans="1:13">
      <c r="A26036" t="n">
        <v>251857</v>
      </c>
      <c r="B26036" s="23" t="n">
        <v>58</v>
      </c>
      <c r="C26036" s="7" t="n">
        <v>254</v>
      </c>
      <c r="D26036" s="7" t="n">
        <v>0</v>
      </c>
    </row>
    <row r="26037" spans="1:13">
      <c r="A26037" t="s">
        <v>4</v>
      </c>
      <c r="B26037" s="4" t="s">
        <v>5</v>
      </c>
      <c r="C26037" s="4" t="s">
        <v>7</v>
      </c>
      <c r="D26037" s="4" t="s">
        <v>7</v>
      </c>
      <c r="E26037" s="4" t="s">
        <v>13</v>
      </c>
      <c r="F26037" s="4" t="s">
        <v>13</v>
      </c>
      <c r="G26037" s="4" t="s">
        <v>13</v>
      </c>
      <c r="H26037" s="4" t="s">
        <v>11</v>
      </c>
    </row>
    <row r="26038" spans="1:13">
      <c r="A26038" t="n">
        <v>251861</v>
      </c>
      <c r="B26038" s="51" t="n">
        <v>45</v>
      </c>
      <c r="C26038" s="7" t="n">
        <v>2</v>
      </c>
      <c r="D26038" s="7" t="n">
        <v>3</v>
      </c>
      <c r="E26038" s="7" t="n">
        <v>4.96999979019165</v>
      </c>
      <c r="F26038" s="7" t="n">
        <v>1.41999995708466</v>
      </c>
      <c r="G26038" s="7" t="n">
        <v>46.3800010681152</v>
      </c>
      <c r="H26038" s="7" t="n">
        <v>0</v>
      </c>
    </row>
    <row r="26039" spans="1:13">
      <c r="A26039" t="s">
        <v>4</v>
      </c>
      <c r="B26039" s="4" t="s">
        <v>5</v>
      </c>
      <c r="C26039" s="4" t="s">
        <v>7</v>
      </c>
      <c r="D26039" s="4" t="s">
        <v>7</v>
      </c>
      <c r="E26039" s="4" t="s">
        <v>13</v>
      </c>
      <c r="F26039" s="4" t="s">
        <v>13</v>
      </c>
      <c r="G26039" s="4" t="s">
        <v>13</v>
      </c>
      <c r="H26039" s="4" t="s">
        <v>11</v>
      </c>
      <c r="I26039" s="4" t="s">
        <v>7</v>
      </c>
    </row>
    <row r="26040" spans="1:13">
      <c r="A26040" t="n">
        <v>251878</v>
      </c>
      <c r="B26040" s="51" t="n">
        <v>45</v>
      </c>
      <c r="C26040" s="7" t="n">
        <v>4</v>
      </c>
      <c r="D26040" s="7" t="n">
        <v>3</v>
      </c>
      <c r="E26040" s="7" t="n">
        <v>8.30000019073486</v>
      </c>
      <c r="F26040" s="7" t="n">
        <v>213.210006713867</v>
      </c>
      <c r="G26040" s="7" t="n">
        <v>0</v>
      </c>
      <c r="H26040" s="7" t="n">
        <v>0</v>
      </c>
      <c r="I26040" s="7" t="n">
        <v>0</v>
      </c>
    </row>
    <row r="26041" spans="1:13">
      <c r="A26041" t="s">
        <v>4</v>
      </c>
      <c r="B26041" s="4" t="s">
        <v>5</v>
      </c>
      <c r="C26041" s="4" t="s">
        <v>7</v>
      </c>
      <c r="D26041" s="4" t="s">
        <v>7</v>
      </c>
      <c r="E26041" s="4" t="s">
        <v>13</v>
      </c>
      <c r="F26041" s="4" t="s">
        <v>11</v>
      </c>
    </row>
    <row r="26042" spans="1:13">
      <c r="A26042" t="n">
        <v>251896</v>
      </c>
      <c r="B26042" s="51" t="n">
        <v>45</v>
      </c>
      <c r="C26042" s="7" t="n">
        <v>5</v>
      </c>
      <c r="D26042" s="7" t="n">
        <v>3</v>
      </c>
      <c r="E26042" s="7" t="n">
        <v>1</v>
      </c>
      <c r="F26042" s="7" t="n">
        <v>0</v>
      </c>
    </row>
    <row r="26043" spans="1:13">
      <c r="A26043" t="s">
        <v>4</v>
      </c>
      <c r="B26043" s="4" t="s">
        <v>5</v>
      </c>
      <c r="C26043" s="4" t="s">
        <v>7</v>
      </c>
      <c r="D26043" s="4" t="s">
        <v>7</v>
      </c>
      <c r="E26043" s="4" t="s">
        <v>13</v>
      </c>
      <c r="F26043" s="4" t="s">
        <v>11</v>
      </c>
    </row>
    <row r="26044" spans="1:13">
      <c r="A26044" t="n">
        <v>251905</v>
      </c>
      <c r="B26044" s="51" t="n">
        <v>45</v>
      </c>
      <c r="C26044" s="7" t="n">
        <v>11</v>
      </c>
      <c r="D26044" s="7" t="n">
        <v>3</v>
      </c>
      <c r="E26044" s="7" t="n">
        <v>34</v>
      </c>
      <c r="F26044" s="7" t="n">
        <v>0</v>
      </c>
    </row>
    <row r="26045" spans="1:13">
      <c r="A26045" t="s">
        <v>4</v>
      </c>
      <c r="B26045" s="4" t="s">
        <v>5</v>
      </c>
      <c r="C26045" s="4" t="s">
        <v>7</v>
      </c>
      <c r="D26045" s="4" t="s">
        <v>11</v>
      </c>
    </row>
    <row r="26046" spans="1:13">
      <c r="A26046" t="n">
        <v>251914</v>
      </c>
      <c r="B26046" s="23" t="n">
        <v>58</v>
      </c>
      <c r="C26046" s="7" t="n">
        <v>255</v>
      </c>
      <c r="D26046" s="7" t="n">
        <v>0</v>
      </c>
    </row>
    <row r="26047" spans="1:13">
      <c r="A26047" t="s">
        <v>4</v>
      </c>
      <c r="B26047" s="4" t="s">
        <v>5</v>
      </c>
      <c r="C26047" s="4" t="s">
        <v>7</v>
      </c>
      <c r="D26047" s="4" t="s">
        <v>11</v>
      </c>
      <c r="E26047" s="4" t="s">
        <v>8</v>
      </c>
    </row>
    <row r="26048" spans="1:13">
      <c r="A26048" t="n">
        <v>251918</v>
      </c>
      <c r="B26048" s="38" t="n">
        <v>51</v>
      </c>
      <c r="C26048" s="7" t="n">
        <v>4</v>
      </c>
      <c r="D26048" s="7" t="n">
        <v>5</v>
      </c>
      <c r="E26048" s="7" t="s">
        <v>242</v>
      </c>
    </row>
    <row r="26049" spans="1:9">
      <c r="A26049" t="s">
        <v>4</v>
      </c>
      <c r="B26049" s="4" t="s">
        <v>5</v>
      </c>
      <c r="C26049" s="4" t="s">
        <v>11</v>
      </c>
    </row>
    <row r="26050" spans="1:9">
      <c r="A26050" t="n">
        <v>251932</v>
      </c>
      <c r="B26050" s="29" t="n">
        <v>16</v>
      </c>
      <c r="C26050" s="7" t="n">
        <v>0</v>
      </c>
    </row>
    <row r="26051" spans="1:9">
      <c r="A26051" t="s">
        <v>4</v>
      </c>
      <c r="B26051" s="4" t="s">
        <v>5</v>
      </c>
      <c r="C26051" s="4" t="s">
        <v>11</v>
      </c>
      <c r="D26051" s="4" t="s">
        <v>7</v>
      </c>
      <c r="E26051" s="4" t="s">
        <v>15</v>
      </c>
      <c r="F26051" s="4" t="s">
        <v>55</v>
      </c>
      <c r="G26051" s="4" t="s">
        <v>7</v>
      </c>
      <c r="H26051" s="4" t="s">
        <v>7</v>
      </c>
      <c r="I26051" s="4" t="s">
        <v>7</v>
      </c>
      <c r="J26051" s="4" t="s">
        <v>15</v>
      </c>
      <c r="K26051" s="4" t="s">
        <v>55</v>
      </c>
      <c r="L26051" s="4" t="s">
        <v>7</v>
      </c>
      <c r="M26051" s="4" t="s">
        <v>7</v>
      </c>
    </row>
    <row r="26052" spans="1:9">
      <c r="A26052" t="n">
        <v>251935</v>
      </c>
      <c r="B26052" s="55" t="n">
        <v>26</v>
      </c>
      <c r="C26052" s="7" t="n">
        <v>5</v>
      </c>
      <c r="D26052" s="7" t="n">
        <v>17</v>
      </c>
      <c r="E26052" s="7" t="n">
        <v>63867</v>
      </c>
      <c r="F26052" s="7" t="s">
        <v>484</v>
      </c>
      <c r="G26052" s="7" t="n">
        <v>2</v>
      </c>
      <c r="H26052" s="7" t="n">
        <v>3</v>
      </c>
      <c r="I26052" s="7" t="n">
        <v>17</v>
      </c>
      <c r="J26052" s="7" t="n">
        <v>63868</v>
      </c>
      <c r="K26052" s="7" t="s">
        <v>485</v>
      </c>
      <c r="L26052" s="7" t="n">
        <v>2</v>
      </c>
      <c r="M26052" s="7" t="n">
        <v>0</v>
      </c>
    </row>
    <row r="26053" spans="1:9">
      <c r="A26053" t="s">
        <v>4</v>
      </c>
      <c r="B26053" s="4" t="s">
        <v>5</v>
      </c>
    </row>
    <row r="26054" spans="1:9">
      <c r="A26054" t="n">
        <v>252094</v>
      </c>
      <c r="B26054" s="27" t="n">
        <v>28</v>
      </c>
    </row>
    <row r="26055" spans="1:9">
      <c r="A26055" t="s">
        <v>4</v>
      </c>
      <c r="B26055" s="4" t="s">
        <v>5</v>
      </c>
      <c r="C26055" s="4" t="s">
        <v>7</v>
      </c>
      <c r="D26055" s="4" t="s">
        <v>11</v>
      </c>
      <c r="E26055" s="4" t="s">
        <v>8</v>
      </c>
    </row>
    <row r="26056" spans="1:9">
      <c r="A26056" t="n">
        <v>252095</v>
      </c>
      <c r="B26056" s="38" t="n">
        <v>51</v>
      </c>
      <c r="C26056" s="7" t="n">
        <v>4</v>
      </c>
      <c r="D26056" s="7" t="n">
        <v>0</v>
      </c>
      <c r="E26056" s="7" t="s">
        <v>173</v>
      </c>
    </row>
    <row r="26057" spans="1:9">
      <c r="A26057" t="s">
        <v>4</v>
      </c>
      <c r="B26057" s="4" t="s">
        <v>5</v>
      </c>
      <c r="C26057" s="4" t="s">
        <v>11</v>
      </c>
    </row>
    <row r="26058" spans="1:9">
      <c r="A26058" t="n">
        <v>252108</v>
      </c>
      <c r="B26058" s="29" t="n">
        <v>16</v>
      </c>
      <c r="C26058" s="7" t="n">
        <v>0</v>
      </c>
    </row>
    <row r="26059" spans="1:9">
      <c r="A26059" t="s">
        <v>4</v>
      </c>
      <c r="B26059" s="4" t="s">
        <v>5</v>
      </c>
      <c r="C26059" s="4" t="s">
        <v>11</v>
      </c>
      <c r="D26059" s="4" t="s">
        <v>7</v>
      </c>
      <c r="E26059" s="4" t="s">
        <v>15</v>
      </c>
      <c r="F26059" s="4" t="s">
        <v>55</v>
      </c>
      <c r="G26059" s="4" t="s">
        <v>7</v>
      </c>
      <c r="H26059" s="4" t="s">
        <v>7</v>
      </c>
    </row>
    <row r="26060" spans="1:9">
      <c r="A26060" t="n">
        <v>252111</v>
      </c>
      <c r="B26060" s="55" t="n">
        <v>26</v>
      </c>
      <c r="C26060" s="7" t="n">
        <v>0</v>
      </c>
      <c r="D26060" s="7" t="n">
        <v>17</v>
      </c>
      <c r="E26060" s="7" t="n">
        <v>63869</v>
      </c>
      <c r="F26060" s="7" t="s">
        <v>486</v>
      </c>
      <c r="G26060" s="7" t="n">
        <v>2</v>
      </c>
      <c r="H26060" s="7" t="n">
        <v>0</v>
      </c>
    </row>
    <row r="26061" spans="1:9">
      <c r="A26061" t="s">
        <v>4</v>
      </c>
      <c r="B26061" s="4" t="s">
        <v>5</v>
      </c>
    </row>
    <row r="26062" spans="1:9">
      <c r="A26062" t="n">
        <v>252138</v>
      </c>
      <c r="B26062" s="27" t="n">
        <v>28</v>
      </c>
    </row>
    <row r="26063" spans="1:9">
      <c r="A26063" t="s">
        <v>4</v>
      </c>
      <c r="B26063" s="4" t="s">
        <v>5</v>
      </c>
      <c r="C26063" s="4" t="s">
        <v>7</v>
      </c>
      <c r="D26063" s="4" t="s">
        <v>11</v>
      </c>
      <c r="E26063" s="4" t="s">
        <v>8</v>
      </c>
      <c r="F26063" s="4" t="s">
        <v>8</v>
      </c>
      <c r="G26063" s="4" t="s">
        <v>8</v>
      </c>
      <c r="H26063" s="4" t="s">
        <v>8</v>
      </c>
    </row>
    <row r="26064" spans="1:9">
      <c r="A26064" t="n">
        <v>252139</v>
      </c>
      <c r="B26064" s="38" t="n">
        <v>51</v>
      </c>
      <c r="C26064" s="7" t="n">
        <v>3</v>
      </c>
      <c r="D26064" s="7" t="n">
        <v>5</v>
      </c>
      <c r="E26064" s="7" t="s">
        <v>295</v>
      </c>
      <c r="F26064" s="7" t="s">
        <v>79</v>
      </c>
      <c r="G26064" s="7" t="s">
        <v>78</v>
      </c>
      <c r="H26064" s="7" t="s">
        <v>79</v>
      </c>
    </row>
    <row r="26065" spans="1:13">
      <c r="A26065" t="s">
        <v>4</v>
      </c>
      <c r="B26065" s="4" t="s">
        <v>5</v>
      </c>
      <c r="C26065" s="4" t="s">
        <v>11</v>
      </c>
      <c r="D26065" s="4" t="s">
        <v>13</v>
      </c>
      <c r="E26065" s="4" t="s">
        <v>13</v>
      </c>
      <c r="F26065" s="4" t="s">
        <v>13</v>
      </c>
      <c r="G26065" s="4" t="s">
        <v>11</v>
      </c>
      <c r="H26065" s="4" t="s">
        <v>11</v>
      </c>
    </row>
    <row r="26066" spans="1:13">
      <c r="A26066" t="n">
        <v>252152</v>
      </c>
      <c r="B26066" s="37" t="n">
        <v>60</v>
      </c>
      <c r="C26066" s="7" t="n">
        <v>5</v>
      </c>
      <c r="D26066" s="7" t="n">
        <v>-45</v>
      </c>
      <c r="E26066" s="7" t="n">
        <v>0</v>
      </c>
      <c r="F26066" s="7" t="n">
        <v>0</v>
      </c>
      <c r="G26066" s="7" t="n">
        <v>1000</v>
      </c>
      <c r="H26066" s="7" t="n">
        <v>0</v>
      </c>
    </row>
    <row r="26067" spans="1:13">
      <c r="A26067" t="s">
        <v>4</v>
      </c>
      <c r="B26067" s="4" t="s">
        <v>5</v>
      </c>
      <c r="C26067" s="4" t="s">
        <v>11</v>
      </c>
    </row>
    <row r="26068" spans="1:13">
      <c r="A26068" t="n">
        <v>252171</v>
      </c>
      <c r="B26068" s="29" t="n">
        <v>16</v>
      </c>
      <c r="C26068" s="7" t="n">
        <v>1000</v>
      </c>
    </row>
    <row r="26069" spans="1:13">
      <c r="A26069" t="s">
        <v>4</v>
      </c>
      <c r="B26069" s="4" t="s">
        <v>5</v>
      </c>
      <c r="C26069" s="4" t="s">
        <v>7</v>
      </c>
      <c r="D26069" s="4" t="s">
        <v>11</v>
      </c>
      <c r="E26069" s="4" t="s">
        <v>8</v>
      </c>
      <c r="F26069" s="4" t="s">
        <v>8</v>
      </c>
      <c r="G26069" s="4" t="s">
        <v>8</v>
      </c>
      <c r="H26069" s="4" t="s">
        <v>8</v>
      </c>
    </row>
    <row r="26070" spans="1:13">
      <c r="A26070" t="n">
        <v>252174</v>
      </c>
      <c r="B26070" s="38" t="n">
        <v>51</v>
      </c>
      <c r="C26070" s="7" t="n">
        <v>3</v>
      </c>
      <c r="D26070" s="7" t="n">
        <v>5</v>
      </c>
      <c r="E26070" s="7" t="s">
        <v>296</v>
      </c>
      <c r="F26070" s="7" t="s">
        <v>79</v>
      </c>
      <c r="G26070" s="7" t="s">
        <v>78</v>
      </c>
      <c r="H26070" s="7" t="s">
        <v>79</v>
      </c>
    </row>
    <row r="26071" spans="1:13">
      <c r="A26071" t="s">
        <v>4</v>
      </c>
      <c r="B26071" s="4" t="s">
        <v>5</v>
      </c>
      <c r="C26071" s="4" t="s">
        <v>11</v>
      </c>
      <c r="D26071" s="4" t="s">
        <v>13</v>
      </c>
      <c r="E26071" s="4" t="s">
        <v>13</v>
      </c>
      <c r="F26071" s="4" t="s">
        <v>13</v>
      </c>
      <c r="G26071" s="4" t="s">
        <v>11</v>
      </c>
      <c r="H26071" s="4" t="s">
        <v>11</v>
      </c>
    </row>
    <row r="26072" spans="1:13">
      <c r="A26072" t="n">
        <v>252188</v>
      </c>
      <c r="B26072" s="37" t="n">
        <v>60</v>
      </c>
      <c r="C26072" s="7" t="n">
        <v>5</v>
      </c>
      <c r="D26072" s="7" t="n">
        <v>45</v>
      </c>
      <c r="E26072" s="7" t="n">
        <v>0</v>
      </c>
      <c r="F26072" s="7" t="n">
        <v>0</v>
      </c>
      <c r="G26072" s="7" t="n">
        <v>1000</v>
      </c>
      <c r="H26072" s="7" t="n">
        <v>0</v>
      </c>
    </row>
    <row r="26073" spans="1:13">
      <c r="A26073" t="s">
        <v>4</v>
      </c>
      <c r="B26073" s="4" t="s">
        <v>5</v>
      </c>
      <c r="C26073" s="4" t="s">
        <v>11</v>
      </c>
    </row>
    <row r="26074" spans="1:13">
      <c r="A26074" t="n">
        <v>252207</v>
      </c>
      <c r="B26074" s="29" t="n">
        <v>16</v>
      </c>
      <c r="C26074" s="7" t="n">
        <v>1200</v>
      </c>
    </row>
    <row r="26075" spans="1:13">
      <c r="A26075" t="s">
        <v>4</v>
      </c>
      <c r="B26075" s="4" t="s">
        <v>5</v>
      </c>
      <c r="C26075" s="4" t="s">
        <v>7</v>
      </c>
      <c r="D26075" s="4" t="s">
        <v>11</v>
      </c>
      <c r="E26075" s="4" t="s">
        <v>8</v>
      </c>
      <c r="F26075" s="4" t="s">
        <v>8</v>
      </c>
      <c r="G26075" s="4" t="s">
        <v>8</v>
      </c>
      <c r="H26075" s="4" t="s">
        <v>8</v>
      </c>
    </row>
    <row r="26076" spans="1:13">
      <c r="A26076" t="n">
        <v>252210</v>
      </c>
      <c r="B26076" s="38" t="n">
        <v>51</v>
      </c>
      <c r="C26076" s="7" t="n">
        <v>3</v>
      </c>
      <c r="D26076" s="7" t="n">
        <v>5</v>
      </c>
      <c r="E26076" s="7" t="s">
        <v>86</v>
      </c>
      <c r="F26076" s="7" t="s">
        <v>79</v>
      </c>
      <c r="G26076" s="7" t="s">
        <v>78</v>
      </c>
      <c r="H26076" s="7" t="s">
        <v>79</v>
      </c>
    </row>
    <row r="26077" spans="1:13">
      <c r="A26077" t="s">
        <v>4</v>
      </c>
      <c r="B26077" s="4" t="s">
        <v>5</v>
      </c>
      <c r="C26077" s="4" t="s">
        <v>11</v>
      </c>
      <c r="D26077" s="4" t="s">
        <v>13</v>
      </c>
      <c r="E26077" s="4" t="s">
        <v>13</v>
      </c>
      <c r="F26077" s="4" t="s">
        <v>13</v>
      </c>
      <c r="G26077" s="4" t="s">
        <v>11</v>
      </c>
      <c r="H26077" s="4" t="s">
        <v>11</v>
      </c>
    </row>
    <row r="26078" spans="1:13">
      <c r="A26078" t="n">
        <v>252223</v>
      </c>
      <c r="B26078" s="37" t="n">
        <v>60</v>
      </c>
      <c r="C26078" s="7" t="n">
        <v>5</v>
      </c>
      <c r="D26078" s="7" t="n">
        <v>0</v>
      </c>
      <c r="E26078" s="7" t="n">
        <v>0</v>
      </c>
      <c r="F26078" s="7" t="n">
        <v>0</v>
      </c>
      <c r="G26078" s="7" t="n">
        <v>1000</v>
      </c>
      <c r="H26078" s="7" t="n">
        <v>0</v>
      </c>
    </row>
    <row r="26079" spans="1:13">
      <c r="A26079" t="s">
        <v>4</v>
      </c>
      <c r="B26079" s="4" t="s">
        <v>5</v>
      </c>
      <c r="C26079" s="4" t="s">
        <v>11</v>
      </c>
    </row>
    <row r="26080" spans="1:13">
      <c r="A26080" t="n">
        <v>252242</v>
      </c>
      <c r="B26080" s="29" t="n">
        <v>16</v>
      </c>
      <c r="C26080" s="7" t="n">
        <v>1000</v>
      </c>
    </row>
    <row r="26081" spans="1:8">
      <c r="A26081" t="s">
        <v>4</v>
      </c>
      <c r="B26081" s="4" t="s">
        <v>5</v>
      </c>
      <c r="C26081" s="4" t="s">
        <v>7</v>
      </c>
      <c r="D26081" s="4" t="s">
        <v>11</v>
      </c>
      <c r="E26081" s="4" t="s">
        <v>8</v>
      </c>
    </row>
    <row r="26082" spans="1:8">
      <c r="A26082" t="n">
        <v>252245</v>
      </c>
      <c r="B26082" s="38" t="n">
        <v>51</v>
      </c>
      <c r="C26082" s="7" t="n">
        <v>4</v>
      </c>
      <c r="D26082" s="7" t="n">
        <v>5</v>
      </c>
      <c r="E26082" s="7" t="s">
        <v>242</v>
      </c>
    </row>
    <row r="26083" spans="1:8">
      <c r="A26083" t="s">
        <v>4</v>
      </c>
      <c r="B26083" s="4" t="s">
        <v>5</v>
      </c>
      <c r="C26083" s="4" t="s">
        <v>11</v>
      </c>
    </row>
    <row r="26084" spans="1:8">
      <c r="A26084" t="n">
        <v>252259</v>
      </c>
      <c r="B26084" s="29" t="n">
        <v>16</v>
      </c>
      <c r="C26084" s="7" t="n">
        <v>0</v>
      </c>
    </row>
    <row r="26085" spans="1:8">
      <c r="A26085" t="s">
        <v>4</v>
      </c>
      <c r="B26085" s="4" t="s">
        <v>5</v>
      </c>
      <c r="C26085" s="4" t="s">
        <v>11</v>
      </c>
      <c r="D26085" s="4" t="s">
        <v>7</v>
      </c>
      <c r="E26085" s="4" t="s">
        <v>15</v>
      </c>
      <c r="F26085" s="4" t="s">
        <v>55</v>
      </c>
      <c r="G26085" s="4" t="s">
        <v>7</v>
      </c>
      <c r="H26085" s="4" t="s">
        <v>7</v>
      </c>
      <c r="I26085" s="4" t="s">
        <v>7</v>
      </c>
      <c r="J26085" s="4" t="s">
        <v>15</v>
      </c>
      <c r="K26085" s="4" t="s">
        <v>55</v>
      </c>
      <c r="L26085" s="4" t="s">
        <v>7</v>
      </c>
      <c r="M26085" s="4" t="s">
        <v>7</v>
      </c>
    </row>
    <row r="26086" spans="1:8">
      <c r="A26086" t="n">
        <v>252262</v>
      </c>
      <c r="B26086" s="55" t="n">
        <v>26</v>
      </c>
      <c r="C26086" s="7" t="n">
        <v>5</v>
      </c>
      <c r="D26086" s="7" t="n">
        <v>17</v>
      </c>
      <c r="E26086" s="7" t="n">
        <v>63870</v>
      </c>
      <c r="F26086" s="7" t="s">
        <v>487</v>
      </c>
      <c r="G26086" s="7" t="n">
        <v>2</v>
      </c>
      <c r="H26086" s="7" t="n">
        <v>3</v>
      </c>
      <c r="I26086" s="7" t="n">
        <v>17</v>
      </c>
      <c r="J26086" s="7" t="n">
        <v>63871</v>
      </c>
      <c r="K26086" s="7" t="s">
        <v>488</v>
      </c>
      <c r="L26086" s="7" t="n">
        <v>2</v>
      </c>
      <c r="M26086" s="7" t="n">
        <v>0</v>
      </c>
    </row>
    <row r="26087" spans="1:8">
      <c r="A26087" t="s">
        <v>4</v>
      </c>
      <c r="B26087" s="4" t="s">
        <v>5</v>
      </c>
    </row>
    <row r="26088" spans="1:8">
      <c r="A26088" t="n">
        <v>252437</v>
      </c>
      <c r="B26088" s="27" t="n">
        <v>28</v>
      </c>
    </row>
    <row r="26089" spans="1:8">
      <c r="A26089" t="s">
        <v>4</v>
      </c>
      <c r="B26089" s="4" t="s">
        <v>5</v>
      </c>
      <c r="C26089" s="4" t="s">
        <v>7</v>
      </c>
      <c r="D26089" s="4" t="s">
        <v>11</v>
      </c>
      <c r="E26089" s="4" t="s">
        <v>8</v>
      </c>
    </row>
    <row r="26090" spans="1:8">
      <c r="A26090" t="n">
        <v>252438</v>
      </c>
      <c r="B26090" s="38" t="n">
        <v>51</v>
      </c>
      <c r="C26090" s="7" t="n">
        <v>4</v>
      </c>
      <c r="D26090" s="7" t="n">
        <v>0</v>
      </c>
      <c r="E26090" s="7" t="s">
        <v>304</v>
      </c>
    </row>
    <row r="26091" spans="1:8">
      <c r="A26091" t="s">
        <v>4</v>
      </c>
      <c r="B26091" s="4" t="s">
        <v>5</v>
      </c>
      <c r="C26091" s="4" t="s">
        <v>11</v>
      </c>
    </row>
    <row r="26092" spans="1:8">
      <c r="A26092" t="n">
        <v>252451</v>
      </c>
      <c r="B26092" s="29" t="n">
        <v>16</v>
      </c>
      <c r="C26092" s="7" t="n">
        <v>0</v>
      </c>
    </row>
    <row r="26093" spans="1:8">
      <c r="A26093" t="s">
        <v>4</v>
      </c>
      <c r="B26093" s="4" t="s">
        <v>5</v>
      </c>
      <c r="C26093" s="4" t="s">
        <v>11</v>
      </c>
      <c r="D26093" s="4" t="s">
        <v>7</v>
      </c>
      <c r="E26093" s="4" t="s">
        <v>15</v>
      </c>
      <c r="F26093" s="4" t="s">
        <v>55</v>
      </c>
      <c r="G26093" s="4" t="s">
        <v>7</v>
      </c>
      <c r="H26093" s="4" t="s">
        <v>7</v>
      </c>
      <c r="I26093" s="4" t="s">
        <v>7</v>
      </c>
      <c r="J26093" s="4" t="s">
        <v>15</v>
      </c>
      <c r="K26093" s="4" t="s">
        <v>55</v>
      </c>
      <c r="L26093" s="4" t="s">
        <v>7</v>
      </c>
      <c r="M26093" s="4" t="s">
        <v>7</v>
      </c>
    </row>
    <row r="26094" spans="1:8">
      <c r="A26094" t="n">
        <v>252454</v>
      </c>
      <c r="B26094" s="55" t="n">
        <v>26</v>
      </c>
      <c r="C26094" s="7" t="n">
        <v>0</v>
      </c>
      <c r="D26094" s="7" t="n">
        <v>17</v>
      </c>
      <c r="E26094" s="7" t="n">
        <v>63872</v>
      </c>
      <c r="F26094" s="7" t="s">
        <v>489</v>
      </c>
      <c r="G26094" s="7" t="n">
        <v>2</v>
      </c>
      <c r="H26094" s="7" t="n">
        <v>3</v>
      </c>
      <c r="I26094" s="7" t="n">
        <v>17</v>
      </c>
      <c r="J26094" s="7" t="n">
        <v>63873</v>
      </c>
      <c r="K26094" s="7" t="s">
        <v>490</v>
      </c>
      <c r="L26094" s="7" t="n">
        <v>2</v>
      </c>
      <c r="M26094" s="7" t="n">
        <v>0</v>
      </c>
    </row>
    <row r="26095" spans="1:8">
      <c r="A26095" t="s">
        <v>4</v>
      </c>
      <c r="B26095" s="4" t="s">
        <v>5</v>
      </c>
    </row>
    <row r="26096" spans="1:8">
      <c r="A26096" t="n">
        <v>252624</v>
      </c>
      <c r="B26096" s="27" t="n">
        <v>28</v>
      </c>
    </row>
    <row r="26097" spans="1:13">
      <c r="A26097" t="s">
        <v>4</v>
      </c>
      <c r="B26097" s="4" t="s">
        <v>5</v>
      </c>
      <c r="C26097" s="4" t="s">
        <v>7</v>
      </c>
      <c r="D26097" s="4" t="s">
        <v>11</v>
      </c>
      <c r="E26097" s="4" t="s">
        <v>8</v>
      </c>
    </row>
    <row r="26098" spans="1:13">
      <c r="A26098" t="n">
        <v>252625</v>
      </c>
      <c r="B26098" s="38" t="n">
        <v>51</v>
      </c>
      <c r="C26098" s="7" t="n">
        <v>4</v>
      </c>
      <c r="D26098" s="7" t="n">
        <v>5</v>
      </c>
      <c r="E26098" s="7" t="s">
        <v>491</v>
      </c>
    </row>
    <row r="26099" spans="1:13">
      <c r="A26099" t="s">
        <v>4</v>
      </c>
      <c r="B26099" s="4" t="s">
        <v>5</v>
      </c>
      <c r="C26099" s="4" t="s">
        <v>11</v>
      </c>
    </row>
    <row r="26100" spans="1:13">
      <c r="A26100" t="n">
        <v>252639</v>
      </c>
      <c r="B26100" s="29" t="n">
        <v>16</v>
      </c>
      <c r="C26100" s="7" t="n">
        <v>0</v>
      </c>
    </row>
    <row r="26101" spans="1:13">
      <c r="A26101" t="s">
        <v>4</v>
      </c>
      <c r="B26101" s="4" t="s">
        <v>5</v>
      </c>
      <c r="C26101" s="4" t="s">
        <v>11</v>
      </c>
      <c r="D26101" s="4" t="s">
        <v>7</v>
      </c>
      <c r="E26101" s="4" t="s">
        <v>15</v>
      </c>
      <c r="F26101" s="4" t="s">
        <v>55</v>
      </c>
      <c r="G26101" s="4" t="s">
        <v>7</v>
      </c>
      <c r="H26101" s="4" t="s">
        <v>7</v>
      </c>
    </row>
    <row r="26102" spans="1:13">
      <c r="A26102" t="n">
        <v>252642</v>
      </c>
      <c r="B26102" s="55" t="n">
        <v>26</v>
      </c>
      <c r="C26102" s="7" t="n">
        <v>5</v>
      </c>
      <c r="D26102" s="7" t="n">
        <v>17</v>
      </c>
      <c r="E26102" s="7" t="n">
        <v>63874</v>
      </c>
      <c r="F26102" s="7" t="s">
        <v>492</v>
      </c>
      <c r="G26102" s="7" t="n">
        <v>2</v>
      </c>
      <c r="H26102" s="7" t="n">
        <v>0</v>
      </c>
    </row>
    <row r="26103" spans="1:13">
      <c r="A26103" t="s">
        <v>4</v>
      </c>
      <c r="B26103" s="4" t="s">
        <v>5</v>
      </c>
    </row>
    <row r="26104" spans="1:13">
      <c r="A26104" t="n">
        <v>252673</v>
      </c>
      <c r="B26104" s="27" t="n">
        <v>28</v>
      </c>
    </row>
    <row r="26105" spans="1:13">
      <c r="A26105" t="s">
        <v>4</v>
      </c>
      <c r="B26105" s="4" t="s">
        <v>5</v>
      </c>
      <c r="C26105" s="4" t="s">
        <v>11</v>
      </c>
      <c r="D26105" s="4" t="s">
        <v>7</v>
      </c>
    </row>
    <row r="26106" spans="1:13">
      <c r="A26106" t="n">
        <v>252674</v>
      </c>
      <c r="B26106" s="68" t="n">
        <v>89</v>
      </c>
      <c r="C26106" s="7" t="n">
        <v>65533</v>
      </c>
      <c r="D26106" s="7" t="n">
        <v>1</v>
      </c>
    </row>
    <row r="26107" spans="1:13">
      <c r="A26107" t="s">
        <v>4</v>
      </c>
      <c r="B26107" s="4" t="s">
        <v>5</v>
      </c>
      <c r="C26107" s="4" t="s">
        <v>7</v>
      </c>
      <c r="D26107" s="4" t="s">
        <v>11</v>
      </c>
      <c r="E26107" s="4" t="s">
        <v>13</v>
      </c>
    </row>
    <row r="26108" spans="1:13">
      <c r="A26108" t="n">
        <v>252678</v>
      </c>
      <c r="B26108" s="23" t="n">
        <v>58</v>
      </c>
      <c r="C26108" s="7" t="n">
        <v>101</v>
      </c>
      <c r="D26108" s="7" t="n">
        <v>500</v>
      </c>
      <c r="E26108" s="7" t="n">
        <v>1</v>
      </c>
    </row>
    <row r="26109" spans="1:13">
      <c r="A26109" t="s">
        <v>4</v>
      </c>
      <c r="B26109" s="4" t="s">
        <v>5</v>
      </c>
      <c r="C26109" s="4" t="s">
        <v>7</v>
      </c>
      <c r="D26109" s="4" t="s">
        <v>11</v>
      </c>
    </row>
    <row r="26110" spans="1:13">
      <c r="A26110" t="n">
        <v>252686</v>
      </c>
      <c r="B26110" s="23" t="n">
        <v>58</v>
      </c>
      <c r="C26110" s="7" t="n">
        <v>254</v>
      </c>
      <c r="D26110" s="7" t="n">
        <v>0</v>
      </c>
    </row>
    <row r="26111" spans="1:13">
      <c r="A26111" t="s">
        <v>4</v>
      </c>
      <c r="B26111" s="4" t="s">
        <v>5</v>
      </c>
      <c r="C26111" s="4" t="s">
        <v>7</v>
      </c>
      <c r="D26111" s="4" t="s">
        <v>11</v>
      </c>
      <c r="E26111" s="4" t="s">
        <v>8</v>
      </c>
      <c r="F26111" s="4" t="s">
        <v>8</v>
      </c>
      <c r="G26111" s="4" t="s">
        <v>8</v>
      </c>
      <c r="H26111" s="4" t="s">
        <v>8</v>
      </c>
    </row>
    <row r="26112" spans="1:13">
      <c r="A26112" t="n">
        <v>252690</v>
      </c>
      <c r="B26112" s="38" t="n">
        <v>51</v>
      </c>
      <c r="C26112" s="7" t="n">
        <v>3</v>
      </c>
      <c r="D26112" s="7" t="n">
        <v>0</v>
      </c>
      <c r="E26112" s="7" t="s">
        <v>65</v>
      </c>
      <c r="F26112" s="7" t="s">
        <v>99</v>
      </c>
      <c r="G26112" s="7" t="s">
        <v>78</v>
      </c>
      <c r="H26112" s="7" t="s">
        <v>79</v>
      </c>
    </row>
    <row r="26113" spans="1:8">
      <c r="A26113" t="s">
        <v>4</v>
      </c>
      <c r="B26113" s="4" t="s">
        <v>5</v>
      </c>
      <c r="C26113" s="4" t="s">
        <v>7</v>
      </c>
      <c r="D26113" s="4" t="s">
        <v>11</v>
      </c>
      <c r="E26113" s="4" t="s">
        <v>8</v>
      </c>
      <c r="F26113" s="4" t="s">
        <v>8</v>
      </c>
      <c r="G26113" s="4" t="s">
        <v>8</v>
      </c>
      <c r="H26113" s="4" t="s">
        <v>8</v>
      </c>
    </row>
    <row r="26114" spans="1:8">
      <c r="A26114" t="n">
        <v>252711</v>
      </c>
      <c r="B26114" s="38" t="n">
        <v>51</v>
      </c>
      <c r="C26114" s="7" t="n">
        <v>3</v>
      </c>
      <c r="D26114" s="7" t="n">
        <v>5</v>
      </c>
      <c r="E26114" s="7" t="s">
        <v>65</v>
      </c>
      <c r="F26114" s="7" t="s">
        <v>232</v>
      </c>
      <c r="G26114" s="7" t="s">
        <v>78</v>
      </c>
      <c r="H26114" s="7" t="s">
        <v>79</v>
      </c>
    </row>
    <row r="26115" spans="1:8">
      <c r="A26115" t="s">
        <v>4</v>
      </c>
      <c r="B26115" s="4" t="s">
        <v>5</v>
      </c>
      <c r="C26115" s="4" t="s">
        <v>11</v>
      </c>
      <c r="D26115" s="4" t="s">
        <v>11</v>
      </c>
      <c r="E26115" s="4" t="s">
        <v>11</v>
      </c>
    </row>
    <row r="26116" spans="1:8">
      <c r="A26116" t="n">
        <v>252732</v>
      </c>
      <c r="B26116" s="72" t="n">
        <v>61</v>
      </c>
      <c r="C26116" s="7" t="n">
        <v>0</v>
      </c>
      <c r="D26116" s="7" t="n">
        <v>65533</v>
      </c>
      <c r="E26116" s="7" t="n">
        <v>0</v>
      </c>
    </row>
    <row r="26117" spans="1:8">
      <c r="A26117" t="s">
        <v>4</v>
      </c>
      <c r="B26117" s="4" t="s">
        <v>5</v>
      </c>
      <c r="C26117" s="4" t="s">
        <v>11</v>
      </c>
      <c r="D26117" s="4" t="s">
        <v>11</v>
      </c>
      <c r="E26117" s="4" t="s">
        <v>11</v>
      </c>
    </row>
    <row r="26118" spans="1:8">
      <c r="A26118" t="n">
        <v>252739</v>
      </c>
      <c r="B26118" s="72" t="n">
        <v>61</v>
      </c>
      <c r="C26118" s="7" t="n">
        <v>5</v>
      </c>
      <c r="D26118" s="7" t="n">
        <v>65533</v>
      </c>
      <c r="E26118" s="7" t="n">
        <v>0</v>
      </c>
    </row>
    <row r="26119" spans="1:8">
      <c r="A26119" t="s">
        <v>4</v>
      </c>
      <c r="B26119" s="4" t="s">
        <v>5</v>
      </c>
      <c r="C26119" s="4" t="s">
        <v>7</v>
      </c>
    </row>
    <row r="26120" spans="1:8">
      <c r="A26120" t="n">
        <v>252746</v>
      </c>
      <c r="B26120" s="49" t="n">
        <v>116</v>
      </c>
      <c r="C26120" s="7" t="n">
        <v>0</v>
      </c>
    </row>
    <row r="26121" spans="1:8">
      <c r="A26121" t="s">
        <v>4</v>
      </c>
      <c r="B26121" s="4" t="s">
        <v>5</v>
      </c>
      <c r="C26121" s="4" t="s">
        <v>7</v>
      </c>
      <c r="D26121" s="4" t="s">
        <v>11</v>
      </c>
    </row>
    <row r="26122" spans="1:8">
      <c r="A26122" t="n">
        <v>252748</v>
      </c>
      <c r="B26122" s="49" t="n">
        <v>116</v>
      </c>
      <c r="C26122" s="7" t="n">
        <v>2</v>
      </c>
      <c r="D26122" s="7" t="n">
        <v>1</v>
      </c>
    </row>
    <row r="26123" spans="1:8">
      <c r="A26123" t="s">
        <v>4</v>
      </c>
      <c r="B26123" s="4" t="s">
        <v>5</v>
      </c>
      <c r="C26123" s="4" t="s">
        <v>7</v>
      </c>
      <c r="D26123" s="4" t="s">
        <v>15</v>
      </c>
    </row>
    <row r="26124" spans="1:8">
      <c r="A26124" t="n">
        <v>252752</v>
      </c>
      <c r="B26124" s="49" t="n">
        <v>116</v>
      </c>
      <c r="C26124" s="7" t="n">
        <v>5</v>
      </c>
      <c r="D26124" s="7" t="n">
        <v>1106247680</v>
      </c>
    </row>
    <row r="26125" spans="1:8">
      <c r="A26125" t="s">
        <v>4</v>
      </c>
      <c r="B26125" s="4" t="s">
        <v>5</v>
      </c>
      <c r="C26125" s="4" t="s">
        <v>7</v>
      </c>
      <c r="D26125" s="4" t="s">
        <v>11</v>
      </c>
    </row>
    <row r="26126" spans="1:8">
      <c r="A26126" t="n">
        <v>252758</v>
      </c>
      <c r="B26126" s="49" t="n">
        <v>116</v>
      </c>
      <c r="C26126" s="7" t="n">
        <v>6</v>
      </c>
      <c r="D26126" s="7" t="n">
        <v>1</v>
      </c>
    </row>
    <row r="26127" spans="1:8">
      <c r="A26127" t="s">
        <v>4</v>
      </c>
      <c r="B26127" s="4" t="s">
        <v>5</v>
      </c>
      <c r="C26127" s="4" t="s">
        <v>7</v>
      </c>
      <c r="D26127" s="4" t="s">
        <v>7</v>
      </c>
      <c r="E26127" s="4" t="s">
        <v>13</v>
      </c>
      <c r="F26127" s="4" t="s">
        <v>13</v>
      </c>
      <c r="G26127" s="4" t="s">
        <v>13</v>
      </c>
      <c r="H26127" s="4" t="s">
        <v>11</v>
      </c>
    </row>
    <row r="26128" spans="1:8">
      <c r="A26128" t="n">
        <v>252762</v>
      </c>
      <c r="B26128" s="51" t="n">
        <v>45</v>
      </c>
      <c r="C26128" s="7" t="n">
        <v>2</v>
      </c>
      <c r="D26128" s="7" t="n">
        <v>3</v>
      </c>
      <c r="E26128" s="7" t="n">
        <v>4.53000020980835</v>
      </c>
      <c r="F26128" s="7" t="n">
        <v>1.30999994277954</v>
      </c>
      <c r="G26128" s="7" t="n">
        <v>46.2700004577637</v>
      </c>
      <c r="H26128" s="7" t="n">
        <v>0</v>
      </c>
    </row>
    <row r="26129" spans="1:8">
      <c r="A26129" t="s">
        <v>4</v>
      </c>
      <c r="B26129" s="4" t="s">
        <v>5</v>
      </c>
      <c r="C26129" s="4" t="s">
        <v>7</v>
      </c>
      <c r="D26129" s="4" t="s">
        <v>7</v>
      </c>
      <c r="E26129" s="4" t="s">
        <v>13</v>
      </c>
      <c r="F26129" s="4" t="s">
        <v>13</v>
      </c>
      <c r="G26129" s="4" t="s">
        <v>13</v>
      </c>
      <c r="H26129" s="4" t="s">
        <v>11</v>
      </c>
      <c r="I26129" s="4" t="s">
        <v>7</v>
      </c>
    </row>
    <row r="26130" spans="1:8">
      <c r="A26130" t="n">
        <v>252779</v>
      </c>
      <c r="B26130" s="51" t="n">
        <v>45</v>
      </c>
      <c r="C26130" s="7" t="n">
        <v>4</v>
      </c>
      <c r="D26130" s="7" t="n">
        <v>3</v>
      </c>
      <c r="E26130" s="7" t="n">
        <v>12.8699998855591</v>
      </c>
      <c r="F26130" s="7" t="n">
        <v>80.0199966430664</v>
      </c>
      <c r="G26130" s="7" t="n">
        <v>0</v>
      </c>
      <c r="H26130" s="7" t="n">
        <v>0</v>
      </c>
      <c r="I26130" s="7" t="n">
        <v>0</v>
      </c>
    </row>
    <row r="26131" spans="1:8">
      <c r="A26131" t="s">
        <v>4</v>
      </c>
      <c r="B26131" s="4" t="s">
        <v>5</v>
      </c>
      <c r="C26131" s="4" t="s">
        <v>7</v>
      </c>
      <c r="D26131" s="4" t="s">
        <v>7</v>
      </c>
      <c r="E26131" s="4" t="s">
        <v>13</v>
      </c>
      <c r="F26131" s="4" t="s">
        <v>11</v>
      </c>
    </row>
    <row r="26132" spans="1:8">
      <c r="A26132" t="n">
        <v>252797</v>
      </c>
      <c r="B26132" s="51" t="n">
        <v>45</v>
      </c>
      <c r="C26132" s="7" t="n">
        <v>5</v>
      </c>
      <c r="D26132" s="7" t="n">
        <v>3</v>
      </c>
      <c r="E26132" s="7" t="n">
        <v>3</v>
      </c>
      <c r="F26132" s="7" t="n">
        <v>0</v>
      </c>
    </row>
    <row r="26133" spans="1:8">
      <c r="A26133" t="s">
        <v>4</v>
      </c>
      <c r="B26133" s="4" t="s">
        <v>5</v>
      </c>
      <c r="C26133" s="4" t="s">
        <v>7</v>
      </c>
      <c r="D26133" s="4" t="s">
        <v>7</v>
      </c>
      <c r="E26133" s="4" t="s">
        <v>13</v>
      </c>
      <c r="F26133" s="4" t="s">
        <v>11</v>
      </c>
    </row>
    <row r="26134" spans="1:8">
      <c r="A26134" t="n">
        <v>252806</v>
      </c>
      <c r="B26134" s="51" t="n">
        <v>45</v>
      </c>
      <c r="C26134" s="7" t="n">
        <v>11</v>
      </c>
      <c r="D26134" s="7" t="n">
        <v>3</v>
      </c>
      <c r="E26134" s="7" t="n">
        <v>34</v>
      </c>
      <c r="F26134" s="7" t="n">
        <v>0</v>
      </c>
    </row>
    <row r="26135" spans="1:8">
      <c r="A26135" t="s">
        <v>4</v>
      </c>
      <c r="B26135" s="4" t="s">
        <v>5</v>
      </c>
      <c r="C26135" s="4" t="s">
        <v>7</v>
      </c>
      <c r="D26135" s="4" t="s">
        <v>7</v>
      </c>
      <c r="E26135" s="4" t="s">
        <v>13</v>
      </c>
      <c r="F26135" s="4" t="s">
        <v>13</v>
      </c>
      <c r="G26135" s="4" t="s">
        <v>13</v>
      </c>
      <c r="H26135" s="4" t="s">
        <v>11</v>
      </c>
    </row>
    <row r="26136" spans="1:8">
      <c r="A26136" t="n">
        <v>252815</v>
      </c>
      <c r="B26136" s="51" t="n">
        <v>45</v>
      </c>
      <c r="C26136" s="7" t="n">
        <v>2</v>
      </c>
      <c r="D26136" s="7" t="n">
        <v>3</v>
      </c>
      <c r="E26136" s="7" t="n">
        <v>4.53000020980835</v>
      </c>
      <c r="F26136" s="7" t="n">
        <v>2.30999994277954</v>
      </c>
      <c r="G26136" s="7" t="n">
        <v>46.2700004577637</v>
      </c>
      <c r="H26136" s="7" t="n">
        <v>5000</v>
      </c>
    </row>
    <row r="26137" spans="1:8">
      <c r="A26137" t="s">
        <v>4</v>
      </c>
      <c r="B26137" s="4" t="s">
        <v>5</v>
      </c>
      <c r="C26137" s="4" t="s">
        <v>7</v>
      </c>
      <c r="D26137" s="4" t="s">
        <v>11</v>
      </c>
    </row>
    <row r="26138" spans="1:8">
      <c r="A26138" t="n">
        <v>252832</v>
      </c>
      <c r="B26138" s="23" t="n">
        <v>58</v>
      </c>
      <c r="C26138" s="7" t="n">
        <v>255</v>
      </c>
      <c r="D26138" s="7" t="n">
        <v>0</v>
      </c>
    </row>
    <row r="26139" spans="1:8">
      <c r="A26139" t="s">
        <v>4</v>
      </c>
      <c r="B26139" s="4" t="s">
        <v>5</v>
      </c>
      <c r="C26139" s="4" t="s">
        <v>11</v>
      </c>
      <c r="D26139" s="4" t="s">
        <v>13</v>
      </c>
      <c r="E26139" s="4" t="s">
        <v>13</v>
      </c>
      <c r="F26139" s="4" t="s">
        <v>7</v>
      </c>
    </row>
    <row r="26140" spans="1:8">
      <c r="A26140" t="n">
        <v>252836</v>
      </c>
      <c r="B26140" s="65" t="n">
        <v>52</v>
      </c>
      <c r="C26140" s="7" t="n">
        <v>0</v>
      </c>
      <c r="D26140" s="7" t="n">
        <v>255</v>
      </c>
      <c r="E26140" s="7" t="n">
        <v>5</v>
      </c>
      <c r="F26140" s="7" t="n">
        <v>0</v>
      </c>
    </row>
    <row r="26141" spans="1:8">
      <c r="A26141" t="s">
        <v>4</v>
      </c>
      <c r="B26141" s="4" t="s">
        <v>5</v>
      </c>
      <c r="C26141" s="4" t="s">
        <v>11</v>
      </c>
    </row>
    <row r="26142" spans="1:8">
      <c r="A26142" t="n">
        <v>252848</v>
      </c>
      <c r="B26142" s="29" t="n">
        <v>16</v>
      </c>
      <c r="C26142" s="7" t="n">
        <v>100</v>
      </c>
    </row>
    <row r="26143" spans="1:8">
      <c r="A26143" t="s">
        <v>4</v>
      </c>
      <c r="B26143" s="4" t="s">
        <v>5</v>
      </c>
      <c r="C26143" s="4" t="s">
        <v>11</v>
      </c>
      <c r="D26143" s="4" t="s">
        <v>13</v>
      </c>
      <c r="E26143" s="4" t="s">
        <v>13</v>
      </c>
      <c r="F26143" s="4" t="s">
        <v>7</v>
      </c>
    </row>
    <row r="26144" spans="1:8">
      <c r="A26144" t="n">
        <v>252851</v>
      </c>
      <c r="B26144" s="65" t="n">
        <v>52</v>
      </c>
      <c r="C26144" s="7" t="n">
        <v>5</v>
      </c>
      <c r="D26144" s="7" t="n">
        <v>255</v>
      </c>
      <c r="E26144" s="7" t="n">
        <v>5</v>
      </c>
      <c r="F26144" s="7" t="n">
        <v>0</v>
      </c>
    </row>
    <row r="26145" spans="1:9">
      <c r="A26145" t="s">
        <v>4</v>
      </c>
      <c r="B26145" s="4" t="s">
        <v>5</v>
      </c>
      <c r="C26145" s="4" t="s">
        <v>11</v>
      </c>
    </row>
    <row r="26146" spans="1:9">
      <c r="A26146" t="n">
        <v>252863</v>
      </c>
      <c r="B26146" s="66" t="n">
        <v>54</v>
      </c>
      <c r="C26146" s="7" t="n">
        <v>0</v>
      </c>
    </row>
    <row r="26147" spans="1:9">
      <c r="A26147" t="s">
        <v>4</v>
      </c>
      <c r="B26147" s="4" t="s">
        <v>5</v>
      </c>
      <c r="C26147" s="4" t="s">
        <v>11</v>
      </c>
      <c r="D26147" s="4" t="s">
        <v>11</v>
      </c>
      <c r="E26147" s="4" t="s">
        <v>13</v>
      </c>
      <c r="F26147" s="4" t="s">
        <v>13</v>
      </c>
      <c r="G26147" s="4" t="s">
        <v>13</v>
      </c>
      <c r="H26147" s="4" t="s">
        <v>13</v>
      </c>
      <c r="I26147" s="4" t="s">
        <v>7</v>
      </c>
      <c r="J26147" s="4" t="s">
        <v>11</v>
      </c>
    </row>
    <row r="26148" spans="1:9">
      <c r="A26148" t="n">
        <v>252866</v>
      </c>
      <c r="B26148" s="53" t="n">
        <v>55</v>
      </c>
      <c r="C26148" s="7" t="n">
        <v>0</v>
      </c>
      <c r="D26148" s="7" t="n">
        <v>65024</v>
      </c>
      <c r="E26148" s="7" t="n">
        <v>0</v>
      </c>
      <c r="F26148" s="7" t="n">
        <v>0</v>
      </c>
      <c r="G26148" s="7" t="n">
        <v>6</v>
      </c>
      <c r="H26148" s="7" t="n">
        <v>1.20000004768372</v>
      </c>
      <c r="I26148" s="7" t="n">
        <v>1</v>
      </c>
      <c r="J26148" s="7" t="n">
        <v>0</v>
      </c>
    </row>
    <row r="26149" spans="1:9">
      <c r="A26149" t="s">
        <v>4</v>
      </c>
      <c r="B26149" s="4" t="s">
        <v>5</v>
      </c>
      <c r="C26149" s="4" t="s">
        <v>11</v>
      </c>
    </row>
    <row r="26150" spans="1:9">
      <c r="A26150" t="n">
        <v>252890</v>
      </c>
      <c r="B26150" s="66" t="n">
        <v>54</v>
      </c>
      <c r="C26150" s="7" t="n">
        <v>5</v>
      </c>
    </row>
    <row r="26151" spans="1:9">
      <c r="A26151" t="s">
        <v>4</v>
      </c>
      <c r="B26151" s="4" t="s">
        <v>5</v>
      </c>
      <c r="C26151" s="4" t="s">
        <v>11</v>
      </c>
    </row>
    <row r="26152" spans="1:9">
      <c r="A26152" t="n">
        <v>252893</v>
      </c>
      <c r="B26152" s="29" t="n">
        <v>16</v>
      </c>
      <c r="C26152" s="7" t="n">
        <v>200</v>
      </c>
    </row>
    <row r="26153" spans="1:9">
      <c r="A26153" t="s">
        <v>4</v>
      </c>
      <c r="B26153" s="4" t="s">
        <v>5</v>
      </c>
      <c r="C26153" s="4" t="s">
        <v>11</v>
      </c>
      <c r="D26153" s="4" t="s">
        <v>11</v>
      </c>
      <c r="E26153" s="4" t="s">
        <v>13</v>
      </c>
      <c r="F26153" s="4" t="s">
        <v>13</v>
      </c>
      <c r="G26153" s="4" t="s">
        <v>13</v>
      </c>
      <c r="H26153" s="4" t="s">
        <v>13</v>
      </c>
      <c r="I26153" s="4" t="s">
        <v>7</v>
      </c>
      <c r="J26153" s="4" t="s">
        <v>11</v>
      </c>
    </row>
    <row r="26154" spans="1:9">
      <c r="A26154" t="n">
        <v>252896</v>
      </c>
      <c r="B26154" s="53" t="n">
        <v>55</v>
      </c>
      <c r="C26154" s="7" t="n">
        <v>5</v>
      </c>
      <c r="D26154" s="7" t="n">
        <v>65024</v>
      </c>
      <c r="E26154" s="7" t="n">
        <v>0</v>
      </c>
      <c r="F26154" s="7" t="n">
        <v>0</v>
      </c>
      <c r="G26154" s="7" t="n">
        <v>6</v>
      </c>
      <c r="H26154" s="7" t="n">
        <v>1.20000004768372</v>
      </c>
      <c r="I26154" s="7" t="n">
        <v>1</v>
      </c>
      <c r="J26154" s="7" t="n">
        <v>0</v>
      </c>
    </row>
    <row r="26155" spans="1:9">
      <c r="A26155" t="s">
        <v>4</v>
      </c>
      <c r="B26155" s="4" t="s">
        <v>5</v>
      </c>
      <c r="C26155" s="4" t="s">
        <v>11</v>
      </c>
    </row>
    <row r="26156" spans="1:9">
      <c r="A26156" t="n">
        <v>252920</v>
      </c>
      <c r="B26156" s="29" t="n">
        <v>16</v>
      </c>
      <c r="C26156" s="7" t="n">
        <v>2000</v>
      </c>
    </row>
    <row r="26157" spans="1:9">
      <c r="A26157" t="s">
        <v>4</v>
      </c>
      <c r="B26157" s="4" t="s">
        <v>5</v>
      </c>
      <c r="C26157" s="4" t="s">
        <v>7</v>
      </c>
      <c r="D26157" s="4" t="s">
        <v>11</v>
      </c>
      <c r="E26157" s="4" t="s">
        <v>13</v>
      </c>
    </row>
    <row r="26158" spans="1:9">
      <c r="A26158" t="n">
        <v>252923</v>
      </c>
      <c r="B26158" s="23" t="n">
        <v>58</v>
      </c>
      <c r="C26158" s="7" t="n">
        <v>0</v>
      </c>
      <c r="D26158" s="7" t="n">
        <v>1000</v>
      </c>
      <c r="E26158" s="7" t="n">
        <v>1</v>
      </c>
    </row>
    <row r="26159" spans="1:9">
      <c r="A26159" t="s">
        <v>4</v>
      </c>
      <c r="B26159" s="4" t="s">
        <v>5</v>
      </c>
      <c r="C26159" s="4" t="s">
        <v>7</v>
      </c>
      <c r="D26159" s="4" t="s">
        <v>11</v>
      </c>
    </row>
    <row r="26160" spans="1:9">
      <c r="A26160" t="n">
        <v>252931</v>
      </c>
      <c r="B26160" s="23" t="n">
        <v>58</v>
      </c>
      <c r="C26160" s="7" t="n">
        <v>255</v>
      </c>
      <c r="D26160" s="7" t="n">
        <v>0</v>
      </c>
    </row>
    <row r="26161" spans="1:10">
      <c r="A26161" t="s">
        <v>4</v>
      </c>
      <c r="B26161" s="4" t="s">
        <v>5</v>
      </c>
      <c r="C26161" s="4" t="s">
        <v>11</v>
      </c>
      <c r="D26161" s="4" t="s">
        <v>7</v>
      </c>
    </row>
    <row r="26162" spans="1:10">
      <c r="A26162" t="n">
        <v>252935</v>
      </c>
      <c r="B26162" s="54" t="n">
        <v>56</v>
      </c>
      <c r="C26162" s="7" t="n">
        <v>0</v>
      </c>
      <c r="D26162" s="7" t="n">
        <v>1</v>
      </c>
    </row>
    <row r="26163" spans="1:10">
      <c r="A26163" t="s">
        <v>4</v>
      </c>
      <c r="B26163" s="4" t="s">
        <v>5</v>
      </c>
      <c r="C26163" s="4" t="s">
        <v>11</v>
      </c>
      <c r="D26163" s="4" t="s">
        <v>7</v>
      </c>
    </row>
    <row r="26164" spans="1:10">
      <c r="A26164" t="n">
        <v>252939</v>
      </c>
      <c r="B26164" s="54" t="n">
        <v>56</v>
      </c>
      <c r="C26164" s="7" t="n">
        <v>5</v>
      </c>
      <c r="D26164" s="7" t="n">
        <v>1</v>
      </c>
    </row>
    <row r="26165" spans="1:10">
      <c r="A26165" t="s">
        <v>4</v>
      </c>
      <c r="B26165" s="4" t="s">
        <v>5</v>
      </c>
      <c r="C26165" s="4" t="s">
        <v>11</v>
      </c>
      <c r="D26165" s="4" t="s">
        <v>13</v>
      </c>
      <c r="E26165" s="4" t="s">
        <v>13</v>
      </c>
      <c r="F26165" s="4" t="s">
        <v>13</v>
      </c>
      <c r="G26165" s="4" t="s">
        <v>13</v>
      </c>
    </row>
    <row r="26166" spans="1:10">
      <c r="A26166" t="n">
        <v>252943</v>
      </c>
      <c r="B26166" s="36" t="n">
        <v>46</v>
      </c>
      <c r="C26166" s="7" t="n">
        <v>0</v>
      </c>
      <c r="D26166" s="7" t="n">
        <v>-11.1000003814697</v>
      </c>
      <c r="E26166" s="7" t="n">
        <v>10.0100002288818</v>
      </c>
      <c r="F26166" s="7" t="n">
        <v>56.1599998474121</v>
      </c>
      <c r="G26166" s="7" t="n">
        <v>278.399993896484</v>
      </c>
    </row>
    <row r="26167" spans="1:10">
      <c r="A26167" t="s">
        <v>4</v>
      </c>
      <c r="B26167" s="4" t="s">
        <v>5</v>
      </c>
      <c r="C26167" s="4" t="s">
        <v>11</v>
      </c>
      <c r="D26167" s="4" t="s">
        <v>13</v>
      </c>
      <c r="E26167" s="4" t="s">
        <v>13</v>
      </c>
      <c r="F26167" s="4" t="s">
        <v>13</v>
      </c>
      <c r="G26167" s="4" t="s">
        <v>13</v>
      </c>
    </row>
    <row r="26168" spans="1:10">
      <c r="A26168" t="n">
        <v>252962</v>
      </c>
      <c r="B26168" s="36" t="n">
        <v>46</v>
      </c>
      <c r="C26168" s="7" t="n">
        <v>5</v>
      </c>
      <c r="D26168" s="7" t="n">
        <v>-11.8299999237061</v>
      </c>
      <c r="E26168" s="7" t="n">
        <v>10.0100002288818</v>
      </c>
      <c r="F26168" s="7" t="n">
        <v>55.7799987792969</v>
      </c>
      <c r="G26168" s="7" t="n">
        <v>272.600006103516</v>
      </c>
    </row>
    <row r="26169" spans="1:10">
      <c r="A26169" t="s">
        <v>4</v>
      </c>
      <c r="B26169" s="4" t="s">
        <v>5</v>
      </c>
      <c r="C26169" s="4" t="s">
        <v>11</v>
      </c>
      <c r="D26169" s="4" t="s">
        <v>11</v>
      </c>
      <c r="E26169" s="4" t="s">
        <v>11</v>
      </c>
    </row>
    <row r="26170" spans="1:10">
      <c r="A26170" t="n">
        <v>252981</v>
      </c>
      <c r="B26170" s="72" t="n">
        <v>61</v>
      </c>
      <c r="C26170" s="7" t="n">
        <v>0</v>
      </c>
      <c r="D26170" s="7" t="n">
        <v>65533</v>
      </c>
      <c r="E26170" s="7" t="n">
        <v>0</v>
      </c>
    </row>
    <row r="26171" spans="1:10">
      <c r="A26171" t="s">
        <v>4</v>
      </c>
      <c r="B26171" s="4" t="s">
        <v>5</v>
      </c>
      <c r="C26171" s="4" t="s">
        <v>11</v>
      </c>
      <c r="D26171" s="4" t="s">
        <v>11</v>
      </c>
      <c r="E26171" s="4" t="s">
        <v>11</v>
      </c>
    </row>
    <row r="26172" spans="1:10">
      <c r="A26172" t="n">
        <v>252988</v>
      </c>
      <c r="B26172" s="72" t="n">
        <v>61</v>
      </c>
      <c r="C26172" s="7" t="n">
        <v>5</v>
      </c>
      <c r="D26172" s="7" t="n">
        <v>65533</v>
      </c>
      <c r="E26172" s="7" t="n">
        <v>0</v>
      </c>
    </row>
    <row r="26173" spans="1:10">
      <c r="A26173" t="s">
        <v>4</v>
      </c>
      <c r="B26173" s="4" t="s">
        <v>5</v>
      </c>
      <c r="C26173" s="4" t="s">
        <v>7</v>
      </c>
      <c r="D26173" s="4" t="s">
        <v>7</v>
      </c>
      <c r="E26173" s="4" t="s">
        <v>13</v>
      </c>
      <c r="F26173" s="4" t="s">
        <v>13</v>
      </c>
      <c r="G26173" s="4" t="s">
        <v>13</v>
      </c>
      <c r="H26173" s="4" t="s">
        <v>11</v>
      </c>
    </row>
    <row r="26174" spans="1:10">
      <c r="A26174" t="n">
        <v>252995</v>
      </c>
      <c r="B26174" s="51" t="n">
        <v>45</v>
      </c>
      <c r="C26174" s="7" t="n">
        <v>2</v>
      </c>
      <c r="D26174" s="7" t="n">
        <v>3</v>
      </c>
      <c r="E26174" s="7" t="n">
        <v>-20.8400001525879</v>
      </c>
      <c r="F26174" s="7" t="n">
        <v>11.3599996566772</v>
      </c>
      <c r="G26174" s="7" t="n">
        <v>56.5299987792969</v>
      </c>
      <c r="H26174" s="7" t="n">
        <v>0</v>
      </c>
    </row>
    <row r="26175" spans="1:10">
      <c r="A26175" t="s">
        <v>4</v>
      </c>
      <c r="B26175" s="4" t="s">
        <v>5</v>
      </c>
      <c r="C26175" s="4" t="s">
        <v>7</v>
      </c>
      <c r="D26175" s="4" t="s">
        <v>7</v>
      </c>
      <c r="E26175" s="4" t="s">
        <v>13</v>
      </c>
      <c r="F26175" s="4" t="s">
        <v>13</v>
      </c>
      <c r="G26175" s="4" t="s">
        <v>13</v>
      </c>
      <c r="H26175" s="4" t="s">
        <v>11</v>
      </c>
      <c r="I26175" s="4" t="s">
        <v>7</v>
      </c>
    </row>
    <row r="26176" spans="1:10">
      <c r="A26176" t="n">
        <v>253012</v>
      </c>
      <c r="B26176" s="51" t="n">
        <v>45</v>
      </c>
      <c r="C26176" s="7" t="n">
        <v>4</v>
      </c>
      <c r="D26176" s="7" t="n">
        <v>3</v>
      </c>
      <c r="E26176" s="7" t="n">
        <v>16.3999996185303</v>
      </c>
      <c r="F26176" s="7" t="n">
        <v>42.7000007629395</v>
      </c>
      <c r="G26176" s="7" t="n">
        <v>0</v>
      </c>
      <c r="H26176" s="7" t="n">
        <v>0</v>
      </c>
      <c r="I26176" s="7" t="n">
        <v>0</v>
      </c>
    </row>
    <row r="26177" spans="1:9">
      <c r="A26177" t="s">
        <v>4</v>
      </c>
      <c r="B26177" s="4" t="s">
        <v>5</v>
      </c>
      <c r="C26177" s="4" t="s">
        <v>7</v>
      </c>
      <c r="D26177" s="4" t="s">
        <v>7</v>
      </c>
      <c r="E26177" s="4" t="s">
        <v>13</v>
      </c>
      <c r="F26177" s="4" t="s">
        <v>11</v>
      </c>
    </row>
    <row r="26178" spans="1:9">
      <c r="A26178" t="n">
        <v>253030</v>
      </c>
      <c r="B26178" s="51" t="n">
        <v>45</v>
      </c>
      <c r="C26178" s="7" t="n">
        <v>5</v>
      </c>
      <c r="D26178" s="7" t="n">
        <v>3</v>
      </c>
      <c r="E26178" s="7" t="n">
        <v>3.29999995231628</v>
      </c>
      <c r="F26178" s="7" t="n">
        <v>0</v>
      </c>
    </row>
    <row r="26179" spans="1:9">
      <c r="A26179" t="s">
        <v>4</v>
      </c>
      <c r="B26179" s="4" t="s">
        <v>5</v>
      </c>
      <c r="C26179" s="4" t="s">
        <v>7</v>
      </c>
      <c r="D26179" s="4" t="s">
        <v>7</v>
      </c>
      <c r="E26179" s="4" t="s">
        <v>13</v>
      </c>
      <c r="F26179" s="4" t="s">
        <v>11</v>
      </c>
    </row>
    <row r="26180" spans="1:9">
      <c r="A26180" t="n">
        <v>253039</v>
      </c>
      <c r="B26180" s="51" t="n">
        <v>45</v>
      </c>
      <c r="C26180" s="7" t="n">
        <v>11</v>
      </c>
      <c r="D26180" s="7" t="n">
        <v>3</v>
      </c>
      <c r="E26180" s="7" t="n">
        <v>34</v>
      </c>
      <c r="F26180" s="7" t="n">
        <v>0</v>
      </c>
    </row>
    <row r="26181" spans="1:9">
      <c r="A26181" t="s">
        <v>4</v>
      </c>
      <c r="B26181" s="4" t="s">
        <v>5</v>
      </c>
      <c r="C26181" s="4" t="s">
        <v>7</v>
      </c>
      <c r="D26181" s="4" t="s">
        <v>7</v>
      </c>
      <c r="E26181" s="4" t="s">
        <v>13</v>
      </c>
      <c r="F26181" s="4" t="s">
        <v>13</v>
      </c>
      <c r="G26181" s="4" t="s">
        <v>13</v>
      </c>
      <c r="H26181" s="4" t="s">
        <v>11</v>
      </c>
    </row>
    <row r="26182" spans="1:9">
      <c r="A26182" t="n">
        <v>253048</v>
      </c>
      <c r="B26182" s="51" t="n">
        <v>45</v>
      </c>
      <c r="C26182" s="7" t="n">
        <v>2</v>
      </c>
      <c r="D26182" s="7" t="n">
        <v>3</v>
      </c>
      <c r="E26182" s="7" t="n">
        <v>-13.3599996566772</v>
      </c>
      <c r="F26182" s="7" t="n">
        <v>10.9899997711182</v>
      </c>
      <c r="G26182" s="7" t="n">
        <v>55.939998626709</v>
      </c>
      <c r="H26182" s="7" t="n">
        <v>7000</v>
      </c>
    </row>
    <row r="26183" spans="1:9">
      <c r="A26183" t="s">
        <v>4</v>
      </c>
      <c r="B26183" s="4" t="s">
        <v>5</v>
      </c>
      <c r="C26183" s="4" t="s">
        <v>7</v>
      </c>
      <c r="D26183" s="4" t="s">
        <v>7</v>
      </c>
      <c r="E26183" s="4" t="s">
        <v>13</v>
      </c>
      <c r="F26183" s="4" t="s">
        <v>13</v>
      </c>
      <c r="G26183" s="4" t="s">
        <v>13</v>
      </c>
      <c r="H26183" s="4" t="s">
        <v>11</v>
      </c>
      <c r="I26183" s="4" t="s">
        <v>7</v>
      </c>
    </row>
    <row r="26184" spans="1:9">
      <c r="A26184" t="n">
        <v>253065</v>
      </c>
      <c r="B26184" s="51" t="n">
        <v>45</v>
      </c>
      <c r="C26184" s="7" t="n">
        <v>4</v>
      </c>
      <c r="D26184" s="7" t="n">
        <v>3</v>
      </c>
      <c r="E26184" s="7" t="n">
        <v>359.200012207031</v>
      </c>
      <c r="F26184" s="7" t="n">
        <v>317.269989013672</v>
      </c>
      <c r="G26184" s="7" t="n">
        <v>0</v>
      </c>
      <c r="H26184" s="7" t="n">
        <v>7000</v>
      </c>
      <c r="I26184" s="7" t="n">
        <v>1</v>
      </c>
    </row>
    <row r="26185" spans="1:9">
      <c r="A26185" t="s">
        <v>4</v>
      </c>
      <c r="B26185" s="4" t="s">
        <v>5</v>
      </c>
      <c r="C26185" s="4" t="s">
        <v>7</v>
      </c>
      <c r="D26185" s="4" t="s">
        <v>11</v>
      </c>
      <c r="E26185" s="4" t="s">
        <v>13</v>
      </c>
    </row>
    <row r="26186" spans="1:9">
      <c r="A26186" t="n">
        <v>253083</v>
      </c>
      <c r="B26186" s="23" t="n">
        <v>58</v>
      </c>
      <c r="C26186" s="7" t="n">
        <v>100</v>
      </c>
      <c r="D26186" s="7" t="n">
        <v>1000</v>
      </c>
      <c r="E26186" s="7" t="n">
        <v>1</v>
      </c>
    </row>
    <row r="26187" spans="1:9">
      <c r="A26187" t="s">
        <v>4</v>
      </c>
      <c r="B26187" s="4" t="s">
        <v>5</v>
      </c>
      <c r="C26187" s="4" t="s">
        <v>7</v>
      </c>
      <c r="D26187" s="4" t="s">
        <v>11</v>
      </c>
    </row>
    <row r="26188" spans="1:9">
      <c r="A26188" t="n">
        <v>253091</v>
      </c>
      <c r="B26188" s="23" t="n">
        <v>58</v>
      </c>
      <c r="C26188" s="7" t="n">
        <v>255</v>
      </c>
      <c r="D26188" s="7" t="n">
        <v>0</v>
      </c>
    </row>
    <row r="26189" spans="1:9">
      <c r="A26189" t="s">
        <v>4</v>
      </c>
      <c r="B26189" s="4" t="s">
        <v>5</v>
      </c>
      <c r="C26189" s="4" t="s">
        <v>8</v>
      </c>
      <c r="D26189" s="4" t="s">
        <v>8</v>
      </c>
    </row>
    <row r="26190" spans="1:9">
      <c r="A26190" t="n">
        <v>253095</v>
      </c>
      <c r="B26190" s="52" t="n">
        <v>70</v>
      </c>
      <c r="C26190" s="7" t="s">
        <v>493</v>
      </c>
      <c r="D26190" s="7" t="s">
        <v>109</v>
      </c>
    </row>
    <row r="26191" spans="1:9">
      <c r="A26191" t="s">
        <v>4</v>
      </c>
      <c r="B26191" s="4" t="s">
        <v>5</v>
      </c>
      <c r="C26191" s="4" t="s">
        <v>11</v>
      </c>
    </row>
    <row r="26192" spans="1:9">
      <c r="A26192" t="n">
        <v>253112</v>
      </c>
      <c r="B26192" s="29" t="n">
        <v>16</v>
      </c>
      <c r="C26192" s="7" t="n">
        <v>3000</v>
      </c>
    </row>
    <row r="26193" spans="1:9">
      <c r="A26193" t="s">
        <v>4</v>
      </c>
      <c r="B26193" s="4" t="s">
        <v>5</v>
      </c>
      <c r="C26193" s="4" t="s">
        <v>11</v>
      </c>
      <c r="D26193" s="4" t="s">
        <v>7</v>
      </c>
      <c r="E26193" s="4" t="s">
        <v>13</v>
      </c>
      <c r="F26193" s="4" t="s">
        <v>11</v>
      </c>
    </row>
    <row r="26194" spans="1:9">
      <c r="A26194" t="n">
        <v>253115</v>
      </c>
      <c r="B26194" s="56" t="n">
        <v>59</v>
      </c>
      <c r="C26194" s="7" t="n">
        <v>5</v>
      </c>
      <c r="D26194" s="7" t="n">
        <v>9</v>
      </c>
      <c r="E26194" s="7" t="n">
        <v>0.150000005960464</v>
      </c>
      <c r="F26194" s="7" t="n">
        <v>0</v>
      </c>
    </row>
    <row r="26195" spans="1:9">
      <c r="A26195" t="s">
        <v>4</v>
      </c>
      <c r="B26195" s="4" t="s">
        <v>5</v>
      </c>
      <c r="C26195" s="4" t="s">
        <v>11</v>
      </c>
      <c r="D26195" s="4" t="s">
        <v>13</v>
      </c>
      <c r="E26195" s="4" t="s">
        <v>13</v>
      </c>
      <c r="F26195" s="4" t="s">
        <v>13</v>
      </c>
      <c r="G26195" s="4" t="s">
        <v>11</v>
      </c>
      <c r="H26195" s="4" t="s">
        <v>11</v>
      </c>
    </row>
    <row r="26196" spans="1:9">
      <c r="A26196" t="n">
        <v>253125</v>
      </c>
      <c r="B26196" s="37" t="n">
        <v>60</v>
      </c>
      <c r="C26196" s="7" t="n">
        <v>5</v>
      </c>
      <c r="D26196" s="7" t="n">
        <v>-45</v>
      </c>
      <c r="E26196" s="7" t="n">
        <v>0</v>
      </c>
      <c r="F26196" s="7" t="n">
        <v>0</v>
      </c>
      <c r="G26196" s="7" t="n">
        <v>1000</v>
      </c>
      <c r="H26196" s="7" t="n">
        <v>0</v>
      </c>
    </row>
    <row r="26197" spans="1:9">
      <c r="A26197" t="s">
        <v>4</v>
      </c>
      <c r="B26197" s="4" t="s">
        <v>5</v>
      </c>
      <c r="C26197" s="4" t="s">
        <v>11</v>
      </c>
    </row>
    <row r="26198" spans="1:9">
      <c r="A26198" t="n">
        <v>253144</v>
      </c>
      <c r="B26198" s="29" t="n">
        <v>16</v>
      </c>
      <c r="C26198" s="7" t="n">
        <v>1000</v>
      </c>
    </row>
    <row r="26199" spans="1:9">
      <c r="A26199" t="s">
        <v>4</v>
      </c>
      <c r="B26199" s="4" t="s">
        <v>5</v>
      </c>
      <c r="C26199" s="4" t="s">
        <v>11</v>
      </c>
      <c r="D26199" s="4" t="s">
        <v>13</v>
      </c>
      <c r="E26199" s="4" t="s">
        <v>13</v>
      </c>
      <c r="F26199" s="4" t="s">
        <v>13</v>
      </c>
      <c r="G26199" s="4" t="s">
        <v>11</v>
      </c>
      <c r="H26199" s="4" t="s">
        <v>11</v>
      </c>
    </row>
    <row r="26200" spans="1:9">
      <c r="A26200" t="n">
        <v>253147</v>
      </c>
      <c r="B26200" s="37" t="n">
        <v>60</v>
      </c>
      <c r="C26200" s="7" t="n">
        <v>5</v>
      </c>
      <c r="D26200" s="7" t="n">
        <v>45</v>
      </c>
      <c r="E26200" s="7" t="n">
        <v>0</v>
      </c>
      <c r="F26200" s="7" t="n">
        <v>0</v>
      </c>
      <c r="G26200" s="7" t="n">
        <v>1000</v>
      </c>
      <c r="H26200" s="7" t="n">
        <v>0</v>
      </c>
    </row>
    <row r="26201" spans="1:9">
      <c r="A26201" t="s">
        <v>4</v>
      </c>
      <c r="B26201" s="4" t="s">
        <v>5</v>
      </c>
      <c r="C26201" s="4" t="s">
        <v>11</v>
      </c>
    </row>
    <row r="26202" spans="1:9">
      <c r="A26202" t="n">
        <v>253166</v>
      </c>
      <c r="B26202" s="29" t="n">
        <v>16</v>
      </c>
      <c r="C26202" s="7" t="n">
        <v>1000</v>
      </c>
    </row>
    <row r="26203" spans="1:9">
      <c r="A26203" t="s">
        <v>4</v>
      </c>
      <c r="B26203" s="4" t="s">
        <v>5</v>
      </c>
      <c r="C26203" s="4" t="s">
        <v>11</v>
      </c>
      <c r="D26203" s="4" t="s">
        <v>13</v>
      </c>
      <c r="E26203" s="4" t="s">
        <v>13</v>
      </c>
      <c r="F26203" s="4" t="s">
        <v>13</v>
      </c>
      <c r="G26203" s="4" t="s">
        <v>11</v>
      </c>
      <c r="H26203" s="4" t="s">
        <v>11</v>
      </c>
    </row>
    <row r="26204" spans="1:9">
      <c r="A26204" t="n">
        <v>253169</v>
      </c>
      <c r="B26204" s="37" t="n">
        <v>60</v>
      </c>
      <c r="C26204" s="7" t="n">
        <v>5</v>
      </c>
      <c r="D26204" s="7" t="n">
        <v>0</v>
      </c>
      <c r="E26204" s="7" t="n">
        <v>0</v>
      </c>
      <c r="F26204" s="7" t="n">
        <v>0</v>
      </c>
      <c r="G26204" s="7" t="n">
        <v>500</v>
      </c>
      <c r="H26204" s="7" t="n">
        <v>0</v>
      </c>
    </row>
    <row r="26205" spans="1:9">
      <c r="A26205" t="s">
        <v>4</v>
      </c>
      <c r="B26205" s="4" t="s">
        <v>5</v>
      </c>
      <c r="C26205" s="4" t="s">
        <v>11</v>
      </c>
    </row>
    <row r="26206" spans="1:9">
      <c r="A26206" t="n">
        <v>253188</v>
      </c>
      <c r="B26206" s="29" t="n">
        <v>16</v>
      </c>
      <c r="C26206" s="7" t="n">
        <v>1000</v>
      </c>
    </row>
    <row r="26207" spans="1:9">
      <c r="A26207" t="s">
        <v>4</v>
      </c>
      <c r="B26207" s="4" t="s">
        <v>5</v>
      </c>
      <c r="C26207" s="4" t="s">
        <v>7</v>
      </c>
      <c r="D26207" s="4" t="s">
        <v>11</v>
      </c>
    </row>
    <row r="26208" spans="1:9">
      <c r="A26208" t="n">
        <v>253191</v>
      </c>
      <c r="B26208" s="51" t="n">
        <v>45</v>
      </c>
      <c r="C26208" s="7" t="n">
        <v>7</v>
      </c>
      <c r="D26208" s="7" t="n">
        <v>255</v>
      </c>
    </row>
    <row r="26209" spans="1:8">
      <c r="A26209" t="s">
        <v>4</v>
      </c>
      <c r="B26209" s="4" t="s">
        <v>5</v>
      </c>
      <c r="C26209" s="4" t="s">
        <v>7</v>
      </c>
      <c r="D26209" s="4" t="s">
        <v>11</v>
      </c>
      <c r="E26209" s="4" t="s">
        <v>13</v>
      </c>
    </row>
    <row r="26210" spans="1:8">
      <c r="A26210" t="n">
        <v>253195</v>
      </c>
      <c r="B26210" s="23" t="n">
        <v>58</v>
      </c>
      <c r="C26210" s="7" t="n">
        <v>0</v>
      </c>
      <c r="D26210" s="7" t="n">
        <v>1000</v>
      </c>
      <c r="E26210" s="7" t="n">
        <v>1</v>
      </c>
    </row>
    <row r="26211" spans="1:8">
      <c r="A26211" t="s">
        <v>4</v>
      </c>
      <c r="B26211" s="4" t="s">
        <v>5</v>
      </c>
      <c r="C26211" s="4" t="s">
        <v>7</v>
      </c>
      <c r="D26211" s="4" t="s">
        <v>11</v>
      </c>
    </row>
    <row r="26212" spans="1:8">
      <c r="A26212" t="n">
        <v>253203</v>
      </c>
      <c r="B26212" s="23" t="n">
        <v>58</v>
      </c>
      <c r="C26212" s="7" t="n">
        <v>255</v>
      </c>
      <c r="D26212" s="7" t="n">
        <v>0</v>
      </c>
    </row>
    <row r="26213" spans="1:8">
      <c r="A26213" t="s">
        <v>4</v>
      </c>
      <c r="B26213" s="4" t="s">
        <v>5</v>
      </c>
      <c r="C26213" s="4" t="s">
        <v>11</v>
      </c>
      <c r="D26213" s="4" t="s">
        <v>11</v>
      </c>
      <c r="E26213" s="4" t="s">
        <v>11</v>
      </c>
    </row>
    <row r="26214" spans="1:8">
      <c r="A26214" t="n">
        <v>253207</v>
      </c>
      <c r="B26214" s="72" t="n">
        <v>61</v>
      </c>
      <c r="C26214" s="7" t="n">
        <v>0</v>
      </c>
      <c r="D26214" s="7" t="n">
        <v>65533</v>
      </c>
      <c r="E26214" s="7" t="n">
        <v>1000</v>
      </c>
    </row>
    <row r="26215" spans="1:8">
      <c r="A26215" t="s">
        <v>4</v>
      </c>
      <c r="B26215" s="4" t="s">
        <v>5</v>
      </c>
      <c r="C26215" s="4" t="s">
        <v>11</v>
      </c>
      <c r="D26215" s="4" t="s">
        <v>11</v>
      </c>
      <c r="E26215" s="4" t="s">
        <v>11</v>
      </c>
    </row>
    <row r="26216" spans="1:8">
      <c r="A26216" t="n">
        <v>253214</v>
      </c>
      <c r="B26216" s="72" t="n">
        <v>61</v>
      </c>
      <c r="C26216" s="7" t="n">
        <v>5</v>
      </c>
      <c r="D26216" s="7" t="n">
        <v>65533</v>
      </c>
      <c r="E26216" s="7" t="n">
        <v>1000</v>
      </c>
    </row>
    <row r="26217" spans="1:8">
      <c r="A26217" t="s">
        <v>4</v>
      </c>
      <c r="B26217" s="4" t="s">
        <v>5</v>
      </c>
      <c r="C26217" s="4" t="s">
        <v>11</v>
      </c>
      <c r="D26217" s="4" t="s">
        <v>13</v>
      </c>
      <c r="E26217" s="4" t="s">
        <v>13</v>
      </c>
      <c r="F26217" s="4" t="s">
        <v>13</v>
      </c>
      <c r="G26217" s="4" t="s">
        <v>13</v>
      </c>
    </row>
    <row r="26218" spans="1:8">
      <c r="A26218" t="n">
        <v>253221</v>
      </c>
      <c r="B26218" s="36" t="n">
        <v>46</v>
      </c>
      <c r="C26218" s="7" t="n">
        <v>0</v>
      </c>
      <c r="D26218" s="7" t="n">
        <v>-2.66000008583069</v>
      </c>
      <c r="E26218" s="7" t="n">
        <v>5.01000022888184</v>
      </c>
      <c r="F26218" s="7" t="n">
        <v>32.189998626709</v>
      </c>
      <c r="G26218" s="7" t="n">
        <v>90</v>
      </c>
    </row>
    <row r="26219" spans="1:8">
      <c r="A26219" t="s">
        <v>4</v>
      </c>
      <c r="B26219" s="4" t="s">
        <v>5</v>
      </c>
      <c r="C26219" s="4" t="s">
        <v>11</v>
      </c>
      <c r="D26219" s="4" t="s">
        <v>13</v>
      </c>
      <c r="E26219" s="4" t="s">
        <v>13</v>
      </c>
      <c r="F26219" s="4" t="s">
        <v>13</v>
      </c>
      <c r="G26219" s="4" t="s">
        <v>13</v>
      </c>
    </row>
    <row r="26220" spans="1:8">
      <c r="A26220" t="n">
        <v>253240</v>
      </c>
      <c r="B26220" s="36" t="n">
        <v>46</v>
      </c>
      <c r="C26220" s="7" t="n">
        <v>5</v>
      </c>
      <c r="D26220" s="7" t="n">
        <v>-3.16000008583069</v>
      </c>
      <c r="E26220" s="7" t="n">
        <v>5.01000022888184</v>
      </c>
      <c r="F26220" s="7" t="n">
        <v>31.7900009155273</v>
      </c>
      <c r="G26220" s="7" t="n">
        <v>90</v>
      </c>
    </row>
    <row r="26221" spans="1:8">
      <c r="A26221" t="s">
        <v>4</v>
      </c>
      <c r="B26221" s="4" t="s">
        <v>5</v>
      </c>
      <c r="C26221" s="4" t="s">
        <v>7</v>
      </c>
      <c r="D26221" s="4" t="s">
        <v>7</v>
      </c>
      <c r="E26221" s="4" t="s">
        <v>13</v>
      </c>
      <c r="F26221" s="4" t="s">
        <v>13</v>
      </c>
      <c r="G26221" s="4" t="s">
        <v>13</v>
      </c>
      <c r="H26221" s="4" t="s">
        <v>11</v>
      </c>
    </row>
    <row r="26222" spans="1:8">
      <c r="A26222" t="n">
        <v>253259</v>
      </c>
      <c r="B26222" s="51" t="n">
        <v>45</v>
      </c>
      <c r="C26222" s="7" t="n">
        <v>2</v>
      </c>
      <c r="D26222" s="7" t="n">
        <v>3</v>
      </c>
      <c r="E26222" s="7" t="n">
        <v>6.82000017166138</v>
      </c>
      <c r="F26222" s="7" t="n">
        <v>6.17999982833862</v>
      </c>
      <c r="G26222" s="7" t="n">
        <v>32.2799987792969</v>
      </c>
      <c r="H26222" s="7" t="n">
        <v>0</v>
      </c>
    </row>
    <row r="26223" spans="1:8">
      <c r="A26223" t="s">
        <v>4</v>
      </c>
      <c r="B26223" s="4" t="s">
        <v>5</v>
      </c>
      <c r="C26223" s="4" t="s">
        <v>7</v>
      </c>
      <c r="D26223" s="4" t="s">
        <v>7</v>
      </c>
      <c r="E26223" s="4" t="s">
        <v>13</v>
      </c>
      <c r="F26223" s="4" t="s">
        <v>13</v>
      </c>
      <c r="G26223" s="4" t="s">
        <v>13</v>
      </c>
      <c r="H26223" s="4" t="s">
        <v>11</v>
      </c>
      <c r="I26223" s="4" t="s">
        <v>7</v>
      </c>
    </row>
    <row r="26224" spans="1:8">
      <c r="A26224" t="n">
        <v>253276</v>
      </c>
      <c r="B26224" s="51" t="n">
        <v>45</v>
      </c>
      <c r="C26224" s="7" t="n">
        <v>4</v>
      </c>
      <c r="D26224" s="7" t="n">
        <v>3</v>
      </c>
      <c r="E26224" s="7" t="n">
        <v>358.239990234375</v>
      </c>
      <c r="F26224" s="7" t="n">
        <v>344.200012207031</v>
      </c>
      <c r="G26224" s="7" t="n">
        <v>0</v>
      </c>
      <c r="H26224" s="7" t="n">
        <v>0</v>
      </c>
      <c r="I26224" s="7" t="n">
        <v>0</v>
      </c>
    </row>
    <row r="26225" spans="1:9">
      <c r="A26225" t="s">
        <v>4</v>
      </c>
      <c r="B26225" s="4" t="s">
        <v>5</v>
      </c>
      <c r="C26225" s="4" t="s">
        <v>7</v>
      </c>
      <c r="D26225" s="4" t="s">
        <v>7</v>
      </c>
      <c r="E26225" s="4" t="s">
        <v>13</v>
      </c>
      <c r="F26225" s="4" t="s">
        <v>11</v>
      </c>
    </row>
    <row r="26226" spans="1:9">
      <c r="A26226" t="n">
        <v>253294</v>
      </c>
      <c r="B26226" s="51" t="n">
        <v>45</v>
      </c>
      <c r="C26226" s="7" t="n">
        <v>5</v>
      </c>
      <c r="D26226" s="7" t="n">
        <v>3</v>
      </c>
      <c r="E26226" s="7" t="n">
        <v>3.40000009536743</v>
      </c>
      <c r="F26226" s="7" t="n">
        <v>0</v>
      </c>
    </row>
    <row r="26227" spans="1:9">
      <c r="A26227" t="s">
        <v>4</v>
      </c>
      <c r="B26227" s="4" t="s">
        <v>5</v>
      </c>
      <c r="C26227" s="4" t="s">
        <v>7</v>
      </c>
      <c r="D26227" s="4" t="s">
        <v>7</v>
      </c>
      <c r="E26227" s="4" t="s">
        <v>13</v>
      </c>
      <c r="F26227" s="4" t="s">
        <v>11</v>
      </c>
    </row>
    <row r="26228" spans="1:9">
      <c r="A26228" t="n">
        <v>253303</v>
      </c>
      <c r="B26228" s="51" t="n">
        <v>45</v>
      </c>
      <c r="C26228" s="7" t="n">
        <v>11</v>
      </c>
      <c r="D26228" s="7" t="n">
        <v>3</v>
      </c>
      <c r="E26228" s="7" t="n">
        <v>40.2999992370605</v>
      </c>
      <c r="F26228" s="7" t="n">
        <v>0</v>
      </c>
    </row>
    <row r="26229" spans="1:9">
      <c r="A26229" t="s">
        <v>4</v>
      </c>
      <c r="B26229" s="4" t="s">
        <v>5</v>
      </c>
      <c r="C26229" s="4" t="s">
        <v>7</v>
      </c>
      <c r="D26229" s="4" t="s">
        <v>7</v>
      </c>
      <c r="E26229" s="4" t="s">
        <v>13</v>
      </c>
      <c r="F26229" s="4" t="s">
        <v>13</v>
      </c>
      <c r="G26229" s="4" t="s">
        <v>13</v>
      </c>
      <c r="H26229" s="4" t="s">
        <v>11</v>
      </c>
    </row>
    <row r="26230" spans="1:9">
      <c r="A26230" t="n">
        <v>253312</v>
      </c>
      <c r="B26230" s="51" t="n">
        <v>45</v>
      </c>
      <c r="C26230" s="7" t="n">
        <v>2</v>
      </c>
      <c r="D26230" s="7" t="n">
        <v>3</v>
      </c>
      <c r="E26230" s="7" t="n">
        <v>-2.55999994277954</v>
      </c>
      <c r="F26230" s="7" t="n">
        <v>6.17999982833862</v>
      </c>
      <c r="G26230" s="7" t="n">
        <v>32.1800003051758</v>
      </c>
      <c r="H26230" s="7" t="n">
        <v>6000</v>
      </c>
    </row>
    <row r="26231" spans="1:9">
      <c r="A26231" t="s">
        <v>4</v>
      </c>
      <c r="B26231" s="4" t="s">
        <v>5</v>
      </c>
      <c r="C26231" s="4" t="s">
        <v>7</v>
      </c>
      <c r="D26231" s="4" t="s">
        <v>7</v>
      </c>
      <c r="E26231" s="4" t="s">
        <v>13</v>
      </c>
      <c r="F26231" s="4" t="s">
        <v>13</v>
      </c>
      <c r="G26231" s="4" t="s">
        <v>13</v>
      </c>
      <c r="H26231" s="4" t="s">
        <v>11</v>
      </c>
      <c r="I26231" s="4" t="s">
        <v>7</v>
      </c>
    </row>
    <row r="26232" spans="1:9">
      <c r="A26232" t="n">
        <v>253329</v>
      </c>
      <c r="B26232" s="51" t="n">
        <v>45</v>
      </c>
      <c r="C26232" s="7" t="n">
        <v>4</v>
      </c>
      <c r="D26232" s="7" t="n">
        <v>3</v>
      </c>
      <c r="E26232" s="7" t="n">
        <v>12.2700004577637</v>
      </c>
      <c r="F26232" s="7" t="n">
        <v>75.7099990844727</v>
      </c>
      <c r="G26232" s="7" t="n">
        <v>0</v>
      </c>
      <c r="H26232" s="7" t="n">
        <v>6000</v>
      </c>
      <c r="I26232" s="7" t="n">
        <v>1</v>
      </c>
    </row>
    <row r="26233" spans="1:9">
      <c r="A26233" t="s">
        <v>4</v>
      </c>
      <c r="B26233" s="4" t="s">
        <v>5</v>
      </c>
      <c r="C26233" s="4" t="s">
        <v>7</v>
      </c>
      <c r="D26233" s="4" t="s">
        <v>7</v>
      </c>
      <c r="E26233" s="4" t="s">
        <v>13</v>
      </c>
      <c r="F26233" s="4" t="s">
        <v>11</v>
      </c>
    </row>
    <row r="26234" spans="1:9">
      <c r="A26234" t="n">
        <v>253347</v>
      </c>
      <c r="B26234" s="51" t="n">
        <v>45</v>
      </c>
      <c r="C26234" s="7" t="n">
        <v>5</v>
      </c>
      <c r="D26234" s="7" t="n">
        <v>3</v>
      </c>
      <c r="E26234" s="7" t="n">
        <v>2.70000004768372</v>
      </c>
      <c r="F26234" s="7" t="n">
        <v>6000</v>
      </c>
    </row>
    <row r="26235" spans="1:9">
      <c r="A26235" t="s">
        <v>4</v>
      </c>
      <c r="B26235" s="4" t="s">
        <v>5</v>
      </c>
      <c r="C26235" s="4" t="s">
        <v>7</v>
      </c>
      <c r="D26235" s="4" t="s">
        <v>11</v>
      </c>
      <c r="E26235" s="4" t="s">
        <v>13</v>
      </c>
    </row>
    <row r="26236" spans="1:9">
      <c r="A26236" t="n">
        <v>253356</v>
      </c>
      <c r="B26236" s="23" t="n">
        <v>58</v>
      </c>
      <c r="C26236" s="7" t="n">
        <v>100</v>
      </c>
      <c r="D26236" s="7" t="n">
        <v>1000</v>
      </c>
      <c r="E26236" s="7" t="n">
        <v>1</v>
      </c>
    </row>
    <row r="26237" spans="1:9">
      <c r="A26237" t="s">
        <v>4</v>
      </c>
      <c r="B26237" s="4" t="s">
        <v>5</v>
      </c>
      <c r="C26237" s="4" t="s">
        <v>7</v>
      </c>
      <c r="D26237" s="4" t="s">
        <v>11</v>
      </c>
    </row>
    <row r="26238" spans="1:9">
      <c r="A26238" t="n">
        <v>253364</v>
      </c>
      <c r="B26238" s="23" t="n">
        <v>58</v>
      </c>
      <c r="C26238" s="7" t="n">
        <v>255</v>
      </c>
      <c r="D26238" s="7" t="n">
        <v>0</v>
      </c>
    </row>
    <row r="26239" spans="1:9">
      <c r="A26239" t="s">
        <v>4</v>
      </c>
      <c r="B26239" s="4" t="s">
        <v>5</v>
      </c>
      <c r="C26239" s="4" t="s">
        <v>8</v>
      </c>
      <c r="D26239" s="4" t="s">
        <v>8</v>
      </c>
    </row>
    <row r="26240" spans="1:9">
      <c r="A26240" t="n">
        <v>253368</v>
      </c>
      <c r="B26240" s="52" t="n">
        <v>70</v>
      </c>
      <c r="C26240" s="7" t="s">
        <v>24</v>
      </c>
      <c r="D26240" s="7" t="s">
        <v>109</v>
      </c>
    </row>
    <row r="26241" spans="1:9">
      <c r="A26241" t="s">
        <v>4</v>
      </c>
      <c r="B26241" s="4" t="s">
        <v>5</v>
      </c>
      <c r="C26241" s="4" t="s">
        <v>11</v>
      </c>
    </row>
    <row r="26242" spans="1:9">
      <c r="A26242" t="n">
        <v>253385</v>
      </c>
      <c r="B26242" s="29" t="n">
        <v>16</v>
      </c>
      <c r="C26242" s="7" t="n">
        <v>4000</v>
      </c>
    </row>
    <row r="26243" spans="1:9">
      <c r="A26243" t="s">
        <v>4</v>
      </c>
      <c r="B26243" s="4" t="s">
        <v>5</v>
      </c>
      <c r="C26243" s="4" t="s">
        <v>11</v>
      </c>
      <c r="D26243" s="4" t="s">
        <v>7</v>
      </c>
      <c r="E26243" s="4" t="s">
        <v>13</v>
      </c>
      <c r="F26243" s="4" t="s">
        <v>11</v>
      </c>
    </row>
    <row r="26244" spans="1:9">
      <c r="A26244" t="n">
        <v>253388</v>
      </c>
      <c r="B26244" s="56" t="n">
        <v>59</v>
      </c>
      <c r="C26244" s="7" t="n">
        <v>0</v>
      </c>
      <c r="D26244" s="7" t="n">
        <v>9</v>
      </c>
      <c r="E26244" s="7" t="n">
        <v>0.150000005960464</v>
      </c>
      <c r="F26244" s="7" t="n">
        <v>0</v>
      </c>
    </row>
    <row r="26245" spans="1:9">
      <c r="A26245" t="s">
        <v>4</v>
      </c>
      <c r="B26245" s="4" t="s">
        <v>5</v>
      </c>
      <c r="C26245" s="4" t="s">
        <v>11</v>
      </c>
    </row>
    <row r="26246" spans="1:9">
      <c r="A26246" t="n">
        <v>253398</v>
      </c>
      <c r="B26246" s="29" t="n">
        <v>16</v>
      </c>
      <c r="C26246" s="7" t="n">
        <v>1800</v>
      </c>
    </row>
    <row r="26247" spans="1:9">
      <c r="A26247" t="s">
        <v>4</v>
      </c>
      <c r="B26247" s="4" t="s">
        <v>5</v>
      </c>
      <c r="C26247" s="4" t="s">
        <v>7</v>
      </c>
      <c r="D26247" s="4" t="s">
        <v>11</v>
      </c>
    </row>
    <row r="26248" spans="1:9">
      <c r="A26248" t="n">
        <v>253401</v>
      </c>
      <c r="B26248" s="51" t="n">
        <v>45</v>
      </c>
      <c r="C26248" s="7" t="n">
        <v>7</v>
      </c>
      <c r="D26248" s="7" t="n">
        <v>255</v>
      </c>
    </row>
    <row r="26249" spans="1:9">
      <c r="A26249" t="s">
        <v>4</v>
      </c>
      <c r="B26249" s="4" t="s">
        <v>5</v>
      </c>
      <c r="C26249" s="4" t="s">
        <v>7</v>
      </c>
      <c r="D26249" s="4" t="s">
        <v>11</v>
      </c>
      <c r="E26249" s="4" t="s">
        <v>13</v>
      </c>
    </row>
    <row r="26250" spans="1:9">
      <c r="A26250" t="n">
        <v>253405</v>
      </c>
      <c r="B26250" s="23" t="n">
        <v>58</v>
      </c>
      <c r="C26250" s="7" t="n">
        <v>0</v>
      </c>
      <c r="D26250" s="7" t="n">
        <v>1000</v>
      </c>
      <c r="E26250" s="7" t="n">
        <v>1</v>
      </c>
    </row>
    <row r="26251" spans="1:9">
      <c r="A26251" t="s">
        <v>4</v>
      </c>
      <c r="B26251" s="4" t="s">
        <v>5</v>
      </c>
      <c r="C26251" s="4" t="s">
        <v>7</v>
      </c>
      <c r="D26251" s="4" t="s">
        <v>11</v>
      </c>
    </row>
    <row r="26252" spans="1:9">
      <c r="A26252" t="n">
        <v>253413</v>
      </c>
      <c r="B26252" s="23" t="n">
        <v>58</v>
      </c>
      <c r="C26252" s="7" t="n">
        <v>255</v>
      </c>
      <c r="D26252" s="7" t="n">
        <v>0</v>
      </c>
    </row>
    <row r="26253" spans="1:9">
      <c r="A26253" t="s">
        <v>4</v>
      </c>
      <c r="B26253" s="4" t="s">
        <v>5</v>
      </c>
      <c r="C26253" s="4" t="s">
        <v>8</v>
      </c>
      <c r="D26253" s="4" t="s">
        <v>8</v>
      </c>
    </row>
    <row r="26254" spans="1:9">
      <c r="A26254" t="n">
        <v>253417</v>
      </c>
      <c r="B26254" s="52" t="n">
        <v>70</v>
      </c>
      <c r="C26254" s="7" t="s">
        <v>24</v>
      </c>
      <c r="D26254" s="7" t="s">
        <v>118</v>
      </c>
    </row>
    <row r="26255" spans="1:9">
      <c r="A26255" t="s">
        <v>4</v>
      </c>
      <c r="B26255" s="4" t="s">
        <v>5</v>
      </c>
      <c r="C26255" s="4" t="s">
        <v>11</v>
      </c>
      <c r="D26255" s="4" t="s">
        <v>13</v>
      </c>
      <c r="E26255" s="4" t="s">
        <v>13</v>
      </c>
      <c r="F26255" s="4" t="s">
        <v>13</v>
      </c>
      <c r="G26255" s="4" t="s">
        <v>13</v>
      </c>
    </row>
    <row r="26256" spans="1:9">
      <c r="A26256" t="n">
        <v>253433</v>
      </c>
      <c r="B26256" s="36" t="n">
        <v>46</v>
      </c>
      <c r="C26256" s="7" t="n">
        <v>0</v>
      </c>
      <c r="D26256" s="7" t="n">
        <v>-10.9899997711182</v>
      </c>
      <c r="E26256" s="7" t="n">
        <v>5.01000022888184</v>
      </c>
      <c r="F26256" s="7" t="n">
        <v>32.4300003051758</v>
      </c>
      <c r="G26256" s="7" t="n">
        <v>270</v>
      </c>
    </row>
    <row r="26257" spans="1:7">
      <c r="A26257" t="s">
        <v>4</v>
      </c>
      <c r="B26257" s="4" t="s">
        <v>5</v>
      </c>
      <c r="C26257" s="4" t="s">
        <v>11</v>
      </c>
      <c r="D26257" s="4" t="s">
        <v>13</v>
      </c>
      <c r="E26257" s="4" t="s">
        <v>13</v>
      </c>
      <c r="F26257" s="4" t="s">
        <v>13</v>
      </c>
      <c r="G26257" s="4" t="s">
        <v>13</v>
      </c>
    </row>
    <row r="26258" spans="1:7">
      <c r="A26258" t="n">
        <v>253452</v>
      </c>
      <c r="B26258" s="36" t="n">
        <v>46</v>
      </c>
      <c r="C26258" s="7" t="n">
        <v>5</v>
      </c>
      <c r="D26258" s="7" t="n">
        <v>-10.5500001907349</v>
      </c>
      <c r="E26258" s="7" t="n">
        <v>5.01000022888184</v>
      </c>
      <c r="F26258" s="7" t="n">
        <v>31.5499992370605</v>
      </c>
      <c r="G26258" s="7" t="n">
        <v>270</v>
      </c>
    </row>
    <row r="26259" spans="1:7">
      <c r="A26259" t="s">
        <v>4</v>
      </c>
      <c r="B26259" s="4" t="s">
        <v>5</v>
      </c>
      <c r="C26259" s="4" t="s">
        <v>7</v>
      </c>
      <c r="D26259" s="4" t="s">
        <v>7</v>
      </c>
      <c r="E26259" s="4" t="s">
        <v>13</v>
      </c>
      <c r="F26259" s="4" t="s">
        <v>13</v>
      </c>
      <c r="G26259" s="4" t="s">
        <v>13</v>
      </c>
      <c r="H26259" s="4" t="s">
        <v>11</v>
      </c>
    </row>
    <row r="26260" spans="1:7">
      <c r="A26260" t="n">
        <v>253471</v>
      </c>
      <c r="B26260" s="51" t="n">
        <v>45</v>
      </c>
      <c r="C26260" s="7" t="n">
        <v>2</v>
      </c>
      <c r="D26260" s="7" t="n">
        <v>3</v>
      </c>
      <c r="E26260" s="7" t="n">
        <v>-14.1199998855591</v>
      </c>
      <c r="F26260" s="7" t="n">
        <v>6.75</v>
      </c>
      <c r="G26260" s="7" t="n">
        <v>31.9300003051758</v>
      </c>
      <c r="H26260" s="7" t="n">
        <v>0</v>
      </c>
    </row>
    <row r="26261" spans="1:7">
      <c r="A26261" t="s">
        <v>4</v>
      </c>
      <c r="B26261" s="4" t="s">
        <v>5</v>
      </c>
      <c r="C26261" s="4" t="s">
        <v>7</v>
      </c>
      <c r="D26261" s="4" t="s">
        <v>7</v>
      </c>
      <c r="E26261" s="4" t="s">
        <v>13</v>
      </c>
      <c r="F26261" s="4" t="s">
        <v>13</v>
      </c>
      <c r="G26261" s="4" t="s">
        <v>13</v>
      </c>
      <c r="H26261" s="4" t="s">
        <v>11</v>
      </c>
      <c r="I26261" s="4" t="s">
        <v>7</v>
      </c>
    </row>
    <row r="26262" spans="1:7">
      <c r="A26262" t="n">
        <v>253488</v>
      </c>
      <c r="B26262" s="51" t="n">
        <v>45</v>
      </c>
      <c r="C26262" s="7" t="n">
        <v>4</v>
      </c>
      <c r="D26262" s="7" t="n">
        <v>3</v>
      </c>
      <c r="E26262" s="7" t="n">
        <v>7.63000011444092</v>
      </c>
      <c r="F26262" s="7" t="n">
        <v>90</v>
      </c>
      <c r="G26262" s="7" t="n">
        <v>0</v>
      </c>
      <c r="H26262" s="7" t="n">
        <v>0</v>
      </c>
      <c r="I26262" s="7" t="n">
        <v>0</v>
      </c>
    </row>
    <row r="26263" spans="1:7">
      <c r="A26263" t="s">
        <v>4</v>
      </c>
      <c r="B26263" s="4" t="s">
        <v>5</v>
      </c>
      <c r="C26263" s="4" t="s">
        <v>7</v>
      </c>
      <c r="D26263" s="4" t="s">
        <v>7</v>
      </c>
      <c r="E26263" s="4" t="s">
        <v>13</v>
      </c>
      <c r="F26263" s="4" t="s">
        <v>11</v>
      </c>
    </row>
    <row r="26264" spans="1:7">
      <c r="A26264" t="n">
        <v>253506</v>
      </c>
      <c r="B26264" s="51" t="n">
        <v>45</v>
      </c>
      <c r="C26264" s="7" t="n">
        <v>5</v>
      </c>
      <c r="D26264" s="7" t="n">
        <v>3</v>
      </c>
      <c r="E26264" s="7" t="n">
        <v>2.09999990463257</v>
      </c>
      <c r="F26264" s="7" t="n">
        <v>0</v>
      </c>
    </row>
    <row r="26265" spans="1:7">
      <c r="A26265" t="s">
        <v>4</v>
      </c>
      <c r="B26265" s="4" t="s">
        <v>5</v>
      </c>
      <c r="C26265" s="4" t="s">
        <v>7</v>
      </c>
      <c r="D26265" s="4" t="s">
        <v>7</v>
      </c>
      <c r="E26265" s="4" t="s">
        <v>13</v>
      </c>
      <c r="F26265" s="4" t="s">
        <v>11</v>
      </c>
    </row>
    <row r="26266" spans="1:7">
      <c r="A26266" t="n">
        <v>253515</v>
      </c>
      <c r="B26266" s="51" t="n">
        <v>45</v>
      </c>
      <c r="C26266" s="7" t="n">
        <v>11</v>
      </c>
      <c r="D26266" s="7" t="n">
        <v>3</v>
      </c>
      <c r="E26266" s="7" t="n">
        <v>40.2999992370605</v>
      </c>
      <c r="F26266" s="7" t="n">
        <v>0</v>
      </c>
    </row>
    <row r="26267" spans="1:7">
      <c r="A26267" t="s">
        <v>4</v>
      </c>
      <c r="B26267" s="4" t="s">
        <v>5</v>
      </c>
      <c r="C26267" s="4" t="s">
        <v>7</v>
      </c>
      <c r="D26267" s="4" t="s">
        <v>7</v>
      </c>
      <c r="E26267" s="4" t="s">
        <v>13</v>
      </c>
      <c r="F26267" s="4" t="s">
        <v>13</v>
      </c>
      <c r="G26267" s="4" t="s">
        <v>13</v>
      </c>
      <c r="H26267" s="4" t="s">
        <v>11</v>
      </c>
    </row>
    <row r="26268" spans="1:7">
      <c r="A26268" t="n">
        <v>253524</v>
      </c>
      <c r="B26268" s="51" t="n">
        <v>45</v>
      </c>
      <c r="C26268" s="7" t="n">
        <v>2</v>
      </c>
      <c r="D26268" s="7" t="n">
        <v>3</v>
      </c>
      <c r="E26268" s="7" t="n">
        <v>-9.10000038146973</v>
      </c>
      <c r="F26268" s="7" t="n">
        <v>6.75</v>
      </c>
      <c r="G26268" s="7" t="n">
        <v>31.9699993133545</v>
      </c>
      <c r="H26268" s="7" t="n">
        <v>6000</v>
      </c>
    </row>
    <row r="26269" spans="1:7">
      <c r="A26269" t="s">
        <v>4</v>
      </c>
      <c r="B26269" s="4" t="s">
        <v>5</v>
      </c>
      <c r="C26269" s="4" t="s">
        <v>7</v>
      </c>
      <c r="D26269" s="4" t="s">
        <v>7</v>
      </c>
      <c r="E26269" s="4" t="s">
        <v>13</v>
      </c>
      <c r="F26269" s="4" t="s">
        <v>13</v>
      </c>
      <c r="G26269" s="4" t="s">
        <v>13</v>
      </c>
      <c r="H26269" s="4" t="s">
        <v>11</v>
      </c>
      <c r="I26269" s="4" t="s">
        <v>7</v>
      </c>
    </row>
    <row r="26270" spans="1:7">
      <c r="A26270" t="n">
        <v>253541</v>
      </c>
      <c r="B26270" s="51" t="n">
        <v>45</v>
      </c>
      <c r="C26270" s="7" t="n">
        <v>4</v>
      </c>
      <c r="D26270" s="7" t="n">
        <v>3</v>
      </c>
      <c r="E26270" s="7" t="n">
        <v>0.0299999993294477</v>
      </c>
      <c r="F26270" s="7" t="n">
        <v>90</v>
      </c>
      <c r="G26270" s="7" t="n">
        <v>0</v>
      </c>
      <c r="H26270" s="7" t="n">
        <v>6000</v>
      </c>
      <c r="I26270" s="7" t="n">
        <v>0</v>
      </c>
    </row>
    <row r="26271" spans="1:7">
      <c r="A26271" t="s">
        <v>4</v>
      </c>
      <c r="B26271" s="4" t="s">
        <v>5</v>
      </c>
      <c r="C26271" s="4" t="s">
        <v>7</v>
      </c>
      <c r="D26271" s="4" t="s">
        <v>7</v>
      </c>
      <c r="E26271" s="4" t="s">
        <v>13</v>
      </c>
      <c r="F26271" s="4" t="s">
        <v>11</v>
      </c>
    </row>
    <row r="26272" spans="1:7">
      <c r="A26272" t="n">
        <v>253559</v>
      </c>
      <c r="B26272" s="51" t="n">
        <v>45</v>
      </c>
      <c r="C26272" s="7" t="n">
        <v>5</v>
      </c>
      <c r="D26272" s="7" t="n">
        <v>3</v>
      </c>
      <c r="E26272" s="7" t="n">
        <v>1.79999995231628</v>
      </c>
      <c r="F26272" s="7" t="n">
        <v>6000</v>
      </c>
    </row>
    <row r="26273" spans="1:9">
      <c r="A26273" t="s">
        <v>4</v>
      </c>
      <c r="B26273" s="4" t="s">
        <v>5</v>
      </c>
      <c r="C26273" s="4" t="s">
        <v>8</v>
      </c>
      <c r="D26273" s="4" t="s">
        <v>8</v>
      </c>
    </row>
    <row r="26274" spans="1:9">
      <c r="A26274" t="n">
        <v>253568</v>
      </c>
      <c r="B26274" s="52" t="n">
        <v>70</v>
      </c>
      <c r="C26274" s="7" t="s">
        <v>25</v>
      </c>
      <c r="D26274" s="7" t="s">
        <v>109</v>
      </c>
    </row>
    <row r="26275" spans="1:9">
      <c r="A26275" t="s">
        <v>4</v>
      </c>
      <c r="B26275" s="4" t="s">
        <v>5</v>
      </c>
      <c r="C26275" s="4" t="s">
        <v>7</v>
      </c>
      <c r="D26275" s="4" t="s">
        <v>11</v>
      </c>
      <c r="E26275" s="4" t="s">
        <v>13</v>
      </c>
    </row>
    <row r="26276" spans="1:9">
      <c r="A26276" t="n">
        <v>253585</v>
      </c>
      <c r="B26276" s="23" t="n">
        <v>58</v>
      </c>
      <c r="C26276" s="7" t="n">
        <v>100</v>
      </c>
      <c r="D26276" s="7" t="n">
        <v>1000</v>
      </c>
      <c r="E26276" s="7" t="n">
        <v>1</v>
      </c>
    </row>
    <row r="26277" spans="1:9">
      <c r="A26277" t="s">
        <v>4</v>
      </c>
      <c r="B26277" s="4" t="s">
        <v>5</v>
      </c>
      <c r="C26277" s="4" t="s">
        <v>7</v>
      </c>
      <c r="D26277" s="4" t="s">
        <v>11</v>
      </c>
    </row>
    <row r="26278" spans="1:9">
      <c r="A26278" t="n">
        <v>253593</v>
      </c>
      <c r="B26278" s="23" t="n">
        <v>58</v>
      </c>
      <c r="C26278" s="7" t="n">
        <v>255</v>
      </c>
      <c r="D26278" s="7" t="n">
        <v>0</v>
      </c>
    </row>
    <row r="26279" spans="1:9">
      <c r="A26279" t="s">
        <v>4</v>
      </c>
      <c r="B26279" s="4" t="s">
        <v>5</v>
      </c>
      <c r="C26279" s="4" t="s">
        <v>7</v>
      </c>
      <c r="D26279" s="4" t="s">
        <v>8</v>
      </c>
      <c r="E26279" s="4" t="s">
        <v>11</v>
      </c>
    </row>
    <row r="26280" spans="1:9">
      <c r="A26280" t="n">
        <v>253597</v>
      </c>
      <c r="B26280" s="15" t="n">
        <v>94</v>
      </c>
      <c r="C26280" s="7" t="n">
        <v>1</v>
      </c>
      <c r="D26280" s="7" t="s">
        <v>25</v>
      </c>
      <c r="E26280" s="7" t="n">
        <v>512</v>
      </c>
    </row>
    <row r="26281" spans="1:9">
      <c r="A26281" t="s">
        <v>4</v>
      </c>
      <c r="B26281" s="4" t="s">
        <v>5</v>
      </c>
      <c r="C26281" s="4" t="s">
        <v>11</v>
      </c>
    </row>
    <row r="26282" spans="1:9">
      <c r="A26282" t="n">
        <v>253611</v>
      </c>
      <c r="B26282" s="29" t="n">
        <v>16</v>
      </c>
      <c r="C26282" s="7" t="n">
        <v>4000</v>
      </c>
    </row>
    <row r="26283" spans="1:9">
      <c r="A26283" t="s">
        <v>4</v>
      </c>
      <c r="B26283" s="4" t="s">
        <v>5</v>
      </c>
      <c r="C26283" s="4" t="s">
        <v>11</v>
      </c>
      <c r="D26283" s="4" t="s">
        <v>7</v>
      </c>
      <c r="E26283" s="4" t="s">
        <v>13</v>
      </c>
      <c r="F26283" s="4" t="s">
        <v>11</v>
      </c>
    </row>
    <row r="26284" spans="1:9">
      <c r="A26284" t="n">
        <v>253614</v>
      </c>
      <c r="B26284" s="56" t="n">
        <v>59</v>
      </c>
      <c r="C26284" s="7" t="n">
        <v>0</v>
      </c>
      <c r="D26284" s="7" t="n">
        <v>9</v>
      </c>
      <c r="E26284" s="7" t="n">
        <v>0.150000005960464</v>
      </c>
      <c r="F26284" s="7" t="n">
        <v>0</v>
      </c>
    </row>
    <row r="26285" spans="1:9">
      <c r="A26285" t="s">
        <v>4</v>
      </c>
      <c r="B26285" s="4" t="s">
        <v>5</v>
      </c>
      <c r="C26285" s="4" t="s">
        <v>11</v>
      </c>
      <c r="D26285" s="4" t="s">
        <v>7</v>
      </c>
      <c r="E26285" s="4" t="s">
        <v>13</v>
      </c>
      <c r="F26285" s="4" t="s">
        <v>11</v>
      </c>
    </row>
    <row r="26286" spans="1:9">
      <c r="A26286" t="n">
        <v>253624</v>
      </c>
      <c r="B26286" s="56" t="n">
        <v>59</v>
      </c>
      <c r="C26286" s="7" t="n">
        <v>5</v>
      </c>
      <c r="D26286" s="7" t="n">
        <v>9</v>
      </c>
      <c r="E26286" s="7" t="n">
        <v>0.150000005960464</v>
      </c>
      <c r="F26286" s="7" t="n">
        <v>0</v>
      </c>
    </row>
    <row r="26287" spans="1:9">
      <c r="A26287" t="s">
        <v>4</v>
      </c>
      <c r="B26287" s="4" t="s">
        <v>5</v>
      </c>
      <c r="C26287" s="4" t="s">
        <v>11</v>
      </c>
    </row>
    <row r="26288" spans="1:9">
      <c r="A26288" t="n">
        <v>253634</v>
      </c>
      <c r="B26288" s="29" t="n">
        <v>16</v>
      </c>
      <c r="C26288" s="7" t="n">
        <v>1500</v>
      </c>
    </row>
    <row r="26289" spans="1:6">
      <c r="A26289" t="s">
        <v>4</v>
      </c>
      <c r="B26289" s="4" t="s">
        <v>5</v>
      </c>
      <c r="C26289" s="4" t="s">
        <v>7</v>
      </c>
      <c r="D26289" s="4" t="s">
        <v>11</v>
      </c>
    </row>
    <row r="26290" spans="1:6">
      <c r="A26290" t="n">
        <v>253637</v>
      </c>
      <c r="B26290" s="51" t="n">
        <v>45</v>
      </c>
      <c r="C26290" s="7" t="n">
        <v>7</v>
      </c>
      <c r="D26290" s="7" t="n">
        <v>255</v>
      </c>
    </row>
    <row r="26291" spans="1:6">
      <c r="A26291" t="s">
        <v>4</v>
      </c>
      <c r="B26291" s="4" t="s">
        <v>5</v>
      </c>
      <c r="C26291" s="4" t="s">
        <v>7</v>
      </c>
      <c r="D26291" s="4" t="s">
        <v>11</v>
      </c>
      <c r="E26291" s="4" t="s">
        <v>13</v>
      </c>
    </row>
    <row r="26292" spans="1:6">
      <c r="A26292" t="n">
        <v>253641</v>
      </c>
      <c r="B26292" s="23" t="n">
        <v>58</v>
      </c>
      <c r="C26292" s="7" t="n">
        <v>0</v>
      </c>
      <c r="D26292" s="7" t="n">
        <v>2000</v>
      </c>
      <c r="E26292" s="7" t="n">
        <v>1</v>
      </c>
    </row>
    <row r="26293" spans="1:6">
      <c r="A26293" t="s">
        <v>4</v>
      </c>
      <c r="B26293" s="4" t="s">
        <v>5</v>
      </c>
      <c r="C26293" s="4" t="s">
        <v>7</v>
      </c>
      <c r="D26293" s="4" t="s">
        <v>11</v>
      </c>
    </row>
    <row r="26294" spans="1:6">
      <c r="A26294" t="n">
        <v>253649</v>
      </c>
      <c r="B26294" s="23" t="n">
        <v>58</v>
      </c>
      <c r="C26294" s="7" t="n">
        <v>255</v>
      </c>
      <c r="D26294" s="7" t="n">
        <v>0</v>
      </c>
    </row>
    <row r="26295" spans="1:6">
      <c r="A26295" t="s">
        <v>4</v>
      </c>
      <c r="B26295" s="4" t="s">
        <v>5</v>
      </c>
      <c r="C26295" s="4" t="s">
        <v>7</v>
      </c>
      <c r="D26295" s="4" t="s">
        <v>7</v>
      </c>
      <c r="E26295" s="4" t="s">
        <v>13</v>
      </c>
      <c r="F26295" s="4" t="s">
        <v>13</v>
      </c>
      <c r="G26295" s="4" t="s">
        <v>13</v>
      </c>
      <c r="H26295" s="4" t="s">
        <v>11</v>
      </c>
    </row>
    <row r="26296" spans="1:6">
      <c r="A26296" t="n">
        <v>253653</v>
      </c>
      <c r="B26296" s="51" t="n">
        <v>45</v>
      </c>
      <c r="C26296" s="7" t="n">
        <v>2</v>
      </c>
      <c r="D26296" s="7" t="n">
        <v>3</v>
      </c>
      <c r="E26296" s="7" t="n">
        <v>-7.84000015258789</v>
      </c>
      <c r="F26296" s="7" t="n">
        <v>7.17000007629395</v>
      </c>
      <c r="G26296" s="7" t="n">
        <v>31.6599998474121</v>
      </c>
      <c r="H26296" s="7" t="n">
        <v>0</v>
      </c>
    </row>
    <row r="26297" spans="1:6">
      <c r="A26297" t="s">
        <v>4</v>
      </c>
      <c r="B26297" s="4" t="s">
        <v>5</v>
      </c>
      <c r="C26297" s="4" t="s">
        <v>7</v>
      </c>
      <c r="D26297" s="4" t="s">
        <v>7</v>
      </c>
      <c r="E26297" s="4" t="s">
        <v>13</v>
      </c>
      <c r="F26297" s="4" t="s">
        <v>13</v>
      </c>
      <c r="G26297" s="4" t="s">
        <v>13</v>
      </c>
      <c r="H26297" s="4" t="s">
        <v>11</v>
      </c>
      <c r="I26297" s="4" t="s">
        <v>7</v>
      </c>
    </row>
    <row r="26298" spans="1:6">
      <c r="A26298" t="n">
        <v>253670</v>
      </c>
      <c r="B26298" s="51" t="n">
        <v>45</v>
      </c>
      <c r="C26298" s="7" t="n">
        <v>4</v>
      </c>
      <c r="D26298" s="7" t="n">
        <v>3</v>
      </c>
      <c r="E26298" s="7" t="n">
        <v>9.01000022888184</v>
      </c>
      <c r="F26298" s="7" t="n">
        <v>55.7900009155273</v>
      </c>
      <c r="G26298" s="7" t="n">
        <v>0</v>
      </c>
      <c r="H26298" s="7" t="n">
        <v>0</v>
      </c>
      <c r="I26298" s="7" t="n">
        <v>0</v>
      </c>
    </row>
    <row r="26299" spans="1:6">
      <c r="A26299" t="s">
        <v>4</v>
      </c>
      <c r="B26299" s="4" t="s">
        <v>5</v>
      </c>
      <c r="C26299" s="4" t="s">
        <v>7</v>
      </c>
      <c r="D26299" s="4" t="s">
        <v>7</v>
      </c>
      <c r="E26299" s="4" t="s">
        <v>13</v>
      </c>
      <c r="F26299" s="4" t="s">
        <v>11</v>
      </c>
    </row>
    <row r="26300" spans="1:6">
      <c r="A26300" t="n">
        <v>253688</v>
      </c>
      <c r="B26300" s="51" t="n">
        <v>45</v>
      </c>
      <c r="C26300" s="7" t="n">
        <v>5</v>
      </c>
      <c r="D26300" s="7" t="n">
        <v>3</v>
      </c>
      <c r="E26300" s="7" t="n">
        <v>2.40000009536743</v>
      </c>
      <c r="F26300" s="7" t="n">
        <v>0</v>
      </c>
    </row>
    <row r="26301" spans="1:6">
      <c r="A26301" t="s">
        <v>4</v>
      </c>
      <c r="B26301" s="4" t="s">
        <v>5</v>
      </c>
      <c r="C26301" s="4" t="s">
        <v>7</v>
      </c>
      <c r="D26301" s="4" t="s">
        <v>7</v>
      </c>
      <c r="E26301" s="4" t="s">
        <v>13</v>
      </c>
      <c r="F26301" s="4" t="s">
        <v>11</v>
      </c>
    </row>
    <row r="26302" spans="1:6">
      <c r="A26302" t="n">
        <v>253697</v>
      </c>
      <c r="B26302" s="51" t="n">
        <v>45</v>
      </c>
      <c r="C26302" s="7" t="n">
        <v>11</v>
      </c>
      <c r="D26302" s="7" t="n">
        <v>3</v>
      </c>
      <c r="E26302" s="7" t="n">
        <v>40.2999992370605</v>
      </c>
      <c r="F26302" s="7" t="n">
        <v>0</v>
      </c>
    </row>
    <row r="26303" spans="1:6">
      <c r="A26303" t="s">
        <v>4</v>
      </c>
      <c r="B26303" s="4" t="s">
        <v>5</v>
      </c>
      <c r="C26303" s="4" t="s">
        <v>7</v>
      </c>
      <c r="D26303" s="4" t="s">
        <v>7</v>
      </c>
      <c r="E26303" s="4" t="s">
        <v>13</v>
      </c>
      <c r="F26303" s="4" t="s">
        <v>13</v>
      </c>
      <c r="G26303" s="4" t="s">
        <v>13</v>
      </c>
      <c r="H26303" s="4" t="s">
        <v>11</v>
      </c>
    </row>
    <row r="26304" spans="1:6">
      <c r="A26304" t="n">
        <v>253706</v>
      </c>
      <c r="B26304" s="51" t="n">
        <v>45</v>
      </c>
      <c r="C26304" s="7" t="n">
        <v>2</v>
      </c>
      <c r="D26304" s="7" t="n">
        <v>3</v>
      </c>
      <c r="E26304" s="7" t="n">
        <v>-6.8899998664856</v>
      </c>
      <c r="F26304" s="7" t="n">
        <v>6.26999998092651</v>
      </c>
      <c r="G26304" s="7" t="n">
        <v>30.0599994659424</v>
      </c>
      <c r="H26304" s="7" t="n">
        <v>6000</v>
      </c>
    </row>
    <row r="26305" spans="1:9">
      <c r="A26305" t="s">
        <v>4</v>
      </c>
      <c r="B26305" s="4" t="s">
        <v>5</v>
      </c>
      <c r="C26305" s="4" t="s">
        <v>7</v>
      </c>
      <c r="D26305" s="4" t="s">
        <v>7</v>
      </c>
      <c r="E26305" s="4" t="s">
        <v>13</v>
      </c>
      <c r="F26305" s="4" t="s">
        <v>13</v>
      </c>
      <c r="G26305" s="4" t="s">
        <v>13</v>
      </c>
      <c r="H26305" s="4" t="s">
        <v>11</v>
      </c>
      <c r="I26305" s="4" t="s">
        <v>7</v>
      </c>
    </row>
    <row r="26306" spans="1:9">
      <c r="A26306" t="n">
        <v>253723</v>
      </c>
      <c r="B26306" s="51" t="n">
        <v>45</v>
      </c>
      <c r="C26306" s="7" t="n">
        <v>4</v>
      </c>
      <c r="D26306" s="7" t="n">
        <v>3</v>
      </c>
      <c r="E26306" s="7" t="n">
        <v>6.73999977111816</v>
      </c>
      <c r="F26306" s="7" t="n">
        <v>13.6199998855591</v>
      </c>
      <c r="G26306" s="7" t="n">
        <v>0</v>
      </c>
      <c r="H26306" s="7" t="n">
        <v>6000</v>
      </c>
      <c r="I26306" s="7" t="n">
        <v>1</v>
      </c>
    </row>
    <row r="26307" spans="1:9">
      <c r="A26307" t="s">
        <v>4</v>
      </c>
      <c r="B26307" s="4" t="s">
        <v>5</v>
      </c>
      <c r="C26307" s="4" t="s">
        <v>11</v>
      </c>
      <c r="D26307" s="4" t="s">
        <v>13</v>
      </c>
      <c r="E26307" s="4" t="s">
        <v>13</v>
      </c>
      <c r="F26307" s="4" t="s">
        <v>13</v>
      </c>
      <c r="G26307" s="4" t="s">
        <v>13</v>
      </c>
    </row>
    <row r="26308" spans="1:9">
      <c r="A26308" t="n">
        <v>253741</v>
      </c>
      <c r="B26308" s="36" t="n">
        <v>46</v>
      </c>
      <c r="C26308" s="7" t="n">
        <v>0</v>
      </c>
      <c r="D26308" s="7" t="n">
        <v>-6.51000022888184</v>
      </c>
      <c r="E26308" s="7" t="n">
        <v>5</v>
      </c>
      <c r="F26308" s="7" t="n">
        <v>29.8999996185303</v>
      </c>
      <c r="G26308" s="7" t="n">
        <v>208</v>
      </c>
    </row>
    <row r="26309" spans="1:9">
      <c r="A26309" t="s">
        <v>4</v>
      </c>
      <c r="B26309" s="4" t="s">
        <v>5</v>
      </c>
      <c r="C26309" s="4" t="s">
        <v>11</v>
      </c>
      <c r="D26309" s="4" t="s">
        <v>13</v>
      </c>
      <c r="E26309" s="4" t="s">
        <v>13</v>
      </c>
      <c r="F26309" s="4" t="s">
        <v>13</v>
      </c>
      <c r="G26309" s="4" t="s">
        <v>13</v>
      </c>
    </row>
    <row r="26310" spans="1:9">
      <c r="A26310" t="n">
        <v>253760</v>
      </c>
      <c r="B26310" s="36" t="n">
        <v>46</v>
      </c>
      <c r="C26310" s="7" t="n">
        <v>5</v>
      </c>
      <c r="D26310" s="7" t="n">
        <v>-7.44999980926514</v>
      </c>
      <c r="E26310" s="7" t="n">
        <v>5</v>
      </c>
      <c r="F26310" s="7" t="n">
        <v>29.7999992370605</v>
      </c>
      <c r="G26310" s="7" t="n">
        <v>151.199996948242</v>
      </c>
    </row>
    <row r="26311" spans="1:9">
      <c r="A26311" t="s">
        <v>4</v>
      </c>
      <c r="B26311" s="4" t="s">
        <v>5</v>
      </c>
      <c r="C26311" s="4" t="s">
        <v>11</v>
      </c>
      <c r="D26311" s="4" t="s">
        <v>11</v>
      </c>
      <c r="E26311" s="4" t="s">
        <v>11</v>
      </c>
    </row>
    <row r="26312" spans="1:9">
      <c r="A26312" t="n">
        <v>253779</v>
      </c>
      <c r="B26312" s="72" t="n">
        <v>61</v>
      </c>
      <c r="C26312" s="7" t="n">
        <v>0</v>
      </c>
      <c r="D26312" s="7" t="n">
        <v>5</v>
      </c>
      <c r="E26312" s="7" t="n">
        <v>0</v>
      </c>
    </row>
    <row r="26313" spans="1:9">
      <c r="A26313" t="s">
        <v>4</v>
      </c>
      <c r="B26313" s="4" t="s">
        <v>5</v>
      </c>
      <c r="C26313" s="4" t="s">
        <v>11</v>
      </c>
      <c r="D26313" s="4" t="s">
        <v>11</v>
      </c>
      <c r="E26313" s="4" t="s">
        <v>11</v>
      </c>
    </row>
    <row r="26314" spans="1:9">
      <c r="A26314" t="n">
        <v>253786</v>
      </c>
      <c r="B26314" s="72" t="n">
        <v>61</v>
      </c>
      <c r="C26314" s="7" t="n">
        <v>5</v>
      </c>
      <c r="D26314" s="7" t="n">
        <v>0</v>
      </c>
      <c r="E26314" s="7" t="n">
        <v>0</v>
      </c>
    </row>
    <row r="26315" spans="1:9">
      <c r="A26315" t="s">
        <v>4</v>
      </c>
      <c r="B26315" s="4" t="s">
        <v>5</v>
      </c>
      <c r="C26315" s="4" t="s">
        <v>8</v>
      </c>
      <c r="D26315" s="4" t="s">
        <v>8</v>
      </c>
    </row>
    <row r="26316" spans="1:9">
      <c r="A26316" t="n">
        <v>253793</v>
      </c>
      <c r="B26316" s="52" t="n">
        <v>70</v>
      </c>
      <c r="C26316" s="7" t="s">
        <v>25</v>
      </c>
      <c r="D26316" s="7" t="s">
        <v>118</v>
      </c>
    </row>
    <row r="26317" spans="1:9">
      <c r="A26317" t="s">
        <v>4</v>
      </c>
      <c r="B26317" s="4" t="s">
        <v>5</v>
      </c>
      <c r="C26317" s="4" t="s">
        <v>7</v>
      </c>
      <c r="D26317" s="4" t="s">
        <v>11</v>
      </c>
      <c r="E26317" s="4" t="s">
        <v>13</v>
      </c>
    </row>
    <row r="26318" spans="1:9">
      <c r="A26318" t="n">
        <v>253809</v>
      </c>
      <c r="B26318" s="23" t="n">
        <v>58</v>
      </c>
      <c r="C26318" s="7" t="n">
        <v>100</v>
      </c>
      <c r="D26318" s="7" t="n">
        <v>1000</v>
      </c>
      <c r="E26318" s="7" t="n">
        <v>1</v>
      </c>
    </row>
    <row r="26319" spans="1:9">
      <c r="A26319" t="s">
        <v>4</v>
      </c>
      <c r="B26319" s="4" t="s">
        <v>5</v>
      </c>
      <c r="C26319" s="4" t="s">
        <v>7</v>
      </c>
      <c r="D26319" s="4" t="s">
        <v>11</v>
      </c>
    </row>
    <row r="26320" spans="1:9">
      <c r="A26320" t="n">
        <v>253817</v>
      </c>
      <c r="B26320" s="23" t="n">
        <v>58</v>
      </c>
      <c r="C26320" s="7" t="n">
        <v>255</v>
      </c>
      <c r="D26320" s="7" t="n">
        <v>0</v>
      </c>
    </row>
    <row r="26321" spans="1:9">
      <c r="A26321" t="s">
        <v>4</v>
      </c>
      <c r="B26321" s="4" t="s">
        <v>5</v>
      </c>
      <c r="C26321" s="4" t="s">
        <v>11</v>
      </c>
    </row>
    <row r="26322" spans="1:9">
      <c r="A26322" t="n">
        <v>253821</v>
      </c>
      <c r="B26322" s="29" t="n">
        <v>16</v>
      </c>
      <c r="C26322" s="7" t="n">
        <v>1000</v>
      </c>
    </row>
    <row r="26323" spans="1:9">
      <c r="A26323" t="s">
        <v>4</v>
      </c>
      <c r="B26323" s="4" t="s">
        <v>5</v>
      </c>
      <c r="C26323" s="4" t="s">
        <v>7</v>
      </c>
      <c r="D26323" s="4" t="s">
        <v>11</v>
      </c>
    </row>
    <row r="26324" spans="1:9">
      <c r="A26324" t="n">
        <v>253824</v>
      </c>
      <c r="B26324" s="51" t="n">
        <v>45</v>
      </c>
      <c r="C26324" s="7" t="n">
        <v>7</v>
      </c>
      <c r="D26324" s="7" t="n">
        <v>255</v>
      </c>
    </row>
    <row r="26325" spans="1:9">
      <c r="A26325" t="s">
        <v>4</v>
      </c>
      <c r="B26325" s="4" t="s">
        <v>5</v>
      </c>
      <c r="C26325" s="4" t="s">
        <v>7</v>
      </c>
      <c r="D26325" s="4" t="s">
        <v>11</v>
      </c>
      <c r="E26325" s="4" t="s">
        <v>13</v>
      </c>
    </row>
    <row r="26326" spans="1:9">
      <c r="A26326" t="n">
        <v>253828</v>
      </c>
      <c r="B26326" s="23" t="n">
        <v>58</v>
      </c>
      <c r="C26326" s="7" t="n">
        <v>101</v>
      </c>
      <c r="D26326" s="7" t="n">
        <v>500</v>
      </c>
      <c r="E26326" s="7" t="n">
        <v>1</v>
      </c>
    </row>
    <row r="26327" spans="1:9">
      <c r="A26327" t="s">
        <v>4</v>
      </c>
      <c r="B26327" s="4" t="s">
        <v>5</v>
      </c>
      <c r="C26327" s="4" t="s">
        <v>7</v>
      </c>
      <c r="D26327" s="4" t="s">
        <v>11</v>
      </c>
    </row>
    <row r="26328" spans="1:9">
      <c r="A26328" t="n">
        <v>253836</v>
      </c>
      <c r="B26328" s="23" t="n">
        <v>58</v>
      </c>
      <c r="C26328" s="7" t="n">
        <v>254</v>
      </c>
      <c r="D26328" s="7" t="n">
        <v>0</v>
      </c>
    </row>
    <row r="26329" spans="1:9">
      <c r="A26329" t="s">
        <v>4</v>
      </c>
      <c r="B26329" s="4" t="s">
        <v>5</v>
      </c>
      <c r="C26329" s="4" t="s">
        <v>7</v>
      </c>
      <c r="D26329" s="4" t="s">
        <v>11</v>
      </c>
      <c r="E26329" s="4" t="s">
        <v>8</v>
      </c>
      <c r="F26329" s="4" t="s">
        <v>8</v>
      </c>
      <c r="G26329" s="4" t="s">
        <v>8</v>
      </c>
      <c r="H26329" s="4" t="s">
        <v>8</v>
      </c>
    </row>
    <row r="26330" spans="1:9">
      <c r="A26330" t="n">
        <v>253840</v>
      </c>
      <c r="B26330" s="38" t="n">
        <v>51</v>
      </c>
      <c r="C26330" s="7" t="n">
        <v>3</v>
      </c>
      <c r="D26330" s="7" t="n">
        <v>5</v>
      </c>
      <c r="E26330" s="7" t="s">
        <v>79</v>
      </c>
      <c r="F26330" s="7" t="s">
        <v>79</v>
      </c>
      <c r="G26330" s="7" t="s">
        <v>78</v>
      </c>
      <c r="H26330" s="7" t="s">
        <v>79</v>
      </c>
    </row>
    <row r="26331" spans="1:9">
      <c r="A26331" t="s">
        <v>4</v>
      </c>
      <c r="B26331" s="4" t="s">
        <v>5</v>
      </c>
      <c r="C26331" s="4" t="s">
        <v>7</v>
      </c>
      <c r="D26331" s="4" t="s">
        <v>11</v>
      </c>
      <c r="E26331" s="4" t="s">
        <v>11</v>
      </c>
      <c r="F26331" s="4" t="s">
        <v>15</v>
      </c>
      <c r="G26331" s="4" t="s">
        <v>15</v>
      </c>
      <c r="H26331" s="4" t="s">
        <v>15</v>
      </c>
    </row>
    <row r="26332" spans="1:9">
      <c r="A26332" t="n">
        <v>253853</v>
      </c>
      <c r="B26332" s="77" t="n">
        <v>97</v>
      </c>
      <c r="C26332" s="7" t="n">
        <v>6</v>
      </c>
      <c r="D26332" s="7" t="n">
        <v>0</v>
      </c>
      <c r="E26332" s="7" t="n">
        <v>0</v>
      </c>
      <c r="F26332" s="7" t="n">
        <v>-1065143501</v>
      </c>
      <c r="G26332" s="7" t="n">
        <v>1101004800</v>
      </c>
      <c r="H26332" s="7" t="n">
        <v>1101004800</v>
      </c>
    </row>
    <row r="26333" spans="1:9">
      <c r="A26333" t="s">
        <v>4</v>
      </c>
      <c r="B26333" s="4" t="s">
        <v>5</v>
      </c>
      <c r="C26333" s="4" t="s">
        <v>7</v>
      </c>
      <c r="D26333" s="4" t="s">
        <v>7</v>
      </c>
      <c r="E26333" s="4" t="s">
        <v>13</v>
      </c>
      <c r="F26333" s="4" t="s">
        <v>13</v>
      </c>
      <c r="G26333" s="4" t="s">
        <v>13</v>
      </c>
      <c r="H26333" s="4" t="s">
        <v>11</v>
      </c>
    </row>
    <row r="26334" spans="1:9">
      <c r="A26334" t="n">
        <v>253871</v>
      </c>
      <c r="B26334" s="51" t="n">
        <v>45</v>
      </c>
      <c r="C26334" s="7" t="n">
        <v>2</v>
      </c>
      <c r="D26334" s="7" t="n">
        <v>3</v>
      </c>
      <c r="E26334" s="7" t="n">
        <v>-6.86999988555908</v>
      </c>
      <c r="F26334" s="7" t="n">
        <v>6.42999982833862</v>
      </c>
      <c r="G26334" s="7" t="n">
        <v>29.8400001525879</v>
      </c>
      <c r="H26334" s="7" t="n">
        <v>0</v>
      </c>
    </row>
    <row r="26335" spans="1:9">
      <c r="A26335" t="s">
        <v>4</v>
      </c>
      <c r="B26335" s="4" t="s">
        <v>5</v>
      </c>
      <c r="C26335" s="4" t="s">
        <v>7</v>
      </c>
      <c r="D26335" s="4" t="s">
        <v>7</v>
      </c>
      <c r="E26335" s="4" t="s">
        <v>13</v>
      </c>
      <c r="F26335" s="4" t="s">
        <v>13</v>
      </c>
      <c r="G26335" s="4" t="s">
        <v>13</v>
      </c>
      <c r="H26335" s="4" t="s">
        <v>11</v>
      </c>
      <c r="I26335" s="4" t="s">
        <v>7</v>
      </c>
    </row>
    <row r="26336" spans="1:9">
      <c r="A26336" t="n">
        <v>253888</v>
      </c>
      <c r="B26336" s="51" t="n">
        <v>45</v>
      </c>
      <c r="C26336" s="7" t="n">
        <v>4</v>
      </c>
      <c r="D26336" s="7" t="n">
        <v>3</v>
      </c>
      <c r="E26336" s="7" t="n">
        <v>18.2999992370605</v>
      </c>
      <c r="F26336" s="7" t="n">
        <v>135.5</v>
      </c>
      <c r="G26336" s="7" t="n">
        <v>0</v>
      </c>
      <c r="H26336" s="7" t="n">
        <v>0</v>
      </c>
      <c r="I26336" s="7" t="n">
        <v>0</v>
      </c>
    </row>
    <row r="26337" spans="1:9">
      <c r="A26337" t="s">
        <v>4</v>
      </c>
      <c r="B26337" s="4" t="s">
        <v>5</v>
      </c>
      <c r="C26337" s="4" t="s">
        <v>7</v>
      </c>
      <c r="D26337" s="4" t="s">
        <v>7</v>
      </c>
      <c r="E26337" s="4" t="s">
        <v>13</v>
      </c>
      <c r="F26337" s="4" t="s">
        <v>11</v>
      </c>
    </row>
    <row r="26338" spans="1:9">
      <c r="A26338" t="n">
        <v>253906</v>
      </c>
      <c r="B26338" s="51" t="n">
        <v>45</v>
      </c>
      <c r="C26338" s="7" t="n">
        <v>5</v>
      </c>
      <c r="D26338" s="7" t="n">
        <v>3</v>
      </c>
      <c r="E26338" s="7" t="n">
        <v>1.29999995231628</v>
      </c>
      <c r="F26338" s="7" t="n">
        <v>0</v>
      </c>
    </row>
    <row r="26339" spans="1:9">
      <c r="A26339" t="s">
        <v>4</v>
      </c>
      <c r="B26339" s="4" t="s">
        <v>5</v>
      </c>
      <c r="C26339" s="4" t="s">
        <v>7</v>
      </c>
      <c r="D26339" s="4" t="s">
        <v>7</v>
      </c>
      <c r="E26339" s="4" t="s">
        <v>13</v>
      </c>
      <c r="F26339" s="4" t="s">
        <v>11</v>
      </c>
    </row>
    <row r="26340" spans="1:9">
      <c r="A26340" t="n">
        <v>253915</v>
      </c>
      <c r="B26340" s="51" t="n">
        <v>45</v>
      </c>
      <c r="C26340" s="7" t="n">
        <v>11</v>
      </c>
      <c r="D26340" s="7" t="n">
        <v>3</v>
      </c>
      <c r="E26340" s="7" t="n">
        <v>40.2999992370605</v>
      </c>
      <c r="F26340" s="7" t="n">
        <v>0</v>
      </c>
    </row>
    <row r="26341" spans="1:9">
      <c r="A26341" t="s">
        <v>4</v>
      </c>
      <c r="B26341" s="4" t="s">
        <v>5</v>
      </c>
      <c r="C26341" s="4" t="s">
        <v>7</v>
      </c>
      <c r="D26341" s="4" t="s">
        <v>11</v>
      </c>
    </row>
    <row r="26342" spans="1:9">
      <c r="A26342" t="n">
        <v>253924</v>
      </c>
      <c r="B26342" s="23" t="n">
        <v>58</v>
      </c>
      <c r="C26342" s="7" t="n">
        <v>255</v>
      </c>
      <c r="D26342" s="7" t="n">
        <v>0</v>
      </c>
    </row>
    <row r="26343" spans="1:9">
      <c r="A26343" t="s">
        <v>4</v>
      </c>
      <c r="B26343" s="4" t="s">
        <v>5</v>
      </c>
      <c r="C26343" s="4" t="s">
        <v>7</v>
      </c>
      <c r="D26343" s="4" t="s">
        <v>11</v>
      </c>
      <c r="E26343" s="4" t="s">
        <v>8</v>
      </c>
    </row>
    <row r="26344" spans="1:9">
      <c r="A26344" t="n">
        <v>253928</v>
      </c>
      <c r="B26344" s="38" t="n">
        <v>51</v>
      </c>
      <c r="C26344" s="7" t="n">
        <v>4</v>
      </c>
      <c r="D26344" s="7" t="n">
        <v>0</v>
      </c>
      <c r="E26344" s="7" t="s">
        <v>494</v>
      </c>
    </row>
    <row r="26345" spans="1:9">
      <c r="A26345" t="s">
        <v>4</v>
      </c>
      <c r="B26345" s="4" t="s">
        <v>5</v>
      </c>
      <c r="C26345" s="4" t="s">
        <v>11</v>
      </c>
    </row>
    <row r="26346" spans="1:9">
      <c r="A26346" t="n">
        <v>253941</v>
      </c>
      <c r="B26346" s="29" t="n">
        <v>16</v>
      </c>
      <c r="C26346" s="7" t="n">
        <v>0</v>
      </c>
    </row>
    <row r="26347" spans="1:9">
      <c r="A26347" t="s">
        <v>4</v>
      </c>
      <c r="B26347" s="4" t="s">
        <v>5</v>
      </c>
      <c r="C26347" s="4" t="s">
        <v>11</v>
      </c>
      <c r="D26347" s="4" t="s">
        <v>7</v>
      </c>
      <c r="E26347" s="4" t="s">
        <v>15</v>
      </c>
      <c r="F26347" s="4" t="s">
        <v>55</v>
      </c>
      <c r="G26347" s="4" t="s">
        <v>7</v>
      </c>
      <c r="H26347" s="4" t="s">
        <v>7</v>
      </c>
    </row>
    <row r="26348" spans="1:9">
      <c r="A26348" t="n">
        <v>253944</v>
      </c>
      <c r="B26348" s="55" t="n">
        <v>26</v>
      </c>
      <c r="C26348" s="7" t="n">
        <v>0</v>
      </c>
      <c r="D26348" s="7" t="n">
        <v>17</v>
      </c>
      <c r="E26348" s="7" t="n">
        <v>63875</v>
      </c>
      <c r="F26348" s="7" t="s">
        <v>495</v>
      </c>
      <c r="G26348" s="7" t="n">
        <v>2</v>
      </c>
      <c r="H26348" s="7" t="n">
        <v>0</v>
      </c>
    </row>
    <row r="26349" spans="1:9">
      <c r="A26349" t="s">
        <v>4</v>
      </c>
      <c r="B26349" s="4" t="s">
        <v>5</v>
      </c>
    </row>
    <row r="26350" spans="1:9">
      <c r="A26350" t="n">
        <v>254085</v>
      </c>
      <c r="B26350" s="27" t="n">
        <v>28</v>
      </c>
    </row>
    <row r="26351" spans="1:9">
      <c r="A26351" t="s">
        <v>4</v>
      </c>
      <c r="B26351" s="4" t="s">
        <v>5</v>
      </c>
      <c r="C26351" s="4" t="s">
        <v>7</v>
      </c>
      <c r="D26351" s="4" t="s">
        <v>11</v>
      </c>
      <c r="E26351" s="4" t="s">
        <v>8</v>
      </c>
    </row>
    <row r="26352" spans="1:9">
      <c r="A26352" t="n">
        <v>254086</v>
      </c>
      <c r="B26352" s="38" t="n">
        <v>51</v>
      </c>
      <c r="C26352" s="7" t="n">
        <v>4</v>
      </c>
      <c r="D26352" s="7" t="n">
        <v>5</v>
      </c>
      <c r="E26352" s="7" t="s">
        <v>224</v>
      </c>
    </row>
    <row r="26353" spans="1:8">
      <c r="A26353" t="s">
        <v>4</v>
      </c>
      <c r="B26353" s="4" t="s">
        <v>5</v>
      </c>
      <c r="C26353" s="4" t="s">
        <v>11</v>
      </c>
    </row>
    <row r="26354" spans="1:8">
      <c r="A26354" t="n">
        <v>254100</v>
      </c>
      <c r="B26354" s="29" t="n">
        <v>16</v>
      </c>
      <c r="C26354" s="7" t="n">
        <v>0</v>
      </c>
    </row>
    <row r="26355" spans="1:8">
      <c r="A26355" t="s">
        <v>4</v>
      </c>
      <c r="B26355" s="4" t="s">
        <v>5</v>
      </c>
      <c r="C26355" s="4" t="s">
        <v>11</v>
      </c>
      <c r="D26355" s="4" t="s">
        <v>7</v>
      </c>
      <c r="E26355" s="4" t="s">
        <v>15</v>
      </c>
      <c r="F26355" s="4" t="s">
        <v>55</v>
      </c>
      <c r="G26355" s="4" t="s">
        <v>7</v>
      </c>
      <c r="H26355" s="4" t="s">
        <v>7</v>
      </c>
      <c r="I26355" s="4" t="s">
        <v>7</v>
      </c>
      <c r="J26355" s="4" t="s">
        <v>15</v>
      </c>
      <c r="K26355" s="4" t="s">
        <v>55</v>
      </c>
      <c r="L26355" s="4" t="s">
        <v>7</v>
      </c>
      <c r="M26355" s="4" t="s">
        <v>7</v>
      </c>
    </row>
    <row r="26356" spans="1:8">
      <c r="A26356" t="n">
        <v>254103</v>
      </c>
      <c r="B26356" s="55" t="n">
        <v>26</v>
      </c>
      <c r="C26356" s="7" t="n">
        <v>5</v>
      </c>
      <c r="D26356" s="7" t="n">
        <v>17</v>
      </c>
      <c r="E26356" s="7" t="n">
        <v>63876</v>
      </c>
      <c r="F26356" s="7" t="s">
        <v>496</v>
      </c>
      <c r="G26356" s="7" t="n">
        <v>2</v>
      </c>
      <c r="H26356" s="7" t="n">
        <v>3</v>
      </c>
      <c r="I26356" s="7" t="n">
        <v>17</v>
      </c>
      <c r="J26356" s="7" t="n">
        <v>63877</v>
      </c>
      <c r="K26356" s="7" t="s">
        <v>497</v>
      </c>
      <c r="L26356" s="7" t="n">
        <v>2</v>
      </c>
      <c r="M26356" s="7" t="n">
        <v>0</v>
      </c>
    </row>
    <row r="26357" spans="1:8">
      <c r="A26357" t="s">
        <v>4</v>
      </c>
      <c r="B26357" s="4" t="s">
        <v>5</v>
      </c>
    </row>
    <row r="26358" spans="1:8">
      <c r="A26358" t="n">
        <v>254253</v>
      </c>
      <c r="B26358" s="27" t="n">
        <v>28</v>
      </c>
    </row>
    <row r="26359" spans="1:8">
      <c r="A26359" t="s">
        <v>4</v>
      </c>
      <c r="B26359" s="4" t="s">
        <v>5</v>
      </c>
      <c r="C26359" s="4" t="s">
        <v>7</v>
      </c>
      <c r="D26359" s="4" t="s">
        <v>11</v>
      </c>
      <c r="E26359" s="4" t="s">
        <v>8</v>
      </c>
    </row>
    <row r="26360" spans="1:8">
      <c r="A26360" t="n">
        <v>254254</v>
      </c>
      <c r="B26360" s="38" t="n">
        <v>51</v>
      </c>
      <c r="C26360" s="7" t="n">
        <v>4</v>
      </c>
      <c r="D26360" s="7" t="n">
        <v>0</v>
      </c>
      <c r="E26360" s="7" t="s">
        <v>242</v>
      </c>
    </row>
    <row r="26361" spans="1:8">
      <c r="A26361" t="s">
        <v>4</v>
      </c>
      <c r="B26361" s="4" t="s">
        <v>5</v>
      </c>
      <c r="C26361" s="4" t="s">
        <v>11</v>
      </c>
    </row>
    <row r="26362" spans="1:8">
      <c r="A26362" t="n">
        <v>254268</v>
      </c>
      <c r="B26362" s="29" t="n">
        <v>16</v>
      </c>
      <c r="C26362" s="7" t="n">
        <v>0</v>
      </c>
    </row>
    <row r="26363" spans="1:8">
      <c r="A26363" t="s">
        <v>4</v>
      </c>
      <c r="B26363" s="4" t="s">
        <v>5</v>
      </c>
      <c r="C26363" s="4" t="s">
        <v>11</v>
      </c>
      <c r="D26363" s="4" t="s">
        <v>7</v>
      </c>
      <c r="E26363" s="4" t="s">
        <v>15</v>
      </c>
      <c r="F26363" s="4" t="s">
        <v>55</v>
      </c>
      <c r="G26363" s="4" t="s">
        <v>7</v>
      </c>
      <c r="H26363" s="4" t="s">
        <v>7</v>
      </c>
      <c r="I26363" s="4" t="s">
        <v>7</v>
      </c>
      <c r="J26363" s="4" t="s">
        <v>15</v>
      </c>
      <c r="K26363" s="4" t="s">
        <v>55</v>
      </c>
      <c r="L26363" s="4" t="s">
        <v>7</v>
      </c>
      <c r="M26363" s="4" t="s">
        <v>7</v>
      </c>
      <c r="N26363" s="4" t="s">
        <v>7</v>
      </c>
      <c r="O26363" s="4" t="s">
        <v>15</v>
      </c>
      <c r="P26363" s="4" t="s">
        <v>55</v>
      </c>
      <c r="Q26363" s="4" t="s">
        <v>7</v>
      </c>
      <c r="R26363" s="4" t="s">
        <v>7</v>
      </c>
      <c r="S26363" s="4" t="s">
        <v>7</v>
      </c>
      <c r="T26363" s="4" t="s">
        <v>15</v>
      </c>
      <c r="U26363" s="4" t="s">
        <v>55</v>
      </c>
      <c r="V26363" s="4" t="s">
        <v>7</v>
      </c>
      <c r="W26363" s="4" t="s">
        <v>7</v>
      </c>
    </row>
    <row r="26364" spans="1:8">
      <c r="A26364" t="n">
        <v>254271</v>
      </c>
      <c r="B26364" s="55" t="n">
        <v>26</v>
      </c>
      <c r="C26364" s="7" t="n">
        <v>0</v>
      </c>
      <c r="D26364" s="7" t="n">
        <v>17</v>
      </c>
      <c r="E26364" s="7" t="n">
        <v>63878</v>
      </c>
      <c r="F26364" s="7" t="s">
        <v>498</v>
      </c>
      <c r="G26364" s="7" t="n">
        <v>2</v>
      </c>
      <c r="H26364" s="7" t="n">
        <v>3</v>
      </c>
      <c r="I26364" s="7" t="n">
        <v>17</v>
      </c>
      <c r="J26364" s="7" t="n">
        <v>63879</v>
      </c>
      <c r="K26364" s="7" t="s">
        <v>499</v>
      </c>
      <c r="L26364" s="7" t="n">
        <v>2</v>
      </c>
      <c r="M26364" s="7" t="n">
        <v>3</v>
      </c>
      <c r="N26364" s="7" t="n">
        <v>17</v>
      </c>
      <c r="O26364" s="7" t="n">
        <v>63880</v>
      </c>
      <c r="P26364" s="7" t="s">
        <v>500</v>
      </c>
      <c r="Q26364" s="7" t="n">
        <v>2</v>
      </c>
      <c r="R26364" s="7" t="n">
        <v>3</v>
      </c>
      <c r="S26364" s="7" t="n">
        <v>17</v>
      </c>
      <c r="T26364" s="7" t="n">
        <v>63881</v>
      </c>
      <c r="U26364" s="7" t="s">
        <v>501</v>
      </c>
      <c r="V26364" s="7" t="n">
        <v>2</v>
      </c>
      <c r="W26364" s="7" t="n">
        <v>0</v>
      </c>
    </row>
    <row r="26365" spans="1:8">
      <c r="A26365" t="s">
        <v>4</v>
      </c>
      <c r="B26365" s="4" t="s">
        <v>5</v>
      </c>
    </row>
    <row r="26366" spans="1:8">
      <c r="A26366" t="n">
        <v>254715</v>
      </c>
      <c r="B26366" s="27" t="n">
        <v>28</v>
      </c>
    </row>
    <row r="26367" spans="1:8">
      <c r="A26367" t="s">
        <v>4</v>
      </c>
      <c r="B26367" s="4" t="s">
        <v>5</v>
      </c>
      <c r="C26367" s="4" t="s">
        <v>7</v>
      </c>
      <c r="D26367" s="4" t="s">
        <v>11</v>
      </c>
      <c r="E26367" s="4" t="s">
        <v>8</v>
      </c>
    </row>
    <row r="26368" spans="1:8">
      <c r="A26368" t="n">
        <v>254716</v>
      </c>
      <c r="B26368" s="38" t="n">
        <v>51</v>
      </c>
      <c r="C26368" s="7" t="n">
        <v>4</v>
      </c>
      <c r="D26368" s="7" t="n">
        <v>5</v>
      </c>
      <c r="E26368" s="7" t="s">
        <v>430</v>
      </c>
    </row>
    <row r="26369" spans="1:23">
      <c r="A26369" t="s">
        <v>4</v>
      </c>
      <c r="B26369" s="4" t="s">
        <v>5</v>
      </c>
      <c r="C26369" s="4" t="s">
        <v>11</v>
      </c>
    </row>
    <row r="26370" spans="1:23">
      <c r="A26370" t="n">
        <v>254729</v>
      </c>
      <c r="B26370" s="29" t="n">
        <v>16</v>
      </c>
      <c r="C26370" s="7" t="n">
        <v>0</v>
      </c>
    </row>
    <row r="26371" spans="1:23">
      <c r="A26371" t="s">
        <v>4</v>
      </c>
      <c r="B26371" s="4" t="s">
        <v>5</v>
      </c>
      <c r="C26371" s="4" t="s">
        <v>11</v>
      </c>
      <c r="D26371" s="4" t="s">
        <v>7</v>
      </c>
      <c r="E26371" s="4" t="s">
        <v>15</v>
      </c>
      <c r="F26371" s="4" t="s">
        <v>55</v>
      </c>
      <c r="G26371" s="4" t="s">
        <v>7</v>
      </c>
      <c r="H26371" s="4" t="s">
        <v>7</v>
      </c>
      <c r="I26371" s="4" t="s">
        <v>7</v>
      </c>
      <c r="J26371" s="4" t="s">
        <v>15</v>
      </c>
      <c r="K26371" s="4" t="s">
        <v>55</v>
      </c>
      <c r="L26371" s="4" t="s">
        <v>7</v>
      </c>
      <c r="M26371" s="4" t="s">
        <v>7</v>
      </c>
    </row>
    <row r="26372" spans="1:23">
      <c r="A26372" t="n">
        <v>254732</v>
      </c>
      <c r="B26372" s="55" t="n">
        <v>26</v>
      </c>
      <c r="C26372" s="7" t="n">
        <v>5</v>
      </c>
      <c r="D26372" s="7" t="n">
        <v>17</v>
      </c>
      <c r="E26372" s="7" t="n">
        <v>63882</v>
      </c>
      <c r="F26372" s="7" t="s">
        <v>502</v>
      </c>
      <c r="G26372" s="7" t="n">
        <v>2</v>
      </c>
      <c r="H26372" s="7" t="n">
        <v>3</v>
      </c>
      <c r="I26372" s="7" t="n">
        <v>17</v>
      </c>
      <c r="J26372" s="7" t="n">
        <v>63883</v>
      </c>
      <c r="K26372" s="7" t="s">
        <v>503</v>
      </c>
      <c r="L26372" s="7" t="n">
        <v>2</v>
      </c>
      <c r="M26372" s="7" t="n">
        <v>0</v>
      </c>
    </row>
    <row r="26373" spans="1:23">
      <c r="A26373" t="s">
        <v>4</v>
      </c>
      <c r="B26373" s="4" t="s">
        <v>5</v>
      </c>
    </row>
    <row r="26374" spans="1:23">
      <c r="A26374" t="n">
        <v>254954</v>
      </c>
      <c r="B26374" s="27" t="n">
        <v>28</v>
      </c>
    </row>
    <row r="26375" spans="1:23">
      <c r="A26375" t="s">
        <v>4</v>
      </c>
      <c r="B26375" s="4" t="s">
        <v>5</v>
      </c>
      <c r="C26375" s="4" t="s">
        <v>7</v>
      </c>
      <c r="D26375" s="4" t="s">
        <v>11</v>
      </c>
      <c r="E26375" s="4" t="s">
        <v>8</v>
      </c>
    </row>
    <row r="26376" spans="1:23">
      <c r="A26376" t="n">
        <v>254955</v>
      </c>
      <c r="B26376" s="38" t="n">
        <v>51</v>
      </c>
      <c r="C26376" s="7" t="n">
        <v>4</v>
      </c>
      <c r="D26376" s="7" t="n">
        <v>0</v>
      </c>
      <c r="E26376" s="7" t="s">
        <v>285</v>
      </c>
    </row>
    <row r="26377" spans="1:23">
      <c r="A26377" t="s">
        <v>4</v>
      </c>
      <c r="B26377" s="4" t="s">
        <v>5</v>
      </c>
      <c r="C26377" s="4" t="s">
        <v>11</v>
      </c>
    </row>
    <row r="26378" spans="1:23">
      <c r="A26378" t="n">
        <v>254968</v>
      </c>
      <c r="B26378" s="29" t="n">
        <v>16</v>
      </c>
      <c r="C26378" s="7" t="n">
        <v>0</v>
      </c>
    </row>
    <row r="26379" spans="1:23">
      <c r="A26379" t="s">
        <v>4</v>
      </c>
      <c r="B26379" s="4" t="s">
        <v>5</v>
      </c>
      <c r="C26379" s="4" t="s">
        <v>11</v>
      </c>
      <c r="D26379" s="4" t="s">
        <v>7</v>
      </c>
      <c r="E26379" s="4" t="s">
        <v>15</v>
      </c>
      <c r="F26379" s="4" t="s">
        <v>55</v>
      </c>
      <c r="G26379" s="4" t="s">
        <v>7</v>
      </c>
      <c r="H26379" s="4" t="s">
        <v>7</v>
      </c>
    </row>
    <row r="26380" spans="1:23">
      <c r="A26380" t="n">
        <v>254971</v>
      </c>
      <c r="B26380" s="55" t="n">
        <v>26</v>
      </c>
      <c r="C26380" s="7" t="n">
        <v>0</v>
      </c>
      <c r="D26380" s="7" t="n">
        <v>17</v>
      </c>
      <c r="E26380" s="7" t="n">
        <v>63884</v>
      </c>
      <c r="F26380" s="7" t="s">
        <v>504</v>
      </c>
      <c r="G26380" s="7" t="n">
        <v>2</v>
      </c>
      <c r="H26380" s="7" t="n">
        <v>0</v>
      </c>
    </row>
    <row r="26381" spans="1:23">
      <c r="A26381" t="s">
        <v>4</v>
      </c>
      <c r="B26381" s="4" t="s">
        <v>5</v>
      </c>
    </row>
    <row r="26382" spans="1:23">
      <c r="A26382" t="n">
        <v>255017</v>
      </c>
      <c r="B26382" s="27" t="n">
        <v>28</v>
      </c>
    </row>
    <row r="26383" spans="1:23">
      <c r="A26383" t="s">
        <v>4</v>
      </c>
      <c r="B26383" s="4" t="s">
        <v>5</v>
      </c>
      <c r="C26383" s="4" t="s">
        <v>7</v>
      </c>
      <c r="D26383" s="4" t="s">
        <v>11</v>
      </c>
      <c r="E26383" s="4" t="s">
        <v>7</v>
      </c>
    </row>
    <row r="26384" spans="1:23">
      <c r="A26384" t="n">
        <v>255018</v>
      </c>
      <c r="B26384" s="13" t="n">
        <v>49</v>
      </c>
      <c r="C26384" s="7" t="n">
        <v>1</v>
      </c>
      <c r="D26384" s="7" t="n">
        <v>3000</v>
      </c>
      <c r="E26384" s="7" t="n">
        <v>0</v>
      </c>
    </row>
    <row r="26385" spans="1:13">
      <c r="A26385" t="s">
        <v>4</v>
      </c>
      <c r="B26385" s="4" t="s">
        <v>5</v>
      </c>
      <c r="C26385" s="4" t="s">
        <v>7</v>
      </c>
      <c r="D26385" s="4" t="s">
        <v>11</v>
      </c>
      <c r="E26385" s="4" t="s">
        <v>8</v>
      </c>
      <c r="F26385" s="4" t="s">
        <v>8</v>
      </c>
      <c r="G26385" s="4" t="s">
        <v>8</v>
      </c>
      <c r="H26385" s="4" t="s">
        <v>8</v>
      </c>
    </row>
    <row r="26386" spans="1:13">
      <c r="A26386" t="n">
        <v>255023</v>
      </c>
      <c r="B26386" s="38" t="n">
        <v>51</v>
      </c>
      <c r="C26386" s="7" t="n">
        <v>3</v>
      </c>
      <c r="D26386" s="7" t="n">
        <v>5</v>
      </c>
      <c r="E26386" s="7" t="s">
        <v>319</v>
      </c>
      <c r="F26386" s="7" t="s">
        <v>79</v>
      </c>
      <c r="G26386" s="7" t="s">
        <v>78</v>
      </c>
      <c r="H26386" s="7" t="s">
        <v>79</v>
      </c>
    </row>
    <row r="26387" spans="1:13">
      <c r="A26387" t="s">
        <v>4</v>
      </c>
      <c r="B26387" s="4" t="s">
        <v>5</v>
      </c>
      <c r="C26387" s="4" t="s">
        <v>11</v>
      </c>
      <c r="D26387" s="4" t="s">
        <v>7</v>
      </c>
      <c r="E26387" s="4" t="s">
        <v>13</v>
      </c>
      <c r="F26387" s="4" t="s">
        <v>11</v>
      </c>
    </row>
    <row r="26388" spans="1:13">
      <c r="A26388" t="n">
        <v>255036</v>
      </c>
      <c r="B26388" s="56" t="n">
        <v>59</v>
      </c>
      <c r="C26388" s="7" t="n">
        <v>5</v>
      </c>
      <c r="D26388" s="7" t="n">
        <v>9</v>
      </c>
      <c r="E26388" s="7" t="n">
        <v>0.150000005960464</v>
      </c>
      <c r="F26388" s="7" t="n">
        <v>0</v>
      </c>
    </row>
    <row r="26389" spans="1:13">
      <c r="A26389" t="s">
        <v>4</v>
      </c>
      <c r="B26389" s="4" t="s">
        <v>5</v>
      </c>
      <c r="C26389" s="4" t="s">
        <v>11</v>
      </c>
    </row>
    <row r="26390" spans="1:13">
      <c r="A26390" t="n">
        <v>255046</v>
      </c>
      <c r="B26390" s="29" t="n">
        <v>16</v>
      </c>
      <c r="C26390" s="7" t="n">
        <v>1800</v>
      </c>
    </row>
    <row r="26391" spans="1:13">
      <c r="A26391" t="s">
        <v>4</v>
      </c>
      <c r="B26391" s="4" t="s">
        <v>5</v>
      </c>
      <c r="C26391" s="4" t="s">
        <v>7</v>
      </c>
      <c r="D26391" s="4" t="s">
        <v>11</v>
      </c>
      <c r="E26391" s="4" t="s">
        <v>13</v>
      </c>
    </row>
    <row r="26392" spans="1:13">
      <c r="A26392" t="n">
        <v>255049</v>
      </c>
      <c r="B26392" s="23" t="n">
        <v>58</v>
      </c>
      <c r="C26392" s="7" t="n">
        <v>101</v>
      </c>
      <c r="D26392" s="7" t="n">
        <v>800</v>
      </c>
      <c r="E26392" s="7" t="n">
        <v>1</v>
      </c>
    </row>
    <row r="26393" spans="1:13">
      <c r="A26393" t="s">
        <v>4</v>
      </c>
      <c r="B26393" s="4" t="s">
        <v>5</v>
      </c>
      <c r="C26393" s="4" t="s">
        <v>7</v>
      </c>
      <c r="D26393" s="4" t="s">
        <v>11</v>
      </c>
    </row>
    <row r="26394" spans="1:13">
      <c r="A26394" t="n">
        <v>255057</v>
      </c>
      <c r="B26394" s="23" t="n">
        <v>58</v>
      </c>
      <c r="C26394" s="7" t="n">
        <v>254</v>
      </c>
      <c r="D26394" s="7" t="n">
        <v>0</v>
      </c>
    </row>
    <row r="26395" spans="1:13">
      <c r="A26395" t="s">
        <v>4</v>
      </c>
      <c r="B26395" s="4" t="s">
        <v>5</v>
      </c>
      <c r="C26395" s="4" t="s">
        <v>7</v>
      </c>
      <c r="D26395" s="4" t="s">
        <v>7</v>
      </c>
      <c r="E26395" s="4" t="s">
        <v>13</v>
      </c>
      <c r="F26395" s="4" t="s">
        <v>13</v>
      </c>
      <c r="G26395" s="4" t="s">
        <v>13</v>
      </c>
      <c r="H26395" s="4" t="s">
        <v>11</v>
      </c>
    </row>
    <row r="26396" spans="1:13">
      <c r="A26396" t="n">
        <v>255061</v>
      </c>
      <c r="B26396" s="51" t="n">
        <v>45</v>
      </c>
      <c r="C26396" s="7" t="n">
        <v>2</v>
      </c>
      <c r="D26396" s="7" t="n">
        <v>3</v>
      </c>
      <c r="E26396" s="7" t="n">
        <v>-7.36999988555908</v>
      </c>
      <c r="F26396" s="7" t="n">
        <v>6.42000007629395</v>
      </c>
      <c r="G26396" s="7" t="n">
        <v>29.8199996948242</v>
      </c>
      <c r="H26396" s="7" t="n">
        <v>0</v>
      </c>
    </row>
    <row r="26397" spans="1:13">
      <c r="A26397" t="s">
        <v>4</v>
      </c>
      <c r="B26397" s="4" t="s">
        <v>5</v>
      </c>
      <c r="C26397" s="4" t="s">
        <v>7</v>
      </c>
      <c r="D26397" s="4" t="s">
        <v>7</v>
      </c>
      <c r="E26397" s="4" t="s">
        <v>13</v>
      </c>
      <c r="F26397" s="4" t="s">
        <v>13</v>
      </c>
      <c r="G26397" s="4" t="s">
        <v>13</v>
      </c>
      <c r="H26397" s="4" t="s">
        <v>11</v>
      </c>
      <c r="I26397" s="4" t="s">
        <v>7</v>
      </c>
    </row>
    <row r="26398" spans="1:13">
      <c r="A26398" t="n">
        <v>255078</v>
      </c>
      <c r="B26398" s="51" t="n">
        <v>45</v>
      </c>
      <c r="C26398" s="7" t="n">
        <v>4</v>
      </c>
      <c r="D26398" s="7" t="n">
        <v>3</v>
      </c>
      <c r="E26398" s="7" t="n">
        <v>10.3299999237061</v>
      </c>
      <c r="F26398" s="7" t="n">
        <v>63.9599990844727</v>
      </c>
      <c r="G26398" s="7" t="n">
        <v>356</v>
      </c>
      <c r="H26398" s="7" t="n">
        <v>0</v>
      </c>
      <c r="I26398" s="7" t="n">
        <v>0</v>
      </c>
    </row>
    <row r="26399" spans="1:13">
      <c r="A26399" t="s">
        <v>4</v>
      </c>
      <c r="B26399" s="4" t="s">
        <v>5</v>
      </c>
      <c r="C26399" s="4" t="s">
        <v>7</v>
      </c>
      <c r="D26399" s="4" t="s">
        <v>7</v>
      </c>
      <c r="E26399" s="4" t="s">
        <v>13</v>
      </c>
      <c r="F26399" s="4" t="s">
        <v>11</v>
      </c>
    </row>
    <row r="26400" spans="1:13">
      <c r="A26400" t="n">
        <v>255096</v>
      </c>
      <c r="B26400" s="51" t="n">
        <v>45</v>
      </c>
      <c r="C26400" s="7" t="n">
        <v>5</v>
      </c>
      <c r="D26400" s="7" t="n">
        <v>3</v>
      </c>
      <c r="E26400" s="7" t="n">
        <v>0.800000011920929</v>
      </c>
      <c r="F26400" s="7" t="n">
        <v>0</v>
      </c>
    </row>
    <row r="26401" spans="1:9">
      <c r="A26401" t="s">
        <v>4</v>
      </c>
      <c r="B26401" s="4" t="s">
        <v>5</v>
      </c>
      <c r="C26401" s="4" t="s">
        <v>7</v>
      </c>
      <c r="D26401" s="4" t="s">
        <v>7</v>
      </c>
      <c r="E26401" s="4" t="s">
        <v>13</v>
      </c>
      <c r="F26401" s="4" t="s">
        <v>11</v>
      </c>
    </row>
    <row r="26402" spans="1:9">
      <c r="A26402" t="n">
        <v>255105</v>
      </c>
      <c r="B26402" s="51" t="n">
        <v>45</v>
      </c>
      <c r="C26402" s="7" t="n">
        <v>11</v>
      </c>
      <c r="D26402" s="7" t="n">
        <v>3</v>
      </c>
      <c r="E26402" s="7" t="n">
        <v>40.2999992370605</v>
      </c>
      <c r="F26402" s="7" t="n">
        <v>0</v>
      </c>
    </row>
    <row r="26403" spans="1:9">
      <c r="A26403" t="s">
        <v>4</v>
      </c>
      <c r="B26403" s="4" t="s">
        <v>5</v>
      </c>
      <c r="C26403" s="4" t="s">
        <v>7</v>
      </c>
    </row>
    <row r="26404" spans="1:9">
      <c r="A26404" t="n">
        <v>255114</v>
      </c>
      <c r="B26404" s="49" t="n">
        <v>116</v>
      </c>
      <c r="C26404" s="7" t="n">
        <v>0</v>
      </c>
    </row>
    <row r="26405" spans="1:9">
      <c r="A26405" t="s">
        <v>4</v>
      </c>
      <c r="B26405" s="4" t="s">
        <v>5</v>
      </c>
      <c r="C26405" s="4" t="s">
        <v>7</v>
      </c>
      <c r="D26405" s="4" t="s">
        <v>11</v>
      </c>
    </row>
    <row r="26406" spans="1:9">
      <c r="A26406" t="n">
        <v>255116</v>
      </c>
      <c r="B26406" s="49" t="n">
        <v>116</v>
      </c>
      <c r="C26406" s="7" t="n">
        <v>2</v>
      </c>
      <c r="D26406" s="7" t="n">
        <v>1</v>
      </c>
    </row>
    <row r="26407" spans="1:9">
      <c r="A26407" t="s">
        <v>4</v>
      </c>
      <c r="B26407" s="4" t="s">
        <v>5</v>
      </c>
      <c r="C26407" s="4" t="s">
        <v>7</v>
      </c>
      <c r="D26407" s="4" t="s">
        <v>15</v>
      </c>
    </row>
    <row r="26408" spans="1:9">
      <c r="A26408" t="n">
        <v>255120</v>
      </c>
      <c r="B26408" s="49" t="n">
        <v>116</v>
      </c>
      <c r="C26408" s="7" t="n">
        <v>5</v>
      </c>
      <c r="D26408" s="7" t="n">
        <v>1077936128</v>
      </c>
    </row>
    <row r="26409" spans="1:9">
      <c r="A26409" t="s">
        <v>4</v>
      </c>
      <c r="B26409" s="4" t="s">
        <v>5</v>
      </c>
      <c r="C26409" s="4" t="s">
        <v>7</v>
      </c>
      <c r="D26409" s="4" t="s">
        <v>11</v>
      </c>
    </row>
    <row r="26410" spans="1:9">
      <c r="A26410" t="n">
        <v>255126</v>
      </c>
      <c r="B26410" s="49" t="n">
        <v>116</v>
      </c>
      <c r="C26410" s="7" t="n">
        <v>6</v>
      </c>
      <c r="D26410" s="7" t="n">
        <v>1</v>
      </c>
    </row>
    <row r="26411" spans="1:9">
      <c r="A26411" t="s">
        <v>4</v>
      </c>
      <c r="B26411" s="4" t="s">
        <v>5</v>
      </c>
      <c r="C26411" s="4" t="s">
        <v>7</v>
      </c>
      <c r="D26411" s="4" t="s">
        <v>11</v>
      </c>
      <c r="E26411" s="4" t="s">
        <v>8</v>
      </c>
      <c r="F26411" s="4" t="s">
        <v>8</v>
      </c>
      <c r="G26411" s="4" t="s">
        <v>8</v>
      </c>
      <c r="H26411" s="4" t="s">
        <v>8</v>
      </c>
    </row>
    <row r="26412" spans="1:9">
      <c r="A26412" t="n">
        <v>255130</v>
      </c>
      <c r="B26412" s="38" t="n">
        <v>51</v>
      </c>
      <c r="C26412" s="7" t="n">
        <v>3</v>
      </c>
      <c r="D26412" s="7" t="n">
        <v>5</v>
      </c>
      <c r="E26412" s="7" t="s">
        <v>86</v>
      </c>
      <c r="F26412" s="7" t="s">
        <v>79</v>
      </c>
      <c r="G26412" s="7" t="s">
        <v>78</v>
      </c>
      <c r="H26412" s="7" t="s">
        <v>79</v>
      </c>
    </row>
    <row r="26413" spans="1:9">
      <c r="A26413" t="s">
        <v>4</v>
      </c>
      <c r="B26413" s="4" t="s">
        <v>5</v>
      </c>
      <c r="C26413" s="4" t="s">
        <v>11</v>
      </c>
      <c r="D26413" s="4" t="s">
        <v>11</v>
      </c>
      <c r="E26413" s="4" t="s">
        <v>13</v>
      </c>
      <c r="F26413" s="4" t="s">
        <v>7</v>
      </c>
    </row>
    <row r="26414" spans="1:9">
      <c r="A26414" t="n">
        <v>255143</v>
      </c>
      <c r="B26414" s="73" t="n">
        <v>53</v>
      </c>
      <c r="C26414" s="7" t="n">
        <v>0</v>
      </c>
      <c r="D26414" s="7" t="n">
        <v>5</v>
      </c>
      <c r="E26414" s="7" t="n">
        <v>0</v>
      </c>
      <c r="F26414" s="7" t="n">
        <v>0</v>
      </c>
    </row>
    <row r="26415" spans="1:9">
      <c r="A26415" t="s">
        <v>4</v>
      </c>
      <c r="B26415" s="4" t="s">
        <v>5</v>
      </c>
      <c r="C26415" s="4" t="s">
        <v>7</v>
      </c>
      <c r="D26415" s="4" t="s">
        <v>11</v>
      </c>
    </row>
    <row r="26416" spans="1:9">
      <c r="A26416" t="n">
        <v>255153</v>
      </c>
      <c r="B26416" s="23" t="n">
        <v>58</v>
      </c>
      <c r="C26416" s="7" t="n">
        <v>255</v>
      </c>
      <c r="D26416" s="7" t="n">
        <v>0</v>
      </c>
    </row>
    <row r="26417" spans="1:8">
      <c r="A26417" t="s">
        <v>4</v>
      </c>
      <c r="B26417" s="4" t="s">
        <v>5</v>
      </c>
      <c r="C26417" s="4" t="s">
        <v>11</v>
      </c>
      <c r="D26417" s="4" t="s">
        <v>11</v>
      </c>
      <c r="E26417" s="4" t="s">
        <v>13</v>
      </c>
      <c r="F26417" s="4" t="s">
        <v>7</v>
      </c>
    </row>
    <row r="26418" spans="1:8">
      <c r="A26418" t="n">
        <v>255157</v>
      </c>
      <c r="B26418" s="73" t="n">
        <v>53</v>
      </c>
      <c r="C26418" s="7" t="n">
        <v>5</v>
      </c>
      <c r="D26418" s="7" t="n">
        <v>0</v>
      </c>
      <c r="E26418" s="7" t="n">
        <v>5</v>
      </c>
      <c r="F26418" s="7" t="n">
        <v>0</v>
      </c>
    </row>
    <row r="26419" spans="1:8">
      <c r="A26419" t="s">
        <v>4</v>
      </c>
      <c r="B26419" s="4" t="s">
        <v>5</v>
      </c>
      <c r="C26419" s="4" t="s">
        <v>11</v>
      </c>
    </row>
    <row r="26420" spans="1:8">
      <c r="A26420" t="n">
        <v>255167</v>
      </c>
      <c r="B26420" s="66" t="n">
        <v>54</v>
      </c>
      <c r="C26420" s="7" t="n">
        <v>5</v>
      </c>
    </row>
    <row r="26421" spans="1:8">
      <c r="A26421" t="s">
        <v>4</v>
      </c>
      <c r="B26421" s="4" t="s">
        <v>5</v>
      </c>
      <c r="C26421" s="4" t="s">
        <v>11</v>
      </c>
      <c r="D26421" s="4" t="s">
        <v>7</v>
      </c>
      <c r="E26421" s="4" t="s">
        <v>8</v>
      </c>
      <c r="F26421" s="4" t="s">
        <v>13</v>
      </c>
      <c r="G26421" s="4" t="s">
        <v>13</v>
      </c>
      <c r="H26421" s="4" t="s">
        <v>13</v>
      </c>
    </row>
    <row r="26422" spans="1:8">
      <c r="A26422" t="n">
        <v>255170</v>
      </c>
      <c r="B26422" s="42" t="n">
        <v>48</v>
      </c>
      <c r="C26422" s="7" t="n">
        <v>5</v>
      </c>
      <c r="D26422" s="7" t="n">
        <v>0</v>
      </c>
      <c r="E26422" s="7" t="s">
        <v>480</v>
      </c>
      <c r="F26422" s="7" t="n">
        <v>-1</v>
      </c>
      <c r="G26422" s="7" t="n">
        <v>1</v>
      </c>
      <c r="H26422" s="7" t="n">
        <v>0</v>
      </c>
    </row>
    <row r="26423" spans="1:8">
      <c r="A26423" t="s">
        <v>4</v>
      </c>
      <c r="B26423" s="4" t="s">
        <v>5</v>
      </c>
      <c r="C26423" s="4" t="s">
        <v>7</v>
      </c>
      <c r="D26423" s="4" t="s">
        <v>7</v>
      </c>
    </row>
    <row r="26424" spans="1:8">
      <c r="A26424" t="n">
        <v>255200</v>
      </c>
      <c r="B26424" s="13" t="n">
        <v>49</v>
      </c>
      <c r="C26424" s="7" t="n">
        <v>2</v>
      </c>
      <c r="D26424" s="7" t="n">
        <v>0</v>
      </c>
    </row>
    <row r="26425" spans="1:8">
      <c r="A26425" t="s">
        <v>4</v>
      </c>
      <c r="B26425" s="4" t="s">
        <v>5</v>
      </c>
      <c r="C26425" s="4" t="s">
        <v>7</v>
      </c>
      <c r="D26425" s="4" t="s">
        <v>11</v>
      </c>
      <c r="E26425" s="4" t="s">
        <v>15</v>
      </c>
      <c r="F26425" s="4" t="s">
        <v>11</v>
      </c>
      <c r="G26425" s="4" t="s">
        <v>15</v>
      </c>
      <c r="H26425" s="4" t="s">
        <v>7</v>
      </c>
    </row>
    <row r="26426" spans="1:8">
      <c r="A26426" t="n">
        <v>255203</v>
      </c>
      <c r="B26426" s="13" t="n">
        <v>49</v>
      </c>
      <c r="C26426" s="7" t="n">
        <v>0</v>
      </c>
      <c r="D26426" s="7" t="n">
        <v>551</v>
      </c>
      <c r="E26426" s="7" t="n">
        <v>1061997773</v>
      </c>
      <c r="F26426" s="7" t="n">
        <v>0</v>
      </c>
      <c r="G26426" s="7" t="n">
        <v>0</v>
      </c>
      <c r="H26426" s="7" t="n">
        <v>0</v>
      </c>
    </row>
    <row r="26427" spans="1:8">
      <c r="A26427" t="s">
        <v>4</v>
      </c>
      <c r="B26427" s="4" t="s">
        <v>5</v>
      </c>
      <c r="C26427" s="4" t="s">
        <v>7</v>
      </c>
      <c r="D26427" s="4" t="s">
        <v>11</v>
      </c>
    </row>
    <row r="26428" spans="1:8">
      <c r="A26428" t="n">
        <v>255218</v>
      </c>
      <c r="B26428" s="13" t="n">
        <v>49</v>
      </c>
      <c r="C26428" s="7" t="n">
        <v>6</v>
      </c>
      <c r="D26428" s="7" t="n">
        <v>551</v>
      </c>
    </row>
    <row r="26429" spans="1:8">
      <c r="A26429" t="s">
        <v>4</v>
      </c>
      <c r="B26429" s="4" t="s">
        <v>5</v>
      </c>
      <c r="C26429" s="4" t="s">
        <v>11</v>
      </c>
    </row>
    <row r="26430" spans="1:8">
      <c r="A26430" t="n">
        <v>255222</v>
      </c>
      <c r="B26430" s="29" t="n">
        <v>16</v>
      </c>
      <c r="C26430" s="7" t="n">
        <v>500</v>
      </c>
    </row>
    <row r="26431" spans="1:8">
      <c r="A26431" t="s">
        <v>4</v>
      </c>
      <c r="B26431" s="4" t="s">
        <v>5</v>
      </c>
      <c r="C26431" s="4" t="s">
        <v>7</v>
      </c>
      <c r="D26431" s="4" t="s">
        <v>11</v>
      </c>
      <c r="E26431" s="4" t="s">
        <v>8</v>
      </c>
    </row>
    <row r="26432" spans="1:8">
      <c r="A26432" t="n">
        <v>255225</v>
      </c>
      <c r="B26432" s="38" t="n">
        <v>51</v>
      </c>
      <c r="C26432" s="7" t="n">
        <v>4</v>
      </c>
      <c r="D26432" s="7" t="n">
        <v>5</v>
      </c>
      <c r="E26432" s="7" t="s">
        <v>137</v>
      </c>
    </row>
    <row r="26433" spans="1:8">
      <c r="A26433" t="s">
        <v>4</v>
      </c>
      <c r="B26433" s="4" t="s">
        <v>5</v>
      </c>
      <c r="C26433" s="4" t="s">
        <v>11</v>
      </c>
    </row>
    <row r="26434" spans="1:8">
      <c r="A26434" t="n">
        <v>255238</v>
      </c>
      <c r="B26434" s="29" t="n">
        <v>16</v>
      </c>
      <c r="C26434" s="7" t="n">
        <v>0</v>
      </c>
    </row>
    <row r="26435" spans="1:8">
      <c r="A26435" t="s">
        <v>4</v>
      </c>
      <c r="B26435" s="4" t="s">
        <v>5</v>
      </c>
      <c r="C26435" s="4" t="s">
        <v>11</v>
      </c>
      <c r="D26435" s="4" t="s">
        <v>7</v>
      </c>
      <c r="E26435" s="4" t="s">
        <v>15</v>
      </c>
      <c r="F26435" s="4" t="s">
        <v>55</v>
      </c>
      <c r="G26435" s="4" t="s">
        <v>7</v>
      </c>
      <c r="H26435" s="4" t="s">
        <v>7</v>
      </c>
      <c r="I26435" s="4" t="s">
        <v>7</v>
      </c>
      <c r="J26435" s="4" t="s">
        <v>15</v>
      </c>
      <c r="K26435" s="4" t="s">
        <v>55</v>
      </c>
      <c r="L26435" s="4" t="s">
        <v>7</v>
      </c>
      <c r="M26435" s="4" t="s">
        <v>7</v>
      </c>
      <c r="N26435" s="4" t="s">
        <v>7</v>
      </c>
      <c r="O26435" s="4" t="s">
        <v>15</v>
      </c>
      <c r="P26435" s="4" t="s">
        <v>55</v>
      </c>
      <c r="Q26435" s="4" t="s">
        <v>7</v>
      </c>
      <c r="R26435" s="4" t="s">
        <v>7</v>
      </c>
      <c r="S26435" s="4" t="s">
        <v>7</v>
      </c>
      <c r="T26435" s="4" t="s">
        <v>15</v>
      </c>
      <c r="U26435" s="4" t="s">
        <v>55</v>
      </c>
      <c r="V26435" s="4" t="s">
        <v>7</v>
      </c>
      <c r="W26435" s="4" t="s">
        <v>7</v>
      </c>
    </row>
    <row r="26436" spans="1:8">
      <c r="A26436" t="n">
        <v>255241</v>
      </c>
      <c r="B26436" s="55" t="n">
        <v>26</v>
      </c>
      <c r="C26436" s="7" t="n">
        <v>5</v>
      </c>
      <c r="D26436" s="7" t="n">
        <v>17</v>
      </c>
      <c r="E26436" s="7" t="n">
        <v>3800</v>
      </c>
      <c r="F26436" s="7" t="s">
        <v>505</v>
      </c>
      <c r="G26436" s="7" t="n">
        <v>2</v>
      </c>
      <c r="H26436" s="7" t="n">
        <v>3</v>
      </c>
      <c r="I26436" s="7" t="n">
        <v>17</v>
      </c>
      <c r="J26436" s="7" t="n">
        <v>3801</v>
      </c>
      <c r="K26436" s="7" t="s">
        <v>506</v>
      </c>
      <c r="L26436" s="7" t="n">
        <v>2</v>
      </c>
      <c r="M26436" s="7" t="n">
        <v>3</v>
      </c>
      <c r="N26436" s="7" t="n">
        <v>17</v>
      </c>
      <c r="O26436" s="7" t="n">
        <v>3802</v>
      </c>
      <c r="P26436" s="7" t="s">
        <v>507</v>
      </c>
      <c r="Q26436" s="7" t="n">
        <v>2</v>
      </c>
      <c r="R26436" s="7" t="n">
        <v>3</v>
      </c>
      <c r="S26436" s="7" t="n">
        <v>17</v>
      </c>
      <c r="T26436" s="7" t="n">
        <v>3803</v>
      </c>
      <c r="U26436" s="7" t="s">
        <v>508</v>
      </c>
      <c r="V26436" s="7" t="n">
        <v>2</v>
      </c>
      <c r="W26436" s="7" t="n">
        <v>0</v>
      </c>
    </row>
    <row r="26437" spans="1:8">
      <c r="A26437" t="s">
        <v>4</v>
      </c>
      <c r="B26437" s="4" t="s">
        <v>5</v>
      </c>
    </row>
    <row r="26438" spans="1:8">
      <c r="A26438" t="n">
        <v>255583</v>
      </c>
      <c r="B26438" s="27" t="n">
        <v>28</v>
      </c>
    </row>
    <row r="26439" spans="1:8">
      <c r="A26439" t="s">
        <v>4</v>
      </c>
      <c r="B26439" s="4" t="s">
        <v>5</v>
      </c>
      <c r="C26439" s="4" t="s">
        <v>7</v>
      </c>
      <c r="D26439" s="4" t="s">
        <v>11</v>
      </c>
      <c r="E26439" s="4" t="s">
        <v>8</v>
      </c>
    </row>
    <row r="26440" spans="1:8">
      <c r="A26440" t="n">
        <v>255584</v>
      </c>
      <c r="B26440" s="38" t="n">
        <v>51</v>
      </c>
      <c r="C26440" s="7" t="n">
        <v>4</v>
      </c>
      <c r="D26440" s="7" t="n">
        <v>0</v>
      </c>
      <c r="E26440" s="7" t="s">
        <v>304</v>
      </c>
    </row>
    <row r="26441" spans="1:8">
      <c r="A26441" t="s">
        <v>4</v>
      </c>
      <c r="B26441" s="4" t="s">
        <v>5</v>
      </c>
      <c r="C26441" s="4" t="s">
        <v>11</v>
      </c>
    </row>
    <row r="26442" spans="1:8">
      <c r="A26442" t="n">
        <v>255597</v>
      </c>
      <c r="B26442" s="29" t="n">
        <v>16</v>
      </c>
      <c r="C26442" s="7" t="n">
        <v>0</v>
      </c>
    </row>
    <row r="26443" spans="1:8">
      <c r="A26443" t="s">
        <v>4</v>
      </c>
      <c r="B26443" s="4" t="s">
        <v>5</v>
      </c>
      <c r="C26443" s="4" t="s">
        <v>11</v>
      </c>
      <c r="D26443" s="4" t="s">
        <v>7</v>
      </c>
      <c r="E26443" s="4" t="s">
        <v>15</v>
      </c>
      <c r="F26443" s="4" t="s">
        <v>55</v>
      </c>
      <c r="G26443" s="4" t="s">
        <v>7</v>
      </c>
      <c r="H26443" s="4" t="s">
        <v>7</v>
      </c>
      <c r="I26443" s="4" t="s">
        <v>7</v>
      </c>
      <c r="J26443" s="4" t="s">
        <v>15</v>
      </c>
      <c r="K26443" s="4" t="s">
        <v>55</v>
      </c>
      <c r="L26443" s="4" t="s">
        <v>7</v>
      </c>
      <c r="M26443" s="4" t="s">
        <v>7</v>
      </c>
      <c r="N26443" s="4" t="s">
        <v>7</v>
      </c>
      <c r="O26443" s="4" t="s">
        <v>15</v>
      </c>
      <c r="P26443" s="4" t="s">
        <v>55</v>
      </c>
      <c r="Q26443" s="4" t="s">
        <v>7</v>
      </c>
      <c r="R26443" s="4" t="s">
        <v>7</v>
      </c>
    </row>
    <row r="26444" spans="1:8">
      <c r="A26444" t="n">
        <v>255600</v>
      </c>
      <c r="B26444" s="55" t="n">
        <v>26</v>
      </c>
      <c r="C26444" s="7" t="n">
        <v>0</v>
      </c>
      <c r="D26444" s="7" t="n">
        <v>17</v>
      </c>
      <c r="E26444" s="7" t="n">
        <v>63885</v>
      </c>
      <c r="F26444" s="7" t="s">
        <v>509</v>
      </c>
      <c r="G26444" s="7" t="n">
        <v>2</v>
      </c>
      <c r="H26444" s="7" t="n">
        <v>3</v>
      </c>
      <c r="I26444" s="7" t="n">
        <v>17</v>
      </c>
      <c r="J26444" s="7" t="n">
        <v>63886</v>
      </c>
      <c r="K26444" s="7" t="s">
        <v>510</v>
      </c>
      <c r="L26444" s="7" t="n">
        <v>2</v>
      </c>
      <c r="M26444" s="7" t="n">
        <v>3</v>
      </c>
      <c r="N26444" s="7" t="n">
        <v>17</v>
      </c>
      <c r="O26444" s="7" t="n">
        <v>63887</v>
      </c>
      <c r="P26444" s="7" t="s">
        <v>511</v>
      </c>
      <c r="Q26444" s="7" t="n">
        <v>2</v>
      </c>
      <c r="R26444" s="7" t="n">
        <v>0</v>
      </c>
    </row>
    <row r="26445" spans="1:8">
      <c r="A26445" t="s">
        <v>4</v>
      </c>
      <c r="B26445" s="4" t="s">
        <v>5</v>
      </c>
    </row>
    <row r="26446" spans="1:8">
      <c r="A26446" t="n">
        <v>255787</v>
      </c>
      <c r="B26446" s="27" t="n">
        <v>28</v>
      </c>
    </row>
    <row r="26447" spans="1:8">
      <c r="A26447" t="s">
        <v>4</v>
      </c>
      <c r="B26447" s="4" t="s">
        <v>5</v>
      </c>
      <c r="C26447" s="4" t="s">
        <v>7</v>
      </c>
      <c r="D26447" s="4" t="s">
        <v>11</v>
      </c>
      <c r="E26447" s="4" t="s">
        <v>8</v>
      </c>
    </row>
    <row r="26448" spans="1:8">
      <c r="A26448" t="n">
        <v>255788</v>
      </c>
      <c r="B26448" s="38" t="n">
        <v>51</v>
      </c>
      <c r="C26448" s="7" t="n">
        <v>4</v>
      </c>
      <c r="D26448" s="7" t="n">
        <v>5</v>
      </c>
      <c r="E26448" s="7" t="s">
        <v>491</v>
      </c>
    </row>
    <row r="26449" spans="1:23">
      <c r="A26449" t="s">
        <v>4</v>
      </c>
      <c r="B26449" s="4" t="s">
        <v>5</v>
      </c>
      <c r="C26449" s="4" t="s">
        <v>11</v>
      </c>
    </row>
    <row r="26450" spans="1:23">
      <c r="A26450" t="n">
        <v>255802</v>
      </c>
      <c r="B26450" s="29" t="n">
        <v>16</v>
      </c>
      <c r="C26450" s="7" t="n">
        <v>0</v>
      </c>
    </row>
    <row r="26451" spans="1:23">
      <c r="A26451" t="s">
        <v>4</v>
      </c>
      <c r="B26451" s="4" t="s">
        <v>5</v>
      </c>
      <c r="C26451" s="4" t="s">
        <v>11</v>
      </c>
      <c r="D26451" s="4" t="s">
        <v>7</v>
      </c>
      <c r="E26451" s="4" t="s">
        <v>15</v>
      </c>
      <c r="F26451" s="4" t="s">
        <v>55</v>
      </c>
      <c r="G26451" s="4" t="s">
        <v>7</v>
      </c>
      <c r="H26451" s="4" t="s">
        <v>7</v>
      </c>
      <c r="I26451" s="4" t="s">
        <v>7</v>
      </c>
      <c r="J26451" s="4" t="s">
        <v>15</v>
      </c>
      <c r="K26451" s="4" t="s">
        <v>55</v>
      </c>
      <c r="L26451" s="4" t="s">
        <v>7</v>
      </c>
      <c r="M26451" s="4" t="s">
        <v>7</v>
      </c>
      <c r="N26451" s="4" t="s">
        <v>7</v>
      </c>
      <c r="O26451" s="4" t="s">
        <v>15</v>
      </c>
      <c r="P26451" s="4" t="s">
        <v>55</v>
      </c>
      <c r="Q26451" s="4" t="s">
        <v>7</v>
      </c>
      <c r="R26451" s="4" t="s">
        <v>7</v>
      </c>
      <c r="S26451" s="4" t="s">
        <v>7</v>
      </c>
      <c r="T26451" s="4" t="s">
        <v>15</v>
      </c>
      <c r="U26451" s="4" t="s">
        <v>55</v>
      </c>
      <c r="V26451" s="4" t="s">
        <v>7</v>
      </c>
      <c r="W26451" s="4" t="s">
        <v>7</v>
      </c>
    </row>
    <row r="26452" spans="1:23">
      <c r="A26452" t="n">
        <v>255805</v>
      </c>
      <c r="B26452" s="55" t="n">
        <v>26</v>
      </c>
      <c r="C26452" s="7" t="n">
        <v>5</v>
      </c>
      <c r="D26452" s="7" t="n">
        <v>17</v>
      </c>
      <c r="E26452" s="7" t="n">
        <v>3804</v>
      </c>
      <c r="F26452" s="7" t="s">
        <v>512</v>
      </c>
      <c r="G26452" s="7" t="n">
        <v>2</v>
      </c>
      <c r="H26452" s="7" t="n">
        <v>3</v>
      </c>
      <c r="I26452" s="7" t="n">
        <v>17</v>
      </c>
      <c r="J26452" s="7" t="n">
        <v>3805</v>
      </c>
      <c r="K26452" s="7" t="s">
        <v>513</v>
      </c>
      <c r="L26452" s="7" t="n">
        <v>2</v>
      </c>
      <c r="M26452" s="7" t="n">
        <v>3</v>
      </c>
      <c r="N26452" s="7" t="n">
        <v>17</v>
      </c>
      <c r="O26452" s="7" t="n">
        <v>3806</v>
      </c>
      <c r="P26452" s="7" t="s">
        <v>514</v>
      </c>
      <c r="Q26452" s="7" t="n">
        <v>2</v>
      </c>
      <c r="R26452" s="7" t="n">
        <v>3</v>
      </c>
      <c r="S26452" s="7" t="n">
        <v>17</v>
      </c>
      <c r="T26452" s="7" t="n">
        <v>3807</v>
      </c>
      <c r="U26452" s="7" t="s">
        <v>515</v>
      </c>
      <c r="V26452" s="7" t="n">
        <v>2</v>
      </c>
      <c r="W26452" s="7" t="n">
        <v>0</v>
      </c>
    </row>
    <row r="26453" spans="1:23">
      <c r="A26453" t="s">
        <v>4</v>
      </c>
      <c r="B26453" s="4" t="s">
        <v>5</v>
      </c>
    </row>
    <row r="26454" spans="1:23">
      <c r="A26454" t="n">
        <v>256227</v>
      </c>
      <c r="B26454" s="27" t="n">
        <v>28</v>
      </c>
    </row>
    <row r="26455" spans="1:23">
      <c r="A26455" t="s">
        <v>4</v>
      </c>
      <c r="B26455" s="4" t="s">
        <v>5</v>
      </c>
      <c r="C26455" s="4" t="s">
        <v>7</v>
      </c>
      <c r="D26455" s="4" t="s">
        <v>11</v>
      </c>
      <c r="E26455" s="4" t="s">
        <v>8</v>
      </c>
    </row>
    <row r="26456" spans="1:23">
      <c r="A26456" t="n">
        <v>256228</v>
      </c>
      <c r="B26456" s="38" t="n">
        <v>51</v>
      </c>
      <c r="C26456" s="7" t="n">
        <v>4</v>
      </c>
      <c r="D26456" s="7" t="n">
        <v>0</v>
      </c>
      <c r="E26456" s="7" t="s">
        <v>192</v>
      </c>
    </row>
    <row r="26457" spans="1:23">
      <c r="A26457" t="s">
        <v>4</v>
      </c>
      <c r="B26457" s="4" t="s">
        <v>5</v>
      </c>
      <c r="C26457" s="4" t="s">
        <v>11</v>
      </c>
    </row>
    <row r="26458" spans="1:23">
      <c r="A26458" t="n">
        <v>256241</v>
      </c>
      <c r="B26458" s="29" t="n">
        <v>16</v>
      </c>
      <c r="C26458" s="7" t="n">
        <v>0</v>
      </c>
    </row>
    <row r="26459" spans="1:23">
      <c r="A26459" t="s">
        <v>4</v>
      </c>
      <c r="B26459" s="4" t="s">
        <v>5</v>
      </c>
      <c r="C26459" s="4" t="s">
        <v>11</v>
      </c>
      <c r="D26459" s="4" t="s">
        <v>7</v>
      </c>
      <c r="E26459" s="4" t="s">
        <v>15</v>
      </c>
      <c r="F26459" s="4" t="s">
        <v>55</v>
      </c>
      <c r="G26459" s="4" t="s">
        <v>7</v>
      </c>
      <c r="H26459" s="4" t="s">
        <v>7</v>
      </c>
    </row>
    <row r="26460" spans="1:23">
      <c r="A26460" t="n">
        <v>256244</v>
      </c>
      <c r="B26460" s="55" t="n">
        <v>26</v>
      </c>
      <c r="C26460" s="7" t="n">
        <v>0</v>
      </c>
      <c r="D26460" s="7" t="n">
        <v>17</v>
      </c>
      <c r="E26460" s="7" t="n">
        <v>63888</v>
      </c>
      <c r="F26460" s="7" t="s">
        <v>516</v>
      </c>
      <c r="G26460" s="7" t="n">
        <v>2</v>
      </c>
      <c r="H26460" s="7" t="n">
        <v>0</v>
      </c>
    </row>
    <row r="26461" spans="1:23">
      <c r="A26461" t="s">
        <v>4</v>
      </c>
      <c r="B26461" s="4" t="s">
        <v>5</v>
      </c>
    </row>
    <row r="26462" spans="1:23">
      <c r="A26462" t="n">
        <v>256264</v>
      </c>
      <c r="B26462" s="27" t="n">
        <v>28</v>
      </c>
    </row>
    <row r="26463" spans="1:23">
      <c r="A26463" t="s">
        <v>4</v>
      </c>
      <c r="B26463" s="4" t="s">
        <v>5</v>
      </c>
      <c r="C26463" s="4" t="s">
        <v>7</v>
      </c>
      <c r="D26463" s="4" t="s">
        <v>11</v>
      </c>
      <c r="E26463" s="4" t="s">
        <v>8</v>
      </c>
    </row>
    <row r="26464" spans="1:23">
      <c r="A26464" t="n">
        <v>256265</v>
      </c>
      <c r="B26464" s="38" t="n">
        <v>51</v>
      </c>
      <c r="C26464" s="7" t="n">
        <v>4</v>
      </c>
      <c r="D26464" s="7" t="n">
        <v>5</v>
      </c>
      <c r="E26464" s="7" t="s">
        <v>242</v>
      </c>
    </row>
    <row r="26465" spans="1:23">
      <c r="A26465" t="s">
        <v>4</v>
      </c>
      <c r="B26465" s="4" t="s">
        <v>5</v>
      </c>
      <c r="C26465" s="4" t="s">
        <v>11</v>
      </c>
    </row>
    <row r="26466" spans="1:23">
      <c r="A26466" t="n">
        <v>256279</v>
      </c>
      <c r="B26466" s="29" t="n">
        <v>16</v>
      </c>
      <c r="C26466" s="7" t="n">
        <v>0</v>
      </c>
    </row>
    <row r="26467" spans="1:23">
      <c r="A26467" t="s">
        <v>4</v>
      </c>
      <c r="B26467" s="4" t="s">
        <v>5</v>
      </c>
      <c r="C26467" s="4" t="s">
        <v>11</v>
      </c>
      <c r="D26467" s="4" t="s">
        <v>7</v>
      </c>
      <c r="E26467" s="4" t="s">
        <v>15</v>
      </c>
      <c r="F26467" s="4" t="s">
        <v>55</v>
      </c>
      <c r="G26467" s="4" t="s">
        <v>7</v>
      </c>
      <c r="H26467" s="4" t="s">
        <v>7</v>
      </c>
      <c r="I26467" s="4" t="s">
        <v>7</v>
      </c>
      <c r="J26467" s="4" t="s">
        <v>15</v>
      </c>
      <c r="K26467" s="4" t="s">
        <v>55</v>
      </c>
      <c r="L26467" s="4" t="s">
        <v>7</v>
      </c>
      <c r="M26467" s="4" t="s">
        <v>7</v>
      </c>
      <c r="N26467" s="4" t="s">
        <v>7</v>
      </c>
      <c r="O26467" s="4" t="s">
        <v>15</v>
      </c>
      <c r="P26467" s="4" t="s">
        <v>55</v>
      </c>
      <c r="Q26467" s="4" t="s">
        <v>7</v>
      </c>
      <c r="R26467" s="4" t="s">
        <v>7</v>
      </c>
      <c r="S26467" s="4" t="s">
        <v>7</v>
      </c>
      <c r="T26467" s="4" t="s">
        <v>15</v>
      </c>
      <c r="U26467" s="4" t="s">
        <v>55</v>
      </c>
      <c r="V26467" s="4" t="s">
        <v>7</v>
      </c>
      <c r="W26467" s="4" t="s">
        <v>7</v>
      </c>
      <c r="X26467" s="4" t="s">
        <v>7</v>
      </c>
      <c r="Y26467" s="4" t="s">
        <v>15</v>
      </c>
      <c r="Z26467" s="4" t="s">
        <v>55</v>
      </c>
      <c r="AA26467" s="4" t="s">
        <v>7</v>
      </c>
      <c r="AB26467" s="4" t="s">
        <v>7</v>
      </c>
    </row>
    <row r="26468" spans="1:23">
      <c r="A26468" t="n">
        <v>256282</v>
      </c>
      <c r="B26468" s="55" t="n">
        <v>26</v>
      </c>
      <c r="C26468" s="7" t="n">
        <v>5</v>
      </c>
      <c r="D26468" s="7" t="n">
        <v>17</v>
      </c>
      <c r="E26468" s="7" t="n">
        <v>3808</v>
      </c>
      <c r="F26468" s="7" t="s">
        <v>517</v>
      </c>
      <c r="G26468" s="7" t="n">
        <v>2</v>
      </c>
      <c r="H26468" s="7" t="n">
        <v>3</v>
      </c>
      <c r="I26468" s="7" t="n">
        <v>17</v>
      </c>
      <c r="J26468" s="7" t="n">
        <v>3809</v>
      </c>
      <c r="K26468" s="7" t="s">
        <v>518</v>
      </c>
      <c r="L26468" s="7" t="n">
        <v>2</v>
      </c>
      <c r="M26468" s="7" t="n">
        <v>3</v>
      </c>
      <c r="N26468" s="7" t="n">
        <v>17</v>
      </c>
      <c r="O26468" s="7" t="n">
        <v>3810</v>
      </c>
      <c r="P26468" s="7" t="s">
        <v>519</v>
      </c>
      <c r="Q26468" s="7" t="n">
        <v>2</v>
      </c>
      <c r="R26468" s="7" t="n">
        <v>3</v>
      </c>
      <c r="S26468" s="7" t="n">
        <v>17</v>
      </c>
      <c r="T26468" s="7" t="n">
        <v>3811</v>
      </c>
      <c r="U26468" s="7" t="s">
        <v>520</v>
      </c>
      <c r="V26468" s="7" t="n">
        <v>2</v>
      </c>
      <c r="W26468" s="7" t="n">
        <v>3</v>
      </c>
      <c r="X26468" s="7" t="n">
        <v>17</v>
      </c>
      <c r="Y26468" s="7" t="n">
        <v>3812</v>
      </c>
      <c r="Z26468" s="7" t="s">
        <v>521</v>
      </c>
      <c r="AA26468" s="7" t="n">
        <v>2</v>
      </c>
      <c r="AB26468" s="7" t="n">
        <v>0</v>
      </c>
    </row>
    <row r="26469" spans="1:23">
      <c r="A26469" t="s">
        <v>4</v>
      </c>
      <c r="B26469" s="4" t="s">
        <v>5</v>
      </c>
    </row>
    <row r="26470" spans="1:23">
      <c r="A26470" t="n">
        <v>256791</v>
      </c>
      <c r="B26470" s="27" t="n">
        <v>28</v>
      </c>
    </row>
    <row r="26471" spans="1:23">
      <c r="A26471" t="s">
        <v>4</v>
      </c>
      <c r="B26471" s="4" t="s">
        <v>5</v>
      </c>
      <c r="C26471" s="4" t="s">
        <v>7</v>
      </c>
      <c r="D26471" s="4" t="s">
        <v>11</v>
      </c>
      <c r="E26471" s="4" t="s">
        <v>8</v>
      </c>
    </row>
    <row r="26472" spans="1:23">
      <c r="A26472" t="n">
        <v>256792</v>
      </c>
      <c r="B26472" s="38" t="n">
        <v>51</v>
      </c>
      <c r="C26472" s="7" t="n">
        <v>4</v>
      </c>
      <c r="D26472" s="7" t="n">
        <v>0</v>
      </c>
      <c r="E26472" s="7" t="s">
        <v>179</v>
      </c>
    </row>
    <row r="26473" spans="1:23">
      <c r="A26473" t="s">
        <v>4</v>
      </c>
      <c r="B26473" s="4" t="s">
        <v>5</v>
      </c>
      <c r="C26473" s="4" t="s">
        <v>11</v>
      </c>
    </row>
    <row r="26474" spans="1:23">
      <c r="A26474" t="n">
        <v>256806</v>
      </c>
      <c r="B26474" s="29" t="n">
        <v>16</v>
      </c>
      <c r="C26474" s="7" t="n">
        <v>0</v>
      </c>
    </row>
    <row r="26475" spans="1:23">
      <c r="A26475" t="s">
        <v>4</v>
      </c>
      <c r="B26475" s="4" t="s">
        <v>5</v>
      </c>
      <c r="C26475" s="4" t="s">
        <v>11</v>
      </c>
      <c r="D26475" s="4" t="s">
        <v>7</v>
      </c>
      <c r="E26475" s="4" t="s">
        <v>15</v>
      </c>
      <c r="F26475" s="4" t="s">
        <v>55</v>
      </c>
      <c r="G26475" s="4" t="s">
        <v>7</v>
      </c>
      <c r="H26475" s="4" t="s">
        <v>7</v>
      </c>
      <c r="I26475" s="4" t="s">
        <v>7</v>
      </c>
      <c r="J26475" s="4" t="s">
        <v>15</v>
      </c>
      <c r="K26475" s="4" t="s">
        <v>55</v>
      </c>
      <c r="L26475" s="4" t="s">
        <v>7</v>
      </c>
      <c r="M26475" s="4" t="s">
        <v>7</v>
      </c>
      <c r="N26475" s="4" t="s">
        <v>7</v>
      </c>
      <c r="O26475" s="4" t="s">
        <v>15</v>
      </c>
      <c r="P26475" s="4" t="s">
        <v>55</v>
      </c>
      <c r="Q26475" s="4" t="s">
        <v>7</v>
      </c>
      <c r="R26475" s="4" t="s">
        <v>7</v>
      </c>
      <c r="S26475" s="4" t="s">
        <v>7</v>
      </c>
      <c r="T26475" s="4" t="s">
        <v>15</v>
      </c>
      <c r="U26475" s="4" t="s">
        <v>55</v>
      </c>
      <c r="V26475" s="4" t="s">
        <v>7</v>
      </c>
      <c r="W26475" s="4" t="s">
        <v>7</v>
      </c>
    </row>
    <row r="26476" spans="1:23">
      <c r="A26476" t="n">
        <v>256809</v>
      </c>
      <c r="B26476" s="55" t="n">
        <v>26</v>
      </c>
      <c r="C26476" s="7" t="n">
        <v>0</v>
      </c>
      <c r="D26476" s="7" t="n">
        <v>17</v>
      </c>
      <c r="E26476" s="7" t="n">
        <v>63889</v>
      </c>
      <c r="F26476" s="7" t="s">
        <v>522</v>
      </c>
      <c r="G26476" s="7" t="n">
        <v>2</v>
      </c>
      <c r="H26476" s="7" t="n">
        <v>3</v>
      </c>
      <c r="I26476" s="7" t="n">
        <v>17</v>
      </c>
      <c r="J26476" s="7" t="n">
        <v>63890</v>
      </c>
      <c r="K26476" s="7" t="s">
        <v>523</v>
      </c>
      <c r="L26476" s="7" t="n">
        <v>2</v>
      </c>
      <c r="M26476" s="7" t="n">
        <v>3</v>
      </c>
      <c r="N26476" s="7" t="n">
        <v>17</v>
      </c>
      <c r="O26476" s="7" t="n">
        <v>63891</v>
      </c>
      <c r="P26476" s="7" t="s">
        <v>524</v>
      </c>
      <c r="Q26476" s="7" t="n">
        <v>2</v>
      </c>
      <c r="R26476" s="7" t="n">
        <v>3</v>
      </c>
      <c r="S26476" s="7" t="n">
        <v>17</v>
      </c>
      <c r="T26476" s="7" t="n">
        <v>63892</v>
      </c>
      <c r="U26476" s="7" t="s">
        <v>525</v>
      </c>
      <c r="V26476" s="7" t="n">
        <v>2</v>
      </c>
      <c r="W26476" s="7" t="n">
        <v>0</v>
      </c>
    </row>
    <row r="26477" spans="1:23">
      <c r="A26477" t="s">
        <v>4</v>
      </c>
      <c r="B26477" s="4" t="s">
        <v>5</v>
      </c>
    </row>
    <row r="26478" spans="1:23">
      <c r="A26478" t="n">
        <v>257183</v>
      </c>
      <c r="B26478" s="27" t="n">
        <v>28</v>
      </c>
    </row>
    <row r="26479" spans="1:23">
      <c r="A26479" t="s">
        <v>4</v>
      </c>
      <c r="B26479" s="4" t="s">
        <v>5</v>
      </c>
      <c r="C26479" s="4" t="s">
        <v>7</v>
      </c>
      <c r="D26479" s="4" t="s">
        <v>11</v>
      </c>
      <c r="E26479" s="4" t="s">
        <v>8</v>
      </c>
    </row>
    <row r="26480" spans="1:23">
      <c r="A26480" t="n">
        <v>257184</v>
      </c>
      <c r="B26480" s="38" t="n">
        <v>51</v>
      </c>
      <c r="C26480" s="7" t="n">
        <v>4</v>
      </c>
      <c r="D26480" s="7" t="n">
        <v>5</v>
      </c>
      <c r="E26480" s="7" t="s">
        <v>192</v>
      </c>
    </row>
    <row r="26481" spans="1:28">
      <c r="A26481" t="s">
        <v>4</v>
      </c>
      <c r="B26481" s="4" t="s">
        <v>5</v>
      </c>
      <c r="C26481" s="4" t="s">
        <v>11</v>
      </c>
    </row>
    <row r="26482" spans="1:28">
      <c r="A26482" t="n">
        <v>257197</v>
      </c>
      <c r="B26482" s="29" t="n">
        <v>16</v>
      </c>
      <c r="C26482" s="7" t="n">
        <v>0</v>
      </c>
    </row>
    <row r="26483" spans="1:28">
      <c r="A26483" t="s">
        <v>4</v>
      </c>
      <c r="B26483" s="4" t="s">
        <v>5</v>
      </c>
      <c r="C26483" s="4" t="s">
        <v>11</v>
      </c>
      <c r="D26483" s="4" t="s">
        <v>7</v>
      </c>
      <c r="E26483" s="4" t="s">
        <v>15</v>
      </c>
      <c r="F26483" s="4" t="s">
        <v>55</v>
      </c>
      <c r="G26483" s="4" t="s">
        <v>7</v>
      </c>
      <c r="H26483" s="4" t="s">
        <v>7</v>
      </c>
      <c r="I26483" s="4" t="s">
        <v>7</v>
      </c>
      <c r="J26483" s="4" t="s">
        <v>15</v>
      </c>
      <c r="K26483" s="4" t="s">
        <v>55</v>
      </c>
      <c r="L26483" s="4" t="s">
        <v>7</v>
      </c>
      <c r="M26483" s="4" t="s">
        <v>7</v>
      </c>
      <c r="N26483" s="4" t="s">
        <v>7</v>
      </c>
      <c r="O26483" s="4" t="s">
        <v>15</v>
      </c>
      <c r="P26483" s="4" t="s">
        <v>55</v>
      </c>
      <c r="Q26483" s="4" t="s">
        <v>7</v>
      </c>
      <c r="R26483" s="4" t="s">
        <v>7</v>
      </c>
    </row>
    <row r="26484" spans="1:28">
      <c r="A26484" t="n">
        <v>257200</v>
      </c>
      <c r="B26484" s="55" t="n">
        <v>26</v>
      </c>
      <c r="C26484" s="7" t="n">
        <v>5</v>
      </c>
      <c r="D26484" s="7" t="n">
        <v>17</v>
      </c>
      <c r="E26484" s="7" t="n">
        <v>3813</v>
      </c>
      <c r="F26484" s="7" t="s">
        <v>526</v>
      </c>
      <c r="G26484" s="7" t="n">
        <v>2</v>
      </c>
      <c r="H26484" s="7" t="n">
        <v>3</v>
      </c>
      <c r="I26484" s="7" t="n">
        <v>17</v>
      </c>
      <c r="J26484" s="7" t="n">
        <v>3814</v>
      </c>
      <c r="K26484" s="7" t="s">
        <v>527</v>
      </c>
      <c r="L26484" s="7" t="n">
        <v>2</v>
      </c>
      <c r="M26484" s="7" t="n">
        <v>3</v>
      </c>
      <c r="N26484" s="7" t="n">
        <v>17</v>
      </c>
      <c r="O26484" s="7" t="n">
        <v>3815</v>
      </c>
      <c r="P26484" s="7" t="s">
        <v>528</v>
      </c>
      <c r="Q26484" s="7" t="n">
        <v>2</v>
      </c>
      <c r="R26484" s="7" t="n">
        <v>0</v>
      </c>
    </row>
    <row r="26485" spans="1:28">
      <c r="A26485" t="s">
        <v>4</v>
      </c>
      <c r="B26485" s="4" t="s">
        <v>5</v>
      </c>
    </row>
    <row r="26486" spans="1:28">
      <c r="A26486" t="n">
        <v>257405</v>
      </c>
      <c r="B26486" s="27" t="n">
        <v>28</v>
      </c>
    </row>
    <row r="26487" spans="1:28">
      <c r="A26487" t="s">
        <v>4</v>
      </c>
      <c r="B26487" s="4" t="s">
        <v>5</v>
      </c>
      <c r="C26487" s="4" t="s">
        <v>7</v>
      </c>
      <c r="D26487" s="4" t="s">
        <v>11</v>
      </c>
      <c r="E26487" s="4" t="s">
        <v>8</v>
      </c>
      <c r="F26487" s="4" t="s">
        <v>8</v>
      </c>
      <c r="G26487" s="4" t="s">
        <v>8</v>
      </c>
      <c r="H26487" s="4" t="s">
        <v>8</v>
      </c>
    </row>
    <row r="26488" spans="1:28">
      <c r="A26488" t="n">
        <v>257406</v>
      </c>
      <c r="B26488" s="38" t="n">
        <v>51</v>
      </c>
      <c r="C26488" s="7" t="n">
        <v>3</v>
      </c>
      <c r="D26488" s="7" t="n">
        <v>5</v>
      </c>
      <c r="E26488" s="7" t="s">
        <v>372</v>
      </c>
      <c r="F26488" s="7" t="s">
        <v>79</v>
      </c>
      <c r="G26488" s="7" t="s">
        <v>78</v>
      </c>
      <c r="H26488" s="7" t="s">
        <v>79</v>
      </c>
    </row>
    <row r="26489" spans="1:28">
      <c r="A26489" t="s">
        <v>4</v>
      </c>
      <c r="B26489" s="4" t="s">
        <v>5</v>
      </c>
      <c r="C26489" s="4" t="s">
        <v>11</v>
      </c>
      <c r="D26489" s="4" t="s">
        <v>7</v>
      </c>
      <c r="E26489" s="4" t="s">
        <v>7</v>
      </c>
      <c r="F26489" s="4" t="s">
        <v>8</v>
      </c>
    </row>
    <row r="26490" spans="1:28">
      <c r="A26490" t="n">
        <v>257419</v>
      </c>
      <c r="B26490" s="50" t="n">
        <v>20</v>
      </c>
      <c r="C26490" s="7" t="n">
        <v>5</v>
      </c>
      <c r="D26490" s="7" t="n">
        <v>2</v>
      </c>
      <c r="E26490" s="7" t="n">
        <v>10</v>
      </c>
      <c r="F26490" s="7" t="s">
        <v>260</v>
      </c>
    </row>
    <row r="26491" spans="1:28">
      <c r="A26491" t="s">
        <v>4</v>
      </c>
      <c r="B26491" s="4" t="s">
        <v>5</v>
      </c>
      <c r="C26491" s="4" t="s">
        <v>11</v>
      </c>
    </row>
    <row r="26492" spans="1:28">
      <c r="A26492" t="n">
        <v>257439</v>
      </c>
      <c r="B26492" s="29" t="n">
        <v>16</v>
      </c>
      <c r="C26492" s="7" t="n">
        <v>800</v>
      </c>
    </row>
    <row r="26493" spans="1:28">
      <c r="A26493" t="s">
        <v>4</v>
      </c>
      <c r="B26493" s="4" t="s">
        <v>5</v>
      </c>
      <c r="C26493" s="4" t="s">
        <v>7</v>
      </c>
      <c r="D26493" s="4" t="s">
        <v>11</v>
      </c>
      <c r="E26493" s="4" t="s">
        <v>8</v>
      </c>
    </row>
    <row r="26494" spans="1:28">
      <c r="A26494" t="n">
        <v>257442</v>
      </c>
      <c r="B26494" s="38" t="n">
        <v>51</v>
      </c>
      <c r="C26494" s="7" t="n">
        <v>4</v>
      </c>
      <c r="D26494" s="7" t="n">
        <v>5</v>
      </c>
      <c r="E26494" s="7" t="s">
        <v>529</v>
      </c>
    </row>
    <row r="26495" spans="1:28">
      <c r="A26495" t="s">
        <v>4</v>
      </c>
      <c r="B26495" s="4" t="s">
        <v>5</v>
      </c>
      <c r="C26495" s="4" t="s">
        <v>11</v>
      </c>
    </row>
    <row r="26496" spans="1:28">
      <c r="A26496" t="n">
        <v>257485</v>
      </c>
      <c r="B26496" s="29" t="n">
        <v>16</v>
      </c>
      <c r="C26496" s="7" t="n">
        <v>0</v>
      </c>
    </row>
    <row r="26497" spans="1:18">
      <c r="A26497" t="s">
        <v>4</v>
      </c>
      <c r="B26497" s="4" t="s">
        <v>5</v>
      </c>
      <c r="C26497" s="4" t="s">
        <v>11</v>
      </c>
      <c r="D26497" s="4" t="s">
        <v>7</v>
      </c>
      <c r="E26497" s="4" t="s">
        <v>15</v>
      </c>
      <c r="F26497" s="4" t="s">
        <v>55</v>
      </c>
      <c r="G26497" s="4" t="s">
        <v>7</v>
      </c>
      <c r="H26497" s="4" t="s">
        <v>7</v>
      </c>
    </row>
    <row r="26498" spans="1:18">
      <c r="A26498" t="n">
        <v>257488</v>
      </c>
      <c r="B26498" s="55" t="n">
        <v>26</v>
      </c>
      <c r="C26498" s="7" t="n">
        <v>5</v>
      </c>
      <c r="D26498" s="7" t="n">
        <v>17</v>
      </c>
      <c r="E26498" s="7" t="n">
        <v>3816</v>
      </c>
      <c r="F26498" s="7" t="s">
        <v>530</v>
      </c>
      <c r="G26498" s="7" t="n">
        <v>2</v>
      </c>
      <c r="H26498" s="7" t="n">
        <v>0</v>
      </c>
    </row>
    <row r="26499" spans="1:18">
      <c r="A26499" t="s">
        <v>4</v>
      </c>
      <c r="B26499" s="4" t="s">
        <v>5</v>
      </c>
    </row>
    <row r="26500" spans="1:18">
      <c r="A26500" t="n">
        <v>257642</v>
      </c>
      <c r="B26500" s="27" t="n">
        <v>28</v>
      </c>
    </row>
    <row r="26501" spans="1:18">
      <c r="A26501" t="s">
        <v>4</v>
      </c>
      <c r="B26501" s="4" t="s">
        <v>5</v>
      </c>
      <c r="C26501" s="4" t="s">
        <v>7</v>
      </c>
      <c r="D26501" s="4" t="s">
        <v>11</v>
      </c>
      <c r="E26501" s="4" t="s">
        <v>8</v>
      </c>
    </row>
    <row r="26502" spans="1:18">
      <c r="A26502" t="n">
        <v>257643</v>
      </c>
      <c r="B26502" s="38" t="n">
        <v>51</v>
      </c>
      <c r="C26502" s="7" t="n">
        <v>4</v>
      </c>
      <c r="D26502" s="7" t="n">
        <v>0</v>
      </c>
      <c r="E26502" s="7" t="s">
        <v>206</v>
      </c>
    </row>
    <row r="26503" spans="1:18">
      <c r="A26503" t="s">
        <v>4</v>
      </c>
      <c r="B26503" s="4" t="s">
        <v>5</v>
      </c>
      <c r="C26503" s="4" t="s">
        <v>11</v>
      </c>
    </row>
    <row r="26504" spans="1:18">
      <c r="A26504" t="n">
        <v>257658</v>
      </c>
      <c r="B26504" s="29" t="n">
        <v>16</v>
      </c>
      <c r="C26504" s="7" t="n">
        <v>0</v>
      </c>
    </row>
    <row r="26505" spans="1:18">
      <c r="A26505" t="s">
        <v>4</v>
      </c>
      <c r="B26505" s="4" t="s">
        <v>5</v>
      </c>
      <c r="C26505" s="4" t="s">
        <v>11</v>
      </c>
      <c r="D26505" s="4" t="s">
        <v>7</v>
      </c>
      <c r="E26505" s="4" t="s">
        <v>15</v>
      </c>
      <c r="F26505" s="4" t="s">
        <v>55</v>
      </c>
      <c r="G26505" s="4" t="s">
        <v>7</v>
      </c>
      <c r="H26505" s="4" t="s">
        <v>7</v>
      </c>
    </row>
    <row r="26506" spans="1:18">
      <c r="A26506" t="n">
        <v>257661</v>
      </c>
      <c r="B26506" s="55" t="n">
        <v>26</v>
      </c>
      <c r="C26506" s="7" t="n">
        <v>0</v>
      </c>
      <c r="D26506" s="7" t="n">
        <v>17</v>
      </c>
      <c r="E26506" s="7" t="n">
        <v>64268</v>
      </c>
      <c r="F26506" s="7" t="s">
        <v>531</v>
      </c>
      <c r="G26506" s="7" t="n">
        <v>2</v>
      </c>
      <c r="H26506" s="7" t="n">
        <v>0</v>
      </c>
    </row>
    <row r="26507" spans="1:18">
      <c r="A26507" t="s">
        <v>4</v>
      </c>
      <c r="B26507" s="4" t="s">
        <v>5</v>
      </c>
    </row>
    <row r="26508" spans="1:18">
      <c r="A26508" t="n">
        <v>257682</v>
      </c>
      <c r="B26508" s="27" t="n">
        <v>28</v>
      </c>
    </row>
    <row r="26509" spans="1:18">
      <c r="A26509" t="s">
        <v>4</v>
      </c>
      <c r="B26509" s="4" t="s">
        <v>5</v>
      </c>
      <c r="C26509" s="4" t="s">
        <v>11</v>
      </c>
      <c r="D26509" s="4" t="s">
        <v>7</v>
      </c>
    </row>
    <row r="26510" spans="1:18">
      <c r="A26510" t="n">
        <v>257683</v>
      </c>
      <c r="B26510" s="68" t="n">
        <v>89</v>
      </c>
      <c r="C26510" s="7" t="n">
        <v>65533</v>
      </c>
      <c r="D26510" s="7" t="n">
        <v>1</v>
      </c>
    </row>
    <row r="26511" spans="1:18">
      <c r="A26511" t="s">
        <v>4</v>
      </c>
      <c r="B26511" s="4" t="s">
        <v>5</v>
      </c>
      <c r="C26511" s="4" t="s">
        <v>7</v>
      </c>
      <c r="D26511" s="4" t="s">
        <v>11</v>
      </c>
      <c r="E26511" s="4" t="s">
        <v>13</v>
      </c>
    </row>
    <row r="26512" spans="1:18">
      <c r="A26512" t="n">
        <v>257687</v>
      </c>
      <c r="B26512" s="23" t="n">
        <v>58</v>
      </c>
      <c r="C26512" s="7" t="n">
        <v>101</v>
      </c>
      <c r="D26512" s="7" t="n">
        <v>500</v>
      </c>
      <c r="E26512" s="7" t="n">
        <v>1</v>
      </c>
    </row>
    <row r="26513" spans="1:8">
      <c r="A26513" t="s">
        <v>4</v>
      </c>
      <c r="B26513" s="4" t="s">
        <v>5</v>
      </c>
      <c r="C26513" s="4" t="s">
        <v>7</v>
      </c>
      <c r="D26513" s="4" t="s">
        <v>11</v>
      </c>
    </row>
    <row r="26514" spans="1:8">
      <c r="A26514" t="n">
        <v>257695</v>
      </c>
      <c r="B26514" s="23" t="n">
        <v>58</v>
      </c>
      <c r="C26514" s="7" t="n">
        <v>254</v>
      </c>
      <c r="D26514" s="7" t="n">
        <v>0</v>
      </c>
    </row>
    <row r="26515" spans="1:8">
      <c r="A26515" t="s">
        <v>4</v>
      </c>
      <c r="B26515" s="4" t="s">
        <v>5</v>
      </c>
      <c r="C26515" s="4" t="s">
        <v>7</v>
      </c>
      <c r="D26515" s="4" t="s">
        <v>7</v>
      </c>
      <c r="E26515" s="4" t="s">
        <v>13</v>
      </c>
      <c r="F26515" s="4" t="s">
        <v>13</v>
      </c>
      <c r="G26515" s="4" t="s">
        <v>13</v>
      </c>
      <c r="H26515" s="4" t="s">
        <v>11</v>
      </c>
    </row>
    <row r="26516" spans="1:8">
      <c r="A26516" t="n">
        <v>257699</v>
      </c>
      <c r="B26516" s="51" t="n">
        <v>45</v>
      </c>
      <c r="C26516" s="7" t="n">
        <v>2</v>
      </c>
      <c r="D26516" s="7" t="n">
        <v>3</v>
      </c>
      <c r="E26516" s="7" t="n">
        <v>-6.86999988555908</v>
      </c>
      <c r="F26516" s="7" t="n">
        <v>6.46000003814697</v>
      </c>
      <c r="G26516" s="7" t="n">
        <v>29.9200000762939</v>
      </c>
      <c r="H26516" s="7" t="n">
        <v>0</v>
      </c>
    </row>
    <row r="26517" spans="1:8">
      <c r="A26517" t="s">
        <v>4</v>
      </c>
      <c r="B26517" s="4" t="s">
        <v>5</v>
      </c>
      <c r="C26517" s="4" t="s">
        <v>7</v>
      </c>
      <c r="D26517" s="4" t="s">
        <v>7</v>
      </c>
      <c r="E26517" s="4" t="s">
        <v>13</v>
      </c>
      <c r="F26517" s="4" t="s">
        <v>13</v>
      </c>
      <c r="G26517" s="4" t="s">
        <v>13</v>
      </c>
      <c r="H26517" s="4" t="s">
        <v>11</v>
      </c>
      <c r="I26517" s="4" t="s">
        <v>7</v>
      </c>
    </row>
    <row r="26518" spans="1:8">
      <c r="A26518" t="n">
        <v>257716</v>
      </c>
      <c r="B26518" s="51" t="n">
        <v>45</v>
      </c>
      <c r="C26518" s="7" t="n">
        <v>4</v>
      </c>
      <c r="D26518" s="7" t="n">
        <v>3</v>
      </c>
      <c r="E26518" s="7" t="n">
        <v>9.21000003814697</v>
      </c>
      <c r="F26518" s="7" t="n">
        <v>50.6699981689453</v>
      </c>
      <c r="G26518" s="7" t="n">
        <v>8</v>
      </c>
      <c r="H26518" s="7" t="n">
        <v>0</v>
      </c>
      <c r="I26518" s="7" t="n">
        <v>0</v>
      </c>
    </row>
    <row r="26519" spans="1:8">
      <c r="A26519" t="s">
        <v>4</v>
      </c>
      <c r="B26519" s="4" t="s">
        <v>5</v>
      </c>
      <c r="C26519" s="4" t="s">
        <v>7</v>
      </c>
      <c r="D26519" s="4" t="s">
        <v>7</v>
      </c>
      <c r="E26519" s="4" t="s">
        <v>13</v>
      </c>
      <c r="F26519" s="4" t="s">
        <v>11</v>
      </c>
    </row>
    <row r="26520" spans="1:8">
      <c r="A26520" t="n">
        <v>257734</v>
      </c>
      <c r="B26520" s="51" t="n">
        <v>45</v>
      </c>
      <c r="C26520" s="7" t="n">
        <v>5</v>
      </c>
      <c r="D26520" s="7" t="n">
        <v>3</v>
      </c>
      <c r="E26520" s="7" t="n">
        <v>1.10000002384186</v>
      </c>
      <c r="F26520" s="7" t="n">
        <v>0</v>
      </c>
    </row>
    <row r="26521" spans="1:8">
      <c r="A26521" t="s">
        <v>4</v>
      </c>
      <c r="B26521" s="4" t="s">
        <v>5</v>
      </c>
      <c r="C26521" s="4" t="s">
        <v>7</v>
      </c>
      <c r="D26521" s="4" t="s">
        <v>7</v>
      </c>
      <c r="E26521" s="4" t="s">
        <v>13</v>
      </c>
      <c r="F26521" s="4" t="s">
        <v>11</v>
      </c>
    </row>
    <row r="26522" spans="1:8">
      <c r="A26522" t="n">
        <v>257743</v>
      </c>
      <c r="B26522" s="51" t="n">
        <v>45</v>
      </c>
      <c r="C26522" s="7" t="n">
        <v>11</v>
      </c>
      <c r="D26522" s="7" t="n">
        <v>3</v>
      </c>
      <c r="E26522" s="7" t="n">
        <v>40.2999992370605</v>
      </c>
      <c r="F26522" s="7" t="n">
        <v>0</v>
      </c>
    </row>
    <row r="26523" spans="1:8">
      <c r="A26523" t="s">
        <v>4</v>
      </c>
      <c r="B26523" s="4" t="s">
        <v>5</v>
      </c>
      <c r="C26523" s="4" t="s">
        <v>7</v>
      </c>
      <c r="D26523" s="4" t="s">
        <v>11</v>
      </c>
    </row>
    <row r="26524" spans="1:8">
      <c r="A26524" t="n">
        <v>257752</v>
      </c>
      <c r="B26524" s="23" t="n">
        <v>58</v>
      </c>
      <c r="C26524" s="7" t="n">
        <v>255</v>
      </c>
      <c r="D26524" s="7" t="n">
        <v>0</v>
      </c>
    </row>
    <row r="26525" spans="1:8">
      <c r="A26525" t="s">
        <v>4</v>
      </c>
      <c r="B26525" s="4" t="s">
        <v>5</v>
      </c>
      <c r="C26525" s="4" t="s">
        <v>7</v>
      </c>
      <c r="D26525" s="4" t="s">
        <v>11</v>
      </c>
      <c r="E26525" s="4" t="s">
        <v>8</v>
      </c>
    </row>
    <row r="26526" spans="1:8">
      <c r="A26526" t="n">
        <v>257756</v>
      </c>
      <c r="B26526" s="38" t="n">
        <v>51</v>
      </c>
      <c r="C26526" s="7" t="n">
        <v>4</v>
      </c>
      <c r="D26526" s="7" t="n">
        <v>5</v>
      </c>
      <c r="E26526" s="7" t="s">
        <v>532</v>
      </c>
    </row>
    <row r="26527" spans="1:8">
      <c r="A26527" t="s">
        <v>4</v>
      </c>
      <c r="B26527" s="4" t="s">
        <v>5</v>
      </c>
      <c r="C26527" s="4" t="s">
        <v>11</v>
      </c>
    </row>
    <row r="26528" spans="1:8">
      <c r="A26528" t="n">
        <v>257775</v>
      </c>
      <c r="B26528" s="29" t="n">
        <v>16</v>
      </c>
      <c r="C26528" s="7" t="n">
        <v>0</v>
      </c>
    </row>
    <row r="26529" spans="1:9">
      <c r="A26529" t="s">
        <v>4</v>
      </c>
      <c r="B26529" s="4" t="s">
        <v>5</v>
      </c>
      <c r="C26529" s="4" t="s">
        <v>11</v>
      </c>
      <c r="D26529" s="4" t="s">
        <v>7</v>
      </c>
      <c r="E26529" s="4" t="s">
        <v>15</v>
      </c>
      <c r="F26529" s="4" t="s">
        <v>55</v>
      </c>
      <c r="G26529" s="4" t="s">
        <v>7</v>
      </c>
      <c r="H26529" s="4" t="s">
        <v>7</v>
      </c>
    </row>
    <row r="26530" spans="1:9">
      <c r="A26530" t="n">
        <v>257778</v>
      </c>
      <c r="B26530" s="55" t="n">
        <v>26</v>
      </c>
      <c r="C26530" s="7" t="n">
        <v>5</v>
      </c>
      <c r="D26530" s="7" t="n">
        <v>17</v>
      </c>
      <c r="E26530" s="7" t="n">
        <v>3817</v>
      </c>
      <c r="F26530" s="7" t="s">
        <v>533</v>
      </c>
      <c r="G26530" s="7" t="n">
        <v>2</v>
      </c>
      <c r="H26530" s="7" t="n">
        <v>0</v>
      </c>
    </row>
    <row r="26531" spans="1:9">
      <c r="A26531" t="s">
        <v>4</v>
      </c>
      <c r="B26531" s="4" t="s">
        <v>5</v>
      </c>
    </row>
    <row r="26532" spans="1:9">
      <c r="A26532" t="n">
        <v>257796</v>
      </c>
      <c r="B26532" s="27" t="n">
        <v>28</v>
      </c>
    </row>
    <row r="26533" spans="1:9">
      <c r="A26533" t="s">
        <v>4</v>
      </c>
      <c r="B26533" s="4" t="s">
        <v>5</v>
      </c>
      <c r="C26533" s="4" t="s">
        <v>7</v>
      </c>
      <c r="D26533" s="4" t="s">
        <v>11</v>
      </c>
      <c r="E26533" s="4" t="s">
        <v>8</v>
      </c>
    </row>
    <row r="26534" spans="1:9">
      <c r="A26534" t="n">
        <v>257797</v>
      </c>
      <c r="B26534" s="38" t="n">
        <v>51</v>
      </c>
      <c r="C26534" s="7" t="n">
        <v>4</v>
      </c>
      <c r="D26534" s="7" t="n">
        <v>0</v>
      </c>
      <c r="E26534" s="7" t="s">
        <v>242</v>
      </c>
    </row>
    <row r="26535" spans="1:9">
      <c r="A26535" t="s">
        <v>4</v>
      </c>
      <c r="B26535" s="4" t="s">
        <v>5</v>
      </c>
      <c r="C26535" s="4" t="s">
        <v>11</v>
      </c>
    </row>
    <row r="26536" spans="1:9">
      <c r="A26536" t="n">
        <v>257811</v>
      </c>
      <c r="B26536" s="29" t="n">
        <v>16</v>
      </c>
      <c r="C26536" s="7" t="n">
        <v>500</v>
      </c>
    </row>
    <row r="26537" spans="1:9">
      <c r="A26537" t="s">
        <v>4</v>
      </c>
      <c r="B26537" s="4" t="s">
        <v>5</v>
      </c>
      <c r="C26537" s="4" t="s">
        <v>11</v>
      </c>
      <c r="D26537" s="4" t="s">
        <v>7</v>
      </c>
      <c r="E26537" s="4" t="s">
        <v>15</v>
      </c>
      <c r="F26537" s="4" t="s">
        <v>55</v>
      </c>
      <c r="G26537" s="4" t="s">
        <v>7</v>
      </c>
      <c r="H26537" s="4" t="s">
        <v>7</v>
      </c>
      <c r="I26537" s="4" t="s">
        <v>7</v>
      </c>
      <c r="J26537" s="4" t="s">
        <v>15</v>
      </c>
      <c r="K26537" s="4" t="s">
        <v>55</v>
      </c>
      <c r="L26537" s="4" t="s">
        <v>7</v>
      </c>
      <c r="M26537" s="4" t="s">
        <v>7</v>
      </c>
      <c r="N26537" s="4" t="s">
        <v>7</v>
      </c>
      <c r="O26537" s="4" t="s">
        <v>15</v>
      </c>
      <c r="P26537" s="4" t="s">
        <v>55</v>
      </c>
      <c r="Q26537" s="4" t="s">
        <v>7</v>
      </c>
      <c r="R26537" s="4" t="s">
        <v>7</v>
      </c>
      <c r="S26537" s="4" t="s">
        <v>7</v>
      </c>
      <c r="T26537" s="4" t="s">
        <v>15</v>
      </c>
      <c r="U26537" s="4" t="s">
        <v>55</v>
      </c>
      <c r="V26537" s="4" t="s">
        <v>7</v>
      </c>
      <c r="W26537" s="4" t="s">
        <v>7</v>
      </c>
    </row>
    <row r="26538" spans="1:9">
      <c r="A26538" t="n">
        <v>257814</v>
      </c>
      <c r="B26538" s="55" t="n">
        <v>26</v>
      </c>
      <c r="C26538" s="7" t="n">
        <v>0</v>
      </c>
      <c r="D26538" s="7" t="n">
        <v>17</v>
      </c>
      <c r="E26538" s="7" t="n">
        <v>63893</v>
      </c>
      <c r="F26538" s="7" t="s">
        <v>534</v>
      </c>
      <c r="G26538" s="7" t="n">
        <v>2</v>
      </c>
      <c r="H26538" s="7" t="n">
        <v>3</v>
      </c>
      <c r="I26538" s="7" t="n">
        <v>17</v>
      </c>
      <c r="J26538" s="7" t="n">
        <v>63894</v>
      </c>
      <c r="K26538" s="7" t="s">
        <v>535</v>
      </c>
      <c r="L26538" s="7" t="n">
        <v>2</v>
      </c>
      <c r="M26538" s="7" t="n">
        <v>3</v>
      </c>
      <c r="N26538" s="7" t="n">
        <v>17</v>
      </c>
      <c r="O26538" s="7" t="n">
        <v>63895</v>
      </c>
      <c r="P26538" s="7" t="s">
        <v>536</v>
      </c>
      <c r="Q26538" s="7" t="n">
        <v>2</v>
      </c>
      <c r="R26538" s="7" t="n">
        <v>3</v>
      </c>
      <c r="S26538" s="7" t="n">
        <v>17</v>
      </c>
      <c r="T26538" s="7" t="n">
        <v>63896</v>
      </c>
      <c r="U26538" s="7" t="s">
        <v>537</v>
      </c>
      <c r="V26538" s="7" t="n">
        <v>2</v>
      </c>
      <c r="W26538" s="7" t="n">
        <v>0</v>
      </c>
    </row>
    <row r="26539" spans="1:9">
      <c r="A26539" t="s">
        <v>4</v>
      </c>
      <c r="B26539" s="4" t="s">
        <v>5</v>
      </c>
    </row>
    <row r="26540" spans="1:9">
      <c r="A26540" t="n">
        <v>258192</v>
      </c>
      <c r="B26540" s="27" t="n">
        <v>28</v>
      </c>
    </row>
    <row r="26541" spans="1:9">
      <c r="A26541" t="s">
        <v>4</v>
      </c>
      <c r="B26541" s="4" t="s">
        <v>5</v>
      </c>
      <c r="C26541" s="4" t="s">
        <v>7</v>
      </c>
      <c r="D26541" s="4" t="s">
        <v>11</v>
      </c>
      <c r="E26541" s="4" t="s">
        <v>8</v>
      </c>
    </row>
    <row r="26542" spans="1:9">
      <c r="A26542" t="n">
        <v>258193</v>
      </c>
      <c r="B26542" s="38" t="n">
        <v>51</v>
      </c>
      <c r="C26542" s="7" t="n">
        <v>4</v>
      </c>
      <c r="D26542" s="7" t="n">
        <v>5</v>
      </c>
      <c r="E26542" s="7" t="s">
        <v>245</v>
      </c>
    </row>
    <row r="26543" spans="1:9">
      <c r="A26543" t="s">
        <v>4</v>
      </c>
      <c r="B26543" s="4" t="s">
        <v>5</v>
      </c>
      <c r="C26543" s="4" t="s">
        <v>11</v>
      </c>
    </row>
    <row r="26544" spans="1:9">
      <c r="A26544" t="n">
        <v>258207</v>
      </c>
      <c r="B26544" s="29" t="n">
        <v>16</v>
      </c>
      <c r="C26544" s="7" t="n">
        <v>0</v>
      </c>
    </row>
    <row r="26545" spans="1:23">
      <c r="A26545" t="s">
        <v>4</v>
      </c>
      <c r="B26545" s="4" t="s">
        <v>5</v>
      </c>
      <c r="C26545" s="4" t="s">
        <v>11</v>
      </c>
      <c r="D26545" s="4" t="s">
        <v>7</v>
      </c>
      <c r="E26545" s="4" t="s">
        <v>15</v>
      </c>
      <c r="F26545" s="4" t="s">
        <v>55</v>
      </c>
      <c r="G26545" s="4" t="s">
        <v>7</v>
      </c>
      <c r="H26545" s="4" t="s">
        <v>7</v>
      </c>
    </row>
    <row r="26546" spans="1:23">
      <c r="A26546" t="n">
        <v>258210</v>
      </c>
      <c r="B26546" s="55" t="n">
        <v>26</v>
      </c>
      <c r="C26546" s="7" t="n">
        <v>5</v>
      </c>
      <c r="D26546" s="7" t="n">
        <v>17</v>
      </c>
      <c r="E26546" s="7" t="n">
        <v>3818</v>
      </c>
      <c r="F26546" s="7" t="s">
        <v>538</v>
      </c>
      <c r="G26546" s="7" t="n">
        <v>2</v>
      </c>
      <c r="H26546" s="7" t="n">
        <v>0</v>
      </c>
    </row>
    <row r="26547" spans="1:23">
      <c r="A26547" t="s">
        <v>4</v>
      </c>
      <c r="B26547" s="4" t="s">
        <v>5</v>
      </c>
    </row>
    <row r="26548" spans="1:23">
      <c r="A26548" t="n">
        <v>258241</v>
      </c>
      <c r="B26548" s="27" t="n">
        <v>28</v>
      </c>
    </row>
    <row r="26549" spans="1:23">
      <c r="A26549" t="s">
        <v>4</v>
      </c>
      <c r="B26549" s="4" t="s">
        <v>5</v>
      </c>
      <c r="C26549" s="4" t="s">
        <v>11</v>
      </c>
      <c r="D26549" s="4" t="s">
        <v>7</v>
      </c>
    </row>
    <row r="26550" spans="1:23">
      <c r="A26550" t="n">
        <v>258242</v>
      </c>
      <c r="B26550" s="68" t="n">
        <v>89</v>
      </c>
      <c r="C26550" s="7" t="n">
        <v>65533</v>
      </c>
      <c r="D26550" s="7" t="n">
        <v>1</v>
      </c>
    </row>
    <row r="26551" spans="1:23">
      <c r="A26551" t="s">
        <v>4</v>
      </c>
      <c r="B26551" s="4" t="s">
        <v>5</v>
      </c>
      <c r="C26551" s="4" t="s">
        <v>7</v>
      </c>
      <c r="D26551" s="4" t="s">
        <v>11</v>
      </c>
      <c r="E26551" s="4" t="s">
        <v>13</v>
      </c>
    </row>
    <row r="26552" spans="1:23">
      <c r="A26552" t="n">
        <v>258246</v>
      </c>
      <c r="B26552" s="23" t="n">
        <v>58</v>
      </c>
      <c r="C26552" s="7" t="n">
        <v>101</v>
      </c>
      <c r="D26552" s="7" t="n">
        <v>500</v>
      </c>
      <c r="E26552" s="7" t="n">
        <v>1</v>
      </c>
    </row>
    <row r="26553" spans="1:23">
      <c r="A26553" t="s">
        <v>4</v>
      </c>
      <c r="B26553" s="4" t="s">
        <v>5</v>
      </c>
      <c r="C26553" s="4" t="s">
        <v>7</v>
      </c>
      <c r="D26553" s="4" t="s">
        <v>11</v>
      </c>
    </row>
    <row r="26554" spans="1:23">
      <c r="A26554" t="n">
        <v>258254</v>
      </c>
      <c r="B26554" s="23" t="n">
        <v>58</v>
      </c>
      <c r="C26554" s="7" t="n">
        <v>254</v>
      </c>
      <c r="D26554" s="7" t="n">
        <v>0</v>
      </c>
    </row>
    <row r="26555" spans="1:23">
      <c r="A26555" t="s">
        <v>4</v>
      </c>
      <c r="B26555" s="4" t="s">
        <v>5</v>
      </c>
      <c r="C26555" s="4" t="s">
        <v>7</v>
      </c>
      <c r="D26555" s="4" t="s">
        <v>7</v>
      </c>
      <c r="E26555" s="4" t="s">
        <v>13</v>
      </c>
      <c r="F26555" s="4" t="s">
        <v>13</v>
      </c>
      <c r="G26555" s="4" t="s">
        <v>13</v>
      </c>
      <c r="H26555" s="4" t="s">
        <v>11</v>
      </c>
    </row>
    <row r="26556" spans="1:23">
      <c r="A26556" t="n">
        <v>258258</v>
      </c>
      <c r="B26556" s="51" t="n">
        <v>45</v>
      </c>
      <c r="C26556" s="7" t="n">
        <v>2</v>
      </c>
      <c r="D26556" s="7" t="n">
        <v>3</v>
      </c>
      <c r="E26556" s="7" t="n">
        <v>-6.6100001335144</v>
      </c>
      <c r="F26556" s="7" t="n">
        <v>6.44000005722046</v>
      </c>
      <c r="G26556" s="7" t="n">
        <v>29.9300003051758</v>
      </c>
      <c r="H26556" s="7" t="n">
        <v>0</v>
      </c>
    </row>
    <row r="26557" spans="1:23">
      <c r="A26557" t="s">
        <v>4</v>
      </c>
      <c r="B26557" s="4" t="s">
        <v>5</v>
      </c>
      <c r="C26557" s="4" t="s">
        <v>7</v>
      </c>
      <c r="D26557" s="4" t="s">
        <v>7</v>
      </c>
      <c r="E26557" s="4" t="s">
        <v>13</v>
      </c>
      <c r="F26557" s="4" t="s">
        <v>13</v>
      </c>
      <c r="G26557" s="4" t="s">
        <v>13</v>
      </c>
      <c r="H26557" s="4" t="s">
        <v>11</v>
      </c>
      <c r="I26557" s="4" t="s">
        <v>7</v>
      </c>
    </row>
    <row r="26558" spans="1:23">
      <c r="A26558" t="n">
        <v>258275</v>
      </c>
      <c r="B26558" s="51" t="n">
        <v>45</v>
      </c>
      <c r="C26558" s="7" t="n">
        <v>4</v>
      </c>
      <c r="D26558" s="7" t="n">
        <v>3</v>
      </c>
      <c r="E26558" s="7" t="n">
        <v>357</v>
      </c>
      <c r="F26558" s="7" t="n">
        <v>284.700012207031</v>
      </c>
      <c r="G26558" s="7" t="n">
        <v>4</v>
      </c>
      <c r="H26558" s="7" t="n">
        <v>0</v>
      </c>
      <c r="I26558" s="7" t="n">
        <v>0</v>
      </c>
    </row>
    <row r="26559" spans="1:23">
      <c r="A26559" t="s">
        <v>4</v>
      </c>
      <c r="B26559" s="4" t="s">
        <v>5</v>
      </c>
      <c r="C26559" s="4" t="s">
        <v>7</v>
      </c>
      <c r="D26559" s="4" t="s">
        <v>7</v>
      </c>
      <c r="E26559" s="4" t="s">
        <v>13</v>
      </c>
      <c r="F26559" s="4" t="s">
        <v>11</v>
      </c>
    </row>
    <row r="26560" spans="1:23">
      <c r="A26560" t="n">
        <v>258293</v>
      </c>
      <c r="B26560" s="51" t="n">
        <v>45</v>
      </c>
      <c r="C26560" s="7" t="n">
        <v>5</v>
      </c>
      <c r="D26560" s="7" t="n">
        <v>3</v>
      </c>
      <c r="E26560" s="7" t="n">
        <v>1</v>
      </c>
      <c r="F26560" s="7" t="n">
        <v>0</v>
      </c>
    </row>
    <row r="26561" spans="1:9">
      <c r="A26561" t="s">
        <v>4</v>
      </c>
      <c r="B26561" s="4" t="s">
        <v>5</v>
      </c>
      <c r="C26561" s="4" t="s">
        <v>7</v>
      </c>
      <c r="D26561" s="4" t="s">
        <v>7</v>
      </c>
      <c r="E26561" s="4" t="s">
        <v>13</v>
      </c>
      <c r="F26561" s="4" t="s">
        <v>11</v>
      </c>
    </row>
    <row r="26562" spans="1:9">
      <c r="A26562" t="n">
        <v>258302</v>
      </c>
      <c r="B26562" s="51" t="n">
        <v>45</v>
      </c>
      <c r="C26562" s="7" t="n">
        <v>11</v>
      </c>
      <c r="D26562" s="7" t="n">
        <v>3</v>
      </c>
      <c r="E26562" s="7" t="n">
        <v>40.2999992370605</v>
      </c>
      <c r="F26562" s="7" t="n">
        <v>0</v>
      </c>
    </row>
    <row r="26563" spans="1:9">
      <c r="A26563" t="s">
        <v>4</v>
      </c>
      <c r="B26563" s="4" t="s">
        <v>5</v>
      </c>
      <c r="C26563" s="4" t="s">
        <v>7</v>
      </c>
      <c r="D26563" s="4" t="s">
        <v>11</v>
      </c>
      <c r="E26563" s="4" t="s">
        <v>8</v>
      </c>
      <c r="F26563" s="4" t="s">
        <v>8</v>
      </c>
      <c r="G26563" s="4" t="s">
        <v>8</v>
      </c>
      <c r="H26563" s="4" t="s">
        <v>8</v>
      </c>
    </row>
    <row r="26564" spans="1:9">
      <c r="A26564" t="n">
        <v>258311</v>
      </c>
      <c r="B26564" s="38" t="n">
        <v>51</v>
      </c>
      <c r="C26564" s="7" t="n">
        <v>3</v>
      </c>
      <c r="D26564" s="7" t="n">
        <v>0</v>
      </c>
      <c r="E26564" s="7" t="s">
        <v>86</v>
      </c>
      <c r="F26564" s="7" t="s">
        <v>79</v>
      </c>
      <c r="G26564" s="7" t="s">
        <v>78</v>
      </c>
      <c r="H26564" s="7" t="s">
        <v>79</v>
      </c>
    </row>
    <row r="26565" spans="1:9">
      <c r="A26565" t="s">
        <v>4</v>
      </c>
      <c r="B26565" s="4" t="s">
        <v>5</v>
      </c>
      <c r="C26565" s="4" t="s">
        <v>7</v>
      </c>
      <c r="D26565" s="4" t="s">
        <v>11</v>
      </c>
    </row>
    <row r="26566" spans="1:9">
      <c r="A26566" t="n">
        <v>258324</v>
      </c>
      <c r="B26566" s="23" t="n">
        <v>58</v>
      </c>
      <c r="C26566" s="7" t="n">
        <v>255</v>
      </c>
      <c r="D26566" s="7" t="n">
        <v>0</v>
      </c>
    </row>
    <row r="26567" spans="1:9">
      <c r="A26567" t="s">
        <v>4</v>
      </c>
      <c r="B26567" s="4" t="s">
        <v>5</v>
      </c>
      <c r="C26567" s="4" t="s">
        <v>7</v>
      </c>
      <c r="D26567" s="4" t="s">
        <v>11</v>
      </c>
      <c r="E26567" s="4" t="s">
        <v>8</v>
      </c>
    </row>
    <row r="26568" spans="1:9">
      <c r="A26568" t="n">
        <v>258328</v>
      </c>
      <c r="B26568" s="38" t="n">
        <v>51</v>
      </c>
      <c r="C26568" s="7" t="n">
        <v>4</v>
      </c>
      <c r="D26568" s="7" t="n">
        <v>0</v>
      </c>
      <c r="E26568" s="7" t="s">
        <v>137</v>
      </c>
    </row>
    <row r="26569" spans="1:9">
      <c r="A26569" t="s">
        <v>4</v>
      </c>
      <c r="B26569" s="4" t="s">
        <v>5</v>
      </c>
      <c r="C26569" s="4" t="s">
        <v>11</v>
      </c>
    </row>
    <row r="26570" spans="1:9">
      <c r="A26570" t="n">
        <v>258341</v>
      </c>
      <c r="B26570" s="29" t="n">
        <v>16</v>
      </c>
      <c r="C26570" s="7" t="n">
        <v>500</v>
      </c>
    </row>
    <row r="26571" spans="1:9">
      <c r="A26571" t="s">
        <v>4</v>
      </c>
      <c r="B26571" s="4" t="s">
        <v>5</v>
      </c>
      <c r="C26571" s="4" t="s">
        <v>11</v>
      </c>
      <c r="D26571" s="4" t="s">
        <v>7</v>
      </c>
      <c r="E26571" s="4" t="s">
        <v>15</v>
      </c>
      <c r="F26571" s="4" t="s">
        <v>55</v>
      </c>
      <c r="G26571" s="4" t="s">
        <v>7</v>
      </c>
      <c r="H26571" s="4" t="s">
        <v>7</v>
      </c>
      <c r="I26571" s="4" t="s">
        <v>7</v>
      </c>
      <c r="J26571" s="4" t="s">
        <v>15</v>
      </c>
      <c r="K26571" s="4" t="s">
        <v>55</v>
      </c>
      <c r="L26571" s="4" t="s">
        <v>7</v>
      </c>
      <c r="M26571" s="4" t="s">
        <v>7</v>
      </c>
      <c r="N26571" s="4" t="s">
        <v>7</v>
      </c>
      <c r="O26571" s="4" t="s">
        <v>15</v>
      </c>
      <c r="P26571" s="4" t="s">
        <v>55</v>
      </c>
      <c r="Q26571" s="4" t="s">
        <v>7</v>
      </c>
      <c r="R26571" s="4" t="s">
        <v>7</v>
      </c>
      <c r="S26571" s="4" t="s">
        <v>7</v>
      </c>
      <c r="T26571" s="4" t="s">
        <v>15</v>
      </c>
      <c r="U26571" s="4" t="s">
        <v>55</v>
      </c>
      <c r="V26571" s="4" t="s">
        <v>7</v>
      </c>
      <c r="W26571" s="4" t="s">
        <v>7</v>
      </c>
    </row>
    <row r="26572" spans="1:9">
      <c r="A26572" t="n">
        <v>258344</v>
      </c>
      <c r="B26572" s="55" t="n">
        <v>26</v>
      </c>
      <c r="C26572" s="7" t="n">
        <v>0</v>
      </c>
      <c r="D26572" s="7" t="n">
        <v>17</v>
      </c>
      <c r="E26572" s="7" t="n">
        <v>63897</v>
      </c>
      <c r="F26572" s="7" t="s">
        <v>539</v>
      </c>
      <c r="G26572" s="7" t="n">
        <v>2</v>
      </c>
      <c r="H26572" s="7" t="n">
        <v>3</v>
      </c>
      <c r="I26572" s="7" t="n">
        <v>17</v>
      </c>
      <c r="J26572" s="7" t="n">
        <v>63898</v>
      </c>
      <c r="K26572" s="7" t="s">
        <v>540</v>
      </c>
      <c r="L26572" s="7" t="n">
        <v>2</v>
      </c>
      <c r="M26572" s="7" t="n">
        <v>3</v>
      </c>
      <c r="N26572" s="7" t="n">
        <v>17</v>
      </c>
      <c r="O26572" s="7" t="n">
        <v>63899</v>
      </c>
      <c r="P26572" s="7" t="s">
        <v>541</v>
      </c>
      <c r="Q26572" s="7" t="n">
        <v>2</v>
      </c>
      <c r="R26572" s="7" t="n">
        <v>3</v>
      </c>
      <c r="S26572" s="7" t="n">
        <v>17</v>
      </c>
      <c r="T26572" s="7" t="n">
        <v>63900</v>
      </c>
      <c r="U26572" s="7" t="s">
        <v>542</v>
      </c>
      <c r="V26572" s="7" t="n">
        <v>2</v>
      </c>
      <c r="W26572" s="7" t="n">
        <v>0</v>
      </c>
    </row>
    <row r="26573" spans="1:9">
      <c r="A26573" t="s">
        <v>4</v>
      </c>
      <c r="B26573" s="4" t="s">
        <v>5</v>
      </c>
    </row>
    <row r="26574" spans="1:9">
      <c r="A26574" t="n">
        <v>258627</v>
      </c>
      <c r="B26574" s="27" t="n">
        <v>28</v>
      </c>
    </row>
    <row r="26575" spans="1:9">
      <c r="A26575" t="s">
        <v>4</v>
      </c>
      <c r="B26575" s="4" t="s">
        <v>5</v>
      </c>
      <c r="C26575" s="4" t="s">
        <v>11</v>
      </c>
      <c r="D26575" s="4" t="s">
        <v>7</v>
      </c>
    </row>
    <row r="26576" spans="1:9">
      <c r="A26576" t="n">
        <v>258628</v>
      </c>
      <c r="B26576" s="68" t="n">
        <v>89</v>
      </c>
      <c r="C26576" s="7" t="n">
        <v>65533</v>
      </c>
      <c r="D26576" s="7" t="n">
        <v>1</v>
      </c>
    </row>
    <row r="26577" spans="1:23">
      <c r="A26577" t="s">
        <v>4</v>
      </c>
      <c r="B26577" s="4" t="s">
        <v>5</v>
      </c>
      <c r="C26577" s="4" t="s">
        <v>7</v>
      </c>
      <c r="D26577" s="4" t="s">
        <v>11</v>
      </c>
      <c r="E26577" s="4" t="s">
        <v>13</v>
      </c>
    </row>
    <row r="26578" spans="1:23">
      <c r="A26578" t="n">
        <v>258632</v>
      </c>
      <c r="B26578" s="23" t="n">
        <v>58</v>
      </c>
      <c r="C26578" s="7" t="n">
        <v>101</v>
      </c>
      <c r="D26578" s="7" t="n">
        <v>500</v>
      </c>
      <c r="E26578" s="7" t="n">
        <v>1</v>
      </c>
    </row>
    <row r="26579" spans="1:23">
      <c r="A26579" t="s">
        <v>4</v>
      </c>
      <c r="B26579" s="4" t="s">
        <v>5</v>
      </c>
      <c r="C26579" s="4" t="s">
        <v>7</v>
      </c>
      <c r="D26579" s="4" t="s">
        <v>11</v>
      </c>
    </row>
    <row r="26580" spans="1:23">
      <c r="A26580" t="n">
        <v>258640</v>
      </c>
      <c r="B26580" s="23" t="n">
        <v>58</v>
      </c>
      <c r="C26580" s="7" t="n">
        <v>254</v>
      </c>
      <c r="D26580" s="7" t="n">
        <v>0</v>
      </c>
    </row>
    <row r="26581" spans="1:23">
      <c r="A26581" t="s">
        <v>4</v>
      </c>
      <c r="B26581" s="4" t="s">
        <v>5</v>
      </c>
      <c r="C26581" s="4" t="s">
        <v>7</v>
      </c>
      <c r="D26581" s="4" t="s">
        <v>7</v>
      </c>
      <c r="E26581" s="4" t="s">
        <v>13</v>
      </c>
      <c r="F26581" s="4" t="s">
        <v>13</v>
      </c>
      <c r="G26581" s="4" t="s">
        <v>13</v>
      </c>
      <c r="H26581" s="4" t="s">
        <v>11</v>
      </c>
    </row>
    <row r="26582" spans="1:23">
      <c r="A26582" t="n">
        <v>258644</v>
      </c>
      <c r="B26582" s="51" t="n">
        <v>45</v>
      </c>
      <c r="C26582" s="7" t="n">
        <v>2</v>
      </c>
      <c r="D26582" s="7" t="n">
        <v>3</v>
      </c>
      <c r="E26582" s="7" t="n">
        <v>-7.3600001335144</v>
      </c>
      <c r="F26582" s="7" t="n">
        <v>6.42999982833862</v>
      </c>
      <c r="G26582" s="7" t="n">
        <v>29.8199996948242</v>
      </c>
      <c r="H26582" s="7" t="n">
        <v>0</v>
      </c>
    </row>
    <row r="26583" spans="1:23">
      <c r="A26583" t="s">
        <v>4</v>
      </c>
      <c r="B26583" s="4" t="s">
        <v>5</v>
      </c>
      <c r="C26583" s="4" t="s">
        <v>7</v>
      </c>
      <c r="D26583" s="4" t="s">
        <v>7</v>
      </c>
      <c r="E26583" s="4" t="s">
        <v>13</v>
      </c>
      <c r="F26583" s="4" t="s">
        <v>13</v>
      </c>
      <c r="G26583" s="4" t="s">
        <v>13</v>
      </c>
      <c r="H26583" s="4" t="s">
        <v>11</v>
      </c>
      <c r="I26583" s="4" t="s">
        <v>7</v>
      </c>
    </row>
    <row r="26584" spans="1:23">
      <c r="A26584" t="n">
        <v>258661</v>
      </c>
      <c r="B26584" s="51" t="n">
        <v>45</v>
      </c>
      <c r="C26584" s="7" t="n">
        <v>4</v>
      </c>
      <c r="D26584" s="7" t="n">
        <v>3</v>
      </c>
      <c r="E26584" s="7" t="n">
        <v>8.11999988555908</v>
      </c>
      <c r="F26584" s="7" t="n">
        <v>60.310001373291</v>
      </c>
      <c r="G26584" s="7" t="n">
        <v>354</v>
      </c>
      <c r="H26584" s="7" t="n">
        <v>0</v>
      </c>
      <c r="I26584" s="7" t="n">
        <v>0</v>
      </c>
    </row>
    <row r="26585" spans="1:23">
      <c r="A26585" t="s">
        <v>4</v>
      </c>
      <c r="B26585" s="4" t="s">
        <v>5</v>
      </c>
      <c r="C26585" s="4" t="s">
        <v>7</v>
      </c>
      <c r="D26585" s="4" t="s">
        <v>7</v>
      </c>
      <c r="E26585" s="4" t="s">
        <v>13</v>
      </c>
      <c r="F26585" s="4" t="s">
        <v>11</v>
      </c>
    </row>
    <row r="26586" spans="1:23">
      <c r="A26586" t="n">
        <v>258679</v>
      </c>
      <c r="B26586" s="51" t="n">
        <v>45</v>
      </c>
      <c r="C26586" s="7" t="n">
        <v>5</v>
      </c>
      <c r="D26586" s="7" t="n">
        <v>3</v>
      </c>
      <c r="E26586" s="7" t="n">
        <v>0.800000011920929</v>
      </c>
      <c r="F26586" s="7" t="n">
        <v>0</v>
      </c>
    </row>
    <row r="26587" spans="1:23">
      <c r="A26587" t="s">
        <v>4</v>
      </c>
      <c r="B26587" s="4" t="s">
        <v>5</v>
      </c>
      <c r="C26587" s="4" t="s">
        <v>7</v>
      </c>
      <c r="D26587" s="4" t="s">
        <v>7</v>
      </c>
      <c r="E26587" s="4" t="s">
        <v>13</v>
      </c>
      <c r="F26587" s="4" t="s">
        <v>11</v>
      </c>
    </row>
    <row r="26588" spans="1:23">
      <c r="A26588" t="n">
        <v>258688</v>
      </c>
      <c r="B26588" s="51" t="n">
        <v>45</v>
      </c>
      <c r="C26588" s="7" t="n">
        <v>11</v>
      </c>
      <c r="D26588" s="7" t="n">
        <v>3</v>
      </c>
      <c r="E26588" s="7" t="n">
        <v>40.2999992370605</v>
      </c>
      <c r="F26588" s="7" t="n">
        <v>0</v>
      </c>
    </row>
    <row r="26589" spans="1:23">
      <c r="A26589" t="s">
        <v>4</v>
      </c>
      <c r="B26589" s="4" t="s">
        <v>5</v>
      </c>
      <c r="C26589" s="4" t="s">
        <v>7</v>
      </c>
      <c r="D26589" s="4" t="s">
        <v>11</v>
      </c>
    </row>
    <row r="26590" spans="1:23">
      <c r="A26590" t="n">
        <v>258697</v>
      </c>
      <c r="B26590" s="23" t="n">
        <v>58</v>
      </c>
      <c r="C26590" s="7" t="n">
        <v>255</v>
      </c>
      <c r="D26590" s="7" t="n">
        <v>0</v>
      </c>
    </row>
    <row r="26591" spans="1:23">
      <c r="A26591" t="s">
        <v>4</v>
      </c>
      <c r="B26591" s="4" t="s">
        <v>5</v>
      </c>
      <c r="C26591" s="4" t="s">
        <v>7</v>
      </c>
      <c r="D26591" s="4" t="s">
        <v>11</v>
      </c>
      <c r="E26591" s="4" t="s">
        <v>8</v>
      </c>
    </row>
    <row r="26592" spans="1:23">
      <c r="A26592" t="n">
        <v>258701</v>
      </c>
      <c r="B26592" s="38" t="n">
        <v>51</v>
      </c>
      <c r="C26592" s="7" t="n">
        <v>4</v>
      </c>
      <c r="D26592" s="7" t="n">
        <v>5</v>
      </c>
      <c r="E26592" s="7" t="s">
        <v>543</v>
      </c>
    </row>
    <row r="26593" spans="1:9">
      <c r="A26593" t="s">
        <v>4</v>
      </c>
      <c r="B26593" s="4" t="s">
        <v>5</v>
      </c>
      <c r="C26593" s="4" t="s">
        <v>11</v>
      </c>
    </row>
    <row r="26594" spans="1:9">
      <c r="A26594" t="n">
        <v>258720</v>
      </c>
      <c r="B26594" s="29" t="n">
        <v>16</v>
      </c>
      <c r="C26594" s="7" t="n">
        <v>0</v>
      </c>
    </row>
    <row r="26595" spans="1:9">
      <c r="A26595" t="s">
        <v>4</v>
      </c>
      <c r="B26595" s="4" t="s">
        <v>5</v>
      </c>
      <c r="C26595" s="4" t="s">
        <v>11</v>
      </c>
      <c r="D26595" s="4" t="s">
        <v>7</v>
      </c>
      <c r="E26595" s="4" t="s">
        <v>15</v>
      </c>
      <c r="F26595" s="4" t="s">
        <v>55</v>
      </c>
      <c r="G26595" s="4" t="s">
        <v>7</v>
      </c>
      <c r="H26595" s="4" t="s">
        <v>7</v>
      </c>
      <c r="I26595" s="4" t="s">
        <v>7</v>
      </c>
    </row>
    <row r="26596" spans="1:9">
      <c r="A26596" t="n">
        <v>258723</v>
      </c>
      <c r="B26596" s="55" t="n">
        <v>26</v>
      </c>
      <c r="C26596" s="7" t="n">
        <v>5</v>
      </c>
      <c r="D26596" s="7" t="n">
        <v>17</v>
      </c>
      <c r="E26596" s="7" t="n">
        <v>3819</v>
      </c>
      <c r="F26596" s="7" t="s">
        <v>544</v>
      </c>
      <c r="G26596" s="7" t="n">
        <v>8</v>
      </c>
      <c r="H26596" s="7" t="n">
        <v>2</v>
      </c>
      <c r="I26596" s="7" t="n">
        <v>0</v>
      </c>
    </row>
    <row r="26597" spans="1:9">
      <c r="A26597" t="s">
        <v>4</v>
      </c>
      <c r="B26597" s="4" t="s">
        <v>5</v>
      </c>
      <c r="C26597" s="4" t="s">
        <v>11</v>
      </c>
    </row>
    <row r="26598" spans="1:9">
      <c r="A26598" t="n">
        <v>258752</v>
      </c>
      <c r="B26598" s="29" t="n">
        <v>16</v>
      </c>
      <c r="C26598" s="7" t="n">
        <v>1</v>
      </c>
    </row>
    <row r="26599" spans="1:9">
      <c r="A26599" t="s">
        <v>4</v>
      </c>
      <c r="B26599" s="4" t="s">
        <v>5</v>
      </c>
      <c r="C26599" s="4" t="s">
        <v>7</v>
      </c>
      <c r="D26599" s="4" t="s">
        <v>11</v>
      </c>
    </row>
    <row r="26600" spans="1:9">
      <c r="A26600" t="n">
        <v>258755</v>
      </c>
      <c r="B26600" s="57" t="n">
        <v>50</v>
      </c>
      <c r="C26600" s="7" t="n">
        <v>52</v>
      </c>
      <c r="D26600" s="7" t="n">
        <v>3819</v>
      </c>
    </row>
    <row r="26601" spans="1:9">
      <c r="A26601" t="s">
        <v>4</v>
      </c>
      <c r="B26601" s="4" t="s">
        <v>5</v>
      </c>
      <c r="C26601" s="4" t="s">
        <v>11</v>
      </c>
    </row>
    <row r="26602" spans="1:9">
      <c r="A26602" t="n">
        <v>258759</v>
      </c>
      <c r="B26602" s="29" t="n">
        <v>16</v>
      </c>
      <c r="C26602" s="7" t="n">
        <v>1000</v>
      </c>
    </row>
    <row r="26603" spans="1:9">
      <c r="A26603" t="s">
        <v>4</v>
      </c>
      <c r="B26603" s="4" t="s">
        <v>5</v>
      </c>
      <c r="C26603" s="4" t="s">
        <v>11</v>
      </c>
      <c r="D26603" s="4" t="s">
        <v>7</v>
      </c>
    </row>
    <row r="26604" spans="1:9">
      <c r="A26604" t="n">
        <v>258762</v>
      </c>
      <c r="B26604" s="68" t="n">
        <v>89</v>
      </c>
      <c r="C26604" s="7" t="n">
        <v>65533</v>
      </c>
      <c r="D26604" s="7" t="n">
        <v>0</v>
      </c>
    </row>
    <row r="26605" spans="1:9">
      <c r="A26605" t="s">
        <v>4</v>
      </c>
      <c r="B26605" s="4" t="s">
        <v>5</v>
      </c>
      <c r="C26605" s="4" t="s">
        <v>11</v>
      </c>
      <c r="D26605" s="4" t="s">
        <v>7</v>
      </c>
    </row>
    <row r="26606" spans="1:9">
      <c r="A26606" t="n">
        <v>258766</v>
      </c>
      <c r="B26606" s="68" t="n">
        <v>89</v>
      </c>
      <c r="C26606" s="7" t="n">
        <v>65533</v>
      </c>
      <c r="D26606" s="7" t="n">
        <v>1</v>
      </c>
    </row>
    <row r="26607" spans="1:9">
      <c r="A26607" t="s">
        <v>4</v>
      </c>
      <c r="B26607" s="4" t="s">
        <v>5</v>
      </c>
      <c r="C26607" s="4" t="s">
        <v>7</v>
      </c>
      <c r="D26607" s="4" t="s">
        <v>11</v>
      </c>
      <c r="E26607" s="4" t="s">
        <v>13</v>
      </c>
    </row>
    <row r="26608" spans="1:9">
      <c r="A26608" t="n">
        <v>258770</v>
      </c>
      <c r="B26608" s="23" t="n">
        <v>58</v>
      </c>
      <c r="C26608" s="7" t="n">
        <v>101</v>
      </c>
      <c r="D26608" s="7" t="n">
        <v>500</v>
      </c>
      <c r="E26608" s="7" t="n">
        <v>1</v>
      </c>
    </row>
    <row r="26609" spans="1:9">
      <c r="A26609" t="s">
        <v>4</v>
      </c>
      <c r="B26609" s="4" t="s">
        <v>5</v>
      </c>
      <c r="C26609" s="4" t="s">
        <v>7</v>
      </c>
      <c r="D26609" s="4" t="s">
        <v>11</v>
      </c>
    </row>
    <row r="26610" spans="1:9">
      <c r="A26610" t="n">
        <v>258778</v>
      </c>
      <c r="B26610" s="23" t="n">
        <v>58</v>
      </c>
      <c r="C26610" s="7" t="n">
        <v>254</v>
      </c>
      <c r="D26610" s="7" t="n">
        <v>0</v>
      </c>
    </row>
    <row r="26611" spans="1:9">
      <c r="A26611" t="s">
        <v>4</v>
      </c>
      <c r="B26611" s="4" t="s">
        <v>5</v>
      </c>
      <c r="C26611" s="4" t="s">
        <v>11</v>
      </c>
      <c r="D26611" s="4" t="s">
        <v>13</v>
      </c>
      <c r="E26611" s="4" t="s">
        <v>13</v>
      </c>
      <c r="F26611" s="4" t="s">
        <v>13</v>
      </c>
      <c r="G26611" s="4" t="s">
        <v>13</v>
      </c>
    </row>
    <row r="26612" spans="1:9">
      <c r="A26612" t="n">
        <v>258782</v>
      </c>
      <c r="B26612" s="36" t="n">
        <v>46</v>
      </c>
      <c r="C26612" s="7" t="n">
        <v>5</v>
      </c>
      <c r="D26612" s="7" t="n">
        <v>-6.92000007629395</v>
      </c>
      <c r="E26612" s="7" t="n">
        <v>5</v>
      </c>
      <c r="F26612" s="7" t="n">
        <v>29.8099994659424</v>
      </c>
      <c r="G26612" s="7" t="n">
        <v>83.9000015258789</v>
      </c>
    </row>
    <row r="26613" spans="1:9">
      <c r="A26613" t="s">
        <v>4</v>
      </c>
      <c r="B26613" s="4" t="s">
        <v>5</v>
      </c>
      <c r="C26613" s="4" t="s">
        <v>11</v>
      </c>
      <c r="D26613" s="4" t="s">
        <v>13</v>
      </c>
      <c r="E26613" s="4" t="s">
        <v>13</v>
      </c>
      <c r="F26613" s="4" t="s">
        <v>13</v>
      </c>
      <c r="G26613" s="4" t="s">
        <v>11</v>
      </c>
      <c r="H26613" s="4" t="s">
        <v>11</v>
      </c>
    </row>
    <row r="26614" spans="1:9">
      <c r="A26614" t="n">
        <v>258801</v>
      </c>
      <c r="B26614" s="37" t="n">
        <v>60</v>
      </c>
      <c r="C26614" s="7" t="n">
        <v>0</v>
      </c>
      <c r="D26614" s="7" t="n">
        <v>0</v>
      </c>
      <c r="E26614" s="7" t="n">
        <v>0</v>
      </c>
      <c r="F26614" s="7" t="n">
        <v>0</v>
      </c>
      <c r="G26614" s="7" t="n">
        <v>0</v>
      </c>
      <c r="H26614" s="7" t="n">
        <v>1</v>
      </c>
    </row>
    <row r="26615" spans="1:9">
      <c r="A26615" t="s">
        <v>4</v>
      </c>
      <c r="B26615" s="4" t="s">
        <v>5</v>
      </c>
      <c r="C26615" s="4" t="s">
        <v>11</v>
      </c>
      <c r="D26615" s="4" t="s">
        <v>13</v>
      </c>
      <c r="E26615" s="4" t="s">
        <v>13</v>
      </c>
      <c r="F26615" s="4" t="s">
        <v>13</v>
      </c>
      <c r="G26615" s="4" t="s">
        <v>11</v>
      </c>
      <c r="H26615" s="4" t="s">
        <v>11</v>
      </c>
    </row>
    <row r="26616" spans="1:9">
      <c r="A26616" t="n">
        <v>258820</v>
      </c>
      <c r="B26616" s="37" t="n">
        <v>60</v>
      </c>
      <c r="C26616" s="7" t="n">
        <v>0</v>
      </c>
      <c r="D26616" s="7" t="n">
        <v>0</v>
      </c>
      <c r="E26616" s="7" t="n">
        <v>0</v>
      </c>
      <c r="F26616" s="7" t="n">
        <v>0</v>
      </c>
      <c r="G26616" s="7" t="n">
        <v>0</v>
      </c>
      <c r="H26616" s="7" t="n">
        <v>0</v>
      </c>
    </row>
    <row r="26617" spans="1:9">
      <c r="A26617" t="s">
        <v>4</v>
      </c>
      <c r="B26617" s="4" t="s">
        <v>5</v>
      </c>
      <c r="C26617" s="4" t="s">
        <v>11</v>
      </c>
      <c r="D26617" s="4" t="s">
        <v>11</v>
      </c>
      <c r="E26617" s="4" t="s">
        <v>11</v>
      </c>
    </row>
    <row r="26618" spans="1:9">
      <c r="A26618" t="n">
        <v>258839</v>
      </c>
      <c r="B26618" s="72" t="n">
        <v>61</v>
      </c>
      <c r="C26618" s="7" t="n">
        <v>0</v>
      </c>
      <c r="D26618" s="7" t="n">
        <v>65533</v>
      </c>
      <c r="E26618" s="7" t="n">
        <v>0</v>
      </c>
    </row>
    <row r="26619" spans="1:9">
      <c r="A26619" t="s">
        <v>4</v>
      </c>
      <c r="B26619" s="4" t="s">
        <v>5</v>
      </c>
      <c r="C26619" s="4" t="s">
        <v>11</v>
      </c>
      <c r="D26619" s="4" t="s">
        <v>13</v>
      </c>
      <c r="E26619" s="4" t="s">
        <v>13</v>
      </c>
      <c r="F26619" s="4" t="s">
        <v>13</v>
      </c>
      <c r="G26619" s="4" t="s">
        <v>11</v>
      </c>
      <c r="H26619" s="4" t="s">
        <v>11</v>
      </c>
    </row>
    <row r="26620" spans="1:9">
      <c r="A26620" t="n">
        <v>258846</v>
      </c>
      <c r="B26620" s="37" t="n">
        <v>60</v>
      </c>
      <c r="C26620" s="7" t="n">
        <v>5</v>
      </c>
      <c r="D26620" s="7" t="n">
        <v>0</v>
      </c>
      <c r="E26620" s="7" t="n">
        <v>0</v>
      </c>
      <c r="F26620" s="7" t="n">
        <v>0</v>
      </c>
      <c r="G26620" s="7" t="n">
        <v>0</v>
      </c>
      <c r="H26620" s="7" t="n">
        <v>1</v>
      </c>
    </row>
    <row r="26621" spans="1:9">
      <c r="A26621" t="s">
        <v>4</v>
      </c>
      <c r="B26621" s="4" t="s">
        <v>5</v>
      </c>
      <c r="C26621" s="4" t="s">
        <v>11</v>
      </c>
      <c r="D26621" s="4" t="s">
        <v>13</v>
      </c>
      <c r="E26621" s="4" t="s">
        <v>13</v>
      </c>
      <c r="F26621" s="4" t="s">
        <v>13</v>
      </c>
      <c r="G26621" s="4" t="s">
        <v>11</v>
      </c>
      <c r="H26621" s="4" t="s">
        <v>11</v>
      </c>
    </row>
    <row r="26622" spans="1:9">
      <c r="A26622" t="n">
        <v>258865</v>
      </c>
      <c r="B26622" s="37" t="n">
        <v>60</v>
      </c>
      <c r="C26622" s="7" t="n">
        <v>5</v>
      </c>
      <c r="D26622" s="7" t="n">
        <v>0</v>
      </c>
      <c r="E26622" s="7" t="n">
        <v>0</v>
      </c>
      <c r="F26622" s="7" t="n">
        <v>0</v>
      </c>
      <c r="G26622" s="7" t="n">
        <v>0</v>
      </c>
      <c r="H26622" s="7" t="n">
        <v>0</v>
      </c>
    </row>
    <row r="26623" spans="1:9">
      <c r="A26623" t="s">
        <v>4</v>
      </c>
      <c r="B26623" s="4" t="s">
        <v>5</v>
      </c>
      <c r="C26623" s="4" t="s">
        <v>11</v>
      </c>
      <c r="D26623" s="4" t="s">
        <v>11</v>
      </c>
      <c r="E26623" s="4" t="s">
        <v>11</v>
      </c>
    </row>
    <row r="26624" spans="1:9">
      <c r="A26624" t="n">
        <v>258884</v>
      </c>
      <c r="B26624" s="72" t="n">
        <v>61</v>
      </c>
      <c r="C26624" s="7" t="n">
        <v>5</v>
      </c>
      <c r="D26624" s="7" t="n">
        <v>65533</v>
      </c>
      <c r="E26624" s="7" t="n">
        <v>0</v>
      </c>
    </row>
    <row r="26625" spans="1:8">
      <c r="A26625" t="s">
        <v>4</v>
      </c>
      <c r="B26625" s="4" t="s">
        <v>5</v>
      </c>
      <c r="C26625" s="4" t="s">
        <v>7</v>
      </c>
      <c r="D26625" s="4" t="s">
        <v>7</v>
      </c>
      <c r="E26625" s="4" t="s">
        <v>13</v>
      </c>
      <c r="F26625" s="4" t="s">
        <v>13</v>
      </c>
      <c r="G26625" s="4" t="s">
        <v>13</v>
      </c>
      <c r="H26625" s="4" t="s">
        <v>11</v>
      </c>
    </row>
    <row r="26626" spans="1:8">
      <c r="A26626" t="n">
        <v>258891</v>
      </c>
      <c r="B26626" s="51" t="n">
        <v>45</v>
      </c>
      <c r="C26626" s="7" t="n">
        <v>2</v>
      </c>
      <c r="D26626" s="7" t="n">
        <v>3</v>
      </c>
      <c r="E26626" s="7" t="n">
        <v>-6.63000011444092</v>
      </c>
      <c r="F26626" s="7" t="n">
        <v>6.07000017166138</v>
      </c>
      <c r="G26626" s="7" t="n">
        <v>29.8700008392334</v>
      </c>
      <c r="H26626" s="7" t="n">
        <v>0</v>
      </c>
    </row>
    <row r="26627" spans="1:8">
      <c r="A26627" t="s">
        <v>4</v>
      </c>
      <c r="B26627" s="4" t="s">
        <v>5</v>
      </c>
      <c r="C26627" s="4" t="s">
        <v>7</v>
      </c>
      <c r="D26627" s="4" t="s">
        <v>7</v>
      </c>
      <c r="E26627" s="4" t="s">
        <v>13</v>
      </c>
      <c r="F26627" s="4" t="s">
        <v>13</v>
      </c>
      <c r="G26627" s="4" t="s">
        <v>13</v>
      </c>
      <c r="H26627" s="4" t="s">
        <v>11</v>
      </c>
      <c r="I26627" s="4" t="s">
        <v>7</v>
      </c>
    </row>
    <row r="26628" spans="1:8">
      <c r="A26628" t="n">
        <v>258908</v>
      </c>
      <c r="B26628" s="51" t="n">
        <v>45</v>
      </c>
      <c r="C26628" s="7" t="n">
        <v>4</v>
      </c>
      <c r="D26628" s="7" t="n">
        <v>3</v>
      </c>
      <c r="E26628" s="7" t="n">
        <v>347.040008544922</v>
      </c>
      <c r="F26628" s="7" t="n">
        <v>314.799987792969</v>
      </c>
      <c r="G26628" s="7" t="n">
        <v>354</v>
      </c>
      <c r="H26628" s="7" t="n">
        <v>0</v>
      </c>
      <c r="I26628" s="7" t="n">
        <v>0</v>
      </c>
    </row>
    <row r="26629" spans="1:8">
      <c r="A26629" t="s">
        <v>4</v>
      </c>
      <c r="B26629" s="4" t="s">
        <v>5</v>
      </c>
      <c r="C26629" s="4" t="s">
        <v>7</v>
      </c>
      <c r="D26629" s="4" t="s">
        <v>7</v>
      </c>
      <c r="E26629" s="4" t="s">
        <v>13</v>
      </c>
      <c r="F26629" s="4" t="s">
        <v>11</v>
      </c>
    </row>
    <row r="26630" spans="1:8">
      <c r="A26630" t="n">
        <v>258926</v>
      </c>
      <c r="B26630" s="51" t="n">
        <v>45</v>
      </c>
      <c r="C26630" s="7" t="n">
        <v>5</v>
      </c>
      <c r="D26630" s="7" t="n">
        <v>3</v>
      </c>
      <c r="E26630" s="7" t="n">
        <v>1.20000004768372</v>
      </c>
      <c r="F26630" s="7" t="n">
        <v>0</v>
      </c>
    </row>
    <row r="26631" spans="1:8">
      <c r="A26631" t="s">
        <v>4</v>
      </c>
      <c r="B26631" s="4" t="s">
        <v>5</v>
      </c>
      <c r="C26631" s="4" t="s">
        <v>7</v>
      </c>
      <c r="D26631" s="4" t="s">
        <v>7</v>
      </c>
      <c r="E26631" s="4" t="s">
        <v>13</v>
      </c>
      <c r="F26631" s="4" t="s">
        <v>11</v>
      </c>
    </row>
    <row r="26632" spans="1:8">
      <c r="A26632" t="n">
        <v>258935</v>
      </c>
      <c r="B26632" s="51" t="n">
        <v>45</v>
      </c>
      <c r="C26632" s="7" t="n">
        <v>11</v>
      </c>
      <c r="D26632" s="7" t="n">
        <v>3</v>
      </c>
      <c r="E26632" s="7" t="n">
        <v>40.2999992370605</v>
      </c>
      <c r="F26632" s="7" t="n">
        <v>0</v>
      </c>
    </row>
    <row r="26633" spans="1:8">
      <c r="A26633" t="s">
        <v>4</v>
      </c>
      <c r="B26633" s="4" t="s">
        <v>5</v>
      </c>
      <c r="C26633" s="4" t="s">
        <v>7</v>
      </c>
      <c r="D26633" s="4" t="s">
        <v>7</v>
      </c>
      <c r="E26633" s="4" t="s">
        <v>13</v>
      </c>
      <c r="F26633" s="4" t="s">
        <v>13</v>
      </c>
      <c r="G26633" s="4" t="s">
        <v>13</v>
      </c>
      <c r="H26633" s="4" t="s">
        <v>11</v>
      </c>
    </row>
    <row r="26634" spans="1:8">
      <c r="A26634" t="n">
        <v>258944</v>
      </c>
      <c r="B26634" s="51" t="n">
        <v>45</v>
      </c>
      <c r="C26634" s="7" t="n">
        <v>2</v>
      </c>
      <c r="D26634" s="7" t="n">
        <v>3</v>
      </c>
      <c r="E26634" s="7" t="n">
        <v>-6.6399998664856</v>
      </c>
      <c r="F26634" s="7" t="n">
        <v>6.42999982833862</v>
      </c>
      <c r="G26634" s="7" t="n">
        <v>29.9300003051758</v>
      </c>
      <c r="H26634" s="7" t="n">
        <v>4000</v>
      </c>
    </row>
    <row r="26635" spans="1:8">
      <c r="A26635" t="s">
        <v>4</v>
      </c>
      <c r="B26635" s="4" t="s">
        <v>5</v>
      </c>
      <c r="C26635" s="4" t="s">
        <v>7</v>
      </c>
      <c r="D26635" s="4" t="s">
        <v>7</v>
      </c>
      <c r="E26635" s="4" t="s">
        <v>13</v>
      </c>
      <c r="F26635" s="4" t="s">
        <v>13</v>
      </c>
      <c r="G26635" s="4" t="s">
        <v>13</v>
      </c>
      <c r="H26635" s="4" t="s">
        <v>11</v>
      </c>
      <c r="I26635" s="4" t="s">
        <v>7</v>
      </c>
    </row>
    <row r="26636" spans="1:8">
      <c r="A26636" t="n">
        <v>258961</v>
      </c>
      <c r="B26636" s="51" t="n">
        <v>45</v>
      </c>
      <c r="C26636" s="7" t="n">
        <v>4</v>
      </c>
      <c r="D26636" s="7" t="n">
        <v>3</v>
      </c>
      <c r="E26636" s="7" t="n">
        <v>12.2299995422363</v>
      </c>
      <c r="F26636" s="7" t="n">
        <v>30.9699993133545</v>
      </c>
      <c r="G26636" s="7" t="n">
        <v>8</v>
      </c>
      <c r="H26636" s="7" t="n">
        <v>4000</v>
      </c>
      <c r="I26636" s="7" t="n">
        <v>1</v>
      </c>
    </row>
    <row r="26637" spans="1:8">
      <c r="A26637" t="s">
        <v>4</v>
      </c>
      <c r="B26637" s="4" t="s">
        <v>5</v>
      </c>
      <c r="C26637" s="4" t="s">
        <v>7</v>
      </c>
      <c r="D26637" s="4" t="s">
        <v>7</v>
      </c>
      <c r="E26637" s="4" t="s">
        <v>13</v>
      </c>
      <c r="F26637" s="4" t="s">
        <v>11</v>
      </c>
    </row>
    <row r="26638" spans="1:8">
      <c r="A26638" t="n">
        <v>258979</v>
      </c>
      <c r="B26638" s="51" t="n">
        <v>45</v>
      </c>
      <c r="C26638" s="7" t="n">
        <v>5</v>
      </c>
      <c r="D26638" s="7" t="n">
        <v>3</v>
      </c>
      <c r="E26638" s="7" t="n">
        <v>0.800000011920929</v>
      </c>
      <c r="F26638" s="7" t="n">
        <v>4000</v>
      </c>
    </row>
    <row r="26639" spans="1:8">
      <c r="A26639" t="s">
        <v>4</v>
      </c>
      <c r="B26639" s="4" t="s">
        <v>5</v>
      </c>
      <c r="C26639" s="4" t="s">
        <v>7</v>
      </c>
      <c r="D26639" s="4" t="s">
        <v>7</v>
      </c>
      <c r="E26639" s="4" t="s">
        <v>13</v>
      </c>
      <c r="F26639" s="4" t="s">
        <v>11</v>
      </c>
    </row>
    <row r="26640" spans="1:8">
      <c r="A26640" t="n">
        <v>258988</v>
      </c>
      <c r="B26640" s="51" t="n">
        <v>45</v>
      </c>
      <c r="C26640" s="7" t="n">
        <v>11</v>
      </c>
      <c r="D26640" s="7" t="n">
        <v>3</v>
      </c>
      <c r="E26640" s="7" t="n">
        <v>40.2999992370605</v>
      </c>
      <c r="F26640" s="7" t="n">
        <v>4000</v>
      </c>
    </row>
    <row r="26641" spans="1:9">
      <c r="A26641" t="s">
        <v>4</v>
      </c>
      <c r="B26641" s="4" t="s">
        <v>5</v>
      </c>
      <c r="C26641" s="4" t="s">
        <v>11</v>
      </c>
      <c r="D26641" s="4" t="s">
        <v>7</v>
      </c>
    </row>
    <row r="26642" spans="1:9">
      <c r="A26642" t="n">
        <v>258997</v>
      </c>
      <c r="B26642" s="54" t="n">
        <v>56</v>
      </c>
      <c r="C26642" s="7" t="n">
        <v>5</v>
      </c>
      <c r="D26642" s="7" t="n">
        <v>0</v>
      </c>
    </row>
    <row r="26643" spans="1:9">
      <c r="A26643" t="s">
        <v>4</v>
      </c>
      <c r="B26643" s="4" t="s">
        <v>5</v>
      </c>
      <c r="C26643" s="4" t="s">
        <v>11</v>
      </c>
      <c r="D26643" s="4" t="s">
        <v>7</v>
      </c>
      <c r="E26643" s="4" t="s">
        <v>8</v>
      </c>
      <c r="F26643" s="4" t="s">
        <v>13</v>
      </c>
      <c r="G26643" s="4" t="s">
        <v>13</v>
      </c>
      <c r="H26643" s="4" t="s">
        <v>13</v>
      </c>
    </row>
    <row r="26644" spans="1:9">
      <c r="A26644" t="n">
        <v>259001</v>
      </c>
      <c r="B26644" s="42" t="n">
        <v>48</v>
      </c>
      <c r="C26644" s="7" t="n">
        <v>0</v>
      </c>
      <c r="D26644" s="7" t="n">
        <v>0</v>
      </c>
      <c r="E26644" s="7" t="s">
        <v>210</v>
      </c>
      <c r="F26644" s="7" t="n">
        <v>0</v>
      </c>
      <c r="G26644" s="7" t="n">
        <v>1</v>
      </c>
      <c r="H26644" s="7" t="n">
        <v>0</v>
      </c>
    </row>
    <row r="26645" spans="1:9">
      <c r="A26645" t="s">
        <v>4</v>
      </c>
      <c r="B26645" s="4" t="s">
        <v>5</v>
      </c>
      <c r="C26645" s="4" t="s">
        <v>11</v>
      </c>
      <c r="D26645" s="4" t="s">
        <v>7</v>
      </c>
      <c r="E26645" s="4" t="s">
        <v>8</v>
      </c>
      <c r="F26645" s="4" t="s">
        <v>13</v>
      </c>
      <c r="G26645" s="4" t="s">
        <v>13</v>
      </c>
      <c r="H26645" s="4" t="s">
        <v>13</v>
      </c>
    </row>
    <row r="26646" spans="1:9">
      <c r="A26646" t="n">
        <v>259026</v>
      </c>
      <c r="B26646" s="42" t="n">
        <v>48</v>
      </c>
      <c r="C26646" s="7" t="n">
        <v>5</v>
      </c>
      <c r="D26646" s="7" t="n">
        <v>0</v>
      </c>
      <c r="E26646" s="7" t="s">
        <v>210</v>
      </c>
      <c r="F26646" s="7" t="n">
        <v>0</v>
      </c>
      <c r="G26646" s="7" t="n">
        <v>1</v>
      </c>
      <c r="H26646" s="7" t="n">
        <v>0</v>
      </c>
    </row>
    <row r="26647" spans="1:9">
      <c r="A26647" t="s">
        <v>4</v>
      </c>
      <c r="B26647" s="4" t="s">
        <v>5</v>
      </c>
      <c r="C26647" s="4" t="s">
        <v>7</v>
      </c>
      <c r="D26647" s="4" t="s">
        <v>11</v>
      </c>
    </row>
    <row r="26648" spans="1:9">
      <c r="A26648" t="n">
        <v>259051</v>
      </c>
      <c r="B26648" s="23" t="n">
        <v>58</v>
      </c>
      <c r="C26648" s="7" t="n">
        <v>255</v>
      </c>
      <c r="D26648" s="7" t="n">
        <v>0</v>
      </c>
    </row>
    <row r="26649" spans="1:9">
      <c r="A26649" t="s">
        <v>4</v>
      </c>
      <c r="B26649" s="4" t="s">
        <v>5</v>
      </c>
      <c r="C26649" s="4" t="s">
        <v>11</v>
      </c>
      <c r="D26649" s="4" t="s">
        <v>7</v>
      </c>
      <c r="E26649" s="4" t="s">
        <v>8</v>
      </c>
      <c r="F26649" s="4" t="s">
        <v>13</v>
      </c>
      <c r="G26649" s="4" t="s">
        <v>13</v>
      </c>
      <c r="H26649" s="4" t="s">
        <v>13</v>
      </c>
    </row>
    <row r="26650" spans="1:9">
      <c r="A26650" t="n">
        <v>259055</v>
      </c>
      <c r="B26650" s="42" t="n">
        <v>48</v>
      </c>
      <c r="C26650" s="7" t="n">
        <v>0</v>
      </c>
      <c r="D26650" s="7" t="n">
        <v>0</v>
      </c>
      <c r="E26650" s="7" t="s">
        <v>479</v>
      </c>
      <c r="F26650" s="7" t="n">
        <v>-1</v>
      </c>
      <c r="G26650" s="7" t="n">
        <v>1</v>
      </c>
      <c r="H26650" s="7" t="n">
        <v>0</v>
      </c>
    </row>
    <row r="26651" spans="1:9">
      <c r="A26651" t="s">
        <v>4</v>
      </c>
      <c r="B26651" s="4" t="s">
        <v>5</v>
      </c>
      <c r="C26651" s="4" t="s">
        <v>11</v>
      </c>
      <c r="D26651" s="4" t="s">
        <v>7</v>
      </c>
      <c r="E26651" s="4" t="s">
        <v>8</v>
      </c>
      <c r="F26651" s="4" t="s">
        <v>13</v>
      </c>
      <c r="G26651" s="4" t="s">
        <v>13</v>
      </c>
      <c r="H26651" s="4" t="s">
        <v>13</v>
      </c>
    </row>
    <row r="26652" spans="1:9">
      <c r="A26652" t="n">
        <v>259081</v>
      </c>
      <c r="B26652" s="42" t="n">
        <v>48</v>
      </c>
      <c r="C26652" s="7" t="n">
        <v>5</v>
      </c>
      <c r="D26652" s="7" t="n">
        <v>0</v>
      </c>
      <c r="E26652" s="7" t="s">
        <v>479</v>
      </c>
      <c r="F26652" s="7" t="n">
        <v>-1</v>
      </c>
      <c r="G26652" s="7" t="n">
        <v>1</v>
      </c>
      <c r="H26652" s="7" t="n">
        <v>0</v>
      </c>
    </row>
    <row r="26653" spans="1:9">
      <c r="A26653" t="s">
        <v>4</v>
      </c>
      <c r="B26653" s="4" t="s">
        <v>5</v>
      </c>
      <c r="C26653" s="4" t="s">
        <v>7</v>
      </c>
      <c r="D26653" s="4" t="s">
        <v>11</v>
      </c>
      <c r="E26653" s="4" t="s">
        <v>13</v>
      </c>
      <c r="F26653" s="4" t="s">
        <v>11</v>
      </c>
      <c r="G26653" s="4" t="s">
        <v>15</v>
      </c>
      <c r="H26653" s="4" t="s">
        <v>15</v>
      </c>
      <c r="I26653" s="4" t="s">
        <v>11</v>
      </c>
      <c r="J26653" s="4" t="s">
        <v>11</v>
      </c>
      <c r="K26653" s="4" t="s">
        <v>15</v>
      </c>
      <c r="L26653" s="4" t="s">
        <v>15</v>
      </c>
      <c r="M26653" s="4" t="s">
        <v>15</v>
      </c>
      <c r="N26653" s="4" t="s">
        <v>15</v>
      </c>
      <c r="O26653" s="4" t="s">
        <v>8</v>
      </c>
    </row>
    <row r="26654" spans="1:9">
      <c r="A26654" t="n">
        <v>259107</v>
      </c>
      <c r="B26654" s="57" t="n">
        <v>50</v>
      </c>
      <c r="C26654" s="7" t="n">
        <v>0</v>
      </c>
      <c r="D26654" s="7" t="n">
        <v>2004</v>
      </c>
      <c r="E26654" s="7" t="n">
        <v>0.400000005960464</v>
      </c>
      <c r="F26654" s="7" t="n">
        <v>200</v>
      </c>
      <c r="G26654" s="7" t="n">
        <v>0</v>
      </c>
      <c r="H26654" s="7" t="n">
        <v>1073741824</v>
      </c>
      <c r="I26654" s="7" t="n">
        <v>0</v>
      </c>
      <c r="J26654" s="7" t="n">
        <v>65533</v>
      </c>
      <c r="K26654" s="7" t="n">
        <v>0</v>
      </c>
      <c r="L26654" s="7" t="n">
        <v>0</v>
      </c>
      <c r="M26654" s="7" t="n">
        <v>0</v>
      </c>
      <c r="N26654" s="7" t="n">
        <v>0</v>
      </c>
      <c r="O26654" s="7" t="s">
        <v>16</v>
      </c>
    </row>
    <row r="26655" spans="1:9">
      <c r="A26655" t="s">
        <v>4</v>
      </c>
      <c r="B26655" s="4" t="s">
        <v>5</v>
      </c>
      <c r="C26655" s="4" t="s">
        <v>11</v>
      </c>
    </row>
    <row r="26656" spans="1:9">
      <c r="A26656" t="n">
        <v>259146</v>
      </c>
      <c r="B26656" s="29" t="n">
        <v>16</v>
      </c>
      <c r="C26656" s="7" t="n">
        <v>500</v>
      </c>
    </row>
    <row r="26657" spans="1:15">
      <c r="A26657" t="s">
        <v>4</v>
      </c>
      <c r="B26657" s="4" t="s">
        <v>5</v>
      </c>
      <c r="C26657" s="4" t="s">
        <v>7</v>
      </c>
      <c r="D26657" s="4" t="s">
        <v>11</v>
      </c>
      <c r="E26657" s="4" t="s">
        <v>8</v>
      </c>
      <c r="F26657" s="4" t="s">
        <v>8</v>
      </c>
      <c r="G26657" s="4" t="s">
        <v>8</v>
      </c>
      <c r="H26657" s="4" t="s">
        <v>8</v>
      </c>
    </row>
    <row r="26658" spans="1:15">
      <c r="A26658" t="n">
        <v>259149</v>
      </c>
      <c r="B26658" s="38" t="n">
        <v>51</v>
      </c>
      <c r="C26658" s="7" t="n">
        <v>3</v>
      </c>
      <c r="D26658" s="7" t="n">
        <v>0</v>
      </c>
      <c r="E26658" s="7" t="s">
        <v>319</v>
      </c>
      <c r="F26658" s="7" t="s">
        <v>99</v>
      </c>
      <c r="G26658" s="7" t="s">
        <v>78</v>
      </c>
      <c r="H26658" s="7" t="s">
        <v>79</v>
      </c>
    </row>
    <row r="26659" spans="1:15">
      <c r="A26659" t="s">
        <v>4</v>
      </c>
      <c r="B26659" s="4" t="s">
        <v>5</v>
      </c>
      <c r="C26659" s="4" t="s">
        <v>7</v>
      </c>
      <c r="D26659" s="4" t="s">
        <v>11</v>
      </c>
      <c r="E26659" s="4" t="s">
        <v>8</v>
      </c>
      <c r="F26659" s="4" t="s">
        <v>8</v>
      </c>
      <c r="G26659" s="4" t="s">
        <v>8</v>
      </c>
      <c r="H26659" s="4" t="s">
        <v>8</v>
      </c>
    </row>
    <row r="26660" spans="1:15">
      <c r="A26660" t="n">
        <v>259162</v>
      </c>
      <c r="B26660" s="38" t="n">
        <v>51</v>
      </c>
      <c r="C26660" s="7" t="n">
        <v>3</v>
      </c>
      <c r="D26660" s="7" t="n">
        <v>5</v>
      </c>
      <c r="E26660" s="7" t="s">
        <v>319</v>
      </c>
      <c r="F26660" s="7" t="s">
        <v>79</v>
      </c>
      <c r="G26660" s="7" t="s">
        <v>16</v>
      </c>
      <c r="H26660" s="7" t="s">
        <v>86</v>
      </c>
    </row>
    <row r="26661" spans="1:15">
      <c r="A26661" t="s">
        <v>4</v>
      </c>
      <c r="B26661" s="4" t="s">
        <v>5</v>
      </c>
      <c r="C26661" s="4" t="s">
        <v>11</v>
      </c>
      <c r="D26661" s="4" t="s">
        <v>15</v>
      </c>
      <c r="E26661" s="4" t="s">
        <v>7</v>
      </c>
    </row>
    <row r="26662" spans="1:15">
      <c r="A26662" t="n">
        <v>259173</v>
      </c>
      <c r="B26662" s="78" t="n">
        <v>35</v>
      </c>
      <c r="C26662" s="7" t="n">
        <v>0</v>
      </c>
      <c r="D26662" s="7" t="n">
        <v>0</v>
      </c>
      <c r="E26662" s="7" t="n">
        <v>0</v>
      </c>
    </row>
    <row r="26663" spans="1:15">
      <c r="A26663" t="s">
        <v>4</v>
      </c>
      <c r="B26663" s="4" t="s">
        <v>5</v>
      </c>
      <c r="C26663" s="4" t="s">
        <v>11</v>
      </c>
      <c r="D26663" s="4" t="s">
        <v>15</v>
      </c>
      <c r="E26663" s="4" t="s">
        <v>7</v>
      </c>
    </row>
    <row r="26664" spans="1:15">
      <c r="A26664" t="n">
        <v>259181</v>
      </c>
      <c r="B26664" s="78" t="n">
        <v>35</v>
      </c>
      <c r="C26664" s="7" t="n">
        <v>5</v>
      </c>
      <c r="D26664" s="7" t="n">
        <v>0</v>
      </c>
      <c r="E26664" s="7" t="n">
        <v>0</v>
      </c>
    </row>
    <row r="26665" spans="1:15">
      <c r="A26665" t="s">
        <v>4</v>
      </c>
      <c r="B26665" s="4" t="s">
        <v>5</v>
      </c>
      <c r="C26665" s="4" t="s">
        <v>7</v>
      </c>
      <c r="D26665" s="4" t="s">
        <v>11</v>
      </c>
    </row>
    <row r="26666" spans="1:15">
      <c r="A26666" t="n">
        <v>259189</v>
      </c>
      <c r="B26666" s="51" t="n">
        <v>45</v>
      </c>
      <c r="C26666" s="7" t="n">
        <v>7</v>
      </c>
      <c r="D26666" s="7" t="n">
        <v>255</v>
      </c>
    </row>
    <row r="26667" spans="1:15">
      <c r="A26667" t="s">
        <v>4</v>
      </c>
      <c r="B26667" s="4" t="s">
        <v>5</v>
      </c>
      <c r="C26667" s="4" t="s">
        <v>7</v>
      </c>
      <c r="D26667" s="4" t="s">
        <v>7</v>
      </c>
      <c r="E26667" s="4" t="s">
        <v>13</v>
      </c>
      <c r="F26667" s="4" t="s">
        <v>13</v>
      </c>
      <c r="G26667" s="4" t="s">
        <v>13</v>
      </c>
      <c r="H26667" s="4" t="s">
        <v>11</v>
      </c>
      <c r="I26667" s="4" t="s">
        <v>7</v>
      </c>
    </row>
    <row r="26668" spans="1:15">
      <c r="A26668" t="n">
        <v>259193</v>
      </c>
      <c r="B26668" s="51" t="n">
        <v>45</v>
      </c>
      <c r="C26668" s="7" t="n">
        <v>4</v>
      </c>
      <c r="D26668" s="7" t="n">
        <v>3</v>
      </c>
      <c r="E26668" s="7" t="n">
        <v>13.4200000762939</v>
      </c>
      <c r="F26668" s="7" t="n">
        <v>41.7400016784668</v>
      </c>
      <c r="G26668" s="7" t="n">
        <v>368</v>
      </c>
      <c r="H26668" s="7" t="n">
        <v>20000</v>
      </c>
      <c r="I26668" s="7" t="n">
        <v>1</v>
      </c>
    </row>
    <row r="26669" spans="1:15">
      <c r="A26669" t="s">
        <v>4</v>
      </c>
      <c r="B26669" s="4" t="s">
        <v>5</v>
      </c>
      <c r="C26669" s="4" t="s">
        <v>7</v>
      </c>
      <c r="D26669" s="4" t="s">
        <v>11</v>
      </c>
      <c r="E26669" s="4" t="s">
        <v>8</v>
      </c>
    </row>
    <row r="26670" spans="1:15">
      <c r="A26670" t="n">
        <v>259211</v>
      </c>
      <c r="B26670" s="38" t="n">
        <v>51</v>
      </c>
      <c r="C26670" s="7" t="n">
        <v>4</v>
      </c>
      <c r="D26670" s="7" t="n">
        <v>5</v>
      </c>
      <c r="E26670" s="7" t="s">
        <v>466</v>
      </c>
    </row>
    <row r="26671" spans="1:15">
      <c r="A26671" t="s">
        <v>4</v>
      </c>
      <c r="B26671" s="4" t="s">
        <v>5</v>
      </c>
      <c r="C26671" s="4" t="s">
        <v>11</v>
      </c>
    </row>
    <row r="26672" spans="1:15">
      <c r="A26672" t="n">
        <v>259225</v>
      </c>
      <c r="B26672" s="29" t="n">
        <v>16</v>
      </c>
      <c r="C26672" s="7" t="n">
        <v>0</v>
      </c>
    </row>
    <row r="26673" spans="1:9">
      <c r="A26673" t="s">
        <v>4</v>
      </c>
      <c r="B26673" s="4" t="s">
        <v>5</v>
      </c>
      <c r="C26673" s="4" t="s">
        <v>11</v>
      </c>
      <c r="D26673" s="4" t="s">
        <v>7</v>
      </c>
      <c r="E26673" s="4" t="s">
        <v>15</v>
      </c>
      <c r="F26673" s="4" t="s">
        <v>55</v>
      </c>
      <c r="G26673" s="4" t="s">
        <v>7</v>
      </c>
      <c r="H26673" s="4" t="s">
        <v>7</v>
      </c>
      <c r="I26673" s="4" t="s">
        <v>7</v>
      </c>
      <c r="J26673" s="4" t="s">
        <v>15</v>
      </c>
      <c r="K26673" s="4" t="s">
        <v>55</v>
      </c>
      <c r="L26673" s="4" t="s">
        <v>7</v>
      </c>
      <c r="M26673" s="4" t="s">
        <v>7</v>
      </c>
    </row>
    <row r="26674" spans="1:9">
      <c r="A26674" t="n">
        <v>259228</v>
      </c>
      <c r="B26674" s="55" t="n">
        <v>26</v>
      </c>
      <c r="C26674" s="7" t="n">
        <v>5</v>
      </c>
      <c r="D26674" s="7" t="n">
        <v>17</v>
      </c>
      <c r="E26674" s="7" t="n">
        <v>3820</v>
      </c>
      <c r="F26674" s="7" t="s">
        <v>545</v>
      </c>
      <c r="G26674" s="7" t="n">
        <v>2</v>
      </c>
      <c r="H26674" s="7" t="n">
        <v>3</v>
      </c>
      <c r="I26674" s="7" t="n">
        <v>17</v>
      </c>
      <c r="J26674" s="7" t="n">
        <v>3821</v>
      </c>
      <c r="K26674" s="7" t="s">
        <v>546</v>
      </c>
      <c r="L26674" s="7" t="n">
        <v>2</v>
      </c>
      <c r="M26674" s="7" t="n">
        <v>0</v>
      </c>
    </row>
    <row r="26675" spans="1:9">
      <c r="A26675" t="s">
        <v>4</v>
      </c>
      <c r="B26675" s="4" t="s">
        <v>5</v>
      </c>
    </row>
    <row r="26676" spans="1:9">
      <c r="A26676" t="n">
        <v>259384</v>
      </c>
      <c r="B26676" s="27" t="n">
        <v>28</v>
      </c>
    </row>
    <row r="26677" spans="1:9">
      <c r="A26677" t="s">
        <v>4</v>
      </c>
      <c r="B26677" s="4" t="s">
        <v>5</v>
      </c>
      <c r="C26677" s="4" t="s">
        <v>7</v>
      </c>
      <c r="D26677" s="4" t="s">
        <v>11</v>
      </c>
      <c r="E26677" s="4" t="s">
        <v>8</v>
      </c>
    </row>
    <row r="26678" spans="1:9">
      <c r="A26678" t="n">
        <v>259385</v>
      </c>
      <c r="B26678" s="38" t="n">
        <v>51</v>
      </c>
      <c r="C26678" s="7" t="n">
        <v>4</v>
      </c>
      <c r="D26678" s="7" t="n">
        <v>0</v>
      </c>
      <c r="E26678" s="7" t="s">
        <v>547</v>
      </c>
    </row>
    <row r="26679" spans="1:9">
      <c r="A26679" t="s">
        <v>4</v>
      </c>
      <c r="B26679" s="4" t="s">
        <v>5</v>
      </c>
      <c r="C26679" s="4" t="s">
        <v>11</v>
      </c>
    </row>
    <row r="26680" spans="1:9">
      <c r="A26680" t="n">
        <v>259399</v>
      </c>
      <c r="B26680" s="29" t="n">
        <v>16</v>
      </c>
      <c r="C26680" s="7" t="n">
        <v>0</v>
      </c>
    </row>
    <row r="26681" spans="1:9">
      <c r="A26681" t="s">
        <v>4</v>
      </c>
      <c r="B26681" s="4" t="s">
        <v>5</v>
      </c>
      <c r="C26681" s="4" t="s">
        <v>11</v>
      </c>
      <c r="D26681" s="4" t="s">
        <v>7</v>
      </c>
      <c r="E26681" s="4" t="s">
        <v>15</v>
      </c>
      <c r="F26681" s="4" t="s">
        <v>55</v>
      </c>
      <c r="G26681" s="4" t="s">
        <v>7</v>
      </c>
      <c r="H26681" s="4" t="s">
        <v>7</v>
      </c>
      <c r="I26681" s="4" t="s">
        <v>7</v>
      </c>
      <c r="J26681" s="4" t="s">
        <v>15</v>
      </c>
      <c r="K26681" s="4" t="s">
        <v>55</v>
      </c>
      <c r="L26681" s="4" t="s">
        <v>7</v>
      </c>
      <c r="M26681" s="4" t="s">
        <v>7</v>
      </c>
    </row>
    <row r="26682" spans="1:9">
      <c r="A26682" t="n">
        <v>259402</v>
      </c>
      <c r="B26682" s="55" t="n">
        <v>26</v>
      </c>
      <c r="C26682" s="7" t="n">
        <v>0</v>
      </c>
      <c r="D26682" s="7" t="n">
        <v>17</v>
      </c>
      <c r="E26682" s="7" t="n">
        <v>63901</v>
      </c>
      <c r="F26682" s="7" t="s">
        <v>548</v>
      </c>
      <c r="G26682" s="7" t="n">
        <v>2</v>
      </c>
      <c r="H26682" s="7" t="n">
        <v>3</v>
      </c>
      <c r="I26682" s="7" t="n">
        <v>17</v>
      </c>
      <c r="J26682" s="7" t="n">
        <v>63902</v>
      </c>
      <c r="K26682" s="7" t="s">
        <v>549</v>
      </c>
      <c r="L26682" s="7" t="n">
        <v>2</v>
      </c>
      <c r="M26682" s="7" t="n">
        <v>0</v>
      </c>
    </row>
    <row r="26683" spans="1:9">
      <c r="A26683" t="s">
        <v>4</v>
      </c>
      <c r="B26683" s="4" t="s">
        <v>5</v>
      </c>
    </row>
    <row r="26684" spans="1:9">
      <c r="A26684" t="n">
        <v>259560</v>
      </c>
      <c r="B26684" s="27" t="n">
        <v>28</v>
      </c>
    </row>
    <row r="26685" spans="1:9">
      <c r="A26685" t="s">
        <v>4</v>
      </c>
      <c r="B26685" s="4" t="s">
        <v>5</v>
      </c>
      <c r="C26685" s="4" t="s">
        <v>11</v>
      </c>
    </row>
    <row r="26686" spans="1:9">
      <c r="A26686" t="n">
        <v>259561</v>
      </c>
      <c r="B26686" s="29" t="n">
        <v>16</v>
      </c>
      <c r="C26686" s="7" t="n">
        <v>300</v>
      </c>
    </row>
    <row r="26687" spans="1:9">
      <c r="A26687" t="s">
        <v>4</v>
      </c>
      <c r="B26687" s="4" t="s">
        <v>5</v>
      </c>
      <c r="C26687" s="4" t="s">
        <v>7</v>
      </c>
      <c r="D26687" s="4" t="s">
        <v>11</v>
      </c>
      <c r="E26687" s="4" t="s">
        <v>8</v>
      </c>
    </row>
    <row r="26688" spans="1:9">
      <c r="A26688" t="n">
        <v>259564</v>
      </c>
      <c r="B26688" s="38" t="n">
        <v>51</v>
      </c>
      <c r="C26688" s="7" t="n">
        <v>4</v>
      </c>
      <c r="D26688" s="7" t="n">
        <v>5</v>
      </c>
      <c r="E26688" s="7" t="s">
        <v>238</v>
      </c>
    </row>
    <row r="26689" spans="1:13">
      <c r="A26689" t="s">
        <v>4</v>
      </c>
      <c r="B26689" s="4" t="s">
        <v>5</v>
      </c>
      <c r="C26689" s="4" t="s">
        <v>11</v>
      </c>
    </row>
    <row r="26690" spans="1:13">
      <c r="A26690" t="n">
        <v>259578</v>
      </c>
      <c r="B26690" s="29" t="n">
        <v>16</v>
      </c>
      <c r="C26690" s="7" t="n">
        <v>500</v>
      </c>
    </row>
    <row r="26691" spans="1:13">
      <c r="A26691" t="s">
        <v>4</v>
      </c>
      <c r="B26691" s="4" t="s">
        <v>5</v>
      </c>
      <c r="C26691" s="4" t="s">
        <v>11</v>
      </c>
      <c r="D26691" s="4" t="s">
        <v>7</v>
      </c>
      <c r="E26691" s="4" t="s">
        <v>15</v>
      </c>
      <c r="F26691" s="4" t="s">
        <v>55</v>
      </c>
      <c r="G26691" s="4" t="s">
        <v>7</v>
      </c>
      <c r="H26691" s="4" t="s">
        <v>7</v>
      </c>
    </row>
    <row r="26692" spans="1:13">
      <c r="A26692" t="n">
        <v>259581</v>
      </c>
      <c r="B26692" s="55" t="n">
        <v>26</v>
      </c>
      <c r="C26692" s="7" t="n">
        <v>5</v>
      </c>
      <c r="D26692" s="7" t="n">
        <v>17</v>
      </c>
      <c r="E26692" s="7" t="n">
        <v>3822</v>
      </c>
      <c r="F26692" s="7" t="s">
        <v>550</v>
      </c>
      <c r="G26692" s="7" t="n">
        <v>2</v>
      </c>
      <c r="H26692" s="7" t="n">
        <v>0</v>
      </c>
    </row>
    <row r="26693" spans="1:13">
      <c r="A26693" t="s">
        <v>4</v>
      </c>
      <c r="B26693" s="4" t="s">
        <v>5</v>
      </c>
    </row>
    <row r="26694" spans="1:13">
      <c r="A26694" t="n">
        <v>259605</v>
      </c>
      <c r="B26694" s="27" t="n">
        <v>28</v>
      </c>
    </row>
    <row r="26695" spans="1:13">
      <c r="A26695" t="s">
        <v>4</v>
      </c>
      <c r="B26695" s="4" t="s">
        <v>5</v>
      </c>
      <c r="C26695" s="4" t="s">
        <v>11</v>
      </c>
    </row>
    <row r="26696" spans="1:13">
      <c r="A26696" t="n">
        <v>259606</v>
      </c>
      <c r="B26696" s="29" t="n">
        <v>16</v>
      </c>
      <c r="C26696" s="7" t="n">
        <v>1000</v>
      </c>
    </row>
    <row r="26697" spans="1:13">
      <c r="A26697" t="s">
        <v>4</v>
      </c>
      <c r="B26697" s="4" t="s">
        <v>5</v>
      </c>
      <c r="C26697" s="4" t="s">
        <v>7</v>
      </c>
      <c r="D26697" s="4" t="s">
        <v>13</v>
      </c>
      <c r="E26697" s="4" t="s">
        <v>11</v>
      </c>
      <c r="F26697" s="4" t="s">
        <v>7</v>
      </c>
    </row>
    <row r="26698" spans="1:13">
      <c r="A26698" t="n">
        <v>259609</v>
      </c>
      <c r="B26698" s="13" t="n">
        <v>49</v>
      </c>
      <c r="C26698" s="7" t="n">
        <v>3</v>
      </c>
      <c r="D26698" s="7" t="n">
        <v>1</v>
      </c>
      <c r="E26698" s="7" t="n">
        <v>1000</v>
      </c>
      <c r="F26698" s="7" t="n">
        <v>0</v>
      </c>
    </row>
    <row r="26699" spans="1:13">
      <c r="A26699" t="s">
        <v>4</v>
      </c>
      <c r="B26699" s="4" t="s">
        <v>5</v>
      </c>
      <c r="C26699" s="4" t="s">
        <v>7</v>
      </c>
      <c r="D26699" s="4" t="s">
        <v>11</v>
      </c>
      <c r="E26699" s="4" t="s">
        <v>13</v>
      </c>
    </row>
    <row r="26700" spans="1:13">
      <c r="A26700" t="n">
        <v>259618</v>
      </c>
      <c r="B26700" s="23" t="n">
        <v>58</v>
      </c>
      <c r="C26700" s="7" t="n">
        <v>101</v>
      </c>
      <c r="D26700" s="7" t="n">
        <v>1000</v>
      </c>
      <c r="E26700" s="7" t="n">
        <v>1</v>
      </c>
    </row>
    <row r="26701" spans="1:13">
      <c r="A26701" t="s">
        <v>4</v>
      </c>
      <c r="B26701" s="4" t="s">
        <v>5</v>
      </c>
      <c r="C26701" s="4" t="s">
        <v>7</v>
      </c>
      <c r="D26701" s="4" t="s">
        <v>11</v>
      </c>
    </row>
    <row r="26702" spans="1:13">
      <c r="A26702" t="n">
        <v>259626</v>
      </c>
      <c r="B26702" s="23" t="n">
        <v>58</v>
      </c>
      <c r="C26702" s="7" t="n">
        <v>254</v>
      </c>
      <c r="D26702" s="7" t="n">
        <v>0</v>
      </c>
    </row>
    <row r="26703" spans="1:13">
      <c r="A26703" t="s">
        <v>4</v>
      </c>
      <c r="B26703" s="4" t="s">
        <v>5</v>
      </c>
      <c r="C26703" s="4" t="s">
        <v>7</v>
      </c>
      <c r="D26703" s="4" t="s">
        <v>11</v>
      </c>
      <c r="E26703" s="4" t="s">
        <v>8</v>
      </c>
      <c r="F26703" s="4" t="s">
        <v>8</v>
      </c>
      <c r="G26703" s="4" t="s">
        <v>8</v>
      </c>
      <c r="H26703" s="4" t="s">
        <v>8</v>
      </c>
    </row>
    <row r="26704" spans="1:13">
      <c r="A26704" t="n">
        <v>259630</v>
      </c>
      <c r="B26704" s="38" t="n">
        <v>51</v>
      </c>
      <c r="C26704" s="7" t="n">
        <v>3</v>
      </c>
      <c r="D26704" s="7" t="n">
        <v>5</v>
      </c>
      <c r="E26704" s="7" t="s">
        <v>319</v>
      </c>
      <c r="F26704" s="7" t="s">
        <v>79</v>
      </c>
      <c r="G26704" s="7" t="s">
        <v>16</v>
      </c>
      <c r="H26704" s="7" t="s">
        <v>86</v>
      </c>
    </row>
    <row r="26705" spans="1:8">
      <c r="A26705" t="s">
        <v>4</v>
      </c>
      <c r="B26705" s="4" t="s">
        <v>5</v>
      </c>
      <c r="C26705" s="4" t="s">
        <v>7</v>
      </c>
    </row>
    <row r="26706" spans="1:8">
      <c r="A26706" t="n">
        <v>259641</v>
      </c>
      <c r="B26706" s="49" t="n">
        <v>116</v>
      </c>
      <c r="C26706" s="7" t="n">
        <v>0</v>
      </c>
    </row>
    <row r="26707" spans="1:8">
      <c r="A26707" t="s">
        <v>4</v>
      </c>
      <c r="B26707" s="4" t="s">
        <v>5</v>
      </c>
      <c r="C26707" s="4" t="s">
        <v>7</v>
      </c>
      <c r="D26707" s="4" t="s">
        <v>11</v>
      </c>
    </row>
    <row r="26708" spans="1:8">
      <c r="A26708" t="n">
        <v>259643</v>
      </c>
      <c r="B26708" s="49" t="n">
        <v>116</v>
      </c>
      <c r="C26708" s="7" t="n">
        <v>2</v>
      </c>
      <c r="D26708" s="7" t="n">
        <v>1</v>
      </c>
    </row>
    <row r="26709" spans="1:8">
      <c r="A26709" t="s">
        <v>4</v>
      </c>
      <c r="B26709" s="4" t="s">
        <v>5</v>
      </c>
      <c r="C26709" s="4" t="s">
        <v>7</v>
      </c>
      <c r="D26709" s="4" t="s">
        <v>15</v>
      </c>
    </row>
    <row r="26710" spans="1:8">
      <c r="A26710" t="n">
        <v>259647</v>
      </c>
      <c r="B26710" s="49" t="n">
        <v>116</v>
      </c>
      <c r="C26710" s="7" t="n">
        <v>5</v>
      </c>
      <c r="D26710" s="7" t="n">
        <v>1092616192</v>
      </c>
    </row>
    <row r="26711" spans="1:8">
      <c r="A26711" t="s">
        <v>4</v>
      </c>
      <c r="B26711" s="4" t="s">
        <v>5</v>
      </c>
      <c r="C26711" s="4" t="s">
        <v>7</v>
      </c>
      <c r="D26711" s="4" t="s">
        <v>11</v>
      </c>
    </row>
    <row r="26712" spans="1:8">
      <c r="A26712" t="n">
        <v>259653</v>
      </c>
      <c r="B26712" s="49" t="n">
        <v>116</v>
      </c>
      <c r="C26712" s="7" t="n">
        <v>6</v>
      </c>
      <c r="D26712" s="7" t="n">
        <v>1</v>
      </c>
    </row>
    <row r="26713" spans="1:8">
      <c r="A26713" t="s">
        <v>4</v>
      </c>
      <c r="B26713" s="4" t="s">
        <v>5</v>
      </c>
      <c r="C26713" s="4" t="s">
        <v>7</v>
      </c>
      <c r="D26713" s="4" t="s">
        <v>7</v>
      </c>
      <c r="E26713" s="4" t="s">
        <v>13</v>
      </c>
      <c r="F26713" s="4" t="s">
        <v>13</v>
      </c>
      <c r="G26713" s="4" t="s">
        <v>13</v>
      </c>
      <c r="H26713" s="4" t="s">
        <v>11</v>
      </c>
    </row>
    <row r="26714" spans="1:8">
      <c r="A26714" t="n">
        <v>259657</v>
      </c>
      <c r="B26714" s="51" t="n">
        <v>45</v>
      </c>
      <c r="C26714" s="7" t="n">
        <v>2</v>
      </c>
      <c r="D26714" s="7" t="n">
        <v>3</v>
      </c>
      <c r="E26714" s="7" t="n">
        <v>-6.67000007629395</v>
      </c>
      <c r="F26714" s="7" t="n">
        <v>6.42000007629395</v>
      </c>
      <c r="G26714" s="7" t="n">
        <v>29.8899993896484</v>
      </c>
      <c r="H26714" s="7" t="n">
        <v>0</v>
      </c>
    </row>
    <row r="26715" spans="1:8">
      <c r="A26715" t="s">
        <v>4</v>
      </c>
      <c r="B26715" s="4" t="s">
        <v>5</v>
      </c>
      <c r="C26715" s="4" t="s">
        <v>7</v>
      </c>
      <c r="D26715" s="4" t="s">
        <v>7</v>
      </c>
      <c r="E26715" s="4" t="s">
        <v>13</v>
      </c>
      <c r="F26715" s="4" t="s">
        <v>13</v>
      </c>
      <c r="G26715" s="4" t="s">
        <v>13</v>
      </c>
      <c r="H26715" s="4" t="s">
        <v>11</v>
      </c>
      <c r="I26715" s="4" t="s">
        <v>7</v>
      </c>
    </row>
    <row r="26716" spans="1:8">
      <c r="A26716" t="n">
        <v>259674</v>
      </c>
      <c r="B26716" s="51" t="n">
        <v>45</v>
      </c>
      <c r="C26716" s="7" t="n">
        <v>4</v>
      </c>
      <c r="D26716" s="7" t="n">
        <v>3</v>
      </c>
      <c r="E26716" s="7" t="n">
        <v>15.4700002670288</v>
      </c>
      <c r="F26716" s="7" t="n">
        <v>56.1100006103516</v>
      </c>
      <c r="G26716" s="7" t="n">
        <v>354</v>
      </c>
      <c r="H26716" s="7" t="n">
        <v>0</v>
      </c>
      <c r="I26716" s="7" t="n">
        <v>0</v>
      </c>
    </row>
    <row r="26717" spans="1:8">
      <c r="A26717" t="s">
        <v>4</v>
      </c>
      <c r="B26717" s="4" t="s">
        <v>5</v>
      </c>
      <c r="C26717" s="4" t="s">
        <v>7</v>
      </c>
      <c r="D26717" s="4" t="s">
        <v>7</v>
      </c>
      <c r="E26717" s="4" t="s">
        <v>13</v>
      </c>
      <c r="F26717" s="4" t="s">
        <v>11</v>
      </c>
    </row>
    <row r="26718" spans="1:8">
      <c r="A26718" t="n">
        <v>259692</v>
      </c>
      <c r="B26718" s="51" t="n">
        <v>45</v>
      </c>
      <c r="C26718" s="7" t="n">
        <v>5</v>
      </c>
      <c r="D26718" s="7" t="n">
        <v>3</v>
      </c>
      <c r="E26718" s="7" t="n">
        <v>1.5</v>
      </c>
      <c r="F26718" s="7" t="n">
        <v>0</v>
      </c>
    </row>
    <row r="26719" spans="1:8">
      <c r="A26719" t="s">
        <v>4</v>
      </c>
      <c r="B26719" s="4" t="s">
        <v>5</v>
      </c>
      <c r="C26719" s="4" t="s">
        <v>7</v>
      </c>
      <c r="D26719" s="4" t="s">
        <v>7</v>
      </c>
      <c r="E26719" s="4" t="s">
        <v>13</v>
      </c>
      <c r="F26719" s="4" t="s">
        <v>11</v>
      </c>
    </row>
    <row r="26720" spans="1:8">
      <c r="A26720" t="n">
        <v>259701</v>
      </c>
      <c r="B26720" s="51" t="n">
        <v>45</v>
      </c>
      <c r="C26720" s="7" t="n">
        <v>11</v>
      </c>
      <c r="D26720" s="7" t="n">
        <v>3</v>
      </c>
      <c r="E26720" s="7" t="n">
        <v>40.2999992370605</v>
      </c>
      <c r="F26720" s="7" t="n">
        <v>0</v>
      </c>
    </row>
    <row r="26721" spans="1:9">
      <c r="A26721" t="s">
        <v>4</v>
      </c>
      <c r="B26721" s="4" t="s">
        <v>5</v>
      </c>
      <c r="C26721" s="4" t="s">
        <v>7</v>
      </c>
      <c r="D26721" s="4" t="s">
        <v>7</v>
      </c>
      <c r="E26721" s="4" t="s">
        <v>13</v>
      </c>
      <c r="F26721" s="4" t="s">
        <v>13</v>
      </c>
      <c r="G26721" s="4" t="s">
        <v>13</v>
      </c>
      <c r="H26721" s="4" t="s">
        <v>11</v>
      </c>
    </row>
    <row r="26722" spans="1:9">
      <c r="A26722" t="n">
        <v>259710</v>
      </c>
      <c r="B26722" s="51" t="n">
        <v>45</v>
      </c>
      <c r="C26722" s="7" t="n">
        <v>2</v>
      </c>
      <c r="D26722" s="7" t="n">
        <v>3</v>
      </c>
      <c r="E26722" s="7" t="n">
        <v>-6.34000015258789</v>
      </c>
      <c r="F26722" s="7" t="n">
        <v>6.59000015258789</v>
      </c>
      <c r="G26722" s="7" t="n">
        <v>28.8899993896484</v>
      </c>
      <c r="H26722" s="7" t="n">
        <v>6000</v>
      </c>
    </row>
    <row r="26723" spans="1:9">
      <c r="A26723" t="s">
        <v>4</v>
      </c>
      <c r="B26723" s="4" t="s">
        <v>5</v>
      </c>
      <c r="C26723" s="4" t="s">
        <v>7</v>
      </c>
      <c r="D26723" s="4" t="s">
        <v>7</v>
      </c>
      <c r="E26723" s="4" t="s">
        <v>13</v>
      </c>
      <c r="F26723" s="4" t="s">
        <v>13</v>
      </c>
      <c r="G26723" s="4" t="s">
        <v>13</v>
      </c>
      <c r="H26723" s="4" t="s">
        <v>11</v>
      </c>
      <c r="I26723" s="4" t="s">
        <v>7</v>
      </c>
    </row>
    <row r="26724" spans="1:9">
      <c r="A26724" t="n">
        <v>259727</v>
      </c>
      <c r="B26724" s="51" t="n">
        <v>45</v>
      </c>
      <c r="C26724" s="7" t="n">
        <v>4</v>
      </c>
      <c r="D26724" s="7" t="n">
        <v>3</v>
      </c>
      <c r="E26724" s="7" t="n">
        <v>10.7700004577637</v>
      </c>
      <c r="F26724" s="7" t="n">
        <v>43.6100006103516</v>
      </c>
      <c r="G26724" s="7" t="n">
        <v>360</v>
      </c>
      <c r="H26724" s="7" t="n">
        <v>6000</v>
      </c>
      <c r="I26724" s="7" t="n">
        <v>1</v>
      </c>
    </row>
    <row r="26725" spans="1:9">
      <c r="A26725" t="s">
        <v>4</v>
      </c>
      <c r="B26725" s="4" t="s">
        <v>5</v>
      </c>
      <c r="C26725" s="4" t="s">
        <v>7</v>
      </c>
      <c r="D26725" s="4" t="s">
        <v>11</v>
      </c>
    </row>
    <row r="26726" spans="1:9">
      <c r="A26726" t="n">
        <v>259745</v>
      </c>
      <c r="B26726" s="23" t="n">
        <v>58</v>
      </c>
      <c r="C26726" s="7" t="n">
        <v>255</v>
      </c>
      <c r="D26726" s="7" t="n">
        <v>0</v>
      </c>
    </row>
    <row r="26727" spans="1:9">
      <c r="A26727" t="s">
        <v>4</v>
      </c>
      <c r="B26727" s="4" t="s">
        <v>5</v>
      </c>
      <c r="C26727" s="4" t="s">
        <v>7</v>
      </c>
      <c r="D26727" s="4" t="s">
        <v>11</v>
      </c>
    </row>
    <row r="26728" spans="1:9">
      <c r="A26728" t="n">
        <v>259749</v>
      </c>
      <c r="B26728" s="51" t="n">
        <v>45</v>
      </c>
      <c r="C26728" s="7" t="n">
        <v>7</v>
      </c>
      <c r="D26728" s="7" t="n">
        <v>255</v>
      </c>
    </row>
    <row r="26729" spans="1:9">
      <c r="A26729" t="s">
        <v>4</v>
      </c>
      <c r="B26729" s="4" t="s">
        <v>5</v>
      </c>
      <c r="C26729" s="4" t="s">
        <v>7</v>
      </c>
      <c r="D26729" s="4" t="s">
        <v>11</v>
      </c>
      <c r="E26729" s="4" t="s">
        <v>13</v>
      </c>
    </row>
    <row r="26730" spans="1:9">
      <c r="A26730" t="n">
        <v>259753</v>
      </c>
      <c r="B26730" s="23" t="n">
        <v>58</v>
      </c>
      <c r="C26730" s="7" t="n">
        <v>0</v>
      </c>
      <c r="D26730" s="7" t="n">
        <v>2000</v>
      </c>
      <c r="E26730" s="7" t="n">
        <v>1</v>
      </c>
    </row>
    <row r="26731" spans="1:9">
      <c r="A26731" t="s">
        <v>4</v>
      </c>
      <c r="B26731" s="4" t="s">
        <v>5</v>
      </c>
      <c r="C26731" s="4" t="s">
        <v>7</v>
      </c>
      <c r="D26731" s="4" t="s">
        <v>11</v>
      </c>
    </row>
    <row r="26732" spans="1:9">
      <c r="A26732" t="n">
        <v>259761</v>
      </c>
      <c r="B26732" s="23" t="n">
        <v>58</v>
      </c>
      <c r="C26732" s="7" t="n">
        <v>255</v>
      </c>
      <c r="D26732" s="7" t="n">
        <v>0</v>
      </c>
    </row>
    <row r="26733" spans="1:9">
      <c r="A26733" t="s">
        <v>4</v>
      </c>
      <c r="B26733" s="4" t="s">
        <v>5</v>
      </c>
      <c r="C26733" s="4" t="s">
        <v>7</v>
      </c>
      <c r="D26733" s="4" t="s">
        <v>11</v>
      </c>
      <c r="E26733" s="4" t="s">
        <v>11</v>
      </c>
      <c r="F26733" s="4" t="s">
        <v>15</v>
      </c>
    </row>
    <row r="26734" spans="1:9">
      <c r="A26734" t="n">
        <v>259765</v>
      </c>
      <c r="B26734" s="76" t="n">
        <v>84</v>
      </c>
      <c r="C26734" s="7" t="n">
        <v>1</v>
      </c>
      <c r="D26734" s="7" t="n">
        <v>0</v>
      </c>
      <c r="E26734" s="7" t="n">
        <v>0</v>
      </c>
      <c r="F26734" s="7" t="n">
        <v>0</v>
      </c>
    </row>
    <row r="26735" spans="1:9">
      <c r="A26735" t="s">
        <v>4</v>
      </c>
      <c r="B26735" s="4" t="s">
        <v>5</v>
      </c>
      <c r="C26735" s="4" t="s">
        <v>7</v>
      </c>
    </row>
    <row r="26736" spans="1:9">
      <c r="A26736" t="n">
        <v>259775</v>
      </c>
      <c r="B26736" s="28" t="n">
        <v>78</v>
      </c>
      <c r="C26736" s="7" t="n">
        <v>255</v>
      </c>
    </row>
    <row r="26737" spans="1:9">
      <c r="A26737" t="s">
        <v>4</v>
      </c>
      <c r="B26737" s="4" t="s">
        <v>5</v>
      </c>
      <c r="C26737" s="4" t="s">
        <v>7</v>
      </c>
      <c r="D26737" s="4" t="s">
        <v>11</v>
      </c>
      <c r="E26737" s="4" t="s">
        <v>7</v>
      </c>
    </row>
    <row r="26738" spans="1:9">
      <c r="A26738" t="n">
        <v>259777</v>
      </c>
      <c r="B26738" s="40" t="n">
        <v>36</v>
      </c>
      <c r="C26738" s="7" t="n">
        <v>9</v>
      </c>
      <c r="D26738" s="7" t="n">
        <v>0</v>
      </c>
      <c r="E26738" s="7" t="n">
        <v>0</v>
      </c>
    </row>
    <row r="26739" spans="1:9">
      <c r="A26739" t="s">
        <v>4</v>
      </c>
      <c r="B26739" s="4" t="s">
        <v>5</v>
      </c>
      <c r="C26739" s="4" t="s">
        <v>7</v>
      </c>
      <c r="D26739" s="4" t="s">
        <v>11</v>
      </c>
      <c r="E26739" s="4" t="s">
        <v>7</v>
      </c>
    </row>
    <row r="26740" spans="1:9">
      <c r="A26740" t="n">
        <v>259782</v>
      </c>
      <c r="B26740" s="40" t="n">
        <v>36</v>
      </c>
      <c r="C26740" s="7" t="n">
        <v>9</v>
      </c>
      <c r="D26740" s="7" t="n">
        <v>5</v>
      </c>
      <c r="E26740" s="7" t="n">
        <v>0</v>
      </c>
    </row>
    <row r="26741" spans="1:9">
      <c r="A26741" t="s">
        <v>4</v>
      </c>
      <c r="B26741" s="4" t="s">
        <v>5</v>
      </c>
      <c r="C26741" s="4" t="s">
        <v>7</v>
      </c>
      <c r="D26741" s="4" t="s">
        <v>11</v>
      </c>
      <c r="E26741" s="4" t="s">
        <v>11</v>
      </c>
      <c r="F26741" s="4" t="s">
        <v>15</v>
      </c>
      <c r="G26741" s="4" t="s">
        <v>15</v>
      </c>
      <c r="H26741" s="4" t="s">
        <v>15</v>
      </c>
    </row>
    <row r="26742" spans="1:9">
      <c r="A26742" t="n">
        <v>259787</v>
      </c>
      <c r="B26742" s="77" t="n">
        <v>97</v>
      </c>
      <c r="C26742" s="7" t="n">
        <v>7</v>
      </c>
      <c r="D26742" s="7" t="n">
        <v>0</v>
      </c>
      <c r="E26742" s="7" t="n">
        <v>0</v>
      </c>
      <c r="F26742" s="7" t="n">
        <v>0</v>
      </c>
      <c r="G26742" s="7" t="n">
        <v>0</v>
      </c>
      <c r="H26742" s="7" t="n">
        <v>0</v>
      </c>
    </row>
    <row r="26743" spans="1:9">
      <c r="A26743" t="s">
        <v>4</v>
      </c>
      <c r="B26743" s="4" t="s">
        <v>5</v>
      </c>
      <c r="C26743" s="4" t="s">
        <v>11</v>
      </c>
      <c r="D26743" s="4" t="s">
        <v>13</v>
      </c>
      <c r="E26743" s="4" t="s">
        <v>13</v>
      </c>
      <c r="F26743" s="4" t="s">
        <v>13</v>
      </c>
      <c r="G26743" s="4" t="s">
        <v>13</v>
      </c>
    </row>
    <row r="26744" spans="1:9">
      <c r="A26744" t="n">
        <v>259805</v>
      </c>
      <c r="B26744" s="36" t="n">
        <v>46</v>
      </c>
      <c r="C26744" s="7" t="n">
        <v>61456</v>
      </c>
      <c r="D26744" s="7" t="n">
        <v>0</v>
      </c>
      <c r="E26744" s="7" t="n">
        <v>0</v>
      </c>
      <c r="F26744" s="7" t="n">
        <v>0</v>
      </c>
      <c r="G26744" s="7" t="n">
        <v>0</v>
      </c>
    </row>
    <row r="26745" spans="1:9">
      <c r="A26745" t="s">
        <v>4</v>
      </c>
      <c r="B26745" s="4" t="s">
        <v>5</v>
      </c>
      <c r="C26745" s="4" t="s">
        <v>7</v>
      </c>
      <c r="D26745" s="4" t="s">
        <v>8</v>
      </c>
    </row>
    <row r="26746" spans="1:9">
      <c r="A26746" t="n">
        <v>259824</v>
      </c>
      <c r="B26746" s="6" t="n">
        <v>2</v>
      </c>
      <c r="C26746" s="7" t="n">
        <v>10</v>
      </c>
      <c r="D26746" s="7" t="s">
        <v>1834</v>
      </c>
    </row>
    <row r="26747" spans="1:9">
      <c r="A26747" t="s">
        <v>4</v>
      </c>
      <c r="B26747" s="4" t="s">
        <v>5</v>
      </c>
    </row>
    <row r="26748" spans="1:9">
      <c r="A26748" t="n">
        <v>259845</v>
      </c>
      <c r="B26748" s="5" t="n">
        <v>1</v>
      </c>
    </row>
    <row r="26749" spans="1:9" s="3" customFormat="1" customHeight="0">
      <c r="A26749" s="3" t="s">
        <v>2</v>
      </c>
      <c r="B26749" s="3" t="s">
        <v>1839</v>
      </c>
    </row>
    <row r="26750" spans="1:9">
      <c r="A26750" t="s">
        <v>4</v>
      </c>
      <c r="B26750" s="4" t="s">
        <v>5</v>
      </c>
      <c r="C26750" s="4" t="s">
        <v>7</v>
      </c>
      <c r="D26750" s="4" t="s">
        <v>7</v>
      </c>
      <c r="E26750" s="4" t="s">
        <v>7</v>
      </c>
      <c r="F26750" s="4" t="s">
        <v>7</v>
      </c>
    </row>
    <row r="26751" spans="1:9">
      <c r="A26751" t="n">
        <v>259848</v>
      </c>
      <c r="B26751" s="9" t="n">
        <v>14</v>
      </c>
      <c r="C26751" s="7" t="n">
        <v>2</v>
      </c>
      <c r="D26751" s="7" t="n">
        <v>0</v>
      </c>
      <c r="E26751" s="7" t="n">
        <v>0</v>
      </c>
      <c r="F26751" s="7" t="n">
        <v>0</v>
      </c>
    </row>
    <row r="26752" spans="1:9">
      <c r="A26752" t="s">
        <v>4</v>
      </c>
      <c r="B26752" s="4" t="s">
        <v>5</v>
      </c>
      <c r="C26752" s="4" t="s">
        <v>7</v>
      </c>
      <c r="D26752" s="20" t="s">
        <v>35</v>
      </c>
      <c r="E26752" s="4" t="s">
        <v>5</v>
      </c>
      <c r="F26752" s="4" t="s">
        <v>7</v>
      </c>
      <c r="G26752" s="4" t="s">
        <v>11</v>
      </c>
      <c r="H26752" s="20" t="s">
        <v>36</v>
      </c>
      <c r="I26752" s="4" t="s">
        <v>7</v>
      </c>
      <c r="J26752" s="4" t="s">
        <v>15</v>
      </c>
      <c r="K26752" s="4" t="s">
        <v>7</v>
      </c>
      <c r="L26752" s="4" t="s">
        <v>7</v>
      </c>
      <c r="M26752" s="20" t="s">
        <v>35</v>
      </c>
      <c r="N26752" s="4" t="s">
        <v>5</v>
      </c>
      <c r="O26752" s="4" t="s">
        <v>7</v>
      </c>
      <c r="P26752" s="4" t="s">
        <v>11</v>
      </c>
      <c r="Q26752" s="20" t="s">
        <v>36</v>
      </c>
      <c r="R26752" s="4" t="s">
        <v>7</v>
      </c>
      <c r="S26752" s="4" t="s">
        <v>15</v>
      </c>
      <c r="T26752" s="4" t="s">
        <v>7</v>
      </c>
      <c r="U26752" s="4" t="s">
        <v>7</v>
      </c>
      <c r="V26752" s="4" t="s">
        <v>7</v>
      </c>
      <c r="W26752" s="4" t="s">
        <v>12</v>
      </c>
    </row>
    <row r="26753" spans="1:23">
      <c r="A26753" t="n">
        <v>259853</v>
      </c>
      <c r="B26753" s="10" t="n">
        <v>5</v>
      </c>
      <c r="C26753" s="7" t="n">
        <v>28</v>
      </c>
      <c r="D26753" s="20" t="s">
        <v>3</v>
      </c>
      <c r="E26753" s="8" t="n">
        <v>162</v>
      </c>
      <c r="F26753" s="7" t="n">
        <v>3</v>
      </c>
      <c r="G26753" s="7" t="n">
        <v>36879</v>
      </c>
      <c r="H26753" s="20" t="s">
        <v>3</v>
      </c>
      <c r="I26753" s="7" t="n">
        <v>0</v>
      </c>
      <c r="J26753" s="7" t="n">
        <v>1</v>
      </c>
      <c r="K26753" s="7" t="n">
        <v>2</v>
      </c>
      <c r="L26753" s="7" t="n">
        <v>28</v>
      </c>
      <c r="M26753" s="20" t="s">
        <v>3</v>
      </c>
      <c r="N26753" s="8" t="n">
        <v>162</v>
      </c>
      <c r="O26753" s="7" t="n">
        <v>3</v>
      </c>
      <c r="P26753" s="7" t="n">
        <v>36879</v>
      </c>
      <c r="Q26753" s="20" t="s">
        <v>3</v>
      </c>
      <c r="R26753" s="7" t="n">
        <v>0</v>
      </c>
      <c r="S26753" s="7" t="n">
        <v>2</v>
      </c>
      <c r="T26753" s="7" t="n">
        <v>2</v>
      </c>
      <c r="U26753" s="7" t="n">
        <v>11</v>
      </c>
      <c r="V26753" s="7" t="n">
        <v>1</v>
      </c>
      <c r="W26753" s="11" t="n">
        <f t="normal" ca="1">A26757</f>
        <v>0</v>
      </c>
    </row>
    <row r="26754" spans="1:23">
      <c r="A26754" t="s">
        <v>4</v>
      </c>
      <c r="B26754" s="4" t="s">
        <v>5</v>
      </c>
      <c r="C26754" s="4" t="s">
        <v>7</v>
      </c>
      <c r="D26754" s="4" t="s">
        <v>11</v>
      </c>
      <c r="E26754" s="4" t="s">
        <v>13</v>
      </c>
    </row>
    <row r="26755" spans="1:23">
      <c r="A26755" t="n">
        <v>259882</v>
      </c>
      <c r="B26755" s="23" t="n">
        <v>58</v>
      </c>
      <c r="C26755" s="7" t="n">
        <v>0</v>
      </c>
      <c r="D26755" s="7" t="n">
        <v>0</v>
      </c>
      <c r="E26755" s="7" t="n">
        <v>1</v>
      </c>
    </row>
    <row r="26756" spans="1:23">
      <c r="A26756" t="s">
        <v>4</v>
      </c>
      <c r="B26756" s="4" t="s">
        <v>5</v>
      </c>
      <c r="C26756" s="4" t="s">
        <v>7</v>
      </c>
      <c r="D26756" s="20" t="s">
        <v>35</v>
      </c>
      <c r="E26756" s="4" t="s">
        <v>5</v>
      </c>
      <c r="F26756" s="4" t="s">
        <v>7</v>
      </c>
      <c r="G26756" s="4" t="s">
        <v>11</v>
      </c>
      <c r="H26756" s="20" t="s">
        <v>36</v>
      </c>
      <c r="I26756" s="4" t="s">
        <v>7</v>
      </c>
      <c r="J26756" s="4" t="s">
        <v>15</v>
      </c>
      <c r="K26756" s="4" t="s">
        <v>7</v>
      </c>
      <c r="L26756" s="4" t="s">
        <v>7</v>
      </c>
      <c r="M26756" s="20" t="s">
        <v>35</v>
      </c>
      <c r="N26756" s="4" t="s">
        <v>5</v>
      </c>
      <c r="O26756" s="4" t="s">
        <v>7</v>
      </c>
      <c r="P26756" s="4" t="s">
        <v>11</v>
      </c>
      <c r="Q26756" s="20" t="s">
        <v>36</v>
      </c>
      <c r="R26756" s="4" t="s">
        <v>7</v>
      </c>
      <c r="S26756" s="4" t="s">
        <v>15</v>
      </c>
      <c r="T26756" s="4" t="s">
        <v>7</v>
      </c>
      <c r="U26756" s="4" t="s">
        <v>7</v>
      </c>
      <c r="V26756" s="4" t="s">
        <v>7</v>
      </c>
      <c r="W26756" s="4" t="s">
        <v>12</v>
      </c>
    </row>
    <row r="26757" spans="1:23">
      <c r="A26757" t="n">
        <v>259890</v>
      </c>
      <c r="B26757" s="10" t="n">
        <v>5</v>
      </c>
      <c r="C26757" s="7" t="n">
        <v>28</v>
      </c>
      <c r="D26757" s="20" t="s">
        <v>3</v>
      </c>
      <c r="E26757" s="8" t="n">
        <v>162</v>
      </c>
      <c r="F26757" s="7" t="n">
        <v>3</v>
      </c>
      <c r="G26757" s="7" t="n">
        <v>36879</v>
      </c>
      <c r="H26757" s="20" t="s">
        <v>3</v>
      </c>
      <c r="I26757" s="7" t="n">
        <v>0</v>
      </c>
      <c r="J26757" s="7" t="n">
        <v>1</v>
      </c>
      <c r="K26757" s="7" t="n">
        <v>3</v>
      </c>
      <c r="L26757" s="7" t="n">
        <v>28</v>
      </c>
      <c r="M26757" s="20" t="s">
        <v>3</v>
      </c>
      <c r="N26757" s="8" t="n">
        <v>162</v>
      </c>
      <c r="O26757" s="7" t="n">
        <v>3</v>
      </c>
      <c r="P26757" s="7" t="n">
        <v>36879</v>
      </c>
      <c r="Q26757" s="20" t="s">
        <v>3</v>
      </c>
      <c r="R26757" s="7" t="n">
        <v>0</v>
      </c>
      <c r="S26757" s="7" t="n">
        <v>2</v>
      </c>
      <c r="T26757" s="7" t="n">
        <v>3</v>
      </c>
      <c r="U26757" s="7" t="n">
        <v>9</v>
      </c>
      <c r="V26757" s="7" t="n">
        <v>1</v>
      </c>
      <c r="W26757" s="11" t="n">
        <f t="normal" ca="1">A26767</f>
        <v>0</v>
      </c>
    </row>
    <row r="26758" spans="1:23">
      <c r="A26758" t="s">
        <v>4</v>
      </c>
      <c r="B26758" s="4" t="s">
        <v>5</v>
      </c>
      <c r="C26758" s="4" t="s">
        <v>7</v>
      </c>
      <c r="D26758" s="20" t="s">
        <v>35</v>
      </c>
      <c r="E26758" s="4" t="s">
        <v>5</v>
      </c>
      <c r="F26758" s="4" t="s">
        <v>11</v>
      </c>
      <c r="G26758" s="4" t="s">
        <v>7</v>
      </c>
      <c r="H26758" s="4" t="s">
        <v>7</v>
      </c>
      <c r="I26758" s="4" t="s">
        <v>8</v>
      </c>
      <c r="J26758" s="20" t="s">
        <v>36</v>
      </c>
      <c r="K26758" s="4" t="s">
        <v>7</v>
      </c>
      <c r="L26758" s="4" t="s">
        <v>7</v>
      </c>
      <c r="M26758" s="20" t="s">
        <v>35</v>
      </c>
      <c r="N26758" s="4" t="s">
        <v>5</v>
      </c>
      <c r="O26758" s="4" t="s">
        <v>7</v>
      </c>
      <c r="P26758" s="20" t="s">
        <v>36</v>
      </c>
      <c r="Q26758" s="4" t="s">
        <v>7</v>
      </c>
      <c r="R26758" s="4" t="s">
        <v>15</v>
      </c>
      <c r="S26758" s="4" t="s">
        <v>7</v>
      </c>
      <c r="T26758" s="4" t="s">
        <v>7</v>
      </c>
      <c r="U26758" s="4" t="s">
        <v>7</v>
      </c>
      <c r="V26758" s="20" t="s">
        <v>35</v>
      </c>
      <c r="W26758" s="4" t="s">
        <v>5</v>
      </c>
      <c r="X26758" s="4" t="s">
        <v>7</v>
      </c>
      <c r="Y26758" s="20" t="s">
        <v>36</v>
      </c>
      <c r="Z26758" s="4" t="s">
        <v>7</v>
      </c>
      <c r="AA26758" s="4" t="s">
        <v>15</v>
      </c>
      <c r="AB26758" s="4" t="s">
        <v>7</v>
      </c>
      <c r="AC26758" s="4" t="s">
        <v>7</v>
      </c>
      <c r="AD26758" s="4" t="s">
        <v>7</v>
      </c>
      <c r="AE26758" s="4" t="s">
        <v>12</v>
      </c>
    </row>
    <row r="26759" spans="1:23">
      <c r="A26759" t="n">
        <v>259919</v>
      </c>
      <c r="B26759" s="10" t="n">
        <v>5</v>
      </c>
      <c r="C26759" s="7" t="n">
        <v>28</v>
      </c>
      <c r="D26759" s="20" t="s">
        <v>3</v>
      </c>
      <c r="E26759" s="41" t="n">
        <v>47</v>
      </c>
      <c r="F26759" s="7" t="n">
        <v>61456</v>
      </c>
      <c r="G26759" s="7" t="n">
        <v>2</v>
      </c>
      <c r="H26759" s="7" t="n">
        <v>0</v>
      </c>
      <c r="I26759" s="7" t="s">
        <v>105</v>
      </c>
      <c r="J26759" s="20" t="s">
        <v>3</v>
      </c>
      <c r="K26759" s="7" t="n">
        <v>8</v>
      </c>
      <c r="L26759" s="7" t="n">
        <v>28</v>
      </c>
      <c r="M26759" s="20" t="s">
        <v>3</v>
      </c>
      <c r="N26759" s="45" t="n">
        <v>74</v>
      </c>
      <c r="O26759" s="7" t="n">
        <v>65</v>
      </c>
      <c r="P26759" s="20" t="s">
        <v>3</v>
      </c>
      <c r="Q26759" s="7" t="n">
        <v>0</v>
      </c>
      <c r="R26759" s="7" t="n">
        <v>1</v>
      </c>
      <c r="S26759" s="7" t="n">
        <v>3</v>
      </c>
      <c r="T26759" s="7" t="n">
        <v>9</v>
      </c>
      <c r="U26759" s="7" t="n">
        <v>28</v>
      </c>
      <c r="V26759" s="20" t="s">
        <v>3</v>
      </c>
      <c r="W26759" s="45" t="n">
        <v>74</v>
      </c>
      <c r="X26759" s="7" t="n">
        <v>65</v>
      </c>
      <c r="Y26759" s="20" t="s">
        <v>3</v>
      </c>
      <c r="Z26759" s="7" t="n">
        <v>0</v>
      </c>
      <c r="AA26759" s="7" t="n">
        <v>2</v>
      </c>
      <c r="AB26759" s="7" t="n">
        <v>3</v>
      </c>
      <c r="AC26759" s="7" t="n">
        <v>9</v>
      </c>
      <c r="AD26759" s="7" t="n">
        <v>1</v>
      </c>
      <c r="AE26759" s="11" t="n">
        <f t="normal" ca="1">A26763</f>
        <v>0</v>
      </c>
    </row>
    <row r="26760" spans="1:23">
      <c r="A26760" t="s">
        <v>4</v>
      </c>
      <c r="B26760" s="4" t="s">
        <v>5</v>
      </c>
      <c r="C26760" s="4" t="s">
        <v>11</v>
      </c>
      <c r="D26760" s="4" t="s">
        <v>7</v>
      </c>
      <c r="E26760" s="4" t="s">
        <v>7</v>
      </c>
      <c r="F26760" s="4" t="s">
        <v>8</v>
      </c>
    </row>
    <row r="26761" spans="1:23">
      <c r="A26761" t="n">
        <v>259967</v>
      </c>
      <c r="B26761" s="41" t="n">
        <v>47</v>
      </c>
      <c r="C26761" s="7" t="n">
        <v>61456</v>
      </c>
      <c r="D26761" s="7" t="n">
        <v>0</v>
      </c>
      <c r="E26761" s="7" t="n">
        <v>0</v>
      </c>
      <c r="F26761" s="7" t="s">
        <v>106</v>
      </c>
    </row>
    <row r="26762" spans="1:23">
      <c r="A26762" t="s">
        <v>4</v>
      </c>
      <c r="B26762" s="4" t="s">
        <v>5</v>
      </c>
      <c r="C26762" s="4" t="s">
        <v>7</v>
      </c>
      <c r="D26762" s="4" t="s">
        <v>11</v>
      </c>
      <c r="E26762" s="4" t="s">
        <v>13</v>
      </c>
    </row>
    <row r="26763" spans="1:23">
      <c r="A26763" t="n">
        <v>259980</v>
      </c>
      <c r="B26763" s="23" t="n">
        <v>58</v>
      </c>
      <c r="C26763" s="7" t="n">
        <v>0</v>
      </c>
      <c r="D26763" s="7" t="n">
        <v>300</v>
      </c>
      <c r="E26763" s="7" t="n">
        <v>1</v>
      </c>
    </row>
    <row r="26764" spans="1:23">
      <c r="A26764" t="s">
        <v>4</v>
      </c>
      <c r="B26764" s="4" t="s">
        <v>5</v>
      </c>
      <c r="C26764" s="4" t="s">
        <v>7</v>
      </c>
      <c r="D26764" s="4" t="s">
        <v>11</v>
      </c>
    </row>
    <row r="26765" spans="1:23">
      <c r="A26765" t="n">
        <v>259988</v>
      </c>
      <c r="B26765" s="23" t="n">
        <v>58</v>
      </c>
      <c r="C26765" s="7" t="n">
        <v>255</v>
      </c>
      <c r="D26765" s="7" t="n">
        <v>0</v>
      </c>
    </row>
    <row r="26766" spans="1:23">
      <c r="A26766" t="s">
        <v>4</v>
      </c>
      <c r="B26766" s="4" t="s">
        <v>5</v>
      </c>
      <c r="C26766" s="4" t="s">
        <v>7</v>
      </c>
      <c r="D26766" s="4" t="s">
        <v>7</v>
      </c>
      <c r="E26766" s="4" t="s">
        <v>7</v>
      </c>
      <c r="F26766" s="4" t="s">
        <v>7</v>
      </c>
    </row>
    <row r="26767" spans="1:23">
      <c r="A26767" t="n">
        <v>259992</v>
      </c>
      <c r="B26767" s="9" t="n">
        <v>14</v>
      </c>
      <c r="C26767" s="7" t="n">
        <v>0</v>
      </c>
      <c r="D26767" s="7" t="n">
        <v>0</v>
      </c>
      <c r="E26767" s="7" t="n">
        <v>0</v>
      </c>
      <c r="F26767" s="7" t="n">
        <v>64</v>
      </c>
    </row>
    <row r="26768" spans="1:23">
      <c r="A26768" t="s">
        <v>4</v>
      </c>
      <c r="B26768" s="4" t="s">
        <v>5</v>
      </c>
      <c r="C26768" s="4" t="s">
        <v>7</v>
      </c>
      <c r="D26768" s="4" t="s">
        <v>11</v>
      </c>
    </row>
    <row r="26769" spans="1:31">
      <c r="A26769" t="n">
        <v>259997</v>
      </c>
      <c r="B26769" s="22" t="n">
        <v>22</v>
      </c>
      <c r="C26769" s="7" t="n">
        <v>0</v>
      </c>
      <c r="D26769" s="7" t="n">
        <v>36879</v>
      </c>
    </row>
    <row r="26770" spans="1:31">
      <c r="A26770" t="s">
        <v>4</v>
      </c>
      <c r="B26770" s="4" t="s">
        <v>5</v>
      </c>
      <c r="C26770" s="4" t="s">
        <v>7</v>
      </c>
      <c r="D26770" s="4" t="s">
        <v>11</v>
      </c>
    </row>
    <row r="26771" spans="1:31">
      <c r="A26771" t="n">
        <v>260001</v>
      </c>
      <c r="B26771" s="23" t="n">
        <v>58</v>
      </c>
      <c r="C26771" s="7" t="n">
        <v>5</v>
      </c>
      <c r="D26771" s="7" t="n">
        <v>300</v>
      </c>
    </row>
    <row r="26772" spans="1:31">
      <c r="A26772" t="s">
        <v>4</v>
      </c>
      <c r="B26772" s="4" t="s">
        <v>5</v>
      </c>
      <c r="C26772" s="4" t="s">
        <v>13</v>
      </c>
      <c r="D26772" s="4" t="s">
        <v>11</v>
      </c>
    </row>
    <row r="26773" spans="1:31">
      <c r="A26773" t="n">
        <v>260005</v>
      </c>
      <c r="B26773" s="46" t="n">
        <v>103</v>
      </c>
      <c r="C26773" s="7" t="n">
        <v>0</v>
      </c>
      <c r="D26773" s="7" t="n">
        <v>300</v>
      </c>
    </row>
    <row r="26774" spans="1:31">
      <c r="A26774" t="s">
        <v>4</v>
      </c>
      <c r="B26774" s="4" t="s">
        <v>5</v>
      </c>
      <c r="C26774" s="4" t="s">
        <v>7</v>
      </c>
    </row>
    <row r="26775" spans="1:31">
      <c r="A26775" t="n">
        <v>260012</v>
      </c>
      <c r="B26775" s="47" t="n">
        <v>64</v>
      </c>
      <c r="C26775" s="7" t="n">
        <v>7</v>
      </c>
    </row>
    <row r="26776" spans="1:31">
      <c r="A26776" t="s">
        <v>4</v>
      </c>
      <c r="B26776" s="4" t="s">
        <v>5</v>
      </c>
      <c r="C26776" s="4" t="s">
        <v>7</v>
      </c>
      <c r="D26776" s="4" t="s">
        <v>11</v>
      </c>
    </row>
    <row r="26777" spans="1:31">
      <c r="A26777" t="n">
        <v>260014</v>
      </c>
      <c r="B26777" s="48" t="n">
        <v>72</v>
      </c>
      <c r="C26777" s="7" t="n">
        <v>5</v>
      </c>
      <c r="D26777" s="7" t="n">
        <v>0</v>
      </c>
    </row>
    <row r="26778" spans="1:31">
      <c r="A26778" t="s">
        <v>4</v>
      </c>
      <c r="B26778" s="4" t="s">
        <v>5</v>
      </c>
      <c r="C26778" s="4" t="s">
        <v>7</v>
      </c>
      <c r="D26778" s="20" t="s">
        <v>35</v>
      </c>
      <c r="E26778" s="4" t="s">
        <v>5</v>
      </c>
      <c r="F26778" s="4" t="s">
        <v>7</v>
      </c>
      <c r="G26778" s="4" t="s">
        <v>11</v>
      </c>
      <c r="H26778" s="20" t="s">
        <v>36</v>
      </c>
      <c r="I26778" s="4" t="s">
        <v>7</v>
      </c>
      <c r="J26778" s="4" t="s">
        <v>15</v>
      </c>
      <c r="K26778" s="4" t="s">
        <v>7</v>
      </c>
      <c r="L26778" s="4" t="s">
        <v>7</v>
      </c>
      <c r="M26778" s="4" t="s">
        <v>12</v>
      </c>
    </row>
    <row r="26779" spans="1:31">
      <c r="A26779" t="n">
        <v>260018</v>
      </c>
      <c r="B26779" s="10" t="n">
        <v>5</v>
      </c>
      <c r="C26779" s="7" t="n">
        <v>28</v>
      </c>
      <c r="D26779" s="20" t="s">
        <v>3</v>
      </c>
      <c r="E26779" s="8" t="n">
        <v>162</v>
      </c>
      <c r="F26779" s="7" t="n">
        <v>4</v>
      </c>
      <c r="G26779" s="7" t="n">
        <v>36879</v>
      </c>
      <c r="H26779" s="20" t="s">
        <v>3</v>
      </c>
      <c r="I26779" s="7" t="n">
        <v>0</v>
      </c>
      <c r="J26779" s="7" t="n">
        <v>1</v>
      </c>
      <c r="K26779" s="7" t="n">
        <v>2</v>
      </c>
      <c r="L26779" s="7" t="n">
        <v>1</v>
      </c>
      <c r="M26779" s="11" t="n">
        <f t="normal" ca="1">A26785</f>
        <v>0</v>
      </c>
    </row>
    <row r="26780" spans="1:31">
      <c r="A26780" t="s">
        <v>4</v>
      </c>
      <c r="B26780" s="4" t="s">
        <v>5</v>
      </c>
      <c r="C26780" s="4" t="s">
        <v>7</v>
      </c>
      <c r="D26780" s="4" t="s">
        <v>8</v>
      </c>
    </row>
    <row r="26781" spans="1:31">
      <c r="A26781" t="n">
        <v>260035</v>
      </c>
      <c r="B26781" s="6" t="n">
        <v>2</v>
      </c>
      <c r="C26781" s="7" t="n">
        <v>10</v>
      </c>
      <c r="D26781" s="7" t="s">
        <v>107</v>
      </c>
    </row>
    <row r="26782" spans="1:31">
      <c r="A26782" t="s">
        <v>4</v>
      </c>
      <c r="B26782" s="4" t="s">
        <v>5</v>
      </c>
      <c r="C26782" s="4" t="s">
        <v>11</v>
      </c>
    </row>
    <row r="26783" spans="1:31">
      <c r="A26783" t="n">
        <v>260052</v>
      </c>
      <c r="B26783" s="29" t="n">
        <v>16</v>
      </c>
      <c r="C26783" s="7" t="n">
        <v>0</v>
      </c>
    </row>
    <row r="26784" spans="1:31">
      <c r="A26784" t="s">
        <v>4</v>
      </c>
      <c r="B26784" s="4" t="s">
        <v>5</v>
      </c>
      <c r="C26784" s="4" t="s">
        <v>7</v>
      </c>
      <c r="D26784" s="4" t="s">
        <v>11</v>
      </c>
      <c r="E26784" s="4" t="s">
        <v>15</v>
      </c>
      <c r="F26784" s="4" t="s">
        <v>11</v>
      </c>
      <c r="G26784" s="4" t="s">
        <v>15</v>
      </c>
      <c r="H26784" s="4" t="s">
        <v>7</v>
      </c>
    </row>
    <row r="26785" spans="1:13">
      <c r="A26785" t="n">
        <v>260055</v>
      </c>
      <c r="B26785" s="13" t="n">
        <v>49</v>
      </c>
      <c r="C26785" s="7" t="n">
        <v>0</v>
      </c>
      <c r="D26785" s="7" t="n">
        <v>501</v>
      </c>
      <c r="E26785" s="7" t="n">
        <v>1065353216</v>
      </c>
      <c r="F26785" s="7" t="n">
        <v>0</v>
      </c>
      <c r="G26785" s="7" t="n">
        <v>0</v>
      </c>
      <c r="H26785" s="7" t="n">
        <v>0</v>
      </c>
    </row>
    <row r="26786" spans="1:13">
      <c r="A26786" t="s">
        <v>4</v>
      </c>
      <c r="B26786" s="4" t="s">
        <v>5</v>
      </c>
      <c r="C26786" s="4" t="s">
        <v>11</v>
      </c>
      <c r="D26786" s="4" t="s">
        <v>8</v>
      </c>
      <c r="E26786" s="4" t="s">
        <v>8</v>
      </c>
      <c r="F26786" s="4" t="s">
        <v>8</v>
      </c>
      <c r="G26786" s="4" t="s">
        <v>7</v>
      </c>
      <c r="H26786" s="4" t="s">
        <v>15</v>
      </c>
      <c r="I26786" s="4" t="s">
        <v>13</v>
      </c>
      <c r="J26786" s="4" t="s">
        <v>13</v>
      </c>
      <c r="K26786" s="4" t="s">
        <v>13</v>
      </c>
      <c r="L26786" s="4" t="s">
        <v>13</v>
      </c>
      <c r="M26786" s="4" t="s">
        <v>13</v>
      </c>
      <c r="N26786" s="4" t="s">
        <v>13</v>
      </c>
      <c r="O26786" s="4" t="s">
        <v>13</v>
      </c>
      <c r="P26786" s="4" t="s">
        <v>8</v>
      </c>
      <c r="Q26786" s="4" t="s">
        <v>8</v>
      </c>
      <c r="R26786" s="4" t="s">
        <v>15</v>
      </c>
      <c r="S26786" s="4" t="s">
        <v>7</v>
      </c>
      <c r="T26786" s="4" t="s">
        <v>15</v>
      </c>
      <c r="U26786" s="4" t="s">
        <v>15</v>
      </c>
      <c r="V26786" s="4" t="s">
        <v>11</v>
      </c>
    </row>
    <row r="26787" spans="1:13">
      <c r="A26787" t="n">
        <v>260070</v>
      </c>
      <c r="B26787" s="62" t="n">
        <v>19</v>
      </c>
      <c r="C26787" s="7" t="n">
        <v>5</v>
      </c>
      <c r="D26787" s="7" t="s">
        <v>477</v>
      </c>
      <c r="E26787" s="7" t="s">
        <v>478</v>
      </c>
      <c r="F26787" s="7" t="s">
        <v>16</v>
      </c>
      <c r="G26787" s="7" t="n">
        <v>0</v>
      </c>
      <c r="H26787" s="7" t="n">
        <v>1</v>
      </c>
      <c r="I26787" s="7" t="n">
        <v>0</v>
      </c>
      <c r="J26787" s="7" t="n">
        <v>0</v>
      </c>
      <c r="K26787" s="7" t="n">
        <v>0</v>
      </c>
      <c r="L26787" s="7" t="n">
        <v>0</v>
      </c>
      <c r="M26787" s="7" t="n">
        <v>1</v>
      </c>
      <c r="N26787" s="7" t="n">
        <v>1.60000002384186</v>
      </c>
      <c r="O26787" s="7" t="n">
        <v>0.0900000035762787</v>
      </c>
      <c r="P26787" s="7" t="s">
        <v>16</v>
      </c>
      <c r="Q26787" s="7" t="s">
        <v>16</v>
      </c>
      <c r="R26787" s="7" t="n">
        <v>-1</v>
      </c>
      <c r="S26787" s="7" t="n">
        <v>0</v>
      </c>
      <c r="T26787" s="7" t="n">
        <v>0</v>
      </c>
      <c r="U26787" s="7" t="n">
        <v>0</v>
      </c>
      <c r="V26787" s="7" t="n">
        <v>0</v>
      </c>
    </row>
    <row r="26788" spans="1:13">
      <c r="A26788" t="s">
        <v>4</v>
      </c>
      <c r="B26788" s="4" t="s">
        <v>5</v>
      </c>
      <c r="C26788" s="4" t="s">
        <v>11</v>
      </c>
      <c r="D26788" s="4" t="s">
        <v>7</v>
      </c>
      <c r="E26788" s="4" t="s">
        <v>7</v>
      </c>
      <c r="F26788" s="4" t="s">
        <v>8</v>
      </c>
    </row>
    <row r="26789" spans="1:13">
      <c r="A26789" t="n">
        <v>260142</v>
      </c>
      <c r="B26789" s="50" t="n">
        <v>20</v>
      </c>
      <c r="C26789" s="7" t="n">
        <v>0</v>
      </c>
      <c r="D26789" s="7" t="n">
        <v>3</v>
      </c>
      <c r="E26789" s="7" t="n">
        <v>10</v>
      </c>
      <c r="F26789" s="7" t="s">
        <v>108</v>
      </c>
    </row>
    <row r="26790" spans="1:13">
      <c r="A26790" t="s">
        <v>4</v>
      </c>
      <c r="B26790" s="4" t="s">
        <v>5</v>
      </c>
      <c r="C26790" s="4" t="s">
        <v>11</v>
      </c>
    </row>
    <row r="26791" spans="1:13">
      <c r="A26791" t="n">
        <v>260160</v>
      </c>
      <c r="B26791" s="29" t="n">
        <v>16</v>
      </c>
      <c r="C26791" s="7" t="n">
        <v>0</v>
      </c>
    </row>
    <row r="26792" spans="1:13">
      <c r="A26792" t="s">
        <v>4</v>
      </c>
      <c r="B26792" s="4" t="s">
        <v>5</v>
      </c>
      <c r="C26792" s="4" t="s">
        <v>11</v>
      </c>
      <c r="D26792" s="4" t="s">
        <v>7</v>
      </c>
      <c r="E26792" s="4" t="s">
        <v>7</v>
      </c>
      <c r="F26792" s="4" t="s">
        <v>8</v>
      </c>
    </row>
    <row r="26793" spans="1:13">
      <c r="A26793" t="n">
        <v>260163</v>
      </c>
      <c r="B26793" s="50" t="n">
        <v>20</v>
      </c>
      <c r="C26793" s="7" t="n">
        <v>5</v>
      </c>
      <c r="D26793" s="7" t="n">
        <v>3</v>
      </c>
      <c r="E26793" s="7" t="n">
        <v>10</v>
      </c>
      <c r="F26793" s="7" t="s">
        <v>108</v>
      </c>
    </row>
    <row r="26794" spans="1:13">
      <c r="A26794" t="s">
        <v>4</v>
      </c>
      <c r="B26794" s="4" t="s">
        <v>5</v>
      </c>
      <c r="C26794" s="4" t="s">
        <v>11</v>
      </c>
    </row>
    <row r="26795" spans="1:13">
      <c r="A26795" t="n">
        <v>260181</v>
      </c>
      <c r="B26795" s="29" t="n">
        <v>16</v>
      </c>
      <c r="C26795" s="7" t="n">
        <v>0</v>
      </c>
    </row>
    <row r="26796" spans="1:13">
      <c r="A26796" t="s">
        <v>4</v>
      </c>
      <c r="B26796" s="4" t="s">
        <v>5</v>
      </c>
      <c r="C26796" s="4" t="s">
        <v>7</v>
      </c>
      <c r="D26796" s="4" t="s">
        <v>11</v>
      </c>
      <c r="E26796" s="4" t="s">
        <v>7</v>
      </c>
      <c r="F26796" s="4" t="s">
        <v>8</v>
      </c>
      <c r="G26796" s="4" t="s">
        <v>8</v>
      </c>
      <c r="H26796" s="4" t="s">
        <v>8</v>
      </c>
      <c r="I26796" s="4" t="s">
        <v>8</v>
      </c>
      <c r="J26796" s="4" t="s">
        <v>8</v>
      </c>
      <c r="K26796" s="4" t="s">
        <v>8</v>
      </c>
      <c r="L26796" s="4" t="s">
        <v>8</v>
      </c>
      <c r="M26796" s="4" t="s">
        <v>8</v>
      </c>
      <c r="N26796" s="4" t="s">
        <v>8</v>
      </c>
      <c r="O26796" s="4" t="s">
        <v>8</v>
      </c>
      <c r="P26796" s="4" t="s">
        <v>8</v>
      </c>
      <c r="Q26796" s="4" t="s">
        <v>8</v>
      </c>
      <c r="R26796" s="4" t="s">
        <v>8</v>
      </c>
      <c r="S26796" s="4" t="s">
        <v>8</v>
      </c>
      <c r="T26796" s="4" t="s">
        <v>8</v>
      </c>
      <c r="U26796" s="4" t="s">
        <v>8</v>
      </c>
    </row>
    <row r="26797" spans="1:13">
      <c r="A26797" t="n">
        <v>260184</v>
      </c>
      <c r="B26797" s="40" t="n">
        <v>36</v>
      </c>
      <c r="C26797" s="7" t="n">
        <v>8</v>
      </c>
      <c r="D26797" s="7" t="n">
        <v>0</v>
      </c>
      <c r="E26797" s="7" t="n">
        <v>0</v>
      </c>
      <c r="F26797" s="7" t="s">
        <v>479</v>
      </c>
      <c r="G26797" s="7" t="s">
        <v>1572</v>
      </c>
      <c r="H26797" s="7" t="s">
        <v>16</v>
      </c>
      <c r="I26797" s="7" t="s">
        <v>16</v>
      </c>
      <c r="J26797" s="7" t="s">
        <v>16</v>
      </c>
      <c r="K26797" s="7" t="s">
        <v>16</v>
      </c>
      <c r="L26797" s="7" t="s">
        <v>16</v>
      </c>
      <c r="M26797" s="7" t="s">
        <v>16</v>
      </c>
      <c r="N26797" s="7" t="s">
        <v>16</v>
      </c>
      <c r="O26797" s="7" t="s">
        <v>16</v>
      </c>
      <c r="P26797" s="7" t="s">
        <v>16</v>
      </c>
      <c r="Q26797" s="7" t="s">
        <v>16</v>
      </c>
      <c r="R26797" s="7" t="s">
        <v>16</v>
      </c>
      <c r="S26797" s="7" t="s">
        <v>16</v>
      </c>
      <c r="T26797" s="7" t="s">
        <v>16</v>
      </c>
      <c r="U26797" s="7" t="s">
        <v>16</v>
      </c>
    </row>
    <row r="26798" spans="1:13">
      <c r="A26798" t="s">
        <v>4</v>
      </c>
      <c r="B26798" s="4" t="s">
        <v>5</v>
      </c>
      <c r="C26798" s="4" t="s">
        <v>7</v>
      </c>
      <c r="D26798" s="4" t="s">
        <v>11</v>
      </c>
      <c r="E26798" s="4" t="s">
        <v>7</v>
      </c>
      <c r="F26798" s="4" t="s">
        <v>8</v>
      </c>
      <c r="G26798" s="4" t="s">
        <v>8</v>
      </c>
      <c r="H26798" s="4" t="s">
        <v>8</v>
      </c>
      <c r="I26798" s="4" t="s">
        <v>8</v>
      </c>
      <c r="J26798" s="4" t="s">
        <v>8</v>
      </c>
      <c r="K26798" s="4" t="s">
        <v>8</v>
      </c>
      <c r="L26798" s="4" t="s">
        <v>8</v>
      </c>
      <c r="M26798" s="4" t="s">
        <v>8</v>
      </c>
      <c r="N26798" s="4" t="s">
        <v>8</v>
      </c>
      <c r="O26798" s="4" t="s">
        <v>8</v>
      </c>
      <c r="P26798" s="4" t="s">
        <v>8</v>
      </c>
      <c r="Q26798" s="4" t="s">
        <v>8</v>
      </c>
      <c r="R26798" s="4" t="s">
        <v>8</v>
      </c>
      <c r="S26798" s="4" t="s">
        <v>8</v>
      </c>
      <c r="T26798" s="4" t="s">
        <v>8</v>
      </c>
      <c r="U26798" s="4" t="s">
        <v>8</v>
      </c>
    </row>
    <row r="26799" spans="1:13">
      <c r="A26799" t="n">
        <v>260223</v>
      </c>
      <c r="B26799" s="40" t="n">
        <v>36</v>
      </c>
      <c r="C26799" s="7" t="n">
        <v>8</v>
      </c>
      <c r="D26799" s="7" t="n">
        <v>5</v>
      </c>
      <c r="E26799" s="7" t="n">
        <v>0</v>
      </c>
      <c r="F26799" s="7" t="s">
        <v>479</v>
      </c>
      <c r="G26799" s="7" t="s">
        <v>1572</v>
      </c>
      <c r="H26799" s="7" t="s">
        <v>81</v>
      </c>
      <c r="I26799" s="7" t="s">
        <v>16</v>
      </c>
      <c r="J26799" s="7" t="s">
        <v>16</v>
      </c>
      <c r="K26799" s="7" t="s">
        <v>16</v>
      </c>
      <c r="L26799" s="7" t="s">
        <v>16</v>
      </c>
      <c r="M26799" s="7" t="s">
        <v>16</v>
      </c>
      <c r="N26799" s="7" t="s">
        <v>16</v>
      </c>
      <c r="O26799" s="7" t="s">
        <v>16</v>
      </c>
      <c r="P26799" s="7" t="s">
        <v>16</v>
      </c>
      <c r="Q26799" s="7" t="s">
        <v>16</v>
      </c>
      <c r="R26799" s="7" t="s">
        <v>16</v>
      </c>
      <c r="S26799" s="7" t="s">
        <v>16</v>
      </c>
      <c r="T26799" s="7" t="s">
        <v>16</v>
      </c>
      <c r="U26799" s="7" t="s">
        <v>16</v>
      </c>
    </row>
    <row r="26800" spans="1:13">
      <c r="A26800" t="s">
        <v>4</v>
      </c>
      <c r="B26800" s="4" t="s">
        <v>5</v>
      </c>
      <c r="C26800" s="4" t="s">
        <v>7</v>
      </c>
    </row>
    <row r="26801" spans="1:22">
      <c r="A26801" t="n">
        <v>260280</v>
      </c>
      <c r="B26801" s="49" t="n">
        <v>116</v>
      </c>
      <c r="C26801" s="7" t="n">
        <v>0</v>
      </c>
    </row>
    <row r="26802" spans="1:22">
      <c r="A26802" t="s">
        <v>4</v>
      </c>
      <c r="B26802" s="4" t="s">
        <v>5</v>
      </c>
      <c r="C26802" s="4" t="s">
        <v>7</v>
      </c>
      <c r="D26802" s="4" t="s">
        <v>11</v>
      </c>
    </row>
    <row r="26803" spans="1:22">
      <c r="A26803" t="n">
        <v>260282</v>
      </c>
      <c r="B26803" s="49" t="n">
        <v>116</v>
      </c>
      <c r="C26803" s="7" t="n">
        <v>2</v>
      </c>
      <c r="D26803" s="7" t="n">
        <v>1</v>
      </c>
    </row>
    <row r="26804" spans="1:22">
      <c r="A26804" t="s">
        <v>4</v>
      </c>
      <c r="B26804" s="4" t="s">
        <v>5</v>
      </c>
      <c r="C26804" s="4" t="s">
        <v>7</v>
      </c>
      <c r="D26804" s="4" t="s">
        <v>15</v>
      </c>
    </row>
    <row r="26805" spans="1:22">
      <c r="A26805" t="n">
        <v>260286</v>
      </c>
      <c r="B26805" s="49" t="n">
        <v>116</v>
      </c>
      <c r="C26805" s="7" t="n">
        <v>5</v>
      </c>
      <c r="D26805" s="7" t="n">
        <v>1088421888</v>
      </c>
    </row>
    <row r="26806" spans="1:22">
      <c r="A26806" t="s">
        <v>4</v>
      </c>
      <c r="B26806" s="4" t="s">
        <v>5</v>
      </c>
      <c r="C26806" s="4" t="s">
        <v>7</v>
      </c>
      <c r="D26806" s="4" t="s">
        <v>11</v>
      </c>
    </row>
    <row r="26807" spans="1:22">
      <c r="A26807" t="n">
        <v>260292</v>
      </c>
      <c r="B26807" s="49" t="n">
        <v>116</v>
      </c>
      <c r="C26807" s="7" t="n">
        <v>6</v>
      </c>
      <c r="D26807" s="7" t="n">
        <v>1</v>
      </c>
    </row>
    <row r="26808" spans="1:22">
      <c r="A26808" t="s">
        <v>4</v>
      </c>
      <c r="B26808" s="4" t="s">
        <v>5</v>
      </c>
      <c r="C26808" s="4" t="s">
        <v>11</v>
      </c>
      <c r="D26808" s="4" t="s">
        <v>13</v>
      </c>
      <c r="E26808" s="4" t="s">
        <v>13</v>
      </c>
      <c r="F26808" s="4" t="s">
        <v>13</v>
      </c>
      <c r="G26808" s="4" t="s">
        <v>13</v>
      </c>
    </row>
    <row r="26809" spans="1:22">
      <c r="A26809" t="n">
        <v>260296</v>
      </c>
      <c r="B26809" s="36" t="n">
        <v>46</v>
      </c>
      <c r="C26809" s="7" t="n">
        <v>0</v>
      </c>
      <c r="D26809" s="7" t="n">
        <v>-19.1900005340576</v>
      </c>
      <c r="E26809" s="7" t="n">
        <v>10.0100002288818</v>
      </c>
      <c r="F26809" s="7" t="n">
        <v>58.2900009155273</v>
      </c>
      <c r="G26809" s="7" t="n">
        <v>290.700012207031</v>
      </c>
    </row>
    <row r="26810" spans="1:22">
      <c r="A26810" t="s">
        <v>4</v>
      </c>
      <c r="B26810" s="4" t="s">
        <v>5</v>
      </c>
      <c r="C26810" s="4" t="s">
        <v>11</v>
      </c>
      <c r="D26810" s="4" t="s">
        <v>13</v>
      </c>
      <c r="E26810" s="4" t="s">
        <v>13</v>
      </c>
      <c r="F26810" s="4" t="s">
        <v>13</v>
      </c>
      <c r="G26810" s="4" t="s">
        <v>13</v>
      </c>
    </row>
    <row r="26811" spans="1:22">
      <c r="A26811" t="n">
        <v>260315</v>
      </c>
      <c r="B26811" s="36" t="n">
        <v>46</v>
      </c>
      <c r="C26811" s="7" t="n">
        <v>5</v>
      </c>
      <c r="D26811" s="7" t="n">
        <v>-20.1200008392334</v>
      </c>
      <c r="E26811" s="7" t="n">
        <v>10.0100002288818</v>
      </c>
      <c r="F26811" s="7" t="n">
        <v>58.4799995422363</v>
      </c>
      <c r="G26811" s="7" t="n">
        <v>0</v>
      </c>
    </row>
    <row r="26812" spans="1:22">
      <c r="A26812" t="s">
        <v>4</v>
      </c>
      <c r="B26812" s="4" t="s">
        <v>5</v>
      </c>
      <c r="C26812" s="4" t="s">
        <v>11</v>
      </c>
      <c r="D26812" s="4" t="s">
        <v>7</v>
      </c>
      <c r="E26812" s="4" t="s">
        <v>8</v>
      </c>
      <c r="F26812" s="4" t="s">
        <v>13</v>
      </c>
      <c r="G26812" s="4" t="s">
        <v>13</v>
      </c>
      <c r="H26812" s="4" t="s">
        <v>13</v>
      </c>
    </row>
    <row r="26813" spans="1:22">
      <c r="A26813" t="n">
        <v>260334</v>
      </c>
      <c r="B26813" s="42" t="n">
        <v>48</v>
      </c>
      <c r="C26813" s="7" t="n">
        <v>5</v>
      </c>
      <c r="D26813" s="7" t="n">
        <v>0</v>
      </c>
      <c r="E26813" s="7" t="s">
        <v>82</v>
      </c>
      <c r="F26813" s="7" t="n">
        <v>-1</v>
      </c>
      <c r="G26813" s="7" t="n">
        <v>1</v>
      </c>
      <c r="H26813" s="7" t="n">
        <v>0</v>
      </c>
    </row>
    <row r="26814" spans="1:22">
      <c r="A26814" t="s">
        <v>4</v>
      </c>
      <c r="B26814" s="4" t="s">
        <v>5</v>
      </c>
      <c r="C26814" s="4" t="s">
        <v>11</v>
      </c>
      <c r="D26814" s="4" t="s">
        <v>7</v>
      </c>
      <c r="E26814" s="4" t="s">
        <v>8</v>
      </c>
      <c r="F26814" s="4" t="s">
        <v>13</v>
      </c>
      <c r="G26814" s="4" t="s">
        <v>13</v>
      </c>
      <c r="H26814" s="4" t="s">
        <v>13</v>
      </c>
    </row>
    <row r="26815" spans="1:22">
      <c r="A26815" t="n">
        <v>260366</v>
      </c>
      <c r="B26815" s="42" t="n">
        <v>48</v>
      </c>
      <c r="C26815" s="7" t="n">
        <v>5</v>
      </c>
      <c r="D26815" s="7" t="n">
        <v>0</v>
      </c>
      <c r="E26815" s="7" t="s">
        <v>81</v>
      </c>
      <c r="F26815" s="7" t="n">
        <v>0</v>
      </c>
      <c r="G26815" s="7" t="n">
        <v>1</v>
      </c>
      <c r="H26815" s="7" t="n">
        <v>1.40129846432482e-45</v>
      </c>
    </row>
    <row r="26816" spans="1:22">
      <c r="A26816" t="s">
        <v>4</v>
      </c>
      <c r="B26816" s="4" t="s">
        <v>5</v>
      </c>
      <c r="C26816" s="4" t="s">
        <v>11</v>
      </c>
      <c r="D26816" s="4" t="s">
        <v>15</v>
      </c>
    </row>
    <row r="26817" spans="1:8">
      <c r="A26817" t="n">
        <v>260401</v>
      </c>
      <c r="B26817" s="39" t="n">
        <v>43</v>
      </c>
      <c r="C26817" s="7" t="n">
        <v>5</v>
      </c>
      <c r="D26817" s="7" t="n">
        <v>64</v>
      </c>
    </row>
    <row r="26818" spans="1:8">
      <c r="A26818" t="s">
        <v>4</v>
      </c>
      <c r="B26818" s="4" t="s">
        <v>5</v>
      </c>
      <c r="C26818" s="4" t="s">
        <v>7</v>
      </c>
      <c r="D26818" s="4" t="s">
        <v>8</v>
      </c>
      <c r="E26818" s="4" t="s">
        <v>13</v>
      </c>
      <c r="F26818" s="4" t="s">
        <v>13</v>
      </c>
      <c r="G26818" s="4" t="s">
        <v>13</v>
      </c>
    </row>
    <row r="26819" spans="1:8">
      <c r="A26819" t="n">
        <v>260408</v>
      </c>
      <c r="B26819" s="15" t="n">
        <v>94</v>
      </c>
      <c r="C26819" s="7" t="n">
        <v>2</v>
      </c>
      <c r="D26819" s="7" t="s">
        <v>83</v>
      </c>
      <c r="E26819" s="7" t="n">
        <v>-20.1319999694824</v>
      </c>
      <c r="F26819" s="7" t="n">
        <v>10</v>
      </c>
      <c r="G26819" s="7" t="n">
        <v>58.4379997253418</v>
      </c>
    </row>
    <row r="26820" spans="1:8">
      <c r="A26820" t="s">
        <v>4</v>
      </c>
      <c r="B26820" s="4" t="s">
        <v>5</v>
      </c>
      <c r="C26820" s="4" t="s">
        <v>7</v>
      </c>
      <c r="D26820" s="4" t="s">
        <v>8</v>
      </c>
      <c r="E26820" s="4" t="s">
        <v>11</v>
      </c>
    </row>
    <row r="26821" spans="1:8">
      <c r="A26821" t="n">
        <v>260432</v>
      </c>
      <c r="B26821" s="15" t="n">
        <v>94</v>
      </c>
      <c r="C26821" s="7" t="n">
        <v>0</v>
      </c>
      <c r="D26821" s="7" t="s">
        <v>23</v>
      </c>
      <c r="E26821" s="7" t="n">
        <v>1</v>
      </c>
    </row>
    <row r="26822" spans="1:8">
      <c r="A26822" t="s">
        <v>4</v>
      </c>
      <c r="B26822" s="4" t="s">
        <v>5</v>
      </c>
      <c r="C26822" s="4" t="s">
        <v>7</v>
      </c>
      <c r="D26822" s="4" t="s">
        <v>8</v>
      </c>
      <c r="E26822" s="4" t="s">
        <v>11</v>
      </c>
    </row>
    <row r="26823" spans="1:8">
      <c r="A26823" t="n">
        <v>260450</v>
      </c>
      <c r="B26823" s="15" t="n">
        <v>94</v>
      </c>
      <c r="C26823" s="7" t="n">
        <v>0</v>
      </c>
      <c r="D26823" s="7" t="s">
        <v>23</v>
      </c>
      <c r="E26823" s="7" t="n">
        <v>2</v>
      </c>
    </row>
    <row r="26824" spans="1:8">
      <c r="A26824" t="s">
        <v>4</v>
      </c>
      <c r="B26824" s="4" t="s">
        <v>5</v>
      </c>
      <c r="C26824" s="4" t="s">
        <v>7</v>
      </c>
      <c r="D26824" s="4" t="s">
        <v>8</v>
      </c>
      <c r="E26824" s="4" t="s">
        <v>11</v>
      </c>
    </row>
    <row r="26825" spans="1:8">
      <c r="A26825" t="n">
        <v>260468</v>
      </c>
      <c r="B26825" s="15" t="n">
        <v>94</v>
      </c>
      <c r="C26825" s="7" t="n">
        <v>1</v>
      </c>
      <c r="D26825" s="7" t="s">
        <v>23</v>
      </c>
      <c r="E26825" s="7" t="n">
        <v>4</v>
      </c>
    </row>
    <row r="26826" spans="1:8">
      <c r="A26826" t="s">
        <v>4</v>
      </c>
      <c r="B26826" s="4" t="s">
        <v>5</v>
      </c>
      <c r="C26826" s="4" t="s">
        <v>7</v>
      </c>
      <c r="D26826" s="4" t="s">
        <v>8</v>
      </c>
    </row>
    <row r="26827" spans="1:8">
      <c r="A26827" t="n">
        <v>260486</v>
      </c>
      <c r="B26827" s="15" t="n">
        <v>94</v>
      </c>
      <c r="C26827" s="7" t="n">
        <v>5</v>
      </c>
      <c r="D26827" s="7" t="s">
        <v>23</v>
      </c>
    </row>
    <row r="26828" spans="1:8">
      <c r="A26828" t="s">
        <v>4</v>
      </c>
      <c r="B26828" s="4" t="s">
        <v>5</v>
      </c>
      <c r="C26828" s="4" t="s">
        <v>11</v>
      </c>
    </row>
    <row r="26829" spans="1:8">
      <c r="A26829" t="n">
        <v>260502</v>
      </c>
      <c r="B26829" s="29" t="n">
        <v>16</v>
      </c>
      <c r="C26829" s="7" t="n">
        <v>0</v>
      </c>
    </row>
    <row r="26830" spans="1:8">
      <c r="A26830" t="s">
        <v>4</v>
      </c>
      <c r="B26830" s="4" t="s">
        <v>5</v>
      </c>
      <c r="C26830" s="4" t="s">
        <v>11</v>
      </c>
      <c r="D26830" s="4" t="s">
        <v>11</v>
      </c>
      <c r="E26830" s="4" t="s">
        <v>11</v>
      </c>
      <c r="F26830" s="4" t="s">
        <v>15</v>
      </c>
      <c r="G26830" s="4" t="s">
        <v>15</v>
      </c>
      <c r="H26830" s="4" t="s">
        <v>15</v>
      </c>
    </row>
    <row r="26831" spans="1:8">
      <c r="A26831" t="n">
        <v>260505</v>
      </c>
      <c r="B26831" s="72" t="n">
        <v>61</v>
      </c>
      <c r="C26831" s="7" t="n">
        <v>5</v>
      </c>
      <c r="D26831" s="7" t="n">
        <v>65535</v>
      </c>
      <c r="E26831" s="7" t="n">
        <v>0</v>
      </c>
      <c r="F26831" s="7" t="n">
        <v>-1046415933</v>
      </c>
      <c r="G26831" s="7" t="n">
        <v>1093538939</v>
      </c>
      <c r="H26831" s="7" t="n">
        <v>1114366280</v>
      </c>
    </row>
    <row r="26832" spans="1:8">
      <c r="A26832" t="s">
        <v>4</v>
      </c>
      <c r="B26832" s="4" t="s">
        <v>5</v>
      </c>
      <c r="C26832" s="4" t="s">
        <v>7</v>
      </c>
      <c r="D26832" s="4" t="s">
        <v>7</v>
      </c>
      <c r="E26832" s="4" t="s">
        <v>13</v>
      </c>
      <c r="F26832" s="4" t="s">
        <v>13</v>
      </c>
      <c r="G26832" s="4" t="s">
        <v>13</v>
      </c>
      <c r="H26832" s="4" t="s">
        <v>11</v>
      </c>
    </row>
    <row r="26833" spans="1:8">
      <c r="A26833" t="n">
        <v>260524</v>
      </c>
      <c r="B26833" s="51" t="n">
        <v>45</v>
      </c>
      <c r="C26833" s="7" t="n">
        <v>2</v>
      </c>
      <c r="D26833" s="7" t="n">
        <v>3</v>
      </c>
      <c r="E26833" s="7" t="n">
        <v>-19.5400009155273</v>
      </c>
      <c r="F26833" s="7" t="n">
        <v>11.25</v>
      </c>
      <c r="G26833" s="7" t="n">
        <v>58.4300003051758</v>
      </c>
      <c r="H26833" s="7" t="n">
        <v>0</v>
      </c>
    </row>
    <row r="26834" spans="1:8">
      <c r="A26834" t="s">
        <v>4</v>
      </c>
      <c r="B26834" s="4" t="s">
        <v>5</v>
      </c>
      <c r="C26834" s="4" t="s">
        <v>7</v>
      </c>
      <c r="D26834" s="4" t="s">
        <v>7</v>
      </c>
      <c r="E26834" s="4" t="s">
        <v>13</v>
      </c>
      <c r="F26834" s="4" t="s">
        <v>13</v>
      </c>
      <c r="G26834" s="4" t="s">
        <v>13</v>
      </c>
      <c r="H26834" s="4" t="s">
        <v>11</v>
      </c>
      <c r="I26834" s="4" t="s">
        <v>7</v>
      </c>
    </row>
    <row r="26835" spans="1:8">
      <c r="A26835" t="n">
        <v>260541</v>
      </c>
      <c r="B26835" s="51" t="n">
        <v>45</v>
      </c>
      <c r="C26835" s="7" t="n">
        <v>4</v>
      </c>
      <c r="D26835" s="7" t="n">
        <v>3</v>
      </c>
      <c r="E26835" s="7" t="n">
        <v>19.6599998474121</v>
      </c>
      <c r="F26835" s="7" t="n">
        <v>65.1699981689453</v>
      </c>
      <c r="G26835" s="7" t="n">
        <v>0</v>
      </c>
      <c r="H26835" s="7" t="n">
        <v>0</v>
      </c>
      <c r="I26835" s="7" t="n">
        <v>0</v>
      </c>
    </row>
    <row r="26836" spans="1:8">
      <c r="A26836" t="s">
        <v>4</v>
      </c>
      <c r="B26836" s="4" t="s">
        <v>5</v>
      </c>
      <c r="C26836" s="4" t="s">
        <v>7</v>
      </c>
      <c r="D26836" s="4" t="s">
        <v>7</v>
      </c>
      <c r="E26836" s="4" t="s">
        <v>13</v>
      </c>
      <c r="F26836" s="4" t="s">
        <v>11</v>
      </c>
    </row>
    <row r="26837" spans="1:8">
      <c r="A26837" t="n">
        <v>260559</v>
      </c>
      <c r="B26837" s="51" t="n">
        <v>45</v>
      </c>
      <c r="C26837" s="7" t="n">
        <v>5</v>
      </c>
      <c r="D26837" s="7" t="n">
        <v>3</v>
      </c>
      <c r="E26837" s="7" t="n">
        <v>1.5</v>
      </c>
      <c r="F26837" s="7" t="n">
        <v>0</v>
      </c>
    </row>
    <row r="26838" spans="1:8">
      <c r="A26838" t="s">
        <v>4</v>
      </c>
      <c r="B26838" s="4" t="s">
        <v>5</v>
      </c>
      <c r="C26838" s="4" t="s">
        <v>7</v>
      </c>
      <c r="D26838" s="4" t="s">
        <v>7</v>
      </c>
      <c r="E26838" s="4" t="s">
        <v>13</v>
      </c>
      <c r="F26838" s="4" t="s">
        <v>11</v>
      </c>
    </row>
    <row r="26839" spans="1:8">
      <c r="A26839" t="n">
        <v>260568</v>
      </c>
      <c r="B26839" s="51" t="n">
        <v>45</v>
      </c>
      <c r="C26839" s="7" t="n">
        <v>5</v>
      </c>
      <c r="D26839" s="7" t="n">
        <v>3</v>
      </c>
      <c r="E26839" s="7" t="n">
        <v>1.20000004768372</v>
      </c>
      <c r="F26839" s="7" t="n">
        <v>3000</v>
      </c>
    </row>
    <row r="26840" spans="1:8">
      <c r="A26840" t="s">
        <v>4</v>
      </c>
      <c r="B26840" s="4" t="s">
        <v>5</v>
      </c>
      <c r="C26840" s="4" t="s">
        <v>7</v>
      </c>
      <c r="D26840" s="4" t="s">
        <v>7</v>
      </c>
      <c r="E26840" s="4" t="s">
        <v>13</v>
      </c>
      <c r="F26840" s="4" t="s">
        <v>11</v>
      </c>
    </row>
    <row r="26841" spans="1:8">
      <c r="A26841" t="n">
        <v>260577</v>
      </c>
      <c r="B26841" s="51" t="n">
        <v>45</v>
      </c>
      <c r="C26841" s="7" t="n">
        <v>11</v>
      </c>
      <c r="D26841" s="7" t="n">
        <v>3</v>
      </c>
      <c r="E26841" s="7" t="n">
        <v>38</v>
      </c>
      <c r="F26841" s="7" t="n">
        <v>0</v>
      </c>
    </row>
    <row r="26842" spans="1:8">
      <c r="A26842" t="s">
        <v>4</v>
      </c>
      <c r="B26842" s="4" t="s">
        <v>5</v>
      </c>
      <c r="C26842" s="4" t="s">
        <v>11</v>
      </c>
    </row>
    <row r="26843" spans="1:8">
      <c r="A26843" t="n">
        <v>260586</v>
      </c>
      <c r="B26843" s="29" t="n">
        <v>16</v>
      </c>
      <c r="C26843" s="7" t="n">
        <v>0</v>
      </c>
    </row>
    <row r="26844" spans="1:8">
      <c r="A26844" t="s">
        <v>4</v>
      </c>
      <c r="B26844" s="4" t="s">
        <v>5</v>
      </c>
      <c r="C26844" s="4" t="s">
        <v>11</v>
      </c>
      <c r="D26844" s="4" t="s">
        <v>11</v>
      </c>
      <c r="E26844" s="4" t="s">
        <v>11</v>
      </c>
    </row>
    <row r="26845" spans="1:8">
      <c r="A26845" t="n">
        <v>260589</v>
      </c>
      <c r="B26845" s="72" t="n">
        <v>61</v>
      </c>
      <c r="C26845" s="7" t="n">
        <v>0</v>
      </c>
      <c r="D26845" s="7" t="n">
        <v>5</v>
      </c>
      <c r="E26845" s="7" t="n">
        <v>0</v>
      </c>
    </row>
    <row r="26846" spans="1:8">
      <c r="A26846" t="s">
        <v>4</v>
      </c>
      <c r="B26846" s="4" t="s">
        <v>5</v>
      </c>
      <c r="C26846" s="4" t="s">
        <v>11</v>
      </c>
      <c r="D26846" s="4" t="s">
        <v>7</v>
      </c>
      <c r="E26846" s="4" t="s">
        <v>8</v>
      </c>
      <c r="F26846" s="4" t="s">
        <v>13</v>
      </c>
      <c r="G26846" s="4" t="s">
        <v>13</v>
      </c>
      <c r="H26846" s="4" t="s">
        <v>13</v>
      </c>
    </row>
    <row r="26847" spans="1:8">
      <c r="A26847" t="n">
        <v>260596</v>
      </c>
      <c r="B26847" s="42" t="n">
        <v>48</v>
      </c>
      <c r="C26847" s="7" t="n">
        <v>0</v>
      </c>
      <c r="D26847" s="7" t="n">
        <v>0</v>
      </c>
      <c r="E26847" s="7" t="s">
        <v>275</v>
      </c>
      <c r="F26847" s="7" t="n">
        <v>0</v>
      </c>
      <c r="G26847" s="7" t="n">
        <v>1</v>
      </c>
      <c r="H26847" s="7" t="n">
        <v>0</v>
      </c>
    </row>
    <row r="26848" spans="1:8">
      <c r="A26848" t="s">
        <v>4</v>
      </c>
      <c r="B26848" s="4" t="s">
        <v>5</v>
      </c>
      <c r="C26848" s="4" t="s">
        <v>7</v>
      </c>
      <c r="D26848" s="4" t="s">
        <v>11</v>
      </c>
      <c r="E26848" s="4" t="s">
        <v>13</v>
      </c>
    </row>
    <row r="26849" spans="1:9">
      <c r="A26849" t="n">
        <v>260621</v>
      </c>
      <c r="B26849" s="23" t="n">
        <v>58</v>
      </c>
      <c r="C26849" s="7" t="n">
        <v>100</v>
      </c>
      <c r="D26849" s="7" t="n">
        <v>1000</v>
      </c>
      <c r="E26849" s="7" t="n">
        <v>1</v>
      </c>
    </row>
    <row r="26850" spans="1:9">
      <c r="A26850" t="s">
        <v>4</v>
      </c>
      <c r="B26850" s="4" t="s">
        <v>5</v>
      </c>
      <c r="C26850" s="4" t="s">
        <v>7</v>
      </c>
      <c r="D26850" s="4" t="s">
        <v>11</v>
      </c>
    </row>
    <row r="26851" spans="1:9">
      <c r="A26851" t="n">
        <v>260629</v>
      </c>
      <c r="B26851" s="23" t="n">
        <v>58</v>
      </c>
      <c r="C26851" s="7" t="n">
        <v>255</v>
      </c>
      <c r="D26851" s="7" t="n">
        <v>0</v>
      </c>
    </row>
    <row r="26852" spans="1:9">
      <c r="A26852" t="s">
        <v>4</v>
      </c>
      <c r="B26852" s="4" t="s">
        <v>5</v>
      </c>
      <c r="C26852" s="4" t="s">
        <v>7</v>
      </c>
      <c r="D26852" s="4" t="s">
        <v>11</v>
      </c>
      <c r="E26852" s="4" t="s">
        <v>8</v>
      </c>
    </row>
    <row r="26853" spans="1:9">
      <c r="A26853" t="n">
        <v>260633</v>
      </c>
      <c r="B26853" s="38" t="n">
        <v>51</v>
      </c>
      <c r="C26853" s="7" t="n">
        <v>4</v>
      </c>
      <c r="D26853" s="7" t="n">
        <v>0</v>
      </c>
      <c r="E26853" s="7" t="s">
        <v>430</v>
      </c>
    </row>
    <row r="26854" spans="1:9">
      <c r="A26854" t="s">
        <v>4</v>
      </c>
      <c r="B26854" s="4" t="s">
        <v>5</v>
      </c>
      <c r="C26854" s="4" t="s">
        <v>11</v>
      </c>
    </row>
    <row r="26855" spans="1:9">
      <c r="A26855" t="n">
        <v>260646</v>
      </c>
      <c r="B26855" s="29" t="n">
        <v>16</v>
      </c>
      <c r="C26855" s="7" t="n">
        <v>0</v>
      </c>
    </row>
    <row r="26856" spans="1:9">
      <c r="A26856" t="s">
        <v>4</v>
      </c>
      <c r="B26856" s="4" t="s">
        <v>5</v>
      </c>
      <c r="C26856" s="4" t="s">
        <v>11</v>
      </c>
      <c r="D26856" s="4" t="s">
        <v>7</v>
      </c>
      <c r="E26856" s="4" t="s">
        <v>15</v>
      </c>
      <c r="F26856" s="4" t="s">
        <v>55</v>
      </c>
      <c r="G26856" s="4" t="s">
        <v>7</v>
      </c>
      <c r="H26856" s="4" t="s">
        <v>7</v>
      </c>
    </row>
    <row r="26857" spans="1:9">
      <c r="A26857" t="n">
        <v>260649</v>
      </c>
      <c r="B26857" s="55" t="n">
        <v>26</v>
      </c>
      <c r="C26857" s="7" t="n">
        <v>0</v>
      </c>
      <c r="D26857" s="7" t="n">
        <v>17</v>
      </c>
      <c r="E26857" s="7" t="n">
        <v>64588</v>
      </c>
      <c r="F26857" s="7" t="s">
        <v>1573</v>
      </c>
      <c r="G26857" s="7" t="n">
        <v>2</v>
      </c>
      <c r="H26857" s="7" t="n">
        <v>0</v>
      </c>
    </row>
    <row r="26858" spans="1:9">
      <c r="A26858" t="s">
        <v>4</v>
      </c>
      <c r="B26858" s="4" t="s">
        <v>5</v>
      </c>
    </row>
    <row r="26859" spans="1:9">
      <c r="A26859" t="n">
        <v>260690</v>
      </c>
      <c r="B26859" s="27" t="n">
        <v>28</v>
      </c>
    </row>
    <row r="26860" spans="1:9">
      <c r="A26860" t="s">
        <v>4</v>
      </c>
      <c r="B26860" s="4" t="s">
        <v>5</v>
      </c>
      <c r="C26860" s="4" t="s">
        <v>7</v>
      </c>
      <c r="D26860" s="4" t="s">
        <v>11</v>
      </c>
      <c r="E26860" s="4" t="s">
        <v>11</v>
      </c>
      <c r="F26860" s="4" t="s">
        <v>7</v>
      </c>
    </row>
    <row r="26861" spans="1:9">
      <c r="A26861" t="n">
        <v>260691</v>
      </c>
      <c r="B26861" s="31" t="n">
        <v>25</v>
      </c>
      <c r="C26861" s="7" t="n">
        <v>1</v>
      </c>
      <c r="D26861" s="7" t="n">
        <v>65535</v>
      </c>
      <c r="E26861" s="7" t="n">
        <v>65535</v>
      </c>
      <c r="F26861" s="7" t="n">
        <v>0</v>
      </c>
    </row>
    <row r="26862" spans="1:9">
      <c r="A26862" t="s">
        <v>4</v>
      </c>
      <c r="B26862" s="4" t="s">
        <v>5</v>
      </c>
      <c r="C26862" s="4" t="s">
        <v>7</v>
      </c>
      <c r="D26862" s="4" t="s">
        <v>11</v>
      </c>
      <c r="E26862" s="4" t="s">
        <v>8</v>
      </c>
      <c r="F26862" s="4" t="s">
        <v>8</v>
      </c>
      <c r="G26862" s="4" t="s">
        <v>8</v>
      </c>
      <c r="H26862" s="4" t="s">
        <v>8</v>
      </c>
    </row>
    <row r="26863" spans="1:9">
      <c r="A26863" t="n">
        <v>260698</v>
      </c>
      <c r="B26863" s="38" t="n">
        <v>51</v>
      </c>
      <c r="C26863" s="7" t="n">
        <v>3</v>
      </c>
      <c r="D26863" s="7" t="n">
        <v>5</v>
      </c>
      <c r="E26863" s="7" t="s">
        <v>154</v>
      </c>
      <c r="F26863" s="7" t="s">
        <v>218</v>
      </c>
      <c r="G26863" s="7" t="s">
        <v>78</v>
      </c>
      <c r="H26863" s="7" t="s">
        <v>79</v>
      </c>
    </row>
    <row r="26864" spans="1:9">
      <c r="A26864" t="s">
        <v>4</v>
      </c>
      <c r="B26864" s="4" t="s">
        <v>5</v>
      </c>
      <c r="C26864" s="4" t="s">
        <v>11</v>
      </c>
      <c r="D26864" s="4" t="s">
        <v>7</v>
      </c>
      <c r="E26864" s="4" t="s">
        <v>13</v>
      </c>
      <c r="F26864" s="4" t="s">
        <v>11</v>
      </c>
    </row>
    <row r="26865" spans="1:8">
      <c r="A26865" t="n">
        <v>260711</v>
      </c>
      <c r="B26865" s="56" t="n">
        <v>59</v>
      </c>
      <c r="C26865" s="7" t="n">
        <v>5</v>
      </c>
      <c r="D26865" s="7" t="n">
        <v>13</v>
      </c>
      <c r="E26865" s="7" t="n">
        <v>0.150000005960464</v>
      </c>
      <c r="F26865" s="7" t="n">
        <v>0</v>
      </c>
    </row>
    <row r="26866" spans="1:8">
      <c r="A26866" t="s">
        <v>4</v>
      </c>
      <c r="B26866" s="4" t="s">
        <v>5</v>
      </c>
      <c r="C26866" s="4" t="s">
        <v>11</v>
      </c>
    </row>
    <row r="26867" spans="1:8">
      <c r="A26867" t="n">
        <v>260721</v>
      </c>
      <c r="B26867" s="29" t="n">
        <v>16</v>
      </c>
      <c r="C26867" s="7" t="n">
        <v>1000</v>
      </c>
    </row>
    <row r="26868" spans="1:8">
      <c r="A26868" t="s">
        <v>4</v>
      </c>
      <c r="B26868" s="4" t="s">
        <v>5</v>
      </c>
      <c r="C26868" s="4" t="s">
        <v>11</v>
      </c>
      <c r="D26868" s="4" t="s">
        <v>11</v>
      </c>
      <c r="E26868" s="4" t="s">
        <v>11</v>
      </c>
      <c r="F26868" s="4" t="s">
        <v>15</v>
      </c>
      <c r="G26868" s="4" t="s">
        <v>15</v>
      </c>
      <c r="H26868" s="4" t="s">
        <v>15</v>
      </c>
    </row>
    <row r="26869" spans="1:8">
      <c r="A26869" t="n">
        <v>260724</v>
      </c>
      <c r="B26869" s="72" t="n">
        <v>61</v>
      </c>
      <c r="C26869" s="7" t="n">
        <v>5</v>
      </c>
      <c r="D26869" s="7" t="n">
        <v>65535</v>
      </c>
      <c r="E26869" s="7" t="n">
        <v>1000</v>
      </c>
      <c r="F26869" s="7" t="n">
        <v>-1046914007</v>
      </c>
      <c r="G26869" s="7" t="n">
        <v>1094251971</v>
      </c>
      <c r="H26869" s="7" t="n">
        <v>1114190643</v>
      </c>
    </row>
    <row r="26870" spans="1:8">
      <c r="A26870" t="s">
        <v>4</v>
      </c>
      <c r="B26870" s="4" t="s">
        <v>5</v>
      </c>
      <c r="C26870" s="4" t="s">
        <v>11</v>
      </c>
      <c r="D26870" s="4" t="s">
        <v>13</v>
      </c>
      <c r="E26870" s="4" t="s">
        <v>13</v>
      </c>
      <c r="F26870" s="4" t="s">
        <v>7</v>
      </c>
    </row>
    <row r="26871" spans="1:8">
      <c r="A26871" t="n">
        <v>260743</v>
      </c>
      <c r="B26871" s="65" t="n">
        <v>52</v>
      </c>
      <c r="C26871" s="7" t="n">
        <v>5</v>
      </c>
      <c r="D26871" s="7" t="n">
        <v>48.7000007629395</v>
      </c>
      <c r="E26871" s="7" t="n">
        <v>5</v>
      </c>
      <c r="F26871" s="7" t="n">
        <v>1</v>
      </c>
    </row>
    <row r="26872" spans="1:8">
      <c r="A26872" t="s">
        <v>4</v>
      </c>
      <c r="B26872" s="4" t="s">
        <v>5</v>
      </c>
      <c r="C26872" s="4" t="s">
        <v>11</v>
      </c>
    </row>
    <row r="26873" spans="1:8">
      <c r="A26873" t="n">
        <v>260755</v>
      </c>
      <c r="B26873" s="29" t="n">
        <v>16</v>
      </c>
      <c r="C26873" s="7" t="n">
        <v>100</v>
      </c>
    </row>
    <row r="26874" spans="1:8">
      <c r="A26874" t="s">
        <v>4</v>
      </c>
      <c r="B26874" s="4" t="s">
        <v>5</v>
      </c>
      <c r="C26874" s="4" t="s">
        <v>7</v>
      </c>
      <c r="D26874" s="4" t="s">
        <v>11</v>
      </c>
      <c r="E26874" s="4" t="s">
        <v>13</v>
      </c>
    </row>
    <row r="26875" spans="1:8">
      <c r="A26875" t="n">
        <v>260758</v>
      </c>
      <c r="B26875" s="23" t="n">
        <v>58</v>
      </c>
      <c r="C26875" s="7" t="n">
        <v>101</v>
      </c>
      <c r="D26875" s="7" t="n">
        <v>300</v>
      </c>
      <c r="E26875" s="7" t="n">
        <v>1</v>
      </c>
    </row>
    <row r="26876" spans="1:8">
      <c r="A26876" t="s">
        <v>4</v>
      </c>
      <c r="B26876" s="4" t="s">
        <v>5</v>
      </c>
      <c r="C26876" s="4" t="s">
        <v>7</v>
      </c>
      <c r="D26876" s="4" t="s">
        <v>11</v>
      </c>
    </row>
    <row r="26877" spans="1:8">
      <c r="A26877" t="n">
        <v>260766</v>
      </c>
      <c r="B26877" s="23" t="n">
        <v>58</v>
      </c>
      <c r="C26877" s="7" t="n">
        <v>254</v>
      </c>
      <c r="D26877" s="7" t="n">
        <v>0</v>
      </c>
    </row>
    <row r="26878" spans="1:8">
      <c r="A26878" t="s">
        <v>4</v>
      </c>
      <c r="B26878" s="4" t="s">
        <v>5</v>
      </c>
      <c r="C26878" s="4" t="s">
        <v>11</v>
      </c>
      <c r="D26878" s="4" t="s">
        <v>7</v>
      </c>
      <c r="E26878" s="4" t="s">
        <v>8</v>
      </c>
      <c r="F26878" s="4" t="s">
        <v>13</v>
      </c>
      <c r="G26878" s="4" t="s">
        <v>13</v>
      </c>
      <c r="H26878" s="4" t="s">
        <v>13</v>
      </c>
    </row>
    <row r="26879" spans="1:8">
      <c r="A26879" t="n">
        <v>260770</v>
      </c>
      <c r="B26879" s="42" t="n">
        <v>48</v>
      </c>
      <c r="C26879" s="7" t="n">
        <v>5</v>
      </c>
      <c r="D26879" s="7" t="n">
        <v>0</v>
      </c>
      <c r="E26879" s="7" t="s">
        <v>1574</v>
      </c>
      <c r="F26879" s="7" t="n">
        <v>-1</v>
      </c>
      <c r="G26879" s="7" t="n">
        <v>1</v>
      </c>
      <c r="H26879" s="7" t="n">
        <v>0</v>
      </c>
    </row>
    <row r="26880" spans="1:8">
      <c r="A26880" t="s">
        <v>4</v>
      </c>
      <c r="B26880" s="4" t="s">
        <v>5</v>
      </c>
      <c r="C26880" s="4" t="s">
        <v>11</v>
      </c>
      <c r="D26880" s="4" t="s">
        <v>7</v>
      </c>
      <c r="E26880" s="4" t="s">
        <v>8</v>
      </c>
      <c r="F26880" s="4" t="s">
        <v>13</v>
      </c>
      <c r="G26880" s="4" t="s">
        <v>13</v>
      </c>
      <c r="H26880" s="4" t="s">
        <v>13</v>
      </c>
    </row>
    <row r="26881" spans="1:8">
      <c r="A26881" t="n">
        <v>260802</v>
      </c>
      <c r="B26881" s="42" t="n">
        <v>48</v>
      </c>
      <c r="C26881" s="7" t="n">
        <v>5</v>
      </c>
      <c r="D26881" s="7" t="n">
        <v>0</v>
      </c>
      <c r="E26881" s="7" t="s">
        <v>1392</v>
      </c>
      <c r="F26881" s="7" t="n">
        <v>-1</v>
      </c>
      <c r="G26881" s="7" t="n">
        <v>1</v>
      </c>
      <c r="H26881" s="7" t="n">
        <v>0</v>
      </c>
    </row>
    <row r="26882" spans="1:8">
      <c r="A26882" t="s">
        <v>4</v>
      </c>
      <c r="B26882" s="4" t="s">
        <v>5</v>
      </c>
      <c r="C26882" s="4" t="s">
        <v>7</v>
      </c>
      <c r="D26882" s="4" t="s">
        <v>11</v>
      </c>
      <c r="E26882" s="4" t="s">
        <v>13</v>
      </c>
      <c r="F26882" s="4" t="s">
        <v>11</v>
      </c>
      <c r="G26882" s="4" t="s">
        <v>15</v>
      </c>
      <c r="H26882" s="4" t="s">
        <v>15</v>
      </c>
      <c r="I26882" s="4" t="s">
        <v>11</v>
      </c>
      <c r="J26882" s="4" t="s">
        <v>11</v>
      </c>
      <c r="K26882" s="4" t="s">
        <v>15</v>
      </c>
      <c r="L26882" s="4" t="s">
        <v>15</v>
      </c>
      <c r="M26882" s="4" t="s">
        <v>15</v>
      </c>
      <c r="N26882" s="4" t="s">
        <v>15</v>
      </c>
      <c r="O26882" s="4" t="s">
        <v>8</v>
      </c>
    </row>
    <row r="26883" spans="1:8">
      <c r="A26883" t="n">
        <v>260829</v>
      </c>
      <c r="B26883" s="57" t="n">
        <v>50</v>
      </c>
      <c r="C26883" s="7" t="n">
        <v>0</v>
      </c>
      <c r="D26883" s="7" t="n">
        <v>2000</v>
      </c>
      <c r="E26883" s="7" t="n">
        <v>0.5</v>
      </c>
      <c r="F26883" s="7" t="n">
        <v>100</v>
      </c>
      <c r="G26883" s="7" t="n">
        <v>0</v>
      </c>
      <c r="H26883" s="7" t="n">
        <v>0</v>
      </c>
      <c r="I26883" s="7" t="n">
        <v>0</v>
      </c>
      <c r="J26883" s="7" t="n">
        <v>65533</v>
      </c>
      <c r="K26883" s="7" t="n">
        <v>0</v>
      </c>
      <c r="L26883" s="7" t="n">
        <v>0</v>
      </c>
      <c r="M26883" s="7" t="n">
        <v>0</v>
      </c>
      <c r="N26883" s="7" t="n">
        <v>0</v>
      </c>
      <c r="O26883" s="7" t="s">
        <v>16</v>
      </c>
    </row>
    <row r="26884" spans="1:8">
      <c r="A26884" t="s">
        <v>4</v>
      </c>
      <c r="B26884" s="4" t="s">
        <v>5</v>
      </c>
      <c r="C26884" s="4" t="s">
        <v>11</v>
      </c>
    </row>
    <row r="26885" spans="1:8">
      <c r="A26885" t="n">
        <v>260868</v>
      </c>
      <c r="B26885" s="66" t="n">
        <v>54</v>
      </c>
      <c r="C26885" s="7" t="n">
        <v>5</v>
      </c>
    </row>
    <row r="26886" spans="1:8">
      <c r="A26886" t="s">
        <v>4</v>
      </c>
      <c r="B26886" s="4" t="s">
        <v>5</v>
      </c>
      <c r="C26886" s="4" t="s">
        <v>7</v>
      </c>
      <c r="D26886" s="4" t="s">
        <v>11</v>
      </c>
    </row>
    <row r="26887" spans="1:8">
      <c r="A26887" t="n">
        <v>260871</v>
      </c>
      <c r="B26887" s="23" t="n">
        <v>58</v>
      </c>
      <c r="C26887" s="7" t="n">
        <v>255</v>
      </c>
      <c r="D26887" s="7" t="n">
        <v>0</v>
      </c>
    </row>
    <row r="26888" spans="1:8">
      <c r="A26888" t="s">
        <v>4</v>
      </c>
      <c r="B26888" s="4" t="s">
        <v>5</v>
      </c>
      <c r="C26888" s="4" t="s">
        <v>7</v>
      </c>
      <c r="D26888" s="4" t="s">
        <v>11</v>
      </c>
      <c r="E26888" s="4" t="s">
        <v>8</v>
      </c>
    </row>
    <row r="26889" spans="1:8">
      <c r="A26889" t="n">
        <v>260875</v>
      </c>
      <c r="B26889" s="38" t="n">
        <v>51</v>
      </c>
      <c r="C26889" s="7" t="n">
        <v>4</v>
      </c>
      <c r="D26889" s="7" t="n">
        <v>5</v>
      </c>
      <c r="E26889" s="7" t="s">
        <v>430</v>
      </c>
    </row>
    <row r="26890" spans="1:8">
      <c r="A26890" t="s">
        <v>4</v>
      </c>
      <c r="B26890" s="4" t="s">
        <v>5</v>
      </c>
      <c r="C26890" s="4" t="s">
        <v>11</v>
      </c>
    </row>
    <row r="26891" spans="1:8">
      <c r="A26891" t="n">
        <v>260888</v>
      </c>
      <c r="B26891" s="29" t="n">
        <v>16</v>
      </c>
      <c r="C26891" s="7" t="n">
        <v>0</v>
      </c>
    </row>
    <row r="26892" spans="1:8">
      <c r="A26892" t="s">
        <v>4</v>
      </c>
      <c r="B26892" s="4" t="s">
        <v>5</v>
      </c>
      <c r="C26892" s="4" t="s">
        <v>11</v>
      </c>
      <c r="D26892" s="4" t="s">
        <v>7</v>
      </c>
      <c r="E26892" s="4" t="s">
        <v>15</v>
      </c>
      <c r="F26892" s="4" t="s">
        <v>55</v>
      </c>
      <c r="G26892" s="4" t="s">
        <v>7</v>
      </c>
      <c r="H26892" s="4" t="s">
        <v>7</v>
      </c>
      <c r="I26892" s="4" t="s">
        <v>7</v>
      </c>
      <c r="J26892" s="4" t="s">
        <v>15</v>
      </c>
      <c r="K26892" s="4" t="s">
        <v>55</v>
      </c>
      <c r="L26892" s="4" t="s">
        <v>7</v>
      </c>
      <c r="M26892" s="4" t="s">
        <v>7</v>
      </c>
      <c r="N26892" s="4" t="s">
        <v>7</v>
      </c>
      <c r="O26892" s="4" t="s">
        <v>15</v>
      </c>
      <c r="P26892" s="4" t="s">
        <v>55</v>
      </c>
      <c r="Q26892" s="4" t="s">
        <v>7</v>
      </c>
      <c r="R26892" s="4" t="s">
        <v>7</v>
      </c>
    </row>
    <row r="26893" spans="1:8">
      <c r="A26893" t="n">
        <v>260891</v>
      </c>
      <c r="B26893" s="55" t="n">
        <v>26</v>
      </c>
      <c r="C26893" s="7" t="n">
        <v>5</v>
      </c>
      <c r="D26893" s="7" t="n">
        <v>17</v>
      </c>
      <c r="E26893" s="7" t="n">
        <v>64589</v>
      </c>
      <c r="F26893" s="7" t="s">
        <v>1575</v>
      </c>
      <c r="G26893" s="7" t="n">
        <v>2</v>
      </c>
      <c r="H26893" s="7" t="n">
        <v>3</v>
      </c>
      <c r="I26893" s="7" t="n">
        <v>17</v>
      </c>
      <c r="J26893" s="7" t="n">
        <v>64590</v>
      </c>
      <c r="K26893" s="7" t="s">
        <v>1576</v>
      </c>
      <c r="L26893" s="7" t="n">
        <v>2</v>
      </c>
      <c r="M26893" s="7" t="n">
        <v>3</v>
      </c>
      <c r="N26893" s="7" t="n">
        <v>17</v>
      </c>
      <c r="O26893" s="7" t="n">
        <v>64591</v>
      </c>
      <c r="P26893" s="7" t="s">
        <v>1577</v>
      </c>
      <c r="Q26893" s="7" t="n">
        <v>2</v>
      </c>
      <c r="R26893" s="7" t="n">
        <v>0</v>
      </c>
    </row>
    <row r="26894" spans="1:8">
      <c r="A26894" t="s">
        <v>4</v>
      </c>
      <c r="B26894" s="4" t="s">
        <v>5</v>
      </c>
    </row>
    <row r="26895" spans="1:8">
      <c r="A26895" t="n">
        <v>261136</v>
      </c>
      <c r="B26895" s="27" t="n">
        <v>28</v>
      </c>
    </row>
    <row r="26896" spans="1:8">
      <c r="A26896" t="s">
        <v>4</v>
      </c>
      <c r="B26896" s="4" t="s">
        <v>5</v>
      </c>
      <c r="C26896" s="4" t="s">
        <v>7</v>
      </c>
      <c r="D26896" s="4" t="s">
        <v>11</v>
      </c>
      <c r="E26896" s="4" t="s">
        <v>8</v>
      </c>
    </row>
    <row r="26897" spans="1:18">
      <c r="A26897" t="n">
        <v>261137</v>
      </c>
      <c r="B26897" s="38" t="n">
        <v>51</v>
      </c>
      <c r="C26897" s="7" t="n">
        <v>4</v>
      </c>
      <c r="D26897" s="7" t="n">
        <v>0</v>
      </c>
      <c r="E26897" s="7" t="s">
        <v>179</v>
      </c>
    </row>
    <row r="26898" spans="1:18">
      <c r="A26898" t="s">
        <v>4</v>
      </c>
      <c r="B26898" s="4" t="s">
        <v>5</v>
      </c>
      <c r="C26898" s="4" t="s">
        <v>11</v>
      </c>
    </row>
    <row r="26899" spans="1:18">
      <c r="A26899" t="n">
        <v>261151</v>
      </c>
      <c r="B26899" s="29" t="n">
        <v>16</v>
      </c>
      <c r="C26899" s="7" t="n">
        <v>0</v>
      </c>
    </row>
    <row r="26900" spans="1:18">
      <c r="A26900" t="s">
        <v>4</v>
      </c>
      <c r="B26900" s="4" t="s">
        <v>5</v>
      </c>
      <c r="C26900" s="4" t="s">
        <v>11</v>
      </c>
      <c r="D26900" s="4" t="s">
        <v>7</v>
      </c>
      <c r="E26900" s="4" t="s">
        <v>15</v>
      </c>
      <c r="F26900" s="4" t="s">
        <v>55</v>
      </c>
      <c r="G26900" s="4" t="s">
        <v>7</v>
      </c>
      <c r="H26900" s="4" t="s">
        <v>7</v>
      </c>
      <c r="I26900" s="4" t="s">
        <v>7</v>
      </c>
      <c r="J26900" s="4" t="s">
        <v>15</v>
      </c>
      <c r="K26900" s="4" t="s">
        <v>55</v>
      </c>
      <c r="L26900" s="4" t="s">
        <v>7</v>
      </c>
      <c r="M26900" s="4" t="s">
        <v>7</v>
      </c>
    </row>
    <row r="26901" spans="1:18">
      <c r="A26901" t="n">
        <v>261154</v>
      </c>
      <c r="B26901" s="55" t="n">
        <v>26</v>
      </c>
      <c r="C26901" s="7" t="n">
        <v>0</v>
      </c>
      <c r="D26901" s="7" t="n">
        <v>17</v>
      </c>
      <c r="E26901" s="7" t="n">
        <v>64592</v>
      </c>
      <c r="F26901" s="7" t="s">
        <v>1578</v>
      </c>
      <c r="G26901" s="7" t="n">
        <v>2</v>
      </c>
      <c r="H26901" s="7" t="n">
        <v>3</v>
      </c>
      <c r="I26901" s="7" t="n">
        <v>17</v>
      </c>
      <c r="J26901" s="7" t="n">
        <v>64593</v>
      </c>
      <c r="K26901" s="7" t="s">
        <v>1579</v>
      </c>
      <c r="L26901" s="7" t="n">
        <v>2</v>
      </c>
      <c r="M26901" s="7" t="n">
        <v>0</v>
      </c>
    </row>
    <row r="26902" spans="1:18">
      <c r="A26902" t="s">
        <v>4</v>
      </c>
      <c r="B26902" s="4" t="s">
        <v>5</v>
      </c>
    </row>
    <row r="26903" spans="1:18">
      <c r="A26903" t="n">
        <v>261241</v>
      </c>
      <c r="B26903" s="27" t="n">
        <v>28</v>
      </c>
    </row>
    <row r="26904" spans="1:18">
      <c r="A26904" t="s">
        <v>4</v>
      </c>
      <c r="B26904" s="4" t="s">
        <v>5</v>
      </c>
      <c r="C26904" s="4" t="s">
        <v>7</v>
      </c>
      <c r="D26904" s="4" t="s">
        <v>11</v>
      </c>
      <c r="E26904" s="4" t="s">
        <v>11</v>
      </c>
      <c r="F26904" s="4" t="s">
        <v>7</v>
      </c>
    </row>
    <row r="26905" spans="1:18">
      <c r="A26905" t="n">
        <v>261242</v>
      </c>
      <c r="B26905" s="31" t="n">
        <v>25</v>
      </c>
      <c r="C26905" s="7" t="n">
        <v>1</v>
      </c>
      <c r="D26905" s="7" t="n">
        <v>65535</v>
      </c>
      <c r="E26905" s="7" t="n">
        <v>65535</v>
      </c>
      <c r="F26905" s="7" t="n">
        <v>0</v>
      </c>
    </row>
    <row r="26906" spans="1:18">
      <c r="A26906" t="s">
        <v>4</v>
      </c>
      <c r="B26906" s="4" t="s">
        <v>5</v>
      </c>
      <c r="C26906" s="4" t="s">
        <v>7</v>
      </c>
      <c r="D26906" s="4" t="s">
        <v>11</v>
      </c>
      <c r="E26906" s="4" t="s">
        <v>8</v>
      </c>
      <c r="F26906" s="4" t="s">
        <v>8</v>
      </c>
      <c r="G26906" s="4" t="s">
        <v>8</v>
      </c>
      <c r="H26906" s="4" t="s">
        <v>8</v>
      </c>
    </row>
    <row r="26907" spans="1:18">
      <c r="A26907" t="n">
        <v>261249</v>
      </c>
      <c r="B26907" s="38" t="n">
        <v>51</v>
      </c>
      <c r="C26907" s="7" t="n">
        <v>3</v>
      </c>
      <c r="D26907" s="7" t="n">
        <v>5</v>
      </c>
      <c r="E26907" s="7" t="s">
        <v>154</v>
      </c>
      <c r="F26907" s="7" t="s">
        <v>155</v>
      </c>
      <c r="G26907" s="7" t="s">
        <v>78</v>
      </c>
      <c r="H26907" s="7" t="s">
        <v>79</v>
      </c>
    </row>
    <row r="26908" spans="1:18">
      <c r="A26908" t="s">
        <v>4</v>
      </c>
      <c r="B26908" s="4" t="s">
        <v>5</v>
      </c>
      <c r="C26908" s="4" t="s">
        <v>11</v>
      </c>
      <c r="D26908" s="4" t="s">
        <v>7</v>
      </c>
      <c r="E26908" s="4" t="s">
        <v>13</v>
      </c>
      <c r="F26908" s="4" t="s">
        <v>11</v>
      </c>
    </row>
    <row r="26909" spans="1:18">
      <c r="A26909" t="n">
        <v>261262</v>
      </c>
      <c r="B26909" s="56" t="n">
        <v>59</v>
      </c>
      <c r="C26909" s="7" t="n">
        <v>5</v>
      </c>
      <c r="D26909" s="7" t="n">
        <v>1</v>
      </c>
      <c r="E26909" s="7" t="n">
        <v>0.150000005960464</v>
      </c>
      <c r="F26909" s="7" t="n">
        <v>0</v>
      </c>
    </row>
    <row r="26910" spans="1:18">
      <c r="A26910" t="s">
        <v>4</v>
      </c>
      <c r="B26910" s="4" t="s">
        <v>5</v>
      </c>
      <c r="C26910" s="4" t="s">
        <v>11</v>
      </c>
    </row>
    <row r="26911" spans="1:18">
      <c r="A26911" t="n">
        <v>261272</v>
      </c>
      <c r="B26911" s="29" t="n">
        <v>16</v>
      </c>
      <c r="C26911" s="7" t="n">
        <v>1000</v>
      </c>
    </row>
    <row r="26912" spans="1:18">
      <c r="A26912" t="s">
        <v>4</v>
      </c>
      <c r="B26912" s="4" t="s">
        <v>5</v>
      </c>
      <c r="C26912" s="4" t="s">
        <v>11</v>
      </c>
      <c r="D26912" s="4" t="s">
        <v>7</v>
      </c>
      <c r="E26912" s="4" t="s">
        <v>13</v>
      </c>
      <c r="F26912" s="4" t="s">
        <v>11</v>
      </c>
    </row>
    <row r="26913" spans="1:13">
      <c r="A26913" t="n">
        <v>261275</v>
      </c>
      <c r="B26913" s="56" t="n">
        <v>59</v>
      </c>
      <c r="C26913" s="7" t="n">
        <v>5</v>
      </c>
      <c r="D26913" s="7" t="n">
        <v>15</v>
      </c>
      <c r="E26913" s="7" t="n">
        <v>0.150000005960464</v>
      </c>
      <c r="F26913" s="7" t="n">
        <v>0</v>
      </c>
    </row>
    <row r="26914" spans="1:13">
      <c r="A26914" t="s">
        <v>4</v>
      </c>
      <c r="B26914" s="4" t="s">
        <v>5</v>
      </c>
      <c r="C26914" s="4" t="s">
        <v>11</v>
      </c>
      <c r="D26914" s="4" t="s">
        <v>7</v>
      </c>
      <c r="E26914" s="4" t="s">
        <v>7</v>
      </c>
      <c r="F26914" s="4" t="s">
        <v>8</v>
      </c>
    </row>
    <row r="26915" spans="1:13">
      <c r="A26915" t="n">
        <v>261285</v>
      </c>
      <c r="B26915" s="50" t="n">
        <v>20</v>
      </c>
      <c r="C26915" s="7" t="n">
        <v>5</v>
      </c>
      <c r="D26915" s="7" t="n">
        <v>2</v>
      </c>
      <c r="E26915" s="7" t="n">
        <v>10</v>
      </c>
      <c r="F26915" s="7" t="s">
        <v>260</v>
      </c>
    </row>
    <row r="26916" spans="1:13">
      <c r="A26916" t="s">
        <v>4</v>
      </c>
      <c r="B26916" s="4" t="s">
        <v>5</v>
      </c>
      <c r="C26916" s="4" t="s">
        <v>7</v>
      </c>
      <c r="D26916" s="4" t="s">
        <v>11</v>
      </c>
      <c r="E26916" s="4" t="s">
        <v>8</v>
      </c>
    </row>
    <row r="26917" spans="1:13">
      <c r="A26917" t="n">
        <v>261305</v>
      </c>
      <c r="B26917" s="38" t="n">
        <v>51</v>
      </c>
      <c r="C26917" s="7" t="n">
        <v>4</v>
      </c>
      <c r="D26917" s="7" t="n">
        <v>5</v>
      </c>
      <c r="E26917" s="7" t="s">
        <v>658</v>
      </c>
    </row>
    <row r="26918" spans="1:13">
      <c r="A26918" t="s">
        <v>4</v>
      </c>
      <c r="B26918" s="4" t="s">
        <v>5</v>
      </c>
      <c r="C26918" s="4" t="s">
        <v>11</v>
      </c>
    </row>
    <row r="26919" spans="1:13">
      <c r="A26919" t="n">
        <v>261319</v>
      </c>
      <c r="B26919" s="29" t="n">
        <v>16</v>
      </c>
      <c r="C26919" s="7" t="n">
        <v>0</v>
      </c>
    </row>
    <row r="26920" spans="1:13">
      <c r="A26920" t="s">
        <v>4</v>
      </c>
      <c r="B26920" s="4" t="s">
        <v>5</v>
      </c>
      <c r="C26920" s="4" t="s">
        <v>11</v>
      </c>
      <c r="D26920" s="4" t="s">
        <v>7</v>
      </c>
      <c r="E26920" s="4" t="s">
        <v>15</v>
      </c>
      <c r="F26920" s="4" t="s">
        <v>55</v>
      </c>
      <c r="G26920" s="4" t="s">
        <v>7</v>
      </c>
      <c r="H26920" s="4" t="s">
        <v>7</v>
      </c>
      <c r="I26920" s="4" t="s">
        <v>7</v>
      </c>
      <c r="J26920" s="4" t="s">
        <v>15</v>
      </c>
      <c r="K26920" s="4" t="s">
        <v>55</v>
      </c>
      <c r="L26920" s="4" t="s">
        <v>7</v>
      </c>
      <c r="M26920" s="4" t="s">
        <v>7</v>
      </c>
    </row>
    <row r="26921" spans="1:13">
      <c r="A26921" t="n">
        <v>261322</v>
      </c>
      <c r="B26921" s="55" t="n">
        <v>26</v>
      </c>
      <c r="C26921" s="7" t="n">
        <v>5</v>
      </c>
      <c r="D26921" s="7" t="n">
        <v>17</v>
      </c>
      <c r="E26921" s="7" t="n">
        <v>64594</v>
      </c>
      <c r="F26921" s="7" t="s">
        <v>1580</v>
      </c>
      <c r="G26921" s="7" t="n">
        <v>2</v>
      </c>
      <c r="H26921" s="7" t="n">
        <v>3</v>
      </c>
      <c r="I26921" s="7" t="n">
        <v>17</v>
      </c>
      <c r="J26921" s="7" t="n">
        <v>64595</v>
      </c>
      <c r="K26921" s="7" t="s">
        <v>1581</v>
      </c>
      <c r="L26921" s="7" t="n">
        <v>2</v>
      </c>
      <c r="M26921" s="7" t="n">
        <v>0</v>
      </c>
    </row>
    <row r="26922" spans="1:13">
      <c r="A26922" t="s">
        <v>4</v>
      </c>
      <c r="B26922" s="4" t="s">
        <v>5</v>
      </c>
    </row>
    <row r="26923" spans="1:13">
      <c r="A26923" t="n">
        <v>261559</v>
      </c>
      <c r="B26923" s="27" t="n">
        <v>28</v>
      </c>
    </row>
    <row r="26924" spans="1:13">
      <c r="A26924" t="s">
        <v>4</v>
      </c>
      <c r="B26924" s="4" t="s">
        <v>5</v>
      </c>
      <c r="C26924" s="4" t="s">
        <v>7</v>
      </c>
      <c r="D26924" s="4" t="s">
        <v>11</v>
      </c>
      <c r="E26924" s="4" t="s">
        <v>8</v>
      </c>
    </row>
    <row r="26925" spans="1:13">
      <c r="A26925" t="n">
        <v>261560</v>
      </c>
      <c r="B26925" s="38" t="n">
        <v>51</v>
      </c>
      <c r="C26925" s="7" t="n">
        <v>4</v>
      </c>
      <c r="D26925" s="7" t="n">
        <v>0</v>
      </c>
      <c r="E26925" s="7" t="s">
        <v>240</v>
      </c>
    </row>
    <row r="26926" spans="1:13">
      <c r="A26926" t="s">
        <v>4</v>
      </c>
      <c r="B26926" s="4" t="s">
        <v>5</v>
      </c>
      <c r="C26926" s="4" t="s">
        <v>11</v>
      </c>
    </row>
    <row r="26927" spans="1:13">
      <c r="A26927" t="n">
        <v>261574</v>
      </c>
      <c r="B26927" s="29" t="n">
        <v>16</v>
      </c>
      <c r="C26927" s="7" t="n">
        <v>0</v>
      </c>
    </row>
    <row r="26928" spans="1:13">
      <c r="A26928" t="s">
        <v>4</v>
      </c>
      <c r="B26928" s="4" t="s">
        <v>5</v>
      </c>
      <c r="C26928" s="4" t="s">
        <v>11</v>
      </c>
      <c r="D26928" s="4" t="s">
        <v>7</v>
      </c>
      <c r="E26928" s="4" t="s">
        <v>15</v>
      </c>
      <c r="F26928" s="4" t="s">
        <v>55</v>
      </c>
      <c r="G26928" s="4" t="s">
        <v>7</v>
      </c>
      <c r="H26928" s="4" t="s">
        <v>7</v>
      </c>
    </row>
    <row r="26929" spans="1:13">
      <c r="A26929" t="n">
        <v>261577</v>
      </c>
      <c r="B26929" s="55" t="n">
        <v>26</v>
      </c>
      <c r="C26929" s="7" t="n">
        <v>0</v>
      </c>
      <c r="D26929" s="7" t="n">
        <v>17</v>
      </c>
      <c r="E26929" s="7" t="n">
        <v>64596</v>
      </c>
      <c r="F26929" s="7" t="s">
        <v>1582</v>
      </c>
      <c r="G26929" s="7" t="n">
        <v>2</v>
      </c>
      <c r="H26929" s="7" t="n">
        <v>0</v>
      </c>
    </row>
    <row r="26930" spans="1:13">
      <c r="A26930" t="s">
        <v>4</v>
      </c>
      <c r="B26930" s="4" t="s">
        <v>5</v>
      </c>
    </row>
    <row r="26931" spans="1:13">
      <c r="A26931" t="n">
        <v>261625</v>
      </c>
      <c r="B26931" s="27" t="n">
        <v>28</v>
      </c>
    </row>
    <row r="26932" spans="1:13">
      <c r="A26932" t="s">
        <v>4</v>
      </c>
      <c r="B26932" s="4" t="s">
        <v>5</v>
      </c>
      <c r="C26932" s="4" t="s">
        <v>11</v>
      </c>
      <c r="D26932" s="4" t="s">
        <v>7</v>
      </c>
      <c r="E26932" s="4" t="s">
        <v>13</v>
      </c>
      <c r="F26932" s="4" t="s">
        <v>11</v>
      </c>
    </row>
    <row r="26933" spans="1:13">
      <c r="A26933" t="n">
        <v>261626</v>
      </c>
      <c r="B26933" s="56" t="n">
        <v>59</v>
      </c>
      <c r="C26933" s="7" t="n">
        <v>5</v>
      </c>
      <c r="D26933" s="7" t="n">
        <v>255</v>
      </c>
      <c r="E26933" s="7" t="n">
        <v>0</v>
      </c>
      <c r="F26933" s="7" t="n">
        <v>0</v>
      </c>
    </row>
    <row r="26934" spans="1:13">
      <c r="A26934" t="s">
        <v>4</v>
      </c>
      <c r="B26934" s="4" t="s">
        <v>5</v>
      </c>
      <c r="C26934" s="4" t="s">
        <v>7</v>
      </c>
      <c r="D26934" s="4" t="s">
        <v>11</v>
      </c>
      <c r="E26934" s="4" t="s">
        <v>8</v>
      </c>
      <c r="F26934" s="4" t="s">
        <v>8</v>
      </c>
      <c r="G26934" s="4" t="s">
        <v>8</v>
      </c>
      <c r="H26934" s="4" t="s">
        <v>8</v>
      </c>
    </row>
    <row r="26935" spans="1:13">
      <c r="A26935" t="n">
        <v>261636</v>
      </c>
      <c r="B26935" s="38" t="n">
        <v>51</v>
      </c>
      <c r="C26935" s="7" t="n">
        <v>3</v>
      </c>
      <c r="D26935" s="7" t="n">
        <v>5</v>
      </c>
      <c r="E26935" s="7" t="s">
        <v>99</v>
      </c>
      <c r="F26935" s="7" t="s">
        <v>218</v>
      </c>
      <c r="G26935" s="7" t="s">
        <v>16</v>
      </c>
      <c r="H26935" s="7" t="s">
        <v>79</v>
      </c>
    </row>
    <row r="26936" spans="1:13">
      <c r="A26936" t="s">
        <v>4</v>
      </c>
      <c r="B26936" s="4" t="s">
        <v>5</v>
      </c>
      <c r="C26936" s="4" t="s">
        <v>11</v>
      </c>
    </row>
    <row r="26937" spans="1:13">
      <c r="A26937" t="n">
        <v>261647</v>
      </c>
      <c r="B26937" s="29" t="n">
        <v>16</v>
      </c>
      <c r="C26937" s="7" t="n">
        <v>500</v>
      </c>
    </row>
    <row r="26938" spans="1:13">
      <c r="A26938" t="s">
        <v>4</v>
      </c>
      <c r="B26938" s="4" t="s">
        <v>5</v>
      </c>
      <c r="C26938" s="4" t="s">
        <v>7</v>
      </c>
      <c r="D26938" s="4" t="s">
        <v>11</v>
      </c>
      <c r="E26938" s="4" t="s">
        <v>8</v>
      </c>
    </row>
    <row r="26939" spans="1:13">
      <c r="A26939" t="n">
        <v>261650</v>
      </c>
      <c r="B26939" s="38" t="n">
        <v>51</v>
      </c>
      <c r="C26939" s="7" t="n">
        <v>4</v>
      </c>
      <c r="D26939" s="7" t="n">
        <v>0</v>
      </c>
      <c r="E26939" s="7" t="s">
        <v>450</v>
      </c>
    </row>
    <row r="26940" spans="1:13">
      <c r="A26940" t="s">
        <v>4</v>
      </c>
      <c r="B26940" s="4" t="s">
        <v>5</v>
      </c>
      <c r="C26940" s="4" t="s">
        <v>11</v>
      </c>
    </row>
    <row r="26941" spans="1:13">
      <c r="A26941" t="n">
        <v>261664</v>
      </c>
      <c r="B26941" s="29" t="n">
        <v>16</v>
      </c>
      <c r="C26941" s="7" t="n">
        <v>0</v>
      </c>
    </row>
    <row r="26942" spans="1:13">
      <c r="A26942" t="s">
        <v>4</v>
      </c>
      <c r="B26942" s="4" t="s">
        <v>5</v>
      </c>
      <c r="C26942" s="4" t="s">
        <v>11</v>
      </c>
      <c r="D26942" s="4" t="s">
        <v>7</v>
      </c>
      <c r="E26942" s="4" t="s">
        <v>15</v>
      </c>
      <c r="F26942" s="4" t="s">
        <v>55</v>
      </c>
      <c r="G26942" s="4" t="s">
        <v>7</v>
      </c>
      <c r="H26942" s="4" t="s">
        <v>7</v>
      </c>
    </row>
    <row r="26943" spans="1:13">
      <c r="A26943" t="n">
        <v>261667</v>
      </c>
      <c r="B26943" s="55" t="n">
        <v>26</v>
      </c>
      <c r="C26943" s="7" t="n">
        <v>0</v>
      </c>
      <c r="D26943" s="7" t="n">
        <v>17</v>
      </c>
      <c r="E26943" s="7" t="n">
        <v>64597</v>
      </c>
      <c r="F26943" s="7" t="s">
        <v>1583</v>
      </c>
      <c r="G26943" s="7" t="n">
        <v>2</v>
      </c>
      <c r="H26943" s="7" t="n">
        <v>0</v>
      </c>
    </row>
    <row r="26944" spans="1:13">
      <c r="A26944" t="s">
        <v>4</v>
      </c>
      <c r="B26944" s="4" t="s">
        <v>5</v>
      </c>
    </row>
    <row r="26945" spans="1:8">
      <c r="A26945" t="n">
        <v>261712</v>
      </c>
      <c r="B26945" s="27" t="n">
        <v>28</v>
      </c>
    </row>
    <row r="26946" spans="1:8">
      <c r="A26946" t="s">
        <v>4</v>
      </c>
      <c r="B26946" s="4" t="s">
        <v>5</v>
      </c>
      <c r="C26946" s="4" t="s">
        <v>7</v>
      </c>
      <c r="D26946" s="4" t="s">
        <v>11</v>
      </c>
      <c r="E26946" s="4" t="s">
        <v>11</v>
      </c>
      <c r="F26946" s="4" t="s">
        <v>7</v>
      </c>
    </row>
    <row r="26947" spans="1:8">
      <c r="A26947" t="n">
        <v>261713</v>
      </c>
      <c r="B26947" s="31" t="n">
        <v>25</v>
      </c>
      <c r="C26947" s="7" t="n">
        <v>1</v>
      </c>
      <c r="D26947" s="7" t="n">
        <v>65535</v>
      </c>
      <c r="E26947" s="7" t="n">
        <v>65535</v>
      </c>
      <c r="F26947" s="7" t="n">
        <v>0</v>
      </c>
    </row>
    <row r="26948" spans="1:8">
      <c r="A26948" t="s">
        <v>4</v>
      </c>
      <c r="B26948" s="4" t="s">
        <v>5</v>
      </c>
      <c r="C26948" s="4" t="s">
        <v>7</v>
      </c>
      <c r="D26948" s="4" t="s">
        <v>11</v>
      </c>
      <c r="E26948" s="4" t="s">
        <v>8</v>
      </c>
    </row>
    <row r="26949" spans="1:8">
      <c r="A26949" t="n">
        <v>261720</v>
      </c>
      <c r="B26949" s="38" t="n">
        <v>51</v>
      </c>
      <c r="C26949" s="7" t="n">
        <v>4</v>
      </c>
      <c r="D26949" s="7" t="n">
        <v>5</v>
      </c>
      <c r="E26949" s="7" t="s">
        <v>192</v>
      </c>
    </row>
    <row r="26950" spans="1:8">
      <c r="A26950" t="s">
        <v>4</v>
      </c>
      <c r="B26950" s="4" t="s">
        <v>5</v>
      </c>
      <c r="C26950" s="4" t="s">
        <v>11</v>
      </c>
    </row>
    <row r="26951" spans="1:8">
      <c r="A26951" t="n">
        <v>261733</v>
      </c>
      <c r="B26951" s="29" t="n">
        <v>16</v>
      </c>
      <c r="C26951" s="7" t="n">
        <v>0</v>
      </c>
    </row>
    <row r="26952" spans="1:8">
      <c r="A26952" t="s">
        <v>4</v>
      </c>
      <c r="B26952" s="4" t="s">
        <v>5</v>
      </c>
      <c r="C26952" s="4" t="s">
        <v>11</v>
      </c>
      <c r="D26952" s="4" t="s">
        <v>7</v>
      </c>
      <c r="E26952" s="4" t="s">
        <v>15</v>
      </c>
      <c r="F26952" s="4" t="s">
        <v>55</v>
      </c>
      <c r="G26952" s="4" t="s">
        <v>7</v>
      </c>
      <c r="H26952" s="4" t="s">
        <v>7</v>
      </c>
      <c r="I26952" s="4" t="s">
        <v>7</v>
      </c>
      <c r="J26952" s="4" t="s">
        <v>15</v>
      </c>
      <c r="K26952" s="4" t="s">
        <v>55</v>
      </c>
      <c r="L26952" s="4" t="s">
        <v>7</v>
      </c>
      <c r="M26952" s="4" t="s">
        <v>7</v>
      </c>
      <c r="N26952" s="4" t="s">
        <v>7</v>
      </c>
      <c r="O26952" s="4" t="s">
        <v>15</v>
      </c>
      <c r="P26952" s="4" t="s">
        <v>55</v>
      </c>
      <c r="Q26952" s="4" t="s">
        <v>7</v>
      </c>
      <c r="R26952" s="4" t="s">
        <v>7</v>
      </c>
    </row>
    <row r="26953" spans="1:8">
      <c r="A26953" t="n">
        <v>261736</v>
      </c>
      <c r="B26953" s="55" t="n">
        <v>26</v>
      </c>
      <c r="C26953" s="7" t="n">
        <v>5</v>
      </c>
      <c r="D26953" s="7" t="n">
        <v>17</v>
      </c>
      <c r="E26953" s="7" t="n">
        <v>64599</v>
      </c>
      <c r="F26953" s="7" t="s">
        <v>1585</v>
      </c>
      <c r="G26953" s="7" t="n">
        <v>2</v>
      </c>
      <c r="H26953" s="7" t="n">
        <v>3</v>
      </c>
      <c r="I26953" s="7" t="n">
        <v>17</v>
      </c>
      <c r="J26953" s="7" t="n">
        <v>64600</v>
      </c>
      <c r="K26953" s="7" t="s">
        <v>1586</v>
      </c>
      <c r="L26953" s="7" t="n">
        <v>2</v>
      </c>
      <c r="M26953" s="7" t="n">
        <v>3</v>
      </c>
      <c r="N26953" s="7" t="n">
        <v>17</v>
      </c>
      <c r="O26953" s="7" t="n">
        <v>64601</v>
      </c>
      <c r="P26953" s="7" t="s">
        <v>1587</v>
      </c>
      <c r="Q26953" s="7" t="n">
        <v>2</v>
      </c>
      <c r="R26953" s="7" t="n">
        <v>0</v>
      </c>
    </row>
    <row r="26954" spans="1:8">
      <c r="A26954" t="s">
        <v>4</v>
      </c>
      <c r="B26954" s="4" t="s">
        <v>5</v>
      </c>
    </row>
    <row r="26955" spans="1:8">
      <c r="A26955" t="n">
        <v>261999</v>
      </c>
      <c r="B26955" s="27" t="n">
        <v>28</v>
      </c>
    </row>
    <row r="26956" spans="1:8">
      <c r="A26956" t="s">
        <v>4</v>
      </c>
      <c r="B26956" s="4" t="s">
        <v>5</v>
      </c>
      <c r="C26956" s="4" t="s">
        <v>7</v>
      </c>
      <c r="D26956" s="4" t="s">
        <v>11</v>
      </c>
      <c r="E26956" s="4" t="s">
        <v>8</v>
      </c>
    </row>
    <row r="26957" spans="1:8">
      <c r="A26957" t="n">
        <v>262000</v>
      </c>
      <c r="B26957" s="38" t="n">
        <v>51</v>
      </c>
      <c r="C26957" s="7" t="n">
        <v>4</v>
      </c>
      <c r="D26957" s="7" t="n">
        <v>0</v>
      </c>
      <c r="E26957" s="7" t="s">
        <v>304</v>
      </c>
    </row>
    <row r="26958" spans="1:8">
      <c r="A26958" t="s">
        <v>4</v>
      </c>
      <c r="B26958" s="4" t="s">
        <v>5</v>
      </c>
      <c r="C26958" s="4" t="s">
        <v>11</v>
      </c>
    </row>
    <row r="26959" spans="1:8">
      <c r="A26959" t="n">
        <v>262013</v>
      </c>
      <c r="B26959" s="29" t="n">
        <v>16</v>
      </c>
      <c r="C26959" s="7" t="n">
        <v>0</v>
      </c>
    </row>
    <row r="26960" spans="1:8">
      <c r="A26960" t="s">
        <v>4</v>
      </c>
      <c r="B26960" s="4" t="s">
        <v>5</v>
      </c>
      <c r="C26960" s="4" t="s">
        <v>11</v>
      </c>
      <c r="D26960" s="4" t="s">
        <v>7</v>
      </c>
      <c r="E26960" s="4" t="s">
        <v>15</v>
      </c>
      <c r="F26960" s="4" t="s">
        <v>55</v>
      </c>
      <c r="G26960" s="4" t="s">
        <v>7</v>
      </c>
      <c r="H26960" s="4" t="s">
        <v>7</v>
      </c>
      <c r="I26960" s="4" t="s">
        <v>7</v>
      </c>
      <c r="J26960" s="4" t="s">
        <v>15</v>
      </c>
      <c r="K26960" s="4" t="s">
        <v>55</v>
      </c>
      <c r="L26960" s="4" t="s">
        <v>7</v>
      </c>
      <c r="M26960" s="4" t="s">
        <v>7</v>
      </c>
      <c r="N26960" s="4" t="s">
        <v>7</v>
      </c>
      <c r="O26960" s="4" t="s">
        <v>15</v>
      </c>
      <c r="P26960" s="4" t="s">
        <v>55</v>
      </c>
      <c r="Q26960" s="4" t="s">
        <v>7</v>
      </c>
      <c r="R26960" s="4" t="s">
        <v>7</v>
      </c>
    </row>
    <row r="26961" spans="1:18">
      <c r="A26961" t="n">
        <v>262016</v>
      </c>
      <c r="B26961" s="55" t="n">
        <v>26</v>
      </c>
      <c r="C26961" s="7" t="n">
        <v>0</v>
      </c>
      <c r="D26961" s="7" t="n">
        <v>17</v>
      </c>
      <c r="E26961" s="7" t="n">
        <v>64602</v>
      </c>
      <c r="F26961" s="7" t="s">
        <v>1588</v>
      </c>
      <c r="G26961" s="7" t="n">
        <v>2</v>
      </c>
      <c r="H26961" s="7" t="n">
        <v>3</v>
      </c>
      <c r="I26961" s="7" t="n">
        <v>17</v>
      </c>
      <c r="J26961" s="7" t="n">
        <v>64603</v>
      </c>
      <c r="K26961" s="7" t="s">
        <v>1589</v>
      </c>
      <c r="L26961" s="7" t="n">
        <v>2</v>
      </c>
      <c r="M26961" s="7" t="n">
        <v>3</v>
      </c>
      <c r="N26961" s="7" t="n">
        <v>17</v>
      </c>
      <c r="O26961" s="7" t="n">
        <v>64604</v>
      </c>
      <c r="P26961" s="7" t="s">
        <v>1590</v>
      </c>
      <c r="Q26961" s="7" t="n">
        <v>2</v>
      </c>
      <c r="R26961" s="7" t="n">
        <v>0</v>
      </c>
    </row>
    <row r="26962" spans="1:18">
      <c r="A26962" t="s">
        <v>4</v>
      </c>
      <c r="B26962" s="4" t="s">
        <v>5</v>
      </c>
    </row>
    <row r="26963" spans="1:18">
      <c r="A26963" t="n">
        <v>262231</v>
      </c>
      <c r="B26963" s="27" t="n">
        <v>28</v>
      </c>
    </row>
    <row r="26964" spans="1:18">
      <c r="A26964" t="s">
        <v>4</v>
      </c>
      <c r="B26964" s="4" t="s">
        <v>5</v>
      </c>
      <c r="C26964" s="4" t="s">
        <v>7</v>
      </c>
      <c r="D26964" s="4" t="s">
        <v>11</v>
      </c>
      <c r="E26964" s="4" t="s">
        <v>11</v>
      </c>
      <c r="F26964" s="4" t="s">
        <v>7</v>
      </c>
    </row>
    <row r="26965" spans="1:18">
      <c r="A26965" t="n">
        <v>262232</v>
      </c>
      <c r="B26965" s="31" t="n">
        <v>25</v>
      </c>
      <c r="C26965" s="7" t="n">
        <v>1</v>
      </c>
      <c r="D26965" s="7" t="n">
        <v>65535</v>
      </c>
      <c r="E26965" s="7" t="n">
        <v>65535</v>
      </c>
      <c r="F26965" s="7" t="n">
        <v>0</v>
      </c>
    </row>
    <row r="26966" spans="1:18">
      <c r="A26966" t="s">
        <v>4</v>
      </c>
      <c r="B26966" s="4" t="s">
        <v>5</v>
      </c>
      <c r="C26966" s="4" t="s">
        <v>7</v>
      </c>
      <c r="D26966" s="4" t="s">
        <v>11</v>
      </c>
      <c r="E26966" s="4" t="s">
        <v>8</v>
      </c>
    </row>
    <row r="26967" spans="1:18">
      <c r="A26967" t="n">
        <v>262239</v>
      </c>
      <c r="B26967" s="38" t="n">
        <v>51</v>
      </c>
      <c r="C26967" s="7" t="n">
        <v>4</v>
      </c>
      <c r="D26967" s="7" t="n">
        <v>5</v>
      </c>
      <c r="E26967" s="7" t="s">
        <v>192</v>
      </c>
    </row>
    <row r="26968" spans="1:18">
      <c r="A26968" t="s">
        <v>4</v>
      </c>
      <c r="B26968" s="4" t="s">
        <v>5</v>
      </c>
      <c r="C26968" s="4" t="s">
        <v>11</v>
      </c>
    </row>
    <row r="26969" spans="1:18">
      <c r="A26969" t="n">
        <v>262252</v>
      </c>
      <c r="B26969" s="29" t="n">
        <v>16</v>
      </c>
      <c r="C26969" s="7" t="n">
        <v>0</v>
      </c>
    </row>
    <row r="26970" spans="1:18">
      <c r="A26970" t="s">
        <v>4</v>
      </c>
      <c r="B26970" s="4" t="s">
        <v>5</v>
      </c>
      <c r="C26970" s="4" t="s">
        <v>11</v>
      </c>
      <c r="D26970" s="4" t="s">
        <v>7</v>
      </c>
      <c r="E26970" s="4" t="s">
        <v>15</v>
      </c>
      <c r="F26970" s="4" t="s">
        <v>55</v>
      </c>
      <c r="G26970" s="4" t="s">
        <v>7</v>
      </c>
      <c r="H26970" s="4" t="s">
        <v>7</v>
      </c>
    </row>
    <row r="26971" spans="1:18">
      <c r="A26971" t="n">
        <v>262255</v>
      </c>
      <c r="B26971" s="55" t="n">
        <v>26</v>
      </c>
      <c r="C26971" s="7" t="n">
        <v>5</v>
      </c>
      <c r="D26971" s="7" t="n">
        <v>17</v>
      </c>
      <c r="E26971" s="7" t="n">
        <v>64605</v>
      </c>
      <c r="F26971" s="7" t="s">
        <v>1591</v>
      </c>
      <c r="G26971" s="7" t="n">
        <v>2</v>
      </c>
      <c r="H26971" s="7" t="n">
        <v>0</v>
      </c>
    </row>
    <row r="26972" spans="1:18">
      <c r="A26972" t="s">
        <v>4</v>
      </c>
      <c r="B26972" s="4" t="s">
        <v>5</v>
      </c>
    </row>
    <row r="26973" spans="1:18">
      <c r="A26973" t="n">
        <v>262385</v>
      </c>
      <c r="B26973" s="27" t="n">
        <v>28</v>
      </c>
    </row>
    <row r="26974" spans="1:18">
      <c r="A26974" t="s">
        <v>4</v>
      </c>
      <c r="B26974" s="4" t="s">
        <v>5</v>
      </c>
      <c r="C26974" s="4" t="s">
        <v>11</v>
      </c>
      <c r="D26974" s="4" t="s">
        <v>7</v>
      </c>
    </row>
    <row r="26975" spans="1:18">
      <c r="A26975" t="n">
        <v>262386</v>
      </c>
      <c r="B26975" s="68" t="n">
        <v>89</v>
      </c>
      <c r="C26975" s="7" t="n">
        <v>65533</v>
      </c>
      <c r="D26975" s="7" t="n">
        <v>1</v>
      </c>
    </row>
    <row r="26976" spans="1:18">
      <c r="A26976" t="s">
        <v>4</v>
      </c>
      <c r="B26976" s="4" t="s">
        <v>5</v>
      </c>
      <c r="C26976" s="4" t="s">
        <v>11</v>
      </c>
      <c r="D26976" s="4" t="s">
        <v>13</v>
      </c>
      <c r="E26976" s="4" t="s">
        <v>13</v>
      </c>
      <c r="F26976" s="4" t="s">
        <v>13</v>
      </c>
      <c r="G26976" s="4" t="s">
        <v>11</v>
      </c>
      <c r="H26976" s="4" t="s">
        <v>11</v>
      </c>
    </row>
    <row r="26977" spans="1:18">
      <c r="A26977" t="n">
        <v>262390</v>
      </c>
      <c r="B26977" s="37" t="n">
        <v>60</v>
      </c>
      <c r="C26977" s="7" t="n">
        <v>5</v>
      </c>
      <c r="D26977" s="7" t="n">
        <v>0</v>
      </c>
      <c r="E26977" s="7" t="n">
        <v>-10</v>
      </c>
      <c r="F26977" s="7" t="n">
        <v>0</v>
      </c>
      <c r="G26977" s="7" t="n">
        <v>1000</v>
      </c>
      <c r="H26977" s="7" t="n">
        <v>0</v>
      </c>
    </row>
    <row r="26978" spans="1:18">
      <c r="A26978" t="s">
        <v>4</v>
      </c>
      <c r="B26978" s="4" t="s">
        <v>5</v>
      </c>
      <c r="C26978" s="4" t="s">
        <v>7</v>
      </c>
      <c r="D26978" s="4" t="s">
        <v>11</v>
      </c>
      <c r="E26978" s="4" t="s">
        <v>8</v>
      </c>
    </row>
    <row r="26979" spans="1:18">
      <c r="A26979" t="n">
        <v>262409</v>
      </c>
      <c r="B26979" s="38" t="n">
        <v>51</v>
      </c>
      <c r="C26979" s="7" t="n">
        <v>4</v>
      </c>
      <c r="D26979" s="7" t="n">
        <v>5</v>
      </c>
      <c r="E26979" s="7" t="s">
        <v>1376</v>
      </c>
    </row>
    <row r="26980" spans="1:18">
      <c r="A26980" t="s">
        <v>4</v>
      </c>
      <c r="B26980" s="4" t="s">
        <v>5</v>
      </c>
      <c r="C26980" s="4" t="s">
        <v>11</v>
      </c>
    </row>
    <row r="26981" spans="1:18">
      <c r="A26981" t="n">
        <v>262424</v>
      </c>
      <c r="B26981" s="29" t="n">
        <v>16</v>
      </c>
      <c r="C26981" s="7" t="n">
        <v>0</v>
      </c>
    </row>
    <row r="26982" spans="1:18">
      <c r="A26982" t="s">
        <v>4</v>
      </c>
      <c r="B26982" s="4" t="s">
        <v>5</v>
      </c>
      <c r="C26982" s="4" t="s">
        <v>11</v>
      </c>
      <c r="D26982" s="4" t="s">
        <v>7</v>
      </c>
      <c r="E26982" s="4" t="s">
        <v>15</v>
      </c>
      <c r="F26982" s="4" t="s">
        <v>55</v>
      </c>
      <c r="G26982" s="4" t="s">
        <v>7</v>
      </c>
      <c r="H26982" s="4" t="s">
        <v>7</v>
      </c>
    </row>
    <row r="26983" spans="1:18">
      <c r="A26983" t="n">
        <v>262427</v>
      </c>
      <c r="B26983" s="55" t="n">
        <v>26</v>
      </c>
      <c r="C26983" s="7" t="n">
        <v>5</v>
      </c>
      <c r="D26983" s="7" t="n">
        <v>17</v>
      </c>
      <c r="E26983" s="7" t="n">
        <v>64606</v>
      </c>
      <c r="F26983" s="7" t="s">
        <v>464</v>
      </c>
      <c r="G26983" s="7" t="n">
        <v>2</v>
      </c>
      <c r="H26983" s="7" t="n">
        <v>0</v>
      </c>
    </row>
    <row r="26984" spans="1:18">
      <c r="A26984" t="s">
        <v>4</v>
      </c>
      <c r="B26984" s="4" t="s">
        <v>5</v>
      </c>
    </row>
    <row r="26985" spans="1:18">
      <c r="A26985" t="n">
        <v>262440</v>
      </c>
      <c r="B26985" s="27" t="n">
        <v>28</v>
      </c>
    </row>
    <row r="26986" spans="1:18">
      <c r="A26986" t="s">
        <v>4</v>
      </c>
      <c r="B26986" s="4" t="s">
        <v>5</v>
      </c>
      <c r="C26986" s="4" t="s">
        <v>11</v>
      </c>
      <c r="D26986" s="4" t="s">
        <v>7</v>
      </c>
    </row>
    <row r="26987" spans="1:18">
      <c r="A26987" t="n">
        <v>262441</v>
      </c>
      <c r="B26987" s="68" t="n">
        <v>89</v>
      </c>
      <c r="C26987" s="7" t="n">
        <v>65533</v>
      </c>
      <c r="D26987" s="7" t="n">
        <v>1</v>
      </c>
    </row>
    <row r="26988" spans="1:18">
      <c r="A26988" t="s">
        <v>4</v>
      </c>
      <c r="B26988" s="4" t="s">
        <v>5</v>
      </c>
      <c r="C26988" s="4" t="s">
        <v>11</v>
      </c>
    </row>
    <row r="26989" spans="1:18">
      <c r="A26989" t="n">
        <v>262445</v>
      </c>
      <c r="B26989" s="29" t="n">
        <v>16</v>
      </c>
      <c r="C26989" s="7" t="n">
        <v>300</v>
      </c>
    </row>
    <row r="26990" spans="1:18">
      <c r="A26990" t="s">
        <v>4</v>
      </c>
      <c r="B26990" s="4" t="s">
        <v>5</v>
      </c>
      <c r="C26990" s="4" t="s">
        <v>7</v>
      </c>
      <c r="D26990" s="4" t="s">
        <v>11</v>
      </c>
      <c r="E26990" s="4" t="s">
        <v>13</v>
      </c>
    </row>
    <row r="26991" spans="1:18">
      <c r="A26991" t="n">
        <v>262448</v>
      </c>
      <c r="B26991" s="23" t="n">
        <v>58</v>
      </c>
      <c r="C26991" s="7" t="n">
        <v>101</v>
      </c>
      <c r="D26991" s="7" t="n">
        <v>800</v>
      </c>
      <c r="E26991" s="7" t="n">
        <v>1</v>
      </c>
    </row>
    <row r="26992" spans="1:18">
      <c r="A26992" t="s">
        <v>4</v>
      </c>
      <c r="B26992" s="4" t="s">
        <v>5</v>
      </c>
      <c r="C26992" s="4" t="s">
        <v>7</v>
      </c>
      <c r="D26992" s="4" t="s">
        <v>11</v>
      </c>
    </row>
    <row r="26993" spans="1:8">
      <c r="A26993" t="n">
        <v>262456</v>
      </c>
      <c r="B26993" s="23" t="n">
        <v>58</v>
      </c>
      <c r="C26993" s="7" t="n">
        <v>254</v>
      </c>
      <c r="D26993" s="7" t="n">
        <v>0</v>
      </c>
    </row>
    <row r="26994" spans="1:8">
      <c r="A26994" t="s">
        <v>4</v>
      </c>
      <c r="B26994" s="4" t="s">
        <v>5</v>
      </c>
      <c r="C26994" s="4" t="s">
        <v>7</v>
      </c>
      <c r="D26994" s="4" t="s">
        <v>7</v>
      </c>
      <c r="E26994" s="4" t="s">
        <v>13</v>
      </c>
      <c r="F26994" s="4" t="s">
        <v>13</v>
      </c>
      <c r="G26994" s="4" t="s">
        <v>13</v>
      </c>
      <c r="H26994" s="4" t="s">
        <v>11</v>
      </c>
    </row>
    <row r="26995" spans="1:8">
      <c r="A26995" t="n">
        <v>262460</v>
      </c>
      <c r="B26995" s="51" t="n">
        <v>45</v>
      </c>
      <c r="C26995" s="7" t="n">
        <v>2</v>
      </c>
      <c r="D26995" s="7" t="n">
        <v>3</v>
      </c>
      <c r="E26995" s="7" t="n">
        <v>-19.6399993896484</v>
      </c>
      <c r="F26995" s="7" t="n">
        <v>11.289999961853</v>
      </c>
      <c r="G26995" s="7" t="n">
        <v>58.3300018310547</v>
      </c>
      <c r="H26995" s="7" t="n">
        <v>0</v>
      </c>
    </row>
    <row r="26996" spans="1:8">
      <c r="A26996" t="s">
        <v>4</v>
      </c>
      <c r="B26996" s="4" t="s">
        <v>5</v>
      </c>
      <c r="C26996" s="4" t="s">
        <v>7</v>
      </c>
      <c r="D26996" s="4" t="s">
        <v>7</v>
      </c>
      <c r="E26996" s="4" t="s">
        <v>13</v>
      </c>
      <c r="F26996" s="4" t="s">
        <v>13</v>
      </c>
      <c r="G26996" s="4" t="s">
        <v>13</v>
      </c>
      <c r="H26996" s="4" t="s">
        <v>11</v>
      </c>
      <c r="I26996" s="4" t="s">
        <v>7</v>
      </c>
    </row>
    <row r="26997" spans="1:8">
      <c r="A26997" t="n">
        <v>262477</v>
      </c>
      <c r="B26997" s="51" t="n">
        <v>45</v>
      </c>
      <c r="C26997" s="7" t="n">
        <v>4</v>
      </c>
      <c r="D26997" s="7" t="n">
        <v>3</v>
      </c>
      <c r="E26997" s="7" t="n">
        <v>19.75</v>
      </c>
      <c r="F26997" s="7" t="n">
        <v>70.5999984741211</v>
      </c>
      <c r="G26997" s="7" t="n">
        <v>8</v>
      </c>
      <c r="H26997" s="7" t="n">
        <v>0</v>
      </c>
      <c r="I26997" s="7" t="n">
        <v>0</v>
      </c>
    </row>
    <row r="26998" spans="1:8">
      <c r="A26998" t="s">
        <v>4</v>
      </c>
      <c r="B26998" s="4" t="s">
        <v>5</v>
      </c>
      <c r="C26998" s="4" t="s">
        <v>7</v>
      </c>
      <c r="D26998" s="4" t="s">
        <v>7</v>
      </c>
      <c r="E26998" s="4" t="s">
        <v>13</v>
      </c>
      <c r="F26998" s="4" t="s">
        <v>11</v>
      </c>
    </row>
    <row r="26999" spans="1:8">
      <c r="A26999" t="n">
        <v>262495</v>
      </c>
      <c r="B26999" s="51" t="n">
        <v>45</v>
      </c>
      <c r="C26999" s="7" t="n">
        <v>5</v>
      </c>
      <c r="D26999" s="7" t="n">
        <v>3</v>
      </c>
      <c r="E26999" s="7" t="n">
        <v>1.25</v>
      </c>
      <c r="F26999" s="7" t="n">
        <v>0</v>
      </c>
    </row>
    <row r="27000" spans="1:8">
      <c r="A27000" t="s">
        <v>4</v>
      </c>
      <c r="B27000" s="4" t="s">
        <v>5</v>
      </c>
      <c r="C27000" s="4" t="s">
        <v>7</v>
      </c>
      <c r="D27000" s="4" t="s">
        <v>7</v>
      </c>
      <c r="E27000" s="4" t="s">
        <v>13</v>
      </c>
      <c r="F27000" s="4" t="s">
        <v>11</v>
      </c>
    </row>
    <row r="27001" spans="1:8">
      <c r="A27001" t="n">
        <v>262504</v>
      </c>
      <c r="B27001" s="51" t="n">
        <v>45</v>
      </c>
      <c r="C27001" s="7" t="n">
        <v>11</v>
      </c>
      <c r="D27001" s="7" t="n">
        <v>3</v>
      </c>
      <c r="E27001" s="7" t="n">
        <v>38</v>
      </c>
      <c r="F27001" s="7" t="n">
        <v>0</v>
      </c>
    </row>
    <row r="27002" spans="1:8">
      <c r="A27002" t="s">
        <v>4</v>
      </c>
      <c r="B27002" s="4" t="s">
        <v>5</v>
      </c>
      <c r="C27002" s="4" t="s">
        <v>7</v>
      </c>
      <c r="D27002" s="4" t="s">
        <v>7</v>
      </c>
      <c r="E27002" s="4" t="s">
        <v>13</v>
      </c>
      <c r="F27002" s="4" t="s">
        <v>11</v>
      </c>
    </row>
    <row r="27003" spans="1:8">
      <c r="A27003" t="n">
        <v>262513</v>
      </c>
      <c r="B27003" s="51" t="n">
        <v>45</v>
      </c>
      <c r="C27003" s="7" t="n">
        <v>5</v>
      </c>
      <c r="D27003" s="7" t="n">
        <v>3</v>
      </c>
      <c r="E27003" s="7" t="n">
        <v>1.14999997615814</v>
      </c>
      <c r="F27003" s="7" t="n">
        <v>3000</v>
      </c>
    </row>
    <row r="27004" spans="1:8">
      <c r="A27004" t="s">
        <v>4</v>
      </c>
      <c r="B27004" s="4" t="s">
        <v>5</v>
      </c>
      <c r="C27004" s="4" t="s">
        <v>7</v>
      </c>
      <c r="D27004" s="4" t="s">
        <v>11</v>
      </c>
      <c r="E27004" s="4" t="s">
        <v>8</v>
      </c>
      <c r="F27004" s="4" t="s">
        <v>8</v>
      </c>
      <c r="G27004" s="4" t="s">
        <v>8</v>
      </c>
      <c r="H27004" s="4" t="s">
        <v>8</v>
      </c>
    </row>
    <row r="27005" spans="1:8">
      <c r="A27005" t="n">
        <v>262522</v>
      </c>
      <c r="B27005" s="38" t="n">
        <v>51</v>
      </c>
      <c r="C27005" s="7" t="n">
        <v>3</v>
      </c>
      <c r="D27005" s="7" t="n">
        <v>5</v>
      </c>
      <c r="E27005" s="7" t="s">
        <v>99</v>
      </c>
      <c r="F27005" s="7" t="s">
        <v>218</v>
      </c>
      <c r="G27005" s="7" t="s">
        <v>78</v>
      </c>
      <c r="H27005" s="7" t="s">
        <v>79</v>
      </c>
    </row>
    <row r="27006" spans="1:8">
      <c r="A27006" t="s">
        <v>4</v>
      </c>
      <c r="B27006" s="4" t="s">
        <v>5</v>
      </c>
      <c r="C27006" s="4" t="s">
        <v>7</v>
      </c>
      <c r="D27006" s="4" t="s">
        <v>11</v>
      </c>
    </row>
    <row r="27007" spans="1:8">
      <c r="A27007" t="n">
        <v>262535</v>
      </c>
      <c r="B27007" s="23" t="n">
        <v>58</v>
      </c>
      <c r="C27007" s="7" t="n">
        <v>255</v>
      </c>
      <c r="D27007" s="7" t="n">
        <v>0</v>
      </c>
    </row>
    <row r="27008" spans="1:8">
      <c r="A27008" t="s">
        <v>4</v>
      </c>
      <c r="B27008" s="4" t="s">
        <v>5</v>
      </c>
      <c r="C27008" s="4" t="s">
        <v>11</v>
      </c>
      <c r="D27008" s="4" t="s">
        <v>7</v>
      </c>
      <c r="E27008" s="4" t="s">
        <v>13</v>
      </c>
      <c r="F27008" s="4" t="s">
        <v>11</v>
      </c>
    </row>
    <row r="27009" spans="1:9">
      <c r="A27009" t="n">
        <v>262539</v>
      </c>
      <c r="B27009" s="56" t="n">
        <v>59</v>
      </c>
      <c r="C27009" s="7" t="n">
        <v>5</v>
      </c>
      <c r="D27009" s="7" t="n">
        <v>9</v>
      </c>
      <c r="E27009" s="7" t="n">
        <v>0.150000005960464</v>
      </c>
      <c r="F27009" s="7" t="n">
        <v>0</v>
      </c>
    </row>
    <row r="27010" spans="1:9">
      <c r="A27010" t="s">
        <v>4</v>
      </c>
      <c r="B27010" s="4" t="s">
        <v>5</v>
      </c>
      <c r="C27010" s="4" t="s">
        <v>11</v>
      </c>
    </row>
    <row r="27011" spans="1:9">
      <c r="A27011" t="n">
        <v>262549</v>
      </c>
      <c r="B27011" s="29" t="n">
        <v>16</v>
      </c>
      <c r="C27011" s="7" t="n">
        <v>1500</v>
      </c>
    </row>
    <row r="27012" spans="1:9">
      <c r="A27012" t="s">
        <v>4</v>
      </c>
      <c r="B27012" s="4" t="s">
        <v>5</v>
      </c>
      <c r="C27012" s="4" t="s">
        <v>11</v>
      </c>
      <c r="D27012" s="4" t="s">
        <v>13</v>
      </c>
      <c r="E27012" s="4" t="s">
        <v>13</v>
      </c>
      <c r="F27012" s="4" t="s">
        <v>13</v>
      </c>
      <c r="G27012" s="4" t="s">
        <v>11</v>
      </c>
      <c r="H27012" s="4" t="s">
        <v>11</v>
      </c>
    </row>
    <row r="27013" spans="1:9">
      <c r="A27013" t="n">
        <v>262552</v>
      </c>
      <c r="B27013" s="37" t="n">
        <v>60</v>
      </c>
      <c r="C27013" s="7" t="n">
        <v>5</v>
      </c>
      <c r="D27013" s="7" t="n">
        <v>0</v>
      </c>
      <c r="E27013" s="7" t="n">
        <v>0</v>
      </c>
      <c r="F27013" s="7" t="n">
        <v>0</v>
      </c>
      <c r="G27013" s="7" t="n">
        <v>800</v>
      </c>
      <c r="H27013" s="7" t="n">
        <v>0</v>
      </c>
    </row>
    <row r="27014" spans="1:9">
      <c r="A27014" t="s">
        <v>4</v>
      </c>
      <c r="B27014" s="4" t="s">
        <v>5</v>
      </c>
      <c r="C27014" s="4" t="s">
        <v>7</v>
      </c>
      <c r="D27014" s="4" t="s">
        <v>11</v>
      </c>
      <c r="E27014" s="4" t="s">
        <v>8</v>
      </c>
    </row>
    <row r="27015" spans="1:9">
      <c r="A27015" t="n">
        <v>262571</v>
      </c>
      <c r="B27015" s="38" t="n">
        <v>51</v>
      </c>
      <c r="C27015" s="7" t="n">
        <v>4</v>
      </c>
      <c r="D27015" s="7" t="n">
        <v>5</v>
      </c>
      <c r="E27015" s="7" t="s">
        <v>219</v>
      </c>
    </row>
    <row r="27016" spans="1:9">
      <c r="A27016" t="s">
        <v>4</v>
      </c>
      <c r="B27016" s="4" t="s">
        <v>5</v>
      </c>
      <c r="C27016" s="4" t="s">
        <v>11</v>
      </c>
    </row>
    <row r="27017" spans="1:9">
      <c r="A27017" t="n">
        <v>262584</v>
      </c>
      <c r="B27017" s="29" t="n">
        <v>16</v>
      </c>
      <c r="C27017" s="7" t="n">
        <v>300</v>
      </c>
    </row>
    <row r="27018" spans="1:9">
      <c r="A27018" t="s">
        <v>4</v>
      </c>
      <c r="B27018" s="4" t="s">
        <v>5</v>
      </c>
      <c r="C27018" s="4" t="s">
        <v>11</v>
      </c>
      <c r="D27018" s="4" t="s">
        <v>7</v>
      </c>
      <c r="E27018" s="4" t="s">
        <v>15</v>
      </c>
      <c r="F27018" s="4" t="s">
        <v>55</v>
      </c>
      <c r="G27018" s="4" t="s">
        <v>7</v>
      </c>
      <c r="H27018" s="4" t="s">
        <v>7</v>
      </c>
      <c r="I27018" s="4" t="s">
        <v>7</v>
      </c>
      <c r="J27018" s="4" t="s">
        <v>15</v>
      </c>
      <c r="K27018" s="4" t="s">
        <v>55</v>
      </c>
      <c r="L27018" s="4" t="s">
        <v>7</v>
      </c>
      <c r="M27018" s="4" t="s">
        <v>7</v>
      </c>
      <c r="N27018" s="4" t="s">
        <v>7</v>
      </c>
      <c r="O27018" s="4" t="s">
        <v>15</v>
      </c>
      <c r="P27018" s="4" t="s">
        <v>55</v>
      </c>
      <c r="Q27018" s="4" t="s">
        <v>7</v>
      </c>
      <c r="R27018" s="4" t="s">
        <v>7</v>
      </c>
      <c r="S27018" s="4" t="s">
        <v>7</v>
      </c>
      <c r="T27018" s="4" t="s">
        <v>15</v>
      </c>
      <c r="U27018" s="4" t="s">
        <v>55</v>
      </c>
      <c r="V27018" s="4" t="s">
        <v>7</v>
      </c>
      <c r="W27018" s="4" t="s">
        <v>7</v>
      </c>
    </row>
    <row r="27019" spans="1:9">
      <c r="A27019" t="n">
        <v>262587</v>
      </c>
      <c r="B27019" s="55" t="n">
        <v>26</v>
      </c>
      <c r="C27019" s="7" t="n">
        <v>5</v>
      </c>
      <c r="D27019" s="7" t="n">
        <v>17</v>
      </c>
      <c r="E27019" s="7" t="n">
        <v>64620</v>
      </c>
      <c r="F27019" s="7" t="s">
        <v>1605</v>
      </c>
      <c r="G27019" s="7" t="n">
        <v>2</v>
      </c>
      <c r="H27019" s="7" t="n">
        <v>3</v>
      </c>
      <c r="I27019" s="7" t="n">
        <v>17</v>
      </c>
      <c r="J27019" s="7" t="n">
        <v>64621</v>
      </c>
      <c r="K27019" s="7" t="s">
        <v>1606</v>
      </c>
      <c r="L27019" s="7" t="n">
        <v>2</v>
      </c>
      <c r="M27019" s="7" t="n">
        <v>3</v>
      </c>
      <c r="N27019" s="7" t="n">
        <v>17</v>
      </c>
      <c r="O27019" s="7" t="n">
        <v>64622</v>
      </c>
      <c r="P27019" s="7" t="s">
        <v>1607</v>
      </c>
      <c r="Q27019" s="7" t="n">
        <v>2</v>
      </c>
      <c r="R27019" s="7" t="n">
        <v>3</v>
      </c>
      <c r="S27019" s="7" t="n">
        <v>17</v>
      </c>
      <c r="T27019" s="7" t="n">
        <v>64623</v>
      </c>
      <c r="U27019" s="7" t="s">
        <v>1608</v>
      </c>
      <c r="V27019" s="7" t="n">
        <v>2</v>
      </c>
      <c r="W27019" s="7" t="n">
        <v>0</v>
      </c>
    </row>
    <row r="27020" spans="1:9">
      <c r="A27020" t="s">
        <v>4</v>
      </c>
      <c r="B27020" s="4" t="s">
        <v>5</v>
      </c>
    </row>
    <row r="27021" spans="1:9">
      <c r="A27021" t="n">
        <v>262924</v>
      </c>
      <c r="B27021" s="27" t="n">
        <v>28</v>
      </c>
    </row>
    <row r="27022" spans="1:9">
      <c r="A27022" t="s">
        <v>4</v>
      </c>
      <c r="B27022" s="4" t="s">
        <v>5</v>
      </c>
      <c r="C27022" s="4" t="s">
        <v>11</v>
      </c>
      <c r="D27022" s="4" t="s">
        <v>7</v>
      </c>
      <c r="E27022" s="4" t="s">
        <v>7</v>
      </c>
      <c r="F27022" s="4" t="s">
        <v>8</v>
      </c>
    </row>
    <row r="27023" spans="1:9">
      <c r="A27023" t="n">
        <v>262925</v>
      </c>
      <c r="B27023" s="50" t="n">
        <v>20</v>
      </c>
      <c r="C27023" s="7" t="n">
        <v>0</v>
      </c>
      <c r="D27023" s="7" t="n">
        <v>2</v>
      </c>
      <c r="E27023" s="7" t="n">
        <v>10</v>
      </c>
      <c r="F27023" s="7" t="s">
        <v>260</v>
      </c>
    </row>
    <row r="27024" spans="1:9">
      <c r="A27024" t="s">
        <v>4</v>
      </c>
      <c r="B27024" s="4" t="s">
        <v>5</v>
      </c>
      <c r="C27024" s="4" t="s">
        <v>7</v>
      </c>
      <c r="D27024" s="4" t="s">
        <v>11</v>
      </c>
      <c r="E27024" s="4" t="s">
        <v>8</v>
      </c>
    </row>
    <row r="27025" spans="1:23">
      <c r="A27025" t="n">
        <v>262945</v>
      </c>
      <c r="B27025" s="38" t="n">
        <v>51</v>
      </c>
      <c r="C27025" s="7" t="n">
        <v>4</v>
      </c>
      <c r="D27025" s="7" t="n">
        <v>0</v>
      </c>
      <c r="E27025" s="7" t="s">
        <v>242</v>
      </c>
    </row>
    <row r="27026" spans="1:23">
      <c r="A27026" t="s">
        <v>4</v>
      </c>
      <c r="B27026" s="4" t="s">
        <v>5</v>
      </c>
      <c r="C27026" s="4" t="s">
        <v>11</v>
      </c>
    </row>
    <row r="27027" spans="1:23">
      <c r="A27027" t="n">
        <v>262959</v>
      </c>
      <c r="B27027" s="29" t="n">
        <v>16</v>
      </c>
      <c r="C27027" s="7" t="n">
        <v>0</v>
      </c>
    </row>
    <row r="27028" spans="1:23">
      <c r="A27028" t="s">
        <v>4</v>
      </c>
      <c r="B27028" s="4" t="s">
        <v>5</v>
      </c>
      <c r="C27028" s="4" t="s">
        <v>11</v>
      </c>
      <c r="D27028" s="4" t="s">
        <v>7</v>
      </c>
      <c r="E27028" s="4" t="s">
        <v>15</v>
      </c>
      <c r="F27028" s="4" t="s">
        <v>55</v>
      </c>
      <c r="G27028" s="4" t="s">
        <v>7</v>
      </c>
      <c r="H27028" s="4" t="s">
        <v>7</v>
      </c>
      <c r="I27028" s="4" t="s">
        <v>7</v>
      </c>
      <c r="J27028" s="4" t="s">
        <v>15</v>
      </c>
      <c r="K27028" s="4" t="s">
        <v>55</v>
      </c>
      <c r="L27028" s="4" t="s">
        <v>7</v>
      </c>
      <c r="M27028" s="4" t="s">
        <v>7</v>
      </c>
    </row>
    <row r="27029" spans="1:23">
      <c r="A27029" t="n">
        <v>262962</v>
      </c>
      <c r="B27029" s="55" t="n">
        <v>26</v>
      </c>
      <c r="C27029" s="7" t="n">
        <v>0</v>
      </c>
      <c r="D27029" s="7" t="n">
        <v>17</v>
      </c>
      <c r="E27029" s="7" t="n">
        <v>64624</v>
      </c>
      <c r="F27029" s="7" t="s">
        <v>1609</v>
      </c>
      <c r="G27029" s="7" t="n">
        <v>2</v>
      </c>
      <c r="H27029" s="7" t="n">
        <v>3</v>
      </c>
      <c r="I27029" s="7" t="n">
        <v>17</v>
      </c>
      <c r="J27029" s="7" t="n">
        <v>64418</v>
      </c>
      <c r="K27029" s="7" t="s">
        <v>1375</v>
      </c>
      <c r="L27029" s="7" t="n">
        <v>2</v>
      </c>
      <c r="M27029" s="7" t="n">
        <v>0</v>
      </c>
    </row>
    <row r="27030" spans="1:23">
      <c r="A27030" t="s">
        <v>4</v>
      </c>
      <c r="B27030" s="4" t="s">
        <v>5</v>
      </c>
    </row>
    <row r="27031" spans="1:23">
      <c r="A27031" t="n">
        <v>263029</v>
      </c>
      <c r="B27031" s="27" t="n">
        <v>28</v>
      </c>
    </row>
    <row r="27032" spans="1:23">
      <c r="A27032" t="s">
        <v>4</v>
      </c>
      <c r="B27032" s="4" t="s">
        <v>5</v>
      </c>
      <c r="C27032" s="4" t="s">
        <v>7</v>
      </c>
      <c r="D27032" s="4" t="s">
        <v>11</v>
      </c>
      <c r="E27032" s="4" t="s">
        <v>11</v>
      </c>
      <c r="F27032" s="4" t="s">
        <v>7</v>
      </c>
    </row>
    <row r="27033" spans="1:23">
      <c r="A27033" t="n">
        <v>263030</v>
      </c>
      <c r="B27033" s="31" t="n">
        <v>25</v>
      </c>
      <c r="C27033" s="7" t="n">
        <v>1</v>
      </c>
      <c r="D27033" s="7" t="n">
        <v>65535</v>
      </c>
      <c r="E27033" s="7" t="n">
        <v>65535</v>
      </c>
      <c r="F27033" s="7" t="n">
        <v>0</v>
      </c>
    </row>
    <row r="27034" spans="1:23">
      <c r="A27034" t="s">
        <v>4</v>
      </c>
      <c r="B27034" s="4" t="s">
        <v>5</v>
      </c>
      <c r="C27034" s="4" t="s">
        <v>7</v>
      </c>
      <c r="D27034" s="4" t="s">
        <v>11</v>
      </c>
      <c r="E27034" s="4" t="s">
        <v>8</v>
      </c>
    </row>
    <row r="27035" spans="1:23">
      <c r="A27035" t="n">
        <v>263037</v>
      </c>
      <c r="B27035" s="38" t="n">
        <v>51</v>
      </c>
      <c r="C27035" s="7" t="n">
        <v>4</v>
      </c>
      <c r="D27035" s="7" t="n">
        <v>5</v>
      </c>
      <c r="E27035" s="7" t="s">
        <v>1376</v>
      </c>
    </row>
    <row r="27036" spans="1:23">
      <c r="A27036" t="s">
        <v>4</v>
      </c>
      <c r="B27036" s="4" t="s">
        <v>5</v>
      </c>
      <c r="C27036" s="4" t="s">
        <v>11</v>
      </c>
    </row>
    <row r="27037" spans="1:23">
      <c r="A27037" t="n">
        <v>263052</v>
      </c>
      <c r="B27037" s="29" t="n">
        <v>16</v>
      </c>
      <c r="C27037" s="7" t="n">
        <v>0</v>
      </c>
    </row>
    <row r="27038" spans="1:23">
      <c r="A27038" t="s">
        <v>4</v>
      </c>
      <c r="B27038" s="4" t="s">
        <v>5</v>
      </c>
      <c r="C27038" s="4" t="s">
        <v>11</v>
      </c>
      <c r="D27038" s="4" t="s">
        <v>7</v>
      </c>
      <c r="E27038" s="4" t="s">
        <v>15</v>
      </c>
      <c r="F27038" s="4" t="s">
        <v>55</v>
      </c>
      <c r="G27038" s="4" t="s">
        <v>7</v>
      </c>
      <c r="H27038" s="4" t="s">
        <v>7</v>
      </c>
    </row>
    <row r="27039" spans="1:23">
      <c r="A27039" t="n">
        <v>263055</v>
      </c>
      <c r="B27039" s="55" t="n">
        <v>26</v>
      </c>
      <c r="C27039" s="7" t="n">
        <v>5</v>
      </c>
      <c r="D27039" s="7" t="n">
        <v>17</v>
      </c>
      <c r="E27039" s="7" t="n">
        <v>65314</v>
      </c>
      <c r="F27039" s="7" t="s">
        <v>464</v>
      </c>
      <c r="G27039" s="7" t="n">
        <v>2</v>
      </c>
      <c r="H27039" s="7" t="n">
        <v>0</v>
      </c>
    </row>
    <row r="27040" spans="1:23">
      <c r="A27040" t="s">
        <v>4</v>
      </c>
      <c r="B27040" s="4" t="s">
        <v>5</v>
      </c>
    </row>
    <row r="27041" spans="1:13">
      <c r="A27041" t="n">
        <v>263068</v>
      </c>
      <c r="B27041" s="27" t="n">
        <v>28</v>
      </c>
    </row>
    <row r="27042" spans="1:13">
      <c r="A27042" t="s">
        <v>4</v>
      </c>
      <c r="B27042" s="4" t="s">
        <v>5</v>
      </c>
      <c r="C27042" s="4" t="s">
        <v>7</v>
      </c>
      <c r="D27042" s="4" t="s">
        <v>11</v>
      </c>
      <c r="E27042" s="4" t="s">
        <v>8</v>
      </c>
    </row>
    <row r="27043" spans="1:13">
      <c r="A27043" t="n">
        <v>263069</v>
      </c>
      <c r="B27043" s="38" t="n">
        <v>51</v>
      </c>
      <c r="C27043" s="7" t="n">
        <v>4</v>
      </c>
      <c r="D27043" s="7" t="n">
        <v>0</v>
      </c>
      <c r="E27043" s="7" t="s">
        <v>242</v>
      </c>
    </row>
    <row r="27044" spans="1:13">
      <c r="A27044" t="s">
        <v>4</v>
      </c>
      <c r="B27044" s="4" t="s">
        <v>5</v>
      </c>
      <c r="C27044" s="4" t="s">
        <v>11</v>
      </c>
    </row>
    <row r="27045" spans="1:13">
      <c r="A27045" t="n">
        <v>263083</v>
      </c>
      <c r="B27045" s="29" t="n">
        <v>16</v>
      </c>
      <c r="C27045" s="7" t="n">
        <v>0</v>
      </c>
    </row>
    <row r="27046" spans="1:13">
      <c r="A27046" t="s">
        <v>4</v>
      </c>
      <c r="B27046" s="4" t="s">
        <v>5</v>
      </c>
      <c r="C27046" s="4" t="s">
        <v>11</v>
      </c>
      <c r="D27046" s="4" t="s">
        <v>7</v>
      </c>
      <c r="E27046" s="4" t="s">
        <v>15</v>
      </c>
      <c r="F27046" s="4" t="s">
        <v>55</v>
      </c>
      <c r="G27046" s="4" t="s">
        <v>7</v>
      </c>
      <c r="H27046" s="4" t="s">
        <v>7</v>
      </c>
      <c r="I27046" s="4" t="s">
        <v>7</v>
      </c>
      <c r="J27046" s="4" t="s">
        <v>15</v>
      </c>
      <c r="K27046" s="4" t="s">
        <v>55</v>
      </c>
      <c r="L27046" s="4" t="s">
        <v>7</v>
      </c>
      <c r="M27046" s="4" t="s">
        <v>7</v>
      </c>
      <c r="N27046" s="4" t="s">
        <v>7</v>
      </c>
      <c r="O27046" s="4" t="s">
        <v>15</v>
      </c>
      <c r="P27046" s="4" t="s">
        <v>55</v>
      </c>
      <c r="Q27046" s="4" t="s">
        <v>7</v>
      </c>
      <c r="R27046" s="4" t="s">
        <v>7</v>
      </c>
    </row>
    <row r="27047" spans="1:13">
      <c r="A27047" t="n">
        <v>263086</v>
      </c>
      <c r="B27047" s="55" t="n">
        <v>26</v>
      </c>
      <c r="C27047" s="7" t="n">
        <v>0</v>
      </c>
      <c r="D27047" s="7" t="n">
        <v>17</v>
      </c>
      <c r="E27047" s="7" t="n">
        <v>64625</v>
      </c>
      <c r="F27047" s="7" t="s">
        <v>1610</v>
      </c>
      <c r="G27047" s="7" t="n">
        <v>2</v>
      </c>
      <c r="H27047" s="7" t="n">
        <v>3</v>
      </c>
      <c r="I27047" s="7" t="n">
        <v>17</v>
      </c>
      <c r="J27047" s="7" t="n">
        <v>64626</v>
      </c>
      <c r="K27047" s="7" t="s">
        <v>1611</v>
      </c>
      <c r="L27047" s="7" t="n">
        <v>2</v>
      </c>
      <c r="M27047" s="7" t="n">
        <v>3</v>
      </c>
      <c r="N27047" s="7" t="n">
        <v>17</v>
      </c>
      <c r="O27047" s="7" t="n">
        <v>64627</v>
      </c>
      <c r="P27047" s="7" t="s">
        <v>1612</v>
      </c>
      <c r="Q27047" s="7" t="n">
        <v>2</v>
      </c>
      <c r="R27047" s="7" t="n">
        <v>0</v>
      </c>
    </row>
    <row r="27048" spans="1:13">
      <c r="A27048" t="s">
        <v>4</v>
      </c>
      <c r="B27048" s="4" t="s">
        <v>5</v>
      </c>
    </row>
    <row r="27049" spans="1:13">
      <c r="A27049" t="n">
        <v>263439</v>
      </c>
      <c r="B27049" s="27" t="n">
        <v>28</v>
      </c>
    </row>
    <row r="27050" spans="1:13">
      <c r="A27050" t="s">
        <v>4</v>
      </c>
      <c r="B27050" s="4" t="s">
        <v>5</v>
      </c>
      <c r="C27050" s="4" t="s">
        <v>7</v>
      </c>
      <c r="D27050" s="4" t="s">
        <v>11</v>
      </c>
      <c r="E27050" s="4" t="s">
        <v>11</v>
      </c>
      <c r="F27050" s="4" t="s">
        <v>7</v>
      </c>
    </row>
    <row r="27051" spans="1:13">
      <c r="A27051" t="n">
        <v>263440</v>
      </c>
      <c r="B27051" s="31" t="n">
        <v>25</v>
      </c>
      <c r="C27051" s="7" t="n">
        <v>1</v>
      </c>
      <c r="D27051" s="7" t="n">
        <v>65535</v>
      </c>
      <c r="E27051" s="7" t="n">
        <v>65535</v>
      </c>
      <c r="F27051" s="7" t="n">
        <v>0</v>
      </c>
    </row>
    <row r="27052" spans="1:13">
      <c r="A27052" t="s">
        <v>4</v>
      </c>
      <c r="B27052" s="4" t="s">
        <v>5</v>
      </c>
      <c r="C27052" s="4" t="s">
        <v>11</v>
      </c>
      <c r="D27052" s="4" t="s">
        <v>13</v>
      </c>
      <c r="E27052" s="4" t="s">
        <v>13</v>
      </c>
      <c r="F27052" s="4" t="s">
        <v>13</v>
      </c>
      <c r="G27052" s="4" t="s">
        <v>11</v>
      </c>
      <c r="H27052" s="4" t="s">
        <v>11</v>
      </c>
    </row>
    <row r="27053" spans="1:13">
      <c r="A27053" t="n">
        <v>263447</v>
      </c>
      <c r="B27053" s="37" t="n">
        <v>60</v>
      </c>
      <c r="C27053" s="7" t="n">
        <v>5</v>
      </c>
      <c r="D27053" s="7" t="n">
        <v>0</v>
      </c>
      <c r="E27053" s="7" t="n">
        <v>-15</v>
      </c>
      <c r="F27053" s="7" t="n">
        <v>0</v>
      </c>
      <c r="G27053" s="7" t="n">
        <v>1000</v>
      </c>
      <c r="H27053" s="7" t="n">
        <v>0</v>
      </c>
    </row>
    <row r="27054" spans="1:13">
      <c r="A27054" t="s">
        <v>4</v>
      </c>
      <c r="B27054" s="4" t="s">
        <v>5</v>
      </c>
      <c r="C27054" s="4" t="s">
        <v>7</v>
      </c>
      <c r="D27054" s="4" t="s">
        <v>11</v>
      </c>
      <c r="E27054" s="4" t="s">
        <v>8</v>
      </c>
    </row>
    <row r="27055" spans="1:13">
      <c r="A27055" t="n">
        <v>263466</v>
      </c>
      <c r="B27055" s="38" t="n">
        <v>51</v>
      </c>
      <c r="C27055" s="7" t="n">
        <v>4</v>
      </c>
      <c r="D27055" s="7" t="n">
        <v>5</v>
      </c>
      <c r="E27055" s="7" t="s">
        <v>658</v>
      </c>
    </row>
    <row r="27056" spans="1:13">
      <c r="A27056" t="s">
        <v>4</v>
      </c>
      <c r="B27056" s="4" t="s">
        <v>5</v>
      </c>
      <c r="C27056" s="4" t="s">
        <v>11</v>
      </c>
    </row>
    <row r="27057" spans="1:18">
      <c r="A27057" t="n">
        <v>263480</v>
      </c>
      <c r="B27057" s="29" t="n">
        <v>16</v>
      </c>
      <c r="C27057" s="7" t="n">
        <v>500</v>
      </c>
    </row>
    <row r="27058" spans="1:18">
      <c r="A27058" t="s">
        <v>4</v>
      </c>
      <c r="B27058" s="4" t="s">
        <v>5</v>
      </c>
      <c r="C27058" s="4" t="s">
        <v>11</v>
      </c>
      <c r="D27058" s="4" t="s">
        <v>7</v>
      </c>
      <c r="E27058" s="4" t="s">
        <v>15</v>
      </c>
      <c r="F27058" s="4" t="s">
        <v>55</v>
      </c>
      <c r="G27058" s="4" t="s">
        <v>7</v>
      </c>
      <c r="H27058" s="4" t="s">
        <v>7</v>
      </c>
      <c r="I27058" s="4" t="s">
        <v>7</v>
      </c>
      <c r="J27058" s="4" t="s">
        <v>15</v>
      </c>
      <c r="K27058" s="4" t="s">
        <v>55</v>
      </c>
      <c r="L27058" s="4" t="s">
        <v>7</v>
      </c>
      <c r="M27058" s="4" t="s">
        <v>7</v>
      </c>
      <c r="N27058" s="4" t="s">
        <v>7</v>
      </c>
      <c r="O27058" s="4" t="s">
        <v>15</v>
      </c>
      <c r="P27058" s="4" t="s">
        <v>55</v>
      </c>
      <c r="Q27058" s="4" t="s">
        <v>7</v>
      </c>
      <c r="R27058" s="4" t="s">
        <v>7</v>
      </c>
      <c r="S27058" s="4" t="s">
        <v>7</v>
      </c>
      <c r="T27058" s="4" t="s">
        <v>15</v>
      </c>
      <c r="U27058" s="4" t="s">
        <v>55</v>
      </c>
      <c r="V27058" s="4" t="s">
        <v>7</v>
      </c>
      <c r="W27058" s="4" t="s">
        <v>7</v>
      </c>
      <c r="X27058" s="4" t="s">
        <v>7</v>
      </c>
      <c r="Y27058" s="4" t="s">
        <v>15</v>
      </c>
      <c r="Z27058" s="4" t="s">
        <v>55</v>
      </c>
      <c r="AA27058" s="4" t="s">
        <v>7</v>
      </c>
      <c r="AB27058" s="4" t="s">
        <v>7</v>
      </c>
      <c r="AC27058" s="4" t="s">
        <v>7</v>
      </c>
      <c r="AD27058" s="4" t="s">
        <v>15</v>
      </c>
      <c r="AE27058" s="4" t="s">
        <v>55</v>
      </c>
      <c r="AF27058" s="4" t="s">
        <v>7</v>
      </c>
      <c r="AG27058" s="4" t="s">
        <v>7</v>
      </c>
    </row>
    <row r="27059" spans="1:18">
      <c r="A27059" t="n">
        <v>263483</v>
      </c>
      <c r="B27059" s="55" t="n">
        <v>26</v>
      </c>
      <c r="C27059" s="7" t="n">
        <v>5</v>
      </c>
      <c r="D27059" s="7" t="n">
        <v>17</v>
      </c>
      <c r="E27059" s="7" t="n">
        <v>64628</v>
      </c>
      <c r="F27059" s="7" t="s">
        <v>1560</v>
      </c>
      <c r="G27059" s="7" t="n">
        <v>2</v>
      </c>
      <c r="H27059" s="7" t="n">
        <v>3</v>
      </c>
      <c r="I27059" s="7" t="n">
        <v>17</v>
      </c>
      <c r="J27059" s="7" t="n">
        <v>64629</v>
      </c>
      <c r="K27059" s="7" t="s">
        <v>1613</v>
      </c>
      <c r="L27059" s="7" t="n">
        <v>2</v>
      </c>
      <c r="M27059" s="7" t="n">
        <v>3</v>
      </c>
      <c r="N27059" s="7" t="n">
        <v>17</v>
      </c>
      <c r="O27059" s="7" t="n">
        <v>64630</v>
      </c>
      <c r="P27059" s="7" t="s">
        <v>1614</v>
      </c>
      <c r="Q27059" s="7" t="n">
        <v>2</v>
      </c>
      <c r="R27059" s="7" t="n">
        <v>3</v>
      </c>
      <c r="S27059" s="7" t="n">
        <v>17</v>
      </c>
      <c r="T27059" s="7" t="n">
        <v>64631</v>
      </c>
      <c r="U27059" s="7" t="s">
        <v>1615</v>
      </c>
      <c r="V27059" s="7" t="n">
        <v>2</v>
      </c>
      <c r="W27059" s="7" t="n">
        <v>3</v>
      </c>
      <c r="X27059" s="7" t="n">
        <v>17</v>
      </c>
      <c r="Y27059" s="7" t="n">
        <v>64632</v>
      </c>
      <c r="Z27059" s="7" t="s">
        <v>1616</v>
      </c>
      <c r="AA27059" s="7" t="n">
        <v>2</v>
      </c>
      <c r="AB27059" s="7" t="n">
        <v>3</v>
      </c>
      <c r="AC27059" s="7" t="n">
        <v>17</v>
      </c>
      <c r="AD27059" s="7" t="n">
        <v>64633</v>
      </c>
      <c r="AE27059" s="7" t="s">
        <v>1617</v>
      </c>
      <c r="AF27059" s="7" t="n">
        <v>2</v>
      </c>
      <c r="AG27059" s="7" t="n">
        <v>0</v>
      </c>
    </row>
    <row r="27060" spans="1:18">
      <c r="A27060" t="s">
        <v>4</v>
      </c>
      <c r="B27060" s="4" t="s">
        <v>5</v>
      </c>
    </row>
    <row r="27061" spans="1:18">
      <c r="A27061" t="n">
        <v>264027</v>
      </c>
      <c r="B27061" s="27" t="n">
        <v>28</v>
      </c>
    </row>
    <row r="27062" spans="1:18">
      <c r="A27062" t="s">
        <v>4</v>
      </c>
      <c r="B27062" s="4" t="s">
        <v>5</v>
      </c>
      <c r="C27062" s="4" t="s">
        <v>11</v>
      </c>
      <c r="D27062" s="4" t="s">
        <v>7</v>
      </c>
    </row>
    <row r="27063" spans="1:18">
      <c r="A27063" t="n">
        <v>264028</v>
      </c>
      <c r="B27063" s="68" t="n">
        <v>89</v>
      </c>
      <c r="C27063" s="7" t="n">
        <v>65533</v>
      </c>
      <c r="D27063" s="7" t="n">
        <v>1</v>
      </c>
    </row>
    <row r="27064" spans="1:18">
      <c r="A27064" t="s">
        <v>4</v>
      </c>
      <c r="B27064" s="4" t="s">
        <v>5</v>
      </c>
      <c r="C27064" s="4" t="s">
        <v>11</v>
      </c>
      <c r="D27064" s="4" t="s">
        <v>13</v>
      </c>
      <c r="E27064" s="4" t="s">
        <v>13</v>
      </c>
      <c r="F27064" s="4" t="s">
        <v>13</v>
      </c>
      <c r="G27064" s="4" t="s">
        <v>11</v>
      </c>
      <c r="H27064" s="4" t="s">
        <v>11</v>
      </c>
    </row>
    <row r="27065" spans="1:18">
      <c r="A27065" t="n">
        <v>264032</v>
      </c>
      <c r="B27065" s="37" t="n">
        <v>60</v>
      </c>
      <c r="C27065" s="7" t="n">
        <v>5</v>
      </c>
      <c r="D27065" s="7" t="n">
        <v>0</v>
      </c>
      <c r="E27065" s="7" t="n">
        <v>0</v>
      </c>
      <c r="F27065" s="7" t="n">
        <v>0</v>
      </c>
      <c r="G27065" s="7" t="n">
        <v>1000</v>
      </c>
      <c r="H27065" s="7" t="n">
        <v>0</v>
      </c>
    </row>
    <row r="27066" spans="1:18">
      <c r="A27066" t="s">
        <v>4</v>
      </c>
      <c r="B27066" s="4" t="s">
        <v>5</v>
      </c>
      <c r="C27066" s="4" t="s">
        <v>7</v>
      </c>
      <c r="D27066" s="4" t="s">
        <v>11</v>
      </c>
      <c r="E27066" s="4" t="s">
        <v>8</v>
      </c>
      <c r="F27066" s="4" t="s">
        <v>8</v>
      </c>
      <c r="G27066" s="4" t="s">
        <v>8</v>
      </c>
      <c r="H27066" s="4" t="s">
        <v>8</v>
      </c>
    </row>
    <row r="27067" spans="1:18">
      <c r="A27067" t="n">
        <v>264051</v>
      </c>
      <c r="B27067" s="38" t="n">
        <v>51</v>
      </c>
      <c r="C27067" s="7" t="n">
        <v>3</v>
      </c>
      <c r="D27067" s="7" t="n">
        <v>5</v>
      </c>
      <c r="E27067" s="7" t="s">
        <v>371</v>
      </c>
      <c r="F27067" s="7" t="s">
        <v>218</v>
      </c>
      <c r="G27067" s="7" t="s">
        <v>78</v>
      </c>
      <c r="H27067" s="7" t="s">
        <v>79</v>
      </c>
    </row>
    <row r="27068" spans="1:18">
      <c r="A27068" t="s">
        <v>4</v>
      </c>
      <c r="B27068" s="4" t="s">
        <v>5</v>
      </c>
      <c r="C27068" s="4" t="s">
        <v>11</v>
      </c>
    </row>
    <row r="27069" spans="1:18">
      <c r="A27069" t="n">
        <v>264064</v>
      </c>
      <c r="B27069" s="29" t="n">
        <v>16</v>
      </c>
      <c r="C27069" s="7" t="n">
        <v>500</v>
      </c>
    </row>
    <row r="27070" spans="1:18">
      <c r="A27070" t="s">
        <v>4</v>
      </c>
      <c r="B27070" s="4" t="s">
        <v>5</v>
      </c>
      <c r="C27070" s="4" t="s">
        <v>7</v>
      </c>
      <c r="D27070" s="4" t="s">
        <v>11</v>
      </c>
      <c r="E27070" s="4" t="s">
        <v>13</v>
      </c>
    </row>
    <row r="27071" spans="1:18">
      <c r="A27071" t="n">
        <v>264067</v>
      </c>
      <c r="B27071" s="23" t="n">
        <v>58</v>
      </c>
      <c r="C27071" s="7" t="n">
        <v>0</v>
      </c>
      <c r="D27071" s="7" t="n">
        <v>1000</v>
      </c>
      <c r="E27071" s="7" t="n">
        <v>1</v>
      </c>
    </row>
    <row r="27072" spans="1:18">
      <c r="A27072" t="s">
        <v>4</v>
      </c>
      <c r="B27072" s="4" t="s">
        <v>5</v>
      </c>
      <c r="C27072" s="4" t="s">
        <v>7</v>
      </c>
      <c r="D27072" s="4" t="s">
        <v>11</v>
      </c>
    </row>
    <row r="27073" spans="1:33">
      <c r="A27073" t="n">
        <v>264075</v>
      </c>
      <c r="B27073" s="23" t="n">
        <v>58</v>
      </c>
      <c r="C27073" s="7" t="n">
        <v>255</v>
      </c>
      <c r="D27073" s="7" t="n">
        <v>0</v>
      </c>
    </row>
    <row r="27074" spans="1:33">
      <c r="A27074" t="s">
        <v>4</v>
      </c>
      <c r="B27074" s="4" t="s">
        <v>5</v>
      </c>
      <c r="C27074" s="4" t="s">
        <v>11</v>
      </c>
      <c r="D27074" s="4" t="s">
        <v>7</v>
      </c>
      <c r="E27074" s="4" t="s">
        <v>8</v>
      </c>
      <c r="F27074" s="4" t="s">
        <v>13</v>
      </c>
      <c r="G27074" s="4" t="s">
        <v>13</v>
      </c>
      <c r="H27074" s="4" t="s">
        <v>13</v>
      </c>
    </row>
    <row r="27075" spans="1:33">
      <c r="A27075" t="n">
        <v>264079</v>
      </c>
      <c r="B27075" s="42" t="n">
        <v>48</v>
      </c>
      <c r="C27075" s="7" t="n">
        <v>5</v>
      </c>
      <c r="D27075" s="7" t="n">
        <v>0</v>
      </c>
      <c r="E27075" s="7" t="s">
        <v>106</v>
      </c>
      <c r="F27075" s="7" t="n">
        <v>0</v>
      </c>
      <c r="G27075" s="7" t="n">
        <v>1</v>
      </c>
      <c r="H27075" s="7" t="n">
        <v>0</v>
      </c>
    </row>
    <row r="27076" spans="1:33">
      <c r="A27076" t="s">
        <v>4</v>
      </c>
      <c r="B27076" s="4" t="s">
        <v>5</v>
      </c>
      <c r="C27076" s="4" t="s">
        <v>11</v>
      </c>
      <c r="D27076" s="4" t="s">
        <v>7</v>
      </c>
      <c r="E27076" s="4" t="s">
        <v>8</v>
      </c>
      <c r="F27076" s="4" t="s">
        <v>13</v>
      </c>
      <c r="G27076" s="4" t="s">
        <v>13</v>
      </c>
      <c r="H27076" s="4" t="s">
        <v>13</v>
      </c>
    </row>
    <row r="27077" spans="1:33">
      <c r="A27077" t="n">
        <v>264103</v>
      </c>
      <c r="B27077" s="42" t="n">
        <v>48</v>
      </c>
      <c r="C27077" s="7" t="n">
        <v>0</v>
      </c>
      <c r="D27077" s="7" t="n">
        <v>0</v>
      </c>
      <c r="E27077" s="7" t="s">
        <v>106</v>
      </c>
      <c r="F27077" s="7" t="n">
        <v>0</v>
      </c>
      <c r="G27077" s="7" t="n">
        <v>1</v>
      </c>
      <c r="H27077" s="7" t="n">
        <v>0</v>
      </c>
    </row>
    <row r="27078" spans="1:33">
      <c r="A27078" t="s">
        <v>4</v>
      </c>
      <c r="B27078" s="4" t="s">
        <v>5</v>
      </c>
      <c r="C27078" s="4" t="s">
        <v>11</v>
      </c>
      <c r="D27078" s="4" t="s">
        <v>13</v>
      </c>
      <c r="E27078" s="4" t="s">
        <v>13</v>
      </c>
      <c r="F27078" s="4" t="s">
        <v>13</v>
      </c>
      <c r="G27078" s="4" t="s">
        <v>13</v>
      </c>
    </row>
    <row r="27079" spans="1:33">
      <c r="A27079" t="n">
        <v>264127</v>
      </c>
      <c r="B27079" s="36" t="n">
        <v>46</v>
      </c>
      <c r="C27079" s="7" t="n">
        <v>0</v>
      </c>
      <c r="D27079" s="7" t="n">
        <v>-19.0400009155273</v>
      </c>
      <c r="E27079" s="7" t="n">
        <v>10.0100002288818</v>
      </c>
      <c r="F27079" s="7" t="n">
        <v>58.2200012207031</v>
      </c>
      <c r="G27079" s="7" t="n">
        <v>296.399993896484</v>
      </c>
    </row>
    <row r="27080" spans="1:33">
      <c r="A27080" t="s">
        <v>4</v>
      </c>
      <c r="B27080" s="4" t="s">
        <v>5</v>
      </c>
      <c r="C27080" s="4" t="s">
        <v>11</v>
      </c>
      <c r="D27080" s="4" t="s">
        <v>13</v>
      </c>
      <c r="E27080" s="4" t="s">
        <v>13</v>
      </c>
      <c r="F27080" s="4" t="s">
        <v>13</v>
      </c>
      <c r="G27080" s="4" t="s">
        <v>13</v>
      </c>
    </row>
    <row r="27081" spans="1:33">
      <c r="A27081" t="n">
        <v>264146</v>
      </c>
      <c r="B27081" s="36" t="n">
        <v>46</v>
      </c>
      <c r="C27081" s="7" t="n">
        <v>5</v>
      </c>
      <c r="D27081" s="7" t="n">
        <v>-19.4099998474121</v>
      </c>
      <c r="E27081" s="7" t="n">
        <v>10.0100002288818</v>
      </c>
      <c r="F27081" s="7" t="n">
        <v>58.3699989318848</v>
      </c>
      <c r="G27081" s="7" t="n">
        <v>114.599998474121</v>
      </c>
    </row>
    <row r="27082" spans="1:33">
      <c r="A27082" t="s">
        <v>4</v>
      </c>
      <c r="B27082" s="4" t="s">
        <v>5</v>
      </c>
      <c r="C27082" s="4" t="s">
        <v>11</v>
      </c>
    </row>
    <row r="27083" spans="1:33">
      <c r="A27083" t="n">
        <v>264165</v>
      </c>
      <c r="B27083" s="29" t="n">
        <v>16</v>
      </c>
      <c r="C27083" s="7" t="n">
        <v>0</v>
      </c>
    </row>
    <row r="27084" spans="1:33">
      <c r="A27084" t="s">
        <v>4</v>
      </c>
      <c r="B27084" s="4" t="s">
        <v>5</v>
      </c>
      <c r="C27084" s="4" t="s">
        <v>11</v>
      </c>
      <c r="D27084" s="4" t="s">
        <v>11</v>
      </c>
      <c r="E27084" s="4" t="s">
        <v>11</v>
      </c>
    </row>
    <row r="27085" spans="1:33">
      <c r="A27085" t="n">
        <v>264168</v>
      </c>
      <c r="B27085" s="72" t="n">
        <v>61</v>
      </c>
      <c r="C27085" s="7" t="n">
        <v>0</v>
      </c>
      <c r="D27085" s="7" t="n">
        <v>65533</v>
      </c>
      <c r="E27085" s="7" t="n">
        <v>0</v>
      </c>
    </row>
    <row r="27086" spans="1:33">
      <c r="A27086" t="s">
        <v>4</v>
      </c>
      <c r="B27086" s="4" t="s">
        <v>5</v>
      </c>
      <c r="C27086" s="4" t="s">
        <v>11</v>
      </c>
      <c r="D27086" s="4" t="s">
        <v>11</v>
      </c>
      <c r="E27086" s="4" t="s">
        <v>11</v>
      </c>
    </row>
    <row r="27087" spans="1:33">
      <c r="A27087" t="n">
        <v>264175</v>
      </c>
      <c r="B27087" s="72" t="n">
        <v>61</v>
      </c>
      <c r="C27087" s="7" t="n">
        <v>5</v>
      </c>
      <c r="D27087" s="7" t="n">
        <v>65533</v>
      </c>
      <c r="E27087" s="7" t="n">
        <v>0</v>
      </c>
    </row>
    <row r="27088" spans="1:33">
      <c r="A27088" t="s">
        <v>4</v>
      </c>
      <c r="B27088" s="4" t="s">
        <v>5</v>
      </c>
      <c r="C27088" s="4" t="s">
        <v>7</v>
      </c>
      <c r="D27088" s="4" t="s">
        <v>7</v>
      </c>
      <c r="E27088" s="4" t="s">
        <v>13</v>
      </c>
      <c r="F27088" s="4" t="s">
        <v>13</v>
      </c>
      <c r="G27088" s="4" t="s">
        <v>13</v>
      </c>
      <c r="H27088" s="4" t="s">
        <v>11</v>
      </c>
    </row>
    <row r="27089" spans="1:8">
      <c r="A27089" t="n">
        <v>264182</v>
      </c>
      <c r="B27089" s="51" t="n">
        <v>45</v>
      </c>
      <c r="C27089" s="7" t="n">
        <v>2</v>
      </c>
      <c r="D27089" s="7" t="n">
        <v>3</v>
      </c>
      <c r="E27089" s="7" t="n">
        <v>-19.3999996185303</v>
      </c>
      <c r="F27089" s="7" t="n">
        <v>11.210000038147</v>
      </c>
      <c r="G27089" s="7" t="n">
        <v>58.3499984741211</v>
      </c>
      <c r="H27089" s="7" t="n">
        <v>0</v>
      </c>
    </row>
    <row r="27090" spans="1:8">
      <c r="A27090" t="s">
        <v>4</v>
      </c>
      <c r="B27090" s="4" t="s">
        <v>5</v>
      </c>
      <c r="C27090" s="4" t="s">
        <v>7</v>
      </c>
      <c r="D27090" s="4" t="s">
        <v>7</v>
      </c>
      <c r="E27090" s="4" t="s">
        <v>13</v>
      </c>
      <c r="F27090" s="4" t="s">
        <v>13</v>
      </c>
      <c r="G27090" s="4" t="s">
        <v>13</v>
      </c>
      <c r="H27090" s="4" t="s">
        <v>11</v>
      </c>
    </row>
    <row r="27091" spans="1:8">
      <c r="A27091" t="n">
        <v>264199</v>
      </c>
      <c r="B27091" s="51" t="n">
        <v>45</v>
      </c>
      <c r="C27091" s="7" t="n">
        <v>2</v>
      </c>
      <c r="D27091" s="7" t="n">
        <v>3</v>
      </c>
      <c r="E27091" s="7" t="n">
        <v>-19.3999996185303</v>
      </c>
      <c r="F27091" s="7" t="n">
        <v>11.3599996566772</v>
      </c>
      <c r="G27091" s="7" t="n">
        <v>58.3499984741211</v>
      </c>
      <c r="H27091" s="7" t="n">
        <v>1200</v>
      </c>
    </row>
    <row r="27092" spans="1:8">
      <c r="A27092" t="s">
        <v>4</v>
      </c>
      <c r="B27092" s="4" t="s">
        <v>5</v>
      </c>
      <c r="C27092" s="4" t="s">
        <v>7</v>
      </c>
      <c r="D27092" s="4" t="s">
        <v>7</v>
      </c>
      <c r="E27092" s="4" t="s">
        <v>13</v>
      </c>
      <c r="F27092" s="4" t="s">
        <v>13</v>
      </c>
      <c r="G27092" s="4" t="s">
        <v>13</v>
      </c>
      <c r="H27092" s="4" t="s">
        <v>11</v>
      </c>
      <c r="I27092" s="4" t="s">
        <v>7</v>
      </c>
    </row>
    <row r="27093" spans="1:8">
      <c r="A27093" t="n">
        <v>264216</v>
      </c>
      <c r="B27093" s="51" t="n">
        <v>45</v>
      </c>
      <c r="C27093" s="7" t="n">
        <v>4</v>
      </c>
      <c r="D27093" s="7" t="n">
        <v>3</v>
      </c>
      <c r="E27093" s="7" t="n">
        <v>6.73999977111816</v>
      </c>
      <c r="F27093" s="7" t="n">
        <v>85.0100021362305</v>
      </c>
      <c r="G27093" s="7" t="n">
        <v>360</v>
      </c>
      <c r="H27093" s="7" t="n">
        <v>0</v>
      </c>
      <c r="I27093" s="7" t="n">
        <v>0</v>
      </c>
    </row>
    <row r="27094" spans="1:8">
      <c r="A27094" t="s">
        <v>4</v>
      </c>
      <c r="B27094" s="4" t="s">
        <v>5</v>
      </c>
      <c r="C27094" s="4" t="s">
        <v>7</v>
      </c>
      <c r="D27094" s="4" t="s">
        <v>7</v>
      </c>
      <c r="E27094" s="4" t="s">
        <v>13</v>
      </c>
      <c r="F27094" s="4" t="s">
        <v>11</v>
      </c>
    </row>
    <row r="27095" spans="1:8">
      <c r="A27095" t="n">
        <v>264234</v>
      </c>
      <c r="B27095" s="51" t="n">
        <v>45</v>
      </c>
      <c r="C27095" s="7" t="n">
        <v>5</v>
      </c>
      <c r="D27095" s="7" t="n">
        <v>3</v>
      </c>
      <c r="E27095" s="7" t="n">
        <v>1.39999997615814</v>
      </c>
      <c r="F27095" s="7" t="n">
        <v>0</v>
      </c>
    </row>
    <row r="27096" spans="1:8">
      <c r="A27096" t="s">
        <v>4</v>
      </c>
      <c r="B27096" s="4" t="s">
        <v>5</v>
      </c>
      <c r="C27096" s="4" t="s">
        <v>7</v>
      </c>
      <c r="D27096" s="4" t="s">
        <v>7</v>
      </c>
      <c r="E27096" s="4" t="s">
        <v>13</v>
      </c>
      <c r="F27096" s="4" t="s">
        <v>11</v>
      </c>
    </row>
    <row r="27097" spans="1:8">
      <c r="A27097" t="n">
        <v>264243</v>
      </c>
      <c r="B27097" s="51" t="n">
        <v>45</v>
      </c>
      <c r="C27097" s="7" t="n">
        <v>11</v>
      </c>
      <c r="D27097" s="7" t="n">
        <v>3</v>
      </c>
      <c r="E27097" s="7" t="n">
        <v>31.2000007629395</v>
      </c>
      <c r="F27097" s="7" t="n">
        <v>0</v>
      </c>
    </row>
    <row r="27098" spans="1:8">
      <c r="A27098" t="s">
        <v>4</v>
      </c>
      <c r="B27098" s="4" t="s">
        <v>5</v>
      </c>
      <c r="C27098" s="4" t="s">
        <v>7</v>
      </c>
      <c r="D27098" s="4" t="s">
        <v>11</v>
      </c>
      <c r="E27098" s="4" t="s">
        <v>8</v>
      </c>
      <c r="F27098" s="4" t="s">
        <v>8</v>
      </c>
      <c r="G27098" s="4" t="s">
        <v>8</v>
      </c>
      <c r="H27098" s="4" t="s">
        <v>8</v>
      </c>
    </row>
    <row r="27099" spans="1:8">
      <c r="A27099" t="n">
        <v>264252</v>
      </c>
      <c r="B27099" s="38" t="n">
        <v>51</v>
      </c>
      <c r="C27099" s="7" t="n">
        <v>3</v>
      </c>
      <c r="D27099" s="7" t="n">
        <v>5</v>
      </c>
      <c r="E27099" s="7" t="s">
        <v>372</v>
      </c>
      <c r="F27099" s="7" t="s">
        <v>218</v>
      </c>
      <c r="G27099" s="7" t="s">
        <v>16</v>
      </c>
      <c r="H27099" s="7" t="s">
        <v>16</v>
      </c>
    </row>
    <row r="27100" spans="1:8">
      <c r="A27100" t="s">
        <v>4</v>
      </c>
      <c r="B27100" s="4" t="s">
        <v>5</v>
      </c>
      <c r="C27100" s="4" t="s">
        <v>7</v>
      </c>
      <c r="D27100" s="4" t="s">
        <v>11</v>
      </c>
      <c r="E27100" s="4" t="s">
        <v>11</v>
      </c>
      <c r="F27100" s="4" t="s">
        <v>15</v>
      </c>
    </row>
    <row r="27101" spans="1:8">
      <c r="A27101" t="n">
        <v>264262</v>
      </c>
      <c r="B27101" s="76" t="n">
        <v>84</v>
      </c>
      <c r="C27101" s="7" t="n">
        <v>0</v>
      </c>
      <c r="D27101" s="7" t="n">
        <v>0</v>
      </c>
      <c r="E27101" s="7" t="n">
        <v>0</v>
      </c>
      <c r="F27101" s="7" t="n">
        <v>1045220557</v>
      </c>
    </row>
    <row r="27102" spans="1:8">
      <c r="A27102" t="s">
        <v>4</v>
      </c>
      <c r="B27102" s="4" t="s">
        <v>5</v>
      </c>
      <c r="C27102" s="4" t="s">
        <v>11</v>
      </c>
      <c r="D27102" s="4" t="s">
        <v>7</v>
      </c>
      <c r="E27102" s="4" t="s">
        <v>8</v>
      </c>
      <c r="F27102" s="4" t="s">
        <v>13</v>
      </c>
      <c r="G27102" s="4" t="s">
        <v>13</v>
      </c>
      <c r="H27102" s="4" t="s">
        <v>13</v>
      </c>
    </row>
    <row r="27103" spans="1:8">
      <c r="A27103" t="n">
        <v>264272</v>
      </c>
      <c r="B27103" s="42" t="n">
        <v>48</v>
      </c>
      <c r="C27103" s="7" t="n">
        <v>5</v>
      </c>
      <c r="D27103" s="7" t="n">
        <v>0</v>
      </c>
      <c r="E27103" s="7" t="s">
        <v>1572</v>
      </c>
      <c r="F27103" s="7" t="n">
        <v>0</v>
      </c>
      <c r="G27103" s="7" t="n">
        <v>1</v>
      </c>
      <c r="H27103" s="7" t="n">
        <v>0</v>
      </c>
    </row>
    <row r="27104" spans="1:8">
      <c r="A27104" t="s">
        <v>4</v>
      </c>
      <c r="B27104" s="4" t="s">
        <v>5</v>
      </c>
      <c r="C27104" s="4" t="s">
        <v>11</v>
      </c>
    </row>
    <row r="27105" spans="1:9">
      <c r="A27105" t="n">
        <v>264298</v>
      </c>
      <c r="B27105" s="29" t="n">
        <v>16</v>
      </c>
      <c r="C27105" s="7" t="n">
        <v>300</v>
      </c>
    </row>
    <row r="27106" spans="1:9">
      <c r="A27106" t="s">
        <v>4</v>
      </c>
      <c r="B27106" s="4" t="s">
        <v>5</v>
      </c>
      <c r="C27106" s="4" t="s">
        <v>11</v>
      </c>
      <c r="D27106" s="4" t="s">
        <v>7</v>
      </c>
      <c r="E27106" s="4" t="s">
        <v>8</v>
      </c>
      <c r="F27106" s="4" t="s">
        <v>13</v>
      </c>
      <c r="G27106" s="4" t="s">
        <v>13</v>
      </c>
      <c r="H27106" s="4" t="s">
        <v>13</v>
      </c>
    </row>
    <row r="27107" spans="1:9">
      <c r="A27107" t="n">
        <v>264301</v>
      </c>
      <c r="B27107" s="42" t="n">
        <v>48</v>
      </c>
      <c r="C27107" s="7" t="n">
        <v>0</v>
      </c>
      <c r="D27107" s="7" t="n">
        <v>0</v>
      </c>
      <c r="E27107" s="7" t="s">
        <v>1572</v>
      </c>
      <c r="F27107" s="7" t="n">
        <v>0</v>
      </c>
      <c r="G27107" s="7" t="n">
        <v>1</v>
      </c>
      <c r="H27107" s="7" t="n">
        <v>0</v>
      </c>
    </row>
    <row r="27108" spans="1:9">
      <c r="A27108" t="s">
        <v>4</v>
      </c>
      <c r="B27108" s="4" t="s">
        <v>5</v>
      </c>
      <c r="C27108" s="4" t="s">
        <v>7</v>
      </c>
      <c r="D27108" s="4" t="s">
        <v>11</v>
      </c>
      <c r="E27108" s="4" t="s">
        <v>8</v>
      </c>
      <c r="F27108" s="4" t="s">
        <v>8</v>
      </c>
      <c r="G27108" s="4" t="s">
        <v>8</v>
      </c>
      <c r="H27108" s="4" t="s">
        <v>8</v>
      </c>
    </row>
    <row r="27109" spans="1:9">
      <c r="A27109" t="n">
        <v>264327</v>
      </c>
      <c r="B27109" s="38" t="n">
        <v>51</v>
      </c>
      <c r="C27109" s="7" t="n">
        <v>3</v>
      </c>
      <c r="D27109" s="7" t="n">
        <v>5</v>
      </c>
      <c r="E27109" s="7" t="s">
        <v>372</v>
      </c>
      <c r="F27109" s="7" t="s">
        <v>218</v>
      </c>
      <c r="G27109" s="7" t="s">
        <v>16</v>
      </c>
      <c r="H27109" s="7" t="s">
        <v>16</v>
      </c>
    </row>
    <row r="27110" spans="1:9">
      <c r="A27110" t="s">
        <v>4</v>
      </c>
      <c r="B27110" s="4" t="s">
        <v>5</v>
      </c>
      <c r="C27110" s="4" t="s">
        <v>7</v>
      </c>
      <c r="D27110" s="4" t="s">
        <v>7</v>
      </c>
      <c r="E27110" s="4" t="s">
        <v>13</v>
      </c>
      <c r="F27110" s="4" t="s">
        <v>13</v>
      </c>
      <c r="G27110" s="4" t="s">
        <v>13</v>
      </c>
      <c r="H27110" s="4" t="s">
        <v>11</v>
      </c>
    </row>
    <row r="27111" spans="1:9">
      <c r="A27111" t="n">
        <v>264337</v>
      </c>
      <c r="B27111" s="51" t="n">
        <v>45</v>
      </c>
      <c r="C27111" s="7" t="n">
        <v>2</v>
      </c>
      <c r="D27111" s="7" t="n">
        <v>3</v>
      </c>
      <c r="E27111" s="7" t="n">
        <v>-19.0900001525879</v>
      </c>
      <c r="F27111" s="7" t="n">
        <v>11.4700002670288</v>
      </c>
      <c r="G27111" s="7" t="n">
        <v>58.2700004577637</v>
      </c>
      <c r="H27111" s="7" t="n">
        <v>2000</v>
      </c>
    </row>
    <row r="27112" spans="1:9">
      <c r="A27112" t="s">
        <v>4</v>
      </c>
      <c r="B27112" s="4" t="s">
        <v>5</v>
      </c>
      <c r="C27112" s="4" t="s">
        <v>7</v>
      </c>
      <c r="D27112" s="4" t="s">
        <v>7</v>
      </c>
      <c r="E27112" s="4" t="s">
        <v>13</v>
      </c>
      <c r="F27112" s="4" t="s">
        <v>13</v>
      </c>
      <c r="G27112" s="4" t="s">
        <v>13</v>
      </c>
      <c r="H27112" s="4" t="s">
        <v>11</v>
      </c>
      <c r="I27112" s="4" t="s">
        <v>7</v>
      </c>
    </row>
    <row r="27113" spans="1:9">
      <c r="A27113" t="n">
        <v>264354</v>
      </c>
      <c r="B27113" s="51" t="n">
        <v>45</v>
      </c>
      <c r="C27113" s="7" t="n">
        <v>4</v>
      </c>
      <c r="D27113" s="7" t="n">
        <v>3</v>
      </c>
      <c r="E27113" s="7" t="n">
        <v>26.8799991607666</v>
      </c>
      <c r="F27113" s="7" t="n">
        <v>99.5500030517578</v>
      </c>
      <c r="G27113" s="7" t="n">
        <v>356</v>
      </c>
      <c r="H27113" s="7" t="n">
        <v>2000</v>
      </c>
      <c r="I27113" s="7" t="n">
        <v>1</v>
      </c>
    </row>
    <row r="27114" spans="1:9">
      <c r="A27114" t="s">
        <v>4</v>
      </c>
      <c r="B27114" s="4" t="s">
        <v>5</v>
      </c>
      <c r="C27114" s="4" t="s">
        <v>7</v>
      </c>
      <c r="D27114" s="4" t="s">
        <v>7</v>
      </c>
      <c r="E27114" s="4" t="s">
        <v>13</v>
      </c>
      <c r="F27114" s="4" t="s">
        <v>11</v>
      </c>
    </row>
    <row r="27115" spans="1:9">
      <c r="A27115" t="n">
        <v>264372</v>
      </c>
      <c r="B27115" s="51" t="n">
        <v>45</v>
      </c>
      <c r="C27115" s="7" t="n">
        <v>5</v>
      </c>
      <c r="D27115" s="7" t="n">
        <v>3</v>
      </c>
      <c r="E27115" s="7" t="n">
        <v>0.899999976158142</v>
      </c>
      <c r="F27115" s="7" t="n">
        <v>2000</v>
      </c>
    </row>
    <row r="27116" spans="1:9">
      <c r="A27116" t="s">
        <v>4</v>
      </c>
      <c r="B27116" s="4" t="s">
        <v>5</v>
      </c>
      <c r="C27116" s="4" t="s">
        <v>7</v>
      </c>
      <c r="D27116" s="4" t="s">
        <v>7</v>
      </c>
      <c r="E27116" s="4" t="s">
        <v>13</v>
      </c>
      <c r="F27116" s="4" t="s">
        <v>11</v>
      </c>
    </row>
    <row r="27117" spans="1:9">
      <c r="A27117" t="n">
        <v>264381</v>
      </c>
      <c r="B27117" s="51" t="n">
        <v>45</v>
      </c>
      <c r="C27117" s="7" t="n">
        <v>11</v>
      </c>
      <c r="D27117" s="7" t="n">
        <v>3</v>
      </c>
      <c r="E27117" s="7" t="n">
        <v>31.2000007629395</v>
      </c>
      <c r="F27117" s="7" t="n">
        <v>2000</v>
      </c>
    </row>
    <row r="27118" spans="1:9">
      <c r="A27118" t="s">
        <v>4</v>
      </c>
      <c r="B27118" s="4" t="s">
        <v>5</v>
      </c>
      <c r="C27118" s="4" t="s">
        <v>7</v>
      </c>
      <c r="D27118" s="4" t="s">
        <v>11</v>
      </c>
      <c r="E27118" s="4" t="s">
        <v>13</v>
      </c>
    </row>
    <row r="27119" spans="1:9">
      <c r="A27119" t="n">
        <v>264390</v>
      </c>
      <c r="B27119" s="23" t="n">
        <v>58</v>
      </c>
      <c r="C27119" s="7" t="n">
        <v>100</v>
      </c>
      <c r="D27119" s="7" t="n">
        <v>1000</v>
      </c>
      <c r="E27119" s="7" t="n">
        <v>1</v>
      </c>
    </row>
    <row r="27120" spans="1:9">
      <c r="A27120" t="s">
        <v>4</v>
      </c>
      <c r="B27120" s="4" t="s">
        <v>5</v>
      </c>
      <c r="C27120" s="4" t="s">
        <v>11</v>
      </c>
    </row>
    <row r="27121" spans="1:9">
      <c r="A27121" t="n">
        <v>264398</v>
      </c>
      <c r="B27121" s="29" t="n">
        <v>16</v>
      </c>
      <c r="C27121" s="7" t="n">
        <v>800</v>
      </c>
    </row>
    <row r="27122" spans="1:9">
      <c r="A27122" t="s">
        <v>4</v>
      </c>
      <c r="B27122" s="4" t="s">
        <v>5</v>
      </c>
      <c r="C27122" s="4" t="s">
        <v>7</v>
      </c>
      <c r="D27122" s="4" t="s">
        <v>11</v>
      </c>
      <c r="E27122" s="4" t="s">
        <v>13</v>
      </c>
      <c r="F27122" s="4" t="s">
        <v>11</v>
      </c>
      <c r="G27122" s="4" t="s">
        <v>15</v>
      </c>
      <c r="H27122" s="4" t="s">
        <v>15</v>
      </c>
      <c r="I27122" s="4" t="s">
        <v>11</v>
      </c>
      <c r="J27122" s="4" t="s">
        <v>11</v>
      </c>
      <c r="K27122" s="4" t="s">
        <v>15</v>
      </c>
      <c r="L27122" s="4" t="s">
        <v>15</v>
      </c>
      <c r="M27122" s="4" t="s">
        <v>15</v>
      </c>
      <c r="N27122" s="4" t="s">
        <v>15</v>
      </c>
      <c r="O27122" s="4" t="s">
        <v>8</v>
      </c>
    </row>
    <row r="27123" spans="1:9">
      <c r="A27123" t="n">
        <v>264401</v>
      </c>
      <c r="B27123" s="57" t="n">
        <v>50</v>
      </c>
      <c r="C27123" s="7" t="n">
        <v>0</v>
      </c>
      <c r="D27123" s="7" t="n">
        <v>2004</v>
      </c>
      <c r="E27123" s="7" t="n">
        <v>0.699999988079071</v>
      </c>
      <c r="F27123" s="7" t="n">
        <v>300</v>
      </c>
      <c r="G27123" s="7" t="n">
        <v>0</v>
      </c>
      <c r="H27123" s="7" t="n">
        <v>1073741824</v>
      </c>
      <c r="I27123" s="7" t="n">
        <v>0</v>
      </c>
      <c r="J27123" s="7" t="n">
        <v>65533</v>
      </c>
      <c r="K27123" s="7" t="n">
        <v>0</v>
      </c>
      <c r="L27123" s="7" t="n">
        <v>0</v>
      </c>
      <c r="M27123" s="7" t="n">
        <v>0</v>
      </c>
      <c r="N27123" s="7" t="n">
        <v>0</v>
      </c>
      <c r="O27123" s="7" t="s">
        <v>16</v>
      </c>
    </row>
    <row r="27124" spans="1:9">
      <c r="A27124" t="s">
        <v>4</v>
      </c>
      <c r="B27124" s="4" t="s">
        <v>5</v>
      </c>
      <c r="C27124" s="4" t="s">
        <v>11</v>
      </c>
    </row>
    <row r="27125" spans="1:9">
      <c r="A27125" t="n">
        <v>264440</v>
      </c>
      <c r="B27125" s="29" t="n">
        <v>16</v>
      </c>
      <c r="C27125" s="7" t="n">
        <v>1700</v>
      </c>
    </row>
    <row r="27126" spans="1:9">
      <c r="A27126" t="s">
        <v>4</v>
      </c>
      <c r="B27126" s="4" t="s">
        <v>5</v>
      </c>
      <c r="C27126" s="4" t="s">
        <v>7</v>
      </c>
      <c r="D27126" s="4" t="s">
        <v>11</v>
      </c>
      <c r="E27126" s="4" t="s">
        <v>11</v>
      </c>
      <c r="F27126" s="4" t="s">
        <v>15</v>
      </c>
    </row>
    <row r="27127" spans="1:9">
      <c r="A27127" t="n">
        <v>264443</v>
      </c>
      <c r="B27127" s="76" t="n">
        <v>84</v>
      </c>
      <c r="C27127" s="7" t="n">
        <v>1</v>
      </c>
      <c r="D27127" s="7" t="n">
        <v>0</v>
      </c>
      <c r="E27127" s="7" t="n">
        <v>500</v>
      </c>
      <c r="F27127" s="7" t="n">
        <v>0</v>
      </c>
    </row>
    <row r="27128" spans="1:9">
      <c r="A27128" t="s">
        <v>4</v>
      </c>
      <c r="B27128" s="4" t="s">
        <v>5</v>
      </c>
      <c r="C27128" s="4" t="s">
        <v>11</v>
      </c>
    </row>
    <row r="27129" spans="1:9">
      <c r="A27129" t="n">
        <v>264453</v>
      </c>
      <c r="B27129" s="29" t="n">
        <v>16</v>
      </c>
      <c r="C27129" s="7" t="n">
        <v>500</v>
      </c>
    </row>
    <row r="27130" spans="1:9">
      <c r="A27130" t="s">
        <v>4</v>
      </c>
      <c r="B27130" s="4" t="s">
        <v>5</v>
      </c>
      <c r="C27130" s="4" t="s">
        <v>7</v>
      </c>
      <c r="D27130" s="4" t="s">
        <v>11</v>
      </c>
      <c r="E27130" s="4" t="s">
        <v>8</v>
      </c>
      <c r="F27130" s="4" t="s">
        <v>8</v>
      </c>
      <c r="G27130" s="4" t="s">
        <v>8</v>
      </c>
      <c r="H27130" s="4" t="s">
        <v>8</v>
      </c>
    </row>
    <row r="27131" spans="1:9">
      <c r="A27131" t="n">
        <v>264456</v>
      </c>
      <c r="B27131" s="38" t="n">
        <v>51</v>
      </c>
      <c r="C27131" s="7" t="n">
        <v>3</v>
      </c>
      <c r="D27131" s="7" t="n">
        <v>5</v>
      </c>
      <c r="E27131" s="7" t="s">
        <v>372</v>
      </c>
      <c r="F27131" s="7" t="s">
        <v>218</v>
      </c>
      <c r="G27131" s="7" t="s">
        <v>16</v>
      </c>
      <c r="H27131" s="7" t="s">
        <v>16</v>
      </c>
    </row>
    <row r="27132" spans="1:9">
      <c r="A27132" t="s">
        <v>4</v>
      </c>
      <c r="B27132" s="4" t="s">
        <v>5</v>
      </c>
      <c r="C27132" s="4" t="s">
        <v>7</v>
      </c>
      <c r="D27132" s="4" t="s">
        <v>11</v>
      </c>
    </row>
    <row r="27133" spans="1:9">
      <c r="A27133" t="n">
        <v>264466</v>
      </c>
      <c r="B27133" s="23" t="n">
        <v>58</v>
      </c>
      <c r="C27133" s="7" t="n">
        <v>255</v>
      </c>
      <c r="D27133" s="7" t="n">
        <v>0</v>
      </c>
    </row>
    <row r="27134" spans="1:9">
      <c r="A27134" t="s">
        <v>4</v>
      </c>
      <c r="B27134" s="4" t="s">
        <v>5</v>
      </c>
      <c r="C27134" s="4" t="s">
        <v>7</v>
      </c>
      <c r="D27134" s="4" t="s">
        <v>11</v>
      </c>
      <c r="E27134" s="4" t="s">
        <v>8</v>
      </c>
    </row>
    <row r="27135" spans="1:9">
      <c r="A27135" t="n">
        <v>264470</v>
      </c>
      <c r="B27135" s="38" t="n">
        <v>51</v>
      </c>
      <c r="C27135" s="7" t="n">
        <v>4</v>
      </c>
      <c r="D27135" s="7" t="n">
        <v>0</v>
      </c>
      <c r="E27135" s="7" t="s">
        <v>245</v>
      </c>
    </row>
    <row r="27136" spans="1:9">
      <c r="A27136" t="s">
        <v>4</v>
      </c>
      <c r="B27136" s="4" t="s">
        <v>5</v>
      </c>
      <c r="C27136" s="4" t="s">
        <v>11</v>
      </c>
    </row>
    <row r="27137" spans="1:15">
      <c r="A27137" t="n">
        <v>264484</v>
      </c>
      <c r="B27137" s="29" t="n">
        <v>16</v>
      </c>
      <c r="C27137" s="7" t="n">
        <v>0</v>
      </c>
    </row>
    <row r="27138" spans="1:15">
      <c r="A27138" t="s">
        <v>4</v>
      </c>
      <c r="B27138" s="4" t="s">
        <v>5</v>
      </c>
      <c r="C27138" s="4" t="s">
        <v>11</v>
      </c>
      <c r="D27138" s="4" t="s">
        <v>7</v>
      </c>
      <c r="E27138" s="4" t="s">
        <v>15</v>
      </c>
      <c r="F27138" s="4" t="s">
        <v>55</v>
      </c>
      <c r="G27138" s="4" t="s">
        <v>7</v>
      </c>
      <c r="H27138" s="4" t="s">
        <v>7</v>
      </c>
    </row>
    <row r="27139" spans="1:15">
      <c r="A27139" t="n">
        <v>264487</v>
      </c>
      <c r="B27139" s="55" t="n">
        <v>26</v>
      </c>
      <c r="C27139" s="7" t="n">
        <v>0</v>
      </c>
      <c r="D27139" s="7" t="n">
        <v>17</v>
      </c>
      <c r="E27139" s="7" t="n">
        <v>64268</v>
      </c>
      <c r="F27139" s="7" t="s">
        <v>1618</v>
      </c>
      <c r="G27139" s="7" t="n">
        <v>2</v>
      </c>
      <c r="H27139" s="7" t="n">
        <v>0</v>
      </c>
    </row>
    <row r="27140" spans="1:15">
      <c r="A27140" t="s">
        <v>4</v>
      </c>
      <c r="B27140" s="4" t="s">
        <v>5</v>
      </c>
    </row>
    <row r="27141" spans="1:15">
      <c r="A27141" t="n">
        <v>264506</v>
      </c>
      <c r="B27141" s="27" t="n">
        <v>28</v>
      </c>
    </row>
    <row r="27142" spans="1:15">
      <c r="A27142" t="s">
        <v>4</v>
      </c>
      <c r="B27142" s="4" t="s">
        <v>5</v>
      </c>
      <c r="C27142" s="4" t="s">
        <v>7</v>
      </c>
      <c r="D27142" s="4" t="s">
        <v>11</v>
      </c>
      <c r="E27142" s="4" t="s">
        <v>11</v>
      </c>
      <c r="F27142" s="4" t="s">
        <v>7</v>
      </c>
    </row>
    <row r="27143" spans="1:15">
      <c r="A27143" t="n">
        <v>264507</v>
      </c>
      <c r="B27143" s="31" t="n">
        <v>25</v>
      </c>
      <c r="C27143" s="7" t="n">
        <v>1</v>
      </c>
      <c r="D27143" s="7" t="n">
        <v>65535</v>
      </c>
      <c r="E27143" s="7" t="n">
        <v>65535</v>
      </c>
      <c r="F27143" s="7" t="n">
        <v>0</v>
      </c>
    </row>
    <row r="27144" spans="1:15">
      <c r="A27144" t="s">
        <v>4</v>
      </c>
      <c r="B27144" s="4" t="s">
        <v>5</v>
      </c>
      <c r="C27144" s="4" t="s">
        <v>7</v>
      </c>
      <c r="D27144" s="4" t="s">
        <v>11</v>
      </c>
      <c r="E27144" s="4" t="s">
        <v>8</v>
      </c>
    </row>
    <row r="27145" spans="1:15">
      <c r="A27145" t="n">
        <v>264514</v>
      </c>
      <c r="B27145" s="38" t="n">
        <v>51</v>
      </c>
      <c r="C27145" s="7" t="n">
        <v>4</v>
      </c>
      <c r="D27145" s="7" t="n">
        <v>5</v>
      </c>
      <c r="E27145" s="7" t="s">
        <v>379</v>
      </c>
    </row>
    <row r="27146" spans="1:15">
      <c r="A27146" t="s">
        <v>4</v>
      </c>
      <c r="B27146" s="4" t="s">
        <v>5</v>
      </c>
      <c r="C27146" s="4" t="s">
        <v>11</v>
      </c>
    </row>
    <row r="27147" spans="1:15">
      <c r="A27147" t="n">
        <v>264528</v>
      </c>
      <c r="B27147" s="29" t="n">
        <v>16</v>
      </c>
      <c r="C27147" s="7" t="n">
        <v>0</v>
      </c>
    </row>
    <row r="27148" spans="1:15">
      <c r="A27148" t="s">
        <v>4</v>
      </c>
      <c r="B27148" s="4" t="s">
        <v>5</v>
      </c>
      <c r="C27148" s="4" t="s">
        <v>11</v>
      </c>
      <c r="D27148" s="4" t="s">
        <v>7</v>
      </c>
      <c r="E27148" s="4" t="s">
        <v>15</v>
      </c>
      <c r="F27148" s="4" t="s">
        <v>55</v>
      </c>
      <c r="G27148" s="4" t="s">
        <v>7</v>
      </c>
      <c r="H27148" s="4" t="s">
        <v>7</v>
      </c>
      <c r="I27148" s="4" t="s">
        <v>7</v>
      </c>
      <c r="J27148" s="4" t="s">
        <v>15</v>
      </c>
      <c r="K27148" s="4" t="s">
        <v>55</v>
      </c>
      <c r="L27148" s="4" t="s">
        <v>7</v>
      </c>
      <c r="M27148" s="4" t="s">
        <v>7</v>
      </c>
      <c r="N27148" s="4" t="s">
        <v>7</v>
      </c>
      <c r="O27148" s="4" t="s">
        <v>15</v>
      </c>
      <c r="P27148" s="4" t="s">
        <v>55</v>
      </c>
      <c r="Q27148" s="4" t="s">
        <v>7</v>
      </c>
      <c r="R27148" s="4" t="s">
        <v>7</v>
      </c>
      <c r="S27148" s="4" t="s">
        <v>7</v>
      </c>
      <c r="T27148" s="4" t="s">
        <v>15</v>
      </c>
      <c r="U27148" s="4" t="s">
        <v>55</v>
      </c>
      <c r="V27148" s="4" t="s">
        <v>7</v>
      </c>
      <c r="W27148" s="4" t="s">
        <v>7</v>
      </c>
    </row>
    <row r="27149" spans="1:15">
      <c r="A27149" t="n">
        <v>264531</v>
      </c>
      <c r="B27149" s="55" t="n">
        <v>26</v>
      </c>
      <c r="C27149" s="7" t="n">
        <v>5</v>
      </c>
      <c r="D27149" s="7" t="n">
        <v>17</v>
      </c>
      <c r="E27149" s="7" t="n">
        <v>64634</v>
      </c>
      <c r="F27149" s="7" t="s">
        <v>1619</v>
      </c>
      <c r="G27149" s="7" t="n">
        <v>2</v>
      </c>
      <c r="H27149" s="7" t="n">
        <v>3</v>
      </c>
      <c r="I27149" s="7" t="n">
        <v>17</v>
      </c>
      <c r="J27149" s="7" t="n">
        <v>64635</v>
      </c>
      <c r="K27149" s="7" t="s">
        <v>1620</v>
      </c>
      <c r="L27149" s="7" t="n">
        <v>2</v>
      </c>
      <c r="M27149" s="7" t="n">
        <v>3</v>
      </c>
      <c r="N27149" s="7" t="n">
        <v>17</v>
      </c>
      <c r="O27149" s="7" t="n">
        <v>64636</v>
      </c>
      <c r="P27149" s="7" t="s">
        <v>1621</v>
      </c>
      <c r="Q27149" s="7" t="n">
        <v>2</v>
      </c>
      <c r="R27149" s="7" t="n">
        <v>3</v>
      </c>
      <c r="S27149" s="7" t="n">
        <v>17</v>
      </c>
      <c r="T27149" s="7" t="n">
        <v>64637</v>
      </c>
      <c r="U27149" s="7" t="s">
        <v>1622</v>
      </c>
      <c r="V27149" s="7" t="n">
        <v>2</v>
      </c>
      <c r="W27149" s="7" t="n">
        <v>0</v>
      </c>
    </row>
    <row r="27150" spans="1:15">
      <c r="A27150" t="s">
        <v>4</v>
      </c>
      <c r="B27150" s="4" t="s">
        <v>5</v>
      </c>
    </row>
    <row r="27151" spans="1:15">
      <c r="A27151" t="n">
        <v>264960</v>
      </c>
      <c r="B27151" s="27" t="n">
        <v>28</v>
      </c>
    </row>
    <row r="27152" spans="1:15">
      <c r="A27152" t="s">
        <v>4</v>
      </c>
      <c r="B27152" s="4" t="s">
        <v>5</v>
      </c>
      <c r="C27152" s="4" t="s">
        <v>11</v>
      </c>
      <c r="D27152" s="4" t="s">
        <v>7</v>
      </c>
    </row>
    <row r="27153" spans="1:23">
      <c r="A27153" t="n">
        <v>264961</v>
      </c>
      <c r="B27153" s="68" t="n">
        <v>89</v>
      </c>
      <c r="C27153" s="7" t="n">
        <v>65533</v>
      </c>
      <c r="D27153" s="7" t="n">
        <v>1</v>
      </c>
    </row>
    <row r="27154" spans="1:23">
      <c r="A27154" t="s">
        <v>4</v>
      </c>
      <c r="B27154" s="4" t="s">
        <v>5</v>
      </c>
      <c r="C27154" s="4" t="s">
        <v>7</v>
      </c>
      <c r="D27154" s="4" t="s">
        <v>11</v>
      </c>
      <c r="E27154" s="4" t="s">
        <v>13</v>
      </c>
    </row>
    <row r="27155" spans="1:23">
      <c r="A27155" t="n">
        <v>264965</v>
      </c>
      <c r="B27155" s="23" t="n">
        <v>58</v>
      </c>
      <c r="C27155" s="7" t="n">
        <v>101</v>
      </c>
      <c r="D27155" s="7" t="n">
        <v>500</v>
      </c>
      <c r="E27155" s="7" t="n">
        <v>1</v>
      </c>
    </row>
    <row r="27156" spans="1:23">
      <c r="A27156" t="s">
        <v>4</v>
      </c>
      <c r="B27156" s="4" t="s">
        <v>5</v>
      </c>
      <c r="C27156" s="4" t="s">
        <v>7</v>
      </c>
      <c r="D27156" s="4" t="s">
        <v>11</v>
      </c>
    </row>
    <row r="27157" spans="1:23">
      <c r="A27157" t="n">
        <v>264973</v>
      </c>
      <c r="B27157" s="23" t="n">
        <v>58</v>
      </c>
      <c r="C27157" s="7" t="n">
        <v>254</v>
      </c>
      <c r="D27157" s="7" t="n">
        <v>0</v>
      </c>
    </row>
    <row r="27158" spans="1:23">
      <c r="A27158" t="s">
        <v>4</v>
      </c>
      <c r="B27158" s="4" t="s">
        <v>5</v>
      </c>
      <c r="C27158" s="4" t="s">
        <v>7</v>
      </c>
      <c r="D27158" s="4" t="s">
        <v>7</v>
      </c>
      <c r="E27158" s="4" t="s">
        <v>13</v>
      </c>
      <c r="F27158" s="4" t="s">
        <v>13</v>
      </c>
      <c r="G27158" s="4" t="s">
        <v>13</v>
      </c>
      <c r="H27158" s="4" t="s">
        <v>11</v>
      </c>
    </row>
    <row r="27159" spans="1:23">
      <c r="A27159" t="n">
        <v>264977</v>
      </c>
      <c r="B27159" s="51" t="n">
        <v>45</v>
      </c>
      <c r="C27159" s="7" t="n">
        <v>2</v>
      </c>
      <c r="D27159" s="7" t="n">
        <v>3</v>
      </c>
      <c r="E27159" s="7" t="n">
        <v>-18.7199993133545</v>
      </c>
      <c r="F27159" s="7" t="n">
        <v>11.4700002670288</v>
      </c>
      <c r="G27159" s="7" t="n">
        <v>58.2900009155273</v>
      </c>
      <c r="H27159" s="7" t="n">
        <v>0</v>
      </c>
    </row>
    <row r="27160" spans="1:23">
      <c r="A27160" t="s">
        <v>4</v>
      </c>
      <c r="B27160" s="4" t="s">
        <v>5</v>
      </c>
      <c r="C27160" s="4" t="s">
        <v>7</v>
      </c>
      <c r="D27160" s="4" t="s">
        <v>7</v>
      </c>
      <c r="E27160" s="4" t="s">
        <v>13</v>
      </c>
      <c r="F27160" s="4" t="s">
        <v>13</v>
      </c>
      <c r="G27160" s="4" t="s">
        <v>13</v>
      </c>
      <c r="H27160" s="4" t="s">
        <v>11</v>
      </c>
      <c r="I27160" s="4" t="s">
        <v>7</v>
      </c>
    </row>
    <row r="27161" spans="1:23">
      <c r="A27161" t="n">
        <v>264994</v>
      </c>
      <c r="B27161" s="51" t="n">
        <v>45</v>
      </c>
      <c r="C27161" s="7" t="n">
        <v>4</v>
      </c>
      <c r="D27161" s="7" t="n">
        <v>3</v>
      </c>
      <c r="E27161" s="7" t="n">
        <v>0.509999990463257</v>
      </c>
      <c r="F27161" s="7" t="n">
        <v>266.470001220703</v>
      </c>
      <c r="G27161" s="7" t="n">
        <v>356</v>
      </c>
      <c r="H27161" s="7" t="n">
        <v>0</v>
      </c>
      <c r="I27161" s="7" t="n">
        <v>0</v>
      </c>
    </row>
    <row r="27162" spans="1:23">
      <c r="A27162" t="s">
        <v>4</v>
      </c>
      <c r="B27162" s="4" t="s">
        <v>5</v>
      </c>
      <c r="C27162" s="4" t="s">
        <v>7</v>
      </c>
      <c r="D27162" s="4" t="s">
        <v>7</v>
      </c>
      <c r="E27162" s="4" t="s">
        <v>13</v>
      </c>
      <c r="F27162" s="4" t="s">
        <v>11</v>
      </c>
    </row>
    <row r="27163" spans="1:23">
      <c r="A27163" t="n">
        <v>265012</v>
      </c>
      <c r="B27163" s="51" t="n">
        <v>45</v>
      </c>
      <c r="C27163" s="7" t="n">
        <v>5</v>
      </c>
      <c r="D27163" s="7" t="n">
        <v>3</v>
      </c>
      <c r="E27163" s="7" t="n">
        <v>1.79999995231628</v>
      </c>
      <c r="F27163" s="7" t="n">
        <v>0</v>
      </c>
    </row>
    <row r="27164" spans="1:23">
      <c r="A27164" t="s">
        <v>4</v>
      </c>
      <c r="B27164" s="4" t="s">
        <v>5</v>
      </c>
      <c r="C27164" s="4" t="s">
        <v>7</v>
      </c>
      <c r="D27164" s="4" t="s">
        <v>7</v>
      </c>
      <c r="E27164" s="4" t="s">
        <v>13</v>
      </c>
      <c r="F27164" s="4" t="s">
        <v>11</v>
      </c>
    </row>
    <row r="27165" spans="1:23">
      <c r="A27165" t="n">
        <v>265021</v>
      </c>
      <c r="B27165" s="51" t="n">
        <v>45</v>
      </c>
      <c r="C27165" s="7" t="n">
        <v>5</v>
      </c>
      <c r="D27165" s="7" t="n">
        <v>3</v>
      </c>
      <c r="E27165" s="7" t="n">
        <v>1.5</v>
      </c>
      <c r="F27165" s="7" t="n">
        <v>3000</v>
      </c>
    </row>
    <row r="27166" spans="1:23">
      <c r="A27166" t="s">
        <v>4</v>
      </c>
      <c r="B27166" s="4" t="s">
        <v>5</v>
      </c>
      <c r="C27166" s="4" t="s">
        <v>7</v>
      </c>
      <c r="D27166" s="4" t="s">
        <v>7</v>
      </c>
      <c r="E27166" s="4" t="s">
        <v>13</v>
      </c>
      <c r="F27166" s="4" t="s">
        <v>11</v>
      </c>
    </row>
    <row r="27167" spans="1:23">
      <c r="A27167" t="n">
        <v>265030</v>
      </c>
      <c r="B27167" s="51" t="n">
        <v>45</v>
      </c>
      <c r="C27167" s="7" t="n">
        <v>11</v>
      </c>
      <c r="D27167" s="7" t="n">
        <v>3</v>
      </c>
      <c r="E27167" s="7" t="n">
        <v>31.2000007629395</v>
      </c>
      <c r="F27167" s="7" t="n">
        <v>0</v>
      </c>
    </row>
    <row r="27168" spans="1:23">
      <c r="A27168" t="s">
        <v>4</v>
      </c>
      <c r="B27168" s="4" t="s">
        <v>5</v>
      </c>
      <c r="C27168" s="4" t="s">
        <v>11</v>
      </c>
      <c r="D27168" s="4" t="s">
        <v>13</v>
      </c>
      <c r="E27168" s="4" t="s">
        <v>13</v>
      </c>
      <c r="F27168" s="4" t="s">
        <v>13</v>
      </c>
      <c r="G27168" s="4" t="s">
        <v>13</v>
      </c>
    </row>
    <row r="27169" spans="1:9">
      <c r="A27169" t="n">
        <v>265039</v>
      </c>
      <c r="B27169" s="36" t="n">
        <v>46</v>
      </c>
      <c r="C27169" s="7" t="n">
        <v>5</v>
      </c>
      <c r="D27169" s="7" t="n">
        <v>-19.4200000762939</v>
      </c>
      <c r="E27169" s="7" t="n">
        <v>10.0100002288818</v>
      </c>
      <c r="F27169" s="7" t="n">
        <v>58.3899993896484</v>
      </c>
      <c r="G27169" s="7" t="n">
        <v>114.599998474121</v>
      </c>
    </row>
    <row r="27170" spans="1:9">
      <c r="A27170" t="s">
        <v>4</v>
      </c>
      <c r="B27170" s="4" t="s">
        <v>5</v>
      </c>
      <c r="C27170" s="4" t="s">
        <v>7</v>
      </c>
      <c r="D27170" s="4" t="s">
        <v>11</v>
      </c>
      <c r="E27170" s="4" t="s">
        <v>8</v>
      </c>
      <c r="F27170" s="4" t="s">
        <v>8</v>
      </c>
      <c r="G27170" s="4" t="s">
        <v>8</v>
      </c>
      <c r="H27170" s="4" t="s">
        <v>8</v>
      </c>
    </row>
    <row r="27171" spans="1:9">
      <c r="A27171" t="n">
        <v>265058</v>
      </c>
      <c r="B27171" s="38" t="n">
        <v>51</v>
      </c>
      <c r="C27171" s="7" t="n">
        <v>3</v>
      </c>
      <c r="D27171" s="7" t="n">
        <v>5</v>
      </c>
      <c r="E27171" s="7" t="s">
        <v>155</v>
      </c>
      <c r="F27171" s="7" t="s">
        <v>99</v>
      </c>
      <c r="G27171" s="7" t="s">
        <v>16</v>
      </c>
      <c r="H27171" s="7" t="s">
        <v>16</v>
      </c>
    </row>
    <row r="27172" spans="1:9">
      <c r="A27172" t="s">
        <v>4</v>
      </c>
      <c r="B27172" s="4" t="s">
        <v>5</v>
      </c>
      <c r="C27172" s="4" t="s">
        <v>7</v>
      </c>
      <c r="D27172" s="4" t="s">
        <v>11</v>
      </c>
    </row>
    <row r="27173" spans="1:9">
      <c r="A27173" t="n">
        <v>265068</v>
      </c>
      <c r="B27173" s="23" t="n">
        <v>58</v>
      </c>
      <c r="C27173" s="7" t="n">
        <v>255</v>
      </c>
      <c r="D27173" s="7" t="n">
        <v>0</v>
      </c>
    </row>
    <row r="27174" spans="1:9">
      <c r="A27174" t="s">
        <v>4</v>
      </c>
      <c r="B27174" s="4" t="s">
        <v>5</v>
      </c>
      <c r="C27174" s="4" t="s">
        <v>7</v>
      </c>
      <c r="D27174" s="4" t="s">
        <v>11</v>
      </c>
      <c r="E27174" s="4" t="s">
        <v>8</v>
      </c>
      <c r="F27174" s="4" t="s">
        <v>8</v>
      </c>
      <c r="G27174" s="4" t="s">
        <v>8</v>
      </c>
      <c r="H27174" s="4" t="s">
        <v>8</v>
      </c>
    </row>
    <row r="27175" spans="1:9">
      <c r="A27175" t="n">
        <v>265072</v>
      </c>
      <c r="B27175" s="38" t="n">
        <v>51</v>
      </c>
      <c r="C27175" s="7" t="n">
        <v>3</v>
      </c>
      <c r="D27175" s="7" t="n">
        <v>5</v>
      </c>
      <c r="E27175" s="7" t="s">
        <v>99</v>
      </c>
      <c r="F27175" s="7" t="s">
        <v>99</v>
      </c>
      <c r="G27175" s="7" t="s">
        <v>16</v>
      </c>
      <c r="H27175" s="7" t="s">
        <v>16</v>
      </c>
    </row>
    <row r="27176" spans="1:9">
      <c r="A27176" t="s">
        <v>4</v>
      </c>
      <c r="B27176" s="4" t="s">
        <v>5</v>
      </c>
      <c r="C27176" s="4" t="s">
        <v>11</v>
      </c>
      <c r="D27176" s="4" t="s">
        <v>13</v>
      </c>
      <c r="E27176" s="4" t="s">
        <v>13</v>
      </c>
      <c r="F27176" s="4" t="s">
        <v>13</v>
      </c>
      <c r="G27176" s="4" t="s">
        <v>11</v>
      </c>
      <c r="H27176" s="4" t="s">
        <v>11</v>
      </c>
    </row>
    <row r="27177" spans="1:9">
      <c r="A27177" t="n">
        <v>265082</v>
      </c>
      <c r="B27177" s="37" t="n">
        <v>60</v>
      </c>
      <c r="C27177" s="7" t="n">
        <v>0</v>
      </c>
      <c r="D27177" s="7" t="n">
        <v>0</v>
      </c>
      <c r="E27177" s="7" t="n">
        <v>-10</v>
      </c>
      <c r="F27177" s="7" t="n">
        <v>0</v>
      </c>
      <c r="G27177" s="7" t="n">
        <v>800</v>
      </c>
      <c r="H27177" s="7" t="n">
        <v>0</v>
      </c>
    </row>
    <row r="27178" spans="1:9">
      <c r="A27178" t="s">
        <v>4</v>
      </c>
      <c r="B27178" s="4" t="s">
        <v>5</v>
      </c>
      <c r="C27178" s="4" t="s">
        <v>11</v>
      </c>
    </row>
    <row r="27179" spans="1:9">
      <c r="A27179" t="n">
        <v>265101</v>
      </c>
      <c r="B27179" s="29" t="n">
        <v>16</v>
      </c>
      <c r="C27179" s="7" t="n">
        <v>500</v>
      </c>
    </row>
    <row r="27180" spans="1:9">
      <c r="A27180" t="s">
        <v>4</v>
      </c>
      <c r="B27180" s="4" t="s">
        <v>5</v>
      </c>
      <c r="C27180" s="4" t="s">
        <v>7</v>
      </c>
      <c r="D27180" s="4" t="s">
        <v>11</v>
      </c>
      <c r="E27180" s="4" t="s">
        <v>8</v>
      </c>
    </row>
    <row r="27181" spans="1:9">
      <c r="A27181" t="n">
        <v>265104</v>
      </c>
      <c r="B27181" s="38" t="n">
        <v>51</v>
      </c>
      <c r="C27181" s="7" t="n">
        <v>4</v>
      </c>
      <c r="D27181" s="7" t="n">
        <v>0</v>
      </c>
      <c r="E27181" s="7" t="s">
        <v>752</v>
      </c>
    </row>
    <row r="27182" spans="1:9">
      <c r="A27182" t="s">
        <v>4</v>
      </c>
      <c r="B27182" s="4" t="s">
        <v>5</v>
      </c>
      <c r="C27182" s="4" t="s">
        <v>11</v>
      </c>
    </row>
    <row r="27183" spans="1:9">
      <c r="A27183" t="n">
        <v>265118</v>
      </c>
      <c r="B27183" s="29" t="n">
        <v>16</v>
      </c>
      <c r="C27183" s="7" t="n">
        <v>0</v>
      </c>
    </row>
    <row r="27184" spans="1:9">
      <c r="A27184" t="s">
        <v>4</v>
      </c>
      <c r="B27184" s="4" t="s">
        <v>5</v>
      </c>
      <c r="C27184" s="4" t="s">
        <v>11</v>
      </c>
      <c r="D27184" s="4" t="s">
        <v>7</v>
      </c>
      <c r="E27184" s="4" t="s">
        <v>15</v>
      </c>
      <c r="F27184" s="4" t="s">
        <v>55</v>
      </c>
      <c r="G27184" s="4" t="s">
        <v>7</v>
      </c>
      <c r="H27184" s="4" t="s">
        <v>7</v>
      </c>
      <c r="I27184" s="4" t="s">
        <v>7</v>
      </c>
      <c r="J27184" s="4" t="s">
        <v>15</v>
      </c>
      <c r="K27184" s="4" t="s">
        <v>55</v>
      </c>
      <c r="L27184" s="4" t="s">
        <v>7</v>
      </c>
      <c r="M27184" s="4" t="s">
        <v>7</v>
      </c>
      <c r="N27184" s="4" t="s">
        <v>7</v>
      </c>
      <c r="O27184" s="4" t="s">
        <v>15</v>
      </c>
      <c r="P27184" s="4" t="s">
        <v>55</v>
      </c>
      <c r="Q27184" s="4" t="s">
        <v>7</v>
      </c>
      <c r="R27184" s="4" t="s">
        <v>7</v>
      </c>
    </row>
    <row r="27185" spans="1:18">
      <c r="A27185" t="n">
        <v>265121</v>
      </c>
      <c r="B27185" s="55" t="n">
        <v>26</v>
      </c>
      <c r="C27185" s="7" t="n">
        <v>0</v>
      </c>
      <c r="D27185" s="7" t="n">
        <v>17</v>
      </c>
      <c r="E27185" s="7" t="n">
        <v>64638</v>
      </c>
      <c r="F27185" s="7" t="s">
        <v>1623</v>
      </c>
      <c r="G27185" s="7" t="n">
        <v>2</v>
      </c>
      <c r="H27185" s="7" t="n">
        <v>3</v>
      </c>
      <c r="I27185" s="7" t="n">
        <v>17</v>
      </c>
      <c r="J27185" s="7" t="n">
        <v>64639</v>
      </c>
      <c r="K27185" s="7" t="s">
        <v>1624</v>
      </c>
      <c r="L27185" s="7" t="n">
        <v>2</v>
      </c>
      <c r="M27185" s="7" t="n">
        <v>3</v>
      </c>
      <c r="N27185" s="7" t="n">
        <v>17</v>
      </c>
      <c r="O27185" s="7" t="n">
        <v>64640</v>
      </c>
      <c r="P27185" s="7" t="s">
        <v>1625</v>
      </c>
      <c r="Q27185" s="7" t="n">
        <v>2</v>
      </c>
      <c r="R27185" s="7" t="n">
        <v>0</v>
      </c>
    </row>
    <row r="27186" spans="1:18">
      <c r="A27186" t="s">
        <v>4</v>
      </c>
      <c r="B27186" s="4" t="s">
        <v>5</v>
      </c>
    </row>
    <row r="27187" spans="1:18">
      <c r="A27187" t="n">
        <v>265256</v>
      </c>
      <c r="B27187" s="27" t="n">
        <v>28</v>
      </c>
    </row>
    <row r="27188" spans="1:18">
      <c r="A27188" t="s">
        <v>4</v>
      </c>
      <c r="B27188" s="4" t="s">
        <v>5</v>
      </c>
      <c r="C27188" s="4" t="s">
        <v>7</v>
      </c>
      <c r="D27188" s="4" t="s">
        <v>11</v>
      </c>
      <c r="E27188" s="4" t="s">
        <v>11</v>
      </c>
      <c r="F27188" s="4" t="s">
        <v>7</v>
      </c>
    </row>
    <row r="27189" spans="1:18">
      <c r="A27189" t="n">
        <v>265257</v>
      </c>
      <c r="B27189" s="31" t="n">
        <v>25</v>
      </c>
      <c r="C27189" s="7" t="n">
        <v>1</v>
      </c>
      <c r="D27189" s="7" t="n">
        <v>65535</v>
      </c>
      <c r="E27189" s="7" t="n">
        <v>65535</v>
      </c>
      <c r="F27189" s="7" t="n">
        <v>0</v>
      </c>
    </row>
    <row r="27190" spans="1:18">
      <c r="A27190" t="s">
        <v>4</v>
      </c>
      <c r="B27190" s="4" t="s">
        <v>5</v>
      </c>
      <c r="C27190" s="4" t="s">
        <v>7</v>
      </c>
      <c r="D27190" s="4" t="s">
        <v>11</v>
      </c>
      <c r="E27190" s="4" t="s">
        <v>8</v>
      </c>
    </row>
    <row r="27191" spans="1:18">
      <c r="A27191" t="n">
        <v>265264</v>
      </c>
      <c r="B27191" s="38" t="n">
        <v>51</v>
      </c>
      <c r="C27191" s="7" t="n">
        <v>4</v>
      </c>
      <c r="D27191" s="7" t="n">
        <v>5</v>
      </c>
      <c r="E27191" s="7" t="s">
        <v>1626</v>
      </c>
    </row>
    <row r="27192" spans="1:18">
      <c r="A27192" t="s">
        <v>4</v>
      </c>
      <c r="B27192" s="4" t="s">
        <v>5</v>
      </c>
      <c r="C27192" s="4" t="s">
        <v>11</v>
      </c>
    </row>
    <row r="27193" spans="1:18">
      <c r="A27193" t="n">
        <v>265283</v>
      </c>
      <c r="B27193" s="29" t="n">
        <v>16</v>
      </c>
      <c r="C27193" s="7" t="n">
        <v>0</v>
      </c>
    </row>
    <row r="27194" spans="1:18">
      <c r="A27194" t="s">
        <v>4</v>
      </c>
      <c r="B27194" s="4" t="s">
        <v>5</v>
      </c>
      <c r="C27194" s="4" t="s">
        <v>11</v>
      </c>
      <c r="D27194" s="4" t="s">
        <v>7</v>
      </c>
      <c r="E27194" s="4" t="s">
        <v>15</v>
      </c>
      <c r="F27194" s="4" t="s">
        <v>55</v>
      </c>
      <c r="G27194" s="4" t="s">
        <v>7</v>
      </c>
      <c r="H27194" s="4" t="s">
        <v>7</v>
      </c>
    </row>
    <row r="27195" spans="1:18">
      <c r="A27195" t="n">
        <v>265286</v>
      </c>
      <c r="B27195" s="55" t="n">
        <v>26</v>
      </c>
      <c r="C27195" s="7" t="n">
        <v>5</v>
      </c>
      <c r="D27195" s="7" t="n">
        <v>17</v>
      </c>
      <c r="E27195" s="7" t="n">
        <v>64641</v>
      </c>
      <c r="F27195" s="7" t="s">
        <v>1627</v>
      </c>
      <c r="G27195" s="7" t="n">
        <v>2</v>
      </c>
      <c r="H27195" s="7" t="n">
        <v>0</v>
      </c>
    </row>
    <row r="27196" spans="1:18">
      <c r="A27196" t="s">
        <v>4</v>
      </c>
      <c r="B27196" s="4" t="s">
        <v>5</v>
      </c>
    </row>
    <row r="27197" spans="1:18">
      <c r="A27197" t="n">
        <v>265308</v>
      </c>
      <c r="B27197" s="27" t="n">
        <v>28</v>
      </c>
    </row>
    <row r="27198" spans="1:18">
      <c r="A27198" t="s">
        <v>4</v>
      </c>
      <c r="B27198" s="4" t="s">
        <v>5</v>
      </c>
      <c r="C27198" s="4" t="s">
        <v>11</v>
      </c>
      <c r="D27198" s="4" t="s">
        <v>7</v>
      </c>
    </row>
    <row r="27199" spans="1:18">
      <c r="A27199" t="n">
        <v>265309</v>
      </c>
      <c r="B27199" s="68" t="n">
        <v>89</v>
      </c>
      <c r="C27199" s="7" t="n">
        <v>65533</v>
      </c>
      <c r="D27199" s="7" t="n">
        <v>1</v>
      </c>
    </row>
    <row r="27200" spans="1:18">
      <c r="A27200" t="s">
        <v>4</v>
      </c>
      <c r="B27200" s="4" t="s">
        <v>5</v>
      </c>
      <c r="C27200" s="4" t="s">
        <v>7</v>
      </c>
      <c r="D27200" s="4" t="s">
        <v>11</v>
      </c>
      <c r="E27200" s="4" t="s">
        <v>13</v>
      </c>
    </row>
    <row r="27201" spans="1:18">
      <c r="A27201" t="n">
        <v>265313</v>
      </c>
      <c r="B27201" s="23" t="n">
        <v>58</v>
      </c>
      <c r="C27201" s="7" t="n">
        <v>0</v>
      </c>
      <c r="D27201" s="7" t="n">
        <v>2000</v>
      </c>
      <c r="E27201" s="7" t="n">
        <v>1</v>
      </c>
    </row>
    <row r="27202" spans="1:18">
      <c r="A27202" t="s">
        <v>4</v>
      </c>
      <c r="B27202" s="4" t="s">
        <v>5</v>
      </c>
      <c r="C27202" s="4" t="s">
        <v>7</v>
      </c>
      <c r="D27202" s="4" t="s">
        <v>11</v>
      </c>
    </row>
    <row r="27203" spans="1:18">
      <c r="A27203" t="n">
        <v>265321</v>
      </c>
      <c r="B27203" s="23" t="n">
        <v>58</v>
      </c>
      <c r="C27203" s="7" t="n">
        <v>255</v>
      </c>
      <c r="D27203" s="7" t="n">
        <v>0</v>
      </c>
    </row>
    <row r="27204" spans="1:18">
      <c r="A27204" t="s">
        <v>4</v>
      </c>
      <c r="B27204" s="4" t="s">
        <v>5</v>
      </c>
      <c r="C27204" s="4" t="s">
        <v>11</v>
      </c>
    </row>
    <row r="27205" spans="1:18">
      <c r="A27205" t="n">
        <v>265325</v>
      </c>
      <c r="B27205" s="29" t="n">
        <v>16</v>
      </c>
      <c r="C27205" s="7" t="n">
        <v>1000</v>
      </c>
    </row>
    <row r="27206" spans="1:18">
      <c r="A27206" t="s">
        <v>4</v>
      </c>
      <c r="B27206" s="4" t="s">
        <v>5</v>
      </c>
      <c r="C27206" s="4" t="s">
        <v>7</v>
      </c>
      <c r="D27206" s="4" t="s">
        <v>11</v>
      </c>
      <c r="E27206" s="4" t="s">
        <v>7</v>
      </c>
    </row>
    <row r="27207" spans="1:18">
      <c r="A27207" t="n">
        <v>265328</v>
      </c>
      <c r="B27207" s="40" t="n">
        <v>36</v>
      </c>
      <c r="C27207" s="7" t="n">
        <v>9</v>
      </c>
      <c r="D27207" s="7" t="n">
        <v>0</v>
      </c>
      <c r="E27207" s="7" t="n">
        <v>0</v>
      </c>
    </row>
    <row r="27208" spans="1:18">
      <c r="A27208" t="s">
        <v>4</v>
      </c>
      <c r="B27208" s="4" t="s">
        <v>5</v>
      </c>
      <c r="C27208" s="4" t="s">
        <v>7</v>
      </c>
      <c r="D27208" s="4" t="s">
        <v>11</v>
      </c>
      <c r="E27208" s="4" t="s">
        <v>7</v>
      </c>
    </row>
    <row r="27209" spans="1:18">
      <c r="A27209" t="n">
        <v>265333</v>
      </c>
      <c r="B27209" s="40" t="n">
        <v>36</v>
      </c>
      <c r="C27209" s="7" t="n">
        <v>9</v>
      </c>
      <c r="D27209" s="7" t="n">
        <v>5</v>
      </c>
      <c r="E27209" s="7" t="n">
        <v>0</v>
      </c>
    </row>
    <row r="27210" spans="1:18">
      <c r="A27210" t="s">
        <v>4</v>
      </c>
      <c r="B27210" s="4" t="s">
        <v>5</v>
      </c>
      <c r="C27210" s="4" t="s">
        <v>7</v>
      </c>
      <c r="D27210" s="4" t="s">
        <v>11</v>
      </c>
      <c r="E27210" s="4" t="s">
        <v>8</v>
      </c>
      <c r="F27210" s="4" t="s">
        <v>8</v>
      </c>
      <c r="G27210" s="4" t="s">
        <v>8</v>
      </c>
      <c r="H27210" s="4" t="s">
        <v>8</v>
      </c>
    </row>
    <row r="27211" spans="1:18">
      <c r="A27211" t="n">
        <v>265338</v>
      </c>
      <c r="B27211" s="38" t="n">
        <v>51</v>
      </c>
      <c r="C27211" s="7" t="n">
        <v>3</v>
      </c>
      <c r="D27211" s="7" t="n">
        <v>5</v>
      </c>
      <c r="E27211" s="7" t="s">
        <v>101</v>
      </c>
      <c r="F27211" s="7" t="s">
        <v>87</v>
      </c>
      <c r="G27211" s="7" t="s">
        <v>16</v>
      </c>
      <c r="H27211" s="7" t="s">
        <v>79</v>
      </c>
    </row>
    <row r="27212" spans="1:18">
      <c r="A27212" t="s">
        <v>4</v>
      </c>
      <c r="B27212" s="4" t="s">
        <v>5</v>
      </c>
      <c r="C27212" s="4" t="s">
        <v>7</v>
      </c>
      <c r="D27212" s="4" t="s">
        <v>11</v>
      </c>
      <c r="E27212" s="4" t="s">
        <v>8</v>
      </c>
      <c r="F27212" s="4" t="s">
        <v>8</v>
      </c>
      <c r="G27212" s="4" t="s">
        <v>8</v>
      </c>
      <c r="H27212" s="4" t="s">
        <v>8</v>
      </c>
    </row>
    <row r="27213" spans="1:18">
      <c r="A27213" t="n">
        <v>265365</v>
      </c>
      <c r="B27213" s="38" t="n">
        <v>51</v>
      </c>
      <c r="C27213" s="7" t="n">
        <v>3</v>
      </c>
      <c r="D27213" s="7" t="n">
        <v>0</v>
      </c>
      <c r="E27213" s="7" t="s">
        <v>101</v>
      </c>
      <c r="F27213" s="7" t="s">
        <v>87</v>
      </c>
      <c r="G27213" s="7" t="s">
        <v>78</v>
      </c>
      <c r="H27213" s="7" t="s">
        <v>79</v>
      </c>
    </row>
    <row r="27214" spans="1:18">
      <c r="A27214" t="s">
        <v>4</v>
      </c>
      <c r="B27214" s="4" t="s">
        <v>5</v>
      </c>
      <c r="C27214" s="4" t="s">
        <v>11</v>
      </c>
      <c r="D27214" s="4" t="s">
        <v>13</v>
      </c>
      <c r="E27214" s="4" t="s">
        <v>13</v>
      </c>
      <c r="F27214" s="4" t="s">
        <v>13</v>
      </c>
      <c r="G27214" s="4" t="s">
        <v>13</v>
      </c>
    </row>
    <row r="27215" spans="1:18">
      <c r="A27215" t="n">
        <v>265394</v>
      </c>
      <c r="B27215" s="36" t="n">
        <v>46</v>
      </c>
      <c r="C27215" s="7" t="n">
        <v>61456</v>
      </c>
      <c r="D27215" s="7" t="n">
        <v>-19.2800006866455</v>
      </c>
      <c r="E27215" s="7" t="n">
        <v>10.0100002288818</v>
      </c>
      <c r="F27215" s="7" t="n">
        <v>57.8699989318848</v>
      </c>
      <c r="G27215" s="7" t="n">
        <v>86.5</v>
      </c>
    </row>
    <row r="27216" spans="1:18">
      <c r="A27216" t="s">
        <v>4</v>
      </c>
      <c r="B27216" s="4" t="s">
        <v>5</v>
      </c>
      <c r="C27216" s="4" t="s">
        <v>7</v>
      </c>
      <c r="D27216" s="4" t="s">
        <v>7</v>
      </c>
      <c r="E27216" s="4" t="s">
        <v>13</v>
      </c>
      <c r="F27216" s="4" t="s">
        <v>13</v>
      </c>
      <c r="G27216" s="4" t="s">
        <v>13</v>
      </c>
      <c r="H27216" s="4" t="s">
        <v>11</v>
      </c>
      <c r="I27216" s="4" t="s">
        <v>7</v>
      </c>
    </row>
    <row r="27217" spans="1:9">
      <c r="A27217" t="n">
        <v>265413</v>
      </c>
      <c r="B27217" s="51" t="n">
        <v>45</v>
      </c>
      <c r="C27217" s="7" t="n">
        <v>4</v>
      </c>
      <c r="D27217" s="7" t="n">
        <v>3</v>
      </c>
      <c r="E27217" s="7" t="n">
        <v>7</v>
      </c>
      <c r="F27217" s="7" t="n">
        <v>111.430000305176</v>
      </c>
      <c r="G27217" s="7" t="n">
        <v>0</v>
      </c>
      <c r="H27217" s="7" t="n">
        <v>0</v>
      </c>
      <c r="I27217" s="7" t="n">
        <v>0</v>
      </c>
    </row>
    <row r="27218" spans="1:9">
      <c r="A27218" t="s">
        <v>4</v>
      </c>
      <c r="B27218" s="4" t="s">
        <v>5</v>
      </c>
      <c r="C27218" s="4" t="s">
        <v>7</v>
      </c>
      <c r="D27218" s="4" t="s">
        <v>8</v>
      </c>
    </row>
    <row r="27219" spans="1:9">
      <c r="A27219" t="n">
        <v>265431</v>
      </c>
      <c r="B27219" s="6" t="n">
        <v>2</v>
      </c>
      <c r="C27219" s="7" t="n">
        <v>10</v>
      </c>
      <c r="D27219" s="7" t="s">
        <v>1834</v>
      </c>
    </row>
    <row r="27220" spans="1:9">
      <c r="A27220" t="s">
        <v>4</v>
      </c>
      <c r="B27220" s="4" t="s">
        <v>5</v>
      </c>
    </row>
    <row r="27221" spans="1:9">
      <c r="A27221" t="n">
        <v>265452</v>
      </c>
      <c r="B27221" s="5" t="n">
        <v>1</v>
      </c>
    </row>
    <row r="27222" spans="1:9" s="3" customFormat="1" customHeight="0">
      <c r="A27222" s="3" t="s">
        <v>2</v>
      </c>
      <c r="B27222" s="3" t="s">
        <v>1840</v>
      </c>
    </row>
    <row r="27223" spans="1:9">
      <c r="A27223" t="s">
        <v>4</v>
      </c>
      <c r="B27223" s="4" t="s">
        <v>5</v>
      </c>
      <c r="C27223" s="4" t="s">
        <v>7</v>
      </c>
      <c r="D27223" s="4" t="s">
        <v>7</v>
      </c>
      <c r="E27223" s="4" t="s">
        <v>7</v>
      </c>
      <c r="F27223" s="4" t="s">
        <v>7</v>
      </c>
    </row>
    <row r="27224" spans="1:9">
      <c r="A27224" t="n">
        <v>265456</v>
      </c>
      <c r="B27224" s="9" t="n">
        <v>14</v>
      </c>
      <c r="C27224" s="7" t="n">
        <v>2</v>
      </c>
      <c r="D27224" s="7" t="n">
        <v>0</v>
      </c>
      <c r="E27224" s="7" t="n">
        <v>0</v>
      </c>
      <c r="F27224" s="7" t="n">
        <v>0</v>
      </c>
    </row>
    <row r="27225" spans="1:9">
      <c r="A27225" t="s">
        <v>4</v>
      </c>
      <c r="B27225" s="4" t="s">
        <v>5</v>
      </c>
      <c r="C27225" s="4" t="s">
        <v>7</v>
      </c>
      <c r="D27225" s="20" t="s">
        <v>35</v>
      </c>
      <c r="E27225" s="4" t="s">
        <v>5</v>
      </c>
      <c r="F27225" s="4" t="s">
        <v>7</v>
      </c>
      <c r="G27225" s="4" t="s">
        <v>11</v>
      </c>
      <c r="H27225" s="20" t="s">
        <v>36</v>
      </c>
      <c r="I27225" s="4" t="s">
        <v>7</v>
      </c>
      <c r="J27225" s="4" t="s">
        <v>15</v>
      </c>
      <c r="K27225" s="4" t="s">
        <v>7</v>
      </c>
      <c r="L27225" s="4" t="s">
        <v>7</v>
      </c>
      <c r="M27225" s="20" t="s">
        <v>35</v>
      </c>
      <c r="N27225" s="4" t="s">
        <v>5</v>
      </c>
      <c r="O27225" s="4" t="s">
        <v>7</v>
      </c>
      <c r="P27225" s="4" t="s">
        <v>11</v>
      </c>
      <c r="Q27225" s="20" t="s">
        <v>36</v>
      </c>
      <c r="R27225" s="4" t="s">
        <v>7</v>
      </c>
      <c r="S27225" s="4" t="s">
        <v>15</v>
      </c>
      <c r="T27225" s="4" t="s">
        <v>7</v>
      </c>
      <c r="U27225" s="4" t="s">
        <v>7</v>
      </c>
      <c r="V27225" s="4" t="s">
        <v>7</v>
      </c>
      <c r="W27225" s="4" t="s">
        <v>12</v>
      </c>
    </row>
    <row r="27226" spans="1:9">
      <c r="A27226" t="n">
        <v>265461</v>
      </c>
      <c r="B27226" s="10" t="n">
        <v>5</v>
      </c>
      <c r="C27226" s="7" t="n">
        <v>28</v>
      </c>
      <c r="D27226" s="20" t="s">
        <v>3</v>
      </c>
      <c r="E27226" s="8" t="n">
        <v>162</v>
      </c>
      <c r="F27226" s="7" t="n">
        <v>3</v>
      </c>
      <c r="G27226" s="7" t="n">
        <v>36883</v>
      </c>
      <c r="H27226" s="20" t="s">
        <v>3</v>
      </c>
      <c r="I27226" s="7" t="n">
        <v>0</v>
      </c>
      <c r="J27226" s="7" t="n">
        <v>1</v>
      </c>
      <c r="K27226" s="7" t="n">
        <v>2</v>
      </c>
      <c r="L27226" s="7" t="n">
        <v>28</v>
      </c>
      <c r="M27226" s="20" t="s">
        <v>3</v>
      </c>
      <c r="N27226" s="8" t="n">
        <v>162</v>
      </c>
      <c r="O27226" s="7" t="n">
        <v>3</v>
      </c>
      <c r="P27226" s="7" t="n">
        <v>36883</v>
      </c>
      <c r="Q27226" s="20" t="s">
        <v>3</v>
      </c>
      <c r="R27226" s="7" t="n">
        <v>0</v>
      </c>
      <c r="S27226" s="7" t="n">
        <v>2</v>
      </c>
      <c r="T27226" s="7" t="n">
        <v>2</v>
      </c>
      <c r="U27226" s="7" t="n">
        <v>11</v>
      </c>
      <c r="V27226" s="7" t="n">
        <v>1</v>
      </c>
      <c r="W27226" s="11" t="n">
        <f t="normal" ca="1">A27230</f>
        <v>0</v>
      </c>
    </row>
    <row r="27227" spans="1:9">
      <c r="A27227" t="s">
        <v>4</v>
      </c>
      <c r="B27227" s="4" t="s">
        <v>5</v>
      </c>
      <c r="C27227" s="4" t="s">
        <v>7</v>
      </c>
      <c r="D27227" s="4" t="s">
        <v>11</v>
      </c>
      <c r="E27227" s="4" t="s">
        <v>13</v>
      </c>
    </row>
    <row r="27228" spans="1:9">
      <c r="A27228" t="n">
        <v>265490</v>
      </c>
      <c r="B27228" s="23" t="n">
        <v>58</v>
      </c>
      <c r="C27228" s="7" t="n">
        <v>0</v>
      </c>
      <c r="D27228" s="7" t="n">
        <v>0</v>
      </c>
      <c r="E27228" s="7" t="n">
        <v>1</v>
      </c>
    </row>
    <row r="27229" spans="1:9">
      <c r="A27229" t="s">
        <v>4</v>
      </c>
      <c r="B27229" s="4" t="s">
        <v>5</v>
      </c>
      <c r="C27229" s="4" t="s">
        <v>7</v>
      </c>
      <c r="D27229" s="20" t="s">
        <v>35</v>
      </c>
      <c r="E27229" s="4" t="s">
        <v>5</v>
      </c>
      <c r="F27229" s="4" t="s">
        <v>7</v>
      </c>
      <c r="G27229" s="4" t="s">
        <v>11</v>
      </c>
      <c r="H27229" s="20" t="s">
        <v>36</v>
      </c>
      <c r="I27229" s="4" t="s">
        <v>7</v>
      </c>
      <c r="J27229" s="4" t="s">
        <v>15</v>
      </c>
      <c r="K27229" s="4" t="s">
        <v>7</v>
      </c>
      <c r="L27229" s="4" t="s">
        <v>7</v>
      </c>
      <c r="M27229" s="20" t="s">
        <v>35</v>
      </c>
      <c r="N27229" s="4" t="s">
        <v>5</v>
      </c>
      <c r="O27229" s="4" t="s">
        <v>7</v>
      </c>
      <c r="P27229" s="4" t="s">
        <v>11</v>
      </c>
      <c r="Q27229" s="20" t="s">
        <v>36</v>
      </c>
      <c r="R27229" s="4" t="s">
        <v>7</v>
      </c>
      <c r="S27229" s="4" t="s">
        <v>15</v>
      </c>
      <c r="T27229" s="4" t="s">
        <v>7</v>
      </c>
      <c r="U27229" s="4" t="s">
        <v>7</v>
      </c>
      <c r="V27229" s="4" t="s">
        <v>7</v>
      </c>
      <c r="W27229" s="4" t="s">
        <v>12</v>
      </c>
    </row>
    <row r="27230" spans="1:9">
      <c r="A27230" t="n">
        <v>265498</v>
      </c>
      <c r="B27230" s="10" t="n">
        <v>5</v>
      </c>
      <c r="C27230" s="7" t="n">
        <v>28</v>
      </c>
      <c r="D27230" s="20" t="s">
        <v>3</v>
      </c>
      <c r="E27230" s="8" t="n">
        <v>162</v>
      </c>
      <c r="F27230" s="7" t="n">
        <v>3</v>
      </c>
      <c r="G27230" s="7" t="n">
        <v>36883</v>
      </c>
      <c r="H27230" s="20" t="s">
        <v>3</v>
      </c>
      <c r="I27230" s="7" t="n">
        <v>0</v>
      </c>
      <c r="J27230" s="7" t="n">
        <v>1</v>
      </c>
      <c r="K27230" s="7" t="n">
        <v>3</v>
      </c>
      <c r="L27230" s="7" t="n">
        <v>28</v>
      </c>
      <c r="M27230" s="20" t="s">
        <v>3</v>
      </c>
      <c r="N27230" s="8" t="n">
        <v>162</v>
      </c>
      <c r="O27230" s="7" t="n">
        <v>3</v>
      </c>
      <c r="P27230" s="7" t="n">
        <v>36883</v>
      </c>
      <c r="Q27230" s="20" t="s">
        <v>3</v>
      </c>
      <c r="R27230" s="7" t="n">
        <v>0</v>
      </c>
      <c r="S27230" s="7" t="n">
        <v>2</v>
      </c>
      <c r="T27230" s="7" t="n">
        <v>3</v>
      </c>
      <c r="U27230" s="7" t="n">
        <v>9</v>
      </c>
      <c r="V27230" s="7" t="n">
        <v>1</v>
      </c>
      <c r="W27230" s="11" t="n">
        <f t="normal" ca="1">A27240</f>
        <v>0</v>
      </c>
    </row>
    <row r="27231" spans="1:9">
      <c r="A27231" t="s">
        <v>4</v>
      </c>
      <c r="B27231" s="4" t="s">
        <v>5</v>
      </c>
      <c r="C27231" s="4" t="s">
        <v>7</v>
      </c>
      <c r="D27231" s="20" t="s">
        <v>35</v>
      </c>
      <c r="E27231" s="4" t="s">
        <v>5</v>
      </c>
      <c r="F27231" s="4" t="s">
        <v>11</v>
      </c>
      <c r="G27231" s="4" t="s">
        <v>7</v>
      </c>
      <c r="H27231" s="4" t="s">
        <v>7</v>
      </c>
      <c r="I27231" s="4" t="s">
        <v>8</v>
      </c>
      <c r="J27231" s="20" t="s">
        <v>36</v>
      </c>
      <c r="K27231" s="4" t="s">
        <v>7</v>
      </c>
      <c r="L27231" s="4" t="s">
        <v>7</v>
      </c>
      <c r="M27231" s="20" t="s">
        <v>35</v>
      </c>
      <c r="N27231" s="4" t="s">
        <v>5</v>
      </c>
      <c r="O27231" s="4" t="s">
        <v>7</v>
      </c>
      <c r="P27231" s="20" t="s">
        <v>36</v>
      </c>
      <c r="Q27231" s="4" t="s">
        <v>7</v>
      </c>
      <c r="R27231" s="4" t="s">
        <v>15</v>
      </c>
      <c r="S27231" s="4" t="s">
        <v>7</v>
      </c>
      <c r="T27231" s="4" t="s">
        <v>7</v>
      </c>
      <c r="U27231" s="4" t="s">
        <v>7</v>
      </c>
      <c r="V27231" s="20" t="s">
        <v>35</v>
      </c>
      <c r="W27231" s="4" t="s">
        <v>5</v>
      </c>
      <c r="X27231" s="4" t="s">
        <v>7</v>
      </c>
      <c r="Y27231" s="20" t="s">
        <v>36</v>
      </c>
      <c r="Z27231" s="4" t="s">
        <v>7</v>
      </c>
      <c r="AA27231" s="4" t="s">
        <v>15</v>
      </c>
      <c r="AB27231" s="4" t="s">
        <v>7</v>
      </c>
      <c r="AC27231" s="4" t="s">
        <v>7</v>
      </c>
      <c r="AD27231" s="4" t="s">
        <v>7</v>
      </c>
      <c r="AE27231" s="4" t="s">
        <v>12</v>
      </c>
    </row>
    <row r="27232" spans="1:9">
      <c r="A27232" t="n">
        <v>265527</v>
      </c>
      <c r="B27232" s="10" t="n">
        <v>5</v>
      </c>
      <c r="C27232" s="7" t="n">
        <v>28</v>
      </c>
      <c r="D27232" s="20" t="s">
        <v>3</v>
      </c>
      <c r="E27232" s="41" t="n">
        <v>47</v>
      </c>
      <c r="F27232" s="7" t="n">
        <v>61456</v>
      </c>
      <c r="G27232" s="7" t="n">
        <v>2</v>
      </c>
      <c r="H27232" s="7" t="n">
        <v>0</v>
      </c>
      <c r="I27232" s="7" t="s">
        <v>105</v>
      </c>
      <c r="J27232" s="20" t="s">
        <v>3</v>
      </c>
      <c r="K27232" s="7" t="n">
        <v>8</v>
      </c>
      <c r="L27232" s="7" t="n">
        <v>28</v>
      </c>
      <c r="M27232" s="20" t="s">
        <v>3</v>
      </c>
      <c r="N27232" s="45" t="n">
        <v>74</v>
      </c>
      <c r="O27232" s="7" t="n">
        <v>65</v>
      </c>
      <c r="P27232" s="20" t="s">
        <v>3</v>
      </c>
      <c r="Q27232" s="7" t="n">
        <v>0</v>
      </c>
      <c r="R27232" s="7" t="n">
        <v>1</v>
      </c>
      <c r="S27232" s="7" t="n">
        <v>3</v>
      </c>
      <c r="T27232" s="7" t="n">
        <v>9</v>
      </c>
      <c r="U27232" s="7" t="n">
        <v>28</v>
      </c>
      <c r="V27232" s="20" t="s">
        <v>3</v>
      </c>
      <c r="W27232" s="45" t="n">
        <v>74</v>
      </c>
      <c r="X27232" s="7" t="n">
        <v>65</v>
      </c>
      <c r="Y27232" s="20" t="s">
        <v>3</v>
      </c>
      <c r="Z27232" s="7" t="n">
        <v>0</v>
      </c>
      <c r="AA27232" s="7" t="n">
        <v>2</v>
      </c>
      <c r="AB27232" s="7" t="n">
        <v>3</v>
      </c>
      <c r="AC27232" s="7" t="n">
        <v>9</v>
      </c>
      <c r="AD27232" s="7" t="n">
        <v>1</v>
      </c>
      <c r="AE27232" s="11" t="n">
        <f t="normal" ca="1">A27236</f>
        <v>0</v>
      </c>
    </row>
    <row r="27233" spans="1:31">
      <c r="A27233" t="s">
        <v>4</v>
      </c>
      <c r="B27233" s="4" t="s">
        <v>5</v>
      </c>
      <c r="C27233" s="4" t="s">
        <v>11</v>
      </c>
      <c r="D27233" s="4" t="s">
        <v>7</v>
      </c>
      <c r="E27233" s="4" t="s">
        <v>7</v>
      </c>
      <c r="F27233" s="4" t="s">
        <v>8</v>
      </c>
    </row>
    <row r="27234" spans="1:31">
      <c r="A27234" t="n">
        <v>265575</v>
      </c>
      <c r="B27234" s="41" t="n">
        <v>47</v>
      </c>
      <c r="C27234" s="7" t="n">
        <v>61456</v>
      </c>
      <c r="D27234" s="7" t="n">
        <v>0</v>
      </c>
      <c r="E27234" s="7" t="n">
        <v>0</v>
      </c>
      <c r="F27234" s="7" t="s">
        <v>106</v>
      </c>
    </row>
    <row r="27235" spans="1:31">
      <c r="A27235" t="s">
        <v>4</v>
      </c>
      <c r="B27235" s="4" t="s">
        <v>5</v>
      </c>
      <c r="C27235" s="4" t="s">
        <v>7</v>
      </c>
      <c r="D27235" s="4" t="s">
        <v>11</v>
      </c>
      <c r="E27235" s="4" t="s">
        <v>13</v>
      </c>
    </row>
    <row r="27236" spans="1:31">
      <c r="A27236" t="n">
        <v>265588</v>
      </c>
      <c r="B27236" s="23" t="n">
        <v>58</v>
      </c>
      <c r="C27236" s="7" t="n">
        <v>0</v>
      </c>
      <c r="D27236" s="7" t="n">
        <v>300</v>
      </c>
      <c r="E27236" s="7" t="n">
        <v>1</v>
      </c>
    </row>
    <row r="27237" spans="1:31">
      <c r="A27237" t="s">
        <v>4</v>
      </c>
      <c r="B27237" s="4" t="s">
        <v>5</v>
      </c>
      <c r="C27237" s="4" t="s">
        <v>7</v>
      </c>
      <c r="D27237" s="4" t="s">
        <v>11</v>
      </c>
    </row>
    <row r="27238" spans="1:31">
      <c r="A27238" t="n">
        <v>265596</v>
      </c>
      <c r="B27238" s="23" t="n">
        <v>58</v>
      </c>
      <c r="C27238" s="7" t="n">
        <v>255</v>
      </c>
      <c r="D27238" s="7" t="n">
        <v>0</v>
      </c>
    </row>
    <row r="27239" spans="1:31">
      <c r="A27239" t="s">
        <v>4</v>
      </c>
      <c r="B27239" s="4" t="s">
        <v>5</v>
      </c>
      <c r="C27239" s="4" t="s">
        <v>7</v>
      </c>
      <c r="D27239" s="4" t="s">
        <v>7</v>
      </c>
      <c r="E27239" s="4" t="s">
        <v>7</v>
      </c>
      <c r="F27239" s="4" t="s">
        <v>7</v>
      </c>
    </row>
    <row r="27240" spans="1:31">
      <c r="A27240" t="n">
        <v>265600</v>
      </c>
      <c r="B27240" s="9" t="n">
        <v>14</v>
      </c>
      <c r="C27240" s="7" t="n">
        <v>0</v>
      </c>
      <c r="D27240" s="7" t="n">
        <v>0</v>
      </c>
      <c r="E27240" s="7" t="n">
        <v>0</v>
      </c>
      <c r="F27240" s="7" t="n">
        <v>64</v>
      </c>
    </row>
    <row r="27241" spans="1:31">
      <c r="A27241" t="s">
        <v>4</v>
      </c>
      <c r="B27241" s="4" t="s">
        <v>5</v>
      </c>
      <c r="C27241" s="4" t="s">
        <v>7</v>
      </c>
      <c r="D27241" s="4" t="s">
        <v>11</v>
      </c>
    </row>
    <row r="27242" spans="1:31">
      <c r="A27242" t="n">
        <v>265605</v>
      </c>
      <c r="B27242" s="22" t="n">
        <v>22</v>
      </c>
      <c r="C27242" s="7" t="n">
        <v>0</v>
      </c>
      <c r="D27242" s="7" t="n">
        <v>36883</v>
      </c>
    </row>
    <row r="27243" spans="1:31">
      <c r="A27243" t="s">
        <v>4</v>
      </c>
      <c r="B27243" s="4" t="s">
        <v>5</v>
      </c>
      <c r="C27243" s="4" t="s">
        <v>7</v>
      </c>
      <c r="D27243" s="4" t="s">
        <v>11</v>
      </c>
    </row>
    <row r="27244" spans="1:31">
      <c r="A27244" t="n">
        <v>265609</v>
      </c>
      <c r="B27244" s="23" t="n">
        <v>58</v>
      </c>
      <c r="C27244" s="7" t="n">
        <v>5</v>
      </c>
      <c r="D27244" s="7" t="n">
        <v>300</v>
      </c>
    </row>
    <row r="27245" spans="1:31">
      <c r="A27245" t="s">
        <v>4</v>
      </c>
      <c r="B27245" s="4" t="s">
        <v>5</v>
      </c>
      <c r="C27245" s="4" t="s">
        <v>13</v>
      </c>
      <c r="D27245" s="4" t="s">
        <v>11</v>
      </c>
    </row>
    <row r="27246" spans="1:31">
      <c r="A27246" t="n">
        <v>265613</v>
      </c>
      <c r="B27246" s="46" t="n">
        <v>103</v>
      </c>
      <c r="C27246" s="7" t="n">
        <v>0</v>
      </c>
      <c r="D27246" s="7" t="n">
        <v>300</v>
      </c>
    </row>
    <row r="27247" spans="1:31">
      <c r="A27247" t="s">
        <v>4</v>
      </c>
      <c r="B27247" s="4" t="s">
        <v>5</v>
      </c>
      <c r="C27247" s="4" t="s">
        <v>7</v>
      </c>
    </row>
    <row r="27248" spans="1:31">
      <c r="A27248" t="n">
        <v>265620</v>
      </c>
      <c r="B27248" s="47" t="n">
        <v>64</v>
      </c>
      <c r="C27248" s="7" t="n">
        <v>7</v>
      </c>
    </row>
    <row r="27249" spans="1:6">
      <c r="A27249" t="s">
        <v>4</v>
      </c>
      <c r="B27249" s="4" t="s">
        <v>5</v>
      </c>
      <c r="C27249" s="4" t="s">
        <v>7</v>
      </c>
      <c r="D27249" s="4" t="s">
        <v>11</v>
      </c>
    </row>
    <row r="27250" spans="1:6">
      <c r="A27250" t="n">
        <v>265622</v>
      </c>
      <c r="B27250" s="48" t="n">
        <v>72</v>
      </c>
      <c r="C27250" s="7" t="n">
        <v>5</v>
      </c>
      <c r="D27250" s="7" t="n">
        <v>0</v>
      </c>
    </row>
    <row r="27251" spans="1:6">
      <c r="A27251" t="s">
        <v>4</v>
      </c>
      <c r="B27251" s="4" t="s">
        <v>5</v>
      </c>
      <c r="C27251" s="4" t="s">
        <v>7</v>
      </c>
      <c r="D27251" s="20" t="s">
        <v>35</v>
      </c>
      <c r="E27251" s="4" t="s">
        <v>5</v>
      </c>
      <c r="F27251" s="4" t="s">
        <v>7</v>
      </c>
      <c r="G27251" s="4" t="s">
        <v>11</v>
      </c>
      <c r="H27251" s="20" t="s">
        <v>36</v>
      </c>
      <c r="I27251" s="4" t="s">
        <v>7</v>
      </c>
      <c r="J27251" s="4" t="s">
        <v>15</v>
      </c>
      <c r="K27251" s="4" t="s">
        <v>7</v>
      </c>
      <c r="L27251" s="4" t="s">
        <v>7</v>
      </c>
      <c r="M27251" s="4" t="s">
        <v>12</v>
      </c>
    </row>
    <row r="27252" spans="1:6">
      <c r="A27252" t="n">
        <v>265626</v>
      </c>
      <c r="B27252" s="10" t="n">
        <v>5</v>
      </c>
      <c r="C27252" s="7" t="n">
        <v>28</v>
      </c>
      <c r="D27252" s="20" t="s">
        <v>3</v>
      </c>
      <c r="E27252" s="8" t="n">
        <v>162</v>
      </c>
      <c r="F27252" s="7" t="n">
        <v>4</v>
      </c>
      <c r="G27252" s="7" t="n">
        <v>36883</v>
      </c>
      <c r="H27252" s="20" t="s">
        <v>3</v>
      </c>
      <c r="I27252" s="7" t="n">
        <v>0</v>
      </c>
      <c r="J27252" s="7" t="n">
        <v>1</v>
      </c>
      <c r="K27252" s="7" t="n">
        <v>2</v>
      </c>
      <c r="L27252" s="7" t="n">
        <v>1</v>
      </c>
      <c r="M27252" s="11" t="n">
        <f t="normal" ca="1">A27258</f>
        <v>0</v>
      </c>
    </row>
    <row r="27253" spans="1:6">
      <c r="A27253" t="s">
        <v>4</v>
      </c>
      <c r="B27253" s="4" t="s">
        <v>5</v>
      </c>
      <c r="C27253" s="4" t="s">
        <v>7</v>
      </c>
      <c r="D27253" s="4" t="s">
        <v>8</v>
      </c>
    </row>
    <row r="27254" spans="1:6">
      <c r="A27254" t="n">
        <v>265643</v>
      </c>
      <c r="B27254" s="6" t="n">
        <v>2</v>
      </c>
      <c r="C27254" s="7" t="n">
        <v>10</v>
      </c>
      <c r="D27254" s="7" t="s">
        <v>107</v>
      </c>
    </row>
    <row r="27255" spans="1:6">
      <c r="A27255" t="s">
        <v>4</v>
      </c>
      <c r="B27255" s="4" t="s">
        <v>5</v>
      </c>
      <c r="C27255" s="4" t="s">
        <v>11</v>
      </c>
    </row>
    <row r="27256" spans="1:6">
      <c r="A27256" t="n">
        <v>265660</v>
      </c>
      <c r="B27256" s="29" t="n">
        <v>16</v>
      </c>
      <c r="C27256" s="7" t="n">
        <v>0</v>
      </c>
    </row>
    <row r="27257" spans="1:6">
      <c r="A27257" t="s">
        <v>4</v>
      </c>
      <c r="B27257" s="4" t="s">
        <v>5</v>
      </c>
      <c r="C27257" s="4" t="s">
        <v>7</v>
      </c>
      <c r="D27257" s="4" t="s">
        <v>11</v>
      </c>
      <c r="E27257" s="4" t="s">
        <v>11</v>
      </c>
      <c r="F27257" s="4" t="s">
        <v>11</v>
      </c>
      <c r="G27257" s="4" t="s">
        <v>11</v>
      </c>
      <c r="H27257" s="4" t="s">
        <v>11</v>
      </c>
      <c r="I27257" s="4" t="s">
        <v>11</v>
      </c>
      <c r="J27257" s="4" t="s">
        <v>11</v>
      </c>
      <c r="K27257" s="4" t="s">
        <v>11</v>
      </c>
      <c r="L27257" s="4" t="s">
        <v>11</v>
      </c>
      <c r="M27257" s="4" t="s">
        <v>11</v>
      </c>
      <c r="N27257" s="4" t="s">
        <v>15</v>
      </c>
      <c r="O27257" s="4" t="s">
        <v>15</v>
      </c>
      <c r="P27257" s="4" t="s">
        <v>15</v>
      </c>
      <c r="Q27257" s="4" t="s">
        <v>15</v>
      </c>
      <c r="R27257" s="4" t="s">
        <v>7</v>
      </c>
      <c r="S27257" s="4" t="s">
        <v>8</v>
      </c>
    </row>
    <row r="27258" spans="1:6">
      <c r="A27258" t="n">
        <v>265663</v>
      </c>
      <c r="B27258" s="24" t="n">
        <v>75</v>
      </c>
      <c r="C27258" s="7" t="n">
        <v>0</v>
      </c>
      <c r="D27258" s="7" t="n">
        <v>484</v>
      </c>
      <c r="E27258" s="7" t="n">
        <v>328</v>
      </c>
      <c r="F27258" s="7" t="n">
        <v>996</v>
      </c>
      <c r="G27258" s="7" t="n">
        <v>392</v>
      </c>
      <c r="H27258" s="7" t="n">
        <v>0</v>
      </c>
      <c r="I27258" s="7" t="n">
        <v>0</v>
      </c>
      <c r="J27258" s="7" t="n">
        <v>0</v>
      </c>
      <c r="K27258" s="7" t="n">
        <v>448</v>
      </c>
      <c r="L27258" s="7" t="n">
        <v>512</v>
      </c>
      <c r="M27258" s="7" t="n">
        <v>512</v>
      </c>
      <c r="N27258" s="7" t="n">
        <v>1065353216</v>
      </c>
      <c r="O27258" s="7" t="n">
        <v>1065353216</v>
      </c>
      <c r="P27258" s="7" t="n">
        <v>1065353216</v>
      </c>
      <c r="Q27258" s="7" t="n">
        <v>0</v>
      </c>
      <c r="R27258" s="7" t="n">
        <v>0</v>
      </c>
      <c r="S27258" s="7" t="s">
        <v>271</v>
      </c>
    </row>
    <row r="27259" spans="1:6">
      <c r="A27259" t="s">
        <v>4</v>
      </c>
      <c r="B27259" s="4" t="s">
        <v>5</v>
      </c>
      <c r="C27259" s="4" t="s">
        <v>11</v>
      </c>
      <c r="D27259" s="4" t="s">
        <v>8</v>
      </c>
      <c r="E27259" s="4" t="s">
        <v>8</v>
      </c>
      <c r="F27259" s="4" t="s">
        <v>8</v>
      </c>
      <c r="G27259" s="4" t="s">
        <v>7</v>
      </c>
      <c r="H27259" s="4" t="s">
        <v>15</v>
      </c>
      <c r="I27259" s="4" t="s">
        <v>13</v>
      </c>
      <c r="J27259" s="4" t="s">
        <v>13</v>
      </c>
      <c r="K27259" s="4" t="s">
        <v>13</v>
      </c>
      <c r="L27259" s="4" t="s">
        <v>13</v>
      </c>
      <c r="M27259" s="4" t="s">
        <v>13</v>
      </c>
      <c r="N27259" s="4" t="s">
        <v>13</v>
      </c>
      <c r="O27259" s="4" t="s">
        <v>13</v>
      </c>
      <c r="P27259" s="4" t="s">
        <v>8</v>
      </c>
      <c r="Q27259" s="4" t="s">
        <v>8</v>
      </c>
      <c r="R27259" s="4" t="s">
        <v>15</v>
      </c>
      <c r="S27259" s="4" t="s">
        <v>7</v>
      </c>
      <c r="T27259" s="4" t="s">
        <v>15</v>
      </c>
      <c r="U27259" s="4" t="s">
        <v>15</v>
      </c>
      <c r="V27259" s="4" t="s">
        <v>11</v>
      </c>
    </row>
    <row r="27260" spans="1:6">
      <c r="A27260" t="n">
        <v>265712</v>
      </c>
      <c r="B27260" s="62" t="n">
        <v>19</v>
      </c>
      <c r="C27260" s="7" t="n">
        <v>7</v>
      </c>
      <c r="D27260" s="7" t="s">
        <v>552</v>
      </c>
      <c r="E27260" s="7" t="s">
        <v>553</v>
      </c>
      <c r="F27260" s="7" t="s">
        <v>16</v>
      </c>
      <c r="G27260" s="7" t="n">
        <v>0</v>
      </c>
      <c r="H27260" s="7" t="n">
        <v>1</v>
      </c>
      <c r="I27260" s="7" t="n">
        <v>0</v>
      </c>
      <c r="J27260" s="7" t="n">
        <v>0</v>
      </c>
      <c r="K27260" s="7" t="n">
        <v>0</v>
      </c>
      <c r="L27260" s="7" t="n">
        <v>0</v>
      </c>
      <c r="M27260" s="7" t="n">
        <v>1</v>
      </c>
      <c r="N27260" s="7" t="n">
        <v>1.60000002384186</v>
      </c>
      <c r="O27260" s="7" t="n">
        <v>0.0900000035762787</v>
      </c>
      <c r="P27260" s="7" t="s">
        <v>16</v>
      </c>
      <c r="Q27260" s="7" t="s">
        <v>16</v>
      </c>
      <c r="R27260" s="7" t="n">
        <v>-1</v>
      </c>
      <c r="S27260" s="7" t="n">
        <v>0</v>
      </c>
      <c r="T27260" s="7" t="n">
        <v>0</v>
      </c>
      <c r="U27260" s="7" t="n">
        <v>0</v>
      </c>
      <c r="V27260" s="7" t="n">
        <v>0</v>
      </c>
    </row>
    <row r="27261" spans="1:6">
      <c r="A27261" t="s">
        <v>4</v>
      </c>
      <c r="B27261" s="4" t="s">
        <v>5</v>
      </c>
      <c r="C27261" s="4" t="s">
        <v>11</v>
      </c>
      <c r="D27261" s="4" t="s">
        <v>7</v>
      </c>
      <c r="E27261" s="4" t="s">
        <v>7</v>
      </c>
      <c r="F27261" s="4" t="s">
        <v>8</v>
      </c>
    </row>
    <row r="27262" spans="1:6">
      <c r="A27262" t="n">
        <v>265783</v>
      </c>
      <c r="B27262" s="50" t="n">
        <v>20</v>
      </c>
      <c r="C27262" s="7" t="n">
        <v>0</v>
      </c>
      <c r="D27262" s="7" t="n">
        <v>3</v>
      </c>
      <c r="E27262" s="7" t="n">
        <v>10</v>
      </c>
      <c r="F27262" s="7" t="s">
        <v>108</v>
      </c>
    </row>
    <row r="27263" spans="1:6">
      <c r="A27263" t="s">
        <v>4</v>
      </c>
      <c r="B27263" s="4" t="s">
        <v>5</v>
      </c>
      <c r="C27263" s="4" t="s">
        <v>11</v>
      </c>
    </row>
    <row r="27264" spans="1:6">
      <c r="A27264" t="n">
        <v>265801</v>
      </c>
      <c r="B27264" s="29" t="n">
        <v>16</v>
      </c>
      <c r="C27264" s="7" t="n">
        <v>0</v>
      </c>
    </row>
    <row r="27265" spans="1:22">
      <c r="A27265" t="s">
        <v>4</v>
      </c>
      <c r="B27265" s="4" t="s">
        <v>5</v>
      </c>
      <c r="C27265" s="4" t="s">
        <v>11</v>
      </c>
      <c r="D27265" s="4" t="s">
        <v>7</v>
      </c>
      <c r="E27265" s="4" t="s">
        <v>7</v>
      </c>
      <c r="F27265" s="4" t="s">
        <v>8</v>
      </c>
    </row>
    <row r="27266" spans="1:22">
      <c r="A27266" t="n">
        <v>265804</v>
      </c>
      <c r="B27266" s="50" t="n">
        <v>20</v>
      </c>
      <c r="C27266" s="7" t="n">
        <v>7</v>
      </c>
      <c r="D27266" s="7" t="n">
        <v>3</v>
      </c>
      <c r="E27266" s="7" t="n">
        <v>10</v>
      </c>
      <c r="F27266" s="7" t="s">
        <v>108</v>
      </c>
    </row>
    <row r="27267" spans="1:22">
      <c r="A27267" t="s">
        <v>4</v>
      </c>
      <c r="B27267" s="4" t="s">
        <v>5</v>
      </c>
      <c r="C27267" s="4" t="s">
        <v>11</v>
      </c>
    </row>
    <row r="27268" spans="1:22">
      <c r="A27268" t="n">
        <v>265822</v>
      </c>
      <c r="B27268" s="29" t="n">
        <v>16</v>
      </c>
      <c r="C27268" s="7" t="n">
        <v>0</v>
      </c>
    </row>
    <row r="27269" spans="1:22">
      <c r="A27269" t="s">
        <v>4</v>
      </c>
      <c r="B27269" s="4" t="s">
        <v>5</v>
      </c>
      <c r="C27269" s="4" t="s">
        <v>11</v>
      </c>
      <c r="D27269" s="4" t="s">
        <v>15</v>
      </c>
    </row>
    <row r="27270" spans="1:22">
      <c r="A27270" t="n">
        <v>265825</v>
      </c>
      <c r="B27270" s="39" t="n">
        <v>43</v>
      </c>
      <c r="C27270" s="7" t="n">
        <v>7</v>
      </c>
      <c r="D27270" s="7" t="n">
        <v>1</v>
      </c>
    </row>
    <row r="27271" spans="1:22">
      <c r="A27271" t="s">
        <v>4</v>
      </c>
      <c r="B27271" s="4" t="s">
        <v>5</v>
      </c>
      <c r="C27271" s="4" t="s">
        <v>7</v>
      </c>
    </row>
    <row r="27272" spans="1:22">
      <c r="A27272" t="n">
        <v>265832</v>
      </c>
      <c r="B27272" s="49" t="n">
        <v>116</v>
      </c>
      <c r="C27272" s="7" t="n">
        <v>0</v>
      </c>
    </row>
    <row r="27273" spans="1:22">
      <c r="A27273" t="s">
        <v>4</v>
      </c>
      <c r="B27273" s="4" t="s">
        <v>5</v>
      </c>
      <c r="C27273" s="4" t="s">
        <v>7</v>
      </c>
      <c r="D27273" s="4" t="s">
        <v>11</v>
      </c>
    </row>
    <row r="27274" spans="1:22">
      <c r="A27274" t="n">
        <v>265834</v>
      </c>
      <c r="B27274" s="49" t="n">
        <v>116</v>
      </c>
      <c r="C27274" s="7" t="n">
        <v>2</v>
      </c>
      <c r="D27274" s="7" t="n">
        <v>1</v>
      </c>
    </row>
    <row r="27275" spans="1:22">
      <c r="A27275" t="s">
        <v>4</v>
      </c>
      <c r="B27275" s="4" t="s">
        <v>5</v>
      </c>
      <c r="C27275" s="4" t="s">
        <v>7</v>
      </c>
      <c r="D27275" s="4" t="s">
        <v>15</v>
      </c>
    </row>
    <row r="27276" spans="1:22">
      <c r="A27276" t="n">
        <v>265838</v>
      </c>
      <c r="B27276" s="49" t="n">
        <v>116</v>
      </c>
      <c r="C27276" s="7" t="n">
        <v>5</v>
      </c>
      <c r="D27276" s="7" t="n">
        <v>1106247680</v>
      </c>
    </row>
    <row r="27277" spans="1:22">
      <c r="A27277" t="s">
        <v>4</v>
      </c>
      <c r="B27277" s="4" t="s">
        <v>5</v>
      </c>
      <c r="C27277" s="4" t="s">
        <v>7</v>
      </c>
      <c r="D27277" s="4" t="s">
        <v>11</v>
      </c>
    </row>
    <row r="27278" spans="1:22">
      <c r="A27278" t="n">
        <v>265844</v>
      </c>
      <c r="B27278" s="49" t="n">
        <v>116</v>
      </c>
      <c r="C27278" s="7" t="n">
        <v>6</v>
      </c>
      <c r="D27278" s="7" t="n">
        <v>1</v>
      </c>
    </row>
    <row r="27279" spans="1:22">
      <c r="A27279" t="s">
        <v>4</v>
      </c>
      <c r="B27279" s="4" t="s">
        <v>5</v>
      </c>
      <c r="C27279" s="4" t="s">
        <v>7</v>
      </c>
      <c r="D27279" s="4" t="s">
        <v>11</v>
      </c>
      <c r="E27279" s="4" t="s">
        <v>11</v>
      </c>
      <c r="F27279" s="4" t="s">
        <v>15</v>
      </c>
    </row>
    <row r="27280" spans="1:22">
      <c r="A27280" t="n">
        <v>265848</v>
      </c>
      <c r="B27280" s="76" t="n">
        <v>84</v>
      </c>
      <c r="C27280" s="7" t="n">
        <v>0</v>
      </c>
      <c r="D27280" s="7" t="n">
        <v>0</v>
      </c>
      <c r="E27280" s="7" t="n">
        <v>0</v>
      </c>
      <c r="F27280" s="7" t="n">
        <v>1045220557</v>
      </c>
    </row>
    <row r="27281" spans="1:6">
      <c r="A27281" t="s">
        <v>4</v>
      </c>
      <c r="B27281" s="4" t="s">
        <v>5</v>
      </c>
      <c r="C27281" s="4" t="s">
        <v>11</v>
      </c>
      <c r="D27281" s="4" t="s">
        <v>13</v>
      </c>
      <c r="E27281" s="4" t="s">
        <v>13</v>
      </c>
      <c r="F27281" s="4" t="s">
        <v>13</v>
      </c>
      <c r="G27281" s="4" t="s">
        <v>13</v>
      </c>
    </row>
    <row r="27282" spans="1:6">
      <c r="A27282" t="n">
        <v>265858</v>
      </c>
      <c r="B27282" s="36" t="n">
        <v>46</v>
      </c>
      <c r="C27282" s="7" t="n">
        <v>7</v>
      </c>
      <c r="D27282" s="7" t="n">
        <v>7.6100001335144</v>
      </c>
      <c r="E27282" s="7" t="n">
        <v>0</v>
      </c>
      <c r="F27282" s="7" t="n">
        <v>46.0200004577637</v>
      </c>
      <c r="G27282" s="7" t="n">
        <v>272.200012207031</v>
      </c>
    </row>
    <row r="27283" spans="1:6">
      <c r="A27283" t="s">
        <v>4</v>
      </c>
      <c r="B27283" s="4" t="s">
        <v>5</v>
      </c>
      <c r="C27283" s="4" t="s">
        <v>11</v>
      </c>
      <c r="D27283" s="4" t="s">
        <v>13</v>
      </c>
      <c r="E27283" s="4" t="s">
        <v>13</v>
      </c>
      <c r="F27283" s="4" t="s">
        <v>13</v>
      </c>
      <c r="G27283" s="4" t="s">
        <v>13</v>
      </c>
    </row>
    <row r="27284" spans="1:6">
      <c r="A27284" t="n">
        <v>265877</v>
      </c>
      <c r="B27284" s="36" t="n">
        <v>46</v>
      </c>
      <c r="C27284" s="7" t="n">
        <v>0</v>
      </c>
      <c r="D27284" s="7" t="n">
        <v>4.78000020980835</v>
      </c>
      <c r="E27284" s="7" t="n">
        <v>0</v>
      </c>
      <c r="F27284" s="7" t="n">
        <v>45.3300018310547</v>
      </c>
      <c r="G27284" s="7" t="n">
        <v>-102.300003051758</v>
      </c>
    </row>
    <row r="27285" spans="1:6">
      <c r="A27285" t="s">
        <v>4</v>
      </c>
      <c r="B27285" s="4" t="s">
        <v>5</v>
      </c>
      <c r="C27285" s="4" t="s">
        <v>11</v>
      </c>
      <c r="D27285" s="4" t="s">
        <v>7</v>
      </c>
      <c r="E27285" s="4" t="s">
        <v>8</v>
      </c>
      <c r="F27285" s="4" t="s">
        <v>13</v>
      </c>
      <c r="G27285" s="4" t="s">
        <v>13</v>
      </c>
      <c r="H27285" s="4" t="s">
        <v>13</v>
      </c>
    </row>
    <row r="27286" spans="1:6">
      <c r="A27286" t="n">
        <v>265896</v>
      </c>
      <c r="B27286" s="42" t="n">
        <v>48</v>
      </c>
      <c r="C27286" s="7" t="n">
        <v>0</v>
      </c>
      <c r="D27286" s="7" t="n">
        <v>0</v>
      </c>
      <c r="E27286" s="7" t="s">
        <v>275</v>
      </c>
      <c r="F27286" s="7" t="n">
        <v>0</v>
      </c>
      <c r="G27286" s="7" t="n">
        <v>1</v>
      </c>
      <c r="H27286" s="7" t="n">
        <v>0</v>
      </c>
    </row>
    <row r="27287" spans="1:6">
      <c r="A27287" t="s">
        <v>4</v>
      </c>
      <c r="B27287" s="4" t="s">
        <v>5</v>
      </c>
      <c r="C27287" s="4" t="s">
        <v>7</v>
      </c>
      <c r="D27287" s="4" t="s">
        <v>11</v>
      </c>
      <c r="E27287" s="4" t="s">
        <v>8</v>
      </c>
      <c r="F27287" s="4" t="s">
        <v>8</v>
      </c>
      <c r="G27287" s="4" t="s">
        <v>8</v>
      </c>
      <c r="H27287" s="4" t="s">
        <v>8</v>
      </c>
    </row>
    <row r="27288" spans="1:6">
      <c r="A27288" t="n">
        <v>265921</v>
      </c>
      <c r="B27288" s="38" t="n">
        <v>51</v>
      </c>
      <c r="C27288" s="7" t="n">
        <v>3</v>
      </c>
      <c r="D27288" s="7" t="n">
        <v>0</v>
      </c>
      <c r="E27288" s="7" t="s">
        <v>101</v>
      </c>
      <c r="F27288" s="7" t="s">
        <v>99</v>
      </c>
      <c r="G27288" s="7" t="s">
        <v>78</v>
      </c>
      <c r="H27288" s="7" t="s">
        <v>79</v>
      </c>
    </row>
    <row r="27289" spans="1:6">
      <c r="A27289" t="s">
        <v>4</v>
      </c>
      <c r="B27289" s="4" t="s">
        <v>5</v>
      </c>
      <c r="C27289" s="4" t="s">
        <v>7</v>
      </c>
      <c r="D27289" s="4" t="s">
        <v>11</v>
      </c>
      <c r="E27289" s="4" t="s">
        <v>8</v>
      </c>
      <c r="F27289" s="4" t="s">
        <v>8</v>
      </c>
      <c r="G27289" s="4" t="s">
        <v>8</v>
      </c>
      <c r="H27289" s="4" t="s">
        <v>8</v>
      </c>
    </row>
    <row r="27290" spans="1:6">
      <c r="A27290" t="n">
        <v>265942</v>
      </c>
      <c r="B27290" s="38" t="n">
        <v>51</v>
      </c>
      <c r="C27290" s="7" t="n">
        <v>3</v>
      </c>
      <c r="D27290" s="7" t="n">
        <v>7</v>
      </c>
      <c r="E27290" s="7" t="s">
        <v>101</v>
      </c>
      <c r="F27290" s="7" t="s">
        <v>99</v>
      </c>
      <c r="G27290" s="7" t="s">
        <v>78</v>
      </c>
      <c r="H27290" s="7" t="s">
        <v>79</v>
      </c>
    </row>
    <row r="27291" spans="1:6">
      <c r="A27291" t="s">
        <v>4</v>
      </c>
      <c r="B27291" s="4" t="s">
        <v>5</v>
      </c>
      <c r="C27291" s="4" t="s">
        <v>7</v>
      </c>
      <c r="D27291" s="4" t="s">
        <v>11</v>
      </c>
      <c r="E27291" s="4" t="s">
        <v>7</v>
      </c>
      <c r="F27291" s="4" t="s">
        <v>8</v>
      </c>
      <c r="G27291" s="4" t="s">
        <v>8</v>
      </c>
      <c r="H27291" s="4" t="s">
        <v>8</v>
      </c>
      <c r="I27291" s="4" t="s">
        <v>8</v>
      </c>
      <c r="J27291" s="4" t="s">
        <v>8</v>
      </c>
      <c r="K27291" s="4" t="s">
        <v>8</v>
      </c>
      <c r="L27291" s="4" t="s">
        <v>8</v>
      </c>
      <c r="M27291" s="4" t="s">
        <v>8</v>
      </c>
      <c r="N27291" s="4" t="s">
        <v>8</v>
      </c>
      <c r="O27291" s="4" t="s">
        <v>8</v>
      </c>
      <c r="P27291" s="4" t="s">
        <v>8</v>
      </c>
      <c r="Q27291" s="4" t="s">
        <v>8</v>
      </c>
      <c r="R27291" s="4" t="s">
        <v>8</v>
      </c>
      <c r="S27291" s="4" t="s">
        <v>8</v>
      </c>
      <c r="T27291" s="4" t="s">
        <v>8</v>
      </c>
      <c r="U27291" s="4" t="s">
        <v>8</v>
      </c>
    </row>
    <row r="27292" spans="1:6">
      <c r="A27292" t="n">
        <v>265963</v>
      </c>
      <c r="B27292" s="40" t="n">
        <v>36</v>
      </c>
      <c r="C27292" s="7" t="n">
        <v>8</v>
      </c>
      <c r="D27292" s="7" t="n">
        <v>0</v>
      </c>
      <c r="E27292" s="7" t="n">
        <v>0</v>
      </c>
      <c r="F27292" s="7" t="s">
        <v>554</v>
      </c>
      <c r="G27292" s="7" t="s">
        <v>555</v>
      </c>
      <c r="H27292" s="7" t="s">
        <v>16</v>
      </c>
      <c r="I27292" s="7" t="s">
        <v>16</v>
      </c>
      <c r="J27292" s="7" t="s">
        <v>16</v>
      </c>
      <c r="K27292" s="7" t="s">
        <v>16</v>
      </c>
      <c r="L27292" s="7" t="s">
        <v>16</v>
      </c>
      <c r="M27292" s="7" t="s">
        <v>16</v>
      </c>
      <c r="N27292" s="7" t="s">
        <v>16</v>
      </c>
      <c r="O27292" s="7" t="s">
        <v>16</v>
      </c>
      <c r="P27292" s="7" t="s">
        <v>16</v>
      </c>
      <c r="Q27292" s="7" t="s">
        <v>16</v>
      </c>
      <c r="R27292" s="7" t="s">
        <v>16</v>
      </c>
      <c r="S27292" s="7" t="s">
        <v>16</v>
      </c>
      <c r="T27292" s="7" t="s">
        <v>16</v>
      </c>
      <c r="U27292" s="7" t="s">
        <v>16</v>
      </c>
    </row>
    <row r="27293" spans="1:6">
      <c r="A27293" t="s">
        <v>4</v>
      </c>
      <c r="B27293" s="4" t="s">
        <v>5</v>
      </c>
      <c r="C27293" s="4" t="s">
        <v>7</v>
      </c>
      <c r="D27293" s="4" t="s">
        <v>11</v>
      </c>
      <c r="E27293" s="4" t="s">
        <v>7</v>
      </c>
      <c r="F27293" s="4" t="s">
        <v>8</v>
      </c>
      <c r="G27293" s="4" t="s">
        <v>8</v>
      </c>
      <c r="H27293" s="4" t="s">
        <v>8</v>
      </c>
      <c r="I27293" s="4" t="s">
        <v>8</v>
      </c>
      <c r="J27293" s="4" t="s">
        <v>8</v>
      </c>
      <c r="K27293" s="4" t="s">
        <v>8</v>
      </c>
      <c r="L27293" s="4" t="s">
        <v>8</v>
      </c>
      <c r="M27293" s="4" t="s">
        <v>8</v>
      </c>
      <c r="N27293" s="4" t="s">
        <v>8</v>
      </c>
      <c r="O27293" s="4" t="s">
        <v>8</v>
      </c>
      <c r="P27293" s="4" t="s">
        <v>8</v>
      </c>
      <c r="Q27293" s="4" t="s">
        <v>8</v>
      </c>
      <c r="R27293" s="4" t="s">
        <v>8</v>
      </c>
      <c r="S27293" s="4" t="s">
        <v>8</v>
      </c>
      <c r="T27293" s="4" t="s">
        <v>8</v>
      </c>
      <c r="U27293" s="4" t="s">
        <v>8</v>
      </c>
    </row>
    <row r="27294" spans="1:6">
      <c r="A27294" t="n">
        <v>266002</v>
      </c>
      <c r="B27294" s="40" t="n">
        <v>36</v>
      </c>
      <c r="C27294" s="7" t="n">
        <v>8</v>
      </c>
      <c r="D27294" s="7" t="n">
        <v>7</v>
      </c>
      <c r="E27294" s="7" t="n">
        <v>0</v>
      </c>
      <c r="F27294" s="7" t="s">
        <v>554</v>
      </c>
      <c r="G27294" s="7" t="s">
        <v>555</v>
      </c>
      <c r="H27294" s="7" t="s">
        <v>91</v>
      </c>
      <c r="I27294" s="7" t="s">
        <v>16</v>
      </c>
      <c r="J27294" s="7" t="s">
        <v>16</v>
      </c>
      <c r="K27294" s="7" t="s">
        <v>16</v>
      </c>
      <c r="L27294" s="7" t="s">
        <v>16</v>
      </c>
      <c r="M27294" s="7" t="s">
        <v>16</v>
      </c>
      <c r="N27294" s="7" t="s">
        <v>16</v>
      </c>
      <c r="O27294" s="7" t="s">
        <v>16</v>
      </c>
      <c r="P27294" s="7" t="s">
        <v>16</v>
      </c>
      <c r="Q27294" s="7" t="s">
        <v>16</v>
      </c>
      <c r="R27294" s="7" t="s">
        <v>16</v>
      </c>
      <c r="S27294" s="7" t="s">
        <v>16</v>
      </c>
      <c r="T27294" s="7" t="s">
        <v>16</v>
      </c>
      <c r="U27294" s="7" t="s">
        <v>16</v>
      </c>
    </row>
    <row r="27295" spans="1:6">
      <c r="A27295" t="s">
        <v>4</v>
      </c>
      <c r="B27295" s="4" t="s">
        <v>5</v>
      </c>
      <c r="C27295" s="4" t="s">
        <v>7</v>
      </c>
      <c r="D27295" s="4" t="s">
        <v>7</v>
      </c>
      <c r="E27295" s="4" t="s">
        <v>13</v>
      </c>
      <c r="F27295" s="4" t="s">
        <v>13</v>
      </c>
      <c r="G27295" s="4" t="s">
        <v>13</v>
      </c>
      <c r="H27295" s="4" t="s">
        <v>11</v>
      </c>
    </row>
    <row r="27296" spans="1:6">
      <c r="A27296" t="n">
        <v>266055</v>
      </c>
      <c r="B27296" s="51" t="n">
        <v>45</v>
      </c>
      <c r="C27296" s="7" t="n">
        <v>2</v>
      </c>
      <c r="D27296" s="7" t="n">
        <v>3</v>
      </c>
      <c r="E27296" s="7" t="n">
        <v>-3</v>
      </c>
      <c r="F27296" s="7" t="n">
        <v>2.89000010490417</v>
      </c>
      <c r="G27296" s="7" t="n">
        <v>41.3699989318848</v>
      </c>
      <c r="H27296" s="7" t="n">
        <v>0</v>
      </c>
    </row>
    <row r="27297" spans="1:21">
      <c r="A27297" t="s">
        <v>4</v>
      </c>
      <c r="B27297" s="4" t="s">
        <v>5</v>
      </c>
      <c r="C27297" s="4" t="s">
        <v>7</v>
      </c>
      <c r="D27297" s="4" t="s">
        <v>7</v>
      </c>
      <c r="E27297" s="4" t="s">
        <v>13</v>
      </c>
      <c r="F27297" s="4" t="s">
        <v>13</v>
      </c>
      <c r="G27297" s="4" t="s">
        <v>13</v>
      </c>
      <c r="H27297" s="4" t="s">
        <v>11</v>
      </c>
      <c r="I27297" s="4" t="s">
        <v>7</v>
      </c>
    </row>
    <row r="27298" spans="1:21">
      <c r="A27298" t="n">
        <v>266072</v>
      </c>
      <c r="B27298" s="51" t="n">
        <v>45</v>
      </c>
      <c r="C27298" s="7" t="n">
        <v>4</v>
      </c>
      <c r="D27298" s="7" t="n">
        <v>3</v>
      </c>
      <c r="E27298" s="7" t="n">
        <v>0.649999976158142</v>
      </c>
      <c r="F27298" s="7" t="n">
        <v>105.529998779297</v>
      </c>
      <c r="G27298" s="7" t="n">
        <v>0</v>
      </c>
      <c r="H27298" s="7" t="n">
        <v>0</v>
      </c>
      <c r="I27298" s="7" t="n">
        <v>0</v>
      </c>
    </row>
    <row r="27299" spans="1:21">
      <c r="A27299" t="s">
        <v>4</v>
      </c>
      <c r="B27299" s="4" t="s">
        <v>5</v>
      </c>
      <c r="C27299" s="4" t="s">
        <v>7</v>
      </c>
      <c r="D27299" s="4" t="s">
        <v>7</v>
      </c>
      <c r="E27299" s="4" t="s">
        <v>13</v>
      </c>
      <c r="F27299" s="4" t="s">
        <v>11</v>
      </c>
    </row>
    <row r="27300" spans="1:21">
      <c r="A27300" t="n">
        <v>266090</v>
      </c>
      <c r="B27300" s="51" t="n">
        <v>45</v>
      </c>
      <c r="C27300" s="7" t="n">
        <v>5</v>
      </c>
      <c r="D27300" s="7" t="n">
        <v>3</v>
      </c>
      <c r="E27300" s="7" t="n">
        <v>2.40000009536743</v>
      </c>
      <c r="F27300" s="7" t="n">
        <v>0</v>
      </c>
    </row>
    <row r="27301" spans="1:21">
      <c r="A27301" t="s">
        <v>4</v>
      </c>
      <c r="B27301" s="4" t="s">
        <v>5</v>
      </c>
      <c r="C27301" s="4" t="s">
        <v>7</v>
      </c>
      <c r="D27301" s="4" t="s">
        <v>7</v>
      </c>
      <c r="E27301" s="4" t="s">
        <v>13</v>
      </c>
      <c r="F27301" s="4" t="s">
        <v>11</v>
      </c>
    </row>
    <row r="27302" spans="1:21">
      <c r="A27302" t="n">
        <v>266099</v>
      </c>
      <c r="B27302" s="51" t="n">
        <v>45</v>
      </c>
      <c r="C27302" s="7" t="n">
        <v>11</v>
      </c>
      <c r="D27302" s="7" t="n">
        <v>3</v>
      </c>
      <c r="E27302" s="7" t="n">
        <v>33.4000015258789</v>
      </c>
      <c r="F27302" s="7" t="n">
        <v>0</v>
      </c>
    </row>
    <row r="27303" spans="1:21">
      <c r="A27303" t="s">
        <v>4</v>
      </c>
      <c r="B27303" s="4" t="s">
        <v>5</v>
      </c>
      <c r="C27303" s="4" t="s">
        <v>11</v>
      </c>
      <c r="D27303" s="4" t="s">
        <v>13</v>
      </c>
      <c r="E27303" s="4" t="s">
        <v>13</v>
      </c>
      <c r="F27303" s="4" t="s">
        <v>13</v>
      </c>
      <c r="G27303" s="4" t="s">
        <v>11</v>
      </c>
      <c r="H27303" s="4" t="s">
        <v>11</v>
      </c>
    </row>
    <row r="27304" spans="1:21">
      <c r="A27304" t="n">
        <v>266108</v>
      </c>
      <c r="B27304" s="37" t="n">
        <v>60</v>
      </c>
      <c r="C27304" s="7" t="n">
        <v>0</v>
      </c>
      <c r="D27304" s="7" t="n">
        <v>0</v>
      </c>
      <c r="E27304" s="7" t="n">
        <v>20</v>
      </c>
      <c r="F27304" s="7" t="n">
        <v>0</v>
      </c>
      <c r="G27304" s="7" t="n">
        <v>0</v>
      </c>
      <c r="H27304" s="7" t="n">
        <v>0</v>
      </c>
    </row>
    <row r="27305" spans="1:21">
      <c r="A27305" t="s">
        <v>4</v>
      </c>
      <c r="B27305" s="4" t="s">
        <v>5</v>
      </c>
      <c r="C27305" s="4" t="s">
        <v>7</v>
      </c>
      <c r="D27305" s="4" t="s">
        <v>7</v>
      </c>
      <c r="E27305" s="4" t="s">
        <v>7</v>
      </c>
      <c r="F27305" s="4" t="s">
        <v>13</v>
      </c>
      <c r="G27305" s="4" t="s">
        <v>13</v>
      </c>
      <c r="H27305" s="4" t="s">
        <v>13</v>
      </c>
      <c r="I27305" s="4" t="s">
        <v>13</v>
      </c>
      <c r="J27305" s="4" t="s">
        <v>13</v>
      </c>
    </row>
    <row r="27306" spans="1:21">
      <c r="A27306" t="n">
        <v>266127</v>
      </c>
      <c r="B27306" s="25" t="n">
        <v>76</v>
      </c>
      <c r="C27306" s="7" t="n">
        <v>0</v>
      </c>
      <c r="D27306" s="7" t="n">
        <v>3</v>
      </c>
      <c r="E27306" s="7" t="n">
        <v>2</v>
      </c>
      <c r="F27306" s="7" t="n">
        <v>1</v>
      </c>
      <c r="G27306" s="7" t="n">
        <v>1</v>
      </c>
      <c r="H27306" s="7" t="n">
        <v>1</v>
      </c>
      <c r="I27306" s="7" t="n">
        <v>1</v>
      </c>
      <c r="J27306" s="7" t="n">
        <v>2000</v>
      </c>
    </row>
    <row r="27307" spans="1:21">
      <c r="A27307" t="s">
        <v>4</v>
      </c>
      <c r="B27307" s="4" t="s">
        <v>5</v>
      </c>
      <c r="C27307" s="4" t="s">
        <v>7</v>
      </c>
      <c r="D27307" s="4" t="s">
        <v>7</v>
      </c>
      <c r="E27307" s="4" t="s">
        <v>7</v>
      </c>
      <c r="F27307" s="4" t="s">
        <v>13</v>
      </c>
      <c r="G27307" s="4" t="s">
        <v>13</v>
      </c>
      <c r="H27307" s="4" t="s">
        <v>13</v>
      </c>
      <c r="I27307" s="4" t="s">
        <v>13</v>
      </c>
      <c r="J27307" s="4" t="s">
        <v>13</v>
      </c>
    </row>
    <row r="27308" spans="1:21">
      <c r="A27308" t="n">
        <v>266151</v>
      </c>
      <c r="B27308" s="25" t="n">
        <v>76</v>
      </c>
      <c r="C27308" s="7" t="n">
        <v>0</v>
      </c>
      <c r="D27308" s="7" t="n">
        <v>0</v>
      </c>
      <c r="E27308" s="7" t="n">
        <v>2</v>
      </c>
      <c r="F27308" s="7" t="n">
        <v>64</v>
      </c>
      <c r="G27308" s="7" t="n">
        <v>0</v>
      </c>
      <c r="H27308" s="7" t="n">
        <v>2000</v>
      </c>
      <c r="I27308" s="7" t="n">
        <v>0</v>
      </c>
      <c r="J27308" s="7" t="n">
        <v>0</v>
      </c>
    </row>
    <row r="27309" spans="1:21">
      <c r="A27309" t="s">
        <v>4</v>
      </c>
      <c r="B27309" s="4" t="s">
        <v>5</v>
      </c>
      <c r="C27309" s="4" t="s">
        <v>7</v>
      </c>
      <c r="D27309" s="4" t="s">
        <v>7</v>
      </c>
    </row>
    <row r="27310" spans="1:21">
      <c r="A27310" t="n">
        <v>266175</v>
      </c>
      <c r="B27310" s="26" t="n">
        <v>77</v>
      </c>
      <c r="C27310" s="7" t="n">
        <v>0</v>
      </c>
      <c r="D27310" s="7" t="n">
        <v>3</v>
      </c>
    </row>
    <row r="27311" spans="1:21">
      <c r="A27311" t="s">
        <v>4</v>
      </c>
      <c r="B27311" s="4" t="s">
        <v>5</v>
      </c>
      <c r="C27311" s="4" t="s">
        <v>7</v>
      </c>
      <c r="D27311" s="4" t="s">
        <v>7</v>
      </c>
    </row>
    <row r="27312" spans="1:21">
      <c r="A27312" t="n">
        <v>266178</v>
      </c>
      <c r="B27312" s="26" t="n">
        <v>77</v>
      </c>
      <c r="C27312" s="7" t="n">
        <v>0</v>
      </c>
      <c r="D27312" s="7" t="n">
        <v>0</v>
      </c>
    </row>
    <row r="27313" spans="1:10">
      <c r="A27313" t="s">
        <v>4</v>
      </c>
      <c r="B27313" s="4" t="s">
        <v>5</v>
      </c>
      <c r="C27313" s="4" t="s">
        <v>11</v>
      </c>
    </row>
    <row r="27314" spans="1:10">
      <c r="A27314" t="n">
        <v>266181</v>
      </c>
      <c r="B27314" s="29" t="n">
        <v>16</v>
      </c>
      <c r="C27314" s="7" t="n">
        <v>2000</v>
      </c>
    </row>
    <row r="27315" spans="1:10">
      <c r="A27315" t="s">
        <v>4</v>
      </c>
      <c r="B27315" s="4" t="s">
        <v>5</v>
      </c>
      <c r="C27315" s="4" t="s">
        <v>7</v>
      </c>
      <c r="D27315" s="4" t="s">
        <v>11</v>
      </c>
      <c r="E27315" s="4" t="s">
        <v>15</v>
      </c>
      <c r="F27315" s="4" t="s">
        <v>11</v>
      </c>
      <c r="G27315" s="4" t="s">
        <v>15</v>
      </c>
      <c r="H27315" s="4" t="s">
        <v>7</v>
      </c>
    </row>
    <row r="27316" spans="1:10">
      <c r="A27316" t="n">
        <v>266184</v>
      </c>
      <c r="B27316" s="13" t="n">
        <v>49</v>
      </c>
      <c r="C27316" s="7" t="n">
        <v>0</v>
      </c>
      <c r="D27316" s="7" t="n">
        <v>514</v>
      </c>
      <c r="E27316" s="7" t="n">
        <v>1065353216</v>
      </c>
      <c r="F27316" s="7" t="n">
        <v>0</v>
      </c>
      <c r="G27316" s="7" t="n">
        <v>0</v>
      </c>
      <c r="H27316" s="7" t="n">
        <v>0</v>
      </c>
    </row>
    <row r="27317" spans="1:10">
      <c r="A27317" t="s">
        <v>4</v>
      </c>
      <c r="B27317" s="4" t="s">
        <v>5</v>
      </c>
      <c r="C27317" s="4" t="s">
        <v>7</v>
      </c>
      <c r="D27317" s="4" t="s">
        <v>7</v>
      </c>
      <c r="E27317" s="4" t="s">
        <v>7</v>
      </c>
      <c r="F27317" s="4" t="s">
        <v>13</v>
      </c>
      <c r="G27317" s="4" t="s">
        <v>13</v>
      </c>
      <c r="H27317" s="4" t="s">
        <v>13</v>
      </c>
      <c r="I27317" s="4" t="s">
        <v>13</v>
      </c>
      <c r="J27317" s="4" t="s">
        <v>13</v>
      </c>
    </row>
    <row r="27318" spans="1:10">
      <c r="A27318" t="n">
        <v>266199</v>
      </c>
      <c r="B27318" s="25" t="n">
        <v>76</v>
      </c>
      <c r="C27318" s="7" t="n">
        <v>0</v>
      </c>
      <c r="D27318" s="7" t="n">
        <v>3</v>
      </c>
      <c r="E27318" s="7" t="n">
        <v>1</v>
      </c>
      <c r="F27318" s="7" t="n">
        <v>1</v>
      </c>
      <c r="G27318" s="7" t="n">
        <v>1</v>
      </c>
      <c r="H27318" s="7" t="n">
        <v>1</v>
      </c>
      <c r="I27318" s="7" t="n">
        <v>0</v>
      </c>
      <c r="J27318" s="7" t="n">
        <v>2000</v>
      </c>
    </row>
    <row r="27319" spans="1:10">
      <c r="A27319" t="s">
        <v>4</v>
      </c>
      <c r="B27319" s="4" t="s">
        <v>5</v>
      </c>
      <c r="C27319" s="4" t="s">
        <v>7</v>
      </c>
      <c r="D27319" s="4" t="s">
        <v>7</v>
      </c>
      <c r="E27319" s="4" t="s">
        <v>7</v>
      </c>
      <c r="F27319" s="4" t="s">
        <v>13</v>
      </c>
      <c r="G27319" s="4" t="s">
        <v>13</v>
      </c>
      <c r="H27319" s="4" t="s">
        <v>13</v>
      </c>
      <c r="I27319" s="4" t="s">
        <v>13</v>
      </c>
      <c r="J27319" s="4" t="s">
        <v>13</v>
      </c>
    </row>
    <row r="27320" spans="1:10">
      <c r="A27320" t="n">
        <v>266223</v>
      </c>
      <c r="B27320" s="25" t="n">
        <v>76</v>
      </c>
      <c r="C27320" s="7" t="n">
        <v>0</v>
      </c>
      <c r="D27320" s="7" t="n">
        <v>0</v>
      </c>
      <c r="E27320" s="7" t="n">
        <v>1</v>
      </c>
      <c r="F27320" s="7" t="n">
        <v>128</v>
      </c>
      <c r="G27320" s="7" t="n">
        <v>0</v>
      </c>
      <c r="H27320" s="7" t="n">
        <v>2000</v>
      </c>
      <c r="I27320" s="7" t="n">
        <v>0</v>
      </c>
      <c r="J27320" s="7" t="n">
        <v>0</v>
      </c>
    </row>
    <row r="27321" spans="1:10">
      <c r="A27321" t="s">
        <v>4</v>
      </c>
      <c r="B27321" s="4" t="s">
        <v>5</v>
      </c>
      <c r="C27321" s="4" t="s">
        <v>7</v>
      </c>
      <c r="D27321" s="4" t="s">
        <v>7</v>
      </c>
    </row>
    <row r="27322" spans="1:10">
      <c r="A27322" t="n">
        <v>266247</v>
      </c>
      <c r="B27322" s="26" t="n">
        <v>77</v>
      </c>
      <c r="C27322" s="7" t="n">
        <v>0</v>
      </c>
      <c r="D27322" s="7" t="n">
        <v>3</v>
      </c>
    </row>
    <row r="27323" spans="1:10">
      <c r="A27323" t="s">
        <v>4</v>
      </c>
      <c r="B27323" s="4" t="s">
        <v>5</v>
      </c>
      <c r="C27323" s="4" t="s">
        <v>7</v>
      </c>
      <c r="D27323" s="4" t="s">
        <v>7</v>
      </c>
    </row>
    <row r="27324" spans="1:10">
      <c r="A27324" t="n">
        <v>266250</v>
      </c>
      <c r="B27324" s="26" t="n">
        <v>77</v>
      </c>
      <c r="C27324" s="7" t="n">
        <v>0</v>
      </c>
      <c r="D27324" s="7" t="n">
        <v>0</v>
      </c>
    </row>
    <row r="27325" spans="1:10">
      <c r="A27325" t="s">
        <v>4</v>
      </c>
      <c r="B27325" s="4" t="s">
        <v>5</v>
      </c>
      <c r="C27325" s="4" t="s">
        <v>7</v>
      </c>
      <c r="D27325" s="4" t="s">
        <v>7</v>
      </c>
      <c r="E27325" s="4" t="s">
        <v>13</v>
      </c>
      <c r="F27325" s="4" t="s">
        <v>13</v>
      </c>
      <c r="G27325" s="4" t="s">
        <v>13</v>
      </c>
      <c r="H27325" s="4" t="s">
        <v>11</v>
      </c>
    </row>
    <row r="27326" spans="1:10">
      <c r="A27326" t="n">
        <v>266253</v>
      </c>
      <c r="B27326" s="51" t="n">
        <v>45</v>
      </c>
      <c r="C27326" s="7" t="n">
        <v>2</v>
      </c>
      <c r="D27326" s="7" t="n">
        <v>3</v>
      </c>
      <c r="E27326" s="7" t="n">
        <v>5.23999977111816</v>
      </c>
      <c r="F27326" s="7" t="n">
        <v>2.15000009536743</v>
      </c>
      <c r="G27326" s="7" t="n">
        <v>43.8600006103516</v>
      </c>
      <c r="H27326" s="7" t="n">
        <v>8000</v>
      </c>
    </row>
    <row r="27327" spans="1:10">
      <c r="A27327" t="s">
        <v>4</v>
      </c>
      <c r="B27327" s="4" t="s">
        <v>5</v>
      </c>
      <c r="C27327" s="4" t="s">
        <v>7</v>
      </c>
      <c r="D27327" s="4" t="s">
        <v>7</v>
      </c>
      <c r="E27327" s="4" t="s">
        <v>13</v>
      </c>
      <c r="F27327" s="4" t="s">
        <v>13</v>
      </c>
      <c r="G27327" s="4" t="s">
        <v>13</v>
      </c>
      <c r="H27327" s="4" t="s">
        <v>11</v>
      </c>
      <c r="I27327" s="4" t="s">
        <v>7</v>
      </c>
    </row>
    <row r="27328" spans="1:10">
      <c r="A27328" t="n">
        <v>266270</v>
      </c>
      <c r="B27328" s="51" t="n">
        <v>45</v>
      </c>
      <c r="C27328" s="7" t="n">
        <v>4</v>
      </c>
      <c r="D27328" s="7" t="n">
        <v>3</v>
      </c>
      <c r="E27328" s="7" t="n">
        <v>12.4799995422363</v>
      </c>
      <c r="F27328" s="7" t="n">
        <v>144.25</v>
      </c>
      <c r="G27328" s="7" t="n">
        <v>0</v>
      </c>
      <c r="H27328" s="7" t="n">
        <v>8000</v>
      </c>
      <c r="I27328" s="7" t="n">
        <v>0</v>
      </c>
    </row>
    <row r="27329" spans="1:10">
      <c r="A27329" t="s">
        <v>4</v>
      </c>
      <c r="B27329" s="4" t="s">
        <v>5</v>
      </c>
      <c r="C27329" s="4" t="s">
        <v>7</v>
      </c>
      <c r="D27329" s="4" t="s">
        <v>7</v>
      </c>
      <c r="E27329" s="4" t="s">
        <v>13</v>
      </c>
      <c r="F27329" s="4" t="s">
        <v>11</v>
      </c>
    </row>
    <row r="27330" spans="1:10">
      <c r="A27330" t="n">
        <v>266288</v>
      </c>
      <c r="B27330" s="51" t="n">
        <v>45</v>
      </c>
      <c r="C27330" s="7" t="n">
        <v>5</v>
      </c>
      <c r="D27330" s="7" t="n">
        <v>3</v>
      </c>
      <c r="E27330" s="7" t="n">
        <v>2.40000009536743</v>
      </c>
      <c r="F27330" s="7" t="n">
        <v>8000</v>
      </c>
    </row>
    <row r="27331" spans="1:10">
      <c r="A27331" t="s">
        <v>4</v>
      </c>
      <c r="B27331" s="4" t="s">
        <v>5</v>
      </c>
      <c r="C27331" s="4" t="s">
        <v>7</v>
      </c>
      <c r="D27331" s="4" t="s">
        <v>7</v>
      </c>
      <c r="E27331" s="4" t="s">
        <v>13</v>
      </c>
      <c r="F27331" s="4" t="s">
        <v>11</v>
      </c>
    </row>
    <row r="27332" spans="1:10">
      <c r="A27332" t="n">
        <v>266297</v>
      </c>
      <c r="B27332" s="51" t="n">
        <v>45</v>
      </c>
      <c r="C27332" s="7" t="n">
        <v>11</v>
      </c>
      <c r="D27332" s="7" t="n">
        <v>3</v>
      </c>
      <c r="E27332" s="7" t="n">
        <v>33.4000015258789</v>
      </c>
      <c r="F27332" s="7" t="n">
        <v>8000</v>
      </c>
    </row>
    <row r="27333" spans="1:10">
      <c r="A27333" t="s">
        <v>4</v>
      </c>
      <c r="B27333" s="4" t="s">
        <v>5</v>
      </c>
      <c r="C27333" s="4" t="s">
        <v>7</v>
      </c>
      <c r="D27333" s="4" t="s">
        <v>11</v>
      </c>
      <c r="E27333" s="4" t="s">
        <v>13</v>
      </c>
    </row>
    <row r="27334" spans="1:10">
      <c r="A27334" t="n">
        <v>266306</v>
      </c>
      <c r="B27334" s="23" t="n">
        <v>58</v>
      </c>
      <c r="C27334" s="7" t="n">
        <v>100</v>
      </c>
      <c r="D27334" s="7" t="n">
        <v>1000</v>
      </c>
      <c r="E27334" s="7" t="n">
        <v>1</v>
      </c>
    </row>
    <row r="27335" spans="1:10">
      <c r="A27335" t="s">
        <v>4</v>
      </c>
      <c r="B27335" s="4" t="s">
        <v>5</v>
      </c>
      <c r="C27335" s="4" t="s">
        <v>7</v>
      </c>
      <c r="D27335" s="4" t="s">
        <v>11</v>
      </c>
    </row>
    <row r="27336" spans="1:10">
      <c r="A27336" t="n">
        <v>266314</v>
      </c>
      <c r="B27336" s="23" t="n">
        <v>58</v>
      </c>
      <c r="C27336" s="7" t="n">
        <v>255</v>
      </c>
      <c r="D27336" s="7" t="n">
        <v>0</v>
      </c>
    </row>
    <row r="27337" spans="1:10">
      <c r="A27337" t="s">
        <v>4</v>
      </c>
      <c r="B27337" s="4" t="s">
        <v>5</v>
      </c>
      <c r="C27337" s="4" t="s">
        <v>7</v>
      </c>
      <c r="D27337" s="4" t="s">
        <v>11</v>
      </c>
    </row>
    <row r="27338" spans="1:10">
      <c r="A27338" t="n">
        <v>266318</v>
      </c>
      <c r="B27338" s="51" t="n">
        <v>45</v>
      </c>
      <c r="C27338" s="7" t="n">
        <v>7</v>
      </c>
      <c r="D27338" s="7" t="n">
        <v>255</v>
      </c>
    </row>
    <row r="27339" spans="1:10">
      <c r="A27339" t="s">
        <v>4</v>
      </c>
      <c r="B27339" s="4" t="s">
        <v>5</v>
      </c>
      <c r="C27339" s="4" t="s">
        <v>7</v>
      </c>
      <c r="D27339" s="4" t="s">
        <v>11</v>
      </c>
      <c r="E27339" s="4" t="s">
        <v>13</v>
      </c>
    </row>
    <row r="27340" spans="1:10">
      <c r="A27340" t="n">
        <v>266322</v>
      </c>
      <c r="B27340" s="23" t="n">
        <v>58</v>
      </c>
      <c r="C27340" s="7" t="n">
        <v>101</v>
      </c>
      <c r="D27340" s="7" t="n">
        <v>800</v>
      </c>
      <c r="E27340" s="7" t="n">
        <v>1</v>
      </c>
    </row>
    <row r="27341" spans="1:10">
      <c r="A27341" t="s">
        <v>4</v>
      </c>
      <c r="B27341" s="4" t="s">
        <v>5</v>
      </c>
      <c r="C27341" s="4" t="s">
        <v>7</v>
      </c>
      <c r="D27341" s="4" t="s">
        <v>11</v>
      </c>
    </row>
    <row r="27342" spans="1:10">
      <c r="A27342" t="n">
        <v>266330</v>
      </c>
      <c r="B27342" s="23" t="n">
        <v>58</v>
      </c>
      <c r="C27342" s="7" t="n">
        <v>254</v>
      </c>
      <c r="D27342" s="7" t="n">
        <v>0</v>
      </c>
    </row>
    <row r="27343" spans="1:10">
      <c r="A27343" t="s">
        <v>4</v>
      </c>
      <c r="B27343" s="4" t="s">
        <v>5</v>
      </c>
      <c r="C27343" s="4" t="s">
        <v>7</v>
      </c>
      <c r="D27343" s="4" t="s">
        <v>7</v>
      </c>
      <c r="E27343" s="4" t="s">
        <v>13</v>
      </c>
      <c r="F27343" s="4" t="s">
        <v>13</v>
      </c>
      <c r="G27343" s="4" t="s">
        <v>13</v>
      </c>
      <c r="H27343" s="4" t="s">
        <v>11</v>
      </c>
    </row>
    <row r="27344" spans="1:10">
      <c r="A27344" t="n">
        <v>266334</v>
      </c>
      <c r="B27344" s="51" t="n">
        <v>45</v>
      </c>
      <c r="C27344" s="7" t="n">
        <v>2</v>
      </c>
      <c r="D27344" s="7" t="n">
        <v>3</v>
      </c>
      <c r="E27344" s="7" t="n">
        <v>4.26999998092651</v>
      </c>
      <c r="F27344" s="7" t="n">
        <v>2.44000005722046</v>
      </c>
      <c r="G27344" s="7" t="n">
        <v>44.1500015258789</v>
      </c>
      <c r="H27344" s="7" t="n">
        <v>0</v>
      </c>
    </row>
    <row r="27345" spans="1:8">
      <c r="A27345" t="s">
        <v>4</v>
      </c>
      <c r="B27345" s="4" t="s">
        <v>5</v>
      </c>
      <c r="C27345" s="4" t="s">
        <v>7</v>
      </c>
      <c r="D27345" s="4" t="s">
        <v>7</v>
      </c>
      <c r="E27345" s="4" t="s">
        <v>13</v>
      </c>
      <c r="F27345" s="4" t="s">
        <v>13</v>
      </c>
      <c r="G27345" s="4" t="s">
        <v>13</v>
      </c>
      <c r="H27345" s="4" t="s">
        <v>11</v>
      </c>
      <c r="I27345" s="4" t="s">
        <v>7</v>
      </c>
    </row>
    <row r="27346" spans="1:8">
      <c r="A27346" t="n">
        <v>266351</v>
      </c>
      <c r="B27346" s="51" t="n">
        <v>45</v>
      </c>
      <c r="C27346" s="7" t="n">
        <v>4</v>
      </c>
      <c r="D27346" s="7" t="n">
        <v>3</v>
      </c>
      <c r="E27346" s="7" t="n">
        <v>357.880004882813</v>
      </c>
      <c r="F27346" s="7" t="n">
        <v>321.779998779297</v>
      </c>
      <c r="G27346" s="7" t="n">
        <v>0</v>
      </c>
      <c r="H27346" s="7" t="n">
        <v>0</v>
      </c>
      <c r="I27346" s="7" t="n">
        <v>0</v>
      </c>
    </row>
    <row r="27347" spans="1:8">
      <c r="A27347" t="s">
        <v>4</v>
      </c>
      <c r="B27347" s="4" t="s">
        <v>5</v>
      </c>
      <c r="C27347" s="4" t="s">
        <v>7</v>
      </c>
      <c r="D27347" s="4" t="s">
        <v>7</v>
      </c>
      <c r="E27347" s="4" t="s">
        <v>13</v>
      </c>
      <c r="F27347" s="4" t="s">
        <v>11</v>
      </c>
    </row>
    <row r="27348" spans="1:8">
      <c r="A27348" t="n">
        <v>266369</v>
      </c>
      <c r="B27348" s="51" t="n">
        <v>45</v>
      </c>
      <c r="C27348" s="7" t="n">
        <v>5</v>
      </c>
      <c r="D27348" s="7" t="n">
        <v>3</v>
      </c>
      <c r="E27348" s="7" t="n">
        <v>2.40000009536743</v>
      </c>
      <c r="F27348" s="7" t="n">
        <v>0</v>
      </c>
    </row>
    <row r="27349" spans="1:8">
      <c r="A27349" t="s">
        <v>4</v>
      </c>
      <c r="B27349" s="4" t="s">
        <v>5</v>
      </c>
      <c r="C27349" s="4" t="s">
        <v>7</v>
      </c>
      <c r="D27349" s="4" t="s">
        <v>7</v>
      </c>
      <c r="E27349" s="4" t="s">
        <v>13</v>
      </c>
      <c r="F27349" s="4" t="s">
        <v>11</v>
      </c>
    </row>
    <row r="27350" spans="1:8">
      <c r="A27350" t="n">
        <v>266378</v>
      </c>
      <c r="B27350" s="51" t="n">
        <v>45</v>
      </c>
      <c r="C27350" s="7" t="n">
        <v>11</v>
      </c>
      <c r="D27350" s="7" t="n">
        <v>3</v>
      </c>
      <c r="E27350" s="7" t="n">
        <v>33.4000015258789</v>
      </c>
      <c r="F27350" s="7" t="n">
        <v>0</v>
      </c>
    </row>
    <row r="27351" spans="1:8">
      <c r="A27351" t="s">
        <v>4</v>
      </c>
      <c r="B27351" s="4" t="s">
        <v>5</v>
      </c>
      <c r="C27351" s="4" t="s">
        <v>7</v>
      </c>
      <c r="D27351" s="4" t="s">
        <v>7</v>
      </c>
      <c r="E27351" s="4" t="s">
        <v>13</v>
      </c>
      <c r="F27351" s="4" t="s">
        <v>13</v>
      </c>
      <c r="G27351" s="4" t="s">
        <v>13</v>
      </c>
      <c r="H27351" s="4" t="s">
        <v>11</v>
      </c>
    </row>
    <row r="27352" spans="1:8">
      <c r="A27352" t="n">
        <v>266387</v>
      </c>
      <c r="B27352" s="51" t="n">
        <v>45</v>
      </c>
      <c r="C27352" s="7" t="n">
        <v>2</v>
      </c>
      <c r="D27352" s="7" t="n">
        <v>3</v>
      </c>
      <c r="E27352" s="7" t="n">
        <v>4.76999998092651</v>
      </c>
      <c r="F27352" s="7" t="n">
        <v>1.45000004768372</v>
      </c>
      <c r="G27352" s="7" t="n">
        <v>45.2599983215332</v>
      </c>
      <c r="H27352" s="7" t="n">
        <v>8000</v>
      </c>
    </row>
    <row r="27353" spans="1:8">
      <c r="A27353" t="s">
        <v>4</v>
      </c>
      <c r="B27353" s="4" t="s">
        <v>5</v>
      </c>
      <c r="C27353" s="4" t="s">
        <v>7</v>
      </c>
      <c r="D27353" s="4" t="s">
        <v>7</v>
      </c>
      <c r="E27353" s="4" t="s">
        <v>13</v>
      </c>
      <c r="F27353" s="4" t="s">
        <v>13</v>
      </c>
      <c r="G27353" s="4" t="s">
        <v>13</v>
      </c>
      <c r="H27353" s="4" t="s">
        <v>11</v>
      </c>
      <c r="I27353" s="4" t="s">
        <v>7</v>
      </c>
    </row>
    <row r="27354" spans="1:8">
      <c r="A27354" t="n">
        <v>266404</v>
      </c>
      <c r="B27354" s="51" t="n">
        <v>45</v>
      </c>
      <c r="C27354" s="7" t="n">
        <v>4</v>
      </c>
      <c r="D27354" s="7" t="n">
        <v>3</v>
      </c>
      <c r="E27354" s="7" t="n">
        <v>358.660003662109</v>
      </c>
      <c r="F27354" s="7" t="n">
        <v>283.079986572266</v>
      </c>
      <c r="G27354" s="7" t="n">
        <v>0</v>
      </c>
      <c r="H27354" s="7" t="n">
        <v>8000</v>
      </c>
      <c r="I27354" s="7" t="n">
        <v>0</v>
      </c>
    </row>
    <row r="27355" spans="1:8">
      <c r="A27355" t="s">
        <v>4</v>
      </c>
      <c r="B27355" s="4" t="s">
        <v>5</v>
      </c>
      <c r="C27355" s="4" t="s">
        <v>7</v>
      </c>
      <c r="D27355" s="4" t="s">
        <v>7</v>
      </c>
      <c r="E27355" s="4" t="s">
        <v>13</v>
      </c>
      <c r="F27355" s="4" t="s">
        <v>11</v>
      </c>
    </row>
    <row r="27356" spans="1:8">
      <c r="A27356" t="n">
        <v>266422</v>
      </c>
      <c r="B27356" s="51" t="n">
        <v>45</v>
      </c>
      <c r="C27356" s="7" t="n">
        <v>5</v>
      </c>
      <c r="D27356" s="7" t="n">
        <v>3</v>
      </c>
      <c r="E27356" s="7" t="n">
        <v>2</v>
      </c>
      <c r="F27356" s="7" t="n">
        <v>8000</v>
      </c>
    </row>
    <row r="27357" spans="1:8">
      <c r="A27357" t="s">
        <v>4</v>
      </c>
      <c r="B27357" s="4" t="s">
        <v>5</v>
      </c>
      <c r="C27357" s="4" t="s">
        <v>7</v>
      </c>
      <c r="D27357" s="4" t="s">
        <v>11</v>
      </c>
    </row>
    <row r="27358" spans="1:8">
      <c r="A27358" t="n">
        <v>266431</v>
      </c>
      <c r="B27358" s="23" t="n">
        <v>58</v>
      </c>
      <c r="C27358" s="7" t="n">
        <v>255</v>
      </c>
      <c r="D27358" s="7" t="n">
        <v>0</v>
      </c>
    </row>
    <row r="27359" spans="1:8">
      <c r="A27359" t="s">
        <v>4</v>
      </c>
      <c r="B27359" s="4" t="s">
        <v>5</v>
      </c>
      <c r="C27359" s="4" t="s">
        <v>7</v>
      </c>
      <c r="D27359" s="4" t="s">
        <v>11</v>
      </c>
    </row>
    <row r="27360" spans="1:8">
      <c r="A27360" t="n">
        <v>266435</v>
      </c>
      <c r="B27360" s="51" t="n">
        <v>45</v>
      </c>
      <c r="C27360" s="7" t="n">
        <v>7</v>
      </c>
      <c r="D27360" s="7" t="n">
        <v>255</v>
      </c>
    </row>
    <row r="27361" spans="1:9">
      <c r="A27361" t="s">
        <v>4</v>
      </c>
      <c r="B27361" s="4" t="s">
        <v>5</v>
      </c>
      <c r="C27361" s="4" t="s">
        <v>7</v>
      </c>
      <c r="D27361" s="4" t="s">
        <v>11</v>
      </c>
      <c r="E27361" s="4" t="s">
        <v>13</v>
      </c>
    </row>
    <row r="27362" spans="1:9">
      <c r="A27362" t="n">
        <v>266439</v>
      </c>
      <c r="B27362" s="23" t="n">
        <v>58</v>
      </c>
      <c r="C27362" s="7" t="n">
        <v>101</v>
      </c>
      <c r="D27362" s="7" t="n">
        <v>800</v>
      </c>
      <c r="E27362" s="7" t="n">
        <v>1</v>
      </c>
    </row>
    <row r="27363" spans="1:9">
      <c r="A27363" t="s">
        <v>4</v>
      </c>
      <c r="B27363" s="4" t="s">
        <v>5</v>
      </c>
      <c r="C27363" s="4" t="s">
        <v>7</v>
      </c>
      <c r="D27363" s="4" t="s">
        <v>11</v>
      </c>
    </row>
    <row r="27364" spans="1:9">
      <c r="A27364" t="n">
        <v>266447</v>
      </c>
      <c r="B27364" s="23" t="n">
        <v>58</v>
      </c>
      <c r="C27364" s="7" t="n">
        <v>254</v>
      </c>
      <c r="D27364" s="7" t="n">
        <v>0</v>
      </c>
    </row>
    <row r="27365" spans="1:9">
      <c r="A27365" t="s">
        <v>4</v>
      </c>
      <c r="B27365" s="4" t="s">
        <v>5</v>
      </c>
      <c r="C27365" s="4" t="s">
        <v>7</v>
      </c>
      <c r="D27365" s="4" t="s">
        <v>7</v>
      </c>
      <c r="E27365" s="4" t="s">
        <v>13</v>
      </c>
      <c r="F27365" s="4" t="s">
        <v>13</v>
      </c>
      <c r="G27365" s="4" t="s">
        <v>13</v>
      </c>
      <c r="H27365" s="4" t="s">
        <v>11</v>
      </c>
    </row>
    <row r="27366" spans="1:9">
      <c r="A27366" t="n">
        <v>266451</v>
      </c>
      <c r="B27366" s="51" t="n">
        <v>45</v>
      </c>
      <c r="C27366" s="7" t="n">
        <v>2</v>
      </c>
      <c r="D27366" s="7" t="n">
        <v>3</v>
      </c>
      <c r="E27366" s="7" t="n">
        <v>4.73999977111816</v>
      </c>
      <c r="F27366" s="7" t="n">
        <v>1.37000000476837</v>
      </c>
      <c r="G27366" s="7" t="n">
        <v>45.310001373291</v>
      </c>
      <c r="H27366" s="7" t="n">
        <v>0</v>
      </c>
    </row>
    <row r="27367" spans="1:9">
      <c r="A27367" t="s">
        <v>4</v>
      </c>
      <c r="B27367" s="4" t="s">
        <v>5</v>
      </c>
      <c r="C27367" s="4" t="s">
        <v>7</v>
      </c>
      <c r="D27367" s="4" t="s">
        <v>7</v>
      </c>
      <c r="E27367" s="4" t="s">
        <v>13</v>
      </c>
      <c r="F27367" s="4" t="s">
        <v>13</v>
      </c>
      <c r="G27367" s="4" t="s">
        <v>13</v>
      </c>
      <c r="H27367" s="4" t="s">
        <v>11</v>
      </c>
      <c r="I27367" s="4" t="s">
        <v>7</v>
      </c>
    </row>
    <row r="27368" spans="1:9">
      <c r="A27368" t="n">
        <v>266468</v>
      </c>
      <c r="B27368" s="51" t="n">
        <v>45</v>
      </c>
      <c r="C27368" s="7" t="n">
        <v>4</v>
      </c>
      <c r="D27368" s="7" t="n">
        <v>3</v>
      </c>
      <c r="E27368" s="7" t="n">
        <v>4.3899998664856</v>
      </c>
      <c r="F27368" s="7" t="n">
        <v>107.779998779297</v>
      </c>
      <c r="G27368" s="7" t="n">
        <v>0</v>
      </c>
      <c r="H27368" s="7" t="n">
        <v>0</v>
      </c>
      <c r="I27368" s="7" t="n">
        <v>0</v>
      </c>
    </row>
    <row r="27369" spans="1:9">
      <c r="A27369" t="s">
        <v>4</v>
      </c>
      <c r="B27369" s="4" t="s">
        <v>5</v>
      </c>
      <c r="C27369" s="4" t="s">
        <v>7</v>
      </c>
      <c r="D27369" s="4" t="s">
        <v>7</v>
      </c>
      <c r="E27369" s="4" t="s">
        <v>13</v>
      </c>
      <c r="F27369" s="4" t="s">
        <v>11</v>
      </c>
    </row>
    <row r="27370" spans="1:9">
      <c r="A27370" t="n">
        <v>266486</v>
      </c>
      <c r="B27370" s="51" t="n">
        <v>45</v>
      </c>
      <c r="C27370" s="7" t="n">
        <v>5</v>
      </c>
      <c r="D27370" s="7" t="n">
        <v>3</v>
      </c>
      <c r="E27370" s="7" t="n">
        <v>2</v>
      </c>
      <c r="F27370" s="7" t="n">
        <v>0</v>
      </c>
    </row>
    <row r="27371" spans="1:9">
      <c r="A27371" t="s">
        <v>4</v>
      </c>
      <c r="B27371" s="4" t="s">
        <v>5</v>
      </c>
      <c r="C27371" s="4" t="s">
        <v>7</v>
      </c>
      <c r="D27371" s="4" t="s">
        <v>7</v>
      </c>
      <c r="E27371" s="4" t="s">
        <v>13</v>
      </c>
      <c r="F27371" s="4" t="s">
        <v>11</v>
      </c>
    </row>
    <row r="27372" spans="1:9">
      <c r="A27372" t="n">
        <v>266495</v>
      </c>
      <c r="B27372" s="51" t="n">
        <v>45</v>
      </c>
      <c r="C27372" s="7" t="n">
        <v>11</v>
      </c>
      <c r="D27372" s="7" t="n">
        <v>3</v>
      </c>
      <c r="E27372" s="7" t="n">
        <v>33.4000015258789</v>
      </c>
      <c r="F27372" s="7" t="n">
        <v>0</v>
      </c>
    </row>
    <row r="27373" spans="1:9">
      <c r="A27373" t="s">
        <v>4</v>
      </c>
      <c r="B27373" s="4" t="s">
        <v>5</v>
      </c>
      <c r="C27373" s="4" t="s">
        <v>11</v>
      </c>
      <c r="D27373" s="4" t="s">
        <v>15</v>
      </c>
    </row>
    <row r="27374" spans="1:9">
      <c r="A27374" t="n">
        <v>266504</v>
      </c>
      <c r="B27374" s="63" t="n">
        <v>44</v>
      </c>
      <c r="C27374" s="7" t="n">
        <v>7</v>
      </c>
      <c r="D27374" s="7" t="n">
        <v>1</v>
      </c>
    </row>
    <row r="27375" spans="1:9">
      <c r="A27375" t="s">
        <v>4</v>
      </c>
      <c r="B27375" s="4" t="s">
        <v>5</v>
      </c>
      <c r="C27375" s="4" t="s">
        <v>7</v>
      </c>
      <c r="D27375" s="4" t="s">
        <v>11</v>
      </c>
    </row>
    <row r="27376" spans="1:9">
      <c r="A27376" t="n">
        <v>266511</v>
      </c>
      <c r="B27376" s="23" t="n">
        <v>58</v>
      </c>
      <c r="C27376" s="7" t="n">
        <v>255</v>
      </c>
      <c r="D27376" s="7" t="n">
        <v>0</v>
      </c>
    </row>
    <row r="27377" spans="1:9">
      <c r="A27377" t="s">
        <v>4</v>
      </c>
      <c r="B27377" s="4" t="s">
        <v>5</v>
      </c>
      <c r="C27377" s="4" t="s">
        <v>8</v>
      </c>
      <c r="D27377" s="4" t="s">
        <v>8</v>
      </c>
    </row>
    <row r="27378" spans="1:9">
      <c r="A27378" t="n">
        <v>266515</v>
      </c>
      <c r="B27378" s="52" t="n">
        <v>70</v>
      </c>
      <c r="C27378" s="7" t="s">
        <v>279</v>
      </c>
      <c r="D27378" s="7" t="s">
        <v>280</v>
      </c>
    </row>
    <row r="27379" spans="1:9">
      <c r="A27379" t="s">
        <v>4</v>
      </c>
      <c r="B27379" s="4" t="s">
        <v>5</v>
      </c>
      <c r="C27379" s="4" t="s">
        <v>11</v>
      </c>
    </row>
    <row r="27380" spans="1:9">
      <c r="A27380" t="n">
        <v>266532</v>
      </c>
      <c r="B27380" s="29" t="n">
        <v>16</v>
      </c>
      <c r="C27380" s="7" t="n">
        <v>1000</v>
      </c>
    </row>
    <row r="27381" spans="1:9">
      <c r="A27381" t="s">
        <v>4</v>
      </c>
      <c r="B27381" s="4" t="s">
        <v>5</v>
      </c>
      <c r="C27381" s="4" t="s">
        <v>7</v>
      </c>
      <c r="D27381" s="4" t="s">
        <v>11</v>
      </c>
      <c r="E27381" s="4" t="s">
        <v>11</v>
      </c>
      <c r="F27381" s="4" t="s">
        <v>7</v>
      </c>
    </row>
    <row r="27382" spans="1:9">
      <c r="A27382" t="n">
        <v>266535</v>
      </c>
      <c r="B27382" s="31" t="n">
        <v>25</v>
      </c>
      <c r="C27382" s="7" t="n">
        <v>1</v>
      </c>
      <c r="D27382" s="7" t="n">
        <v>100</v>
      </c>
      <c r="E27382" s="7" t="n">
        <v>500</v>
      </c>
      <c r="F27382" s="7" t="n">
        <v>5</v>
      </c>
    </row>
    <row r="27383" spans="1:9">
      <c r="A27383" t="s">
        <v>4</v>
      </c>
      <c r="B27383" s="4" t="s">
        <v>5</v>
      </c>
      <c r="C27383" s="4" t="s">
        <v>8</v>
      </c>
      <c r="D27383" s="4" t="s">
        <v>11</v>
      </c>
    </row>
    <row r="27384" spans="1:9">
      <c r="A27384" t="n">
        <v>266542</v>
      </c>
      <c r="B27384" s="67" t="n">
        <v>29</v>
      </c>
      <c r="C27384" s="7" t="s">
        <v>281</v>
      </c>
      <c r="D27384" s="7" t="n">
        <v>65533</v>
      </c>
    </row>
    <row r="27385" spans="1:9">
      <c r="A27385" t="s">
        <v>4</v>
      </c>
      <c r="B27385" s="4" t="s">
        <v>5</v>
      </c>
      <c r="C27385" s="4" t="s">
        <v>7</v>
      </c>
      <c r="D27385" s="4" t="s">
        <v>11</v>
      </c>
      <c r="E27385" s="4" t="s">
        <v>8</v>
      </c>
    </row>
    <row r="27386" spans="1:9">
      <c r="A27386" t="n">
        <v>266551</v>
      </c>
      <c r="B27386" s="38" t="n">
        <v>51</v>
      </c>
      <c r="C27386" s="7" t="n">
        <v>4</v>
      </c>
      <c r="D27386" s="7" t="n">
        <v>7</v>
      </c>
      <c r="E27386" s="7" t="s">
        <v>16</v>
      </c>
    </row>
    <row r="27387" spans="1:9">
      <c r="A27387" t="s">
        <v>4</v>
      </c>
      <c r="B27387" s="4" t="s">
        <v>5</v>
      </c>
      <c r="C27387" s="4" t="s">
        <v>11</v>
      </c>
    </row>
    <row r="27388" spans="1:9">
      <c r="A27388" t="n">
        <v>266556</v>
      </c>
      <c r="B27388" s="29" t="n">
        <v>16</v>
      </c>
      <c r="C27388" s="7" t="n">
        <v>0</v>
      </c>
    </row>
    <row r="27389" spans="1:9">
      <c r="A27389" t="s">
        <v>4</v>
      </c>
      <c r="B27389" s="4" t="s">
        <v>5</v>
      </c>
      <c r="C27389" s="4" t="s">
        <v>11</v>
      </c>
      <c r="D27389" s="4" t="s">
        <v>7</v>
      </c>
      <c r="E27389" s="4" t="s">
        <v>15</v>
      </c>
      <c r="F27389" s="4" t="s">
        <v>55</v>
      </c>
      <c r="G27389" s="4" t="s">
        <v>7</v>
      </c>
      <c r="H27389" s="4" t="s">
        <v>7</v>
      </c>
    </row>
    <row r="27390" spans="1:9">
      <c r="A27390" t="n">
        <v>266559</v>
      </c>
      <c r="B27390" s="55" t="n">
        <v>26</v>
      </c>
      <c r="C27390" s="7" t="n">
        <v>7</v>
      </c>
      <c r="D27390" s="7" t="n">
        <v>17</v>
      </c>
      <c r="E27390" s="7" t="n">
        <v>63903</v>
      </c>
      <c r="F27390" s="7" t="s">
        <v>556</v>
      </c>
      <c r="G27390" s="7" t="n">
        <v>2</v>
      </c>
      <c r="H27390" s="7" t="n">
        <v>0</v>
      </c>
    </row>
    <row r="27391" spans="1:9">
      <c r="A27391" t="s">
        <v>4</v>
      </c>
      <c r="B27391" s="4" t="s">
        <v>5</v>
      </c>
    </row>
    <row r="27392" spans="1:9">
      <c r="A27392" t="n">
        <v>266598</v>
      </c>
      <c r="B27392" s="27" t="n">
        <v>28</v>
      </c>
    </row>
    <row r="27393" spans="1:8">
      <c r="A27393" t="s">
        <v>4</v>
      </c>
      <c r="B27393" s="4" t="s">
        <v>5</v>
      </c>
      <c r="C27393" s="4" t="s">
        <v>11</v>
      </c>
      <c r="D27393" s="4" t="s">
        <v>7</v>
      </c>
    </row>
    <row r="27394" spans="1:8">
      <c r="A27394" t="n">
        <v>266599</v>
      </c>
      <c r="B27394" s="68" t="n">
        <v>89</v>
      </c>
      <c r="C27394" s="7" t="n">
        <v>65533</v>
      </c>
      <c r="D27394" s="7" t="n">
        <v>1</v>
      </c>
    </row>
    <row r="27395" spans="1:8">
      <c r="A27395" t="s">
        <v>4</v>
      </c>
      <c r="B27395" s="4" t="s">
        <v>5</v>
      </c>
      <c r="C27395" s="4" t="s">
        <v>7</v>
      </c>
      <c r="D27395" s="4" t="s">
        <v>11</v>
      </c>
      <c r="E27395" s="4" t="s">
        <v>11</v>
      </c>
      <c r="F27395" s="4" t="s">
        <v>7</v>
      </c>
    </row>
    <row r="27396" spans="1:8">
      <c r="A27396" t="n">
        <v>266603</v>
      </c>
      <c r="B27396" s="31" t="n">
        <v>25</v>
      </c>
      <c r="C27396" s="7" t="n">
        <v>1</v>
      </c>
      <c r="D27396" s="7" t="n">
        <v>65535</v>
      </c>
      <c r="E27396" s="7" t="n">
        <v>65535</v>
      </c>
      <c r="F27396" s="7" t="n">
        <v>0</v>
      </c>
    </row>
    <row r="27397" spans="1:8">
      <c r="A27397" t="s">
        <v>4</v>
      </c>
      <c r="B27397" s="4" t="s">
        <v>5</v>
      </c>
      <c r="C27397" s="4" t="s">
        <v>8</v>
      </c>
      <c r="D27397" s="4" t="s">
        <v>11</v>
      </c>
    </row>
    <row r="27398" spans="1:8">
      <c r="A27398" t="n">
        <v>266610</v>
      </c>
      <c r="B27398" s="67" t="n">
        <v>29</v>
      </c>
      <c r="C27398" s="7" t="s">
        <v>16</v>
      </c>
      <c r="D27398" s="7" t="n">
        <v>65533</v>
      </c>
    </row>
    <row r="27399" spans="1:8">
      <c r="A27399" t="s">
        <v>4</v>
      </c>
      <c r="B27399" s="4" t="s">
        <v>5</v>
      </c>
      <c r="C27399" s="4" t="s">
        <v>11</v>
      </c>
      <c r="D27399" s="4" t="s">
        <v>7</v>
      </c>
      <c r="E27399" s="4" t="s">
        <v>13</v>
      </c>
      <c r="F27399" s="4" t="s">
        <v>11</v>
      </c>
    </row>
    <row r="27400" spans="1:8">
      <c r="A27400" t="n">
        <v>266614</v>
      </c>
      <c r="B27400" s="56" t="n">
        <v>59</v>
      </c>
      <c r="C27400" s="7" t="n">
        <v>0</v>
      </c>
      <c r="D27400" s="7" t="n">
        <v>13</v>
      </c>
      <c r="E27400" s="7" t="n">
        <v>0.150000005960464</v>
      </c>
      <c r="F27400" s="7" t="n">
        <v>0</v>
      </c>
    </row>
    <row r="27401" spans="1:8">
      <c r="A27401" t="s">
        <v>4</v>
      </c>
      <c r="B27401" s="4" t="s">
        <v>5</v>
      </c>
      <c r="C27401" s="4" t="s">
        <v>11</v>
      </c>
    </row>
    <row r="27402" spans="1:8">
      <c r="A27402" t="n">
        <v>266624</v>
      </c>
      <c r="B27402" s="29" t="n">
        <v>16</v>
      </c>
      <c r="C27402" s="7" t="n">
        <v>1000</v>
      </c>
    </row>
    <row r="27403" spans="1:8">
      <c r="A27403" t="s">
        <v>4</v>
      </c>
      <c r="B27403" s="4" t="s">
        <v>5</v>
      </c>
      <c r="C27403" s="4" t="s">
        <v>11</v>
      </c>
      <c r="D27403" s="4" t="s">
        <v>13</v>
      </c>
      <c r="E27403" s="4" t="s">
        <v>13</v>
      </c>
      <c r="F27403" s="4" t="s">
        <v>13</v>
      </c>
      <c r="G27403" s="4" t="s">
        <v>11</v>
      </c>
      <c r="H27403" s="4" t="s">
        <v>11</v>
      </c>
    </row>
    <row r="27404" spans="1:8">
      <c r="A27404" t="n">
        <v>266627</v>
      </c>
      <c r="B27404" s="37" t="n">
        <v>60</v>
      </c>
      <c r="C27404" s="7" t="n">
        <v>0</v>
      </c>
      <c r="D27404" s="7" t="n">
        <v>0</v>
      </c>
      <c r="E27404" s="7" t="n">
        <v>0</v>
      </c>
      <c r="F27404" s="7" t="n">
        <v>0</v>
      </c>
      <c r="G27404" s="7" t="n">
        <v>1000</v>
      </c>
      <c r="H27404" s="7" t="n">
        <v>0</v>
      </c>
    </row>
    <row r="27405" spans="1:8">
      <c r="A27405" t="s">
        <v>4</v>
      </c>
      <c r="B27405" s="4" t="s">
        <v>5</v>
      </c>
      <c r="C27405" s="4" t="s">
        <v>11</v>
      </c>
      <c r="D27405" s="4" t="s">
        <v>11</v>
      </c>
      <c r="E27405" s="4" t="s">
        <v>11</v>
      </c>
    </row>
    <row r="27406" spans="1:8">
      <c r="A27406" t="n">
        <v>266646</v>
      </c>
      <c r="B27406" s="72" t="n">
        <v>61</v>
      </c>
      <c r="C27406" s="7" t="n">
        <v>0</v>
      </c>
      <c r="D27406" s="7" t="n">
        <v>7</v>
      </c>
      <c r="E27406" s="7" t="n">
        <v>1000</v>
      </c>
    </row>
    <row r="27407" spans="1:8">
      <c r="A27407" t="s">
        <v>4</v>
      </c>
      <c r="B27407" s="4" t="s">
        <v>5</v>
      </c>
      <c r="C27407" s="4" t="s">
        <v>11</v>
      </c>
      <c r="D27407" s="4" t="s">
        <v>11</v>
      </c>
      <c r="E27407" s="4" t="s">
        <v>11</v>
      </c>
    </row>
    <row r="27408" spans="1:8">
      <c r="A27408" t="n">
        <v>266653</v>
      </c>
      <c r="B27408" s="72" t="n">
        <v>61</v>
      </c>
      <c r="C27408" s="7" t="n">
        <v>7</v>
      </c>
      <c r="D27408" s="7" t="n">
        <v>0</v>
      </c>
      <c r="E27408" s="7" t="n">
        <v>1000</v>
      </c>
    </row>
    <row r="27409" spans="1:8">
      <c r="A27409" t="s">
        <v>4</v>
      </c>
      <c r="B27409" s="4" t="s">
        <v>5</v>
      </c>
      <c r="C27409" s="4" t="s">
        <v>11</v>
      </c>
      <c r="D27409" s="4" t="s">
        <v>13</v>
      </c>
      <c r="E27409" s="4" t="s">
        <v>13</v>
      </c>
      <c r="F27409" s="4" t="s">
        <v>7</v>
      </c>
    </row>
    <row r="27410" spans="1:8">
      <c r="A27410" t="n">
        <v>266660</v>
      </c>
      <c r="B27410" s="65" t="n">
        <v>52</v>
      </c>
      <c r="C27410" s="7" t="n">
        <v>0</v>
      </c>
      <c r="D27410" s="7" t="n">
        <v>332.399993896484</v>
      </c>
      <c r="E27410" s="7" t="n">
        <v>5</v>
      </c>
      <c r="F27410" s="7" t="n">
        <v>0</v>
      </c>
    </row>
    <row r="27411" spans="1:8">
      <c r="A27411" t="s">
        <v>4</v>
      </c>
      <c r="B27411" s="4" t="s">
        <v>5</v>
      </c>
      <c r="C27411" s="4" t="s">
        <v>11</v>
      </c>
    </row>
    <row r="27412" spans="1:8">
      <c r="A27412" t="n">
        <v>266672</v>
      </c>
      <c r="B27412" s="66" t="n">
        <v>54</v>
      </c>
      <c r="C27412" s="7" t="n">
        <v>0</v>
      </c>
    </row>
    <row r="27413" spans="1:8">
      <c r="A27413" t="s">
        <v>4</v>
      </c>
      <c r="B27413" s="4" t="s">
        <v>5</v>
      </c>
      <c r="C27413" s="4" t="s">
        <v>7</v>
      </c>
      <c r="D27413" s="4" t="s">
        <v>11</v>
      </c>
      <c r="E27413" s="4" t="s">
        <v>13</v>
      </c>
    </row>
    <row r="27414" spans="1:8">
      <c r="A27414" t="n">
        <v>266675</v>
      </c>
      <c r="B27414" s="23" t="n">
        <v>58</v>
      </c>
      <c r="C27414" s="7" t="n">
        <v>101</v>
      </c>
      <c r="D27414" s="7" t="n">
        <v>500</v>
      </c>
      <c r="E27414" s="7" t="n">
        <v>1</v>
      </c>
    </row>
    <row r="27415" spans="1:8">
      <c r="A27415" t="s">
        <v>4</v>
      </c>
      <c r="B27415" s="4" t="s">
        <v>5</v>
      </c>
      <c r="C27415" s="4" t="s">
        <v>7</v>
      </c>
      <c r="D27415" s="4" t="s">
        <v>11</v>
      </c>
    </row>
    <row r="27416" spans="1:8">
      <c r="A27416" t="n">
        <v>266683</v>
      </c>
      <c r="B27416" s="23" t="n">
        <v>58</v>
      </c>
      <c r="C27416" s="7" t="n">
        <v>254</v>
      </c>
      <c r="D27416" s="7" t="n">
        <v>0</v>
      </c>
    </row>
    <row r="27417" spans="1:8">
      <c r="A27417" t="s">
        <v>4</v>
      </c>
      <c r="B27417" s="4" t="s">
        <v>5</v>
      </c>
      <c r="C27417" s="4" t="s">
        <v>7</v>
      </c>
      <c r="D27417" s="4" t="s">
        <v>7</v>
      </c>
      <c r="E27417" s="4" t="s">
        <v>13</v>
      </c>
      <c r="F27417" s="4" t="s">
        <v>13</v>
      </c>
      <c r="G27417" s="4" t="s">
        <v>13</v>
      </c>
      <c r="H27417" s="4" t="s">
        <v>11</v>
      </c>
    </row>
    <row r="27418" spans="1:8">
      <c r="A27418" t="n">
        <v>266687</v>
      </c>
      <c r="B27418" s="51" t="n">
        <v>45</v>
      </c>
      <c r="C27418" s="7" t="n">
        <v>2</v>
      </c>
      <c r="D27418" s="7" t="n">
        <v>3</v>
      </c>
      <c r="E27418" s="7" t="n">
        <v>4.92999982833862</v>
      </c>
      <c r="F27418" s="7" t="n">
        <v>1.46000003814697</v>
      </c>
      <c r="G27418" s="7" t="n">
        <v>45.6699981689453</v>
      </c>
      <c r="H27418" s="7" t="n">
        <v>0</v>
      </c>
    </row>
    <row r="27419" spans="1:8">
      <c r="A27419" t="s">
        <v>4</v>
      </c>
      <c r="B27419" s="4" t="s">
        <v>5</v>
      </c>
      <c r="C27419" s="4" t="s">
        <v>7</v>
      </c>
      <c r="D27419" s="4" t="s">
        <v>7</v>
      </c>
      <c r="E27419" s="4" t="s">
        <v>13</v>
      </c>
      <c r="F27419" s="4" t="s">
        <v>13</v>
      </c>
      <c r="G27419" s="4" t="s">
        <v>13</v>
      </c>
      <c r="H27419" s="4" t="s">
        <v>11</v>
      </c>
      <c r="I27419" s="4" t="s">
        <v>7</v>
      </c>
    </row>
    <row r="27420" spans="1:8">
      <c r="A27420" t="n">
        <v>266704</v>
      </c>
      <c r="B27420" s="51" t="n">
        <v>45</v>
      </c>
      <c r="C27420" s="7" t="n">
        <v>4</v>
      </c>
      <c r="D27420" s="7" t="n">
        <v>3</v>
      </c>
      <c r="E27420" s="7" t="n">
        <v>5.69000005722046</v>
      </c>
      <c r="F27420" s="7" t="n">
        <v>260.239990234375</v>
      </c>
      <c r="G27420" s="7" t="n">
        <v>0</v>
      </c>
      <c r="H27420" s="7" t="n">
        <v>0</v>
      </c>
      <c r="I27420" s="7" t="n">
        <v>0</v>
      </c>
    </row>
    <row r="27421" spans="1:8">
      <c r="A27421" t="s">
        <v>4</v>
      </c>
      <c r="B27421" s="4" t="s">
        <v>5</v>
      </c>
      <c r="C27421" s="4" t="s">
        <v>7</v>
      </c>
      <c r="D27421" s="4" t="s">
        <v>7</v>
      </c>
      <c r="E27421" s="4" t="s">
        <v>13</v>
      </c>
      <c r="F27421" s="4" t="s">
        <v>11</v>
      </c>
    </row>
    <row r="27422" spans="1:8">
      <c r="A27422" t="n">
        <v>266722</v>
      </c>
      <c r="B27422" s="51" t="n">
        <v>45</v>
      </c>
      <c r="C27422" s="7" t="n">
        <v>5</v>
      </c>
      <c r="D27422" s="7" t="n">
        <v>3</v>
      </c>
      <c r="E27422" s="7" t="n">
        <v>1.70000004768372</v>
      </c>
      <c r="F27422" s="7" t="n">
        <v>0</v>
      </c>
    </row>
    <row r="27423" spans="1:8">
      <c r="A27423" t="s">
        <v>4</v>
      </c>
      <c r="B27423" s="4" t="s">
        <v>5</v>
      </c>
      <c r="C27423" s="4" t="s">
        <v>7</v>
      </c>
      <c r="D27423" s="4" t="s">
        <v>7</v>
      </c>
      <c r="E27423" s="4" t="s">
        <v>13</v>
      </c>
      <c r="F27423" s="4" t="s">
        <v>11</v>
      </c>
    </row>
    <row r="27424" spans="1:8">
      <c r="A27424" t="n">
        <v>266731</v>
      </c>
      <c r="B27424" s="51" t="n">
        <v>45</v>
      </c>
      <c r="C27424" s="7" t="n">
        <v>11</v>
      </c>
      <c r="D27424" s="7" t="n">
        <v>3</v>
      </c>
      <c r="E27424" s="7" t="n">
        <v>34</v>
      </c>
      <c r="F27424" s="7" t="n">
        <v>0</v>
      </c>
    </row>
    <row r="27425" spans="1:9">
      <c r="A27425" t="s">
        <v>4</v>
      </c>
      <c r="B27425" s="4" t="s">
        <v>5</v>
      </c>
      <c r="C27425" s="4" t="s">
        <v>7</v>
      </c>
      <c r="D27425" s="4" t="s">
        <v>7</v>
      </c>
      <c r="E27425" s="4" t="s">
        <v>13</v>
      </c>
      <c r="F27425" s="4" t="s">
        <v>13</v>
      </c>
      <c r="G27425" s="4" t="s">
        <v>13</v>
      </c>
      <c r="H27425" s="4" t="s">
        <v>11</v>
      </c>
    </row>
    <row r="27426" spans="1:9">
      <c r="A27426" t="n">
        <v>266740</v>
      </c>
      <c r="B27426" s="51" t="n">
        <v>45</v>
      </c>
      <c r="C27426" s="7" t="n">
        <v>2</v>
      </c>
      <c r="D27426" s="7" t="n">
        <v>3</v>
      </c>
      <c r="E27426" s="7" t="n">
        <v>4.84999990463257</v>
      </c>
      <c r="F27426" s="7" t="n">
        <v>1.4099999666214</v>
      </c>
      <c r="G27426" s="7" t="n">
        <v>45.7999992370605</v>
      </c>
      <c r="H27426" s="7" t="n">
        <v>5500</v>
      </c>
    </row>
    <row r="27427" spans="1:9">
      <c r="A27427" t="s">
        <v>4</v>
      </c>
      <c r="B27427" s="4" t="s">
        <v>5</v>
      </c>
      <c r="C27427" s="4" t="s">
        <v>7</v>
      </c>
      <c r="D27427" s="4" t="s">
        <v>7</v>
      </c>
      <c r="E27427" s="4" t="s">
        <v>13</v>
      </c>
      <c r="F27427" s="4" t="s">
        <v>13</v>
      </c>
      <c r="G27427" s="4" t="s">
        <v>13</v>
      </c>
      <c r="H27427" s="4" t="s">
        <v>11</v>
      </c>
      <c r="I27427" s="4" t="s">
        <v>7</v>
      </c>
    </row>
    <row r="27428" spans="1:9">
      <c r="A27428" t="n">
        <v>266757</v>
      </c>
      <c r="B27428" s="51" t="n">
        <v>45</v>
      </c>
      <c r="C27428" s="7" t="n">
        <v>4</v>
      </c>
      <c r="D27428" s="7" t="n">
        <v>3</v>
      </c>
      <c r="E27428" s="7" t="n">
        <v>5.46999979019165</v>
      </c>
      <c r="F27428" s="7" t="n">
        <v>232.490005493164</v>
      </c>
      <c r="G27428" s="7" t="n">
        <v>0</v>
      </c>
      <c r="H27428" s="7" t="n">
        <v>5500</v>
      </c>
      <c r="I27428" s="7" t="n">
        <v>0</v>
      </c>
    </row>
    <row r="27429" spans="1:9">
      <c r="A27429" t="s">
        <v>4</v>
      </c>
      <c r="B27429" s="4" t="s">
        <v>5</v>
      </c>
      <c r="C27429" s="4" t="s">
        <v>11</v>
      </c>
      <c r="D27429" s="4" t="s">
        <v>7</v>
      </c>
      <c r="E27429" s="4" t="s">
        <v>7</v>
      </c>
      <c r="F27429" s="4" t="s">
        <v>8</v>
      </c>
    </row>
    <row r="27430" spans="1:9">
      <c r="A27430" t="n">
        <v>266775</v>
      </c>
      <c r="B27430" s="50" t="n">
        <v>20</v>
      </c>
      <c r="C27430" s="7" t="n">
        <v>7</v>
      </c>
      <c r="D27430" s="7" t="n">
        <v>2</v>
      </c>
      <c r="E27430" s="7" t="n">
        <v>11</v>
      </c>
      <c r="F27430" s="7" t="s">
        <v>283</v>
      </c>
    </row>
    <row r="27431" spans="1:9">
      <c r="A27431" t="s">
        <v>4</v>
      </c>
      <c r="B27431" s="4" t="s">
        <v>5</v>
      </c>
      <c r="C27431" s="4" t="s">
        <v>7</v>
      </c>
    </row>
    <row r="27432" spans="1:9">
      <c r="A27432" t="n">
        <v>266802</v>
      </c>
      <c r="B27432" s="49" t="n">
        <v>116</v>
      </c>
      <c r="C27432" s="7" t="n">
        <v>0</v>
      </c>
    </row>
    <row r="27433" spans="1:9">
      <c r="A27433" t="s">
        <v>4</v>
      </c>
      <c r="B27433" s="4" t="s">
        <v>5</v>
      </c>
      <c r="C27433" s="4" t="s">
        <v>7</v>
      </c>
      <c r="D27433" s="4" t="s">
        <v>11</v>
      </c>
    </row>
    <row r="27434" spans="1:9">
      <c r="A27434" t="n">
        <v>266804</v>
      </c>
      <c r="B27434" s="49" t="n">
        <v>116</v>
      </c>
      <c r="C27434" s="7" t="n">
        <v>2</v>
      </c>
      <c r="D27434" s="7" t="n">
        <v>1</v>
      </c>
    </row>
    <row r="27435" spans="1:9">
      <c r="A27435" t="s">
        <v>4</v>
      </c>
      <c r="B27435" s="4" t="s">
        <v>5</v>
      </c>
      <c r="C27435" s="4" t="s">
        <v>7</v>
      </c>
      <c r="D27435" s="4" t="s">
        <v>15</v>
      </c>
    </row>
    <row r="27436" spans="1:9">
      <c r="A27436" t="n">
        <v>266808</v>
      </c>
      <c r="B27436" s="49" t="n">
        <v>116</v>
      </c>
      <c r="C27436" s="7" t="n">
        <v>5</v>
      </c>
      <c r="D27436" s="7" t="n">
        <v>1084227584</v>
      </c>
    </row>
    <row r="27437" spans="1:9">
      <c r="A27437" t="s">
        <v>4</v>
      </c>
      <c r="B27437" s="4" t="s">
        <v>5</v>
      </c>
      <c r="C27437" s="4" t="s">
        <v>7</v>
      </c>
      <c r="D27437" s="4" t="s">
        <v>11</v>
      </c>
    </row>
    <row r="27438" spans="1:9">
      <c r="A27438" t="n">
        <v>266814</v>
      </c>
      <c r="B27438" s="49" t="n">
        <v>116</v>
      </c>
      <c r="C27438" s="7" t="n">
        <v>6</v>
      </c>
      <c r="D27438" s="7" t="n">
        <v>1</v>
      </c>
    </row>
    <row r="27439" spans="1:9">
      <c r="A27439" t="s">
        <v>4</v>
      </c>
      <c r="B27439" s="4" t="s">
        <v>5</v>
      </c>
      <c r="C27439" s="4" t="s">
        <v>7</v>
      </c>
      <c r="D27439" s="4" t="s">
        <v>11</v>
      </c>
    </row>
    <row r="27440" spans="1:9">
      <c r="A27440" t="n">
        <v>266818</v>
      </c>
      <c r="B27440" s="23" t="n">
        <v>58</v>
      </c>
      <c r="C27440" s="7" t="n">
        <v>255</v>
      </c>
      <c r="D27440" s="7" t="n">
        <v>0</v>
      </c>
    </row>
    <row r="27441" spans="1:9">
      <c r="A27441" t="s">
        <v>4</v>
      </c>
      <c r="B27441" s="4" t="s">
        <v>5</v>
      </c>
      <c r="C27441" s="4" t="s">
        <v>11</v>
      </c>
    </row>
    <row r="27442" spans="1:9">
      <c r="A27442" t="n">
        <v>266822</v>
      </c>
      <c r="B27442" s="29" t="n">
        <v>16</v>
      </c>
      <c r="C27442" s="7" t="n">
        <v>800</v>
      </c>
    </row>
    <row r="27443" spans="1:9">
      <c r="A27443" t="s">
        <v>4</v>
      </c>
      <c r="B27443" s="4" t="s">
        <v>5</v>
      </c>
      <c r="C27443" s="4" t="s">
        <v>8</v>
      </c>
      <c r="D27443" s="4" t="s">
        <v>8</v>
      </c>
    </row>
    <row r="27444" spans="1:9">
      <c r="A27444" t="n">
        <v>266825</v>
      </c>
      <c r="B27444" s="52" t="n">
        <v>70</v>
      </c>
      <c r="C27444" s="7" t="s">
        <v>279</v>
      </c>
      <c r="D27444" s="7" t="s">
        <v>284</v>
      </c>
    </row>
    <row r="27445" spans="1:9">
      <c r="A27445" t="s">
        <v>4</v>
      </c>
      <c r="B27445" s="4" t="s">
        <v>5</v>
      </c>
      <c r="C27445" s="4" t="s">
        <v>7</v>
      </c>
      <c r="D27445" s="4" t="s">
        <v>11</v>
      </c>
    </row>
    <row r="27446" spans="1:9">
      <c r="A27446" t="n">
        <v>266843</v>
      </c>
      <c r="B27446" s="51" t="n">
        <v>45</v>
      </c>
      <c r="C27446" s="7" t="n">
        <v>7</v>
      </c>
      <c r="D27446" s="7" t="n">
        <v>255</v>
      </c>
    </row>
    <row r="27447" spans="1:9">
      <c r="A27447" t="s">
        <v>4</v>
      </c>
      <c r="B27447" s="4" t="s">
        <v>5</v>
      </c>
      <c r="C27447" s="4" t="s">
        <v>7</v>
      </c>
      <c r="D27447" s="4" t="s">
        <v>11</v>
      </c>
      <c r="E27447" s="4" t="s">
        <v>8</v>
      </c>
    </row>
    <row r="27448" spans="1:9">
      <c r="A27448" t="n">
        <v>266847</v>
      </c>
      <c r="B27448" s="38" t="n">
        <v>51</v>
      </c>
      <c r="C27448" s="7" t="n">
        <v>4</v>
      </c>
      <c r="D27448" s="7" t="n">
        <v>0</v>
      </c>
      <c r="E27448" s="7" t="s">
        <v>173</v>
      </c>
    </row>
    <row r="27449" spans="1:9">
      <c r="A27449" t="s">
        <v>4</v>
      </c>
      <c r="B27449" s="4" t="s">
        <v>5</v>
      </c>
      <c r="C27449" s="4" t="s">
        <v>11</v>
      </c>
    </row>
    <row r="27450" spans="1:9">
      <c r="A27450" t="n">
        <v>266860</v>
      </c>
      <c r="B27450" s="29" t="n">
        <v>16</v>
      </c>
      <c r="C27450" s="7" t="n">
        <v>0</v>
      </c>
    </row>
    <row r="27451" spans="1:9">
      <c r="A27451" t="s">
        <v>4</v>
      </c>
      <c r="B27451" s="4" t="s">
        <v>5</v>
      </c>
      <c r="C27451" s="4" t="s">
        <v>11</v>
      </c>
      <c r="D27451" s="4" t="s">
        <v>7</v>
      </c>
      <c r="E27451" s="4" t="s">
        <v>15</v>
      </c>
      <c r="F27451" s="4" t="s">
        <v>55</v>
      </c>
      <c r="G27451" s="4" t="s">
        <v>7</v>
      </c>
      <c r="H27451" s="4" t="s">
        <v>7</v>
      </c>
      <c r="I27451" s="4" t="s">
        <v>7</v>
      </c>
      <c r="J27451" s="4" t="s">
        <v>15</v>
      </c>
      <c r="K27451" s="4" t="s">
        <v>55</v>
      </c>
      <c r="L27451" s="4" t="s">
        <v>7</v>
      </c>
      <c r="M27451" s="4" t="s">
        <v>7</v>
      </c>
    </row>
    <row r="27452" spans="1:9">
      <c r="A27452" t="n">
        <v>266863</v>
      </c>
      <c r="B27452" s="55" t="n">
        <v>26</v>
      </c>
      <c r="C27452" s="7" t="n">
        <v>0</v>
      </c>
      <c r="D27452" s="7" t="n">
        <v>17</v>
      </c>
      <c r="E27452" s="7" t="n">
        <v>63904</v>
      </c>
      <c r="F27452" s="7" t="s">
        <v>557</v>
      </c>
      <c r="G27452" s="7" t="n">
        <v>2</v>
      </c>
      <c r="H27452" s="7" t="n">
        <v>3</v>
      </c>
      <c r="I27452" s="7" t="n">
        <v>17</v>
      </c>
      <c r="J27452" s="7" t="n">
        <v>63905</v>
      </c>
      <c r="K27452" s="7" t="s">
        <v>558</v>
      </c>
      <c r="L27452" s="7" t="n">
        <v>2</v>
      </c>
      <c r="M27452" s="7" t="n">
        <v>0</v>
      </c>
    </row>
    <row r="27453" spans="1:9">
      <c r="A27453" t="s">
        <v>4</v>
      </c>
      <c r="B27453" s="4" t="s">
        <v>5</v>
      </c>
    </row>
    <row r="27454" spans="1:9">
      <c r="A27454" t="n">
        <v>267040</v>
      </c>
      <c r="B27454" s="27" t="n">
        <v>28</v>
      </c>
    </row>
    <row r="27455" spans="1:9">
      <c r="A27455" t="s">
        <v>4</v>
      </c>
      <c r="B27455" s="4" t="s">
        <v>5</v>
      </c>
      <c r="C27455" s="4" t="s">
        <v>7</v>
      </c>
      <c r="D27455" s="4" t="s">
        <v>11</v>
      </c>
      <c r="E27455" s="4" t="s">
        <v>13</v>
      </c>
    </row>
    <row r="27456" spans="1:9">
      <c r="A27456" t="n">
        <v>267041</v>
      </c>
      <c r="B27456" s="23" t="n">
        <v>58</v>
      </c>
      <c r="C27456" s="7" t="n">
        <v>101</v>
      </c>
      <c r="D27456" s="7" t="n">
        <v>500</v>
      </c>
      <c r="E27456" s="7" t="n">
        <v>1</v>
      </c>
    </row>
    <row r="27457" spans="1:13">
      <c r="A27457" t="s">
        <v>4</v>
      </c>
      <c r="B27457" s="4" t="s">
        <v>5</v>
      </c>
      <c r="C27457" s="4" t="s">
        <v>7</v>
      </c>
      <c r="D27457" s="4" t="s">
        <v>11</v>
      </c>
    </row>
    <row r="27458" spans="1:13">
      <c r="A27458" t="n">
        <v>267049</v>
      </c>
      <c r="B27458" s="23" t="n">
        <v>58</v>
      </c>
      <c r="C27458" s="7" t="n">
        <v>254</v>
      </c>
      <c r="D27458" s="7" t="n">
        <v>0</v>
      </c>
    </row>
    <row r="27459" spans="1:13">
      <c r="A27459" t="s">
        <v>4</v>
      </c>
      <c r="B27459" s="4" t="s">
        <v>5</v>
      </c>
      <c r="C27459" s="4" t="s">
        <v>7</v>
      </c>
      <c r="D27459" s="4" t="s">
        <v>7</v>
      </c>
      <c r="E27459" s="4" t="s">
        <v>13</v>
      </c>
      <c r="F27459" s="4" t="s">
        <v>13</v>
      </c>
      <c r="G27459" s="4" t="s">
        <v>13</v>
      </c>
      <c r="H27459" s="4" t="s">
        <v>11</v>
      </c>
    </row>
    <row r="27460" spans="1:13">
      <c r="A27460" t="n">
        <v>267053</v>
      </c>
      <c r="B27460" s="51" t="n">
        <v>45</v>
      </c>
      <c r="C27460" s="7" t="n">
        <v>2</v>
      </c>
      <c r="D27460" s="7" t="n">
        <v>3</v>
      </c>
      <c r="E27460" s="7" t="n">
        <v>4.96999979019165</v>
      </c>
      <c r="F27460" s="7" t="n">
        <v>1.3400000333786</v>
      </c>
      <c r="G27460" s="7" t="n">
        <v>46.3800010681152</v>
      </c>
      <c r="H27460" s="7" t="n">
        <v>0</v>
      </c>
    </row>
    <row r="27461" spans="1:13">
      <c r="A27461" t="s">
        <v>4</v>
      </c>
      <c r="B27461" s="4" t="s">
        <v>5</v>
      </c>
      <c r="C27461" s="4" t="s">
        <v>7</v>
      </c>
      <c r="D27461" s="4" t="s">
        <v>7</v>
      </c>
      <c r="E27461" s="4" t="s">
        <v>13</v>
      </c>
      <c r="F27461" s="4" t="s">
        <v>13</v>
      </c>
      <c r="G27461" s="4" t="s">
        <v>13</v>
      </c>
      <c r="H27461" s="4" t="s">
        <v>11</v>
      </c>
      <c r="I27461" s="4" t="s">
        <v>7</v>
      </c>
    </row>
    <row r="27462" spans="1:13">
      <c r="A27462" t="n">
        <v>267070</v>
      </c>
      <c r="B27462" s="51" t="n">
        <v>45</v>
      </c>
      <c r="C27462" s="7" t="n">
        <v>4</v>
      </c>
      <c r="D27462" s="7" t="n">
        <v>3</v>
      </c>
      <c r="E27462" s="7" t="n">
        <v>8.30000019073486</v>
      </c>
      <c r="F27462" s="7" t="n">
        <v>213.210006713867</v>
      </c>
      <c r="G27462" s="7" t="n">
        <v>0</v>
      </c>
      <c r="H27462" s="7" t="n">
        <v>0</v>
      </c>
      <c r="I27462" s="7" t="n">
        <v>0</v>
      </c>
    </row>
    <row r="27463" spans="1:13">
      <c r="A27463" t="s">
        <v>4</v>
      </c>
      <c r="B27463" s="4" t="s">
        <v>5</v>
      </c>
      <c r="C27463" s="4" t="s">
        <v>7</v>
      </c>
      <c r="D27463" s="4" t="s">
        <v>7</v>
      </c>
      <c r="E27463" s="4" t="s">
        <v>13</v>
      </c>
      <c r="F27463" s="4" t="s">
        <v>11</v>
      </c>
    </row>
    <row r="27464" spans="1:13">
      <c r="A27464" t="n">
        <v>267088</v>
      </c>
      <c r="B27464" s="51" t="n">
        <v>45</v>
      </c>
      <c r="C27464" s="7" t="n">
        <v>5</v>
      </c>
      <c r="D27464" s="7" t="n">
        <v>3</v>
      </c>
      <c r="E27464" s="7" t="n">
        <v>1</v>
      </c>
      <c r="F27464" s="7" t="n">
        <v>0</v>
      </c>
    </row>
    <row r="27465" spans="1:13">
      <c r="A27465" t="s">
        <v>4</v>
      </c>
      <c r="B27465" s="4" t="s">
        <v>5</v>
      </c>
      <c r="C27465" s="4" t="s">
        <v>7</v>
      </c>
      <c r="D27465" s="4" t="s">
        <v>7</v>
      </c>
      <c r="E27465" s="4" t="s">
        <v>13</v>
      </c>
      <c r="F27465" s="4" t="s">
        <v>11</v>
      </c>
    </row>
    <row r="27466" spans="1:13">
      <c r="A27466" t="n">
        <v>267097</v>
      </c>
      <c r="B27466" s="51" t="n">
        <v>45</v>
      </c>
      <c r="C27466" s="7" t="n">
        <v>11</v>
      </c>
      <c r="D27466" s="7" t="n">
        <v>3</v>
      </c>
      <c r="E27466" s="7" t="n">
        <v>34</v>
      </c>
      <c r="F27466" s="7" t="n">
        <v>0</v>
      </c>
    </row>
    <row r="27467" spans="1:13">
      <c r="A27467" t="s">
        <v>4</v>
      </c>
      <c r="B27467" s="4" t="s">
        <v>5</v>
      </c>
      <c r="C27467" s="4" t="s">
        <v>7</v>
      </c>
      <c r="D27467" s="4" t="s">
        <v>11</v>
      </c>
    </row>
    <row r="27468" spans="1:13">
      <c r="A27468" t="n">
        <v>267106</v>
      </c>
      <c r="B27468" s="23" t="n">
        <v>58</v>
      </c>
      <c r="C27468" s="7" t="n">
        <v>255</v>
      </c>
      <c r="D27468" s="7" t="n">
        <v>0</v>
      </c>
    </row>
    <row r="27469" spans="1:13">
      <c r="A27469" t="s">
        <v>4</v>
      </c>
      <c r="B27469" s="4" t="s">
        <v>5</v>
      </c>
      <c r="C27469" s="4" t="s">
        <v>7</v>
      </c>
      <c r="D27469" s="4" t="s">
        <v>11</v>
      </c>
      <c r="E27469" s="4" t="s">
        <v>8</v>
      </c>
    </row>
    <row r="27470" spans="1:13">
      <c r="A27470" t="n">
        <v>267110</v>
      </c>
      <c r="B27470" s="38" t="n">
        <v>51</v>
      </c>
      <c r="C27470" s="7" t="n">
        <v>4</v>
      </c>
      <c r="D27470" s="7" t="n">
        <v>7</v>
      </c>
      <c r="E27470" s="7" t="s">
        <v>167</v>
      </c>
    </row>
    <row r="27471" spans="1:13">
      <c r="A27471" t="s">
        <v>4</v>
      </c>
      <c r="B27471" s="4" t="s">
        <v>5</v>
      </c>
      <c r="C27471" s="4" t="s">
        <v>11</v>
      </c>
    </row>
    <row r="27472" spans="1:13">
      <c r="A27472" t="n">
        <v>267124</v>
      </c>
      <c r="B27472" s="29" t="n">
        <v>16</v>
      </c>
      <c r="C27472" s="7" t="n">
        <v>0</v>
      </c>
    </row>
    <row r="27473" spans="1:9">
      <c r="A27473" t="s">
        <v>4</v>
      </c>
      <c r="B27473" s="4" t="s">
        <v>5</v>
      </c>
      <c r="C27473" s="4" t="s">
        <v>11</v>
      </c>
      <c r="D27473" s="4" t="s">
        <v>7</v>
      </c>
      <c r="E27473" s="4" t="s">
        <v>15</v>
      </c>
      <c r="F27473" s="4" t="s">
        <v>55</v>
      </c>
      <c r="G27473" s="4" t="s">
        <v>7</v>
      </c>
      <c r="H27473" s="4" t="s">
        <v>7</v>
      </c>
      <c r="I27473" s="4" t="s">
        <v>7</v>
      </c>
      <c r="J27473" s="4" t="s">
        <v>15</v>
      </c>
      <c r="K27473" s="4" t="s">
        <v>55</v>
      </c>
      <c r="L27473" s="4" t="s">
        <v>7</v>
      </c>
      <c r="M27473" s="4" t="s">
        <v>7</v>
      </c>
    </row>
    <row r="27474" spans="1:9">
      <c r="A27474" t="n">
        <v>267127</v>
      </c>
      <c r="B27474" s="55" t="n">
        <v>26</v>
      </c>
      <c r="C27474" s="7" t="n">
        <v>7</v>
      </c>
      <c r="D27474" s="7" t="n">
        <v>17</v>
      </c>
      <c r="E27474" s="7" t="n">
        <v>63906</v>
      </c>
      <c r="F27474" s="7" t="s">
        <v>559</v>
      </c>
      <c r="G27474" s="7" t="n">
        <v>2</v>
      </c>
      <c r="H27474" s="7" t="n">
        <v>3</v>
      </c>
      <c r="I27474" s="7" t="n">
        <v>17</v>
      </c>
      <c r="J27474" s="7" t="n">
        <v>63907</v>
      </c>
      <c r="K27474" s="7" t="s">
        <v>560</v>
      </c>
      <c r="L27474" s="7" t="n">
        <v>2</v>
      </c>
      <c r="M27474" s="7" t="n">
        <v>0</v>
      </c>
    </row>
    <row r="27475" spans="1:9">
      <c r="A27475" t="s">
        <v>4</v>
      </c>
      <c r="B27475" s="4" t="s">
        <v>5</v>
      </c>
    </row>
    <row r="27476" spans="1:9">
      <c r="A27476" t="n">
        <v>267211</v>
      </c>
      <c r="B27476" s="27" t="n">
        <v>28</v>
      </c>
    </row>
    <row r="27477" spans="1:9">
      <c r="A27477" t="s">
        <v>4</v>
      </c>
      <c r="B27477" s="4" t="s">
        <v>5</v>
      </c>
      <c r="C27477" s="4" t="s">
        <v>7</v>
      </c>
      <c r="D27477" s="4" t="s">
        <v>11</v>
      </c>
      <c r="E27477" s="4" t="s">
        <v>8</v>
      </c>
    </row>
    <row r="27478" spans="1:9">
      <c r="A27478" t="n">
        <v>267212</v>
      </c>
      <c r="B27478" s="38" t="n">
        <v>51</v>
      </c>
      <c r="C27478" s="7" t="n">
        <v>4</v>
      </c>
      <c r="D27478" s="7" t="n">
        <v>0</v>
      </c>
      <c r="E27478" s="7" t="s">
        <v>450</v>
      </c>
    </row>
    <row r="27479" spans="1:9">
      <c r="A27479" t="s">
        <v>4</v>
      </c>
      <c r="B27479" s="4" t="s">
        <v>5</v>
      </c>
      <c r="C27479" s="4" t="s">
        <v>11</v>
      </c>
    </row>
    <row r="27480" spans="1:9">
      <c r="A27480" t="n">
        <v>267226</v>
      </c>
      <c r="B27480" s="29" t="n">
        <v>16</v>
      </c>
      <c r="C27480" s="7" t="n">
        <v>0</v>
      </c>
    </row>
    <row r="27481" spans="1:9">
      <c r="A27481" t="s">
        <v>4</v>
      </c>
      <c r="B27481" s="4" t="s">
        <v>5</v>
      </c>
      <c r="C27481" s="4" t="s">
        <v>11</v>
      </c>
      <c r="D27481" s="4" t="s">
        <v>7</v>
      </c>
      <c r="E27481" s="4" t="s">
        <v>15</v>
      </c>
      <c r="F27481" s="4" t="s">
        <v>55</v>
      </c>
      <c r="G27481" s="4" t="s">
        <v>7</v>
      </c>
      <c r="H27481" s="4" t="s">
        <v>7</v>
      </c>
    </row>
    <row r="27482" spans="1:9">
      <c r="A27482" t="n">
        <v>267229</v>
      </c>
      <c r="B27482" s="55" t="n">
        <v>26</v>
      </c>
      <c r="C27482" s="7" t="n">
        <v>0</v>
      </c>
      <c r="D27482" s="7" t="n">
        <v>17</v>
      </c>
      <c r="E27482" s="7" t="n">
        <v>63908</v>
      </c>
      <c r="F27482" s="7" t="s">
        <v>561</v>
      </c>
      <c r="G27482" s="7" t="n">
        <v>2</v>
      </c>
      <c r="H27482" s="7" t="n">
        <v>0</v>
      </c>
    </row>
    <row r="27483" spans="1:9">
      <c r="A27483" t="s">
        <v>4</v>
      </c>
      <c r="B27483" s="4" t="s">
        <v>5</v>
      </c>
    </row>
    <row r="27484" spans="1:9">
      <c r="A27484" t="n">
        <v>267296</v>
      </c>
      <c r="B27484" s="27" t="n">
        <v>28</v>
      </c>
    </row>
    <row r="27485" spans="1:9">
      <c r="A27485" t="s">
        <v>4</v>
      </c>
      <c r="B27485" s="4" t="s">
        <v>5</v>
      </c>
      <c r="C27485" s="4" t="s">
        <v>7</v>
      </c>
      <c r="D27485" s="4" t="s">
        <v>11</v>
      </c>
      <c r="E27485" s="4" t="s">
        <v>8</v>
      </c>
      <c r="F27485" s="4" t="s">
        <v>8</v>
      </c>
      <c r="G27485" s="4" t="s">
        <v>8</v>
      </c>
      <c r="H27485" s="4" t="s">
        <v>8</v>
      </c>
    </row>
    <row r="27486" spans="1:9">
      <c r="A27486" t="n">
        <v>267297</v>
      </c>
      <c r="B27486" s="38" t="n">
        <v>51</v>
      </c>
      <c r="C27486" s="7" t="n">
        <v>3</v>
      </c>
      <c r="D27486" s="7" t="n">
        <v>7</v>
      </c>
      <c r="E27486" s="7" t="s">
        <v>295</v>
      </c>
      <c r="F27486" s="7" t="s">
        <v>99</v>
      </c>
      <c r="G27486" s="7" t="s">
        <v>78</v>
      </c>
      <c r="H27486" s="7" t="s">
        <v>79</v>
      </c>
    </row>
    <row r="27487" spans="1:9">
      <c r="A27487" t="s">
        <v>4</v>
      </c>
      <c r="B27487" s="4" t="s">
        <v>5</v>
      </c>
      <c r="C27487" s="4" t="s">
        <v>11</v>
      </c>
      <c r="D27487" s="4" t="s">
        <v>13</v>
      </c>
      <c r="E27487" s="4" t="s">
        <v>13</v>
      </c>
      <c r="F27487" s="4" t="s">
        <v>13</v>
      </c>
      <c r="G27487" s="4" t="s">
        <v>11</v>
      </c>
      <c r="H27487" s="4" t="s">
        <v>11</v>
      </c>
    </row>
    <row r="27488" spans="1:9">
      <c r="A27488" t="n">
        <v>267310</v>
      </c>
      <c r="B27488" s="37" t="n">
        <v>60</v>
      </c>
      <c r="C27488" s="7" t="n">
        <v>7</v>
      </c>
      <c r="D27488" s="7" t="n">
        <v>-45</v>
      </c>
      <c r="E27488" s="7" t="n">
        <v>0</v>
      </c>
      <c r="F27488" s="7" t="n">
        <v>0</v>
      </c>
      <c r="G27488" s="7" t="n">
        <v>1000</v>
      </c>
      <c r="H27488" s="7" t="n">
        <v>0</v>
      </c>
    </row>
    <row r="27489" spans="1:13">
      <c r="A27489" t="s">
        <v>4</v>
      </c>
      <c r="B27489" s="4" t="s">
        <v>5</v>
      </c>
      <c r="C27489" s="4" t="s">
        <v>11</v>
      </c>
    </row>
    <row r="27490" spans="1:13">
      <c r="A27490" t="n">
        <v>267329</v>
      </c>
      <c r="B27490" s="29" t="n">
        <v>16</v>
      </c>
      <c r="C27490" s="7" t="n">
        <v>1000</v>
      </c>
    </row>
    <row r="27491" spans="1:13">
      <c r="A27491" t="s">
        <v>4</v>
      </c>
      <c r="B27491" s="4" t="s">
        <v>5</v>
      </c>
      <c r="C27491" s="4" t="s">
        <v>7</v>
      </c>
      <c r="D27491" s="4" t="s">
        <v>11</v>
      </c>
      <c r="E27491" s="4" t="s">
        <v>8</v>
      </c>
      <c r="F27491" s="4" t="s">
        <v>8</v>
      </c>
      <c r="G27491" s="4" t="s">
        <v>8</v>
      </c>
      <c r="H27491" s="4" t="s">
        <v>8</v>
      </c>
    </row>
    <row r="27492" spans="1:13">
      <c r="A27492" t="n">
        <v>267332</v>
      </c>
      <c r="B27492" s="38" t="n">
        <v>51</v>
      </c>
      <c r="C27492" s="7" t="n">
        <v>3</v>
      </c>
      <c r="D27492" s="7" t="n">
        <v>7</v>
      </c>
      <c r="E27492" s="7" t="s">
        <v>296</v>
      </c>
      <c r="F27492" s="7" t="s">
        <v>99</v>
      </c>
      <c r="G27492" s="7" t="s">
        <v>78</v>
      </c>
      <c r="H27492" s="7" t="s">
        <v>79</v>
      </c>
    </row>
    <row r="27493" spans="1:13">
      <c r="A27493" t="s">
        <v>4</v>
      </c>
      <c r="B27493" s="4" t="s">
        <v>5</v>
      </c>
      <c r="C27493" s="4" t="s">
        <v>11</v>
      </c>
      <c r="D27493" s="4" t="s">
        <v>13</v>
      </c>
      <c r="E27493" s="4" t="s">
        <v>13</v>
      </c>
      <c r="F27493" s="4" t="s">
        <v>13</v>
      </c>
      <c r="G27493" s="4" t="s">
        <v>11</v>
      </c>
      <c r="H27493" s="4" t="s">
        <v>11</v>
      </c>
    </row>
    <row r="27494" spans="1:13">
      <c r="A27494" t="n">
        <v>267346</v>
      </c>
      <c r="B27494" s="37" t="n">
        <v>60</v>
      </c>
      <c r="C27494" s="7" t="n">
        <v>7</v>
      </c>
      <c r="D27494" s="7" t="n">
        <v>45</v>
      </c>
      <c r="E27494" s="7" t="n">
        <v>0</v>
      </c>
      <c r="F27494" s="7" t="n">
        <v>0</v>
      </c>
      <c r="G27494" s="7" t="n">
        <v>1000</v>
      </c>
      <c r="H27494" s="7" t="n">
        <v>0</v>
      </c>
    </row>
    <row r="27495" spans="1:13">
      <c r="A27495" t="s">
        <v>4</v>
      </c>
      <c r="B27495" s="4" t="s">
        <v>5</v>
      </c>
      <c r="C27495" s="4" t="s">
        <v>11</v>
      </c>
    </row>
    <row r="27496" spans="1:13">
      <c r="A27496" t="n">
        <v>267365</v>
      </c>
      <c r="B27496" s="29" t="n">
        <v>16</v>
      </c>
      <c r="C27496" s="7" t="n">
        <v>1200</v>
      </c>
    </row>
    <row r="27497" spans="1:13">
      <c r="A27497" t="s">
        <v>4</v>
      </c>
      <c r="B27497" s="4" t="s">
        <v>5</v>
      </c>
      <c r="C27497" s="4" t="s">
        <v>7</v>
      </c>
      <c r="D27497" s="4" t="s">
        <v>11</v>
      </c>
      <c r="E27497" s="4" t="s">
        <v>8</v>
      </c>
      <c r="F27497" s="4" t="s">
        <v>8</v>
      </c>
      <c r="G27497" s="4" t="s">
        <v>8</v>
      </c>
      <c r="H27497" s="4" t="s">
        <v>8</v>
      </c>
    </row>
    <row r="27498" spans="1:13">
      <c r="A27498" t="n">
        <v>267368</v>
      </c>
      <c r="B27498" s="38" t="n">
        <v>51</v>
      </c>
      <c r="C27498" s="7" t="n">
        <v>3</v>
      </c>
      <c r="D27498" s="7" t="n">
        <v>7</v>
      </c>
      <c r="E27498" s="7" t="s">
        <v>86</v>
      </c>
      <c r="F27498" s="7" t="s">
        <v>99</v>
      </c>
      <c r="G27498" s="7" t="s">
        <v>78</v>
      </c>
      <c r="H27498" s="7" t="s">
        <v>79</v>
      </c>
    </row>
    <row r="27499" spans="1:13">
      <c r="A27499" t="s">
        <v>4</v>
      </c>
      <c r="B27499" s="4" t="s">
        <v>5</v>
      </c>
      <c r="C27499" s="4" t="s">
        <v>11</v>
      </c>
      <c r="D27499" s="4" t="s">
        <v>13</v>
      </c>
      <c r="E27499" s="4" t="s">
        <v>13</v>
      </c>
      <c r="F27499" s="4" t="s">
        <v>13</v>
      </c>
      <c r="G27499" s="4" t="s">
        <v>11</v>
      </c>
      <c r="H27499" s="4" t="s">
        <v>11</v>
      </c>
    </row>
    <row r="27500" spans="1:13">
      <c r="A27500" t="n">
        <v>267381</v>
      </c>
      <c r="B27500" s="37" t="n">
        <v>60</v>
      </c>
      <c r="C27500" s="7" t="n">
        <v>7</v>
      </c>
      <c r="D27500" s="7" t="n">
        <v>0</v>
      </c>
      <c r="E27500" s="7" t="n">
        <v>0</v>
      </c>
      <c r="F27500" s="7" t="n">
        <v>0</v>
      </c>
      <c r="G27500" s="7" t="n">
        <v>1000</v>
      </c>
      <c r="H27500" s="7" t="n">
        <v>0</v>
      </c>
    </row>
    <row r="27501" spans="1:13">
      <c r="A27501" t="s">
        <v>4</v>
      </c>
      <c r="B27501" s="4" t="s">
        <v>5</v>
      </c>
      <c r="C27501" s="4" t="s">
        <v>11</v>
      </c>
    </row>
    <row r="27502" spans="1:13">
      <c r="A27502" t="n">
        <v>267400</v>
      </c>
      <c r="B27502" s="29" t="n">
        <v>16</v>
      </c>
      <c r="C27502" s="7" t="n">
        <v>1000</v>
      </c>
    </row>
    <row r="27503" spans="1:13">
      <c r="A27503" t="s">
        <v>4</v>
      </c>
      <c r="B27503" s="4" t="s">
        <v>5</v>
      </c>
      <c r="C27503" s="4" t="s">
        <v>7</v>
      </c>
      <c r="D27503" s="4" t="s">
        <v>11</v>
      </c>
      <c r="E27503" s="4" t="s">
        <v>8</v>
      </c>
    </row>
    <row r="27504" spans="1:13">
      <c r="A27504" t="n">
        <v>267403</v>
      </c>
      <c r="B27504" s="38" t="n">
        <v>51</v>
      </c>
      <c r="C27504" s="7" t="n">
        <v>4</v>
      </c>
      <c r="D27504" s="7" t="n">
        <v>7</v>
      </c>
      <c r="E27504" s="7" t="s">
        <v>179</v>
      </c>
    </row>
    <row r="27505" spans="1:8">
      <c r="A27505" t="s">
        <v>4</v>
      </c>
      <c r="B27505" s="4" t="s">
        <v>5</v>
      </c>
      <c r="C27505" s="4" t="s">
        <v>11</v>
      </c>
    </row>
    <row r="27506" spans="1:8">
      <c r="A27506" t="n">
        <v>267417</v>
      </c>
      <c r="B27506" s="29" t="n">
        <v>16</v>
      </c>
      <c r="C27506" s="7" t="n">
        <v>0</v>
      </c>
    </row>
    <row r="27507" spans="1:8">
      <c r="A27507" t="s">
        <v>4</v>
      </c>
      <c r="B27507" s="4" t="s">
        <v>5</v>
      </c>
      <c r="C27507" s="4" t="s">
        <v>11</v>
      </c>
      <c r="D27507" s="4" t="s">
        <v>7</v>
      </c>
      <c r="E27507" s="4" t="s">
        <v>15</v>
      </c>
      <c r="F27507" s="4" t="s">
        <v>55</v>
      </c>
      <c r="G27507" s="4" t="s">
        <v>7</v>
      </c>
      <c r="H27507" s="4" t="s">
        <v>7</v>
      </c>
    </row>
    <row r="27508" spans="1:8">
      <c r="A27508" t="n">
        <v>267420</v>
      </c>
      <c r="B27508" s="55" t="n">
        <v>26</v>
      </c>
      <c r="C27508" s="7" t="n">
        <v>7</v>
      </c>
      <c r="D27508" s="7" t="n">
        <v>17</v>
      </c>
      <c r="E27508" s="7" t="n">
        <v>63909</v>
      </c>
      <c r="F27508" s="7" t="s">
        <v>562</v>
      </c>
      <c r="G27508" s="7" t="n">
        <v>2</v>
      </c>
      <c r="H27508" s="7" t="n">
        <v>0</v>
      </c>
    </row>
    <row r="27509" spans="1:8">
      <c r="A27509" t="s">
        <v>4</v>
      </c>
      <c r="B27509" s="4" t="s">
        <v>5</v>
      </c>
    </row>
    <row r="27510" spans="1:8">
      <c r="A27510" t="n">
        <v>267488</v>
      </c>
      <c r="B27510" s="27" t="n">
        <v>28</v>
      </c>
    </row>
    <row r="27511" spans="1:8">
      <c r="A27511" t="s">
        <v>4</v>
      </c>
      <c r="B27511" s="4" t="s">
        <v>5</v>
      </c>
      <c r="C27511" s="4" t="s">
        <v>7</v>
      </c>
      <c r="D27511" s="4" t="s">
        <v>11</v>
      </c>
      <c r="E27511" s="4" t="s">
        <v>8</v>
      </c>
    </row>
    <row r="27512" spans="1:8">
      <c r="A27512" t="n">
        <v>267489</v>
      </c>
      <c r="B27512" s="38" t="n">
        <v>51</v>
      </c>
      <c r="C27512" s="7" t="n">
        <v>4</v>
      </c>
      <c r="D27512" s="7" t="n">
        <v>0</v>
      </c>
      <c r="E27512" s="7" t="s">
        <v>179</v>
      </c>
    </row>
    <row r="27513" spans="1:8">
      <c r="A27513" t="s">
        <v>4</v>
      </c>
      <c r="B27513" s="4" t="s">
        <v>5</v>
      </c>
      <c r="C27513" s="4" t="s">
        <v>11</v>
      </c>
    </row>
    <row r="27514" spans="1:8">
      <c r="A27514" t="n">
        <v>267503</v>
      </c>
      <c r="B27514" s="29" t="n">
        <v>16</v>
      </c>
      <c r="C27514" s="7" t="n">
        <v>0</v>
      </c>
    </row>
    <row r="27515" spans="1:8">
      <c r="A27515" t="s">
        <v>4</v>
      </c>
      <c r="B27515" s="4" t="s">
        <v>5</v>
      </c>
      <c r="C27515" s="4" t="s">
        <v>11</v>
      </c>
      <c r="D27515" s="4" t="s">
        <v>7</v>
      </c>
      <c r="E27515" s="4" t="s">
        <v>15</v>
      </c>
      <c r="F27515" s="4" t="s">
        <v>55</v>
      </c>
      <c r="G27515" s="4" t="s">
        <v>7</v>
      </c>
      <c r="H27515" s="4" t="s">
        <v>7</v>
      </c>
      <c r="I27515" s="4" t="s">
        <v>7</v>
      </c>
      <c r="J27515" s="4" t="s">
        <v>15</v>
      </c>
      <c r="K27515" s="4" t="s">
        <v>55</v>
      </c>
      <c r="L27515" s="4" t="s">
        <v>7</v>
      </c>
      <c r="M27515" s="4" t="s">
        <v>7</v>
      </c>
      <c r="N27515" s="4" t="s">
        <v>7</v>
      </c>
      <c r="O27515" s="4" t="s">
        <v>15</v>
      </c>
      <c r="P27515" s="4" t="s">
        <v>55</v>
      </c>
      <c r="Q27515" s="4" t="s">
        <v>7</v>
      </c>
      <c r="R27515" s="4" t="s">
        <v>7</v>
      </c>
    </row>
    <row r="27516" spans="1:8">
      <c r="A27516" t="n">
        <v>267506</v>
      </c>
      <c r="B27516" s="55" t="n">
        <v>26</v>
      </c>
      <c r="C27516" s="7" t="n">
        <v>0</v>
      </c>
      <c r="D27516" s="7" t="n">
        <v>17</v>
      </c>
      <c r="E27516" s="7" t="n">
        <v>63910</v>
      </c>
      <c r="F27516" s="7" t="s">
        <v>563</v>
      </c>
      <c r="G27516" s="7" t="n">
        <v>2</v>
      </c>
      <c r="H27516" s="7" t="n">
        <v>3</v>
      </c>
      <c r="I27516" s="7" t="n">
        <v>17</v>
      </c>
      <c r="J27516" s="7" t="n">
        <v>63911</v>
      </c>
      <c r="K27516" s="7" t="s">
        <v>564</v>
      </c>
      <c r="L27516" s="7" t="n">
        <v>2</v>
      </c>
      <c r="M27516" s="7" t="n">
        <v>3</v>
      </c>
      <c r="N27516" s="7" t="n">
        <v>17</v>
      </c>
      <c r="O27516" s="7" t="n">
        <v>63912</v>
      </c>
      <c r="P27516" s="7" t="s">
        <v>565</v>
      </c>
      <c r="Q27516" s="7" t="n">
        <v>2</v>
      </c>
      <c r="R27516" s="7" t="n">
        <v>0</v>
      </c>
    </row>
    <row r="27517" spans="1:8">
      <c r="A27517" t="s">
        <v>4</v>
      </c>
      <c r="B27517" s="4" t="s">
        <v>5</v>
      </c>
    </row>
    <row r="27518" spans="1:8">
      <c r="A27518" t="n">
        <v>267710</v>
      </c>
      <c r="B27518" s="27" t="n">
        <v>28</v>
      </c>
    </row>
    <row r="27519" spans="1:8">
      <c r="A27519" t="s">
        <v>4</v>
      </c>
      <c r="B27519" s="4" t="s">
        <v>5</v>
      </c>
      <c r="C27519" s="4" t="s">
        <v>7</v>
      </c>
      <c r="D27519" s="4" t="s">
        <v>11</v>
      </c>
      <c r="E27519" s="4" t="s">
        <v>8</v>
      </c>
    </row>
    <row r="27520" spans="1:8">
      <c r="A27520" t="n">
        <v>267711</v>
      </c>
      <c r="B27520" s="38" t="n">
        <v>51</v>
      </c>
      <c r="C27520" s="7" t="n">
        <v>4</v>
      </c>
      <c r="D27520" s="7" t="n">
        <v>7</v>
      </c>
      <c r="E27520" s="7" t="s">
        <v>304</v>
      </c>
    </row>
    <row r="27521" spans="1:18">
      <c r="A27521" t="s">
        <v>4</v>
      </c>
      <c r="B27521" s="4" t="s">
        <v>5</v>
      </c>
      <c r="C27521" s="4" t="s">
        <v>11</v>
      </c>
    </row>
    <row r="27522" spans="1:18">
      <c r="A27522" t="n">
        <v>267724</v>
      </c>
      <c r="B27522" s="29" t="n">
        <v>16</v>
      </c>
      <c r="C27522" s="7" t="n">
        <v>0</v>
      </c>
    </row>
    <row r="27523" spans="1:18">
      <c r="A27523" t="s">
        <v>4</v>
      </c>
      <c r="B27523" s="4" t="s">
        <v>5</v>
      </c>
      <c r="C27523" s="4" t="s">
        <v>11</v>
      </c>
      <c r="D27523" s="4" t="s">
        <v>7</v>
      </c>
      <c r="E27523" s="4" t="s">
        <v>15</v>
      </c>
      <c r="F27523" s="4" t="s">
        <v>55</v>
      </c>
      <c r="G27523" s="4" t="s">
        <v>7</v>
      </c>
      <c r="H27523" s="4" t="s">
        <v>7</v>
      </c>
    </row>
    <row r="27524" spans="1:18">
      <c r="A27524" t="n">
        <v>267727</v>
      </c>
      <c r="B27524" s="55" t="n">
        <v>26</v>
      </c>
      <c r="C27524" s="7" t="n">
        <v>7</v>
      </c>
      <c r="D27524" s="7" t="n">
        <v>17</v>
      </c>
      <c r="E27524" s="7" t="n">
        <v>63913</v>
      </c>
      <c r="F27524" s="7" t="s">
        <v>566</v>
      </c>
      <c r="G27524" s="7" t="n">
        <v>2</v>
      </c>
      <c r="H27524" s="7" t="n">
        <v>0</v>
      </c>
    </row>
    <row r="27525" spans="1:18">
      <c r="A27525" t="s">
        <v>4</v>
      </c>
      <c r="B27525" s="4" t="s">
        <v>5</v>
      </c>
    </row>
    <row r="27526" spans="1:18">
      <c r="A27526" t="n">
        <v>267755</v>
      </c>
      <c r="B27526" s="27" t="n">
        <v>28</v>
      </c>
    </row>
    <row r="27527" spans="1:18">
      <c r="A27527" t="s">
        <v>4</v>
      </c>
      <c r="B27527" s="4" t="s">
        <v>5</v>
      </c>
      <c r="C27527" s="4" t="s">
        <v>7</v>
      </c>
      <c r="D27527" s="4" t="s">
        <v>11</v>
      </c>
      <c r="E27527" s="4" t="s">
        <v>13</v>
      </c>
    </row>
    <row r="27528" spans="1:18">
      <c r="A27528" t="n">
        <v>267756</v>
      </c>
      <c r="B27528" s="23" t="n">
        <v>58</v>
      </c>
      <c r="C27528" s="7" t="n">
        <v>101</v>
      </c>
      <c r="D27528" s="7" t="n">
        <v>500</v>
      </c>
      <c r="E27528" s="7" t="n">
        <v>1</v>
      </c>
    </row>
    <row r="27529" spans="1:18">
      <c r="A27529" t="s">
        <v>4</v>
      </c>
      <c r="B27529" s="4" t="s">
        <v>5</v>
      </c>
      <c r="C27529" s="4" t="s">
        <v>7</v>
      </c>
      <c r="D27529" s="4" t="s">
        <v>11</v>
      </c>
    </row>
    <row r="27530" spans="1:18">
      <c r="A27530" t="n">
        <v>267764</v>
      </c>
      <c r="B27530" s="23" t="n">
        <v>58</v>
      </c>
      <c r="C27530" s="7" t="n">
        <v>254</v>
      </c>
      <c r="D27530" s="7" t="n">
        <v>0</v>
      </c>
    </row>
    <row r="27531" spans="1:18">
      <c r="A27531" t="s">
        <v>4</v>
      </c>
      <c r="B27531" s="4" t="s">
        <v>5</v>
      </c>
      <c r="C27531" s="4" t="s">
        <v>7</v>
      </c>
      <c r="D27531" s="4" t="s">
        <v>11</v>
      </c>
      <c r="E27531" s="4" t="s">
        <v>8</v>
      </c>
      <c r="F27531" s="4" t="s">
        <v>8</v>
      </c>
      <c r="G27531" s="4" t="s">
        <v>8</v>
      </c>
      <c r="H27531" s="4" t="s">
        <v>8</v>
      </c>
    </row>
    <row r="27532" spans="1:18">
      <c r="A27532" t="n">
        <v>267768</v>
      </c>
      <c r="B27532" s="38" t="n">
        <v>51</v>
      </c>
      <c r="C27532" s="7" t="n">
        <v>3</v>
      </c>
      <c r="D27532" s="7" t="n">
        <v>0</v>
      </c>
      <c r="E27532" s="7" t="s">
        <v>65</v>
      </c>
      <c r="F27532" s="7" t="s">
        <v>99</v>
      </c>
      <c r="G27532" s="7" t="s">
        <v>78</v>
      </c>
      <c r="H27532" s="7" t="s">
        <v>79</v>
      </c>
    </row>
    <row r="27533" spans="1:18">
      <c r="A27533" t="s">
        <v>4</v>
      </c>
      <c r="B27533" s="4" t="s">
        <v>5</v>
      </c>
      <c r="C27533" s="4" t="s">
        <v>7</v>
      </c>
      <c r="D27533" s="4" t="s">
        <v>11</v>
      </c>
      <c r="E27533" s="4" t="s">
        <v>8</v>
      </c>
      <c r="F27533" s="4" t="s">
        <v>8</v>
      </c>
      <c r="G27533" s="4" t="s">
        <v>8</v>
      </c>
      <c r="H27533" s="4" t="s">
        <v>8</v>
      </c>
    </row>
    <row r="27534" spans="1:18">
      <c r="A27534" t="n">
        <v>267789</v>
      </c>
      <c r="B27534" s="38" t="n">
        <v>51</v>
      </c>
      <c r="C27534" s="7" t="n">
        <v>3</v>
      </c>
      <c r="D27534" s="7" t="n">
        <v>7</v>
      </c>
      <c r="E27534" s="7" t="s">
        <v>65</v>
      </c>
      <c r="F27534" s="7" t="s">
        <v>99</v>
      </c>
      <c r="G27534" s="7" t="s">
        <v>78</v>
      </c>
      <c r="H27534" s="7" t="s">
        <v>79</v>
      </c>
    </row>
    <row r="27535" spans="1:18">
      <c r="A27535" t="s">
        <v>4</v>
      </c>
      <c r="B27535" s="4" t="s">
        <v>5</v>
      </c>
      <c r="C27535" s="4" t="s">
        <v>11</v>
      </c>
      <c r="D27535" s="4" t="s">
        <v>11</v>
      </c>
      <c r="E27535" s="4" t="s">
        <v>11</v>
      </c>
    </row>
    <row r="27536" spans="1:18">
      <c r="A27536" t="n">
        <v>267810</v>
      </c>
      <c r="B27536" s="72" t="n">
        <v>61</v>
      </c>
      <c r="C27536" s="7" t="n">
        <v>0</v>
      </c>
      <c r="D27536" s="7" t="n">
        <v>65533</v>
      </c>
      <c r="E27536" s="7" t="n">
        <v>0</v>
      </c>
    </row>
    <row r="27537" spans="1:8">
      <c r="A27537" t="s">
        <v>4</v>
      </c>
      <c r="B27537" s="4" t="s">
        <v>5</v>
      </c>
      <c r="C27537" s="4" t="s">
        <v>11</v>
      </c>
      <c r="D27537" s="4" t="s">
        <v>11</v>
      </c>
      <c r="E27537" s="4" t="s">
        <v>11</v>
      </c>
    </row>
    <row r="27538" spans="1:8">
      <c r="A27538" t="n">
        <v>267817</v>
      </c>
      <c r="B27538" s="72" t="n">
        <v>61</v>
      </c>
      <c r="C27538" s="7" t="n">
        <v>7</v>
      </c>
      <c r="D27538" s="7" t="n">
        <v>65533</v>
      </c>
      <c r="E27538" s="7" t="n">
        <v>0</v>
      </c>
    </row>
    <row r="27539" spans="1:8">
      <c r="A27539" t="s">
        <v>4</v>
      </c>
      <c r="B27539" s="4" t="s">
        <v>5</v>
      </c>
      <c r="C27539" s="4" t="s">
        <v>7</v>
      </c>
    </row>
    <row r="27540" spans="1:8">
      <c r="A27540" t="n">
        <v>267824</v>
      </c>
      <c r="B27540" s="49" t="n">
        <v>116</v>
      </c>
      <c r="C27540" s="7" t="n">
        <v>0</v>
      </c>
    </row>
    <row r="27541" spans="1:8">
      <c r="A27541" t="s">
        <v>4</v>
      </c>
      <c r="B27541" s="4" t="s">
        <v>5</v>
      </c>
      <c r="C27541" s="4" t="s">
        <v>7</v>
      </c>
      <c r="D27541" s="4" t="s">
        <v>11</v>
      </c>
    </row>
    <row r="27542" spans="1:8">
      <c r="A27542" t="n">
        <v>267826</v>
      </c>
      <c r="B27542" s="49" t="n">
        <v>116</v>
      </c>
      <c r="C27542" s="7" t="n">
        <v>2</v>
      </c>
      <c r="D27542" s="7" t="n">
        <v>1</v>
      </c>
    </row>
    <row r="27543" spans="1:8">
      <c r="A27543" t="s">
        <v>4</v>
      </c>
      <c r="B27543" s="4" t="s">
        <v>5</v>
      </c>
      <c r="C27543" s="4" t="s">
        <v>7</v>
      </c>
      <c r="D27543" s="4" t="s">
        <v>15</v>
      </c>
    </row>
    <row r="27544" spans="1:8">
      <c r="A27544" t="n">
        <v>267830</v>
      </c>
      <c r="B27544" s="49" t="n">
        <v>116</v>
      </c>
      <c r="C27544" s="7" t="n">
        <v>5</v>
      </c>
      <c r="D27544" s="7" t="n">
        <v>1106247680</v>
      </c>
    </row>
    <row r="27545" spans="1:8">
      <c r="A27545" t="s">
        <v>4</v>
      </c>
      <c r="B27545" s="4" t="s">
        <v>5</v>
      </c>
      <c r="C27545" s="4" t="s">
        <v>7</v>
      </c>
      <c r="D27545" s="4" t="s">
        <v>11</v>
      </c>
    </row>
    <row r="27546" spans="1:8">
      <c r="A27546" t="n">
        <v>267836</v>
      </c>
      <c r="B27546" s="49" t="n">
        <v>116</v>
      </c>
      <c r="C27546" s="7" t="n">
        <v>6</v>
      </c>
      <c r="D27546" s="7" t="n">
        <v>1</v>
      </c>
    </row>
    <row r="27547" spans="1:8">
      <c r="A27547" t="s">
        <v>4</v>
      </c>
      <c r="B27547" s="4" t="s">
        <v>5</v>
      </c>
      <c r="C27547" s="4" t="s">
        <v>7</v>
      </c>
      <c r="D27547" s="4" t="s">
        <v>7</v>
      </c>
      <c r="E27547" s="4" t="s">
        <v>13</v>
      </c>
      <c r="F27547" s="4" t="s">
        <v>13</v>
      </c>
      <c r="G27547" s="4" t="s">
        <v>13</v>
      </c>
      <c r="H27547" s="4" t="s">
        <v>11</v>
      </c>
    </row>
    <row r="27548" spans="1:8">
      <c r="A27548" t="n">
        <v>267840</v>
      </c>
      <c r="B27548" s="51" t="n">
        <v>45</v>
      </c>
      <c r="C27548" s="7" t="n">
        <v>2</v>
      </c>
      <c r="D27548" s="7" t="n">
        <v>3</v>
      </c>
      <c r="E27548" s="7" t="n">
        <v>4.53000020980835</v>
      </c>
      <c r="F27548" s="7" t="n">
        <v>1.30999994277954</v>
      </c>
      <c r="G27548" s="7" t="n">
        <v>46.2700004577637</v>
      </c>
      <c r="H27548" s="7" t="n">
        <v>0</v>
      </c>
    </row>
    <row r="27549" spans="1:8">
      <c r="A27549" t="s">
        <v>4</v>
      </c>
      <c r="B27549" s="4" t="s">
        <v>5</v>
      </c>
      <c r="C27549" s="4" t="s">
        <v>7</v>
      </c>
      <c r="D27549" s="4" t="s">
        <v>7</v>
      </c>
      <c r="E27549" s="4" t="s">
        <v>13</v>
      </c>
      <c r="F27549" s="4" t="s">
        <v>13</v>
      </c>
      <c r="G27549" s="4" t="s">
        <v>13</v>
      </c>
      <c r="H27549" s="4" t="s">
        <v>11</v>
      </c>
      <c r="I27549" s="4" t="s">
        <v>7</v>
      </c>
    </row>
    <row r="27550" spans="1:8">
      <c r="A27550" t="n">
        <v>267857</v>
      </c>
      <c r="B27550" s="51" t="n">
        <v>45</v>
      </c>
      <c r="C27550" s="7" t="n">
        <v>4</v>
      </c>
      <c r="D27550" s="7" t="n">
        <v>3</v>
      </c>
      <c r="E27550" s="7" t="n">
        <v>12.8699998855591</v>
      </c>
      <c r="F27550" s="7" t="n">
        <v>80.0199966430664</v>
      </c>
      <c r="G27550" s="7" t="n">
        <v>0</v>
      </c>
      <c r="H27550" s="7" t="n">
        <v>0</v>
      </c>
      <c r="I27550" s="7" t="n">
        <v>0</v>
      </c>
    </row>
    <row r="27551" spans="1:8">
      <c r="A27551" t="s">
        <v>4</v>
      </c>
      <c r="B27551" s="4" t="s">
        <v>5</v>
      </c>
      <c r="C27551" s="4" t="s">
        <v>7</v>
      </c>
      <c r="D27551" s="4" t="s">
        <v>7</v>
      </c>
      <c r="E27551" s="4" t="s">
        <v>13</v>
      </c>
      <c r="F27551" s="4" t="s">
        <v>11</v>
      </c>
    </row>
    <row r="27552" spans="1:8">
      <c r="A27552" t="n">
        <v>267875</v>
      </c>
      <c r="B27552" s="51" t="n">
        <v>45</v>
      </c>
      <c r="C27552" s="7" t="n">
        <v>5</v>
      </c>
      <c r="D27552" s="7" t="n">
        <v>3</v>
      </c>
      <c r="E27552" s="7" t="n">
        <v>3</v>
      </c>
      <c r="F27552" s="7" t="n">
        <v>0</v>
      </c>
    </row>
    <row r="27553" spans="1:9">
      <c r="A27553" t="s">
        <v>4</v>
      </c>
      <c r="B27553" s="4" t="s">
        <v>5</v>
      </c>
      <c r="C27553" s="4" t="s">
        <v>7</v>
      </c>
      <c r="D27553" s="4" t="s">
        <v>7</v>
      </c>
      <c r="E27553" s="4" t="s">
        <v>13</v>
      </c>
      <c r="F27553" s="4" t="s">
        <v>11</v>
      </c>
    </row>
    <row r="27554" spans="1:9">
      <c r="A27554" t="n">
        <v>267884</v>
      </c>
      <c r="B27554" s="51" t="n">
        <v>45</v>
      </c>
      <c r="C27554" s="7" t="n">
        <v>11</v>
      </c>
      <c r="D27554" s="7" t="n">
        <v>3</v>
      </c>
      <c r="E27554" s="7" t="n">
        <v>34</v>
      </c>
      <c r="F27554" s="7" t="n">
        <v>0</v>
      </c>
    </row>
    <row r="27555" spans="1:9">
      <c r="A27555" t="s">
        <v>4</v>
      </c>
      <c r="B27555" s="4" t="s">
        <v>5</v>
      </c>
      <c r="C27555" s="4" t="s">
        <v>7</v>
      </c>
      <c r="D27555" s="4" t="s">
        <v>7</v>
      </c>
      <c r="E27555" s="4" t="s">
        <v>13</v>
      </c>
      <c r="F27555" s="4" t="s">
        <v>13</v>
      </c>
      <c r="G27555" s="4" t="s">
        <v>13</v>
      </c>
      <c r="H27555" s="4" t="s">
        <v>11</v>
      </c>
    </row>
    <row r="27556" spans="1:9">
      <c r="A27556" t="n">
        <v>267893</v>
      </c>
      <c r="B27556" s="51" t="n">
        <v>45</v>
      </c>
      <c r="C27556" s="7" t="n">
        <v>2</v>
      </c>
      <c r="D27556" s="7" t="n">
        <v>3</v>
      </c>
      <c r="E27556" s="7" t="n">
        <v>4.53000020980835</v>
      </c>
      <c r="F27556" s="7" t="n">
        <v>2.30999994277954</v>
      </c>
      <c r="G27556" s="7" t="n">
        <v>46.2700004577637</v>
      </c>
      <c r="H27556" s="7" t="n">
        <v>5000</v>
      </c>
    </row>
    <row r="27557" spans="1:9">
      <c r="A27557" t="s">
        <v>4</v>
      </c>
      <c r="B27557" s="4" t="s">
        <v>5</v>
      </c>
      <c r="C27557" s="4" t="s">
        <v>7</v>
      </c>
      <c r="D27557" s="4" t="s">
        <v>11</v>
      </c>
    </row>
    <row r="27558" spans="1:9">
      <c r="A27558" t="n">
        <v>267910</v>
      </c>
      <c r="B27558" s="23" t="n">
        <v>58</v>
      </c>
      <c r="C27558" s="7" t="n">
        <v>255</v>
      </c>
      <c r="D27558" s="7" t="n">
        <v>0</v>
      </c>
    </row>
    <row r="27559" spans="1:9">
      <c r="A27559" t="s">
        <v>4</v>
      </c>
      <c r="B27559" s="4" t="s">
        <v>5</v>
      </c>
      <c r="C27559" s="4" t="s">
        <v>11</v>
      </c>
      <c r="D27559" s="4" t="s">
        <v>13</v>
      </c>
      <c r="E27559" s="4" t="s">
        <v>13</v>
      </c>
      <c r="F27559" s="4" t="s">
        <v>7</v>
      </c>
    </row>
    <row r="27560" spans="1:9">
      <c r="A27560" t="n">
        <v>267914</v>
      </c>
      <c r="B27560" s="65" t="n">
        <v>52</v>
      </c>
      <c r="C27560" s="7" t="n">
        <v>0</v>
      </c>
      <c r="D27560" s="7" t="n">
        <v>255</v>
      </c>
      <c r="E27560" s="7" t="n">
        <v>5</v>
      </c>
      <c r="F27560" s="7" t="n">
        <v>0</v>
      </c>
    </row>
    <row r="27561" spans="1:9">
      <c r="A27561" t="s">
        <v>4</v>
      </c>
      <c r="B27561" s="4" t="s">
        <v>5</v>
      </c>
      <c r="C27561" s="4" t="s">
        <v>11</v>
      </c>
    </row>
    <row r="27562" spans="1:9">
      <c r="A27562" t="n">
        <v>267926</v>
      </c>
      <c r="B27562" s="29" t="n">
        <v>16</v>
      </c>
      <c r="C27562" s="7" t="n">
        <v>100</v>
      </c>
    </row>
    <row r="27563" spans="1:9">
      <c r="A27563" t="s">
        <v>4</v>
      </c>
      <c r="B27563" s="4" t="s">
        <v>5</v>
      </c>
      <c r="C27563" s="4" t="s">
        <v>11</v>
      </c>
      <c r="D27563" s="4" t="s">
        <v>13</v>
      </c>
      <c r="E27563" s="4" t="s">
        <v>13</v>
      </c>
      <c r="F27563" s="4" t="s">
        <v>7</v>
      </c>
    </row>
    <row r="27564" spans="1:9">
      <c r="A27564" t="n">
        <v>267929</v>
      </c>
      <c r="B27564" s="65" t="n">
        <v>52</v>
      </c>
      <c r="C27564" s="7" t="n">
        <v>7</v>
      </c>
      <c r="D27564" s="7" t="n">
        <v>255</v>
      </c>
      <c r="E27564" s="7" t="n">
        <v>5</v>
      </c>
      <c r="F27564" s="7" t="n">
        <v>0</v>
      </c>
    </row>
    <row r="27565" spans="1:9">
      <c r="A27565" t="s">
        <v>4</v>
      </c>
      <c r="B27565" s="4" t="s">
        <v>5</v>
      </c>
      <c r="C27565" s="4" t="s">
        <v>11</v>
      </c>
    </row>
    <row r="27566" spans="1:9">
      <c r="A27566" t="n">
        <v>267941</v>
      </c>
      <c r="B27566" s="66" t="n">
        <v>54</v>
      </c>
      <c r="C27566" s="7" t="n">
        <v>0</v>
      </c>
    </row>
    <row r="27567" spans="1:9">
      <c r="A27567" t="s">
        <v>4</v>
      </c>
      <c r="B27567" s="4" t="s">
        <v>5</v>
      </c>
      <c r="C27567" s="4" t="s">
        <v>11</v>
      </c>
      <c r="D27567" s="4" t="s">
        <v>11</v>
      </c>
      <c r="E27567" s="4" t="s">
        <v>13</v>
      </c>
      <c r="F27567" s="4" t="s">
        <v>13</v>
      </c>
      <c r="G27567" s="4" t="s">
        <v>13</v>
      </c>
      <c r="H27567" s="4" t="s">
        <v>13</v>
      </c>
      <c r="I27567" s="4" t="s">
        <v>7</v>
      </c>
      <c r="J27567" s="4" t="s">
        <v>11</v>
      </c>
    </row>
    <row r="27568" spans="1:9">
      <c r="A27568" t="n">
        <v>267944</v>
      </c>
      <c r="B27568" s="53" t="n">
        <v>55</v>
      </c>
      <c r="C27568" s="7" t="n">
        <v>0</v>
      </c>
      <c r="D27568" s="7" t="n">
        <v>65024</v>
      </c>
      <c r="E27568" s="7" t="n">
        <v>0</v>
      </c>
      <c r="F27568" s="7" t="n">
        <v>0</v>
      </c>
      <c r="G27568" s="7" t="n">
        <v>6</v>
      </c>
      <c r="H27568" s="7" t="n">
        <v>1.20000004768372</v>
      </c>
      <c r="I27568" s="7" t="n">
        <v>1</v>
      </c>
      <c r="J27568" s="7" t="n">
        <v>0</v>
      </c>
    </row>
    <row r="27569" spans="1:10">
      <c r="A27569" t="s">
        <v>4</v>
      </c>
      <c r="B27569" s="4" t="s">
        <v>5</v>
      </c>
      <c r="C27569" s="4" t="s">
        <v>11</v>
      </c>
    </row>
    <row r="27570" spans="1:10">
      <c r="A27570" t="n">
        <v>267968</v>
      </c>
      <c r="B27570" s="66" t="n">
        <v>54</v>
      </c>
      <c r="C27570" s="7" t="n">
        <v>7</v>
      </c>
    </row>
    <row r="27571" spans="1:10">
      <c r="A27571" t="s">
        <v>4</v>
      </c>
      <c r="B27571" s="4" t="s">
        <v>5</v>
      </c>
      <c r="C27571" s="4" t="s">
        <v>11</v>
      </c>
    </row>
    <row r="27572" spans="1:10">
      <c r="A27572" t="n">
        <v>267971</v>
      </c>
      <c r="B27572" s="29" t="n">
        <v>16</v>
      </c>
      <c r="C27572" s="7" t="n">
        <v>200</v>
      </c>
    </row>
    <row r="27573" spans="1:10">
      <c r="A27573" t="s">
        <v>4</v>
      </c>
      <c r="B27573" s="4" t="s">
        <v>5</v>
      </c>
      <c r="C27573" s="4" t="s">
        <v>11</v>
      </c>
      <c r="D27573" s="4" t="s">
        <v>11</v>
      </c>
      <c r="E27573" s="4" t="s">
        <v>13</v>
      </c>
      <c r="F27573" s="4" t="s">
        <v>13</v>
      </c>
      <c r="G27573" s="4" t="s">
        <v>13</v>
      </c>
      <c r="H27573" s="4" t="s">
        <v>13</v>
      </c>
      <c r="I27573" s="4" t="s">
        <v>7</v>
      </c>
      <c r="J27573" s="4" t="s">
        <v>11</v>
      </c>
    </row>
    <row r="27574" spans="1:10">
      <c r="A27574" t="n">
        <v>267974</v>
      </c>
      <c r="B27574" s="53" t="n">
        <v>55</v>
      </c>
      <c r="C27574" s="7" t="n">
        <v>7</v>
      </c>
      <c r="D27574" s="7" t="n">
        <v>65024</v>
      </c>
      <c r="E27574" s="7" t="n">
        <v>0</v>
      </c>
      <c r="F27574" s="7" t="n">
        <v>0</v>
      </c>
      <c r="G27574" s="7" t="n">
        <v>6</v>
      </c>
      <c r="H27574" s="7" t="n">
        <v>1.20000004768372</v>
      </c>
      <c r="I27574" s="7" t="n">
        <v>1</v>
      </c>
      <c r="J27574" s="7" t="n">
        <v>0</v>
      </c>
    </row>
    <row r="27575" spans="1:10">
      <c r="A27575" t="s">
        <v>4</v>
      </c>
      <c r="B27575" s="4" t="s">
        <v>5</v>
      </c>
      <c r="C27575" s="4" t="s">
        <v>11</v>
      </c>
    </row>
    <row r="27576" spans="1:10">
      <c r="A27576" t="n">
        <v>267998</v>
      </c>
      <c r="B27576" s="29" t="n">
        <v>16</v>
      </c>
      <c r="C27576" s="7" t="n">
        <v>2000</v>
      </c>
    </row>
    <row r="27577" spans="1:10">
      <c r="A27577" t="s">
        <v>4</v>
      </c>
      <c r="B27577" s="4" t="s">
        <v>5</v>
      </c>
      <c r="C27577" s="4" t="s">
        <v>7</v>
      </c>
      <c r="D27577" s="4" t="s">
        <v>11</v>
      </c>
      <c r="E27577" s="4" t="s">
        <v>13</v>
      </c>
    </row>
    <row r="27578" spans="1:10">
      <c r="A27578" t="n">
        <v>268001</v>
      </c>
      <c r="B27578" s="23" t="n">
        <v>58</v>
      </c>
      <c r="C27578" s="7" t="n">
        <v>0</v>
      </c>
      <c r="D27578" s="7" t="n">
        <v>1000</v>
      </c>
      <c r="E27578" s="7" t="n">
        <v>1</v>
      </c>
    </row>
    <row r="27579" spans="1:10">
      <c r="A27579" t="s">
        <v>4</v>
      </c>
      <c r="B27579" s="4" t="s">
        <v>5</v>
      </c>
      <c r="C27579" s="4" t="s">
        <v>7</v>
      </c>
      <c r="D27579" s="4" t="s">
        <v>11</v>
      </c>
    </row>
    <row r="27580" spans="1:10">
      <c r="A27580" t="n">
        <v>268009</v>
      </c>
      <c r="B27580" s="23" t="n">
        <v>58</v>
      </c>
      <c r="C27580" s="7" t="n">
        <v>255</v>
      </c>
      <c r="D27580" s="7" t="n">
        <v>0</v>
      </c>
    </row>
    <row r="27581" spans="1:10">
      <c r="A27581" t="s">
        <v>4</v>
      </c>
      <c r="B27581" s="4" t="s">
        <v>5</v>
      </c>
      <c r="C27581" s="4" t="s">
        <v>11</v>
      </c>
      <c r="D27581" s="4" t="s">
        <v>7</v>
      </c>
    </row>
    <row r="27582" spans="1:10">
      <c r="A27582" t="n">
        <v>268013</v>
      </c>
      <c r="B27582" s="54" t="n">
        <v>56</v>
      </c>
      <c r="C27582" s="7" t="n">
        <v>0</v>
      </c>
      <c r="D27582" s="7" t="n">
        <v>1</v>
      </c>
    </row>
    <row r="27583" spans="1:10">
      <c r="A27583" t="s">
        <v>4</v>
      </c>
      <c r="B27583" s="4" t="s">
        <v>5</v>
      </c>
      <c r="C27583" s="4" t="s">
        <v>11</v>
      </c>
      <c r="D27583" s="4" t="s">
        <v>7</v>
      </c>
    </row>
    <row r="27584" spans="1:10">
      <c r="A27584" t="n">
        <v>268017</v>
      </c>
      <c r="B27584" s="54" t="n">
        <v>56</v>
      </c>
      <c r="C27584" s="7" t="n">
        <v>7</v>
      </c>
      <c r="D27584" s="7" t="n">
        <v>1</v>
      </c>
    </row>
    <row r="27585" spans="1:10">
      <c r="A27585" t="s">
        <v>4</v>
      </c>
      <c r="B27585" s="4" t="s">
        <v>5</v>
      </c>
      <c r="C27585" s="4" t="s">
        <v>11</v>
      </c>
      <c r="D27585" s="4" t="s">
        <v>13</v>
      </c>
      <c r="E27585" s="4" t="s">
        <v>13</v>
      </c>
      <c r="F27585" s="4" t="s">
        <v>13</v>
      </c>
      <c r="G27585" s="4" t="s">
        <v>13</v>
      </c>
    </row>
    <row r="27586" spans="1:10">
      <c r="A27586" t="n">
        <v>268021</v>
      </c>
      <c r="B27586" s="36" t="n">
        <v>46</v>
      </c>
      <c r="C27586" s="7" t="n">
        <v>0</v>
      </c>
      <c r="D27586" s="7" t="n">
        <v>-11.1700000762939</v>
      </c>
      <c r="E27586" s="7" t="n">
        <v>10.0100002288818</v>
      </c>
      <c r="F27586" s="7" t="n">
        <v>47.7700004577637</v>
      </c>
      <c r="G27586" s="7" t="n">
        <v>278.399993896484</v>
      </c>
    </row>
    <row r="27587" spans="1:10">
      <c r="A27587" t="s">
        <v>4</v>
      </c>
      <c r="B27587" s="4" t="s">
        <v>5</v>
      </c>
      <c r="C27587" s="4" t="s">
        <v>11</v>
      </c>
      <c r="D27587" s="4" t="s">
        <v>13</v>
      </c>
      <c r="E27587" s="4" t="s">
        <v>13</v>
      </c>
      <c r="F27587" s="4" t="s">
        <v>13</v>
      </c>
      <c r="G27587" s="4" t="s">
        <v>13</v>
      </c>
    </row>
    <row r="27588" spans="1:10">
      <c r="A27588" t="n">
        <v>268040</v>
      </c>
      <c r="B27588" s="36" t="n">
        <v>46</v>
      </c>
      <c r="C27588" s="7" t="n">
        <v>7</v>
      </c>
      <c r="D27588" s="7" t="n">
        <v>-12.1700000762939</v>
      </c>
      <c r="E27588" s="7" t="n">
        <v>10.0100002288818</v>
      </c>
      <c r="F27588" s="7" t="n">
        <v>48.25</v>
      </c>
      <c r="G27588" s="7" t="n">
        <v>272.600006103516</v>
      </c>
    </row>
    <row r="27589" spans="1:10">
      <c r="A27589" t="s">
        <v>4</v>
      </c>
      <c r="B27589" s="4" t="s">
        <v>5</v>
      </c>
      <c r="C27589" s="4" t="s">
        <v>11</v>
      </c>
      <c r="D27589" s="4" t="s">
        <v>11</v>
      </c>
      <c r="E27589" s="4" t="s">
        <v>11</v>
      </c>
    </row>
    <row r="27590" spans="1:10">
      <c r="A27590" t="n">
        <v>268059</v>
      </c>
      <c r="B27590" s="72" t="n">
        <v>61</v>
      </c>
      <c r="C27590" s="7" t="n">
        <v>0</v>
      </c>
      <c r="D27590" s="7" t="n">
        <v>65533</v>
      </c>
      <c r="E27590" s="7" t="n">
        <v>0</v>
      </c>
    </row>
    <row r="27591" spans="1:10">
      <c r="A27591" t="s">
        <v>4</v>
      </c>
      <c r="B27591" s="4" t="s">
        <v>5</v>
      </c>
      <c r="C27591" s="4" t="s">
        <v>11</v>
      </c>
      <c r="D27591" s="4" t="s">
        <v>11</v>
      </c>
      <c r="E27591" s="4" t="s">
        <v>11</v>
      </c>
    </row>
    <row r="27592" spans="1:10">
      <c r="A27592" t="n">
        <v>268066</v>
      </c>
      <c r="B27592" s="72" t="n">
        <v>61</v>
      </c>
      <c r="C27592" s="7" t="n">
        <v>7</v>
      </c>
      <c r="D27592" s="7" t="n">
        <v>65533</v>
      </c>
      <c r="E27592" s="7" t="n">
        <v>0</v>
      </c>
    </row>
    <row r="27593" spans="1:10">
      <c r="A27593" t="s">
        <v>4</v>
      </c>
      <c r="B27593" s="4" t="s">
        <v>5</v>
      </c>
      <c r="C27593" s="4" t="s">
        <v>7</v>
      </c>
      <c r="D27593" s="4" t="s">
        <v>7</v>
      </c>
      <c r="E27593" s="4" t="s">
        <v>13</v>
      </c>
      <c r="F27593" s="4" t="s">
        <v>13</v>
      </c>
      <c r="G27593" s="4" t="s">
        <v>13</v>
      </c>
      <c r="H27593" s="4" t="s">
        <v>11</v>
      </c>
    </row>
    <row r="27594" spans="1:10">
      <c r="A27594" t="n">
        <v>268073</v>
      </c>
      <c r="B27594" s="51" t="n">
        <v>45</v>
      </c>
      <c r="C27594" s="7" t="n">
        <v>2</v>
      </c>
      <c r="D27594" s="7" t="n">
        <v>3</v>
      </c>
      <c r="E27594" s="7" t="n">
        <v>-15.3599996566772</v>
      </c>
      <c r="F27594" s="7" t="n">
        <v>10.9899997711182</v>
      </c>
      <c r="G27594" s="7" t="n">
        <v>46.3300018310547</v>
      </c>
      <c r="H27594" s="7" t="n">
        <v>0</v>
      </c>
    </row>
    <row r="27595" spans="1:10">
      <c r="A27595" t="s">
        <v>4</v>
      </c>
      <c r="B27595" s="4" t="s">
        <v>5</v>
      </c>
      <c r="C27595" s="4" t="s">
        <v>7</v>
      </c>
      <c r="D27595" s="4" t="s">
        <v>7</v>
      </c>
      <c r="E27595" s="4" t="s">
        <v>13</v>
      </c>
      <c r="F27595" s="4" t="s">
        <v>13</v>
      </c>
      <c r="G27595" s="4" t="s">
        <v>13</v>
      </c>
      <c r="H27595" s="4" t="s">
        <v>11</v>
      </c>
      <c r="I27595" s="4" t="s">
        <v>7</v>
      </c>
    </row>
    <row r="27596" spans="1:10">
      <c r="A27596" t="n">
        <v>268090</v>
      </c>
      <c r="B27596" s="51" t="n">
        <v>45</v>
      </c>
      <c r="C27596" s="7" t="n">
        <v>4</v>
      </c>
      <c r="D27596" s="7" t="n">
        <v>3</v>
      </c>
      <c r="E27596" s="7" t="n">
        <v>5.65000009536743</v>
      </c>
      <c r="F27596" s="7" t="n">
        <v>328.390014648438</v>
      </c>
      <c r="G27596" s="7" t="n">
        <v>0</v>
      </c>
      <c r="H27596" s="7" t="n">
        <v>0</v>
      </c>
      <c r="I27596" s="7" t="n">
        <v>0</v>
      </c>
    </row>
    <row r="27597" spans="1:10">
      <c r="A27597" t="s">
        <v>4</v>
      </c>
      <c r="B27597" s="4" t="s">
        <v>5</v>
      </c>
      <c r="C27597" s="4" t="s">
        <v>7</v>
      </c>
      <c r="D27597" s="4" t="s">
        <v>7</v>
      </c>
      <c r="E27597" s="4" t="s">
        <v>13</v>
      </c>
      <c r="F27597" s="4" t="s">
        <v>11</v>
      </c>
    </row>
    <row r="27598" spans="1:10">
      <c r="A27598" t="n">
        <v>268108</v>
      </c>
      <c r="B27598" s="51" t="n">
        <v>45</v>
      </c>
      <c r="C27598" s="7" t="n">
        <v>5</v>
      </c>
      <c r="D27598" s="7" t="n">
        <v>3</v>
      </c>
      <c r="E27598" s="7" t="n">
        <v>3.29999995231628</v>
      </c>
      <c r="F27598" s="7" t="n">
        <v>0</v>
      </c>
    </row>
    <row r="27599" spans="1:10">
      <c r="A27599" t="s">
        <v>4</v>
      </c>
      <c r="B27599" s="4" t="s">
        <v>5</v>
      </c>
      <c r="C27599" s="4" t="s">
        <v>7</v>
      </c>
      <c r="D27599" s="4" t="s">
        <v>7</v>
      </c>
      <c r="E27599" s="4" t="s">
        <v>13</v>
      </c>
      <c r="F27599" s="4" t="s">
        <v>11</v>
      </c>
    </row>
    <row r="27600" spans="1:10">
      <c r="A27600" t="n">
        <v>268117</v>
      </c>
      <c r="B27600" s="51" t="n">
        <v>45</v>
      </c>
      <c r="C27600" s="7" t="n">
        <v>11</v>
      </c>
      <c r="D27600" s="7" t="n">
        <v>3</v>
      </c>
      <c r="E27600" s="7" t="n">
        <v>34</v>
      </c>
      <c r="F27600" s="7" t="n">
        <v>0</v>
      </c>
    </row>
    <row r="27601" spans="1:9">
      <c r="A27601" t="s">
        <v>4</v>
      </c>
      <c r="B27601" s="4" t="s">
        <v>5</v>
      </c>
      <c r="C27601" s="4" t="s">
        <v>7</v>
      </c>
      <c r="D27601" s="4" t="s">
        <v>7</v>
      </c>
      <c r="E27601" s="4" t="s">
        <v>13</v>
      </c>
      <c r="F27601" s="4" t="s">
        <v>13</v>
      </c>
      <c r="G27601" s="4" t="s">
        <v>13</v>
      </c>
      <c r="H27601" s="4" t="s">
        <v>11</v>
      </c>
    </row>
    <row r="27602" spans="1:9">
      <c r="A27602" t="n">
        <v>268126</v>
      </c>
      <c r="B27602" s="51" t="n">
        <v>45</v>
      </c>
      <c r="C27602" s="7" t="n">
        <v>2</v>
      </c>
      <c r="D27602" s="7" t="n">
        <v>3</v>
      </c>
      <c r="E27602" s="7" t="n">
        <v>-14.4200000762939</v>
      </c>
      <c r="F27602" s="7" t="n">
        <v>10.9899997711182</v>
      </c>
      <c r="G27602" s="7" t="n">
        <v>48.4300003051758</v>
      </c>
      <c r="H27602" s="7" t="n">
        <v>6000</v>
      </c>
    </row>
    <row r="27603" spans="1:9">
      <c r="A27603" t="s">
        <v>4</v>
      </c>
      <c r="B27603" s="4" t="s">
        <v>5</v>
      </c>
      <c r="C27603" s="4" t="s">
        <v>7</v>
      </c>
      <c r="D27603" s="4" t="s">
        <v>7</v>
      </c>
      <c r="E27603" s="4" t="s">
        <v>13</v>
      </c>
      <c r="F27603" s="4" t="s">
        <v>13</v>
      </c>
      <c r="G27603" s="4" t="s">
        <v>13</v>
      </c>
      <c r="H27603" s="4" t="s">
        <v>11</v>
      </c>
      <c r="I27603" s="4" t="s">
        <v>7</v>
      </c>
    </row>
    <row r="27604" spans="1:9">
      <c r="A27604" t="n">
        <v>268143</v>
      </c>
      <c r="B27604" s="51" t="n">
        <v>45</v>
      </c>
      <c r="C27604" s="7" t="n">
        <v>4</v>
      </c>
      <c r="D27604" s="7" t="n">
        <v>3</v>
      </c>
      <c r="E27604" s="7" t="n">
        <v>1.87999999523163</v>
      </c>
      <c r="F27604" s="7" t="n">
        <v>244.899993896484</v>
      </c>
      <c r="G27604" s="7" t="n">
        <v>0</v>
      </c>
      <c r="H27604" s="7" t="n">
        <v>6000</v>
      </c>
      <c r="I27604" s="7" t="n">
        <v>1</v>
      </c>
    </row>
    <row r="27605" spans="1:9">
      <c r="A27605" t="s">
        <v>4</v>
      </c>
      <c r="B27605" s="4" t="s">
        <v>5</v>
      </c>
      <c r="C27605" s="4" t="s">
        <v>7</v>
      </c>
      <c r="D27605" s="4" t="s">
        <v>11</v>
      </c>
      <c r="E27605" s="4" t="s">
        <v>13</v>
      </c>
    </row>
    <row r="27606" spans="1:9">
      <c r="A27606" t="n">
        <v>268161</v>
      </c>
      <c r="B27606" s="23" t="n">
        <v>58</v>
      </c>
      <c r="C27606" s="7" t="n">
        <v>100</v>
      </c>
      <c r="D27606" s="7" t="n">
        <v>1000</v>
      </c>
      <c r="E27606" s="7" t="n">
        <v>1</v>
      </c>
    </row>
    <row r="27607" spans="1:9">
      <c r="A27607" t="s">
        <v>4</v>
      </c>
      <c r="B27607" s="4" t="s">
        <v>5</v>
      </c>
      <c r="C27607" s="4" t="s">
        <v>7</v>
      </c>
      <c r="D27607" s="4" t="s">
        <v>11</v>
      </c>
    </row>
    <row r="27608" spans="1:9">
      <c r="A27608" t="n">
        <v>268169</v>
      </c>
      <c r="B27608" s="23" t="n">
        <v>58</v>
      </c>
      <c r="C27608" s="7" t="n">
        <v>255</v>
      </c>
      <c r="D27608" s="7" t="n">
        <v>0</v>
      </c>
    </row>
    <row r="27609" spans="1:9">
      <c r="A27609" t="s">
        <v>4</v>
      </c>
      <c r="B27609" s="4" t="s">
        <v>5</v>
      </c>
      <c r="C27609" s="4" t="s">
        <v>8</v>
      </c>
      <c r="D27609" s="4" t="s">
        <v>8</v>
      </c>
    </row>
    <row r="27610" spans="1:9">
      <c r="A27610" t="n">
        <v>268173</v>
      </c>
      <c r="B27610" s="52" t="n">
        <v>70</v>
      </c>
      <c r="C27610" s="7" t="s">
        <v>567</v>
      </c>
      <c r="D27610" s="7" t="s">
        <v>109</v>
      </c>
    </row>
    <row r="27611" spans="1:9">
      <c r="A27611" t="s">
        <v>4</v>
      </c>
      <c r="B27611" s="4" t="s">
        <v>5</v>
      </c>
      <c r="C27611" s="4" t="s">
        <v>11</v>
      </c>
    </row>
    <row r="27612" spans="1:9">
      <c r="A27612" t="n">
        <v>268190</v>
      </c>
      <c r="B27612" s="29" t="n">
        <v>16</v>
      </c>
      <c r="C27612" s="7" t="n">
        <v>1500</v>
      </c>
    </row>
    <row r="27613" spans="1:9">
      <c r="A27613" t="s">
        <v>4</v>
      </c>
      <c r="B27613" s="4" t="s">
        <v>5</v>
      </c>
      <c r="C27613" s="4" t="s">
        <v>11</v>
      </c>
      <c r="D27613" s="4" t="s">
        <v>7</v>
      </c>
      <c r="E27613" s="4" t="s">
        <v>13</v>
      </c>
      <c r="F27613" s="4" t="s">
        <v>11</v>
      </c>
    </row>
    <row r="27614" spans="1:9">
      <c r="A27614" t="n">
        <v>268193</v>
      </c>
      <c r="B27614" s="56" t="n">
        <v>59</v>
      </c>
      <c r="C27614" s="7" t="n">
        <v>7</v>
      </c>
      <c r="D27614" s="7" t="n">
        <v>9</v>
      </c>
      <c r="E27614" s="7" t="n">
        <v>0.150000005960464</v>
      </c>
      <c r="F27614" s="7" t="n">
        <v>0</v>
      </c>
    </row>
    <row r="27615" spans="1:9">
      <c r="A27615" t="s">
        <v>4</v>
      </c>
      <c r="B27615" s="4" t="s">
        <v>5</v>
      </c>
      <c r="C27615" s="4" t="s">
        <v>11</v>
      </c>
      <c r="D27615" s="4" t="s">
        <v>13</v>
      </c>
      <c r="E27615" s="4" t="s">
        <v>13</v>
      </c>
      <c r="F27615" s="4" t="s">
        <v>13</v>
      </c>
      <c r="G27615" s="4" t="s">
        <v>11</v>
      </c>
      <c r="H27615" s="4" t="s">
        <v>11</v>
      </c>
    </row>
    <row r="27616" spans="1:9">
      <c r="A27616" t="n">
        <v>268203</v>
      </c>
      <c r="B27616" s="37" t="n">
        <v>60</v>
      </c>
      <c r="C27616" s="7" t="n">
        <v>7</v>
      </c>
      <c r="D27616" s="7" t="n">
        <v>-45</v>
      </c>
      <c r="E27616" s="7" t="n">
        <v>0</v>
      </c>
      <c r="F27616" s="7" t="n">
        <v>0</v>
      </c>
      <c r="G27616" s="7" t="n">
        <v>1000</v>
      </c>
      <c r="H27616" s="7" t="n">
        <v>0</v>
      </c>
    </row>
    <row r="27617" spans="1:9">
      <c r="A27617" t="s">
        <v>4</v>
      </c>
      <c r="B27617" s="4" t="s">
        <v>5</v>
      </c>
      <c r="C27617" s="4" t="s">
        <v>11</v>
      </c>
    </row>
    <row r="27618" spans="1:9">
      <c r="A27618" t="n">
        <v>268222</v>
      </c>
      <c r="B27618" s="29" t="n">
        <v>16</v>
      </c>
      <c r="C27618" s="7" t="n">
        <v>1000</v>
      </c>
    </row>
    <row r="27619" spans="1:9">
      <c r="A27619" t="s">
        <v>4</v>
      </c>
      <c r="B27619" s="4" t="s">
        <v>5</v>
      </c>
      <c r="C27619" s="4" t="s">
        <v>11</v>
      </c>
      <c r="D27619" s="4" t="s">
        <v>13</v>
      </c>
      <c r="E27619" s="4" t="s">
        <v>13</v>
      </c>
      <c r="F27619" s="4" t="s">
        <v>13</v>
      </c>
      <c r="G27619" s="4" t="s">
        <v>11</v>
      </c>
      <c r="H27619" s="4" t="s">
        <v>11</v>
      </c>
    </row>
    <row r="27620" spans="1:9">
      <c r="A27620" t="n">
        <v>268225</v>
      </c>
      <c r="B27620" s="37" t="n">
        <v>60</v>
      </c>
      <c r="C27620" s="7" t="n">
        <v>7</v>
      </c>
      <c r="D27620" s="7" t="n">
        <v>45</v>
      </c>
      <c r="E27620" s="7" t="n">
        <v>0</v>
      </c>
      <c r="F27620" s="7" t="n">
        <v>0</v>
      </c>
      <c r="G27620" s="7" t="n">
        <v>1000</v>
      </c>
      <c r="H27620" s="7" t="n">
        <v>0</v>
      </c>
    </row>
    <row r="27621" spans="1:9">
      <c r="A27621" t="s">
        <v>4</v>
      </c>
      <c r="B27621" s="4" t="s">
        <v>5</v>
      </c>
      <c r="C27621" s="4" t="s">
        <v>11</v>
      </c>
    </row>
    <row r="27622" spans="1:9">
      <c r="A27622" t="n">
        <v>268244</v>
      </c>
      <c r="B27622" s="29" t="n">
        <v>16</v>
      </c>
      <c r="C27622" s="7" t="n">
        <v>1000</v>
      </c>
    </row>
    <row r="27623" spans="1:9">
      <c r="A27623" t="s">
        <v>4</v>
      </c>
      <c r="B27623" s="4" t="s">
        <v>5</v>
      </c>
      <c r="C27623" s="4" t="s">
        <v>11</v>
      </c>
      <c r="D27623" s="4" t="s">
        <v>13</v>
      </c>
      <c r="E27623" s="4" t="s">
        <v>13</v>
      </c>
      <c r="F27623" s="4" t="s">
        <v>13</v>
      </c>
      <c r="G27623" s="4" t="s">
        <v>11</v>
      </c>
      <c r="H27623" s="4" t="s">
        <v>11</v>
      </c>
    </row>
    <row r="27624" spans="1:9">
      <c r="A27624" t="n">
        <v>268247</v>
      </c>
      <c r="B27624" s="37" t="n">
        <v>60</v>
      </c>
      <c r="C27624" s="7" t="n">
        <v>7</v>
      </c>
      <c r="D27624" s="7" t="n">
        <v>0</v>
      </c>
      <c r="E27624" s="7" t="n">
        <v>0</v>
      </c>
      <c r="F27624" s="7" t="n">
        <v>0</v>
      </c>
      <c r="G27624" s="7" t="n">
        <v>500</v>
      </c>
      <c r="H27624" s="7" t="n">
        <v>0</v>
      </c>
    </row>
    <row r="27625" spans="1:9">
      <c r="A27625" t="s">
        <v>4</v>
      </c>
      <c r="B27625" s="4" t="s">
        <v>5</v>
      </c>
      <c r="C27625" s="4" t="s">
        <v>11</v>
      </c>
    </row>
    <row r="27626" spans="1:9">
      <c r="A27626" t="n">
        <v>268266</v>
      </c>
      <c r="B27626" s="29" t="n">
        <v>16</v>
      </c>
      <c r="C27626" s="7" t="n">
        <v>1000</v>
      </c>
    </row>
    <row r="27627" spans="1:9">
      <c r="A27627" t="s">
        <v>4</v>
      </c>
      <c r="B27627" s="4" t="s">
        <v>5</v>
      </c>
      <c r="C27627" s="4" t="s">
        <v>7</v>
      </c>
      <c r="D27627" s="4" t="s">
        <v>11</v>
      </c>
    </row>
    <row r="27628" spans="1:9">
      <c r="A27628" t="n">
        <v>268269</v>
      </c>
      <c r="B27628" s="51" t="n">
        <v>45</v>
      </c>
      <c r="C27628" s="7" t="n">
        <v>7</v>
      </c>
      <c r="D27628" s="7" t="n">
        <v>255</v>
      </c>
    </row>
    <row r="27629" spans="1:9">
      <c r="A27629" t="s">
        <v>4</v>
      </c>
      <c r="B27629" s="4" t="s">
        <v>5</v>
      </c>
      <c r="C27629" s="4" t="s">
        <v>7</v>
      </c>
      <c r="D27629" s="4" t="s">
        <v>11</v>
      </c>
      <c r="E27629" s="4" t="s">
        <v>13</v>
      </c>
    </row>
    <row r="27630" spans="1:9">
      <c r="A27630" t="n">
        <v>268273</v>
      </c>
      <c r="B27630" s="23" t="n">
        <v>58</v>
      </c>
      <c r="C27630" s="7" t="n">
        <v>0</v>
      </c>
      <c r="D27630" s="7" t="n">
        <v>1000</v>
      </c>
      <c r="E27630" s="7" t="n">
        <v>1</v>
      </c>
    </row>
    <row r="27631" spans="1:9">
      <c r="A27631" t="s">
        <v>4</v>
      </c>
      <c r="B27631" s="4" t="s">
        <v>5</v>
      </c>
      <c r="C27631" s="4" t="s">
        <v>7</v>
      </c>
      <c r="D27631" s="4" t="s">
        <v>11</v>
      </c>
    </row>
    <row r="27632" spans="1:9">
      <c r="A27632" t="n">
        <v>268281</v>
      </c>
      <c r="B27632" s="23" t="n">
        <v>58</v>
      </c>
      <c r="C27632" s="7" t="n">
        <v>255</v>
      </c>
      <c r="D27632" s="7" t="n">
        <v>0</v>
      </c>
    </row>
    <row r="27633" spans="1:8">
      <c r="A27633" t="s">
        <v>4</v>
      </c>
      <c r="B27633" s="4" t="s">
        <v>5</v>
      </c>
      <c r="C27633" s="4" t="s">
        <v>11</v>
      </c>
      <c r="D27633" s="4" t="s">
        <v>11</v>
      </c>
      <c r="E27633" s="4" t="s">
        <v>11</v>
      </c>
    </row>
    <row r="27634" spans="1:8">
      <c r="A27634" t="n">
        <v>268285</v>
      </c>
      <c r="B27634" s="72" t="n">
        <v>61</v>
      </c>
      <c r="C27634" s="7" t="n">
        <v>0</v>
      </c>
      <c r="D27634" s="7" t="n">
        <v>65533</v>
      </c>
      <c r="E27634" s="7" t="n">
        <v>1000</v>
      </c>
    </row>
    <row r="27635" spans="1:8">
      <c r="A27635" t="s">
        <v>4</v>
      </c>
      <c r="B27635" s="4" t="s">
        <v>5</v>
      </c>
      <c r="C27635" s="4" t="s">
        <v>11</v>
      </c>
      <c r="D27635" s="4" t="s">
        <v>11</v>
      </c>
      <c r="E27635" s="4" t="s">
        <v>11</v>
      </c>
    </row>
    <row r="27636" spans="1:8">
      <c r="A27636" t="n">
        <v>268292</v>
      </c>
      <c r="B27636" s="72" t="n">
        <v>61</v>
      </c>
      <c r="C27636" s="7" t="n">
        <v>7</v>
      </c>
      <c r="D27636" s="7" t="n">
        <v>65533</v>
      </c>
      <c r="E27636" s="7" t="n">
        <v>1000</v>
      </c>
    </row>
    <row r="27637" spans="1:8">
      <c r="A27637" t="s">
        <v>4</v>
      </c>
      <c r="B27637" s="4" t="s">
        <v>5</v>
      </c>
      <c r="C27637" s="4" t="s">
        <v>11</v>
      </c>
      <c r="D27637" s="4" t="s">
        <v>13</v>
      </c>
      <c r="E27637" s="4" t="s">
        <v>13</v>
      </c>
      <c r="F27637" s="4" t="s">
        <v>13</v>
      </c>
      <c r="G27637" s="4" t="s">
        <v>13</v>
      </c>
    </row>
    <row r="27638" spans="1:8">
      <c r="A27638" t="n">
        <v>268299</v>
      </c>
      <c r="B27638" s="36" t="n">
        <v>46</v>
      </c>
      <c r="C27638" s="7" t="n">
        <v>0</v>
      </c>
      <c r="D27638" s="7" t="n">
        <v>-2.66000008583069</v>
      </c>
      <c r="E27638" s="7" t="n">
        <v>5.01000022888184</v>
      </c>
      <c r="F27638" s="7" t="n">
        <v>32.189998626709</v>
      </c>
      <c r="G27638" s="7" t="n">
        <v>90</v>
      </c>
    </row>
    <row r="27639" spans="1:8">
      <c r="A27639" t="s">
        <v>4</v>
      </c>
      <c r="B27639" s="4" t="s">
        <v>5</v>
      </c>
      <c r="C27639" s="4" t="s">
        <v>11</v>
      </c>
      <c r="D27639" s="4" t="s">
        <v>13</v>
      </c>
      <c r="E27639" s="4" t="s">
        <v>13</v>
      </c>
      <c r="F27639" s="4" t="s">
        <v>13</v>
      </c>
      <c r="G27639" s="4" t="s">
        <v>13</v>
      </c>
    </row>
    <row r="27640" spans="1:8">
      <c r="A27640" t="n">
        <v>268318</v>
      </c>
      <c r="B27640" s="36" t="n">
        <v>46</v>
      </c>
      <c r="C27640" s="7" t="n">
        <v>7</v>
      </c>
      <c r="D27640" s="7" t="n">
        <v>-3.16000008583069</v>
      </c>
      <c r="E27640" s="7" t="n">
        <v>5.01000022888184</v>
      </c>
      <c r="F27640" s="7" t="n">
        <v>31.7900009155273</v>
      </c>
      <c r="G27640" s="7" t="n">
        <v>90</v>
      </c>
    </row>
    <row r="27641" spans="1:8">
      <c r="A27641" t="s">
        <v>4</v>
      </c>
      <c r="B27641" s="4" t="s">
        <v>5</v>
      </c>
      <c r="C27641" s="4" t="s">
        <v>7</v>
      </c>
      <c r="D27641" s="4" t="s">
        <v>7</v>
      </c>
      <c r="E27641" s="4" t="s">
        <v>13</v>
      </c>
      <c r="F27641" s="4" t="s">
        <v>13</v>
      </c>
      <c r="G27641" s="4" t="s">
        <v>13</v>
      </c>
      <c r="H27641" s="4" t="s">
        <v>11</v>
      </c>
    </row>
    <row r="27642" spans="1:8">
      <c r="A27642" t="n">
        <v>268337</v>
      </c>
      <c r="B27642" s="51" t="n">
        <v>45</v>
      </c>
      <c r="C27642" s="7" t="n">
        <v>2</v>
      </c>
      <c r="D27642" s="7" t="n">
        <v>3</v>
      </c>
      <c r="E27642" s="7" t="n">
        <v>6.82000017166138</v>
      </c>
      <c r="F27642" s="7" t="n">
        <v>6.17999982833862</v>
      </c>
      <c r="G27642" s="7" t="n">
        <v>32.2799987792969</v>
      </c>
      <c r="H27642" s="7" t="n">
        <v>0</v>
      </c>
    </row>
    <row r="27643" spans="1:8">
      <c r="A27643" t="s">
        <v>4</v>
      </c>
      <c r="B27643" s="4" t="s">
        <v>5</v>
      </c>
      <c r="C27643" s="4" t="s">
        <v>7</v>
      </c>
      <c r="D27643" s="4" t="s">
        <v>7</v>
      </c>
      <c r="E27643" s="4" t="s">
        <v>13</v>
      </c>
      <c r="F27643" s="4" t="s">
        <v>13</v>
      </c>
      <c r="G27643" s="4" t="s">
        <v>13</v>
      </c>
      <c r="H27643" s="4" t="s">
        <v>11</v>
      </c>
      <c r="I27643" s="4" t="s">
        <v>7</v>
      </c>
    </row>
    <row r="27644" spans="1:8">
      <c r="A27644" t="n">
        <v>268354</v>
      </c>
      <c r="B27644" s="51" t="n">
        <v>45</v>
      </c>
      <c r="C27644" s="7" t="n">
        <v>4</v>
      </c>
      <c r="D27644" s="7" t="n">
        <v>3</v>
      </c>
      <c r="E27644" s="7" t="n">
        <v>358.239990234375</v>
      </c>
      <c r="F27644" s="7" t="n">
        <v>344.200012207031</v>
      </c>
      <c r="G27644" s="7" t="n">
        <v>0</v>
      </c>
      <c r="H27644" s="7" t="n">
        <v>0</v>
      </c>
      <c r="I27644" s="7" t="n">
        <v>0</v>
      </c>
    </row>
    <row r="27645" spans="1:8">
      <c r="A27645" t="s">
        <v>4</v>
      </c>
      <c r="B27645" s="4" t="s">
        <v>5</v>
      </c>
      <c r="C27645" s="4" t="s">
        <v>7</v>
      </c>
      <c r="D27645" s="4" t="s">
        <v>7</v>
      </c>
      <c r="E27645" s="4" t="s">
        <v>13</v>
      </c>
      <c r="F27645" s="4" t="s">
        <v>11</v>
      </c>
    </row>
    <row r="27646" spans="1:8">
      <c r="A27646" t="n">
        <v>268372</v>
      </c>
      <c r="B27646" s="51" t="n">
        <v>45</v>
      </c>
      <c r="C27646" s="7" t="n">
        <v>5</v>
      </c>
      <c r="D27646" s="7" t="n">
        <v>3</v>
      </c>
      <c r="E27646" s="7" t="n">
        <v>3.40000009536743</v>
      </c>
      <c r="F27646" s="7" t="n">
        <v>0</v>
      </c>
    </row>
    <row r="27647" spans="1:8">
      <c r="A27647" t="s">
        <v>4</v>
      </c>
      <c r="B27647" s="4" t="s">
        <v>5</v>
      </c>
      <c r="C27647" s="4" t="s">
        <v>7</v>
      </c>
      <c r="D27647" s="4" t="s">
        <v>7</v>
      </c>
      <c r="E27647" s="4" t="s">
        <v>13</v>
      </c>
      <c r="F27647" s="4" t="s">
        <v>11</v>
      </c>
    </row>
    <row r="27648" spans="1:8">
      <c r="A27648" t="n">
        <v>268381</v>
      </c>
      <c r="B27648" s="51" t="n">
        <v>45</v>
      </c>
      <c r="C27648" s="7" t="n">
        <v>11</v>
      </c>
      <c r="D27648" s="7" t="n">
        <v>3</v>
      </c>
      <c r="E27648" s="7" t="n">
        <v>40.2999992370605</v>
      </c>
      <c r="F27648" s="7" t="n">
        <v>0</v>
      </c>
    </row>
    <row r="27649" spans="1:9">
      <c r="A27649" t="s">
        <v>4</v>
      </c>
      <c r="B27649" s="4" t="s">
        <v>5</v>
      </c>
      <c r="C27649" s="4" t="s">
        <v>7</v>
      </c>
      <c r="D27649" s="4" t="s">
        <v>7</v>
      </c>
      <c r="E27649" s="4" t="s">
        <v>13</v>
      </c>
      <c r="F27649" s="4" t="s">
        <v>13</v>
      </c>
      <c r="G27649" s="4" t="s">
        <v>13</v>
      </c>
      <c r="H27649" s="4" t="s">
        <v>11</v>
      </c>
    </row>
    <row r="27650" spans="1:9">
      <c r="A27650" t="n">
        <v>268390</v>
      </c>
      <c r="B27650" s="51" t="n">
        <v>45</v>
      </c>
      <c r="C27650" s="7" t="n">
        <v>2</v>
      </c>
      <c r="D27650" s="7" t="n">
        <v>3</v>
      </c>
      <c r="E27650" s="7" t="n">
        <v>-2.55999994277954</v>
      </c>
      <c r="F27650" s="7" t="n">
        <v>6.17999982833862</v>
      </c>
      <c r="G27650" s="7" t="n">
        <v>32.1800003051758</v>
      </c>
      <c r="H27650" s="7" t="n">
        <v>6000</v>
      </c>
    </row>
    <row r="27651" spans="1:9">
      <c r="A27651" t="s">
        <v>4</v>
      </c>
      <c r="B27651" s="4" t="s">
        <v>5</v>
      </c>
      <c r="C27651" s="4" t="s">
        <v>7</v>
      </c>
      <c r="D27651" s="4" t="s">
        <v>7</v>
      </c>
      <c r="E27651" s="4" t="s">
        <v>13</v>
      </c>
      <c r="F27651" s="4" t="s">
        <v>13</v>
      </c>
      <c r="G27651" s="4" t="s">
        <v>13</v>
      </c>
      <c r="H27651" s="4" t="s">
        <v>11</v>
      </c>
      <c r="I27651" s="4" t="s">
        <v>7</v>
      </c>
    </row>
    <row r="27652" spans="1:9">
      <c r="A27652" t="n">
        <v>268407</v>
      </c>
      <c r="B27652" s="51" t="n">
        <v>45</v>
      </c>
      <c r="C27652" s="7" t="n">
        <v>4</v>
      </c>
      <c r="D27652" s="7" t="n">
        <v>3</v>
      </c>
      <c r="E27652" s="7" t="n">
        <v>12.2700004577637</v>
      </c>
      <c r="F27652" s="7" t="n">
        <v>75.7099990844727</v>
      </c>
      <c r="G27652" s="7" t="n">
        <v>0</v>
      </c>
      <c r="H27652" s="7" t="n">
        <v>6000</v>
      </c>
      <c r="I27652" s="7" t="n">
        <v>1</v>
      </c>
    </row>
    <row r="27653" spans="1:9">
      <c r="A27653" t="s">
        <v>4</v>
      </c>
      <c r="B27653" s="4" t="s">
        <v>5</v>
      </c>
      <c r="C27653" s="4" t="s">
        <v>7</v>
      </c>
      <c r="D27653" s="4" t="s">
        <v>7</v>
      </c>
      <c r="E27653" s="4" t="s">
        <v>13</v>
      </c>
      <c r="F27653" s="4" t="s">
        <v>11</v>
      </c>
    </row>
    <row r="27654" spans="1:9">
      <c r="A27654" t="n">
        <v>268425</v>
      </c>
      <c r="B27654" s="51" t="n">
        <v>45</v>
      </c>
      <c r="C27654" s="7" t="n">
        <v>5</v>
      </c>
      <c r="D27654" s="7" t="n">
        <v>3</v>
      </c>
      <c r="E27654" s="7" t="n">
        <v>2.70000004768372</v>
      </c>
      <c r="F27654" s="7" t="n">
        <v>6000</v>
      </c>
    </row>
    <row r="27655" spans="1:9">
      <c r="A27655" t="s">
        <v>4</v>
      </c>
      <c r="B27655" s="4" t="s">
        <v>5</v>
      </c>
      <c r="C27655" s="4" t="s">
        <v>7</v>
      </c>
      <c r="D27655" s="4" t="s">
        <v>11</v>
      </c>
      <c r="E27655" s="4" t="s">
        <v>13</v>
      </c>
    </row>
    <row r="27656" spans="1:9">
      <c r="A27656" t="n">
        <v>268434</v>
      </c>
      <c r="B27656" s="23" t="n">
        <v>58</v>
      </c>
      <c r="C27656" s="7" t="n">
        <v>100</v>
      </c>
      <c r="D27656" s="7" t="n">
        <v>1000</v>
      </c>
      <c r="E27656" s="7" t="n">
        <v>1</v>
      </c>
    </row>
    <row r="27657" spans="1:9">
      <c r="A27657" t="s">
        <v>4</v>
      </c>
      <c r="B27657" s="4" t="s">
        <v>5</v>
      </c>
      <c r="C27657" s="4" t="s">
        <v>7</v>
      </c>
      <c r="D27657" s="4" t="s">
        <v>11</v>
      </c>
    </row>
    <row r="27658" spans="1:9">
      <c r="A27658" t="n">
        <v>268442</v>
      </c>
      <c r="B27658" s="23" t="n">
        <v>58</v>
      </c>
      <c r="C27658" s="7" t="n">
        <v>255</v>
      </c>
      <c r="D27658" s="7" t="n">
        <v>0</v>
      </c>
    </row>
    <row r="27659" spans="1:9">
      <c r="A27659" t="s">
        <v>4</v>
      </c>
      <c r="B27659" s="4" t="s">
        <v>5</v>
      </c>
      <c r="C27659" s="4" t="s">
        <v>8</v>
      </c>
      <c r="D27659" s="4" t="s">
        <v>8</v>
      </c>
    </row>
    <row r="27660" spans="1:9">
      <c r="A27660" t="n">
        <v>268446</v>
      </c>
      <c r="B27660" s="52" t="n">
        <v>70</v>
      </c>
      <c r="C27660" s="7" t="s">
        <v>24</v>
      </c>
      <c r="D27660" s="7" t="s">
        <v>109</v>
      </c>
    </row>
    <row r="27661" spans="1:9">
      <c r="A27661" t="s">
        <v>4</v>
      </c>
      <c r="B27661" s="4" t="s">
        <v>5</v>
      </c>
      <c r="C27661" s="4" t="s">
        <v>11</v>
      </c>
    </row>
    <row r="27662" spans="1:9">
      <c r="A27662" t="n">
        <v>268463</v>
      </c>
      <c r="B27662" s="29" t="n">
        <v>16</v>
      </c>
      <c r="C27662" s="7" t="n">
        <v>4000</v>
      </c>
    </row>
    <row r="27663" spans="1:9">
      <c r="A27663" t="s">
        <v>4</v>
      </c>
      <c r="B27663" s="4" t="s">
        <v>5</v>
      </c>
      <c r="C27663" s="4" t="s">
        <v>11</v>
      </c>
      <c r="D27663" s="4" t="s">
        <v>7</v>
      </c>
      <c r="E27663" s="4" t="s">
        <v>13</v>
      </c>
      <c r="F27663" s="4" t="s">
        <v>11</v>
      </c>
    </row>
    <row r="27664" spans="1:9">
      <c r="A27664" t="n">
        <v>268466</v>
      </c>
      <c r="B27664" s="56" t="n">
        <v>59</v>
      </c>
      <c r="C27664" s="7" t="n">
        <v>0</v>
      </c>
      <c r="D27664" s="7" t="n">
        <v>9</v>
      </c>
      <c r="E27664" s="7" t="n">
        <v>0.150000005960464</v>
      </c>
      <c r="F27664" s="7" t="n">
        <v>0</v>
      </c>
    </row>
    <row r="27665" spans="1:9">
      <c r="A27665" t="s">
        <v>4</v>
      </c>
      <c r="B27665" s="4" t="s">
        <v>5</v>
      </c>
      <c r="C27665" s="4" t="s">
        <v>11</v>
      </c>
    </row>
    <row r="27666" spans="1:9">
      <c r="A27666" t="n">
        <v>268476</v>
      </c>
      <c r="B27666" s="29" t="n">
        <v>16</v>
      </c>
      <c r="C27666" s="7" t="n">
        <v>1800</v>
      </c>
    </row>
    <row r="27667" spans="1:9">
      <c r="A27667" t="s">
        <v>4</v>
      </c>
      <c r="B27667" s="4" t="s">
        <v>5</v>
      </c>
      <c r="C27667" s="4" t="s">
        <v>7</v>
      </c>
      <c r="D27667" s="4" t="s">
        <v>11</v>
      </c>
    </row>
    <row r="27668" spans="1:9">
      <c r="A27668" t="n">
        <v>268479</v>
      </c>
      <c r="B27668" s="51" t="n">
        <v>45</v>
      </c>
      <c r="C27668" s="7" t="n">
        <v>7</v>
      </c>
      <c r="D27668" s="7" t="n">
        <v>255</v>
      </c>
    </row>
    <row r="27669" spans="1:9">
      <c r="A27669" t="s">
        <v>4</v>
      </c>
      <c r="B27669" s="4" t="s">
        <v>5</v>
      </c>
      <c r="C27669" s="4" t="s">
        <v>7</v>
      </c>
      <c r="D27669" s="4" t="s">
        <v>11</v>
      </c>
      <c r="E27669" s="4" t="s">
        <v>13</v>
      </c>
    </row>
    <row r="27670" spans="1:9">
      <c r="A27670" t="n">
        <v>268483</v>
      </c>
      <c r="B27670" s="23" t="n">
        <v>58</v>
      </c>
      <c r="C27670" s="7" t="n">
        <v>0</v>
      </c>
      <c r="D27670" s="7" t="n">
        <v>1000</v>
      </c>
      <c r="E27670" s="7" t="n">
        <v>1</v>
      </c>
    </row>
    <row r="27671" spans="1:9">
      <c r="A27671" t="s">
        <v>4</v>
      </c>
      <c r="B27671" s="4" t="s">
        <v>5</v>
      </c>
      <c r="C27671" s="4" t="s">
        <v>7</v>
      </c>
      <c r="D27671" s="4" t="s">
        <v>11</v>
      </c>
    </row>
    <row r="27672" spans="1:9">
      <c r="A27672" t="n">
        <v>268491</v>
      </c>
      <c r="B27672" s="23" t="n">
        <v>58</v>
      </c>
      <c r="C27672" s="7" t="n">
        <v>255</v>
      </c>
      <c r="D27672" s="7" t="n">
        <v>0</v>
      </c>
    </row>
    <row r="27673" spans="1:9">
      <c r="A27673" t="s">
        <v>4</v>
      </c>
      <c r="B27673" s="4" t="s">
        <v>5</v>
      </c>
      <c r="C27673" s="4" t="s">
        <v>8</v>
      </c>
      <c r="D27673" s="4" t="s">
        <v>8</v>
      </c>
    </row>
    <row r="27674" spans="1:9">
      <c r="A27674" t="n">
        <v>268495</v>
      </c>
      <c r="B27674" s="52" t="n">
        <v>70</v>
      </c>
      <c r="C27674" s="7" t="s">
        <v>24</v>
      </c>
      <c r="D27674" s="7" t="s">
        <v>118</v>
      </c>
    </row>
    <row r="27675" spans="1:9">
      <c r="A27675" t="s">
        <v>4</v>
      </c>
      <c r="B27675" s="4" t="s">
        <v>5</v>
      </c>
      <c r="C27675" s="4" t="s">
        <v>11</v>
      </c>
      <c r="D27675" s="4" t="s">
        <v>13</v>
      </c>
      <c r="E27675" s="4" t="s">
        <v>13</v>
      </c>
      <c r="F27675" s="4" t="s">
        <v>13</v>
      </c>
      <c r="G27675" s="4" t="s">
        <v>13</v>
      </c>
    </row>
    <row r="27676" spans="1:9">
      <c r="A27676" t="n">
        <v>268511</v>
      </c>
      <c r="B27676" s="36" t="n">
        <v>46</v>
      </c>
      <c r="C27676" s="7" t="n">
        <v>0</v>
      </c>
      <c r="D27676" s="7" t="n">
        <v>-10.9899997711182</v>
      </c>
      <c r="E27676" s="7" t="n">
        <v>5.01000022888184</v>
      </c>
      <c r="F27676" s="7" t="n">
        <v>32.4300003051758</v>
      </c>
      <c r="G27676" s="7" t="n">
        <v>270</v>
      </c>
    </row>
    <row r="27677" spans="1:9">
      <c r="A27677" t="s">
        <v>4</v>
      </c>
      <c r="B27677" s="4" t="s">
        <v>5</v>
      </c>
      <c r="C27677" s="4" t="s">
        <v>11</v>
      </c>
      <c r="D27677" s="4" t="s">
        <v>13</v>
      </c>
      <c r="E27677" s="4" t="s">
        <v>13</v>
      </c>
      <c r="F27677" s="4" t="s">
        <v>13</v>
      </c>
      <c r="G27677" s="4" t="s">
        <v>13</v>
      </c>
    </row>
    <row r="27678" spans="1:9">
      <c r="A27678" t="n">
        <v>268530</v>
      </c>
      <c r="B27678" s="36" t="n">
        <v>46</v>
      </c>
      <c r="C27678" s="7" t="n">
        <v>7</v>
      </c>
      <c r="D27678" s="7" t="n">
        <v>-10.5500001907349</v>
      </c>
      <c r="E27678" s="7" t="n">
        <v>5.01000022888184</v>
      </c>
      <c r="F27678" s="7" t="n">
        <v>31.5499992370605</v>
      </c>
      <c r="G27678" s="7" t="n">
        <v>270</v>
      </c>
    </row>
    <row r="27679" spans="1:9">
      <c r="A27679" t="s">
        <v>4</v>
      </c>
      <c r="B27679" s="4" t="s">
        <v>5</v>
      </c>
      <c r="C27679" s="4" t="s">
        <v>7</v>
      </c>
      <c r="D27679" s="4" t="s">
        <v>7</v>
      </c>
      <c r="E27679" s="4" t="s">
        <v>13</v>
      </c>
      <c r="F27679" s="4" t="s">
        <v>13</v>
      </c>
      <c r="G27679" s="4" t="s">
        <v>13</v>
      </c>
      <c r="H27679" s="4" t="s">
        <v>11</v>
      </c>
    </row>
    <row r="27680" spans="1:9">
      <c r="A27680" t="n">
        <v>268549</v>
      </c>
      <c r="B27680" s="51" t="n">
        <v>45</v>
      </c>
      <c r="C27680" s="7" t="n">
        <v>2</v>
      </c>
      <c r="D27680" s="7" t="n">
        <v>3</v>
      </c>
      <c r="E27680" s="7" t="n">
        <v>-14.1199998855591</v>
      </c>
      <c r="F27680" s="7" t="n">
        <v>6.75</v>
      </c>
      <c r="G27680" s="7" t="n">
        <v>31.9300003051758</v>
      </c>
      <c r="H27680" s="7" t="n">
        <v>0</v>
      </c>
    </row>
    <row r="27681" spans="1:8">
      <c r="A27681" t="s">
        <v>4</v>
      </c>
      <c r="B27681" s="4" t="s">
        <v>5</v>
      </c>
      <c r="C27681" s="4" t="s">
        <v>7</v>
      </c>
      <c r="D27681" s="4" t="s">
        <v>7</v>
      </c>
      <c r="E27681" s="4" t="s">
        <v>13</v>
      </c>
      <c r="F27681" s="4" t="s">
        <v>13</v>
      </c>
      <c r="G27681" s="4" t="s">
        <v>13</v>
      </c>
      <c r="H27681" s="4" t="s">
        <v>11</v>
      </c>
      <c r="I27681" s="4" t="s">
        <v>7</v>
      </c>
    </row>
    <row r="27682" spans="1:8">
      <c r="A27682" t="n">
        <v>268566</v>
      </c>
      <c r="B27682" s="51" t="n">
        <v>45</v>
      </c>
      <c r="C27682" s="7" t="n">
        <v>4</v>
      </c>
      <c r="D27682" s="7" t="n">
        <v>3</v>
      </c>
      <c r="E27682" s="7" t="n">
        <v>7.63000011444092</v>
      </c>
      <c r="F27682" s="7" t="n">
        <v>90</v>
      </c>
      <c r="G27682" s="7" t="n">
        <v>0</v>
      </c>
      <c r="H27682" s="7" t="n">
        <v>0</v>
      </c>
      <c r="I27682" s="7" t="n">
        <v>0</v>
      </c>
    </row>
    <row r="27683" spans="1:8">
      <c r="A27683" t="s">
        <v>4</v>
      </c>
      <c r="B27683" s="4" t="s">
        <v>5</v>
      </c>
      <c r="C27683" s="4" t="s">
        <v>7</v>
      </c>
      <c r="D27683" s="4" t="s">
        <v>7</v>
      </c>
      <c r="E27683" s="4" t="s">
        <v>13</v>
      </c>
      <c r="F27683" s="4" t="s">
        <v>11</v>
      </c>
    </row>
    <row r="27684" spans="1:8">
      <c r="A27684" t="n">
        <v>268584</v>
      </c>
      <c r="B27684" s="51" t="n">
        <v>45</v>
      </c>
      <c r="C27684" s="7" t="n">
        <v>5</v>
      </c>
      <c r="D27684" s="7" t="n">
        <v>3</v>
      </c>
      <c r="E27684" s="7" t="n">
        <v>2.09999990463257</v>
      </c>
      <c r="F27684" s="7" t="n">
        <v>0</v>
      </c>
    </row>
    <row r="27685" spans="1:8">
      <c r="A27685" t="s">
        <v>4</v>
      </c>
      <c r="B27685" s="4" t="s">
        <v>5</v>
      </c>
      <c r="C27685" s="4" t="s">
        <v>7</v>
      </c>
      <c r="D27685" s="4" t="s">
        <v>7</v>
      </c>
      <c r="E27685" s="4" t="s">
        <v>13</v>
      </c>
      <c r="F27685" s="4" t="s">
        <v>11</v>
      </c>
    </row>
    <row r="27686" spans="1:8">
      <c r="A27686" t="n">
        <v>268593</v>
      </c>
      <c r="B27686" s="51" t="n">
        <v>45</v>
      </c>
      <c r="C27686" s="7" t="n">
        <v>11</v>
      </c>
      <c r="D27686" s="7" t="n">
        <v>3</v>
      </c>
      <c r="E27686" s="7" t="n">
        <v>40.2999992370605</v>
      </c>
      <c r="F27686" s="7" t="n">
        <v>0</v>
      </c>
    </row>
    <row r="27687" spans="1:8">
      <c r="A27687" t="s">
        <v>4</v>
      </c>
      <c r="B27687" s="4" t="s">
        <v>5</v>
      </c>
      <c r="C27687" s="4" t="s">
        <v>7</v>
      </c>
      <c r="D27687" s="4" t="s">
        <v>7</v>
      </c>
      <c r="E27687" s="4" t="s">
        <v>13</v>
      </c>
      <c r="F27687" s="4" t="s">
        <v>13</v>
      </c>
      <c r="G27687" s="4" t="s">
        <v>13</v>
      </c>
      <c r="H27687" s="4" t="s">
        <v>11</v>
      </c>
    </row>
    <row r="27688" spans="1:8">
      <c r="A27688" t="n">
        <v>268602</v>
      </c>
      <c r="B27688" s="51" t="n">
        <v>45</v>
      </c>
      <c r="C27688" s="7" t="n">
        <v>2</v>
      </c>
      <c r="D27688" s="7" t="n">
        <v>3</v>
      </c>
      <c r="E27688" s="7" t="n">
        <v>-9.10000038146973</v>
      </c>
      <c r="F27688" s="7" t="n">
        <v>6.75</v>
      </c>
      <c r="G27688" s="7" t="n">
        <v>31.9699993133545</v>
      </c>
      <c r="H27688" s="7" t="n">
        <v>6000</v>
      </c>
    </row>
    <row r="27689" spans="1:8">
      <c r="A27689" t="s">
        <v>4</v>
      </c>
      <c r="B27689" s="4" t="s">
        <v>5</v>
      </c>
      <c r="C27689" s="4" t="s">
        <v>7</v>
      </c>
      <c r="D27689" s="4" t="s">
        <v>7</v>
      </c>
      <c r="E27689" s="4" t="s">
        <v>13</v>
      </c>
      <c r="F27689" s="4" t="s">
        <v>13</v>
      </c>
      <c r="G27689" s="4" t="s">
        <v>13</v>
      </c>
      <c r="H27689" s="4" t="s">
        <v>11</v>
      </c>
      <c r="I27689" s="4" t="s">
        <v>7</v>
      </c>
    </row>
    <row r="27690" spans="1:8">
      <c r="A27690" t="n">
        <v>268619</v>
      </c>
      <c r="B27690" s="51" t="n">
        <v>45</v>
      </c>
      <c r="C27690" s="7" t="n">
        <v>4</v>
      </c>
      <c r="D27690" s="7" t="n">
        <v>3</v>
      </c>
      <c r="E27690" s="7" t="n">
        <v>0.0299999993294477</v>
      </c>
      <c r="F27690" s="7" t="n">
        <v>90</v>
      </c>
      <c r="G27690" s="7" t="n">
        <v>0</v>
      </c>
      <c r="H27690" s="7" t="n">
        <v>6000</v>
      </c>
      <c r="I27690" s="7" t="n">
        <v>0</v>
      </c>
    </row>
    <row r="27691" spans="1:8">
      <c r="A27691" t="s">
        <v>4</v>
      </c>
      <c r="B27691" s="4" t="s">
        <v>5</v>
      </c>
      <c r="C27691" s="4" t="s">
        <v>7</v>
      </c>
      <c r="D27691" s="4" t="s">
        <v>7</v>
      </c>
      <c r="E27691" s="4" t="s">
        <v>13</v>
      </c>
      <c r="F27691" s="4" t="s">
        <v>11</v>
      </c>
    </row>
    <row r="27692" spans="1:8">
      <c r="A27692" t="n">
        <v>268637</v>
      </c>
      <c r="B27692" s="51" t="n">
        <v>45</v>
      </c>
      <c r="C27692" s="7" t="n">
        <v>5</v>
      </c>
      <c r="D27692" s="7" t="n">
        <v>3</v>
      </c>
      <c r="E27692" s="7" t="n">
        <v>1.79999995231628</v>
      </c>
      <c r="F27692" s="7" t="n">
        <v>6000</v>
      </c>
    </row>
    <row r="27693" spans="1:8">
      <c r="A27693" t="s">
        <v>4</v>
      </c>
      <c r="B27693" s="4" t="s">
        <v>5</v>
      </c>
      <c r="C27693" s="4" t="s">
        <v>8</v>
      </c>
      <c r="D27693" s="4" t="s">
        <v>8</v>
      </c>
    </row>
    <row r="27694" spans="1:8">
      <c r="A27694" t="n">
        <v>268646</v>
      </c>
      <c r="B27694" s="52" t="n">
        <v>70</v>
      </c>
      <c r="C27694" s="7" t="s">
        <v>25</v>
      </c>
      <c r="D27694" s="7" t="s">
        <v>109</v>
      </c>
    </row>
    <row r="27695" spans="1:8">
      <c r="A27695" t="s">
        <v>4</v>
      </c>
      <c r="B27695" s="4" t="s">
        <v>5</v>
      </c>
      <c r="C27695" s="4" t="s">
        <v>7</v>
      </c>
      <c r="D27695" s="4" t="s">
        <v>11</v>
      </c>
      <c r="E27695" s="4" t="s">
        <v>13</v>
      </c>
    </row>
    <row r="27696" spans="1:8">
      <c r="A27696" t="n">
        <v>268663</v>
      </c>
      <c r="B27696" s="23" t="n">
        <v>58</v>
      </c>
      <c r="C27696" s="7" t="n">
        <v>100</v>
      </c>
      <c r="D27696" s="7" t="n">
        <v>1000</v>
      </c>
      <c r="E27696" s="7" t="n">
        <v>1</v>
      </c>
    </row>
    <row r="27697" spans="1:9">
      <c r="A27697" t="s">
        <v>4</v>
      </c>
      <c r="B27697" s="4" t="s">
        <v>5</v>
      </c>
      <c r="C27697" s="4" t="s">
        <v>7</v>
      </c>
      <c r="D27697" s="4" t="s">
        <v>11</v>
      </c>
    </row>
    <row r="27698" spans="1:9">
      <c r="A27698" t="n">
        <v>268671</v>
      </c>
      <c r="B27698" s="23" t="n">
        <v>58</v>
      </c>
      <c r="C27698" s="7" t="n">
        <v>255</v>
      </c>
      <c r="D27698" s="7" t="n">
        <v>0</v>
      </c>
    </row>
    <row r="27699" spans="1:9">
      <c r="A27699" t="s">
        <v>4</v>
      </c>
      <c r="B27699" s="4" t="s">
        <v>5</v>
      </c>
      <c r="C27699" s="4" t="s">
        <v>7</v>
      </c>
      <c r="D27699" s="4" t="s">
        <v>8</v>
      </c>
      <c r="E27699" s="4" t="s">
        <v>11</v>
      </c>
    </row>
    <row r="27700" spans="1:9">
      <c r="A27700" t="n">
        <v>268675</v>
      </c>
      <c r="B27700" s="15" t="n">
        <v>94</v>
      </c>
      <c r="C27700" s="7" t="n">
        <v>1</v>
      </c>
      <c r="D27700" s="7" t="s">
        <v>25</v>
      </c>
      <c r="E27700" s="7" t="n">
        <v>512</v>
      </c>
    </row>
    <row r="27701" spans="1:9">
      <c r="A27701" t="s">
        <v>4</v>
      </c>
      <c r="B27701" s="4" t="s">
        <v>5</v>
      </c>
      <c r="C27701" s="4" t="s">
        <v>11</v>
      </c>
    </row>
    <row r="27702" spans="1:9">
      <c r="A27702" t="n">
        <v>268689</v>
      </c>
      <c r="B27702" s="29" t="n">
        <v>16</v>
      </c>
      <c r="C27702" s="7" t="n">
        <v>4000</v>
      </c>
    </row>
    <row r="27703" spans="1:9">
      <c r="A27703" t="s">
        <v>4</v>
      </c>
      <c r="B27703" s="4" t="s">
        <v>5</v>
      </c>
      <c r="C27703" s="4" t="s">
        <v>11</v>
      </c>
      <c r="D27703" s="4" t="s">
        <v>7</v>
      </c>
      <c r="E27703" s="4" t="s">
        <v>13</v>
      </c>
      <c r="F27703" s="4" t="s">
        <v>11</v>
      </c>
    </row>
    <row r="27704" spans="1:9">
      <c r="A27704" t="n">
        <v>268692</v>
      </c>
      <c r="B27704" s="56" t="n">
        <v>59</v>
      </c>
      <c r="C27704" s="7" t="n">
        <v>0</v>
      </c>
      <c r="D27704" s="7" t="n">
        <v>9</v>
      </c>
      <c r="E27704" s="7" t="n">
        <v>0.150000005960464</v>
      </c>
      <c r="F27704" s="7" t="n">
        <v>0</v>
      </c>
    </row>
    <row r="27705" spans="1:9">
      <c r="A27705" t="s">
        <v>4</v>
      </c>
      <c r="B27705" s="4" t="s">
        <v>5</v>
      </c>
      <c r="C27705" s="4" t="s">
        <v>11</v>
      </c>
      <c r="D27705" s="4" t="s">
        <v>7</v>
      </c>
      <c r="E27705" s="4" t="s">
        <v>13</v>
      </c>
      <c r="F27705" s="4" t="s">
        <v>11</v>
      </c>
    </row>
    <row r="27706" spans="1:9">
      <c r="A27706" t="n">
        <v>268702</v>
      </c>
      <c r="B27706" s="56" t="n">
        <v>59</v>
      </c>
      <c r="C27706" s="7" t="n">
        <v>7</v>
      </c>
      <c r="D27706" s="7" t="n">
        <v>9</v>
      </c>
      <c r="E27706" s="7" t="n">
        <v>0.150000005960464</v>
      </c>
      <c r="F27706" s="7" t="n">
        <v>0</v>
      </c>
    </row>
    <row r="27707" spans="1:9">
      <c r="A27707" t="s">
        <v>4</v>
      </c>
      <c r="B27707" s="4" t="s">
        <v>5</v>
      </c>
      <c r="C27707" s="4" t="s">
        <v>11</v>
      </c>
    </row>
    <row r="27708" spans="1:9">
      <c r="A27708" t="n">
        <v>268712</v>
      </c>
      <c r="B27708" s="29" t="n">
        <v>16</v>
      </c>
      <c r="C27708" s="7" t="n">
        <v>1500</v>
      </c>
    </row>
    <row r="27709" spans="1:9">
      <c r="A27709" t="s">
        <v>4</v>
      </c>
      <c r="B27709" s="4" t="s">
        <v>5</v>
      </c>
      <c r="C27709" s="4" t="s">
        <v>7</v>
      </c>
      <c r="D27709" s="4" t="s">
        <v>11</v>
      </c>
    </row>
    <row r="27710" spans="1:9">
      <c r="A27710" t="n">
        <v>268715</v>
      </c>
      <c r="B27710" s="51" t="n">
        <v>45</v>
      </c>
      <c r="C27710" s="7" t="n">
        <v>7</v>
      </c>
      <c r="D27710" s="7" t="n">
        <v>255</v>
      </c>
    </row>
    <row r="27711" spans="1:9">
      <c r="A27711" t="s">
        <v>4</v>
      </c>
      <c r="B27711" s="4" t="s">
        <v>5</v>
      </c>
      <c r="C27711" s="4" t="s">
        <v>7</v>
      </c>
      <c r="D27711" s="4" t="s">
        <v>11</v>
      </c>
      <c r="E27711" s="4" t="s">
        <v>13</v>
      </c>
    </row>
    <row r="27712" spans="1:9">
      <c r="A27712" t="n">
        <v>268719</v>
      </c>
      <c r="B27712" s="23" t="n">
        <v>58</v>
      </c>
      <c r="C27712" s="7" t="n">
        <v>0</v>
      </c>
      <c r="D27712" s="7" t="n">
        <v>2000</v>
      </c>
      <c r="E27712" s="7" t="n">
        <v>1</v>
      </c>
    </row>
    <row r="27713" spans="1:6">
      <c r="A27713" t="s">
        <v>4</v>
      </c>
      <c r="B27713" s="4" t="s">
        <v>5</v>
      </c>
      <c r="C27713" s="4" t="s">
        <v>7</v>
      </c>
      <c r="D27713" s="4" t="s">
        <v>11</v>
      </c>
    </row>
    <row r="27714" spans="1:6">
      <c r="A27714" t="n">
        <v>268727</v>
      </c>
      <c r="B27714" s="23" t="n">
        <v>58</v>
      </c>
      <c r="C27714" s="7" t="n">
        <v>255</v>
      </c>
      <c r="D27714" s="7" t="n">
        <v>0</v>
      </c>
    </row>
    <row r="27715" spans="1:6">
      <c r="A27715" t="s">
        <v>4</v>
      </c>
      <c r="B27715" s="4" t="s">
        <v>5</v>
      </c>
      <c r="C27715" s="4" t="s">
        <v>7</v>
      </c>
      <c r="D27715" s="4" t="s">
        <v>7</v>
      </c>
      <c r="E27715" s="4" t="s">
        <v>13</v>
      </c>
      <c r="F27715" s="4" t="s">
        <v>13</v>
      </c>
      <c r="G27715" s="4" t="s">
        <v>13</v>
      </c>
      <c r="H27715" s="4" t="s">
        <v>11</v>
      </c>
    </row>
    <row r="27716" spans="1:6">
      <c r="A27716" t="n">
        <v>268731</v>
      </c>
      <c r="B27716" s="51" t="n">
        <v>45</v>
      </c>
      <c r="C27716" s="7" t="n">
        <v>2</v>
      </c>
      <c r="D27716" s="7" t="n">
        <v>3</v>
      </c>
      <c r="E27716" s="7" t="n">
        <v>-7.84000015258789</v>
      </c>
      <c r="F27716" s="7" t="n">
        <v>7.17000007629395</v>
      </c>
      <c r="G27716" s="7" t="n">
        <v>31.6599998474121</v>
      </c>
      <c r="H27716" s="7" t="n">
        <v>0</v>
      </c>
    </row>
    <row r="27717" spans="1:6">
      <c r="A27717" t="s">
        <v>4</v>
      </c>
      <c r="B27717" s="4" t="s">
        <v>5</v>
      </c>
      <c r="C27717" s="4" t="s">
        <v>7</v>
      </c>
      <c r="D27717" s="4" t="s">
        <v>7</v>
      </c>
      <c r="E27717" s="4" t="s">
        <v>13</v>
      </c>
      <c r="F27717" s="4" t="s">
        <v>13</v>
      </c>
      <c r="G27717" s="4" t="s">
        <v>13</v>
      </c>
      <c r="H27717" s="4" t="s">
        <v>11</v>
      </c>
      <c r="I27717" s="4" t="s">
        <v>7</v>
      </c>
    </row>
    <row r="27718" spans="1:6">
      <c r="A27718" t="n">
        <v>268748</v>
      </c>
      <c r="B27718" s="51" t="n">
        <v>45</v>
      </c>
      <c r="C27718" s="7" t="n">
        <v>4</v>
      </c>
      <c r="D27718" s="7" t="n">
        <v>3</v>
      </c>
      <c r="E27718" s="7" t="n">
        <v>9.01000022888184</v>
      </c>
      <c r="F27718" s="7" t="n">
        <v>55.7900009155273</v>
      </c>
      <c r="G27718" s="7" t="n">
        <v>0</v>
      </c>
      <c r="H27718" s="7" t="n">
        <v>0</v>
      </c>
      <c r="I27718" s="7" t="n">
        <v>0</v>
      </c>
    </row>
    <row r="27719" spans="1:6">
      <c r="A27719" t="s">
        <v>4</v>
      </c>
      <c r="B27719" s="4" t="s">
        <v>5</v>
      </c>
      <c r="C27719" s="4" t="s">
        <v>7</v>
      </c>
      <c r="D27719" s="4" t="s">
        <v>7</v>
      </c>
      <c r="E27719" s="4" t="s">
        <v>13</v>
      </c>
      <c r="F27719" s="4" t="s">
        <v>11</v>
      </c>
    </row>
    <row r="27720" spans="1:6">
      <c r="A27720" t="n">
        <v>268766</v>
      </c>
      <c r="B27720" s="51" t="n">
        <v>45</v>
      </c>
      <c r="C27720" s="7" t="n">
        <v>5</v>
      </c>
      <c r="D27720" s="7" t="n">
        <v>3</v>
      </c>
      <c r="E27720" s="7" t="n">
        <v>2.40000009536743</v>
      </c>
      <c r="F27720" s="7" t="n">
        <v>0</v>
      </c>
    </row>
    <row r="27721" spans="1:6">
      <c r="A27721" t="s">
        <v>4</v>
      </c>
      <c r="B27721" s="4" t="s">
        <v>5</v>
      </c>
      <c r="C27721" s="4" t="s">
        <v>7</v>
      </c>
      <c r="D27721" s="4" t="s">
        <v>7</v>
      </c>
      <c r="E27721" s="4" t="s">
        <v>13</v>
      </c>
      <c r="F27721" s="4" t="s">
        <v>11</v>
      </c>
    </row>
    <row r="27722" spans="1:6">
      <c r="A27722" t="n">
        <v>268775</v>
      </c>
      <c r="B27722" s="51" t="n">
        <v>45</v>
      </c>
      <c r="C27722" s="7" t="n">
        <v>11</v>
      </c>
      <c r="D27722" s="7" t="n">
        <v>3</v>
      </c>
      <c r="E27722" s="7" t="n">
        <v>40.2999992370605</v>
      </c>
      <c r="F27722" s="7" t="n">
        <v>0</v>
      </c>
    </row>
    <row r="27723" spans="1:6">
      <c r="A27723" t="s">
        <v>4</v>
      </c>
      <c r="B27723" s="4" t="s">
        <v>5</v>
      </c>
      <c r="C27723" s="4" t="s">
        <v>7</v>
      </c>
      <c r="D27723" s="4" t="s">
        <v>7</v>
      </c>
      <c r="E27723" s="4" t="s">
        <v>13</v>
      </c>
      <c r="F27723" s="4" t="s">
        <v>13</v>
      </c>
      <c r="G27723" s="4" t="s">
        <v>13</v>
      </c>
      <c r="H27723" s="4" t="s">
        <v>11</v>
      </c>
    </row>
    <row r="27724" spans="1:6">
      <c r="A27724" t="n">
        <v>268784</v>
      </c>
      <c r="B27724" s="51" t="n">
        <v>45</v>
      </c>
      <c r="C27724" s="7" t="n">
        <v>2</v>
      </c>
      <c r="D27724" s="7" t="n">
        <v>3</v>
      </c>
      <c r="E27724" s="7" t="n">
        <v>-6.8899998664856</v>
      </c>
      <c r="F27724" s="7" t="n">
        <v>6.26999998092651</v>
      </c>
      <c r="G27724" s="7" t="n">
        <v>30.0599994659424</v>
      </c>
      <c r="H27724" s="7" t="n">
        <v>6000</v>
      </c>
    </row>
    <row r="27725" spans="1:6">
      <c r="A27725" t="s">
        <v>4</v>
      </c>
      <c r="B27725" s="4" t="s">
        <v>5</v>
      </c>
      <c r="C27725" s="4" t="s">
        <v>7</v>
      </c>
      <c r="D27725" s="4" t="s">
        <v>7</v>
      </c>
      <c r="E27725" s="4" t="s">
        <v>13</v>
      </c>
      <c r="F27725" s="4" t="s">
        <v>13</v>
      </c>
      <c r="G27725" s="4" t="s">
        <v>13</v>
      </c>
      <c r="H27725" s="4" t="s">
        <v>11</v>
      </c>
      <c r="I27725" s="4" t="s">
        <v>7</v>
      </c>
    </row>
    <row r="27726" spans="1:6">
      <c r="A27726" t="n">
        <v>268801</v>
      </c>
      <c r="B27726" s="51" t="n">
        <v>45</v>
      </c>
      <c r="C27726" s="7" t="n">
        <v>4</v>
      </c>
      <c r="D27726" s="7" t="n">
        <v>3</v>
      </c>
      <c r="E27726" s="7" t="n">
        <v>6.73999977111816</v>
      </c>
      <c r="F27726" s="7" t="n">
        <v>13.6199998855591</v>
      </c>
      <c r="G27726" s="7" t="n">
        <v>0</v>
      </c>
      <c r="H27726" s="7" t="n">
        <v>6000</v>
      </c>
      <c r="I27726" s="7" t="n">
        <v>1</v>
      </c>
    </row>
    <row r="27727" spans="1:6">
      <c r="A27727" t="s">
        <v>4</v>
      </c>
      <c r="B27727" s="4" t="s">
        <v>5</v>
      </c>
      <c r="C27727" s="4" t="s">
        <v>11</v>
      </c>
      <c r="D27727" s="4" t="s">
        <v>13</v>
      </c>
      <c r="E27727" s="4" t="s">
        <v>13</v>
      </c>
      <c r="F27727" s="4" t="s">
        <v>13</v>
      </c>
      <c r="G27727" s="4" t="s">
        <v>13</v>
      </c>
    </row>
    <row r="27728" spans="1:6">
      <c r="A27728" t="n">
        <v>268819</v>
      </c>
      <c r="B27728" s="36" t="n">
        <v>46</v>
      </c>
      <c r="C27728" s="7" t="n">
        <v>0</v>
      </c>
      <c r="D27728" s="7" t="n">
        <v>-6.51000022888184</v>
      </c>
      <c r="E27728" s="7" t="n">
        <v>5</v>
      </c>
      <c r="F27728" s="7" t="n">
        <v>29.8999996185303</v>
      </c>
      <c r="G27728" s="7" t="n">
        <v>208</v>
      </c>
    </row>
    <row r="27729" spans="1:9">
      <c r="A27729" t="s">
        <v>4</v>
      </c>
      <c r="B27729" s="4" t="s">
        <v>5</v>
      </c>
      <c r="C27729" s="4" t="s">
        <v>11</v>
      </c>
      <c r="D27729" s="4" t="s">
        <v>13</v>
      </c>
      <c r="E27729" s="4" t="s">
        <v>13</v>
      </c>
      <c r="F27729" s="4" t="s">
        <v>13</v>
      </c>
      <c r="G27729" s="4" t="s">
        <v>13</v>
      </c>
    </row>
    <row r="27730" spans="1:9">
      <c r="A27730" t="n">
        <v>268838</v>
      </c>
      <c r="B27730" s="36" t="n">
        <v>46</v>
      </c>
      <c r="C27730" s="7" t="n">
        <v>7</v>
      </c>
      <c r="D27730" s="7" t="n">
        <v>-7.44999980926514</v>
      </c>
      <c r="E27730" s="7" t="n">
        <v>5</v>
      </c>
      <c r="F27730" s="7" t="n">
        <v>29.7999992370605</v>
      </c>
      <c r="G27730" s="7" t="n">
        <v>151.199996948242</v>
      </c>
    </row>
    <row r="27731" spans="1:9">
      <c r="A27731" t="s">
        <v>4</v>
      </c>
      <c r="B27731" s="4" t="s">
        <v>5</v>
      </c>
      <c r="C27731" s="4" t="s">
        <v>8</v>
      </c>
      <c r="D27731" s="4" t="s">
        <v>8</v>
      </c>
    </row>
    <row r="27732" spans="1:9">
      <c r="A27732" t="n">
        <v>268857</v>
      </c>
      <c r="B27732" s="52" t="n">
        <v>70</v>
      </c>
      <c r="C27732" s="7" t="s">
        <v>25</v>
      </c>
      <c r="D27732" s="7" t="s">
        <v>118</v>
      </c>
    </row>
    <row r="27733" spans="1:9">
      <c r="A27733" t="s">
        <v>4</v>
      </c>
      <c r="B27733" s="4" t="s">
        <v>5</v>
      </c>
      <c r="C27733" s="4" t="s">
        <v>11</v>
      </c>
      <c r="D27733" s="4" t="s">
        <v>7</v>
      </c>
      <c r="E27733" s="4" t="s">
        <v>8</v>
      </c>
      <c r="F27733" s="4" t="s">
        <v>13</v>
      </c>
      <c r="G27733" s="4" t="s">
        <v>13</v>
      </c>
      <c r="H27733" s="4" t="s">
        <v>13</v>
      </c>
    </row>
    <row r="27734" spans="1:9">
      <c r="A27734" t="n">
        <v>268873</v>
      </c>
      <c r="B27734" s="42" t="n">
        <v>48</v>
      </c>
      <c r="C27734" s="7" t="n">
        <v>7</v>
      </c>
      <c r="D27734" s="7" t="n">
        <v>0</v>
      </c>
      <c r="E27734" s="7" t="s">
        <v>275</v>
      </c>
      <c r="F27734" s="7" t="n">
        <v>0</v>
      </c>
      <c r="G27734" s="7" t="n">
        <v>1</v>
      </c>
      <c r="H27734" s="7" t="n">
        <v>0</v>
      </c>
    </row>
    <row r="27735" spans="1:9">
      <c r="A27735" t="s">
        <v>4</v>
      </c>
      <c r="B27735" s="4" t="s">
        <v>5</v>
      </c>
      <c r="C27735" s="4" t="s">
        <v>11</v>
      </c>
      <c r="D27735" s="4" t="s">
        <v>11</v>
      </c>
      <c r="E27735" s="4" t="s">
        <v>11</v>
      </c>
    </row>
    <row r="27736" spans="1:9">
      <c r="A27736" t="n">
        <v>268898</v>
      </c>
      <c r="B27736" s="72" t="n">
        <v>61</v>
      </c>
      <c r="C27736" s="7" t="n">
        <v>0</v>
      </c>
      <c r="D27736" s="7" t="n">
        <v>7</v>
      </c>
      <c r="E27736" s="7" t="n">
        <v>0</v>
      </c>
    </row>
    <row r="27737" spans="1:9">
      <c r="A27737" t="s">
        <v>4</v>
      </c>
      <c r="B27737" s="4" t="s">
        <v>5</v>
      </c>
      <c r="C27737" s="4" t="s">
        <v>11</v>
      </c>
      <c r="D27737" s="4" t="s">
        <v>11</v>
      </c>
      <c r="E27737" s="4" t="s">
        <v>11</v>
      </c>
    </row>
    <row r="27738" spans="1:9">
      <c r="A27738" t="n">
        <v>268905</v>
      </c>
      <c r="B27738" s="72" t="n">
        <v>61</v>
      </c>
      <c r="C27738" s="7" t="n">
        <v>7</v>
      </c>
      <c r="D27738" s="7" t="n">
        <v>0</v>
      </c>
      <c r="E27738" s="7" t="n">
        <v>0</v>
      </c>
    </row>
    <row r="27739" spans="1:9">
      <c r="A27739" t="s">
        <v>4</v>
      </c>
      <c r="B27739" s="4" t="s">
        <v>5</v>
      </c>
      <c r="C27739" s="4" t="s">
        <v>7</v>
      </c>
      <c r="D27739" s="4" t="s">
        <v>11</v>
      </c>
      <c r="E27739" s="4" t="s">
        <v>13</v>
      </c>
    </row>
    <row r="27740" spans="1:9">
      <c r="A27740" t="n">
        <v>268912</v>
      </c>
      <c r="B27740" s="23" t="n">
        <v>58</v>
      </c>
      <c r="C27740" s="7" t="n">
        <v>100</v>
      </c>
      <c r="D27740" s="7" t="n">
        <v>1000</v>
      </c>
      <c r="E27740" s="7" t="n">
        <v>1</v>
      </c>
    </row>
    <row r="27741" spans="1:9">
      <c r="A27741" t="s">
        <v>4</v>
      </c>
      <c r="B27741" s="4" t="s">
        <v>5</v>
      </c>
      <c r="C27741" s="4" t="s">
        <v>7</v>
      </c>
      <c r="D27741" s="4" t="s">
        <v>11</v>
      </c>
    </row>
    <row r="27742" spans="1:9">
      <c r="A27742" t="n">
        <v>268920</v>
      </c>
      <c r="B27742" s="23" t="n">
        <v>58</v>
      </c>
      <c r="C27742" s="7" t="n">
        <v>255</v>
      </c>
      <c r="D27742" s="7" t="n">
        <v>0</v>
      </c>
    </row>
    <row r="27743" spans="1:9">
      <c r="A27743" t="s">
        <v>4</v>
      </c>
      <c r="B27743" s="4" t="s">
        <v>5</v>
      </c>
      <c r="C27743" s="4" t="s">
        <v>11</v>
      </c>
    </row>
    <row r="27744" spans="1:9">
      <c r="A27744" t="n">
        <v>268924</v>
      </c>
      <c r="B27744" s="29" t="n">
        <v>16</v>
      </c>
      <c r="C27744" s="7" t="n">
        <v>1000</v>
      </c>
    </row>
    <row r="27745" spans="1:8">
      <c r="A27745" t="s">
        <v>4</v>
      </c>
      <c r="B27745" s="4" t="s">
        <v>5</v>
      </c>
      <c r="C27745" s="4" t="s">
        <v>7</v>
      </c>
      <c r="D27745" s="4" t="s">
        <v>11</v>
      </c>
    </row>
    <row r="27746" spans="1:8">
      <c r="A27746" t="n">
        <v>268927</v>
      </c>
      <c r="B27746" s="51" t="n">
        <v>45</v>
      </c>
      <c r="C27746" s="7" t="n">
        <v>7</v>
      </c>
      <c r="D27746" s="7" t="n">
        <v>255</v>
      </c>
    </row>
    <row r="27747" spans="1:8">
      <c r="A27747" t="s">
        <v>4</v>
      </c>
      <c r="B27747" s="4" t="s">
        <v>5</v>
      </c>
      <c r="C27747" s="4" t="s">
        <v>7</v>
      </c>
      <c r="D27747" s="4" t="s">
        <v>11</v>
      </c>
      <c r="E27747" s="4" t="s">
        <v>13</v>
      </c>
    </row>
    <row r="27748" spans="1:8">
      <c r="A27748" t="n">
        <v>268931</v>
      </c>
      <c r="B27748" s="23" t="n">
        <v>58</v>
      </c>
      <c r="C27748" s="7" t="n">
        <v>101</v>
      </c>
      <c r="D27748" s="7" t="n">
        <v>500</v>
      </c>
      <c r="E27748" s="7" t="n">
        <v>1</v>
      </c>
    </row>
    <row r="27749" spans="1:8">
      <c r="A27749" t="s">
        <v>4</v>
      </c>
      <c r="B27749" s="4" t="s">
        <v>5</v>
      </c>
      <c r="C27749" s="4" t="s">
        <v>7</v>
      </c>
      <c r="D27749" s="4" t="s">
        <v>11</v>
      </c>
    </row>
    <row r="27750" spans="1:8">
      <c r="A27750" t="n">
        <v>268939</v>
      </c>
      <c r="B27750" s="23" t="n">
        <v>58</v>
      </c>
      <c r="C27750" s="7" t="n">
        <v>254</v>
      </c>
      <c r="D27750" s="7" t="n">
        <v>0</v>
      </c>
    </row>
    <row r="27751" spans="1:8">
      <c r="A27751" t="s">
        <v>4</v>
      </c>
      <c r="B27751" s="4" t="s">
        <v>5</v>
      </c>
      <c r="C27751" s="4" t="s">
        <v>7</v>
      </c>
      <c r="D27751" s="4" t="s">
        <v>11</v>
      </c>
      <c r="E27751" s="4" t="s">
        <v>8</v>
      </c>
      <c r="F27751" s="4" t="s">
        <v>8</v>
      </c>
      <c r="G27751" s="4" t="s">
        <v>8</v>
      </c>
      <c r="H27751" s="4" t="s">
        <v>8</v>
      </c>
    </row>
    <row r="27752" spans="1:8">
      <c r="A27752" t="n">
        <v>268943</v>
      </c>
      <c r="B27752" s="38" t="n">
        <v>51</v>
      </c>
      <c r="C27752" s="7" t="n">
        <v>3</v>
      </c>
      <c r="D27752" s="7" t="n">
        <v>7</v>
      </c>
      <c r="E27752" s="7" t="s">
        <v>568</v>
      </c>
      <c r="F27752" s="7" t="s">
        <v>218</v>
      </c>
      <c r="G27752" s="7" t="s">
        <v>78</v>
      </c>
      <c r="H27752" s="7" t="s">
        <v>79</v>
      </c>
    </row>
    <row r="27753" spans="1:8">
      <c r="A27753" t="s">
        <v>4</v>
      </c>
      <c r="B27753" s="4" t="s">
        <v>5</v>
      </c>
      <c r="C27753" s="4" t="s">
        <v>7</v>
      </c>
      <c r="D27753" s="4" t="s">
        <v>11</v>
      </c>
      <c r="E27753" s="4" t="s">
        <v>11</v>
      </c>
      <c r="F27753" s="4" t="s">
        <v>15</v>
      </c>
      <c r="G27753" s="4" t="s">
        <v>15</v>
      </c>
      <c r="H27753" s="4" t="s">
        <v>15</v>
      </c>
    </row>
    <row r="27754" spans="1:8">
      <c r="A27754" t="n">
        <v>268956</v>
      </c>
      <c r="B27754" s="77" t="n">
        <v>97</v>
      </c>
      <c r="C27754" s="7" t="n">
        <v>6</v>
      </c>
      <c r="D27754" s="7" t="n">
        <v>0</v>
      </c>
      <c r="E27754" s="7" t="n">
        <v>0</v>
      </c>
      <c r="F27754" s="7" t="n">
        <v>-1065143501</v>
      </c>
      <c r="G27754" s="7" t="n">
        <v>1101004800</v>
      </c>
      <c r="H27754" s="7" t="n">
        <v>1101004800</v>
      </c>
    </row>
    <row r="27755" spans="1:8">
      <c r="A27755" t="s">
        <v>4</v>
      </c>
      <c r="B27755" s="4" t="s">
        <v>5</v>
      </c>
      <c r="C27755" s="4" t="s">
        <v>7</v>
      </c>
      <c r="D27755" s="4" t="s">
        <v>7</v>
      </c>
      <c r="E27755" s="4" t="s">
        <v>13</v>
      </c>
      <c r="F27755" s="4" t="s">
        <v>13</v>
      </c>
      <c r="G27755" s="4" t="s">
        <v>13</v>
      </c>
      <c r="H27755" s="4" t="s">
        <v>11</v>
      </c>
    </row>
    <row r="27756" spans="1:8">
      <c r="A27756" t="n">
        <v>268974</v>
      </c>
      <c r="B27756" s="51" t="n">
        <v>45</v>
      </c>
      <c r="C27756" s="7" t="n">
        <v>2</v>
      </c>
      <c r="D27756" s="7" t="n">
        <v>3</v>
      </c>
      <c r="E27756" s="7" t="n">
        <v>-6.86999988555908</v>
      </c>
      <c r="F27756" s="7" t="n">
        <v>6.38000011444092</v>
      </c>
      <c r="G27756" s="7" t="n">
        <v>29.8400001525879</v>
      </c>
      <c r="H27756" s="7" t="n">
        <v>0</v>
      </c>
    </row>
    <row r="27757" spans="1:8">
      <c r="A27757" t="s">
        <v>4</v>
      </c>
      <c r="B27757" s="4" t="s">
        <v>5</v>
      </c>
      <c r="C27757" s="4" t="s">
        <v>7</v>
      </c>
      <c r="D27757" s="4" t="s">
        <v>7</v>
      </c>
      <c r="E27757" s="4" t="s">
        <v>13</v>
      </c>
      <c r="F27757" s="4" t="s">
        <v>13</v>
      </c>
      <c r="G27757" s="4" t="s">
        <v>13</v>
      </c>
      <c r="H27757" s="4" t="s">
        <v>11</v>
      </c>
      <c r="I27757" s="4" t="s">
        <v>7</v>
      </c>
    </row>
    <row r="27758" spans="1:8">
      <c r="A27758" t="n">
        <v>268991</v>
      </c>
      <c r="B27758" s="51" t="n">
        <v>45</v>
      </c>
      <c r="C27758" s="7" t="n">
        <v>4</v>
      </c>
      <c r="D27758" s="7" t="n">
        <v>3</v>
      </c>
      <c r="E27758" s="7" t="n">
        <v>18.2999992370605</v>
      </c>
      <c r="F27758" s="7" t="n">
        <v>135.5</v>
      </c>
      <c r="G27758" s="7" t="n">
        <v>0</v>
      </c>
      <c r="H27758" s="7" t="n">
        <v>0</v>
      </c>
      <c r="I27758" s="7" t="n">
        <v>0</v>
      </c>
    </row>
    <row r="27759" spans="1:8">
      <c r="A27759" t="s">
        <v>4</v>
      </c>
      <c r="B27759" s="4" t="s">
        <v>5</v>
      </c>
      <c r="C27759" s="4" t="s">
        <v>7</v>
      </c>
      <c r="D27759" s="4" t="s">
        <v>7</v>
      </c>
      <c r="E27759" s="4" t="s">
        <v>13</v>
      </c>
      <c r="F27759" s="4" t="s">
        <v>11</v>
      </c>
    </row>
    <row r="27760" spans="1:8">
      <c r="A27760" t="n">
        <v>269009</v>
      </c>
      <c r="B27760" s="51" t="n">
        <v>45</v>
      </c>
      <c r="C27760" s="7" t="n">
        <v>5</v>
      </c>
      <c r="D27760" s="7" t="n">
        <v>3</v>
      </c>
      <c r="E27760" s="7" t="n">
        <v>1.29999995231628</v>
      </c>
      <c r="F27760" s="7" t="n">
        <v>0</v>
      </c>
    </row>
    <row r="27761" spans="1:9">
      <c r="A27761" t="s">
        <v>4</v>
      </c>
      <c r="B27761" s="4" t="s">
        <v>5</v>
      </c>
      <c r="C27761" s="4" t="s">
        <v>7</v>
      </c>
      <c r="D27761" s="4" t="s">
        <v>7</v>
      </c>
      <c r="E27761" s="4" t="s">
        <v>13</v>
      </c>
      <c r="F27761" s="4" t="s">
        <v>11</v>
      </c>
    </row>
    <row r="27762" spans="1:9">
      <c r="A27762" t="n">
        <v>269018</v>
      </c>
      <c r="B27762" s="51" t="n">
        <v>45</v>
      </c>
      <c r="C27762" s="7" t="n">
        <v>11</v>
      </c>
      <c r="D27762" s="7" t="n">
        <v>3</v>
      </c>
      <c r="E27762" s="7" t="n">
        <v>40.2999992370605</v>
      </c>
      <c r="F27762" s="7" t="n">
        <v>0</v>
      </c>
    </row>
    <row r="27763" spans="1:9">
      <c r="A27763" t="s">
        <v>4</v>
      </c>
      <c r="B27763" s="4" t="s">
        <v>5</v>
      </c>
      <c r="C27763" s="4" t="s">
        <v>7</v>
      </c>
      <c r="D27763" s="4" t="s">
        <v>11</v>
      </c>
    </row>
    <row r="27764" spans="1:9">
      <c r="A27764" t="n">
        <v>269027</v>
      </c>
      <c r="B27764" s="23" t="n">
        <v>58</v>
      </c>
      <c r="C27764" s="7" t="n">
        <v>255</v>
      </c>
      <c r="D27764" s="7" t="n">
        <v>0</v>
      </c>
    </row>
    <row r="27765" spans="1:9">
      <c r="A27765" t="s">
        <v>4</v>
      </c>
      <c r="B27765" s="4" t="s">
        <v>5</v>
      </c>
      <c r="C27765" s="4" t="s">
        <v>7</v>
      </c>
      <c r="D27765" s="4" t="s">
        <v>11</v>
      </c>
      <c r="E27765" s="4" t="s">
        <v>8</v>
      </c>
    </row>
    <row r="27766" spans="1:9">
      <c r="A27766" t="n">
        <v>269031</v>
      </c>
      <c r="B27766" s="38" t="n">
        <v>51</v>
      </c>
      <c r="C27766" s="7" t="n">
        <v>4</v>
      </c>
      <c r="D27766" s="7" t="n">
        <v>7</v>
      </c>
      <c r="E27766" s="7" t="s">
        <v>569</v>
      </c>
    </row>
    <row r="27767" spans="1:9">
      <c r="A27767" t="s">
        <v>4</v>
      </c>
      <c r="B27767" s="4" t="s">
        <v>5</v>
      </c>
      <c r="C27767" s="4" t="s">
        <v>11</v>
      </c>
    </row>
    <row r="27768" spans="1:9">
      <c r="A27768" t="n">
        <v>269044</v>
      </c>
      <c r="B27768" s="29" t="n">
        <v>16</v>
      </c>
      <c r="C27768" s="7" t="n">
        <v>0</v>
      </c>
    </row>
    <row r="27769" spans="1:9">
      <c r="A27769" t="s">
        <v>4</v>
      </c>
      <c r="B27769" s="4" t="s">
        <v>5</v>
      </c>
      <c r="C27769" s="4" t="s">
        <v>11</v>
      </c>
      <c r="D27769" s="4" t="s">
        <v>7</v>
      </c>
      <c r="E27769" s="4" t="s">
        <v>15</v>
      </c>
      <c r="F27769" s="4" t="s">
        <v>55</v>
      </c>
      <c r="G27769" s="4" t="s">
        <v>7</v>
      </c>
      <c r="H27769" s="4" t="s">
        <v>7</v>
      </c>
    </row>
    <row r="27770" spans="1:9">
      <c r="A27770" t="n">
        <v>269047</v>
      </c>
      <c r="B27770" s="55" t="n">
        <v>26</v>
      </c>
      <c r="C27770" s="7" t="n">
        <v>7</v>
      </c>
      <c r="D27770" s="7" t="n">
        <v>17</v>
      </c>
      <c r="E27770" s="7" t="n">
        <v>63914</v>
      </c>
      <c r="F27770" s="7" t="s">
        <v>570</v>
      </c>
      <c r="G27770" s="7" t="n">
        <v>2</v>
      </c>
      <c r="H27770" s="7" t="n">
        <v>0</v>
      </c>
    </row>
    <row r="27771" spans="1:9">
      <c r="A27771" t="s">
        <v>4</v>
      </c>
      <c r="B27771" s="4" t="s">
        <v>5</v>
      </c>
    </row>
    <row r="27772" spans="1:9">
      <c r="A27772" t="n">
        <v>269107</v>
      </c>
      <c r="B27772" s="27" t="n">
        <v>28</v>
      </c>
    </row>
    <row r="27773" spans="1:9">
      <c r="A27773" t="s">
        <v>4</v>
      </c>
      <c r="B27773" s="4" t="s">
        <v>5</v>
      </c>
      <c r="C27773" s="4" t="s">
        <v>7</v>
      </c>
      <c r="D27773" s="4" t="s">
        <v>11</v>
      </c>
      <c r="E27773" s="4" t="s">
        <v>8</v>
      </c>
    </row>
    <row r="27774" spans="1:9">
      <c r="A27774" t="n">
        <v>269108</v>
      </c>
      <c r="B27774" s="38" t="n">
        <v>51</v>
      </c>
      <c r="C27774" s="7" t="n">
        <v>4</v>
      </c>
      <c r="D27774" s="7" t="n">
        <v>0</v>
      </c>
      <c r="E27774" s="7" t="s">
        <v>242</v>
      </c>
    </row>
    <row r="27775" spans="1:9">
      <c r="A27775" t="s">
        <v>4</v>
      </c>
      <c r="B27775" s="4" t="s">
        <v>5</v>
      </c>
      <c r="C27775" s="4" t="s">
        <v>11</v>
      </c>
    </row>
    <row r="27776" spans="1:9">
      <c r="A27776" t="n">
        <v>269122</v>
      </c>
      <c r="B27776" s="29" t="n">
        <v>16</v>
      </c>
      <c r="C27776" s="7" t="n">
        <v>0</v>
      </c>
    </row>
    <row r="27777" spans="1:8">
      <c r="A27777" t="s">
        <v>4</v>
      </c>
      <c r="B27777" s="4" t="s">
        <v>5</v>
      </c>
      <c r="C27777" s="4" t="s">
        <v>11</v>
      </c>
      <c r="D27777" s="4" t="s">
        <v>7</v>
      </c>
      <c r="E27777" s="4" t="s">
        <v>15</v>
      </c>
      <c r="F27777" s="4" t="s">
        <v>55</v>
      </c>
      <c r="G27777" s="4" t="s">
        <v>7</v>
      </c>
      <c r="H27777" s="4" t="s">
        <v>7</v>
      </c>
      <c r="I27777" s="4" t="s">
        <v>7</v>
      </c>
      <c r="J27777" s="4" t="s">
        <v>15</v>
      </c>
      <c r="K27777" s="4" t="s">
        <v>55</v>
      </c>
      <c r="L27777" s="4" t="s">
        <v>7</v>
      </c>
      <c r="M27777" s="4" t="s">
        <v>7</v>
      </c>
      <c r="N27777" s="4" t="s">
        <v>7</v>
      </c>
      <c r="O27777" s="4" t="s">
        <v>15</v>
      </c>
      <c r="P27777" s="4" t="s">
        <v>55</v>
      </c>
      <c r="Q27777" s="4" t="s">
        <v>7</v>
      </c>
      <c r="R27777" s="4" t="s">
        <v>7</v>
      </c>
    </row>
    <row r="27778" spans="1:8">
      <c r="A27778" t="n">
        <v>269125</v>
      </c>
      <c r="B27778" s="55" t="n">
        <v>26</v>
      </c>
      <c r="C27778" s="7" t="n">
        <v>0</v>
      </c>
      <c r="D27778" s="7" t="n">
        <v>17</v>
      </c>
      <c r="E27778" s="7" t="n">
        <v>63915</v>
      </c>
      <c r="F27778" s="7" t="s">
        <v>571</v>
      </c>
      <c r="G27778" s="7" t="n">
        <v>2</v>
      </c>
      <c r="H27778" s="7" t="n">
        <v>3</v>
      </c>
      <c r="I27778" s="7" t="n">
        <v>17</v>
      </c>
      <c r="J27778" s="7" t="n">
        <v>63916</v>
      </c>
      <c r="K27778" s="7" t="s">
        <v>572</v>
      </c>
      <c r="L27778" s="7" t="n">
        <v>2</v>
      </c>
      <c r="M27778" s="7" t="n">
        <v>3</v>
      </c>
      <c r="N27778" s="7" t="n">
        <v>17</v>
      </c>
      <c r="O27778" s="7" t="n">
        <v>63917</v>
      </c>
      <c r="P27778" s="7" t="s">
        <v>573</v>
      </c>
      <c r="Q27778" s="7" t="n">
        <v>2</v>
      </c>
      <c r="R27778" s="7" t="n">
        <v>0</v>
      </c>
    </row>
    <row r="27779" spans="1:8">
      <c r="A27779" t="s">
        <v>4</v>
      </c>
      <c r="B27779" s="4" t="s">
        <v>5</v>
      </c>
    </row>
    <row r="27780" spans="1:8">
      <c r="A27780" t="n">
        <v>269476</v>
      </c>
      <c r="B27780" s="27" t="n">
        <v>28</v>
      </c>
    </row>
    <row r="27781" spans="1:8">
      <c r="A27781" t="s">
        <v>4</v>
      </c>
      <c r="B27781" s="4" t="s">
        <v>5</v>
      </c>
      <c r="C27781" s="4" t="s">
        <v>7</v>
      </c>
      <c r="D27781" s="4" t="s">
        <v>11</v>
      </c>
      <c r="E27781" s="4" t="s">
        <v>8</v>
      </c>
    </row>
    <row r="27782" spans="1:8">
      <c r="A27782" t="n">
        <v>269477</v>
      </c>
      <c r="B27782" s="38" t="n">
        <v>51</v>
      </c>
      <c r="C27782" s="7" t="n">
        <v>4</v>
      </c>
      <c r="D27782" s="7" t="n">
        <v>7</v>
      </c>
      <c r="E27782" s="7" t="s">
        <v>574</v>
      </c>
    </row>
    <row r="27783" spans="1:8">
      <c r="A27783" t="s">
        <v>4</v>
      </c>
      <c r="B27783" s="4" t="s">
        <v>5</v>
      </c>
      <c r="C27783" s="4" t="s">
        <v>11</v>
      </c>
    </row>
    <row r="27784" spans="1:8">
      <c r="A27784" t="n">
        <v>269490</v>
      </c>
      <c r="B27784" s="29" t="n">
        <v>16</v>
      </c>
      <c r="C27784" s="7" t="n">
        <v>0</v>
      </c>
    </row>
    <row r="27785" spans="1:8">
      <c r="A27785" t="s">
        <v>4</v>
      </c>
      <c r="B27785" s="4" t="s">
        <v>5</v>
      </c>
      <c r="C27785" s="4" t="s">
        <v>11</v>
      </c>
      <c r="D27785" s="4" t="s">
        <v>7</v>
      </c>
      <c r="E27785" s="4" t="s">
        <v>15</v>
      </c>
      <c r="F27785" s="4" t="s">
        <v>55</v>
      </c>
      <c r="G27785" s="4" t="s">
        <v>7</v>
      </c>
      <c r="H27785" s="4" t="s">
        <v>7</v>
      </c>
      <c r="I27785" s="4" t="s">
        <v>7</v>
      </c>
      <c r="J27785" s="4" t="s">
        <v>15</v>
      </c>
      <c r="K27785" s="4" t="s">
        <v>55</v>
      </c>
      <c r="L27785" s="4" t="s">
        <v>7</v>
      </c>
      <c r="M27785" s="4" t="s">
        <v>7</v>
      </c>
    </row>
    <row r="27786" spans="1:8">
      <c r="A27786" t="n">
        <v>269493</v>
      </c>
      <c r="B27786" s="55" t="n">
        <v>26</v>
      </c>
      <c r="C27786" s="7" t="n">
        <v>7</v>
      </c>
      <c r="D27786" s="7" t="n">
        <v>17</v>
      </c>
      <c r="E27786" s="7" t="n">
        <v>63918</v>
      </c>
      <c r="F27786" s="7" t="s">
        <v>575</v>
      </c>
      <c r="G27786" s="7" t="n">
        <v>2</v>
      </c>
      <c r="H27786" s="7" t="n">
        <v>3</v>
      </c>
      <c r="I27786" s="7" t="n">
        <v>17</v>
      </c>
      <c r="J27786" s="7" t="n">
        <v>63919</v>
      </c>
      <c r="K27786" s="7" t="s">
        <v>576</v>
      </c>
      <c r="L27786" s="7" t="n">
        <v>2</v>
      </c>
      <c r="M27786" s="7" t="n">
        <v>0</v>
      </c>
    </row>
    <row r="27787" spans="1:8">
      <c r="A27787" t="s">
        <v>4</v>
      </c>
      <c r="B27787" s="4" t="s">
        <v>5</v>
      </c>
    </row>
    <row r="27788" spans="1:8">
      <c r="A27788" t="n">
        <v>269568</v>
      </c>
      <c r="B27788" s="27" t="n">
        <v>28</v>
      </c>
    </row>
    <row r="27789" spans="1:8">
      <c r="A27789" t="s">
        <v>4</v>
      </c>
      <c r="B27789" s="4" t="s">
        <v>5</v>
      </c>
      <c r="C27789" s="4" t="s">
        <v>7</v>
      </c>
      <c r="D27789" s="4" t="s">
        <v>11</v>
      </c>
      <c r="E27789" s="4" t="s">
        <v>8</v>
      </c>
    </row>
    <row r="27790" spans="1:8">
      <c r="A27790" t="n">
        <v>269569</v>
      </c>
      <c r="B27790" s="38" t="n">
        <v>51</v>
      </c>
      <c r="C27790" s="7" t="n">
        <v>4</v>
      </c>
      <c r="D27790" s="7" t="n">
        <v>0</v>
      </c>
      <c r="E27790" s="7" t="s">
        <v>242</v>
      </c>
    </row>
    <row r="27791" spans="1:8">
      <c r="A27791" t="s">
        <v>4</v>
      </c>
      <c r="B27791" s="4" t="s">
        <v>5</v>
      </c>
      <c r="C27791" s="4" t="s">
        <v>11</v>
      </c>
    </row>
    <row r="27792" spans="1:8">
      <c r="A27792" t="n">
        <v>269583</v>
      </c>
      <c r="B27792" s="29" t="n">
        <v>16</v>
      </c>
      <c r="C27792" s="7" t="n">
        <v>0</v>
      </c>
    </row>
    <row r="27793" spans="1:18">
      <c r="A27793" t="s">
        <v>4</v>
      </c>
      <c r="B27793" s="4" t="s">
        <v>5</v>
      </c>
      <c r="C27793" s="4" t="s">
        <v>11</v>
      </c>
      <c r="D27793" s="4" t="s">
        <v>7</v>
      </c>
      <c r="E27793" s="4" t="s">
        <v>15</v>
      </c>
      <c r="F27793" s="4" t="s">
        <v>55</v>
      </c>
      <c r="G27793" s="4" t="s">
        <v>7</v>
      </c>
      <c r="H27793" s="4" t="s">
        <v>7</v>
      </c>
      <c r="I27793" s="4" t="s">
        <v>7</v>
      </c>
      <c r="J27793" s="4" t="s">
        <v>15</v>
      </c>
      <c r="K27793" s="4" t="s">
        <v>55</v>
      </c>
      <c r="L27793" s="4" t="s">
        <v>7</v>
      </c>
      <c r="M27793" s="4" t="s">
        <v>7</v>
      </c>
    </row>
    <row r="27794" spans="1:18">
      <c r="A27794" t="n">
        <v>269586</v>
      </c>
      <c r="B27794" s="55" t="n">
        <v>26</v>
      </c>
      <c r="C27794" s="7" t="n">
        <v>0</v>
      </c>
      <c r="D27794" s="7" t="n">
        <v>17</v>
      </c>
      <c r="E27794" s="7" t="n">
        <v>63920</v>
      </c>
      <c r="F27794" s="7" t="s">
        <v>577</v>
      </c>
      <c r="G27794" s="7" t="n">
        <v>2</v>
      </c>
      <c r="H27794" s="7" t="n">
        <v>3</v>
      </c>
      <c r="I27794" s="7" t="n">
        <v>17</v>
      </c>
      <c r="J27794" s="7" t="n">
        <v>63921</v>
      </c>
      <c r="K27794" s="7" t="s">
        <v>578</v>
      </c>
      <c r="L27794" s="7" t="n">
        <v>2</v>
      </c>
      <c r="M27794" s="7" t="n">
        <v>0</v>
      </c>
    </row>
    <row r="27795" spans="1:18">
      <c r="A27795" t="s">
        <v>4</v>
      </c>
      <c r="B27795" s="4" t="s">
        <v>5</v>
      </c>
    </row>
    <row r="27796" spans="1:18">
      <c r="A27796" t="n">
        <v>269705</v>
      </c>
      <c r="B27796" s="27" t="n">
        <v>28</v>
      </c>
    </row>
    <row r="27797" spans="1:18">
      <c r="A27797" t="s">
        <v>4</v>
      </c>
      <c r="B27797" s="4" t="s">
        <v>5</v>
      </c>
      <c r="C27797" s="4" t="s">
        <v>7</v>
      </c>
      <c r="D27797" s="4" t="s">
        <v>11</v>
      </c>
      <c r="E27797" s="4" t="s">
        <v>8</v>
      </c>
    </row>
    <row r="27798" spans="1:18">
      <c r="A27798" t="n">
        <v>269706</v>
      </c>
      <c r="B27798" s="38" t="n">
        <v>51</v>
      </c>
      <c r="C27798" s="7" t="n">
        <v>4</v>
      </c>
      <c r="D27798" s="7" t="n">
        <v>7</v>
      </c>
      <c r="E27798" s="7" t="s">
        <v>242</v>
      </c>
    </row>
    <row r="27799" spans="1:18">
      <c r="A27799" t="s">
        <v>4</v>
      </c>
      <c r="B27799" s="4" t="s">
        <v>5</v>
      </c>
      <c r="C27799" s="4" t="s">
        <v>11</v>
      </c>
    </row>
    <row r="27800" spans="1:18">
      <c r="A27800" t="n">
        <v>269720</v>
      </c>
      <c r="B27800" s="29" t="n">
        <v>16</v>
      </c>
      <c r="C27800" s="7" t="n">
        <v>0</v>
      </c>
    </row>
    <row r="27801" spans="1:18">
      <c r="A27801" t="s">
        <v>4</v>
      </c>
      <c r="B27801" s="4" t="s">
        <v>5</v>
      </c>
      <c r="C27801" s="4" t="s">
        <v>11</v>
      </c>
      <c r="D27801" s="4" t="s">
        <v>7</v>
      </c>
      <c r="E27801" s="4" t="s">
        <v>15</v>
      </c>
      <c r="F27801" s="4" t="s">
        <v>55</v>
      </c>
      <c r="G27801" s="4" t="s">
        <v>7</v>
      </c>
      <c r="H27801" s="4" t="s">
        <v>7</v>
      </c>
      <c r="I27801" s="4" t="s">
        <v>7</v>
      </c>
      <c r="J27801" s="4" t="s">
        <v>15</v>
      </c>
      <c r="K27801" s="4" t="s">
        <v>55</v>
      </c>
      <c r="L27801" s="4" t="s">
        <v>7</v>
      </c>
      <c r="M27801" s="4" t="s">
        <v>7</v>
      </c>
      <c r="N27801" s="4" t="s">
        <v>7</v>
      </c>
      <c r="O27801" s="4" t="s">
        <v>15</v>
      </c>
      <c r="P27801" s="4" t="s">
        <v>55</v>
      </c>
      <c r="Q27801" s="4" t="s">
        <v>7</v>
      </c>
      <c r="R27801" s="4" t="s">
        <v>7</v>
      </c>
    </row>
    <row r="27802" spans="1:18">
      <c r="A27802" t="n">
        <v>269723</v>
      </c>
      <c r="B27802" s="55" t="n">
        <v>26</v>
      </c>
      <c r="C27802" s="7" t="n">
        <v>7</v>
      </c>
      <c r="D27802" s="7" t="n">
        <v>17</v>
      </c>
      <c r="E27802" s="7" t="n">
        <v>63922</v>
      </c>
      <c r="F27802" s="7" t="s">
        <v>579</v>
      </c>
      <c r="G27802" s="7" t="n">
        <v>2</v>
      </c>
      <c r="H27802" s="7" t="n">
        <v>3</v>
      </c>
      <c r="I27802" s="7" t="n">
        <v>17</v>
      </c>
      <c r="J27802" s="7" t="n">
        <v>63923</v>
      </c>
      <c r="K27802" s="7" t="s">
        <v>580</v>
      </c>
      <c r="L27802" s="7" t="n">
        <v>2</v>
      </c>
      <c r="M27802" s="7" t="n">
        <v>3</v>
      </c>
      <c r="N27802" s="7" t="n">
        <v>17</v>
      </c>
      <c r="O27802" s="7" t="n">
        <v>63924</v>
      </c>
      <c r="P27802" s="7" t="s">
        <v>581</v>
      </c>
      <c r="Q27802" s="7" t="n">
        <v>2</v>
      </c>
      <c r="R27802" s="7" t="n">
        <v>0</v>
      </c>
    </row>
    <row r="27803" spans="1:18">
      <c r="A27803" t="s">
        <v>4</v>
      </c>
      <c r="B27803" s="4" t="s">
        <v>5</v>
      </c>
    </row>
    <row r="27804" spans="1:18">
      <c r="A27804" t="n">
        <v>269946</v>
      </c>
      <c r="B27804" s="27" t="n">
        <v>28</v>
      </c>
    </row>
    <row r="27805" spans="1:18">
      <c r="A27805" t="s">
        <v>4</v>
      </c>
      <c r="B27805" s="4" t="s">
        <v>5</v>
      </c>
      <c r="C27805" s="4" t="s">
        <v>7</v>
      </c>
      <c r="D27805" s="4" t="s">
        <v>11</v>
      </c>
      <c r="E27805" s="4" t="s">
        <v>8</v>
      </c>
    </row>
    <row r="27806" spans="1:18">
      <c r="A27806" t="n">
        <v>269947</v>
      </c>
      <c r="B27806" s="38" t="n">
        <v>51</v>
      </c>
      <c r="C27806" s="7" t="n">
        <v>4</v>
      </c>
      <c r="D27806" s="7" t="n">
        <v>0</v>
      </c>
      <c r="E27806" s="7" t="s">
        <v>242</v>
      </c>
    </row>
    <row r="27807" spans="1:18">
      <c r="A27807" t="s">
        <v>4</v>
      </c>
      <c r="B27807" s="4" t="s">
        <v>5</v>
      </c>
      <c r="C27807" s="4" t="s">
        <v>11</v>
      </c>
    </row>
    <row r="27808" spans="1:18">
      <c r="A27808" t="n">
        <v>269961</v>
      </c>
      <c r="B27808" s="29" t="n">
        <v>16</v>
      </c>
      <c r="C27808" s="7" t="n">
        <v>0</v>
      </c>
    </row>
    <row r="27809" spans="1:18">
      <c r="A27809" t="s">
        <v>4</v>
      </c>
      <c r="B27809" s="4" t="s">
        <v>5</v>
      </c>
      <c r="C27809" s="4" t="s">
        <v>11</v>
      </c>
      <c r="D27809" s="4" t="s">
        <v>7</v>
      </c>
      <c r="E27809" s="4" t="s">
        <v>15</v>
      </c>
      <c r="F27809" s="4" t="s">
        <v>55</v>
      </c>
      <c r="G27809" s="4" t="s">
        <v>7</v>
      </c>
      <c r="H27809" s="4" t="s">
        <v>7</v>
      </c>
    </row>
    <row r="27810" spans="1:18">
      <c r="A27810" t="n">
        <v>269964</v>
      </c>
      <c r="B27810" s="55" t="n">
        <v>26</v>
      </c>
      <c r="C27810" s="7" t="n">
        <v>0</v>
      </c>
      <c r="D27810" s="7" t="n">
        <v>17</v>
      </c>
      <c r="E27810" s="7" t="n">
        <v>63925</v>
      </c>
      <c r="F27810" s="7" t="s">
        <v>582</v>
      </c>
      <c r="G27810" s="7" t="n">
        <v>2</v>
      </c>
      <c r="H27810" s="7" t="n">
        <v>0</v>
      </c>
    </row>
    <row r="27811" spans="1:18">
      <c r="A27811" t="s">
        <v>4</v>
      </c>
      <c r="B27811" s="4" t="s">
        <v>5</v>
      </c>
    </row>
    <row r="27812" spans="1:18">
      <c r="A27812" t="n">
        <v>270003</v>
      </c>
      <c r="B27812" s="27" t="n">
        <v>28</v>
      </c>
    </row>
    <row r="27813" spans="1:18">
      <c r="A27813" t="s">
        <v>4</v>
      </c>
      <c r="B27813" s="4" t="s">
        <v>5</v>
      </c>
      <c r="C27813" s="4" t="s">
        <v>7</v>
      </c>
      <c r="D27813" s="4" t="s">
        <v>11</v>
      </c>
      <c r="E27813" s="4" t="s">
        <v>7</v>
      </c>
    </row>
    <row r="27814" spans="1:18">
      <c r="A27814" t="n">
        <v>270004</v>
      </c>
      <c r="B27814" s="13" t="n">
        <v>49</v>
      </c>
      <c r="C27814" s="7" t="n">
        <v>1</v>
      </c>
      <c r="D27814" s="7" t="n">
        <v>3000</v>
      </c>
      <c r="E27814" s="7" t="n">
        <v>0</v>
      </c>
    </row>
    <row r="27815" spans="1:18">
      <c r="A27815" t="s">
        <v>4</v>
      </c>
      <c r="B27815" s="4" t="s">
        <v>5</v>
      </c>
      <c r="C27815" s="4" t="s">
        <v>7</v>
      </c>
      <c r="D27815" s="4" t="s">
        <v>11</v>
      </c>
      <c r="E27815" s="4" t="s">
        <v>8</v>
      </c>
      <c r="F27815" s="4" t="s">
        <v>8</v>
      </c>
      <c r="G27815" s="4" t="s">
        <v>8</v>
      </c>
      <c r="H27815" s="4" t="s">
        <v>8</v>
      </c>
    </row>
    <row r="27816" spans="1:18">
      <c r="A27816" t="n">
        <v>270009</v>
      </c>
      <c r="B27816" s="38" t="n">
        <v>51</v>
      </c>
      <c r="C27816" s="7" t="n">
        <v>3</v>
      </c>
      <c r="D27816" s="7" t="n">
        <v>7</v>
      </c>
      <c r="E27816" s="7" t="s">
        <v>86</v>
      </c>
      <c r="F27816" s="7" t="s">
        <v>79</v>
      </c>
      <c r="G27816" s="7" t="s">
        <v>78</v>
      </c>
      <c r="H27816" s="7" t="s">
        <v>79</v>
      </c>
    </row>
    <row r="27817" spans="1:18">
      <c r="A27817" t="s">
        <v>4</v>
      </c>
      <c r="B27817" s="4" t="s">
        <v>5</v>
      </c>
      <c r="C27817" s="4" t="s">
        <v>11</v>
      </c>
      <c r="D27817" s="4" t="s">
        <v>7</v>
      </c>
      <c r="E27817" s="4" t="s">
        <v>13</v>
      </c>
      <c r="F27817" s="4" t="s">
        <v>11</v>
      </c>
    </row>
    <row r="27818" spans="1:18">
      <c r="A27818" t="n">
        <v>270022</v>
      </c>
      <c r="B27818" s="56" t="n">
        <v>59</v>
      </c>
      <c r="C27818" s="7" t="n">
        <v>7</v>
      </c>
      <c r="D27818" s="7" t="n">
        <v>9</v>
      </c>
      <c r="E27818" s="7" t="n">
        <v>0.150000005960464</v>
      </c>
      <c r="F27818" s="7" t="n">
        <v>0</v>
      </c>
    </row>
    <row r="27819" spans="1:18">
      <c r="A27819" t="s">
        <v>4</v>
      </c>
      <c r="B27819" s="4" t="s">
        <v>5</v>
      </c>
      <c r="C27819" s="4" t="s">
        <v>11</v>
      </c>
    </row>
    <row r="27820" spans="1:18">
      <c r="A27820" t="n">
        <v>270032</v>
      </c>
      <c r="B27820" s="29" t="n">
        <v>16</v>
      </c>
      <c r="C27820" s="7" t="n">
        <v>1800</v>
      </c>
    </row>
    <row r="27821" spans="1:18">
      <c r="A27821" t="s">
        <v>4</v>
      </c>
      <c r="B27821" s="4" t="s">
        <v>5</v>
      </c>
      <c r="C27821" s="4" t="s">
        <v>7</v>
      </c>
      <c r="D27821" s="4" t="s">
        <v>11</v>
      </c>
      <c r="E27821" s="4" t="s">
        <v>13</v>
      </c>
    </row>
    <row r="27822" spans="1:18">
      <c r="A27822" t="n">
        <v>270035</v>
      </c>
      <c r="B27822" s="23" t="n">
        <v>58</v>
      </c>
      <c r="C27822" s="7" t="n">
        <v>101</v>
      </c>
      <c r="D27822" s="7" t="n">
        <v>800</v>
      </c>
      <c r="E27822" s="7" t="n">
        <v>1</v>
      </c>
    </row>
    <row r="27823" spans="1:18">
      <c r="A27823" t="s">
        <v>4</v>
      </c>
      <c r="B27823" s="4" t="s">
        <v>5</v>
      </c>
      <c r="C27823" s="4" t="s">
        <v>7</v>
      </c>
      <c r="D27823" s="4" t="s">
        <v>11</v>
      </c>
    </row>
    <row r="27824" spans="1:18">
      <c r="A27824" t="n">
        <v>270043</v>
      </c>
      <c r="B27824" s="23" t="n">
        <v>58</v>
      </c>
      <c r="C27824" s="7" t="n">
        <v>254</v>
      </c>
      <c r="D27824" s="7" t="n">
        <v>0</v>
      </c>
    </row>
    <row r="27825" spans="1:8">
      <c r="A27825" t="s">
        <v>4</v>
      </c>
      <c r="B27825" s="4" t="s">
        <v>5</v>
      </c>
      <c r="C27825" s="4" t="s">
        <v>7</v>
      </c>
      <c r="D27825" s="4" t="s">
        <v>7</v>
      </c>
      <c r="E27825" s="4" t="s">
        <v>13</v>
      </c>
      <c r="F27825" s="4" t="s">
        <v>13</v>
      </c>
      <c r="G27825" s="4" t="s">
        <v>13</v>
      </c>
      <c r="H27825" s="4" t="s">
        <v>11</v>
      </c>
    </row>
    <row r="27826" spans="1:8">
      <c r="A27826" t="n">
        <v>270047</v>
      </c>
      <c r="B27826" s="51" t="n">
        <v>45</v>
      </c>
      <c r="C27826" s="7" t="n">
        <v>2</v>
      </c>
      <c r="D27826" s="7" t="n">
        <v>3</v>
      </c>
      <c r="E27826" s="7" t="n">
        <v>-7.36999988555908</v>
      </c>
      <c r="F27826" s="7" t="n">
        <v>6.32999992370605</v>
      </c>
      <c r="G27826" s="7" t="n">
        <v>29.8199996948242</v>
      </c>
      <c r="H27826" s="7" t="n">
        <v>0</v>
      </c>
    </row>
    <row r="27827" spans="1:8">
      <c r="A27827" t="s">
        <v>4</v>
      </c>
      <c r="B27827" s="4" t="s">
        <v>5</v>
      </c>
      <c r="C27827" s="4" t="s">
        <v>7</v>
      </c>
      <c r="D27827" s="4" t="s">
        <v>7</v>
      </c>
      <c r="E27827" s="4" t="s">
        <v>13</v>
      </c>
      <c r="F27827" s="4" t="s">
        <v>13</v>
      </c>
      <c r="G27827" s="4" t="s">
        <v>13</v>
      </c>
      <c r="H27827" s="4" t="s">
        <v>11</v>
      </c>
      <c r="I27827" s="4" t="s">
        <v>7</v>
      </c>
    </row>
    <row r="27828" spans="1:8">
      <c r="A27828" t="n">
        <v>270064</v>
      </c>
      <c r="B27828" s="51" t="n">
        <v>45</v>
      </c>
      <c r="C27828" s="7" t="n">
        <v>4</v>
      </c>
      <c r="D27828" s="7" t="n">
        <v>3</v>
      </c>
      <c r="E27828" s="7" t="n">
        <v>10.3299999237061</v>
      </c>
      <c r="F27828" s="7" t="n">
        <v>61.2000007629395</v>
      </c>
      <c r="G27828" s="7" t="n">
        <v>356</v>
      </c>
      <c r="H27828" s="7" t="n">
        <v>0</v>
      </c>
      <c r="I27828" s="7" t="n">
        <v>0</v>
      </c>
    </row>
    <row r="27829" spans="1:8">
      <c r="A27829" t="s">
        <v>4</v>
      </c>
      <c r="B27829" s="4" t="s">
        <v>5</v>
      </c>
      <c r="C27829" s="4" t="s">
        <v>7</v>
      </c>
      <c r="D27829" s="4" t="s">
        <v>7</v>
      </c>
      <c r="E27829" s="4" t="s">
        <v>13</v>
      </c>
      <c r="F27829" s="4" t="s">
        <v>11</v>
      </c>
    </row>
    <row r="27830" spans="1:8">
      <c r="A27830" t="n">
        <v>270082</v>
      </c>
      <c r="B27830" s="51" t="n">
        <v>45</v>
      </c>
      <c r="C27830" s="7" t="n">
        <v>5</v>
      </c>
      <c r="D27830" s="7" t="n">
        <v>3</v>
      </c>
      <c r="E27830" s="7" t="n">
        <v>0.800000011920929</v>
      </c>
      <c r="F27830" s="7" t="n">
        <v>0</v>
      </c>
    </row>
    <row r="27831" spans="1:8">
      <c r="A27831" t="s">
        <v>4</v>
      </c>
      <c r="B27831" s="4" t="s">
        <v>5</v>
      </c>
      <c r="C27831" s="4" t="s">
        <v>7</v>
      </c>
      <c r="D27831" s="4" t="s">
        <v>7</v>
      </c>
      <c r="E27831" s="4" t="s">
        <v>13</v>
      </c>
      <c r="F27831" s="4" t="s">
        <v>11</v>
      </c>
    </row>
    <row r="27832" spans="1:8">
      <c r="A27832" t="n">
        <v>270091</v>
      </c>
      <c r="B27832" s="51" t="n">
        <v>45</v>
      </c>
      <c r="C27832" s="7" t="n">
        <v>11</v>
      </c>
      <c r="D27832" s="7" t="n">
        <v>3</v>
      </c>
      <c r="E27832" s="7" t="n">
        <v>40.2999992370605</v>
      </c>
      <c r="F27832" s="7" t="n">
        <v>0</v>
      </c>
    </row>
    <row r="27833" spans="1:8">
      <c r="A27833" t="s">
        <v>4</v>
      </c>
      <c r="B27833" s="4" t="s">
        <v>5</v>
      </c>
      <c r="C27833" s="4" t="s">
        <v>11</v>
      </c>
      <c r="D27833" s="4" t="s">
        <v>7</v>
      </c>
      <c r="E27833" s="4" t="s">
        <v>8</v>
      </c>
      <c r="F27833" s="4" t="s">
        <v>13</v>
      </c>
      <c r="G27833" s="4" t="s">
        <v>13</v>
      </c>
      <c r="H27833" s="4" t="s">
        <v>13</v>
      </c>
    </row>
    <row r="27834" spans="1:8">
      <c r="A27834" t="n">
        <v>270100</v>
      </c>
      <c r="B27834" s="42" t="n">
        <v>48</v>
      </c>
      <c r="C27834" s="7" t="n">
        <v>7</v>
      </c>
      <c r="D27834" s="7" t="n">
        <v>0</v>
      </c>
      <c r="E27834" s="7" t="s">
        <v>583</v>
      </c>
      <c r="F27834" s="7" t="n">
        <v>0</v>
      </c>
      <c r="G27834" s="7" t="n">
        <v>1</v>
      </c>
      <c r="H27834" s="7" t="n">
        <v>0</v>
      </c>
    </row>
    <row r="27835" spans="1:8">
      <c r="A27835" t="s">
        <v>4</v>
      </c>
      <c r="B27835" s="4" t="s">
        <v>5</v>
      </c>
      <c r="C27835" s="4" t="s">
        <v>7</v>
      </c>
    </row>
    <row r="27836" spans="1:8">
      <c r="A27836" t="n">
        <v>270126</v>
      </c>
      <c r="B27836" s="49" t="n">
        <v>116</v>
      </c>
      <c r="C27836" s="7" t="n">
        <v>0</v>
      </c>
    </row>
    <row r="27837" spans="1:8">
      <c r="A27837" t="s">
        <v>4</v>
      </c>
      <c r="B27837" s="4" t="s">
        <v>5</v>
      </c>
      <c r="C27837" s="4" t="s">
        <v>7</v>
      </c>
      <c r="D27837" s="4" t="s">
        <v>11</v>
      </c>
    </row>
    <row r="27838" spans="1:8">
      <c r="A27838" t="n">
        <v>270128</v>
      </c>
      <c r="B27838" s="49" t="n">
        <v>116</v>
      </c>
      <c r="C27838" s="7" t="n">
        <v>2</v>
      </c>
      <c r="D27838" s="7" t="n">
        <v>1</v>
      </c>
    </row>
    <row r="27839" spans="1:8">
      <c r="A27839" t="s">
        <v>4</v>
      </c>
      <c r="B27839" s="4" t="s">
        <v>5</v>
      </c>
      <c r="C27839" s="4" t="s">
        <v>7</v>
      </c>
      <c r="D27839" s="4" t="s">
        <v>15</v>
      </c>
    </row>
    <row r="27840" spans="1:8">
      <c r="A27840" t="n">
        <v>270132</v>
      </c>
      <c r="B27840" s="49" t="n">
        <v>116</v>
      </c>
      <c r="C27840" s="7" t="n">
        <v>5</v>
      </c>
      <c r="D27840" s="7" t="n">
        <v>1077936128</v>
      </c>
    </row>
    <row r="27841" spans="1:9">
      <c r="A27841" t="s">
        <v>4</v>
      </c>
      <c r="B27841" s="4" t="s">
        <v>5</v>
      </c>
      <c r="C27841" s="4" t="s">
        <v>7</v>
      </c>
      <c r="D27841" s="4" t="s">
        <v>11</v>
      </c>
    </row>
    <row r="27842" spans="1:9">
      <c r="A27842" t="n">
        <v>270138</v>
      </c>
      <c r="B27842" s="49" t="n">
        <v>116</v>
      </c>
      <c r="C27842" s="7" t="n">
        <v>6</v>
      </c>
      <c r="D27842" s="7" t="n">
        <v>1</v>
      </c>
    </row>
    <row r="27843" spans="1:9">
      <c r="A27843" t="s">
        <v>4</v>
      </c>
      <c r="B27843" s="4" t="s">
        <v>5</v>
      </c>
      <c r="C27843" s="4" t="s">
        <v>11</v>
      </c>
      <c r="D27843" s="4" t="s">
        <v>11</v>
      </c>
      <c r="E27843" s="4" t="s">
        <v>13</v>
      </c>
      <c r="F27843" s="4" t="s">
        <v>7</v>
      </c>
    </row>
    <row r="27844" spans="1:9">
      <c r="A27844" t="n">
        <v>270142</v>
      </c>
      <c r="B27844" s="73" t="n">
        <v>53</v>
      </c>
      <c r="C27844" s="7" t="n">
        <v>0</v>
      </c>
      <c r="D27844" s="7" t="n">
        <v>7</v>
      </c>
      <c r="E27844" s="7" t="n">
        <v>0</v>
      </c>
      <c r="F27844" s="7" t="n">
        <v>0</v>
      </c>
    </row>
    <row r="27845" spans="1:9">
      <c r="A27845" t="s">
        <v>4</v>
      </c>
      <c r="B27845" s="4" t="s">
        <v>5</v>
      </c>
      <c r="C27845" s="4" t="s">
        <v>7</v>
      </c>
      <c r="D27845" s="4" t="s">
        <v>11</v>
      </c>
    </row>
    <row r="27846" spans="1:9">
      <c r="A27846" t="n">
        <v>270152</v>
      </c>
      <c r="B27846" s="23" t="n">
        <v>58</v>
      </c>
      <c r="C27846" s="7" t="n">
        <v>255</v>
      </c>
      <c r="D27846" s="7" t="n">
        <v>0</v>
      </c>
    </row>
    <row r="27847" spans="1:9">
      <c r="A27847" t="s">
        <v>4</v>
      </c>
      <c r="B27847" s="4" t="s">
        <v>5</v>
      </c>
      <c r="C27847" s="4" t="s">
        <v>11</v>
      </c>
      <c r="D27847" s="4" t="s">
        <v>11</v>
      </c>
      <c r="E27847" s="4" t="s">
        <v>13</v>
      </c>
      <c r="F27847" s="4" t="s">
        <v>7</v>
      </c>
    </row>
    <row r="27848" spans="1:9">
      <c r="A27848" t="n">
        <v>270156</v>
      </c>
      <c r="B27848" s="73" t="n">
        <v>53</v>
      </c>
      <c r="C27848" s="7" t="n">
        <v>7</v>
      </c>
      <c r="D27848" s="7" t="n">
        <v>0</v>
      </c>
      <c r="E27848" s="7" t="n">
        <v>5</v>
      </c>
      <c r="F27848" s="7" t="n">
        <v>0</v>
      </c>
    </row>
    <row r="27849" spans="1:9">
      <c r="A27849" t="s">
        <v>4</v>
      </c>
      <c r="B27849" s="4" t="s">
        <v>5</v>
      </c>
      <c r="C27849" s="4" t="s">
        <v>11</v>
      </c>
    </row>
    <row r="27850" spans="1:9">
      <c r="A27850" t="n">
        <v>270166</v>
      </c>
      <c r="B27850" s="66" t="n">
        <v>54</v>
      </c>
      <c r="C27850" s="7" t="n">
        <v>7</v>
      </c>
    </row>
    <row r="27851" spans="1:9">
      <c r="A27851" t="s">
        <v>4</v>
      </c>
      <c r="B27851" s="4" t="s">
        <v>5</v>
      </c>
      <c r="C27851" s="4" t="s">
        <v>7</v>
      </c>
      <c r="D27851" s="4" t="s">
        <v>7</v>
      </c>
    </row>
    <row r="27852" spans="1:9">
      <c r="A27852" t="n">
        <v>270169</v>
      </c>
      <c r="B27852" s="13" t="n">
        <v>49</v>
      </c>
      <c r="C27852" s="7" t="n">
        <v>2</v>
      </c>
      <c r="D27852" s="7" t="n">
        <v>0</v>
      </c>
    </row>
    <row r="27853" spans="1:9">
      <c r="A27853" t="s">
        <v>4</v>
      </c>
      <c r="B27853" s="4" t="s">
        <v>5</v>
      </c>
      <c r="C27853" s="4" t="s">
        <v>7</v>
      </c>
      <c r="D27853" s="4" t="s">
        <v>11</v>
      </c>
      <c r="E27853" s="4" t="s">
        <v>15</v>
      </c>
      <c r="F27853" s="4" t="s">
        <v>11</v>
      </c>
      <c r="G27853" s="4" t="s">
        <v>15</v>
      </c>
      <c r="H27853" s="4" t="s">
        <v>7</v>
      </c>
    </row>
    <row r="27854" spans="1:9">
      <c r="A27854" t="n">
        <v>270172</v>
      </c>
      <c r="B27854" s="13" t="n">
        <v>49</v>
      </c>
      <c r="C27854" s="7" t="n">
        <v>0</v>
      </c>
      <c r="D27854" s="7" t="n">
        <v>551</v>
      </c>
      <c r="E27854" s="7" t="n">
        <v>1061997773</v>
      </c>
      <c r="F27854" s="7" t="n">
        <v>0</v>
      </c>
      <c r="G27854" s="7" t="n">
        <v>0</v>
      </c>
      <c r="H27854" s="7" t="n">
        <v>0</v>
      </c>
    </row>
    <row r="27855" spans="1:9">
      <c r="A27855" t="s">
        <v>4</v>
      </c>
      <c r="B27855" s="4" t="s">
        <v>5</v>
      </c>
      <c r="C27855" s="4" t="s">
        <v>7</v>
      </c>
      <c r="D27855" s="4" t="s">
        <v>11</v>
      </c>
    </row>
    <row r="27856" spans="1:9">
      <c r="A27856" t="n">
        <v>270187</v>
      </c>
      <c r="B27856" s="13" t="n">
        <v>49</v>
      </c>
      <c r="C27856" s="7" t="n">
        <v>6</v>
      </c>
      <c r="D27856" s="7" t="n">
        <v>551</v>
      </c>
    </row>
    <row r="27857" spans="1:8">
      <c r="A27857" t="s">
        <v>4</v>
      </c>
      <c r="B27857" s="4" t="s">
        <v>5</v>
      </c>
      <c r="C27857" s="4" t="s">
        <v>11</v>
      </c>
    </row>
    <row r="27858" spans="1:8">
      <c r="A27858" t="n">
        <v>270191</v>
      </c>
      <c r="B27858" s="29" t="n">
        <v>16</v>
      </c>
      <c r="C27858" s="7" t="n">
        <v>500</v>
      </c>
    </row>
    <row r="27859" spans="1:8">
      <c r="A27859" t="s">
        <v>4</v>
      </c>
      <c r="B27859" s="4" t="s">
        <v>5</v>
      </c>
      <c r="C27859" s="4" t="s">
        <v>7</v>
      </c>
      <c r="D27859" s="4" t="s">
        <v>11</v>
      </c>
      <c r="E27859" s="4" t="s">
        <v>8</v>
      </c>
    </row>
    <row r="27860" spans="1:8">
      <c r="A27860" t="n">
        <v>270194</v>
      </c>
      <c r="B27860" s="38" t="n">
        <v>51</v>
      </c>
      <c r="C27860" s="7" t="n">
        <v>4</v>
      </c>
      <c r="D27860" s="7" t="n">
        <v>7</v>
      </c>
      <c r="E27860" s="7" t="s">
        <v>494</v>
      </c>
    </row>
    <row r="27861" spans="1:8">
      <c r="A27861" t="s">
        <v>4</v>
      </c>
      <c r="B27861" s="4" t="s">
        <v>5</v>
      </c>
      <c r="C27861" s="4" t="s">
        <v>11</v>
      </c>
    </row>
    <row r="27862" spans="1:8">
      <c r="A27862" t="n">
        <v>270207</v>
      </c>
      <c r="B27862" s="29" t="n">
        <v>16</v>
      </c>
      <c r="C27862" s="7" t="n">
        <v>0</v>
      </c>
    </row>
    <row r="27863" spans="1:8">
      <c r="A27863" t="s">
        <v>4</v>
      </c>
      <c r="B27863" s="4" t="s">
        <v>5</v>
      </c>
      <c r="C27863" s="4" t="s">
        <v>11</v>
      </c>
      <c r="D27863" s="4" t="s">
        <v>7</v>
      </c>
      <c r="E27863" s="4" t="s">
        <v>15</v>
      </c>
      <c r="F27863" s="4" t="s">
        <v>55</v>
      </c>
      <c r="G27863" s="4" t="s">
        <v>7</v>
      </c>
      <c r="H27863" s="4" t="s">
        <v>7</v>
      </c>
      <c r="I27863" s="4" t="s">
        <v>7</v>
      </c>
      <c r="J27863" s="4" t="s">
        <v>15</v>
      </c>
      <c r="K27863" s="4" t="s">
        <v>55</v>
      </c>
      <c r="L27863" s="4" t="s">
        <v>7</v>
      </c>
      <c r="M27863" s="4" t="s">
        <v>7</v>
      </c>
      <c r="N27863" s="4" t="s">
        <v>7</v>
      </c>
      <c r="O27863" s="4" t="s">
        <v>15</v>
      </c>
      <c r="P27863" s="4" t="s">
        <v>55</v>
      </c>
      <c r="Q27863" s="4" t="s">
        <v>7</v>
      </c>
      <c r="R27863" s="4" t="s">
        <v>7</v>
      </c>
      <c r="S27863" s="4" t="s">
        <v>7</v>
      </c>
      <c r="T27863" s="4" t="s">
        <v>15</v>
      </c>
      <c r="U27863" s="4" t="s">
        <v>55</v>
      </c>
      <c r="V27863" s="4" t="s">
        <v>7</v>
      </c>
      <c r="W27863" s="4" t="s">
        <v>7</v>
      </c>
    </row>
    <row r="27864" spans="1:8">
      <c r="A27864" t="n">
        <v>270210</v>
      </c>
      <c r="B27864" s="55" t="n">
        <v>26</v>
      </c>
      <c r="C27864" s="7" t="n">
        <v>7</v>
      </c>
      <c r="D27864" s="7" t="n">
        <v>17</v>
      </c>
      <c r="E27864" s="7" t="n">
        <v>4800</v>
      </c>
      <c r="F27864" s="7" t="s">
        <v>584</v>
      </c>
      <c r="G27864" s="7" t="n">
        <v>2</v>
      </c>
      <c r="H27864" s="7" t="n">
        <v>3</v>
      </c>
      <c r="I27864" s="7" t="n">
        <v>17</v>
      </c>
      <c r="J27864" s="7" t="n">
        <v>4801</v>
      </c>
      <c r="K27864" s="7" t="s">
        <v>585</v>
      </c>
      <c r="L27864" s="7" t="n">
        <v>2</v>
      </c>
      <c r="M27864" s="7" t="n">
        <v>3</v>
      </c>
      <c r="N27864" s="7" t="n">
        <v>17</v>
      </c>
      <c r="O27864" s="7" t="n">
        <v>4802</v>
      </c>
      <c r="P27864" s="7" t="s">
        <v>586</v>
      </c>
      <c r="Q27864" s="7" t="n">
        <v>2</v>
      </c>
      <c r="R27864" s="7" t="n">
        <v>3</v>
      </c>
      <c r="S27864" s="7" t="n">
        <v>17</v>
      </c>
      <c r="T27864" s="7" t="n">
        <v>4803</v>
      </c>
      <c r="U27864" s="7" t="s">
        <v>587</v>
      </c>
      <c r="V27864" s="7" t="n">
        <v>2</v>
      </c>
      <c r="W27864" s="7" t="n">
        <v>0</v>
      </c>
    </row>
    <row r="27865" spans="1:8">
      <c r="A27865" t="s">
        <v>4</v>
      </c>
      <c r="B27865" s="4" t="s">
        <v>5</v>
      </c>
    </row>
    <row r="27866" spans="1:8">
      <c r="A27866" t="n">
        <v>270549</v>
      </c>
      <c r="B27866" s="27" t="n">
        <v>28</v>
      </c>
    </row>
    <row r="27867" spans="1:8">
      <c r="A27867" t="s">
        <v>4</v>
      </c>
      <c r="B27867" s="4" t="s">
        <v>5</v>
      </c>
      <c r="C27867" s="4" t="s">
        <v>7</v>
      </c>
      <c r="D27867" s="4" t="s">
        <v>11</v>
      </c>
      <c r="E27867" s="4" t="s">
        <v>8</v>
      </c>
    </row>
    <row r="27868" spans="1:8">
      <c r="A27868" t="n">
        <v>270550</v>
      </c>
      <c r="B27868" s="38" t="n">
        <v>51</v>
      </c>
      <c r="C27868" s="7" t="n">
        <v>4</v>
      </c>
      <c r="D27868" s="7" t="n">
        <v>0</v>
      </c>
      <c r="E27868" s="7" t="s">
        <v>304</v>
      </c>
    </row>
    <row r="27869" spans="1:8">
      <c r="A27869" t="s">
        <v>4</v>
      </c>
      <c r="B27869" s="4" t="s">
        <v>5</v>
      </c>
      <c r="C27869" s="4" t="s">
        <v>11</v>
      </c>
    </row>
    <row r="27870" spans="1:8">
      <c r="A27870" t="n">
        <v>270563</v>
      </c>
      <c r="B27870" s="29" t="n">
        <v>16</v>
      </c>
      <c r="C27870" s="7" t="n">
        <v>0</v>
      </c>
    </row>
    <row r="27871" spans="1:8">
      <c r="A27871" t="s">
        <v>4</v>
      </c>
      <c r="B27871" s="4" t="s">
        <v>5</v>
      </c>
      <c r="C27871" s="4" t="s">
        <v>11</v>
      </c>
      <c r="D27871" s="4" t="s">
        <v>7</v>
      </c>
      <c r="E27871" s="4" t="s">
        <v>15</v>
      </c>
      <c r="F27871" s="4" t="s">
        <v>55</v>
      </c>
      <c r="G27871" s="4" t="s">
        <v>7</v>
      </c>
      <c r="H27871" s="4" t="s">
        <v>7</v>
      </c>
    </row>
    <row r="27872" spans="1:8">
      <c r="A27872" t="n">
        <v>270566</v>
      </c>
      <c r="B27872" s="55" t="n">
        <v>26</v>
      </c>
      <c r="C27872" s="7" t="n">
        <v>0</v>
      </c>
      <c r="D27872" s="7" t="n">
        <v>17</v>
      </c>
      <c r="E27872" s="7" t="n">
        <v>63926</v>
      </c>
      <c r="F27872" s="7" t="s">
        <v>588</v>
      </c>
      <c r="G27872" s="7" t="n">
        <v>2</v>
      </c>
      <c r="H27872" s="7" t="n">
        <v>0</v>
      </c>
    </row>
    <row r="27873" spans="1:23">
      <c r="A27873" t="s">
        <v>4</v>
      </c>
      <c r="B27873" s="4" t="s">
        <v>5</v>
      </c>
    </row>
    <row r="27874" spans="1:23">
      <c r="A27874" t="n">
        <v>270605</v>
      </c>
      <c r="B27874" s="27" t="n">
        <v>28</v>
      </c>
    </row>
    <row r="27875" spans="1:23">
      <c r="A27875" t="s">
        <v>4</v>
      </c>
      <c r="B27875" s="4" t="s">
        <v>5</v>
      </c>
      <c r="C27875" s="4" t="s">
        <v>7</v>
      </c>
      <c r="D27875" s="4" t="s">
        <v>11</v>
      </c>
      <c r="E27875" s="4" t="s">
        <v>8</v>
      </c>
    </row>
    <row r="27876" spans="1:23">
      <c r="A27876" t="n">
        <v>270606</v>
      </c>
      <c r="B27876" s="38" t="n">
        <v>51</v>
      </c>
      <c r="C27876" s="7" t="n">
        <v>4</v>
      </c>
      <c r="D27876" s="7" t="n">
        <v>7</v>
      </c>
      <c r="E27876" s="7" t="s">
        <v>235</v>
      </c>
    </row>
    <row r="27877" spans="1:23">
      <c r="A27877" t="s">
        <v>4</v>
      </c>
      <c r="B27877" s="4" t="s">
        <v>5</v>
      </c>
      <c r="C27877" s="4" t="s">
        <v>11</v>
      </c>
    </row>
    <row r="27878" spans="1:23">
      <c r="A27878" t="n">
        <v>270620</v>
      </c>
      <c r="B27878" s="29" t="n">
        <v>16</v>
      </c>
      <c r="C27878" s="7" t="n">
        <v>0</v>
      </c>
    </row>
    <row r="27879" spans="1:23">
      <c r="A27879" t="s">
        <v>4</v>
      </c>
      <c r="B27879" s="4" t="s">
        <v>5</v>
      </c>
      <c r="C27879" s="4" t="s">
        <v>11</v>
      </c>
      <c r="D27879" s="4" t="s">
        <v>7</v>
      </c>
      <c r="E27879" s="4" t="s">
        <v>15</v>
      </c>
      <c r="F27879" s="4" t="s">
        <v>55</v>
      </c>
      <c r="G27879" s="4" t="s">
        <v>7</v>
      </c>
      <c r="H27879" s="4" t="s">
        <v>7</v>
      </c>
      <c r="I27879" s="4" t="s">
        <v>7</v>
      </c>
      <c r="J27879" s="4" t="s">
        <v>15</v>
      </c>
      <c r="K27879" s="4" t="s">
        <v>55</v>
      </c>
      <c r="L27879" s="4" t="s">
        <v>7</v>
      </c>
      <c r="M27879" s="4" t="s">
        <v>7</v>
      </c>
      <c r="N27879" s="4" t="s">
        <v>7</v>
      </c>
      <c r="O27879" s="4" t="s">
        <v>15</v>
      </c>
      <c r="P27879" s="4" t="s">
        <v>55</v>
      </c>
      <c r="Q27879" s="4" t="s">
        <v>7</v>
      </c>
      <c r="R27879" s="4" t="s">
        <v>7</v>
      </c>
    </row>
    <row r="27880" spans="1:23">
      <c r="A27880" t="n">
        <v>270623</v>
      </c>
      <c r="B27880" s="55" t="n">
        <v>26</v>
      </c>
      <c r="C27880" s="7" t="n">
        <v>7</v>
      </c>
      <c r="D27880" s="7" t="n">
        <v>17</v>
      </c>
      <c r="E27880" s="7" t="n">
        <v>4804</v>
      </c>
      <c r="F27880" s="7" t="s">
        <v>589</v>
      </c>
      <c r="G27880" s="7" t="n">
        <v>2</v>
      </c>
      <c r="H27880" s="7" t="n">
        <v>3</v>
      </c>
      <c r="I27880" s="7" t="n">
        <v>17</v>
      </c>
      <c r="J27880" s="7" t="n">
        <v>4805</v>
      </c>
      <c r="K27880" s="7" t="s">
        <v>590</v>
      </c>
      <c r="L27880" s="7" t="n">
        <v>2</v>
      </c>
      <c r="M27880" s="7" t="n">
        <v>3</v>
      </c>
      <c r="N27880" s="7" t="n">
        <v>17</v>
      </c>
      <c r="O27880" s="7" t="n">
        <v>4806</v>
      </c>
      <c r="P27880" s="7" t="s">
        <v>591</v>
      </c>
      <c r="Q27880" s="7" t="n">
        <v>2</v>
      </c>
      <c r="R27880" s="7" t="n">
        <v>0</v>
      </c>
    </row>
    <row r="27881" spans="1:23">
      <c r="A27881" t="s">
        <v>4</v>
      </c>
      <c r="B27881" s="4" t="s">
        <v>5</v>
      </c>
    </row>
    <row r="27882" spans="1:23">
      <c r="A27882" t="n">
        <v>270822</v>
      </c>
      <c r="B27882" s="27" t="n">
        <v>28</v>
      </c>
    </row>
    <row r="27883" spans="1:23">
      <c r="A27883" t="s">
        <v>4</v>
      </c>
      <c r="B27883" s="4" t="s">
        <v>5</v>
      </c>
      <c r="C27883" s="4" t="s">
        <v>7</v>
      </c>
      <c r="D27883" s="4" t="s">
        <v>11</v>
      </c>
      <c r="E27883" s="4" t="s">
        <v>8</v>
      </c>
    </row>
    <row r="27884" spans="1:23">
      <c r="A27884" t="n">
        <v>270823</v>
      </c>
      <c r="B27884" s="38" t="n">
        <v>51</v>
      </c>
      <c r="C27884" s="7" t="n">
        <v>4</v>
      </c>
      <c r="D27884" s="7" t="n">
        <v>0</v>
      </c>
      <c r="E27884" s="7" t="s">
        <v>242</v>
      </c>
    </row>
    <row r="27885" spans="1:23">
      <c r="A27885" t="s">
        <v>4</v>
      </c>
      <c r="B27885" s="4" t="s">
        <v>5</v>
      </c>
      <c r="C27885" s="4" t="s">
        <v>11</v>
      </c>
    </row>
    <row r="27886" spans="1:23">
      <c r="A27886" t="n">
        <v>270837</v>
      </c>
      <c r="B27886" s="29" t="n">
        <v>16</v>
      </c>
      <c r="C27886" s="7" t="n">
        <v>0</v>
      </c>
    </row>
    <row r="27887" spans="1:23">
      <c r="A27887" t="s">
        <v>4</v>
      </c>
      <c r="B27887" s="4" t="s">
        <v>5</v>
      </c>
      <c r="C27887" s="4" t="s">
        <v>11</v>
      </c>
      <c r="D27887" s="4" t="s">
        <v>7</v>
      </c>
      <c r="E27887" s="4" t="s">
        <v>15</v>
      </c>
      <c r="F27887" s="4" t="s">
        <v>55</v>
      </c>
      <c r="G27887" s="4" t="s">
        <v>7</v>
      </c>
      <c r="H27887" s="4" t="s">
        <v>7</v>
      </c>
    </row>
    <row r="27888" spans="1:23">
      <c r="A27888" t="n">
        <v>270840</v>
      </c>
      <c r="B27888" s="55" t="n">
        <v>26</v>
      </c>
      <c r="C27888" s="7" t="n">
        <v>0</v>
      </c>
      <c r="D27888" s="7" t="n">
        <v>17</v>
      </c>
      <c r="E27888" s="7" t="n">
        <v>64268</v>
      </c>
      <c r="F27888" s="7" t="s">
        <v>446</v>
      </c>
      <c r="G27888" s="7" t="n">
        <v>2</v>
      </c>
      <c r="H27888" s="7" t="n">
        <v>0</v>
      </c>
    </row>
    <row r="27889" spans="1:18">
      <c r="A27889" t="s">
        <v>4</v>
      </c>
      <c r="B27889" s="4" t="s">
        <v>5</v>
      </c>
    </row>
    <row r="27890" spans="1:18">
      <c r="A27890" t="n">
        <v>270856</v>
      </c>
      <c r="B27890" s="27" t="n">
        <v>28</v>
      </c>
    </row>
    <row r="27891" spans="1:18">
      <c r="A27891" t="s">
        <v>4</v>
      </c>
      <c r="B27891" s="4" t="s">
        <v>5</v>
      </c>
      <c r="C27891" s="4" t="s">
        <v>7</v>
      </c>
      <c r="D27891" s="4" t="s">
        <v>11</v>
      </c>
      <c r="E27891" s="4" t="s">
        <v>8</v>
      </c>
    </row>
    <row r="27892" spans="1:18">
      <c r="A27892" t="n">
        <v>270857</v>
      </c>
      <c r="B27892" s="38" t="n">
        <v>51</v>
      </c>
      <c r="C27892" s="7" t="n">
        <v>4</v>
      </c>
      <c r="D27892" s="7" t="n">
        <v>7</v>
      </c>
      <c r="E27892" s="7" t="s">
        <v>235</v>
      </c>
    </row>
    <row r="27893" spans="1:18">
      <c r="A27893" t="s">
        <v>4</v>
      </c>
      <c r="B27893" s="4" t="s">
        <v>5</v>
      </c>
      <c r="C27893" s="4" t="s">
        <v>11</v>
      </c>
    </row>
    <row r="27894" spans="1:18">
      <c r="A27894" t="n">
        <v>270871</v>
      </c>
      <c r="B27894" s="29" t="n">
        <v>16</v>
      </c>
      <c r="C27894" s="7" t="n">
        <v>0</v>
      </c>
    </row>
    <row r="27895" spans="1:18">
      <c r="A27895" t="s">
        <v>4</v>
      </c>
      <c r="B27895" s="4" t="s">
        <v>5</v>
      </c>
      <c r="C27895" s="4" t="s">
        <v>11</v>
      </c>
      <c r="D27895" s="4" t="s">
        <v>7</v>
      </c>
      <c r="E27895" s="4" t="s">
        <v>15</v>
      </c>
      <c r="F27895" s="4" t="s">
        <v>55</v>
      </c>
      <c r="G27895" s="4" t="s">
        <v>7</v>
      </c>
      <c r="H27895" s="4" t="s">
        <v>7</v>
      </c>
      <c r="I27895" s="4" t="s">
        <v>7</v>
      </c>
      <c r="J27895" s="4" t="s">
        <v>15</v>
      </c>
      <c r="K27895" s="4" t="s">
        <v>55</v>
      </c>
      <c r="L27895" s="4" t="s">
        <v>7</v>
      </c>
      <c r="M27895" s="4" t="s">
        <v>7</v>
      </c>
      <c r="N27895" s="4" t="s">
        <v>7</v>
      </c>
      <c r="O27895" s="4" t="s">
        <v>15</v>
      </c>
      <c r="P27895" s="4" t="s">
        <v>55</v>
      </c>
      <c r="Q27895" s="4" t="s">
        <v>7</v>
      </c>
      <c r="R27895" s="4" t="s">
        <v>7</v>
      </c>
      <c r="S27895" s="4" t="s">
        <v>7</v>
      </c>
      <c r="T27895" s="4" t="s">
        <v>15</v>
      </c>
      <c r="U27895" s="4" t="s">
        <v>55</v>
      </c>
      <c r="V27895" s="4" t="s">
        <v>7</v>
      </c>
      <c r="W27895" s="4" t="s">
        <v>7</v>
      </c>
      <c r="X27895" s="4" t="s">
        <v>7</v>
      </c>
      <c r="Y27895" s="4" t="s">
        <v>15</v>
      </c>
      <c r="Z27895" s="4" t="s">
        <v>55</v>
      </c>
      <c r="AA27895" s="4" t="s">
        <v>7</v>
      </c>
      <c r="AB27895" s="4" t="s">
        <v>7</v>
      </c>
      <c r="AC27895" s="4" t="s">
        <v>7</v>
      </c>
      <c r="AD27895" s="4" t="s">
        <v>15</v>
      </c>
      <c r="AE27895" s="4" t="s">
        <v>55</v>
      </c>
      <c r="AF27895" s="4" t="s">
        <v>7</v>
      </c>
      <c r="AG27895" s="4" t="s">
        <v>7</v>
      </c>
    </row>
    <row r="27896" spans="1:18">
      <c r="A27896" t="n">
        <v>270874</v>
      </c>
      <c r="B27896" s="55" t="n">
        <v>26</v>
      </c>
      <c r="C27896" s="7" t="n">
        <v>7</v>
      </c>
      <c r="D27896" s="7" t="n">
        <v>17</v>
      </c>
      <c r="E27896" s="7" t="n">
        <v>4807</v>
      </c>
      <c r="F27896" s="7" t="s">
        <v>592</v>
      </c>
      <c r="G27896" s="7" t="n">
        <v>2</v>
      </c>
      <c r="H27896" s="7" t="n">
        <v>3</v>
      </c>
      <c r="I27896" s="7" t="n">
        <v>17</v>
      </c>
      <c r="J27896" s="7" t="n">
        <v>4808</v>
      </c>
      <c r="K27896" s="7" t="s">
        <v>593</v>
      </c>
      <c r="L27896" s="7" t="n">
        <v>2</v>
      </c>
      <c r="M27896" s="7" t="n">
        <v>3</v>
      </c>
      <c r="N27896" s="7" t="n">
        <v>17</v>
      </c>
      <c r="O27896" s="7" t="n">
        <v>4809</v>
      </c>
      <c r="P27896" s="7" t="s">
        <v>594</v>
      </c>
      <c r="Q27896" s="7" t="n">
        <v>2</v>
      </c>
      <c r="R27896" s="7" t="n">
        <v>3</v>
      </c>
      <c r="S27896" s="7" t="n">
        <v>17</v>
      </c>
      <c r="T27896" s="7" t="n">
        <v>4810</v>
      </c>
      <c r="U27896" s="7" t="s">
        <v>595</v>
      </c>
      <c r="V27896" s="7" t="n">
        <v>2</v>
      </c>
      <c r="W27896" s="7" t="n">
        <v>3</v>
      </c>
      <c r="X27896" s="7" t="n">
        <v>17</v>
      </c>
      <c r="Y27896" s="7" t="n">
        <v>4811</v>
      </c>
      <c r="Z27896" s="7" t="s">
        <v>596</v>
      </c>
      <c r="AA27896" s="7" t="n">
        <v>2</v>
      </c>
      <c r="AB27896" s="7" t="n">
        <v>3</v>
      </c>
      <c r="AC27896" s="7" t="n">
        <v>17</v>
      </c>
      <c r="AD27896" s="7" t="n">
        <v>4812</v>
      </c>
      <c r="AE27896" s="7" t="s">
        <v>597</v>
      </c>
      <c r="AF27896" s="7" t="n">
        <v>2</v>
      </c>
      <c r="AG27896" s="7" t="n">
        <v>0</v>
      </c>
    </row>
    <row r="27897" spans="1:18">
      <c r="A27897" t="s">
        <v>4</v>
      </c>
      <c r="B27897" s="4" t="s">
        <v>5</v>
      </c>
    </row>
    <row r="27898" spans="1:18">
      <c r="A27898" t="n">
        <v>271441</v>
      </c>
      <c r="B27898" s="27" t="n">
        <v>28</v>
      </c>
    </row>
    <row r="27899" spans="1:18">
      <c r="A27899" t="s">
        <v>4</v>
      </c>
      <c r="B27899" s="4" t="s">
        <v>5</v>
      </c>
      <c r="C27899" s="4" t="s">
        <v>7</v>
      </c>
      <c r="D27899" s="4" t="s">
        <v>11</v>
      </c>
      <c r="E27899" s="4" t="s">
        <v>8</v>
      </c>
    </row>
    <row r="27900" spans="1:18">
      <c r="A27900" t="n">
        <v>271442</v>
      </c>
      <c r="B27900" s="38" t="n">
        <v>51</v>
      </c>
      <c r="C27900" s="7" t="n">
        <v>4</v>
      </c>
      <c r="D27900" s="7" t="n">
        <v>0</v>
      </c>
      <c r="E27900" s="7" t="s">
        <v>206</v>
      </c>
    </row>
    <row r="27901" spans="1:18">
      <c r="A27901" t="s">
        <v>4</v>
      </c>
      <c r="B27901" s="4" t="s">
        <v>5</v>
      </c>
      <c r="C27901" s="4" t="s">
        <v>11</v>
      </c>
    </row>
    <row r="27902" spans="1:18">
      <c r="A27902" t="n">
        <v>271457</v>
      </c>
      <c r="B27902" s="29" t="n">
        <v>16</v>
      </c>
      <c r="C27902" s="7" t="n">
        <v>0</v>
      </c>
    </row>
    <row r="27903" spans="1:18">
      <c r="A27903" t="s">
        <v>4</v>
      </c>
      <c r="B27903" s="4" t="s">
        <v>5</v>
      </c>
      <c r="C27903" s="4" t="s">
        <v>11</v>
      </c>
      <c r="D27903" s="4" t="s">
        <v>7</v>
      </c>
      <c r="E27903" s="4" t="s">
        <v>15</v>
      </c>
      <c r="F27903" s="4" t="s">
        <v>55</v>
      </c>
      <c r="G27903" s="4" t="s">
        <v>7</v>
      </c>
      <c r="H27903" s="4" t="s">
        <v>7</v>
      </c>
    </row>
    <row r="27904" spans="1:18">
      <c r="A27904" t="n">
        <v>271460</v>
      </c>
      <c r="B27904" s="55" t="n">
        <v>26</v>
      </c>
      <c r="C27904" s="7" t="n">
        <v>0</v>
      </c>
      <c r="D27904" s="7" t="n">
        <v>17</v>
      </c>
      <c r="E27904" s="7" t="n">
        <v>64268</v>
      </c>
      <c r="F27904" s="7" t="s">
        <v>446</v>
      </c>
      <c r="G27904" s="7" t="n">
        <v>2</v>
      </c>
      <c r="H27904" s="7" t="n">
        <v>0</v>
      </c>
    </row>
    <row r="27905" spans="1:33">
      <c r="A27905" t="s">
        <v>4</v>
      </c>
      <c r="B27905" s="4" t="s">
        <v>5</v>
      </c>
    </row>
    <row r="27906" spans="1:33">
      <c r="A27906" t="n">
        <v>271476</v>
      </c>
      <c r="B27906" s="27" t="n">
        <v>28</v>
      </c>
    </row>
    <row r="27907" spans="1:33">
      <c r="A27907" t="s">
        <v>4</v>
      </c>
      <c r="B27907" s="4" t="s">
        <v>5</v>
      </c>
      <c r="C27907" s="4" t="s">
        <v>7</v>
      </c>
      <c r="D27907" s="4" t="s">
        <v>11</v>
      </c>
      <c r="E27907" s="4" t="s">
        <v>8</v>
      </c>
    </row>
    <row r="27908" spans="1:33">
      <c r="A27908" t="n">
        <v>271477</v>
      </c>
      <c r="B27908" s="38" t="n">
        <v>51</v>
      </c>
      <c r="C27908" s="7" t="n">
        <v>4</v>
      </c>
      <c r="D27908" s="7" t="n">
        <v>7</v>
      </c>
      <c r="E27908" s="7" t="s">
        <v>235</v>
      </c>
    </row>
    <row r="27909" spans="1:33">
      <c r="A27909" t="s">
        <v>4</v>
      </c>
      <c r="B27909" s="4" t="s">
        <v>5</v>
      </c>
      <c r="C27909" s="4" t="s">
        <v>11</v>
      </c>
    </row>
    <row r="27910" spans="1:33">
      <c r="A27910" t="n">
        <v>271491</v>
      </c>
      <c r="B27910" s="29" t="n">
        <v>16</v>
      </c>
      <c r="C27910" s="7" t="n">
        <v>0</v>
      </c>
    </row>
    <row r="27911" spans="1:33">
      <c r="A27911" t="s">
        <v>4</v>
      </c>
      <c r="B27911" s="4" t="s">
        <v>5</v>
      </c>
      <c r="C27911" s="4" t="s">
        <v>11</v>
      </c>
      <c r="D27911" s="4" t="s">
        <v>7</v>
      </c>
      <c r="E27911" s="4" t="s">
        <v>15</v>
      </c>
      <c r="F27911" s="4" t="s">
        <v>55</v>
      </c>
      <c r="G27911" s="4" t="s">
        <v>7</v>
      </c>
      <c r="H27911" s="4" t="s">
        <v>7</v>
      </c>
      <c r="I27911" s="4" t="s">
        <v>7</v>
      </c>
      <c r="J27911" s="4" t="s">
        <v>15</v>
      </c>
      <c r="K27911" s="4" t="s">
        <v>55</v>
      </c>
      <c r="L27911" s="4" t="s">
        <v>7</v>
      </c>
      <c r="M27911" s="4" t="s">
        <v>7</v>
      </c>
      <c r="N27911" s="4" t="s">
        <v>7</v>
      </c>
      <c r="O27911" s="4" t="s">
        <v>15</v>
      </c>
      <c r="P27911" s="4" t="s">
        <v>55</v>
      </c>
      <c r="Q27911" s="4" t="s">
        <v>7</v>
      </c>
      <c r="R27911" s="4" t="s">
        <v>7</v>
      </c>
    </row>
    <row r="27912" spans="1:33">
      <c r="A27912" t="n">
        <v>271494</v>
      </c>
      <c r="B27912" s="55" t="n">
        <v>26</v>
      </c>
      <c r="C27912" s="7" t="n">
        <v>7</v>
      </c>
      <c r="D27912" s="7" t="n">
        <v>17</v>
      </c>
      <c r="E27912" s="7" t="n">
        <v>4813</v>
      </c>
      <c r="F27912" s="7" t="s">
        <v>598</v>
      </c>
      <c r="G27912" s="7" t="n">
        <v>2</v>
      </c>
      <c r="H27912" s="7" t="n">
        <v>3</v>
      </c>
      <c r="I27912" s="7" t="n">
        <v>17</v>
      </c>
      <c r="J27912" s="7" t="n">
        <v>4814</v>
      </c>
      <c r="K27912" s="7" t="s">
        <v>599</v>
      </c>
      <c r="L27912" s="7" t="n">
        <v>2</v>
      </c>
      <c r="M27912" s="7" t="n">
        <v>3</v>
      </c>
      <c r="N27912" s="7" t="n">
        <v>17</v>
      </c>
      <c r="O27912" s="7" t="n">
        <v>4815</v>
      </c>
      <c r="P27912" s="7" t="s">
        <v>600</v>
      </c>
      <c r="Q27912" s="7" t="n">
        <v>2</v>
      </c>
      <c r="R27912" s="7" t="n">
        <v>0</v>
      </c>
    </row>
    <row r="27913" spans="1:33">
      <c r="A27913" t="s">
        <v>4</v>
      </c>
      <c r="B27913" s="4" t="s">
        <v>5</v>
      </c>
    </row>
    <row r="27914" spans="1:33">
      <c r="A27914" t="n">
        <v>271821</v>
      </c>
      <c r="B27914" s="27" t="n">
        <v>28</v>
      </c>
    </row>
    <row r="27915" spans="1:33">
      <c r="A27915" t="s">
        <v>4</v>
      </c>
      <c r="B27915" s="4" t="s">
        <v>5</v>
      </c>
      <c r="C27915" s="4" t="s">
        <v>11</v>
      </c>
      <c r="D27915" s="4" t="s">
        <v>7</v>
      </c>
    </row>
    <row r="27916" spans="1:33">
      <c r="A27916" t="n">
        <v>271822</v>
      </c>
      <c r="B27916" s="68" t="n">
        <v>89</v>
      </c>
      <c r="C27916" s="7" t="n">
        <v>65533</v>
      </c>
      <c r="D27916" s="7" t="n">
        <v>1</v>
      </c>
    </row>
    <row r="27917" spans="1:33">
      <c r="A27917" t="s">
        <v>4</v>
      </c>
      <c r="B27917" s="4" t="s">
        <v>5</v>
      </c>
      <c r="C27917" s="4" t="s">
        <v>7</v>
      </c>
      <c r="D27917" s="4" t="s">
        <v>11</v>
      </c>
      <c r="E27917" s="4" t="s">
        <v>13</v>
      </c>
    </row>
    <row r="27918" spans="1:33">
      <c r="A27918" t="n">
        <v>271826</v>
      </c>
      <c r="B27918" s="23" t="n">
        <v>58</v>
      </c>
      <c r="C27918" s="7" t="n">
        <v>101</v>
      </c>
      <c r="D27918" s="7" t="n">
        <v>500</v>
      </c>
      <c r="E27918" s="7" t="n">
        <v>1</v>
      </c>
    </row>
    <row r="27919" spans="1:33">
      <c r="A27919" t="s">
        <v>4</v>
      </c>
      <c r="B27919" s="4" t="s">
        <v>5</v>
      </c>
      <c r="C27919" s="4" t="s">
        <v>7</v>
      </c>
      <c r="D27919" s="4" t="s">
        <v>11</v>
      </c>
    </row>
    <row r="27920" spans="1:33">
      <c r="A27920" t="n">
        <v>271834</v>
      </c>
      <c r="B27920" s="23" t="n">
        <v>58</v>
      </c>
      <c r="C27920" s="7" t="n">
        <v>254</v>
      </c>
      <c r="D27920" s="7" t="n">
        <v>0</v>
      </c>
    </row>
    <row r="27921" spans="1:18">
      <c r="A27921" t="s">
        <v>4</v>
      </c>
      <c r="B27921" s="4" t="s">
        <v>5</v>
      </c>
      <c r="C27921" s="4" t="s">
        <v>7</v>
      </c>
      <c r="D27921" s="4" t="s">
        <v>7</v>
      </c>
      <c r="E27921" s="4" t="s">
        <v>13</v>
      </c>
      <c r="F27921" s="4" t="s">
        <v>13</v>
      </c>
      <c r="G27921" s="4" t="s">
        <v>13</v>
      </c>
      <c r="H27921" s="4" t="s">
        <v>11</v>
      </c>
    </row>
    <row r="27922" spans="1:18">
      <c r="A27922" t="n">
        <v>271838</v>
      </c>
      <c r="B27922" s="51" t="n">
        <v>45</v>
      </c>
      <c r="C27922" s="7" t="n">
        <v>2</v>
      </c>
      <c r="D27922" s="7" t="n">
        <v>3</v>
      </c>
      <c r="E27922" s="7" t="n">
        <v>-6.86999988555908</v>
      </c>
      <c r="F27922" s="7" t="n">
        <v>6.42999982833862</v>
      </c>
      <c r="G27922" s="7" t="n">
        <v>29.9200000762939</v>
      </c>
      <c r="H27922" s="7" t="n">
        <v>0</v>
      </c>
    </row>
    <row r="27923" spans="1:18">
      <c r="A27923" t="s">
        <v>4</v>
      </c>
      <c r="B27923" s="4" t="s">
        <v>5</v>
      </c>
      <c r="C27923" s="4" t="s">
        <v>7</v>
      </c>
      <c r="D27923" s="4" t="s">
        <v>7</v>
      </c>
      <c r="E27923" s="4" t="s">
        <v>13</v>
      </c>
      <c r="F27923" s="4" t="s">
        <v>13</v>
      </c>
      <c r="G27923" s="4" t="s">
        <v>13</v>
      </c>
      <c r="H27923" s="4" t="s">
        <v>11</v>
      </c>
      <c r="I27923" s="4" t="s">
        <v>7</v>
      </c>
    </row>
    <row r="27924" spans="1:18">
      <c r="A27924" t="n">
        <v>271855</v>
      </c>
      <c r="B27924" s="51" t="n">
        <v>45</v>
      </c>
      <c r="C27924" s="7" t="n">
        <v>4</v>
      </c>
      <c r="D27924" s="7" t="n">
        <v>3</v>
      </c>
      <c r="E27924" s="7" t="n">
        <v>9.21000003814697</v>
      </c>
      <c r="F27924" s="7" t="n">
        <v>50.6699981689453</v>
      </c>
      <c r="G27924" s="7" t="n">
        <v>8</v>
      </c>
      <c r="H27924" s="7" t="n">
        <v>0</v>
      </c>
      <c r="I27924" s="7" t="n">
        <v>0</v>
      </c>
    </row>
    <row r="27925" spans="1:18">
      <c r="A27925" t="s">
        <v>4</v>
      </c>
      <c r="B27925" s="4" t="s">
        <v>5</v>
      </c>
      <c r="C27925" s="4" t="s">
        <v>7</v>
      </c>
      <c r="D27925" s="4" t="s">
        <v>7</v>
      </c>
      <c r="E27925" s="4" t="s">
        <v>13</v>
      </c>
      <c r="F27925" s="4" t="s">
        <v>11</v>
      </c>
    </row>
    <row r="27926" spans="1:18">
      <c r="A27926" t="n">
        <v>271873</v>
      </c>
      <c r="B27926" s="51" t="n">
        <v>45</v>
      </c>
      <c r="C27926" s="7" t="n">
        <v>5</v>
      </c>
      <c r="D27926" s="7" t="n">
        <v>3</v>
      </c>
      <c r="E27926" s="7" t="n">
        <v>1.10000002384186</v>
      </c>
      <c r="F27926" s="7" t="n">
        <v>0</v>
      </c>
    </row>
    <row r="27927" spans="1:18">
      <c r="A27927" t="s">
        <v>4</v>
      </c>
      <c r="B27927" s="4" t="s">
        <v>5</v>
      </c>
      <c r="C27927" s="4" t="s">
        <v>7</v>
      </c>
      <c r="D27927" s="4" t="s">
        <v>7</v>
      </c>
      <c r="E27927" s="4" t="s">
        <v>13</v>
      </c>
      <c r="F27927" s="4" t="s">
        <v>11</v>
      </c>
    </row>
    <row r="27928" spans="1:18">
      <c r="A27928" t="n">
        <v>271882</v>
      </c>
      <c r="B27928" s="51" t="n">
        <v>45</v>
      </c>
      <c r="C27928" s="7" t="n">
        <v>11</v>
      </c>
      <c r="D27928" s="7" t="n">
        <v>3</v>
      </c>
      <c r="E27928" s="7" t="n">
        <v>40.2999992370605</v>
      </c>
      <c r="F27928" s="7" t="n">
        <v>0</v>
      </c>
    </row>
    <row r="27929" spans="1:18">
      <c r="A27929" t="s">
        <v>4</v>
      </c>
      <c r="B27929" s="4" t="s">
        <v>5</v>
      </c>
      <c r="C27929" s="4" t="s">
        <v>7</v>
      </c>
      <c r="D27929" s="4" t="s">
        <v>11</v>
      </c>
    </row>
    <row r="27930" spans="1:18">
      <c r="A27930" t="n">
        <v>271891</v>
      </c>
      <c r="B27930" s="23" t="n">
        <v>58</v>
      </c>
      <c r="C27930" s="7" t="n">
        <v>255</v>
      </c>
      <c r="D27930" s="7" t="n">
        <v>0</v>
      </c>
    </row>
    <row r="27931" spans="1:18">
      <c r="A27931" t="s">
        <v>4</v>
      </c>
      <c r="B27931" s="4" t="s">
        <v>5</v>
      </c>
      <c r="C27931" s="4" t="s">
        <v>7</v>
      </c>
      <c r="D27931" s="4" t="s">
        <v>11</v>
      </c>
      <c r="E27931" s="4" t="s">
        <v>8</v>
      </c>
    </row>
    <row r="27932" spans="1:18">
      <c r="A27932" t="n">
        <v>271895</v>
      </c>
      <c r="B27932" s="38" t="n">
        <v>51</v>
      </c>
      <c r="C27932" s="7" t="n">
        <v>4</v>
      </c>
      <c r="D27932" s="7" t="n">
        <v>0</v>
      </c>
      <c r="E27932" s="7" t="s">
        <v>179</v>
      </c>
    </row>
    <row r="27933" spans="1:18">
      <c r="A27933" t="s">
        <v>4</v>
      </c>
      <c r="B27933" s="4" t="s">
        <v>5</v>
      </c>
      <c r="C27933" s="4" t="s">
        <v>11</v>
      </c>
    </row>
    <row r="27934" spans="1:18">
      <c r="A27934" t="n">
        <v>271909</v>
      </c>
      <c r="B27934" s="29" t="n">
        <v>16</v>
      </c>
      <c r="C27934" s="7" t="n">
        <v>0</v>
      </c>
    </row>
    <row r="27935" spans="1:18">
      <c r="A27935" t="s">
        <v>4</v>
      </c>
      <c r="B27935" s="4" t="s">
        <v>5</v>
      </c>
      <c r="C27935" s="4" t="s">
        <v>11</v>
      </c>
      <c r="D27935" s="4" t="s">
        <v>7</v>
      </c>
      <c r="E27935" s="4" t="s">
        <v>15</v>
      </c>
      <c r="F27935" s="4" t="s">
        <v>55</v>
      </c>
      <c r="G27935" s="4" t="s">
        <v>7</v>
      </c>
      <c r="H27935" s="4" t="s">
        <v>7</v>
      </c>
      <c r="I27935" s="4" t="s">
        <v>7</v>
      </c>
      <c r="J27935" s="4" t="s">
        <v>15</v>
      </c>
      <c r="K27935" s="4" t="s">
        <v>55</v>
      </c>
      <c r="L27935" s="4" t="s">
        <v>7</v>
      </c>
      <c r="M27935" s="4" t="s">
        <v>7</v>
      </c>
    </row>
    <row r="27936" spans="1:18">
      <c r="A27936" t="n">
        <v>271912</v>
      </c>
      <c r="B27936" s="55" t="n">
        <v>26</v>
      </c>
      <c r="C27936" s="7" t="n">
        <v>0</v>
      </c>
      <c r="D27936" s="7" t="n">
        <v>17</v>
      </c>
      <c r="E27936" s="7" t="n">
        <v>63927</v>
      </c>
      <c r="F27936" s="7" t="s">
        <v>601</v>
      </c>
      <c r="G27936" s="7" t="n">
        <v>2</v>
      </c>
      <c r="H27936" s="7" t="n">
        <v>3</v>
      </c>
      <c r="I27936" s="7" t="n">
        <v>17</v>
      </c>
      <c r="J27936" s="7" t="n">
        <v>63928</v>
      </c>
      <c r="K27936" s="7" t="s">
        <v>602</v>
      </c>
      <c r="L27936" s="7" t="n">
        <v>2</v>
      </c>
      <c r="M27936" s="7" t="n">
        <v>0</v>
      </c>
    </row>
    <row r="27937" spans="1:13">
      <c r="A27937" t="s">
        <v>4</v>
      </c>
      <c r="B27937" s="4" t="s">
        <v>5</v>
      </c>
    </row>
    <row r="27938" spans="1:13">
      <c r="A27938" t="n">
        <v>272050</v>
      </c>
      <c r="B27938" s="27" t="n">
        <v>28</v>
      </c>
    </row>
    <row r="27939" spans="1:13">
      <c r="A27939" t="s">
        <v>4</v>
      </c>
      <c r="B27939" s="4" t="s">
        <v>5</v>
      </c>
      <c r="C27939" s="4" t="s">
        <v>7</v>
      </c>
      <c r="D27939" s="4" t="s">
        <v>11</v>
      </c>
      <c r="E27939" s="4" t="s">
        <v>8</v>
      </c>
    </row>
    <row r="27940" spans="1:13">
      <c r="A27940" t="n">
        <v>272051</v>
      </c>
      <c r="B27940" s="38" t="n">
        <v>51</v>
      </c>
      <c r="C27940" s="7" t="n">
        <v>4</v>
      </c>
      <c r="D27940" s="7" t="n">
        <v>7</v>
      </c>
      <c r="E27940" s="7" t="s">
        <v>450</v>
      </c>
    </row>
    <row r="27941" spans="1:13">
      <c r="A27941" t="s">
        <v>4</v>
      </c>
      <c r="B27941" s="4" t="s">
        <v>5</v>
      </c>
      <c r="C27941" s="4" t="s">
        <v>11</v>
      </c>
    </row>
    <row r="27942" spans="1:13">
      <c r="A27942" t="n">
        <v>272065</v>
      </c>
      <c r="B27942" s="29" t="n">
        <v>16</v>
      </c>
      <c r="C27942" s="7" t="n">
        <v>0</v>
      </c>
    </row>
    <row r="27943" spans="1:13">
      <c r="A27943" t="s">
        <v>4</v>
      </c>
      <c r="B27943" s="4" t="s">
        <v>5</v>
      </c>
      <c r="C27943" s="4" t="s">
        <v>11</v>
      </c>
      <c r="D27943" s="4" t="s">
        <v>7</v>
      </c>
      <c r="E27943" s="4" t="s">
        <v>15</v>
      </c>
      <c r="F27943" s="4" t="s">
        <v>55</v>
      </c>
      <c r="G27943" s="4" t="s">
        <v>7</v>
      </c>
      <c r="H27943" s="4" t="s">
        <v>7</v>
      </c>
    </row>
    <row r="27944" spans="1:13">
      <c r="A27944" t="n">
        <v>272068</v>
      </c>
      <c r="B27944" s="55" t="n">
        <v>26</v>
      </c>
      <c r="C27944" s="7" t="n">
        <v>7</v>
      </c>
      <c r="D27944" s="7" t="n">
        <v>17</v>
      </c>
      <c r="E27944" s="7" t="n">
        <v>4816</v>
      </c>
      <c r="F27944" s="7" t="s">
        <v>603</v>
      </c>
      <c r="G27944" s="7" t="n">
        <v>2</v>
      </c>
      <c r="H27944" s="7" t="n">
        <v>0</v>
      </c>
    </row>
    <row r="27945" spans="1:13">
      <c r="A27945" t="s">
        <v>4</v>
      </c>
      <c r="B27945" s="4" t="s">
        <v>5</v>
      </c>
    </row>
    <row r="27946" spans="1:13">
      <c r="A27946" t="n">
        <v>272093</v>
      </c>
      <c r="B27946" s="27" t="n">
        <v>28</v>
      </c>
    </row>
    <row r="27947" spans="1:13">
      <c r="A27947" t="s">
        <v>4</v>
      </c>
      <c r="B27947" s="4" t="s">
        <v>5</v>
      </c>
      <c r="C27947" s="4" t="s">
        <v>11</v>
      </c>
      <c r="D27947" s="4" t="s">
        <v>7</v>
      </c>
      <c r="E27947" s="4" t="s">
        <v>8</v>
      </c>
      <c r="F27947" s="4" t="s">
        <v>13</v>
      </c>
      <c r="G27947" s="4" t="s">
        <v>13</v>
      </c>
      <c r="H27947" s="4" t="s">
        <v>13</v>
      </c>
    </row>
    <row r="27948" spans="1:13">
      <c r="A27948" t="n">
        <v>272094</v>
      </c>
      <c r="B27948" s="42" t="n">
        <v>48</v>
      </c>
      <c r="C27948" s="7" t="n">
        <v>7</v>
      </c>
      <c r="D27948" s="7" t="n">
        <v>0</v>
      </c>
      <c r="E27948" s="7" t="s">
        <v>91</v>
      </c>
      <c r="F27948" s="7" t="n">
        <v>-1</v>
      </c>
      <c r="G27948" s="7" t="n">
        <v>1</v>
      </c>
      <c r="H27948" s="7" t="n">
        <v>0</v>
      </c>
    </row>
    <row r="27949" spans="1:13">
      <c r="A27949" t="s">
        <v>4</v>
      </c>
      <c r="B27949" s="4" t="s">
        <v>5</v>
      </c>
      <c r="C27949" s="4" t="s">
        <v>11</v>
      </c>
    </row>
    <row r="27950" spans="1:13">
      <c r="A27950" t="n">
        <v>272125</v>
      </c>
      <c r="B27950" s="29" t="n">
        <v>16</v>
      </c>
      <c r="C27950" s="7" t="n">
        <v>500</v>
      </c>
    </row>
    <row r="27951" spans="1:13">
      <c r="A27951" t="s">
        <v>4</v>
      </c>
      <c r="B27951" s="4" t="s">
        <v>5</v>
      </c>
      <c r="C27951" s="4" t="s">
        <v>7</v>
      </c>
      <c r="D27951" s="4" t="s">
        <v>11</v>
      </c>
      <c r="E27951" s="4" t="s">
        <v>8</v>
      </c>
    </row>
    <row r="27952" spans="1:13">
      <c r="A27952" t="n">
        <v>272128</v>
      </c>
      <c r="B27952" s="38" t="n">
        <v>51</v>
      </c>
      <c r="C27952" s="7" t="n">
        <v>4</v>
      </c>
      <c r="D27952" s="7" t="n">
        <v>7</v>
      </c>
      <c r="E27952" s="7" t="s">
        <v>192</v>
      </c>
    </row>
    <row r="27953" spans="1:8">
      <c r="A27953" t="s">
        <v>4</v>
      </c>
      <c r="B27953" s="4" t="s">
        <v>5</v>
      </c>
      <c r="C27953" s="4" t="s">
        <v>11</v>
      </c>
    </row>
    <row r="27954" spans="1:8">
      <c r="A27954" t="n">
        <v>272141</v>
      </c>
      <c r="B27954" s="29" t="n">
        <v>16</v>
      </c>
      <c r="C27954" s="7" t="n">
        <v>0</v>
      </c>
    </row>
    <row r="27955" spans="1:8">
      <c r="A27955" t="s">
        <v>4</v>
      </c>
      <c r="B27955" s="4" t="s">
        <v>5</v>
      </c>
      <c r="C27955" s="4" t="s">
        <v>11</v>
      </c>
      <c r="D27955" s="4" t="s">
        <v>7</v>
      </c>
      <c r="E27955" s="4" t="s">
        <v>15</v>
      </c>
      <c r="F27955" s="4" t="s">
        <v>55</v>
      </c>
      <c r="G27955" s="4" t="s">
        <v>7</v>
      </c>
      <c r="H27955" s="4" t="s">
        <v>7</v>
      </c>
      <c r="I27955" s="4" t="s">
        <v>7</v>
      </c>
      <c r="J27955" s="4" t="s">
        <v>15</v>
      </c>
      <c r="K27955" s="4" t="s">
        <v>55</v>
      </c>
      <c r="L27955" s="4" t="s">
        <v>7</v>
      </c>
      <c r="M27955" s="4" t="s">
        <v>7</v>
      </c>
    </row>
    <row r="27956" spans="1:8">
      <c r="A27956" t="n">
        <v>272144</v>
      </c>
      <c r="B27956" s="55" t="n">
        <v>26</v>
      </c>
      <c r="C27956" s="7" t="n">
        <v>7</v>
      </c>
      <c r="D27956" s="7" t="n">
        <v>17</v>
      </c>
      <c r="E27956" s="7" t="n">
        <v>4817</v>
      </c>
      <c r="F27956" s="7" t="s">
        <v>604</v>
      </c>
      <c r="G27956" s="7" t="n">
        <v>2</v>
      </c>
      <c r="H27956" s="7" t="n">
        <v>3</v>
      </c>
      <c r="I27956" s="7" t="n">
        <v>17</v>
      </c>
      <c r="J27956" s="7" t="n">
        <v>4818</v>
      </c>
      <c r="K27956" s="7" t="s">
        <v>605</v>
      </c>
      <c r="L27956" s="7" t="n">
        <v>2</v>
      </c>
      <c r="M27956" s="7" t="n">
        <v>0</v>
      </c>
    </row>
    <row r="27957" spans="1:8">
      <c r="A27957" t="s">
        <v>4</v>
      </c>
      <c r="B27957" s="4" t="s">
        <v>5</v>
      </c>
    </row>
    <row r="27958" spans="1:8">
      <c r="A27958" t="n">
        <v>272322</v>
      </c>
      <c r="B27958" s="27" t="n">
        <v>28</v>
      </c>
    </row>
    <row r="27959" spans="1:8">
      <c r="A27959" t="s">
        <v>4</v>
      </c>
      <c r="B27959" s="4" t="s">
        <v>5</v>
      </c>
      <c r="C27959" s="4" t="s">
        <v>7</v>
      </c>
      <c r="D27959" s="4" t="s">
        <v>11</v>
      </c>
      <c r="E27959" s="4" t="s">
        <v>8</v>
      </c>
    </row>
    <row r="27960" spans="1:8">
      <c r="A27960" t="n">
        <v>272323</v>
      </c>
      <c r="B27960" s="38" t="n">
        <v>51</v>
      </c>
      <c r="C27960" s="7" t="n">
        <v>4</v>
      </c>
      <c r="D27960" s="7" t="n">
        <v>0</v>
      </c>
      <c r="E27960" s="7" t="s">
        <v>147</v>
      </c>
    </row>
    <row r="27961" spans="1:8">
      <c r="A27961" t="s">
        <v>4</v>
      </c>
      <c r="B27961" s="4" t="s">
        <v>5</v>
      </c>
      <c r="C27961" s="4" t="s">
        <v>11</v>
      </c>
    </row>
    <row r="27962" spans="1:8">
      <c r="A27962" t="n">
        <v>272337</v>
      </c>
      <c r="B27962" s="29" t="n">
        <v>16</v>
      </c>
      <c r="C27962" s="7" t="n">
        <v>0</v>
      </c>
    </row>
    <row r="27963" spans="1:8">
      <c r="A27963" t="s">
        <v>4</v>
      </c>
      <c r="B27963" s="4" t="s">
        <v>5</v>
      </c>
      <c r="C27963" s="4" t="s">
        <v>11</v>
      </c>
      <c r="D27963" s="4" t="s">
        <v>7</v>
      </c>
      <c r="E27963" s="4" t="s">
        <v>15</v>
      </c>
      <c r="F27963" s="4" t="s">
        <v>55</v>
      </c>
      <c r="G27963" s="4" t="s">
        <v>7</v>
      </c>
      <c r="H27963" s="4" t="s">
        <v>7</v>
      </c>
    </row>
    <row r="27964" spans="1:8">
      <c r="A27964" t="n">
        <v>272340</v>
      </c>
      <c r="B27964" s="55" t="n">
        <v>26</v>
      </c>
      <c r="C27964" s="7" t="n">
        <v>0</v>
      </c>
      <c r="D27964" s="7" t="n">
        <v>17</v>
      </c>
      <c r="E27964" s="7" t="n">
        <v>63929</v>
      </c>
      <c r="F27964" s="7" t="s">
        <v>606</v>
      </c>
      <c r="G27964" s="7" t="n">
        <v>2</v>
      </c>
      <c r="H27964" s="7" t="n">
        <v>0</v>
      </c>
    </row>
    <row r="27965" spans="1:8">
      <c r="A27965" t="s">
        <v>4</v>
      </c>
      <c r="B27965" s="4" t="s">
        <v>5</v>
      </c>
    </row>
    <row r="27966" spans="1:8">
      <c r="A27966" t="n">
        <v>272365</v>
      </c>
      <c r="B27966" s="27" t="n">
        <v>28</v>
      </c>
    </row>
    <row r="27967" spans="1:8">
      <c r="A27967" t="s">
        <v>4</v>
      </c>
      <c r="B27967" s="4" t="s">
        <v>5</v>
      </c>
      <c r="C27967" s="4" t="s">
        <v>11</v>
      </c>
      <c r="D27967" s="4" t="s">
        <v>7</v>
      </c>
    </row>
    <row r="27968" spans="1:8">
      <c r="A27968" t="n">
        <v>272366</v>
      </c>
      <c r="B27968" s="68" t="n">
        <v>89</v>
      </c>
      <c r="C27968" s="7" t="n">
        <v>65533</v>
      </c>
      <c r="D27968" s="7" t="n">
        <v>1</v>
      </c>
    </row>
    <row r="27969" spans="1:13">
      <c r="A27969" t="s">
        <v>4</v>
      </c>
      <c r="B27969" s="4" t="s">
        <v>5</v>
      </c>
      <c r="C27969" s="4" t="s">
        <v>7</v>
      </c>
      <c r="D27969" s="4" t="s">
        <v>11</v>
      </c>
      <c r="E27969" s="4" t="s">
        <v>13</v>
      </c>
    </row>
    <row r="27970" spans="1:13">
      <c r="A27970" t="n">
        <v>272370</v>
      </c>
      <c r="B27970" s="23" t="n">
        <v>58</v>
      </c>
      <c r="C27970" s="7" t="n">
        <v>101</v>
      </c>
      <c r="D27970" s="7" t="n">
        <v>500</v>
      </c>
      <c r="E27970" s="7" t="n">
        <v>1</v>
      </c>
    </row>
    <row r="27971" spans="1:13">
      <c r="A27971" t="s">
        <v>4</v>
      </c>
      <c r="B27971" s="4" t="s">
        <v>5</v>
      </c>
      <c r="C27971" s="4" t="s">
        <v>7</v>
      </c>
      <c r="D27971" s="4" t="s">
        <v>11</v>
      </c>
    </row>
    <row r="27972" spans="1:13">
      <c r="A27972" t="n">
        <v>272378</v>
      </c>
      <c r="B27972" s="23" t="n">
        <v>58</v>
      </c>
      <c r="C27972" s="7" t="n">
        <v>254</v>
      </c>
      <c r="D27972" s="7" t="n">
        <v>0</v>
      </c>
    </row>
    <row r="27973" spans="1:13">
      <c r="A27973" t="s">
        <v>4</v>
      </c>
      <c r="B27973" s="4" t="s">
        <v>5</v>
      </c>
      <c r="C27973" s="4" t="s">
        <v>7</v>
      </c>
      <c r="D27973" s="4" t="s">
        <v>7</v>
      </c>
      <c r="E27973" s="4" t="s">
        <v>13</v>
      </c>
      <c r="F27973" s="4" t="s">
        <v>13</v>
      </c>
      <c r="G27973" s="4" t="s">
        <v>13</v>
      </c>
      <c r="H27973" s="4" t="s">
        <v>11</v>
      </c>
    </row>
    <row r="27974" spans="1:13">
      <c r="A27974" t="n">
        <v>272382</v>
      </c>
      <c r="B27974" s="51" t="n">
        <v>45</v>
      </c>
      <c r="C27974" s="7" t="n">
        <v>2</v>
      </c>
      <c r="D27974" s="7" t="n">
        <v>3</v>
      </c>
      <c r="E27974" s="7" t="n">
        <v>-7.36999988555908</v>
      </c>
      <c r="F27974" s="7" t="n">
        <v>6.34999990463257</v>
      </c>
      <c r="G27974" s="7" t="n">
        <v>29.8400001525879</v>
      </c>
      <c r="H27974" s="7" t="n">
        <v>0</v>
      </c>
    </row>
    <row r="27975" spans="1:13">
      <c r="A27975" t="s">
        <v>4</v>
      </c>
      <c r="B27975" s="4" t="s">
        <v>5</v>
      </c>
      <c r="C27975" s="4" t="s">
        <v>7</v>
      </c>
      <c r="D27975" s="4" t="s">
        <v>7</v>
      </c>
      <c r="E27975" s="4" t="s">
        <v>13</v>
      </c>
      <c r="F27975" s="4" t="s">
        <v>13</v>
      </c>
      <c r="G27975" s="4" t="s">
        <v>13</v>
      </c>
      <c r="H27975" s="4" t="s">
        <v>11</v>
      </c>
      <c r="I27975" s="4" t="s">
        <v>7</v>
      </c>
    </row>
    <row r="27976" spans="1:13">
      <c r="A27976" t="n">
        <v>272399</v>
      </c>
      <c r="B27976" s="51" t="n">
        <v>45</v>
      </c>
      <c r="C27976" s="7" t="n">
        <v>4</v>
      </c>
      <c r="D27976" s="7" t="n">
        <v>3</v>
      </c>
      <c r="E27976" s="7" t="n">
        <v>8.11999988555908</v>
      </c>
      <c r="F27976" s="7" t="n">
        <v>60.310001373291</v>
      </c>
      <c r="G27976" s="7" t="n">
        <v>354</v>
      </c>
      <c r="H27976" s="7" t="n">
        <v>0</v>
      </c>
      <c r="I27976" s="7" t="n">
        <v>0</v>
      </c>
    </row>
    <row r="27977" spans="1:13">
      <c r="A27977" t="s">
        <v>4</v>
      </c>
      <c r="B27977" s="4" t="s">
        <v>5</v>
      </c>
      <c r="C27977" s="4" t="s">
        <v>7</v>
      </c>
      <c r="D27977" s="4" t="s">
        <v>7</v>
      </c>
      <c r="E27977" s="4" t="s">
        <v>13</v>
      </c>
      <c r="F27977" s="4" t="s">
        <v>11</v>
      </c>
    </row>
    <row r="27978" spans="1:13">
      <c r="A27978" t="n">
        <v>272417</v>
      </c>
      <c r="B27978" s="51" t="n">
        <v>45</v>
      </c>
      <c r="C27978" s="7" t="n">
        <v>5</v>
      </c>
      <c r="D27978" s="7" t="n">
        <v>3</v>
      </c>
      <c r="E27978" s="7" t="n">
        <v>0.800000011920929</v>
      </c>
      <c r="F27978" s="7" t="n">
        <v>0</v>
      </c>
    </row>
    <row r="27979" spans="1:13">
      <c r="A27979" t="s">
        <v>4</v>
      </c>
      <c r="B27979" s="4" t="s">
        <v>5</v>
      </c>
      <c r="C27979" s="4" t="s">
        <v>7</v>
      </c>
      <c r="D27979" s="4" t="s">
        <v>7</v>
      </c>
      <c r="E27979" s="4" t="s">
        <v>13</v>
      </c>
      <c r="F27979" s="4" t="s">
        <v>11</v>
      </c>
    </row>
    <row r="27980" spans="1:13">
      <c r="A27980" t="n">
        <v>272426</v>
      </c>
      <c r="B27980" s="51" t="n">
        <v>45</v>
      </c>
      <c r="C27980" s="7" t="n">
        <v>11</v>
      </c>
      <c r="D27980" s="7" t="n">
        <v>3</v>
      </c>
      <c r="E27980" s="7" t="n">
        <v>40.2999992370605</v>
      </c>
      <c r="F27980" s="7" t="n">
        <v>0</v>
      </c>
    </row>
    <row r="27981" spans="1:13">
      <c r="A27981" t="s">
        <v>4</v>
      </c>
      <c r="B27981" s="4" t="s">
        <v>5</v>
      </c>
      <c r="C27981" s="4" t="s">
        <v>7</v>
      </c>
      <c r="D27981" s="4" t="s">
        <v>11</v>
      </c>
    </row>
    <row r="27982" spans="1:13">
      <c r="A27982" t="n">
        <v>272435</v>
      </c>
      <c r="B27982" s="23" t="n">
        <v>58</v>
      </c>
      <c r="C27982" s="7" t="n">
        <v>255</v>
      </c>
      <c r="D27982" s="7" t="n">
        <v>0</v>
      </c>
    </row>
    <row r="27983" spans="1:13">
      <c r="A27983" t="s">
        <v>4</v>
      </c>
      <c r="B27983" s="4" t="s">
        <v>5</v>
      </c>
      <c r="C27983" s="4" t="s">
        <v>7</v>
      </c>
      <c r="D27983" s="4" t="s">
        <v>11</v>
      </c>
      <c r="E27983" s="4" t="s">
        <v>8</v>
      </c>
    </row>
    <row r="27984" spans="1:13">
      <c r="A27984" t="n">
        <v>272439</v>
      </c>
      <c r="B27984" s="38" t="n">
        <v>51</v>
      </c>
      <c r="C27984" s="7" t="n">
        <v>4</v>
      </c>
      <c r="D27984" s="7" t="n">
        <v>7</v>
      </c>
      <c r="E27984" s="7" t="s">
        <v>607</v>
      </c>
    </row>
    <row r="27985" spans="1:9">
      <c r="A27985" t="s">
        <v>4</v>
      </c>
      <c r="B27985" s="4" t="s">
        <v>5</v>
      </c>
      <c r="C27985" s="4" t="s">
        <v>11</v>
      </c>
    </row>
    <row r="27986" spans="1:9">
      <c r="A27986" t="n">
        <v>272452</v>
      </c>
      <c r="B27986" s="29" t="n">
        <v>16</v>
      </c>
      <c r="C27986" s="7" t="n">
        <v>0</v>
      </c>
    </row>
    <row r="27987" spans="1:9">
      <c r="A27987" t="s">
        <v>4</v>
      </c>
      <c r="B27987" s="4" t="s">
        <v>5</v>
      </c>
      <c r="C27987" s="4" t="s">
        <v>11</v>
      </c>
      <c r="D27987" s="4" t="s">
        <v>7</v>
      </c>
      <c r="E27987" s="4" t="s">
        <v>15</v>
      </c>
      <c r="F27987" s="4" t="s">
        <v>55</v>
      </c>
      <c r="G27987" s="4" t="s">
        <v>7</v>
      </c>
      <c r="H27987" s="4" t="s">
        <v>7</v>
      </c>
      <c r="I27987" s="4" t="s">
        <v>7</v>
      </c>
      <c r="J27987" s="4" t="s">
        <v>15</v>
      </c>
      <c r="K27987" s="4" t="s">
        <v>55</v>
      </c>
      <c r="L27987" s="4" t="s">
        <v>7</v>
      </c>
      <c r="M27987" s="4" t="s">
        <v>7</v>
      </c>
      <c r="N27987" s="4" t="s">
        <v>7</v>
      </c>
      <c r="O27987" s="4" t="s">
        <v>15</v>
      </c>
      <c r="P27987" s="4" t="s">
        <v>55</v>
      </c>
      <c r="Q27987" s="4" t="s">
        <v>7</v>
      </c>
      <c r="R27987" s="4" t="s">
        <v>7</v>
      </c>
      <c r="S27987" s="4" t="s">
        <v>7</v>
      </c>
      <c r="T27987" s="4" t="s">
        <v>15</v>
      </c>
      <c r="U27987" s="4" t="s">
        <v>55</v>
      </c>
      <c r="V27987" s="4" t="s">
        <v>7</v>
      </c>
      <c r="W27987" s="4" t="s">
        <v>7</v>
      </c>
    </row>
    <row r="27988" spans="1:9">
      <c r="A27988" t="n">
        <v>272455</v>
      </c>
      <c r="B27988" s="55" t="n">
        <v>26</v>
      </c>
      <c r="C27988" s="7" t="n">
        <v>7</v>
      </c>
      <c r="D27988" s="7" t="n">
        <v>17</v>
      </c>
      <c r="E27988" s="7" t="n">
        <v>4819</v>
      </c>
      <c r="F27988" s="7" t="s">
        <v>608</v>
      </c>
      <c r="G27988" s="7" t="n">
        <v>2</v>
      </c>
      <c r="H27988" s="7" t="n">
        <v>3</v>
      </c>
      <c r="I27988" s="7" t="n">
        <v>17</v>
      </c>
      <c r="J27988" s="7" t="n">
        <v>4820</v>
      </c>
      <c r="K27988" s="7" t="s">
        <v>609</v>
      </c>
      <c r="L27988" s="7" t="n">
        <v>2</v>
      </c>
      <c r="M27988" s="7" t="n">
        <v>3</v>
      </c>
      <c r="N27988" s="7" t="n">
        <v>17</v>
      </c>
      <c r="O27988" s="7" t="n">
        <v>4821</v>
      </c>
      <c r="P27988" s="7" t="s">
        <v>610</v>
      </c>
      <c r="Q27988" s="7" t="n">
        <v>2</v>
      </c>
      <c r="R27988" s="7" t="n">
        <v>3</v>
      </c>
      <c r="S27988" s="7" t="n">
        <v>17</v>
      </c>
      <c r="T27988" s="7" t="n">
        <v>4822</v>
      </c>
      <c r="U27988" s="7" t="s">
        <v>611</v>
      </c>
      <c r="V27988" s="7" t="n">
        <v>2</v>
      </c>
      <c r="W27988" s="7" t="n">
        <v>0</v>
      </c>
    </row>
    <row r="27989" spans="1:9">
      <c r="A27989" t="s">
        <v>4</v>
      </c>
      <c r="B27989" s="4" t="s">
        <v>5</v>
      </c>
    </row>
    <row r="27990" spans="1:9">
      <c r="A27990" t="n">
        <v>272838</v>
      </c>
      <c r="B27990" s="27" t="n">
        <v>28</v>
      </c>
    </row>
    <row r="27991" spans="1:9">
      <c r="A27991" t="s">
        <v>4</v>
      </c>
      <c r="B27991" s="4" t="s">
        <v>5</v>
      </c>
      <c r="C27991" s="4" t="s">
        <v>7</v>
      </c>
      <c r="D27991" s="4" t="s">
        <v>11</v>
      </c>
      <c r="E27991" s="4" t="s">
        <v>8</v>
      </c>
    </row>
    <row r="27992" spans="1:9">
      <c r="A27992" t="n">
        <v>272839</v>
      </c>
      <c r="B27992" s="38" t="n">
        <v>51</v>
      </c>
      <c r="C27992" s="7" t="n">
        <v>4</v>
      </c>
      <c r="D27992" s="7" t="n">
        <v>0</v>
      </c>
      <c r="E27992" s="7" t="s">
        <v>173</v>
      </c>
    </row>
    <row r="27993" spans="1:9">
      <c r="A27993" t="s">
        <v>4</v>
      </c>
      <c r="B27993" s="4" t="s">
        <v>5</v>
      </c>
      <c r="C27993" s="4" t="s">
        <v>11</v>
      </c>
    </row>
    <row r="27994" spans="1:9">
      <c r="A27994" t="n">
        <v>272852</v>
      </c>
      <c r="B27994" s="29" t="n">
        <v>16</v>
      </c>
      <c r="C27994" s="7" t="n">
        <v>0</v>
      </c>
    </row>
    <row r="27995" spans="1:9">
      <c r="A27995" t="s">
        <v>4</v>
      </c>
      <c r="B27995" s="4" t="s">
        <v>5</v>
      </c>
      <c r="C27995" s="4" t="s">
        <v>11</v>
      </c>
      <c r="D27995" s="4" t="s">
        <v>7</v>
      </c>
      <c r="E27995" s="4" t="s">
        <v>15</v>
      </c>
      <c r="F27995" s="4" t="s">
        <v>55</v>
      </c>
      <c r="G27995" s="4" t="s">
        <v>7</v>
      </c>
      <c r="H27995" s="4" t="s">
        <v>7</v>
      </c>
    </row>
    <row r="27996" spans="1:9">
      <c r="A27996" t="n">
        <v>272855</v>
      </c>
      <c r="B27996" s="55" t="n">
        <v>26</v>
      </c>
      <c r="C27996" s="7" t="n">
        <v>0</v>
      </c>
      <c r="D27996" s="7" t="n">
        <v>17</v>
      </c>
      <c r="E27996" s="7" t="n">
        <v>63930</v>
      </c>
      <c r="F27996" s="7" t="s">
        <v>612</v>
      </c>
      <c r="G27996" s="7" t="n">
        <v>2</v>
      </c>
      <c r="H27996" s="7" t="n">
        <v>0</v>
      </c>
    </row>
    <row r="27997" spans="1:9">
      <c r="A27997" t="s">
        <v>4</v>
      </c>
      <c r="B27997" s="4" t="s">
        <v>5</v>
      </c>
    </row>
    <row r="27998" spans="1:9">
      <c r="A27998" t="n">
        <v>272874</v>
      </c>
      <c r="B27998" s="27" t="n">
        <v>28</v>
      </c>
    </row>
    <row r="27999" spans="1:9">
      <c r="A27999" t="s">
        <v>4</v>
      </c>
      <c r="B27999" s="4" t="s">
        <v>5</v>
      </c>
      <c r="C27999" s="4" t="s">
        <v>11</v>
      </c>
      <c r="D27999" s="4" t="s">
        <v>7</v>
      </c>
    </row>
    <row r="28000" spans="1:9">
      <c r="A28000" t="n">
        <v>272875</v>
      </c>
      <c r="B28000" s="68" t="n">
        <v>89</v>
      </c>
      <c r="C28000" s="7" t="n">
        <v>65533</v>
      </c>
      <c r="D28000" s="7" t="n">
        <v>1</v>
      </c>
    </row>
    <row r="28001" spans="1:23">
      <c r="A28001" t="s">
        <v>4</v>
      </c>
      <c r="B28001" s="4" t="s">
        <v>5</v>
      </c>
      <c r="C28001" s="4" t="s">
        <v>7</v>
      </c>
      <c r="D28001" s="4" t="s">
        <v>11</v>
      </c>
      <c r="E28001" s="4" t="s">
        <v>13</v>
      </c>
    </row>
    <row r="28002" spans="1:23">
      <c r="A28002" t="n">
        <v>272879</v>
      </c>
      <c r="B28002" s="23" t="n">
        <v>58</v>
      </c>
      <c r="C28002" s="7" t="n">
        <v>101</v>
      </c>
      <c r="D28002" s="7" t="n">
        <v>500</v>
      </c>
      <c r="E28002" s="7" t="n">
        <v>1</v>
      </c>
    </row>
    <row r="28003" spans="1:23">
      <c r="A28003" t="s">
        <v>4</v>
      </c>
      <c r="B28003" s="4" t="s">
        <v>5</v>
      </c>
      <c r="C28003" s="4" t="s">
        <v>7</v>
      </c>
      <c r="D28003" s="4" t="s">
        <v>11</v>
      </c>
    </row>
    <row r="28004" spans="1:23">
      <c r="A28004" t="n">
        <v>272887</v>
      </c>
      <c r="B28004" s="23" t="n">
        <v>58</v>
      </c>
      <c r="C28004" s="7" t="n">
        <v>254</v>
      </c>
      <c r="D28004" s="7" t="n">
        <v>0</v>
      </c>
    </row>
    <row r="28005" spans="1:23">
      <c r="A28005" t="s">
        <v>4</v>
      </c>
      <c r="B28005" s="4" t="s">
        <v>5</v>
      </c>
      <c r="C28005" s="4" t="s">
        <v>11</v>
      </c>
      <c r="D28005" s="4" t="s">
        <v>13</v>
      </c>
      <c r="E28005" s="4" t="s">
        <v>13</v>
      </c>
      <c r="F28005" s="4" t="s">
        <v>13</v>
      </c>
      <c r="G28005" s="4" t="s">
        <v>13</v>
      </c>
    </row>
    <row r="28006" spans="1:23">
      <c r="A28006" t="n">
        <v>272891</v>
      </c>
      <c r="B28006" s="36" t="n">
        <v>46</v>
      </c>
      <c r="C28006" s="7" t="n">
        <v>7</v>
      </c>
      <c r="D28006" s="7" t="n">
        <v>-6.92000007629395</v>
      </c>
      <c r="E28006" s="7" t="n">
        <v>5</v>
      </c>
      <c r="F28006" s="7" t="n">
        <v>29.8600006103516</v>
      </c>
      <c r="G28006" s="7" t="n">
        <v>83.9000015258789</v>
      </c>
    </row>
    <row r="28007" spans="1:23">
      <c r="A28007" t="s">
        <v>4</v>
      </c>
      <c r="B28007" s="4" t="s">
        <v>5</v>
      </c>
      <c r="C28007" s="4" t="s">
        <v>11</v>
      </c>
      <c r="D28007" s="4" t="s">
        <v>13</v>
      </c>
      <c r="E28007" s="4" t="s">
        <v>13</v>
      </c>
      <c r="F28007" s="4" t="s">
        <v>13</v>
      </c>
      <c r="G28007" s="4" t="s">
        <v>11</v>
      </c>
      <c r="H28007" s="4" t="s">
        <v>11</v>
      </c>
    </row>
    <row r="28008" spans="1:23">
      <c r="A28008" t="n">
        <v>272910</v>
      </c>
      <c r="B28008" s="37" t="n">
        <v>60</v>
      </c>
      <c r="C28008" s="7" t="n">
        <v>0</v>
      </c>
      <c r="D28008" s="7" t="n">
        <v>0</v>
      </c>
      <c r="E28008" s="7" t="n">
        <v>0</v>
      </c>
      <c r="F28008" s="7" t="n">
        <v>0</v>
      </c>
      <c r="G28008" s="7" t="n">
        <v>0</v>
      </c>
      <c r="H28008" s="7" t="n">
        <v>1</v>
      </c>
    </row>
    <row r="28009" spans="1:23">
      <c r="A28009" t="s">
        <v>4</v>
      </c>
      <c r="B28009" s="4" t="s">
        <v>5</v>
      </c>
      <c r="C28009" s="4" t="s">
        <v>11</v>
      </c>
      <c r="D28009" s="4" t="s">
        <v>13</v>
      </c>
      <c r="E28009" s="4" t="s">
        <v>13</v>
      </c>
      <c r="F28009" s="4" t="s">
        <v>13</v>
      </c>
      <c r="G28009" s="4" t="s">
        <v>11</v>
      </c>
      <c r="H28009" s="4" t="s">
        <v>11</v>
      </c>
    </row>
    <row r="28010" spans="1:23">
      <c r="A28010" t="n">
        <v>272929</v>
      </c>
      <c r="B28010" s="37" t="n">
        <v>60</v>
      </c>
      <c r="C28010" s="7" t="n">
        <v>0</v>
      </c>
      <c r="D28010" s="7" t="n">
        <v>0</v>
      </c>
      <c r="E28010" s="7" t="n">
        <v>0</v>
      </c>
      <c r="F28010" s="7" t="n">
        <v>0</v>
      </c>
      <c r="G28010" s="7" t="n">
        <v>0</v>
      </c>
      <c r="H28010" s="7" t="n">
        <v>0</v>
      </c>
    </row>
    <row r="28011" spans="1:23">
      <c r="A28011" t="s">
        <v>4</v>
      </c>
      <c r="B28011" s="4" t="s">
        <v>5</v>
      </c>
      <c r="C28011" s="4" t="s">
        <v>11</v>
      </c>
      <c r="D28011" s="4" t="s">
        <v>11</v>
      </c>
      <c r="E28011" s="4" t="s">
        <v>11</v>
      </c>
    </row>
    <row r="28012" spans="1:23">
      <c r="A28012" t="n">
        <v>272948</v>
      </c>
      <c r="B28012" s="72" t="n">
        <v>61</v>
      </c>
      <c r="C28012" s="7" t="n">
        <v>0</v>
      </c>
      <c r="D28012" s="7" t="n">
        <v>65533</v>
      </c>
      <c r="E28012" s="7" t="n">
        <v>0</v>
      </c>
    </row>
    <row r="28013" spans="1:23">
      <c r="A28013" t="s">
        <v>4</v>
      </c>
      <c r="B28013" s="4" t="s">
        <v>5</v>
      </c>
      <c r="C28013" s="4" t="s">
        <v>11</v>
      </c>
      <c r="D28013" s="4" t="s">
        <v>13</v>
      </c>
      <c r="E28013" s="4" t="s">
        <v>13</v>
      </c>
      <c r="F28013" s="4" t="s">
        <v>13</v>
      </c>
      <c r="G28013" s="4" t="s">
        <v>11</v>
      </c>
      <c r="H28013" s="4" t="s">
        <v>11</v>
      </c>
    </row>
    <row r="28014" spans="1:23">
      <c r="A28014" t="n">
        <v>272955</v>
      </c>
      <c r="B28014" s="37" t="n">
        <v>60</v>
      </c>
      <c r="C28014" s="7" t="n">
        <v>7</v>
      </c>
      <c r="D28014" s="7" t="n">
        <v>0</v>
      </c>
      <c r="E28014" s="7" t="n">
        <v>0</v>
      </c>
      <c r="F28014" s="7" t="n">
        <v>0</v>
      </c>
      <c r="G28014" s="7" t="n">
        <v>0</v>
      </c>
      <c r="H28014" s="7" t="n">
        <v>1</v>
      </c>
    </row>
    <row r="28015" spans="1:23">
      <c r="A28015" t="s">
        <v>4</v>
      </c>
      <c r="B28015" s="4" t="s">
        <v>5</v>
      </c>
      <c r="C28015" s="4" t="s">
        <v>11</v>
      </c>
      <c r="D28015" s="4" t="s">
        <v>13</v>
      </c>
      <c r="E28015" s="4" t="s">
        <v>13</v>
      </c>
      <c r="F28015" s="4" t="s">
        <v>13</v>
      </c>
      <c r="G28015" s="4" t="s">
        <v>11</v>
      </c>
      <c r="H28015" s="4" t="s">
        <v>11</v>
      </c>
    </row>
    <row r="28016" spans="1:23">
      <c r="A28016" t="n">
        <v>272974</v>
      </c>
      <c r="B28016" s="37" t="n">
        <v>60</v>
      </c>
      <c r="C28016" s="7" t="n">
        <v>7</v>
      </c>
      <c r="D28016" s="7" t="n">
        <v>0</v>
      </c>
      <c r="E28016" s="7" t="n">
        <v>0</v>
      </c>
      <c r="F28016" s="7" t="n">
        <v>0</v>
      </c>
      <c r="G28016" s="7" t="n">
        <v>0</v>
      </c>
      <c r="H28016" s="7" t="n">
        <v>0</v>
      </c>
    </row>
    <row r="28017" spans="1:8">
      <c r="A28017" t="s">
        <v>4</v>
      </c>
      <c r="B28017" s="4" t="s">
        <v>5</v>
      </c>
      <c r="C28017" s="4" t="s">
        <v>11</v>
      </c>
      <c r="D28017" s="4" t="s">
        <v>11</v>
      </c>
      <c r="E28017" s="4" t="s">
        <v>11</v>
      </c>
    </row>
    <row r="28018" spans="1:8">
      <c r="A28018" t="n">
        <v>272993</v>
      </c>
      <c r="B28018" s="72" t="n">
        <v>61</v>
      </c>
      <c r="C28018" s="7" t="n">
        <v>7</v>
      </c>
      <c r="D28018" s="7" t="n">
        <v>65533</v>
      </c>
      <c r="E28018" s="7" t="n">
        <v>0</v>
      </c>
    </row>
    <row r="28019" spans="1:8">
      <c r="A28019" t="s">
        <v>4</v>
      </c>
      <c r="B28019" s="4" t="s">
        <v>5</v>
      </c>
      <c r="C28019" s="4" t="s">
        <v>7</v>
      </c>
      <c r="D28019" s="4" t="s">
        <v>7</v>
      </c>
      <c r="E28019" s="4" t="s">
        <v>13</v>
      </c>
      <c r="F28019" s="4" t="s">
        <v>13</v>
      </c>
      <c r="G28019" s="4" t="s">
        <v>13</v>
      </c>
      <c r="H28019" s="4" t="s">
        <v>11</v>
      </c>
    </row>
    <row r="28020" spans="1:8">
      <c r="A28020" t="n">
        <v>273000</v>
      </c>
      <c r="B28020" s="51" t="n">
        <v>45</v>
      </c>
      <c r="C28020" s="7" t="n">
        <v>2</v>
      </c>
      <c r="D28020" s="7" t="n">
        <v>3</v>
      </c>
      <c r="E28020" s="7" t="n">
        <v>-6.73999977111816</v>
      </c>
      <c r="F28020" s="7" t="n">
        <v>6.01000022888184</v>
      </c>
      <c r="G28020" s="7" t="n">
        <v>29.9200000762939</v>
      </c>
      <c r="H28020" s="7" t="n">
        <v>0</v>
      </c>
    </row>
    <row r="28021" spans="1:8">
      <c r="A28021" t="s">
        <v>4</v>
      </c>
      <c r="B28021" s="4" t="s">
        <v>5</v>
      </c>
      <c r="C28021" s="4" t="s">
        <v>7</v>
      </c>
      <c r="D28021" s="4" t="s">
        <v>7</v>
      </c>
      <c r="E28021" s="4" t="s">
        <v>13</v>
      </c>
      <c r="F28021" s="4" t="s">
        <v>13</v>
      </c>
      <c r="G28021" s="4" t="s">
        <v>13</v>
      </c>
      <c r="H28021" s="4" t="s">
        <v>11</v>
      </c>
      <c r="I28021" s="4" t="s">
        <v>7</v>
      </c>
    </row>
    <row r="28022" spans="1:8">
      <c r="A28022" t="n">
        <v>273017</v>
      </c>
      <c r="B28022" s="51" t="n">
        <v>45</v>
      </c>
      <c r="C28022" s="7" t="n">
        <v>4</v>
      </c>
      <c r="D28022" s="7" t="n">
        <v>3</v>
      </c>
      <c r="E28022" s="7" t="n">
        <v>19.3700008392334</v>
      </c>
      <c r="F28022" s="7" t="n">
        <v>308.309997558594</v>
      </c>
      <c r="G28022" s="7" t="n">
        <v>354</v>
      </c>
      <c r="H28022" s="7" t="n">
        <v>0</v>
      </c>
      <c r="I28022" s="7" t="n">
        <v>0</v>
      </c>
    </row>
    <row r="28023" spans="1:8">
      <c r="A28023" t="s">
        <v>4</v>
      </c>
      <c r="B28023" s="4" t="s">
        <v>5</v>
      </c>
      <c r="C28023" s="4" t="s">
        <v>7</v>
      </c>
      <c r="D28023" s="4" t="s">
        <v>7</v>
      </c>
      <c r="E28023" s="4" t="s">
        <v>13</v>
      </c>
      <c r="F28023" s="4" t="s">
        <v>11</v>
      </c>
    </row>
    <row r="28024" spans="1:8">
      <c r="A28024" t="n">
        <v>273035</v>
      </c>
      <c r="B28024" s="51" t="n">
        <v>45</v>
      </c>
      <c r="C28024" s="7" t="n">
        <v>5</v>
      </c>
      <c r="D28024" s="7" t="n">
        <v>3</v>
      </c>
      <c r="E28024" s="7" t="n">
        <v>1</v>
      </c>
      <c r="F28024" s="7" t="n">
        <v>0</v>
      </c>
    </row>
    <row r="28025" spans="1:8">
      <c r="A28025" t="s">
        <v>4</v>
      </c>
      <c r="B28025" s="4" t="s">
        <v>5</v>
      </c>
      <c r="C28025" s="4" t="s">
        <v>7</v>
      </c>
      <c r="D28025" s="4" t="s">
        <v>7</v>
      </c>
      <c r="E28025" s="4" t="s">
        <v>13</v>
      </c>
      <c r="F28025" s="4" t="s">
        <v>11</v>
      </c>
    </row>
    <row r="28026" spans="1:8">
      <c r="A28026" t="n">
        <v>273044</v>
      </c>
      <c r="B28026" s="51" t="n">
        <v>45</v>
      </c>
      <c r="C28026" s="7" t="n">
        <v>11</v>
      </c>
      <c r="D28026" s="7" t="n">
        <v>3</v>
      </c>
      <c r="E28026" s="7" t="n">
        <v>40.2999992370605</v>
      </c>
      <c r="F28026" s="7" t="n">
        <v>0</v>
      </c>
    </row>
    <row r="28027" spans="1:8">
      <c r="A28027" t="s">
        <v>4</v>
      </c>
      <c r="B28027" s="4" t="s">
        <v>5</v>
      </c>
      <c r="C28027" s="4" t="s">
        <v>7</v>
      </c>
      <c r="D28027" s="4" t="s">
        <v>7</v>
      </c>
      <c r="E28027" s="4" t="s">
        <v>13</v>
      </c>
      <c r="F28027" s="4" t="s">
        <v>13</v>
      </c>
      <c r="G28027" s="4" t="s">
        <v>13</v>
      </c>
      <c r="H28027" s="4" t="s">
        <v>11</v>
      </c>
    </row>
    <row r="28028" spans="1:8">
      <c r="A28028" t="n">
        <v>273053</v>
      </c>
      <c r="B28028" s="51" t="n">
        <v>45</v>
      </c>
      <c r="C28028" s="7" t="n">
        <v>2</v>
      </c>
      <c r="D28028" s="7" t="n">
        <v>3</v>
      </c>
      <c r="E28028" s="7" t="n">
        <v>-6.73999977111816</v>
      </c>
      <c r="F28028" s="7" t="n">
        <v>6.36999988555908</v>
      </c>
      <c r="G28028" s="7" t="n">
        <v>29.9200000762939</v>
      </c>
      <c r="H28028" s="7" t="n">
        <v>4000</v>
      </c>
    </row>
    <row r="28029" spans="1:8">
      <c r="A28029" t="s">
        <v>4</v>
      </c>
      <c r="B28029" s="4" t="s">
        <v>5</v>
      </c>
      <c r="C28029" s="4" t="s">
        <v>7</v>
      </c>
      <c r="D28029" s="4" t="s">
        <v>7</v>
      </c>
      <c r="E28029" s="4" t="s">
        <v>13</v>
      </c>
      <c r="F28029" s="4" t="s">
        <v>13</v>
      </c>
      <c r="G28029" s="4" t="s">
        <v>13</v>
      </c>
      <c r="H28029" s="4" t="s">
        <v>11</v>
      </c>
      <c r="I28029" s="4" t="s">
        <v>7</v>
      </c>
    </row>
    <row r="28030" spans="1:8">
      <c r="A28030" t="n">
        <v>273070</v>
      </c>
      <c r="B28030" s="51" t="n">
        <v>45</v>
      </c>
      <c r="C28030" s="7" t="n">
        <v>4</v>
      </c>
      <c r="D28030" s="7" t="n">
        <v>3</v>
      </c>
      <c r="E28030" s="7" t="n">
        <v>8.44999980926514</v>
      </c>
      <c r="F28030" s="7" t="n">
        <v>15.75</v>
      </c>
      <c r="G28030" s="7" t="n">
        <v>354</v>
      </c>
      <c r="H28030" s="7" t="n">
        <v>4000</v>
      </c>
      <c r="I28030" s="7" t="n">
        <v>1</v>
      </c>
    </row>
    <row r="28031" spans="1:8">
      <c r="A28031" t="s">
        <v>4</v>
      </c>
      <c r="B28031" s="4" t="s">
        <v>5</v>
      </c>
      <c r="C28031" s="4" t="s">
        <v>11</v>
      </c>
      <c r="D28031" s="4" t="s">
        <v>7</v>
      </c>
      <c r="E28031" s="4" t="s">
        <v>8</v>
      </c>
      <c r="F28031" s="4" t="s">
        <v>13</v>
      </c>
      <c r="G28031" s="4" t="s">
        <v>13</v>
      </c>
      <c r="H28031" s="4" t="s">
        <v>13</v>
      </c>
    </row>
    <row r="28032" spans="1:8">
      <c r="A28032" t="n">
        <v>273088</v>
      </c>
      <c r="B28032" s="42" t="n">
        <v>48</v>
      </c>
      <c r="C28032" s="7" t="n">
        <v>0</v>
      </c>
      <c r="D28032" s="7" t="n">
        <v>0</v>
      </c>
      <c r="E28032" s="7" t="s">
        <v>210</v>
      </c>
      <c r="F28032" s="7" t="n">
        <v>0</v>
      </c>
      <c r="G28032" s="7" t="n">
        <v>1</v>
      </c>
      <c r="H28032" s="7" t="n">
        <v>0</v>
      </c>
    </row>
    <row r="28033" spans="1:9">
      <c r="A28033" t="s">
        <v>4</v>
      </c>
      <c r="B28033" s="4" t="s">
        <v>5</v>
      </c>
      <c r="C28033" s="4" t="s">
        <v>11</v>
      </c>
      <c r="D28033" s="4" t="s">
        <v>7</v>
      </c>
      <c r="E28033" s="4" t="s">
        <v>8</v>
      </c>
      <c r="F28033" s="4" t="s">
        <v>13</v>
      </c>
      <c r="G28033" s="4" t="s">
        <v>13</v>
      </c>
      <c r="H28033" s="4" t="s">
        <v>13</v>
      </c>
    </row>
    <row r="28034" spans="1:9">
      <c r="A28034" t="n">
        <v>273113</v>
      </c>
      <c r="B28034" s="42" t="n">
        <v>48</v>
      </c>
      <c r="C28034" s="7" t="n">
        <v>7</v>
      </c>
      <c r="D28034" s="7" t="n">
        <v>0</v>
      </c>
      <c r="E28034" s="7" t="s">
        <v>210</v>
      </c>
      <c r="F28034" s="7" t="n">
        <v>0</v>
      </c>
      <c r="G28034" s="7" t="n">
        <v>1</v>
      </c>
      <c r="H28034" s="7" t="n">
        <v>0</v>
      </c>
    </row>
    <row r="28035" spans="1:9">
      <c r="A28035" t="s">
        <v>4</v>
      </c>
      <c r="B28035" s="4" t="s">
        <v>5</v>
      </c>
      <c r="C28035" s="4" t="s">
        <v>7</v>
      </c>
      <c r="D28035" s="4" t="s">
        <v>11</v>
      </c>
      <c r="E28035" s="4" t="s">
        <v>8</v>
      </c>
      <c r="F28035" s="4" t="s">
        <v>8</v>
      </c>
      <c r="G28035" s="4" t="s">
        <v>8</v>
      </c>
      <c r="H28035" s="4" t="s">
        <v>8</v>
      </c>
    </row>
    <row r="28036" spans="1:9">
      <c r="A28036" t="n">
        <v>273138</v>
      </c>
      <c r="B28036" s="38" t="n">
        <v>51</v>
      </c>
      <c r="C28036" s="7" t="n">
        <v>3</v>
      </c>
      <c r="D28036" s="7" t="n">
        <v>0</v>
      </c>
      <c r="E28036" s="7" t="s">
        <v>86</v>
      </c>
      <c r="F28036" s="7" t="s">
        <v>99</v>
      </c>
      <c r="G28036" s="7" t="s">
        <v>78</v>
      </c>
      <c r="H28036" s="7" t="s">
        <v>79</v>
      </c>
    </row>
    <row r="28037" spans="1:9">
      <c r="A28037" t="s">
        <v>4</v>
      </c>
      <c r="B28037" s="4" t="s">
        <v>5</v>
      </c>
      <c r="C28037" s="4" t="s">
        <v>7</v>
      </c>
      <c r="D28037" s="4" t="s">
        <v>11</v>
      </c>
      <c r="E28037" s="4" t="s">
        <v>8</v>
      </c>
      <c r="F28037" s="4" t="s">
        <v>8</v>
      </c>
      <c r="G28037" s="4" t="s">
        <v>8</v>
      </c>
      <c r="H28037" s="4" t="s">
        <v>8</v>
      </c>
    </row>
    <row r="28038" spans="1:9">
      <c r="A28038" t="n">
        <v>273151</v>
      </c>
      <c r="B28038" s="38" t="n">
        <v>51</v>
      </c>
      <c r="C28038" s="7" t="n">
        <v>3</v>
      </c>
      <c r="D28038" s="7" t="n">
        <v>7</v>
      </c>
      <c r="E28038" s="7" t="s">
        <v>154</v>
      </c>
      <c r="F28038" s="7" t="s">
        <v>155</v>
      </c>
      <c r="G28038" s="7" t="s">
        <v>16</v>
      </c>
      <c r="H28038" s="7" t="s">
        <v>68</v>
      </c>
    </row>
    <row r="28039" spans="1:9">
      <c r="A28039" t="s">
        <v>4</v>
      </c>
      <c r="B28039" s="4" t="s">
        <v>5</v>
      </c>
      <c r="C28039" s="4" t="s">
        <v>7</v>
      </c>
      <c r="D28039" s="4" t="s">
        <v>11</v>
      </c>
    </row>
    <row r="28040" spans="1:9">
      <c r="A28040" t="n">
        <v>273162</v>
      </c>
      <c r="B28040" s="23" t="n">
        <v>58</v>
      </c>
      <c r="C28040" s="7" t="n">
        <v>255</v>
      </c>
      <c r="D28040" s="7" t="n">
        <v>0</v>
      </c>
    </row>
    <row r="28041" spans="1:9">
      <c r="A28041" t="s">
        <v>4</v>
      </c>
      <c r="B28041" s="4" t="s">
        <v>5</v>
      </c>
      <c r="C28041" s="4" t="s">
        <v>11</v>
      </c>
      <c r="D28041" s="4" t="s">
        <v>7</v>
      </c>
      <c r="E28041" s="4" t="s">
        <v>8</v>
      </c>
      <c r="F28041" s="4" t="s">
        <v>13</v>
      </c>
      <c r="G28041" s="4" t="s">
        <v>13</v>
      </c>
      <c r="H28041" s="4" t="s">
        <v>13</v>
      </c>
    </row>
    <row r="28042" spans="1:9">
      <c r="A28042" t="n">
        <v>273166</v>
      </c>
      <c r="B28042" s="42" t="n">
        <v>48</v>
      </c>
      <c r="C28042" s="7" t="n">
        <v>0</v>
      </c>
      <c r="D28042" s="7" t="n">
        <v>0</v>
      </c>
      <c r="E28042" s="7" t="s">
        <v>554</v>
      </c>
      <c r="F28042" s="7" t="n">
        <v>-1</v>
      </c>
      <c r="G28042" s="7" t="n">
        <v>1</v>
      </c>
      <c r="H28042" s="7" t="n">
        <v>0</v>
      </c>
    </row>
    <row r="28043" spans="1:9">
      <c r="A28043" t="s">
        <v>4</v>
      </c>
      <c r="B28043" s="4" t="s">
        <v>5</v>
      </c>
      <c r="C28043" s="4" t="s">
        <v>11</v>
      </c>
      <c r="D28043" s="4" t="s">
        <v>7</v>
      </c>
      <c r="E28043" s="4" t="s">
        <v>8</v>
      </c>
      <c r="F28043" s="4" t="s">
        <v>13</v>
      </c>
      <c r="G28043" s="4" t="s">
        <v>13</v>
      </c>
      <c r="H28043" s="4" t="s">
        <v>13</v>
      </c>
    </row>
    <row r="28044" spans="1:9">
      <c r="A28044" t="n">
        <v>273192</v>
      </c>
      <c r="B28044" s="42" t="n">
        <v>48</v>
      </c>
      <c r="C28044" s="7" t="n">
        <v>7</v>
      </c>
      <c r="D28044" s="7" t="n">
        <v>0</v>
      </c>
      <c r="E28044" s="7" t="s">
        <v>554</v>
      </c>
      <c r="F28044" s="7" t="n">
        <v>-1</v>
      </c>
      <c r="G28044" s="7" t="n">
        <v>1</v>
      </c>
      <c r="H28044" s="7" t="n">
        <v>0</v>
      </c>
    </row>
    <row r="28045" spans="1:9">
      <c r="A28045" t="s">
        <v>4</v>
      </c>
      <c r="B28045" s="4" t="s">
        <v>5</v>
      </c>
      <c r="C28045" s="4" t="s">
        <v>7</v>
      </c>
      <c r="D28045" s="4" t="s">
        <v>11</v>
      </c>
      <c r="E28045" s="4" t="s">
        <v>13</v>
      </c>
      <c r="F28045" s="4" t="s">
        <v>11</v>
      </c>
      <c r="G28045" s="4" t="s">
        <v>15</v>
      </c>
      <c r="H28045" s="4" t="s">
        <v>15</v>
      </c>
      <c r="I28045" s="4" t="s">
        <v>11</v>
      </c>
      <c r="J28045" s="4" t="s">
        <v>11</v>
      </c>
      <c r="K28045" s="4" t="s">
        <v>15</v>
      </c>
      <c r="L28045" s="4" t="s">
        <v>15</v>
      </c>
      <c r="M28045" s="4" t="s">
        <v>15</v>
      </c>
      <c r="N28045" s="4" t="s">
        <v>15</v>
      </c>
      <c r="O28045" s="4" t="s">
        <v>8</v>
      </c>
    </row>
    <row r="28046" spans="1:9">
      <c r="A28046" t="n">
        <v>273218</v>
      </c>
      <c r="B28046" s="57" t="n">
        <v>50</v>
      </c>
      <c r="C28046" s="7" t="n">
        <v>0</v>
      </c>
      <c r="D28046" s="7" t="n">
        <v>2004</v>
      </c>
      <c r="E28046" s="7" t="n">
        <v>0.400000005960464</v>
      </c>
      <c r="F28046" s="7" t="n">
        <v>200</v>
      </c>
      <c r="G28046" s="7" t="n">
        <v>0</v>
      </c>
      <c r="H28046" s="7" t="n">
        <v>1073741824</v>
      </c>
      <c r="I28046" s="7" t="n">
        <v>0</v>
      </c>
      <c r="J28046" s="7" t="n">
        <v>65533</v>
      </c>
      <c r="K28046" s="7" t="n">
        <v>0</v>
      </c>
      <c r="L28046" s="7" t="n">
        <v>0</v>
      </c>
      <c r="M28046" s="7" t="n">
        <v>0</v>
      </c>
      <c r="N28046" s="7" t="n">
        <v>0</v>
      </c>
      <c r="O28046" s="7" t="s">
        <v>16</v>
      </c>
    </row>
    <row r="28047" spans="1:9">
      <c r="A28047" t="s">
        <v>4</v>
      </c>
      <c r="B28047" s="4" t="s">
        <v>5</v>
      </c>
      <c r="C28047" s="4" t="s">
        <v>11</v>
      </c>
      <c r="D28047" s="4" t="s">
        <v>15</v>
      </c>
      <c r="E28047" s="4" t="s">
        <v>7</v>
      </c>
    </row>
    <row r="28048" spans="1:9">
      <c r="A28048" t="n">
        <v>273257</v>
      </c>
      <c r="B28048" s="78" t="n">
        <v>35</v>
      </c>
      <c r="C28048" s="7" t="n">
        <v>0</v>
      </c>
      <c r="D28048" s="7" t="n">
        <v>0</v>
      </c>
      <c r="E28048" s="7" t="n">
        <v>0</v>
      </c>
    </row>
    <row r="28049" spans="1:15">
      <c r="A28049" t="s">
        <v>4</v>
      </c>
      <c r="B28049" s="4" t="s">
        <v>5</v>
      </c>
      <c r="C28049" s="4" t="s">
        <v>11</v>
      </c>
      <c r="D28049" s="4" t="s">
        <v>15</v>
      </c>
      <c r="E28049" s="4" t="s">
        <v>7</v>
      </c>
    </row>
    <row r="28050" spans="1:15">
      <c r="A28050" t="n">
        <v>273265</v>
      </c>
      <c r="B28050" s="78" t="n">
        <v>35</v>
      </c>
      <c r="C28050" s="7" t="n">
        <v>7</v>
      </c>
      <c r="D28050" s="7" t="n">
        <v>0</v>
      </c>
      <c r="E28050" s="7" t="n">
        <v>0</v>
      </c>
    </row>
    <row r="28051" spans="1:15">
      <c r="A28051" t="s">
        <v>4</v>
      </c>
      <c r="B28051" s="4" t="s">
        <v>5</v>
      </c>
      <c r="C28051" s="4" t="s">
        <v>7</v>
      </c>
      <c r="D28051" s="4" t="s">
        <v>11</v>
      </c>
    </row>
    <row r="28052" spans="1:15">
      <c r="A28052" t="n">
        <v>273273</v>
      </c>
      <c r="B28052" s="51" t="n">
        <v>45</v>
      </c>
      <c r="C28052" s="7" t="n">
        <v>7</v>
      </c>
      <c r="D28052" s="7" t="n">
        <v>255</v>
      </c>
    </row>
    <row r="28053" spans="1:15">
      <c r="A28053" t="s">
        <v>4</v>
      </c>
      <c r="B28053" s="4" t="s">
        <v>5</v>
      </c>
      <c r="C28053" s="4" t="s">
        <v>7</v>
      </c>
      <c r="D28053" s="4" t="s">
        <v>7</v>
      </c>
      <c r="E28053" s="4" t="s">
        <v>13</v>
      </c>
      <c r="F28053" s="4" t="s">
        <v>13</v>
      </c>
      <c r="G28053" s="4" t="s">
        <v>13</v>
      </c>
      <c r="H28053" s="4" t="s">
        <v>11</v>
      </c>
    </row>
    <row r="28054" spans="1:15">
      <c r="A28054" t="n">
        <v>273277</v>
      </c>
      <c r="B28054" s="51" t="n">
        <v>45</v>
      </c>
      <c r="C28054" s="7" t="n">
        <v>2</v>
      </c>
      <c r="D28054" s="7" t="n">
        <v>3</v>
      </c>
      <c r="E28054" s="7" t="n">
        <v>-6.73999977111816</v>
      </c>
      <c r="F28054" s="7" t="n">
        <v>6.36999988555908</v>
      </c>
      <c r="G28054" s="7" t="n">
        <v>29.9200000762939</v>
      </c>
      <c r="H28054" s="7" t="n">
        <v>50000</v>
      </c>
    </row>
    <row r="28055" spans="1:15">
      <c r="A28055" t="s">
        <v>4</v>
      </c>
      <c r="B28055" s="4" t="s">
        <v>5</v>
      </c>
      <c r="C28055" s="4" t="s">
        <v>7</v>
      </c>
      <c r="D28055" s="4" t="s">
        <v>7</v>
      </c>
      <c r="E28055" s="4" t="s">
        <v>13</v>
      </c>
      <c r="F28055" s="4" t="s">
        <v>13</v>
      </c>
      <c r="G28055" s="4" t="s">
        <v>13</v>
      </c>
      <c r="H28055" s="4" t="s">
        <v>11</v>
      </c>
      <c r="I28055" s="4" t="s">
        <v>7</v>
      </c>
    </row>
    <row r="28056" spans="1:15">
      <c r="A28056" t="n">
        <v>273294</v>
      </c>
      <c r="B28056" s="51" t="n">
        <v>45</v>
      </c>
      <c r="C28056" s="7" t="n">
        <v>4</v>
      </c>
      <c r="D28056" s="7" t="n">
        <v>3</v>
      </c>
      <c r="E28056" s="7" t="n">
        <v>8.44999980926514</v>
      </c>
      <c r="F28056" s="7" t="n">
        <v>15.6599998474121</v>
      </c>
      <c r="G28056" s="7" t="n">
        <v>354</v>
      </c>
      <c r="H28056" s="7" t="n">
        <v>50000</v>
      </c>
      <c r="I28056" s="7" t="n">
        <v>1</v>
      </c>
    </row>
    <row r="28057" spans="1:15">
      <c r="A28057" t="s">
        <v>4</v>
      </c>
      <c r="B28057" s="4" t="s">
        <v>5</v>
      </c>
      <c r="C28057" s="4" t="s">
        <v>7</v>
      </c>
      <c r="D28057" s="4" t="s">
        <v>7</v>
      </c>
      <c r="E28057" s="4" t="s">
        <v>13</v>
      </c>
      <c r="F28057" s="4" t="s">
        <v>11</v>
      </c>
    </row>
    <row r="28058" spans="1:15">
      <c r="A28058" t="n">
        <v>273312</v>
      </c>
      <c r="B28058" s="51" t="n">
        <v>45</v>
      </c>
      <c r="C28058" s="7" t="n">
        <v>5</v>
      </c>
      <c r="D28058" s="7" t="n">
        <v>3</v>
      </c>
      <c r="E28058" s="7" t="n">
        <v>0.800000011920929</v>
      </c>
      <c r="F28058" s="7" t="n">
        <v>50000</v>
      </c>
    </row>
    <row r="28059" spans="1:15">
      <c r="A28059" t="s">
        <v>4</v>
      </c>
      <c r="B28059" s="4" t="s">
        <v>5</v>
      </c>
      <c r="C28059" s="4" t="s">
        <v>7</v>
      </c>
      <c r="D28059" s="4" t="s">
        <v>7</v>
      </c>
      <c r="E28059" s="4" t="s">
        <v>13</v>
      </c>
      <c r="F28059" s="4" t="s">
        <v>11</v>
      </c>
    </row>
    <row r="28060" spans="1:15">
      <c r="A28060" t="n">
        <v>273321</v>
      </c>
      <c r="B28060" s="51" t="n">
        <v>45</v>
      </c>
      <c r="C28060" s="7" t="n">
        <v>11</v>
      </c>
      <c r="D28060" s="7" t="n">
        <v>3</v>
      </c>
      <c r="E28060" s="7" t="n">
        <v>40.2999992370605</v>
      </c>
      <c r="F28060" s="7" t="n">
        <v>50000</v>
      </c>
    </row>
    <row r="28061" spans="1:15">
      <c r="A28061" t="s">
        <v>4</v>
      </c>
      <c r="B28061" s="4" t="s">
        <v>5</v>
      </c>
      <c r="C28061" s="4" t="s">
        <v>7</v>
      </c>
      <c r="D28061" s="4" t="s">
        <v>11</v>
      </c>
      <c r="E28061" s="4" t="s">
        <v>8</v>
      </c>
    </row>
    <row r="28062" spans="1:15">
      <c r="A28062" t="n">
        <v>273330</v>
      </c>
      <c r="B28062" s="38" t="n">
        <v>51</v>
      </c>
      <c r="C28062" s="7" t="n">
        <v>4</v>
      </c>
      <c r="D28062" s="7" t="n">
        <v>7</v>
      </c>
      <c r="E28062" s="7" t="s">
        <v>461</v>
      </c>
    </row>
    <row r="28063" spans="1:15">
      <c r="A28063" t="s">
        <v>4</v>
      </c>
      <c r="B28063" s="4" t="s">
        <v>5</v>
      </c>
      <c r="C28063" s="4" t="s">
        <v>11</v>
      </c>
    </row>
    <row r="28064" spans="1:15">
      <c r="A28064" t="n">
        <v>273350</v>
      </c>
      <c r="B28064" s="29" t="n">
        <v>16</v>
      </c>
      <c r="C28064" s="7" t="n">
        <v>0</v>
      </c>
    </row>
    <row r="28065" spans="1:9">
      <c r="A28065" t="s">
        <v>4</v>
      </c>
      <c r="B28065" s="4" t="s">
        <v>5</v>
      </c>
      <c r="C28065" s="4" t="s">
        <v>11</v>
      </c>
      <c r="D28065" s="4" t="s">
        <v>7</v>
      </c>
      <c r="E28065" s="4" t="s">
        <v>15</v>
      </c>
      <c r="F28065" s="4" t="s">
        <v>7</v>
      </c>
      <c r="G28065" s="4" t="s">
        <v>15</v>
      </c>
      <c r="H28065" s="4" t="s">
        <v>55</v>
      </c>
      <c r="I28065" s="4" t="s">
        <v>7</v>
      </c>
      <c r="J28065" s="4" t="s">
        <v>7</v>
      </c>
    </row>
    <row r="28066" spans="1:9">
      <c r="A28066" t="n">
        <v>273353</v>
      </c>
      <c r="B28066" s="55" t="n">
        <v>26</v>
      </c>
      <c r="C28066" s="7" t="n">
        <v>7</v>
      </c>
      <c r="D28066" s="7" t="n">
        <v>17</v>
      </c>
      <c r="E28066" s="7" t="n">
        <v>4823</v>
      </c>
      <c r="F28066" s="7" t="n">
        <v>17</v>
      </c>
      <c r="G28066" s="7" t="n">
        <v>64642</v>
      </c>
      <c r="H28066" s="7" t="s">
        <v>613</v>
      </c>
      <c r="I28066" s="7" t="n">
        <v>2</v>
      </c>
      <c r="J28066" s="7" t="n">
        <v>0</v>
      </c>
    </row>
    <row r="28067" spans="1:9">
      <c r="A28067" t="s">
        <v>4</v>
      </c>
      <c r="B28067" s="4" t="s">
        <v>5</v>
      </c>
    </row>
    <row r="28068" spans="1:9">
      <c r="A28068" t="n">
        <v>273374</v>
      </c>
      <c r="B28068" s="27" t="n">
        <v>28</v>
      </c>
    </row>
    <row r="28069" spans="1:9">
      <c r="A28069" t="s">
        <v>4</v>
      </c>
      <c r="B28069" s="4" t="s">
        <v>5</v>
      </c>
      <c r="C28069" s="4" t="s">
        <v>7</v>
      </c>
      <c r="D28069" s="4" t="s">
        <v>11</v>
      </c>
      <c r="E28069" s="4" t="s">
        <v>8</v>
      </c>
    </row>
    <row r="28070" spans="1:9">
      <c r="A28070" t="n">
        <v>273375</v>
      </c>
      <c r="B28070" s="38" t="n">
        <v>51</v>
      </c>
      <c r="C28070" s="7" t="n">
        <v>4</v>
      </c>
      <c r="D28070" s="7" t="n">
        <v>0</v>
      </c>
      <c r="E28070" s="7" t="s">
        <v>547</v>
      </c>
    </row>
    <row r="28071" spans="1:9">
      <c r="A28071" t="s">
        <v>4</v>
      </c>
      <c r="B28071" s="4" t="s">
        <v>5</v>
      </c>
      <c r="C28071" s="4" t="s">
        <v>11</v>
      </c>
    </row>
    <row r="28072" spans="1:9">
      <c r="A28072" t="n">
        <v>273389</v>
      </c>
      <c r="B28072" s="29" t="n">
        <v>16</v>
      </c>
      <c r="C28072" s="7" t="n">
        <v>0</v>
      </c>
    </row>
    <row r="28073" spans="1:9">
      <c r="A28073" t="s">
        <v>4</v>
      </c>
      <c r="B28073" s="4" t="s">
        <v>5</v>
      </c>
      <c r="C28073" s="4" t="s">
        <v>11</v>
      </c>
      <c r="D28073" s="4" t="s">
        <v>7</v>
      </c>
      <c r="E28073" s="4" t="s">
        <v>15</v>
      </c>
      <c r="F28073" s="4" t="s">
        <v>55</v>
      </c>
      <c r="G28073" s="4" t="s">
        <v>7</v>
      </c>
      <c r="H28073" s="4" t="s">
        <v>7</v>
      </c>
      <c r="I28073" s="4" t="s">
        <v>7</v>
      </c>
      <c r="J28073" s="4" t="s">
        <v>15</v>
      </c>
      <c r="K28073" s="4" t="s">
        <v>55</v>
      </c>
      <c r="L28073" s="4" t="s">
        <v>7</v>
      </c>
      <c r="M28073" s="4" t="s">
        <v>7</v>
      </c>
      <c r="N28073" s="4" t="s">
        <v>7</v>
      </c>
      <c r="O28073" s="4" t="s">
        <v>15</v>
      </c>
      <c r="P28073" s="4" t="s">
        <v>55</v>
      </c>
      <c r="Q28073" s="4" t="s">
        <v>7</v>
      </c>
      <c r="R28073" s="4" t="s">
        <v>7</v>
      </c>
      <c r="S28073" s="4" t="s">
        <v>7</v>
      </c>
      <c r="T28073" s="4" t="s">
        <v>15</v>
      </c>
      <c r="U28073" s="4" t="s">
        <v>55</v>
      </c>
      <c r="V28073" s="4" t="s">
        <v>7</v>
      </c>
      <c r="W28073" s="4" t="s">
        <v>7</v>
      </c>
    </row>
    <row r="28074" spans="1:9">
      <c r="A28074" t="n">
        <v>273392</v>
      </c>
      <c r="B28074" s="55" t="n">
        <v>26</v>
      </c>
      <c r="C28074" s="7" t="n">
        <v>0</v>
      </c>
      <c r="D28074" s="7" t="n">
        <v>17</v>
      </c>
      <c r="E28074" s="7" t="n">
        <v>63931</v>
      </c>
      <c r="F28074" s="7" t="s">
        <v>614</v>
      </c>
      <c r="G28074" s="7" t="n">
        <v>2</v>
      </c>
      <c r="H28074" s="7" t="n">
        <v>3</v>
      </c>
      <c r="I28074" s="7" t="n">
        <v>17</v>
      </c>
      <c r="J28074" s="7" t="n">
        <v>63932</v>
      </c>
      <c r="K28074" s="7" t="s">
        <v>615</v>
      </c>
      <c r="L28074" s="7" t="n">
        <v>2</v>
      </c>
      <c r="M28074" s="7" t="n">
        <v>3</v>
      </c>
      <c r="N28074" s="7" t="n">
        <v>17</v>
      </c>
      <c r="O28074" s="7" t="n">
        <v>63933</v>
      </c>
      <c r="P28074" s="7" t="s">
        <v>616</v>
      </c>
      <c r="Q28074" s="7" t="n">
        <v>2</v>
      </c>
      <c r="R28074" s="7" t="n">
        <v>3</v>
      </c>
      <c r="S28074" s="7" t="n">
        <v>17</v>
      </c>
      <c r="T28074" s="7" t="n">
        <v>63934</v>
      </c>
      <c r="U28074" s="7" t="s">
        <v>617</v>
      </c>
      <c r="V28074" s="7" t="n">
        <v>2</v>
      </c>
      <c r="W28074" s="7" t="n">
        <v>0</v>
      </c>
    </row>
    <row r="28075" spans="1:9">
      <c r="A28075" t="s">
        <v>4</v>
      </c>
      <c r="B28075" s="4" t="s">
        <v>5</v>
      </c>
    </row>
    <row r="28076" spans="1:9">
      <c r="A28076" t="n">
        <v>273737</v>
      </c>
      <c r="B28076" s="27" t="n">
        <v>28</v>
      </c>
    </row>
    <row r="28077" spans="1:9">
      <c r="A28077" t="s">
        <v>4</v>
      </c>
      <c r="B28077" s="4" t="s">
        <v>5</v>
      </c>
      <c r="C28077" s="4" t="s">
        <v>7</v>
      </c>
      <c r="D28077" s="4" t="s">
        <v>11</v>
      </c>
      <c r="E28077" s="4" t="s">
        <v>8</v>
      </c>
    </row>
    <row r="28078" spans="1:9">
      <c r="A28078" t="n">
        <v>273738</v>
      </c>
      <c r="B28078" s="38" t="n">
        <v>51</v>
      </c>
      <c r="C28078" s="7" t="n">
        <v>4</v>
      </c>
      <c r="D28078" s="7" t="n">
        <v>7</v>
      </c>
      <c r="E28078" s="7" t="s">
        <v>379</v>
      </c>
    </row>
    <row r="28079" spans="1:9">
      <c r="A28079" t="s">
        <v>4</v>
      </c>
      <c r="B28079" s="4" t="s">
        <v>5</v>
      </c>
      <c r="C28079" s="4" t="s">
        <v>11</v>
      </c>
    </row>
    <row r="28080" spans="1:9">
      <c r="A28080" t="n">
        <v>273752</v>
      </c>
      <c r="B28080" s="29" t="n">
        <v>16</v>
      </c>
      <c r="C28080" s="7" t="n">
        <v>0</v>
      </c>
    </row>
    <row r="28081" spans="1:23">
      <c r="A28081" t="s">
        <v>4</v>
      </c>
      <c r="B28081" s="4" t="s">
        <v>5</v>
      </c>
      <c r="C28081" s="4" t="s">
        <v>11</v>
      </c>
      <c r="D28081" s="4" t="s">
        <v>7</v>
      </c>
      <c r="E28081" s="4" t="s">
        <v>15</v>
      </c>
      <c r="F28081" s="4" t="s">
        <v>55</v>
      </c>
      <c r="G28081" s="4" t="s">
        <v>7</v>
      </c>
      <c r="H28081" s="4" t="s">
        <v>7</v>
      </c>
    </row>
    <row r="28082" spans="1:23">
      <c r="A28082" t="n">
        <v>273755</v>
      </c>
      <c r="B28082" s="55" t="n">
        <v>26</v>
      </c>
      <c r="C28082" s="7" t="n">
        <v>7</v>
      </c>
      <c r="D28082" s="7" t="n">
        <v>17</v>
      </c>
      <c r="E28082" s="7" t="n">
        <v>4824</v>
      </c>
      <c r="F28082" s="7" t="s">
        <v>618</v>
      </c>
      <c r="G28082" s="7" t="n">
        <v>2</v>
      </c>
      <c r="H28082" s="7" t="n">
        <v>0</v>
      </c>
    </row>
    <row r="28083" spans="1:23">
      <c r="A28083" t="s">
        <v>4</v>
      </c>
      <c r="B28083" s="4" t="s">
        <v>5</v>
      </c>
    </row>
    <row r="28084" spans="1:23">
      <c r="A28084" t="n">
        <v>273783</v>
      </c>
      <c r="B28084" s="27" t="n">
        <v>28</v>
      </c>
    </row>
    <row r="28085" spans="1:23">
      <c r="A28085" t="s">
        <v>4</v>
      </c>
      <c r="B28085" s="4" t="s">
        <v>5</v>
      </c>
      <c r="C28085" s="4" t="s">
        <v>11</v>
      </c>
      <c r="D28085" s="4" t="s">
        <v>7</v>
      </c>
      <c r="E28085" s="4" t="s">
        <v>8</v>
      </c>
      <c r="F28085" s="4" t="s">
        <v>13</v>
      </c>
      <c r="G28085" s="4" t="s">
        <v>13</v>
      </c>
      <c r="H28085" s="4" t="s">
        <v>13</v>
      </c>
    </row>
    <row r="28086" spans="1:23">
      <c r="A28086" t="n">
        <v>273784</v>
      </c>
      <c r="B28086" s="42" t="n">
        <v>48</v>
      </c>
      <c r="C28086" s="7" t="n">
        <v>0</v>
      </c>
      <c r="D28086" s="7" t="n">
        <v>0</v>
      </c>
      <c r="E28086" s="7" t="s">
        <v>555</v>
      </c>
      <c r="F28086" s="7" t="n">
        <v>-1</v>
      </c>
      <c r="G28086" s="7" t="n">
        <v>1</v>
      </c>
      <c r="H28086" s="7" t="n">
        <v>0</v>
      </c>
    </row>
    <row r="28087" spans="1:23">
      <c r="A28087" t="s">
        <v>4</v>
      </c>
      <c r="B28087" s="4" t="s">
        <v>5</v>
      </c>
      <c r="C28087" s="4" t="s">
        <v>11</v>
      </c>
      <c r="D28087" s="4" t="s">
        <v>7</v>
      </c>
      <c r="E28087" s="4" t="s">
        <v>8</v>
      </c>
      <c r="F28087" s="4" t="s">
        <v>13</v>
      </c>
      <c r="G28087" s="4" t="s">
        <v>13</v>
      </c>
      <c r="H28087" s="4" t="s">
        <v>13</v>
      </c>
    </row>
    <row r="28088" spans="1:23">
      <c r="A28088" t="n">
        <v>273810</v>
      </c>
      <c r="B28088" s="42" t="n">
        <v>48</v>
      </c>
      <c r="C28088" s="7" t="n">
        <v>7</v>
      </c>
      <c r="D28088" s="7" t="n">
        <v>0</v>
      </c>
      <c r="E28088" s="7" t="s">
        <v>555</v>
      </c>
      <c r="F28088" s="7" t="n">
        <v>-1</v>
      </c>
      <c r="G28088" s="7" t="n">
        <v>1</v>
      </c>
      <c r="H28088" s="7" t="n">
        <v>0</v>
      </c>
    </row>
    <row r="28089" spans="1:23">
      <c r="A28089" t="s">
        <v>4</v>
      </c>
      <c r="B28089" s="4" t="s">
        <v>5</v>
      </c>
      <c r="C28089" s="4" t="s">
        <v>11</v>
      </c>
    </row>
    <row r="28090" spans="1:23">
      <c r="A28090" t="n">
        <v>273836</v>
      </c>
      <c r="B28090" s="29" t="n">
        <v>16</v>
      </c>
      <c r="C28090" s="7" t="n">
        <v>500</v>
      </c>
    </row>
    <row r="28091" spans="1:23">
      <c r="A28091" t="s">
        <v>4</v>
      </c>
      <c r="B28091" s="4" t="s">
        <v>5</v>
      </c>
      <c r="C28091" s="4" t="s">
        <v>7</v>
      </c>
      <c r="D28091" s="4" t="s">
        <v>11</v>
      </c>
      <c r="E28091" s="4" t="s">
        <v>8</v>
      </c>
      <c r="F28091" s="4" t="s">
        <v>8</v>
      </c>
      <c r="G28091" s="4" t="s">
        <v>8</v>
      </c>
      <c r="H28091" s="4" t="s">
        <v>8</v>
      </c>
    </row>
    <row r="28092" spans="1:23">
      <c r="A28092" t="n">
        <v>273839</v>
      </c>
      <c r="B28092" s="38" t="n">
        <v>51</v>
      </c>
      <c r="C28092" s="7" t="n">
        <v>3</v>
      </c>
      <c r="D28092" s="7" t="n">
        <v>7</v>
      </c>
      <c r="E28092" s="7" t="s">
        <v>98</v>
      </c>
      <c r="F28092" s="7" t="s">
        <v>99</v>
      </c>
      <c r="G28092" s="7" t="s">
        <v>16</v>
      </c>
      <c r="H28092" s="7" t="s">
        <v>68</v>
      </c>
    </row>
    <row r="28093" spans="1:23">
      <c r="A28093" t="s">
        <v>4</v>
      </c>
      <c r="B28093" s="4" t="s">
        <v>5</v>
      </c>
      <c r="C28093" s="4" t="s">
        <v>7</v>
      </c>
      <c r="D28093" s="4" t="s">
        <v>11</v>
      </c>
      <c r="E28093" s="4" t="s">
        <v>13</v>
      </c>
      <c r="F28093" s="4" t="s">
        <v>11</v>
      </c>
      <c r="G28093" s="4" t="s">
        <v>15</v>
      </c>
      <c r="H28093" s="4" t="s">
        <v>15</v>
      </c>
      <c r="I28093" s="4" t="s">
        <v>11</v>
      </c>
      <c r="J28093" s="4" t="s">
        <v>11</v>
      </c>
      <c r="K28093" s="4" t="s">
        <v>15</v>
      </c>
      <c r="L28093" s="4" t="s">
        <v>15</v>
      </c>
      <c r="M28093" s="4" t="s">
        <v>15</v>
      </c>
      <c r="N28093" s="4" t="s">
        <v>15</v>
      </c>
      <c r="O28093" s="4" t="s">
        <v>8</v>
      </c>
    </row>
    <row r="28094" spans="1:23">
      <c r="A28094" t="n">
        <v>273850</v>
      </c>
      <c r="B28094" s="57" t="n">
        <v>50</v>
      </c>
      <c r="C28094" s="7" t="n">
        <v>0</v>
      </c>
      <c r="D28094" s="7" t="n">
        <v>2000</v>
      </c>
      <c r="E28094" s="7" t="n">
        <v>0.300000011920929</v>
      </c>
      <c r="F28094" s="7" t="n">
        <v>200</v>
      </c>
      <c r="G28094" s="7" t="n">
        <v>0</v>
      </c>
      <c r="H28094" s="7" t="n">
        <v>1073741824</v>
      </c>
      <c r="I28094" s="7" t="n">
        <v>0</v>
      </c>
      <c r="J28094" s="7" t="n">
        <v>65533</v>
      </c>
      <c r="K28094" s="7" t="n">
        <v>0</v>
      </c>
      <c r="L28094" s="7" t="n">
        <v>0</v>
      </c>
      <c r="M28094" s="7" t="n">
        <v>0</v>
      </c>
      <c r="N28094" s="7" t="n">
        <v>0</v>
      </c>
      <c r="O28094" s="7" t="s">
        <v>16</v>
      </c>
    </row>
    <row r="28095" spans="1:23">
      <c r="A28095" t="s">
        <v>4</v>
      </c>
      <c r="B28095" s="4" t="s">
        <v>5</v>
      </c>
      <c r="C28095" s="4" t="s">
        <v>11</v>
      </c>
      <c r="D28095" s="4" t="s">
        <v>15</v>
      </c>
      <c r="E28095" s="4" t="s">
        <v>7</v>
      </c>
    </row>
    <row r="28096" spans="1:23">
      <c r="A28096" t="n">
        <v>273889</v>
      </c>
      <c r="B28096" s="78" t="n">
        <v>35</v>
      </c>
      <c r="C28096" s="7" t="n">
        <v>0</v>
      </c>
      <c r="D28096" s="7" t="n">
        <v>0</v>
      </c>
      <c r="E28096" s="7" t="n">
        <v>0</v>
      </c>
    </row>
    <row r="28097" spans="1:15">
      <c r="A28097" t="s">
        <v>4</v>
      </c>
      <c r="B28097" s="4" t="s">
        <v>5</v>
      </c>
      <c r="C28097" s="4" t="s">
        <v>11</v>
      </c>
      <c r="D28097" s="4" t="s">
        <v>15</v>
      </c>
      <c r="E28097" s="4" t="s">
        <v>7</v>
      </c>
    </row>
    <row r="28098" spans="1:15">
      <c r="A28098" t="n">
        <v>273897</v>
      </c>
      <c r="B28098" s="78" t="n">
        <v>35</v>
      </c>
      <c r="C28098" s="7" t="n">
        <v>7</v>
      </c>
      <c r="D28098" s="7" t="n">
        <v>0</v>
      </c>
      <c r="E28098" s="7" t="n">
        <v>0</v>
      </c>
    </row>
    <row r="28099" spans="1:15">
      <c r="A28099" t="s">
        <v>4</v>
      </c>
      <c r="B28099" s="4" t="s">
        <v>5</v>
      </c>
      <c r="C28099" s="4" t="s">
        <v>7</v>
      </c>
      <c r="D28099" s="4" t="s">
        <v>11</v>
      </c>
      <c r="E28099" s="4" t="s">
        <v>8</v>
      </c>
    </row>
    <row r="28100" spans="1:15">
      <c r="A28100" t="n">
        <v>273905</v>
      </c>
      <c r="B28100" s="38" t="n">
        <v>51</v>
      </c>
      <c r="C28100" s="7" t="n">
        <v>4</v>
      </c>
      <c r="D28100" s="7" t="n">
        <v>0</v>
      </c>
      <c r="E28100" s="7" t="s">
        <v>179</v>
      </c>
    </row>
    <row r="28101" spans="1:15">
      <c r="A28101" t="s">
        <v>4</v>
      </c>
      <c r="B28101" s="4" t="s">
        <v>5</v>
      </c>
      <c r="C28101" s="4" t="s">
        <v>11</v>
      </c>
    </row>
    <row r="28102" spans="1:15">
      <c r="A28102" t="n">
        <v>273919</v>
      </c>
      <c r="B28102" s="29" t="n">
        <v>16</v>
      </c>
      <c r="C28102" s="7" t="n">
        <v>0</v>
      </c>
    </row>
    <row r="28103" spans="1:15">
      <c r="A28103" t="s">
        <v>4</v>
      </c>
      <c r="B28103" s="4" t="s">
        <v>5</v>
      </c>
      <c r="C28103" s="4" t="s">
        <v>11</v>
      </c>
      <c r="D28103" s="4" t="s">
        <v>7</v>
      </c>
      <c r="E28103" s="4" t="s">
        <v>15</v>
      </c>
      <c r="F28103" s="4" t="s">
        <v>55</v>
      </c>
      <c r="G28103" s="4" t="s">
        <v>7</v>
      </c>
      <c r="H28103" s="4" t="s">
        <v>7</v>
      </c>
      <c r="I28103" s="4" t="s">
        <v>7</v>
      </c>
      <c r="J28103" s="4" t="s">
        <v>15</v>
      </c>
      <c r="K28103" s="4" t="s">
        <v>55</v>
      </c>
      <c r="L28103" s="4" t="s">
        <v>7</v>
      </c>
      <c r="M28103" s="4" t="s">
        <v>7</v>
      </c>
    </row>
    <row r="28104" spans="1:15">
      <c r="A28104" t="n">
        <v>273922</v>
      </c>
      <c r="B28104" s="55" t="n">
        <v>26</v>
      </c>
      <c r="C28104" s="7" t="n">
        <v>0</v>
      </c>
      <c r="D28104" s="7" t="n">
        <v>17</v>
      </c>
      <c r="E28104" s="7" t="n">
        <v>63935</v>
      </c>
      <c r="F28104" s="7" t="s">
        <v>619</v>
      </c>
      <c r="G28104" s="7" t="n">
        <v>2</v>
      </c>
      <c r="H28104" s="7" t="n">
        <v>3</v>
      </c>
      <c r="I28104" s="7" t="n">
        <v>17</v>
      </c>
      <c r="J28104" s="7" t="n">
        <v>63936</v>
      </c>
      <c r="K28104" s="7" t="s">
        <v>620</v>
      </c>
      <c r="L28104" s="7" t="n">
        <v>2</v>
      </c>
      <c r="M28104" s="7" t="n">
        <v>0</v>
      </c>
    </row>
    <row r="28105" spans="1:15">
      <c r="A28105" t="s">
        <v>4</v>
      </c>
      <c r="B28105" s="4" t="s">
        <v>5</v>
      </c>
    </row>
    <row r="28106" spans="1:15">
      <c r="A28106" t="n">
        <v>274042</v>
      </c>
      <c r="B28106" s="27" t="n">
        <v>28</v>
      </c>
    </row>
    <row r="28107" spans="1:15">
      <c r="A28107" t="s">
        <v>4</v>
      </c>
      <c r="B28107" s="4" t="s">
        <v>5</v>
      </c>
      <c r="C28107" s="4" t="s">
        <v>11</v>
      </c>
      <c r="D28107" s="4" t="s">
        <v>13</v>
      </c>
      <c r="E28107" s="4" t="s">
        <v>13</v>
      </c>
      <c r="F28107" s="4" t="s">
        <v>13</v>
      </c>
      <c r="G28107" s="4" t="s">
        <v>11</v>
      </c>
      <c r="H28107" s="4" t="s">
        <v>11</v>
      </c>
    </row>
    <row r="28108" spans="1:15">
      <c r="A28108" t="n">
        <v>274043</v>
      </c>
      <c r="B28108" s="37" t="n">
        <v>60</v>
      </c>
      <c r="C28108" s="7" t="n">
        <v>7</v>
      </c>
      <c r="D28108" s="7" t="n">
        <v>0</v>
      </c>
      <c r="E28108" s="7" t="n">
        <v>40</v>
      </c>
      <c r="F28108" s="7" t="n">
        <v>0</v>
      </c>
      <c r="G28108" s="7" t="n">
        <v>800</v>
      </c>
      <c r="H28108" s="7" t="n">
        <v>0</v>
      </c>
    </row>
    <row r="28109" spans="1:15">
      <c r="A28109" t="s">
        <v>4</v>
      </c>
      <c r="B28109" s="4" t="s">
        <v>5</v>
      </c>
      <c r="C28109" s="4" t="s">
        <v>11</v>
      </c>
    </row>
    <row r="28110" spans="1:15">
      <c r="A28110" t="n">
        <v>274062</v>
      </c>
      <c r="B28110" s="29" t="n">
        <v>16</v>
      </c>
      <c r="C28110" s="7" t="n">
        <v>600</v>
      </c>
    </row>
    <row r="28111" spans="1:15">
      <c r="A28111" t="s">
        <v>4</v>
      </c>
      <c r="B28111" s="4" t="s">
        <v>5</v>
      </c>
      <c r="C28111" s="4" t="s">
        <v>7</v>
      </c>
      <c r="D28111" s="4" t="s">
        <v>11</v>
      </c>
      <c r="E28111" s="4" t="s">
        <v>8</v>
      </c>
    </row>
    <row r="28112" spans="1:15">
      <c r="A28112" t="n">
        <v>274065</v>
      </c>
      <c r="B28112" s="38" t="n">
        <v>51</v>
      </c>
      <c r="C28112" s="7" t="n">
        <v>4</v>
      </c>
      <c r="D28112" s="7" t="n">
        <v>7</v>
      </c>
      <c r="E28112" s="7" t="s">
        <v>375</v>
      </c>
    </row>
    <row r="28113" spans="1:13">
      <c r="A28113" t="s">
        <v>4</v>
      </c>
      <c r="B28113" s="4" t="s">
        <v>5</v>
      </c>
      <c r="C28113" s="4" t="s">
        <v>11</v>
      </c>
    </row>
    <row r="28114" spans="1:13">
      <c r="A28114" t="n">
        <v>274079</v>
      </c>
      <c r="B28114" s="29" t="n">
        <v>16</v>
      </c>
      <c r="C28114" s="7" t="n">
        <v>0</v>
      </c>
    </row>
    <row r="28115" spans="1:13">
      <c r="A28115" t="s">
        <v>4</v>
      </c>
      <c r="B28115" s="4" t="s">
        <v>5</v>
      </c>
      <c r="C28115" s="4" t="s">
        <v>11</v>
      </c>
      <c r="D28115" s="4" t="s">
        <v>7</v>
      </c>
      <c r="E28115" s="4" t="s">
        <v>15</v>
      </c>
      <c r="F28115" s="4" t="s">
        <v>55</v>
      </c>
      <c r="G28115" s="4" t="s">
        <v>7</v>
      </c>
      <c r="H28115" s="4" t="s">
        <v>7</v>
      </c>
    </row>
    <row r="28116" spans="1:13">
      <c r="A28116" t="n">
        <v>274082</v>
      </c>
      <c r="B28116" s="55" t="n">
        <v>26</v>
      </c>
      <c r="C28116" s="7" t="n">
        <v>7</v>
      </c>
      <c r="D28116" s="7" t="n">
        <v>17</v>
      </c>
      <c r="E28116" s="7" t="n">
        <v>4825</v>
      </c>
      <c r="F28116" s="7" t="s">
        <v>621</v>
      </c>
      <c r="G28116" s="7" t="n">
        <v>2</v>
      </c>
      <c r="H28116" s="7" t="n">
        <v>0</v>
      </c>
    </row>
    <row r="28117" spans="1:13">
      <c r="A28117" t="s">
        <v>4</v>
      </c>
      <c r="B28117" s="4" t="s">
        <v>5</v>
      </c>
    </row>
    <row r="28118" spans="1:13">
      <c r="A28118" t="n">
        <v>274100</v>
      </c>
      <c r="B28118" s="27" t="n">
        <v>28</v>
      </c>
    </row>
    <row r="28119" spans="1:13">
      <c r="A28119" t="s">
        <v>4</v>
      </c>
      <c r="B28119" s="4" t="s">
        <v>5</v>
      </c>
      <c r="C28119" s="4" t="s">
        <v>11</v>
      </c>
    </row>
    <row r="28120" spans="1:13">
      <c r="A28120" t="n">
        <v>274101</v>
      </c>
      <c r="B28120" s="29" t="n">
        <v>16</v>
      </c>
      <c r="C28120" s="7" t="n">
        <v>1000</v>
      </c>
    </row>
    <row r="28121" spans="1:13">
      <c r="A28121" t="s">
        <v>4</v>
      </c>
      <c r="B28121" s="4" t="s">
        <v>5</v>
      </c>
      <c r="C28121" s="4" t="s">
        <v>7</v>
      </c>
      <c r="D28121" s="4" t="s">
        <v>13</v>
      </c>
      <c r="E28121" s="4" t="s">
        <v>11</v>
      </c>
      <c r="F28121" s="4" t="s">
        <v>7</v>
      </c>
    </row>
    <row r="28122" spans="1:13">
      <c r="A28122" t="n">
        <v>274104</v>
      </c>
      <c r="B28122" s="13" t="n">
        <v>49</v>
      </c>
      <c r="C28122" s="7" t="n">
        <v>3</v>
      </c>
      <c r="D28122" s="7" t="n">
        <v>1</v>
      </c>
      <c r="E28122" s="7" t="n">
        <v>1000</v>
      </c>
      <c r="F28122" s="7" t="n">
        <v>0</v>
      </c>
    </row>
    <row r="28123" spans="1:13">
      <c r="A28123" t="s">
        <v>4</v>
      </c>
      <c r="B28123" s="4" t="s">
        <v>5</v>
      </c>
      <c r="C28123" s="4" t="s">
        <v>7</v>
      </c>
      <c r="D28123" s="4" t="s">
        <v>11</v>
      </c>
      <c r="E28123" s="4" t="s">
        <v>13</v>
      </c>
    </row>
    <row r="28124" spans="1:13">
      <c r="A28124" t="n">
        <v>274113</v>
      </c>
      <c r="B28124" s="23" t="n">
        <v>58</v>
      </c>
      <c r="C28124" s="7" t="n">
        <v>101</v>
      </c>
      <c r="D28124" s="7" t="n">
        <v>1000</v>
      </c>
      <c r="E28124" s="7" t="n">
        <v>1</v>
      </c>
    </row>
    <row r="28125" spans="1:13">
      <c r="A28125" t="s">
        <v>4</v>
      </c>
      <c r="B28125" s="4" t="s">
        <v>5</v>
      </c>
      <c r="C28125" s="4" t="s">
        <v>7</v>
      </c>
      <c r="D28125" s="4" t="s">
        <v>11</v>
      </c>
    </row>
    <row r="28126" spans="1:13">
      <c r="A28126" t="n">
        <v>274121</v>
      </c>
      <c r="B28126" s="23" t="n">
        <v>58</v>
      </c>
      <c r="C28126" s="7" t="n">
        <v>254</v>
      </c>
      <c r="D28126" s="7" t="n">
        <v>0</v>
      </c>
    </row>
    <row r="28127" spans="1:13">
      <c r="A28127" t="s">
        <v>4</v>
      </c>
      <c r="B28127" s="4" t="s">
        <v>5</v>
      </c>
      <c r="C28127" s="4" t="s">
        <v>7</v>
      </c>
    </row>
    <row r="28128" spans="1:13">
      <c r="A28128" t="n">
        <v>274125</v>
      </c>
      <c r="B28128" s="49" t="n">
        <v>116</v>
      </c>
      <c r="C28128" s="7" t="n">
        <v>0</v>
      </c>
    </row>
    <row r="28129" spans="1:8">
      <c r="A28129" t="s">
        <v>4</v>
      </c>
      <c r="B28129" s="4" t="s">
        <v>5</v>
      </c>
      <c r="C28129" s="4" t="s">
        <v>7</v>
      </c>
      <c r="D28129" s="4" t="s">
        <v>11</v>
      </c>
    </row>
    <row r="28130" spans="1:8">
      <c r="A28130" t="n">
        <v>274127</v>
      </c>
      <c r="B28130" s="49" t="n">
        <v>116</v>
      </c>
      <c r="C28130" s="7" t="n">
        <v>2</v>
      </c>
      <c r="D28130" s="7" t="n">
        <v>1</v>
      </c>
    </row>
    <row r="28131" spans="1:8">
      <c r="A28131" t="s">
        <v>4</v>
      </c>
      <c r="B28131" s="4" t="s">
        <v>5</v>
      </c>
      <c r="C28131" s="4" t="s">
        <v>7</v>
      </c>
      <c r="D28131" s="4" t="s">
        <v>15</v>
      </c>
    </row>
    <row r="28132" spans="1:8">
      <c r="A28132" t="n">
        <v>274131</v>
      </c>
      <c r="B28132" s="49" t="n">
        <v>116</v>
      </c>
      <c r="C28132" s="7" t="n">
        <v>5</v>
      </c>
      <c r="D28132" s="7" t="n">
        <v>1092616192</v>
      </c>
    </row>
    <row r="28133" spans="1:8">
      <c r="A28133" t="s">
        <v>4</v>
      </c>
      <c r="B28133" s="4" t="s">
        <v>5</v>
      </c>
      <c r="C28133" s="4" t="s">
        <v>7</v>
      </c>
      <c r="D28133" s="4" t="s">
        <v>11</v>
      </c>
    </row>
    <row r="28134" spans="1:8">
      <c r="A28134" t="n">
        <v>274137</v>
      </c>
      <c r="B28134" s="49" t="n">
        <v>116</v>
      </c>
      <c r="C28134" s="7" t="n">
        <v>6</v>
      </c>
      <c r="D28134" s="7" t="n">
        <v>1</v>
      </c>
    </row>
    <row r="28135" spans="1:8">
      <c r="A28135" t="s">
        <v>4</v>
      </c>
      <c r="B28135" s="4" t="s">
        <v>5</v>
      </c>
      <c r="C28135" s="4" t="s">
        <v>7</v>
      </c>
      <c r="D28135" s="4" t="s">
        <v>7</v>
      </c>
      <c r="E28135" s="4" t="s">
        <v>13</v>
      </c>
      <c r="F28135" s="4" t="s">
        <v>13</v>
      </c>
      <c r="G28135" s="4" t="s">
        <v>13</v>
      </c>
      <c r="H28135" s="4" t="s">
        <v>11</v>
      </c>
    </row>
    <row r="28136" spans="1:8">
      <c r="A28136" t="n">
        <v>274141</v>
      </c>
      <c r="B28136" s="51" t="n">
        <v>45</v>
      </c>
      <c r="C28136" s="7" t="n">
        <v>2</v>
      </c>
      <c r="D28136" s="7" t="n">
        <v>3</v>
      </c>
      <c r="E28136" s="7" t="n">
        <v>-6.67000007629395</v>
      </c>
      <c r="F28136" s="7" t="n">
        <v>6.42000007629395</v>
      </c>
      <c r="G28136" s="7" t="n">
        <v>29.8899993896484</v>
      </c>
      <c r="H28136" s="7" t="n">
        <v>0</v>
      </c>
    </row>
    <row r="28137" spans="1:8">
      <c r="A28137" t="s">
        <v>4</v>
      </c>
      <c r="B28137" s="4" t="s">
        <v>5</v>
      </c>
      <c r="C28137" s="4" t="s">
        <v>7</v>
      </c>
      <c r="D28137" s="4" t="s">
        <v>7</v>
      </c>
      <c r="E28137" s="4" t="s">
        <v>13</v>
      </c>
      <c r="F28137" s="4" t="s">
        <v>13</v>
      </c>
      <c r="G28137" s="4" t="s">
        <v>13</v>
      </c>
      <c r="H28137" s="4" t="s">
        <v>11</v>
      </c>
      <c r="I28137" s="4" t="s">
        <v>7</v>
      </c>
    </row>
    <row r="28138" spans="1:8">
      <c r="A28138" t="n">
        <v>274158</v>
      </c>
      <c r="B28138" s="51" t="n">
        <v>45</v>
      </c>
      <c r="C28138" s="7" t="n">
        <v>4</v>
      </c>
      <c r="D28138" s="7" t="n">
        <v>3</v>
      </c>
      <c r="E28138" s="7" t="n">
        <v>15.4700002670288</v>
      </c>
      <c r="F28138" s="7" t="n">
        <v>56.1100006103516</v>
      </c>
      <c r="G28138" s="7" t="n">
        <v>354</v>
      </c>
      <c r="H28138" s="7" t="n">
        <v>0</v>
      </c>
      <c r="I28138" s="7" t="n">
        <v>0</v>
      </c>
    </row>
    <row r="28139" spans="1:8">
      <c r="A28139" t="s">
        <v>4</v>
      </c>
      <c r="B28139" s="4" t="s">
        <v>5</v>
      </c>
      <c r="C28139" s="4" t="s">
        <v>7</v>
      </c>
      <c r="D28139" s="4" t="s">
        <v>7</v>
      </c>
      <c r="E28139" s="4" t="s">
        <v>13</v>
      </c>
      <c r="F28139" s="4" t="s">
        <v>11</v>
      </c>
    </row>
    <row r="28140" spans="1:8">
      <c r="A28140" t="n">
        <v>274176</v>
      </c>
      <c r="B28140" s="51" t="n">
        <v>45</v>
      </c>
      <c r="C28140" s="7" t="n">
        <v>5</v>
      </c>
      <c r="D28140" s="7" t="n">
        <v>3</v>
      </c>
      <c r="E28140" s="7" t="n">
        <v>1.5</v>
      </c>
      <c r="F28140" s="7" t="n">
        <v>0</v>
      </c>
    </row>
    <row r="28141" spans="1:8">
      <c r="A28141" t="s">
        <v>4</v>
      </c>
      <c r="B28141" s="4" t="s">
        <v>5</v>
      </c>
      <c r="C28141" s="4" t="s">
        <v>7</v>
      </c>
      <c r="D28141" s="4" t="s">
        <v>7</v>
      </c>
      <c r="E28141" s="4" t="s">
        <v>13</v>
      </c>
      <c r="F28141" s="4" t="s">
        <v>11</v>
      </c>
    </row>
    <row r="28142" spans="1:8">
      <c r="A28142" t="n">
        <v>274185</v>
      </c>
      <c r="B28142" s="51" t="n">
        <v>45</v>
      </c>
      <c r="C28142" s="7" t="n">
        <v>11</v>
      </c>
      <c r="D28142" s="7" t="n">
        <v>3</v>
      </c>
      <c r="E28142" s="7" t="n">
        <v>40.2999992370605</v>
      </c>
      <c r="F28142" s="7" t="n">
        <v>0</v>
      </c>
    </row>
    <row r="28143" spans="1:8">
      <c r="A28143" t="s">
        <v>4</v>
      </c>
      <c r="B28143" s="4" t="s">
        <v>5</v>
      </c>
      <c r="C28143" s="4" t="s">
        <v>7</v>
      </c>
      <c r="D28143" s="4" t="s">
        <v>7</v>
      </c>
      <c r="E28143" s="4" t="s">
        <v>13</v>
      </c>
      <c r="F28143" s="4" t="s">
        <v>13</v>
      </c>
      <c r="G28143" s="4" t="s">
        <v>13</v>
      </c>
      <c r="H28143" s="4" t="s">
        <v>11</v>
      </c>
    </row>
    <row r="28144" spans="1:8">
      <c r="A28144" t="n">
        <v>274194</v>
      </c>
      <c r="B28144" s="51" t="n">
        <v>45</v>
      </c>
      <c r="C28144" s="7" t="n">
        <v>2</v>
      </c>
      <c r="D28144" s="7" t="n">
        <v>3</v>
      </c>
      <c r="E28144" s="7" t="n">
        <v>-6.34000015258789</v>
      </c>
      <c r="F28144" s="7" t="n">
        <v>6.59000015258789</v>
      </c>
      <c r="G28144" s="7" t="n">
        <v>28.8899993896484</v>
      </c>
      <c r="H28144" s="7" t="n">
        <v>6000</v>
      </c>
    </row>
    <row r="28145" spans="1:9">
      <c r="A28145" t="s">
        <v>4</v>
      </c>
      <c r="B28145" s="4" t="s">
        <v>5</v>
      </c>
      <c r="C28145" s="4" t="s">
        <v>7</v>
      </c>
      <c r="D28145" s="4" t="s">
        <v>7</v>
      </c>
      <c r="E28145" s="4" t="s">
        <v>13</v>
      </c>
      <c r="F28145" s="4" t="s">
        <v>13</v>
      </c>
      <c r="G28145" s="4" t="s">
        <v>13</v>
      </c>
      <c r="H28145" s="4" t="s">
        <v>11</v>
      </c>
      <c r="I28145" s="4" t="s">
        <v>7</v>
      </c>
    </row>
    <row r="28146" spans="1:9">
      <c r="A28146" t="n">
        <v>274211</v>
      </c>
      <c r="B28146" s="51" t="n">
        <v>45</v>
      </c>
      <c r="C28146" s="7" t="n">
        <v>4</v>
      </c>
      <c r="D28146" s="7" t="n">
        <v>3</v>
      </c>
      <c r="E28146" s="7" t="n">
        <v>10.7700004577637</v>
      </c>
      <c r="F28146" s="7" t="n">
        <v>43.6100006103516</v>
      </c>
      <c r="G28146" s="7" t="n">
        <v>360</v>
      </c>
      <c r="H28146" s="7" t="n">
        <v>6000</v>
      </c>
      <c r="I28146" s="7" t="n">
        <v>1</v>
      </c>
    </row>
    <row r="28147" spans="1:9">
      <c r="A28147" t="s">
        <v>4</v>
      </c>
      <c r="B28147" s="4" t="s">
        <v>5</v>
      </c>
      <c r="C28147" s="4" t="s">
        <v>7</v>
      </c>
      <c r="D28147" s="4" t="s">
        <v>11</v>
      </c>
    </row>
    <row r="28148" spans="1:9">
      <c r="A28148" t="n">
        <v>274229</v>
      </c>
      <c r="B28148" s="23" t="n">
        <v>58</v>
      </c>
      <c r="C28148" s="7" t="n">
        <v>255</v>
      </c>
      <c r="D28148" s="7" t="n">
        <v>0</v>
      </c>
    </row>
    <row r="28149" spans="1:9">
      <c r="A28149" t="s">
        <v>4</v>
      </c>
      <c r="B28149" s="4" t="s">
        <v>5</v>
      </c>
      <c r="C28149" s="4" t="s">
        <v>7</v>
      </c>
      <c r="D28149" s="4" t="s">
        <v>11</v>
      </c>
    </row>
    <row r="28150" spans="1:9">
      <c r="A28150" t="n">
        <v>274233</v>
      </c>
      <c r="B28150" s="51" t="n">
        <v>45</v>
      </c>
      <c r="C28150" s="7" t="n">
        <v>7</v>
      </c>
      <c r="D28150" s="7" t="n">
        <v>255</v>
      </c>
    </row>
    <row r="28151" spans="1:9">
      <c r="A28151" t="s">
        <v>4</v>
      </c>
      <c r="B28151" s="4" t="s">
        <v>5</v>
      </c>
      <c r="C28151" s="4" t="s">
        <v>7</v>
      </c>
      <c r="D28151" s="4" t="s">
        <v>11</v>
      </c>
      <c r="E28151" s="4" t="s">
        <v>13</v>
      </c>
    </row>
    <row r="28152" spans="1:9">
      <c r="A28152" t="n">
        <v>274237</v>
      </c>
      <c r="B28152" s="23" t="n">
        <v>58</v>
      </c>
      <c r="C28152" s="7" t="n">
        <v>0</v>
      </c>
      <c r="D28152" s="7" t="n">
        <v>2000</v>
      </c>
      <c r="E28152" s="7" t="n">
        <v>1</v>
      </c>
    </row>
    <row r="28153" spans="1:9">
      <c r="A28153" t="s">
        <v>4</v>
      </c>
      <c r="B28153" s="4" t="s">
        <v>5</v>
      </c>
      <c r="C28153" s="4" t="s">
        <v>7</v>
      </c>
      <c r="D28153" s="4" t="s">
        <v>11</v>
      </c>
    </row>
    <row r="28154" spans="1:9">
      <c r="A28154" t="n">
        <v>274245</v>
      </c>
      <c r="B28154" s="23" t="n">
        <v>58</v>
      </c>
      <c r="C28154" s="7" t="n">
        <v>255</v>
      </c>
      <c r="D28154" s="7" t="n">
        <v>0</v>
      </c>
    </row>
    <row r="28155" spans="1:9">
      <c r="A28155" t="s">
        <v>4</v>
      </c>
      <c r="B28155" s="4" t="s">
        <v>5</v>
      </c>
      <c r="C28155" s="4" t="s">
        <v>7</v>
      </c>
      <c r="D28155" s="4" t="s">
        <v>11</v>
      </c>
      <c r="E28155" s="4" t="s">
        <v>11</v>
      </c>
      <c r="F28155" s="4" t="s">
        <v>15</v>
      </c>
    </row>
    <row r="28156" spans="1:9">
      <c r="A28156" t="n">
        <v>274249</v>
      </c>
      <c r="B28156" s="76" t="n">
        <v>84</v>
      </c>
      <c r="C28156" s="7" t="n">
        <v>1</v>
      </c>
      <c r="D28156" s="7" t="n">
        <v>0</v>
      </c>
      <c r="E28156" s="7" t="n">
        <v>0</v>
      </c>
      <c r="F28156" s="7" t="n">
        <v>0</v>
      </c>
    </row>
    <row r="28157" spans="1:9">
      <c r="A28157" t="s">
        <v>4</v>
      </c>
      <c r="B28157" s="4" t="s">
        <v>5</v>
      </c>
      <c r="C28157" s="4" t="s">
        <v>7</v>
      </c>
    </row>
    <row r="28158" spans="1:9">
      <c r="A28158" t="n">
        <v>274259</v>
      </c>
      <c r="B28158" s="28" t="n">
        <v>78</v>
      </c>
      <c r="C28158" s="7" t="n">
        <v>255</v>
      </c>
    </row>
    <row r="28159" spans="1:9">
      <c r="A28159" t="s">
        <v>4</v>
      </c>
      <c r="B28159" s="4" t="s">
        <v>5</v>
      </c>
      <c r="C28159" s="4" t="s">
        <v>7</v>
      </c>
      <c r="D28159" s="4" t="s">
        <v>11</v>
      </c>
      <c r="E28159" s="4" t="s">
        <v>7</v>
      </c>
    </row>
    <row r="28160" spans="1:9">
      <c r="A28160" t="n">
        <v>274261</v>
      </c>
      <c r="B28160" s="40" t="n">
        <v>36</v>
      </c>
      <c r="C28160" s="7" t="n">
        <v>9</v>
      </c>
      <c r="D28160" s="7" t="n">
        <v>0</v>
      </c>
      <c r="E28160" s="7" t="n">
        <v>0</v>
      </c>
    </row>
    <row r="28161" spans="1:9">
      <c r="A28161" t="s">
        <v>4</v>
      </c>
      <c r="B28161" s="4" t="s">
        <v>5</v>
      </c>
      <c r="C28161" s="4" t="s">
        <v>7</v>
      </c>
      <c r="D28161" s="4" t="s">
        <v>11</v>
      </c>
      <c r="E28161" s="4" t="s">
        <v>7</v>
      </c>
    </row>
    <row r="28162" spans="1:9">
      <c r="A28162" t="n">
        <v>274266</v>
      </c>
      <c r="B28162" s="40" t="n">
        <v>36</v>
      </c>
      <c r="C28162" s="7" t="n">
        <v>9</v>
      </c>
      <c r="D28162" s="7" t="n">
        <v>7</v>
      </c>
      <c r="E28162" s="7" t="n">
        <v>0</v>
      </c>
    </row>
    <row r="28163" spans="1:9">
      <c r="A28163" t="s">
        <v>4</v>
      </c>
      <c r="B28163" s="4" t="s">
        <v>5</v>
      </c>
      <c r="C28163" s="4" t="s">
        <v>7</v>
      </c>
      <c r="D28163" s="4" t="s">
        <v>11</v>
      </c>
      <c r="E28163" s="4" t="s">
        <v>11</v>
      </c>
      <c r="F28163" s="4" t="s">
        <v>15</v>
      </c>
      <c r="G28163" s="4" t="s">
        <v>15</v>
      </c>
      <c r="H28163" s="4" t="s">
        <v>15</v>
      </c>
    </row>
    <row r="28164" spans="1:9">
      <c r="A28164" t="n">
        <v>274271</v>
      </c>
      <c r="B28164" s="77" t="n">
        <v>97</v>
      </c>
      <c r="C28164" s="7" t="n">
        <v>7</v>
      </c>
      <c r="D28164" s="7" t="n">
        <v>0</v>
      </c>
      <c r="E28164" s="7" t="n">
        <v>0</v>
      </c>
      <c r="F28164" s="7" t="n">
        <v>0</v>
      </c>
      <c r="G28164" s="7" t="n">
        <v>0</v>
      </c>
      <c r="H28164" s="7" t="n">
        <v>0</v>
      </c>
    </row>
    <row r="28165" spans="1:9">
      <c r="A28165" t="s">
        <v>4</v>
      </c>
      <c r="B28165" s="4" t="s">
        <v>5</v>
      </c>
      <c r="C28165" s="4" t="s">
        <v>11</v>
      </c>
      <c r="D28165" s="4" t="s">
        <v>13</v>
      </c>
      <c r="E28165" s="4" t="s">
        <v>13</v>
      </c>
      <c r="F28165" s="4" t="s">
        <v>13</v>
      </c>
      <c r="G28165" s="4" t="s">
        <v>13</v>
      </c>
    </row>
    <row r="28166" spans="1:9">
      <c r="A28166" t="n">
        <v>274289</v>
      </c>
      <c r="B28166" s="36" t="n">
        <v>46</v>
      </c>
      <c r="C28166" s="7" t="n">
        <v>61456</v>
      </c>
      <c r="D28166" s="7" t="n">
        <v>0</v>
      </c>
      <c r="E28166" s="7" t="n">
        <v>0</v>
      </c>
      <c r="F28166" s="7" t="n">
        <v>0</v>
      </c>
      <c r="G28166" s="7" t="n">
        <v>0</v>
      </c>
    </row>
    <row r="28167" spans="1:9">
      <c r="A28167" t="s">
        <v>4</v>
      </c>
      <c r="B28167" s="4" t="s">
        <v>5</v>
      </c>
      <c r="C28167" s="4" t="s">
        <v>7</v>
      </c>
      <c r="D28167" s="4" t="s">
        <v>8</v>
      </c>
    </row>
    <row r="28168" spans="1:9">
      <c r="A28168" t="n">
        <v>274308</v>
      </c>
      <c r="B28168" s="6" t="n">
        <v>2</v>
      </c>
      <c r="C28168" s="7" t="n">
        <v>10</v>
      </c>
      <c r="D28168" s="7" t="s">
        <v>1834</v>
      </c>
    </row>
    <row r="28169" spans="1:9">
      <c r="A28169" t="s">
        <v>4</v>
      </c>
      <c r="B28169" s="4" t="s">
        <v>5</v>
      </c>
    </row>
    <row r="28170" spans="1:9">
      <c r="A28170" t="n">
        <v>274329</v>
      </c>
      <c r="B28170" s="5" t="n">
        <v>1</v>
      </c>
    </row>
    <row r="28171" spans="1:9" s="3" customFormat="1" customHeight="0">
      <c r="A28171" s="3" t="s">
        <v>2</v>
      </c>
      <c r="B28171" s="3" t="s">
        <v>1841</v>
      </c>
    </row>
    <row r="28172" spans="1:9">
      <c r="A28172" t="s">
        <v>4</v>
      </c>
      <c r="B28172" s="4" t="s">
        <v>5</v>
      </c>
      <c r="C28172" s="4" t="s">
        <v>7</v>
      </c>
      <c r="D28172" s="4" t="s">
        <v>7</v>
      </c>
      <c r="E28172" s="4" t="s">
        <v>7</v>
      </c>
      <c r="F28172" s="4" t="s">
        <v>7</v>
      </c>
    </row>
    <row r="28173" spans="1:9">
      <c r="A28173" t="n">
        <v>274332</v>
      </c>
      <c r="B28173" s="9" t="n">
        <v>14</v>
      </c>
      <c r="C28173" s="7" t="n">
        <v>2</v>
      </c>
      <c r="D28173" s="7" t="n">
        <v>0</v>
      </c>
      <c r="E28173" s="7" t="n">
        <v>0</v>
      </c>
      <c r="F28173" s="7" t="n">
        <v>0</v>
      </c>
    </row>
    <row r="28174" spans="1:9">
      <c r="A28174" t="s">
        <v>4</v>
      </c>
      <c r="B28174" s="4" t="s">
        <v>5</v>
      </c>
      <c r="C28174" s="4" t="s">
        <v>7</v>
      </c>
      <c r="D28174" s="20" t="s">
        <v>35</v>
      </c>
      <c r="E28174" s="4" t="s">
        <v>5</v>
      </c>
      <c r="F28174" s="4" t="s">
        <v>7</v>
      </c>
      <c r="G28174" s="4" t="s">
        <v>11</v>
      </c>
      <c r="H28174" s="20" t="s">
        <v>36</v>
      </c>
      <c r="I28174" s="4" t="s">
        <v>7</v>
      </c>
      <c r="J28174" s="4" t="s">
        <v>15</v>
      </c>
      <c r="K28174" s="4" t="s">
        <v>7</v>
      </c>
      <c r="L28174" s="4" t="s">
        <v>7</v>
      </c>
      <c r="M28174" s="20" t="s">
        <v>35</v>
      </c>
      <c r="N28174" s="4" t="s">
        <v>5</v>
      </c>
      <c r="O28174" s="4" t="s">
        <v>7</v>
      </c>
      <c r="P28174" s="4" t="s">
        <v>11</v>
      </c>
      <c r="Q28174" s="20" t="s">
        <v>36</v>
      </c>
      <c r="R28174" s="4" t="s">
        <v>7</v>
      </c>
      <c r="S28174" s="4" t="s">
        <v>15</v>
      </c>
      <c r="T28174" s="4" t="s">
        <v>7</v>
      </c>
      <c r="U28174" s="4" t="s">
        <v>7</v>
      </c>
      <c r="V28174" s="4" t="s">
        <v>7</v>
      </c>
      <c r="W28174" s="4" t="s">
        <v>12</v>
      </c>
    </row>
    <row r="28175" spans="1:9">
      <c r="A28175" t="n">
        <v>274337</v>
      </c>
      <c r="B28175" s="10" t="n">
        <v>5</v>
      </c>
      <c r="C28175" s="7" t="n">
        <v>28</v>
      </c>
      <c r="D28175" s="20" t="s">
        <v>3</v>
      </c>
      <c r="E28175" s="8" t="n">
        <v>162</v>
      </c>
      <c r="F28175" s="7" t="n">
        <v>3</v>
      </c>
      <c r="G28175" s="7" t="n">
        <v>36885</v>
      </c>
      <c r="H28175" s="20" t="s">
        <v>3</v>
      </c>
      <c r="I28175" s="7" t="n">
        <v>0</v>
      </c>
      <c r="J28175" s="7" t="n">
        <v>1</v>
      </c>
      <c r="K28175" s="7" t="n">
        <v>2</v>
      </c>
      <c r="L28175" s="7" t="n">
        <v>28</v>
      </c>
      <c r="M28175" s="20" t="s">
        <v>3</v>
      </c>
      <c r="N28175" s="8" t="n">
        <v>162</v>
      </c>
      <c r="O28175" s="7" t="n">
        <v>3</v>
      </c>
      <c r="P28175" s="7" t="n">
        <v>36885</v>
      </c>
      <c r="Q28175" s="20" t="s">
        <v>3</v>
      </c>
      <c r="R28175" s="7" t="n">
        <v>0</v>
      </c>
      <c r="S28175" s="7" t="n">
        <v>2</v>
      </c>
      <c r="T28175" s="7" t="n">
        <v>2</v>
      </c>
      <c r="U28175" s="7" t="n">
        <v>11</v>
      </c>
      <c r="V28175" s="7" t="n">
        <v>1</v>
      </c>
      <c r="W28175" s="11" t="n">
        <f t="normal" ca="1">A28179</f>
        <v>0</v>
      </c>
    </row>
    <row r="28176" spans="1:9">
      <c r="A28176" t="s">
        <v>4</v>
      </c>
      <c r="B28176" s="4" t="s">
        <v>5</v>
      </c>
      <c r="C28176" s="4" t="s">
        <v>7</v>
      </c>
      <c r="D28176" s="4" t="s">
        <v>11</v>
      </c>
      <c r="E28176" s="4" t="s">
        <v>13</v>
      </c>
    </row>
    <row r="28177" spans="1:23">
      <c r="A28177" t="n">
        <v>274366</v>
      </c>
      <c r="B28177" s="23" t="n">
        <v>58</v>
      </c>
      <c r="C28177" s="7" t="n">
        <v>0</v>
      </c>
      <c r="D28177" s="7" t="n">
        <v>0</v>
      </c>
      <c r="E28177" s="7" t="n">
        <v>1</v>
      </c>
    </row>
    <row r="28178" spans="1:23">
      <c r="A28178" t="s">
        <v>4</v>
      </c>
      <c r="B28178" s="4" t="s">
        <v>5</v>
      </c>
      <c r="C28178" s="4" t="s">
        <v>7</v>
      </c>
      <c r="D28178" s="20" t="s">
        <v>35</v>
      </c>
      <c r="E28178" s="4" t="s">
        <v>5</v>
      </c>
      <c r="F28178" s="4" t="s">
        <v>7</v>
      </c>
      <c r="G28178" s="4" t="s">
        <v>11</v>
      </c>
      <c r="H28178" s="20" t="s">
        <v>36</v>
      </c>
      <c r="I28178" s="4" t="s">
        <v>7</v>
      </c>
      <c r="J28178" s="4" t="s">
        <v>15</v>
      </c>
      <c r="K28178" s="4" t="s">
        <v>7</v>
      </c>
      <c r="L28178" s="4" t="s">
        <v>7</v>
      </c>
      <c r="M28178" s="20" t="s">
        <v>35</v>
      </c>
      <c r="N28178" s="4" t="s">
        <v>5</v>
      </c>
      <c r="O28178" s="4" t="s">
        <v>7</v>
      </c>
      <c r="P28178" s="4" t="s">
        <v>11</v>
      </c>
      <c r="Q28178" s="20" t="s">
        <v>36</v>
      </c>
      <c r="R28178" s="4" t="s">
        <v>7</v>
      </c>
      <c r="S28178" s="4" t="s">
        <v>15</v>
      </c>
      <c r="T28178" s="4" t="s">
        <v>7</v>
      </c>
      <c r="U28178" s="4" t="s">
        <v>7</v>
      </c>
      <c r="V28178" s="4" t="s">
        <v>7</v>
      </c>
      <c r="W28178" s="4" t="s">
        <v>12</v>
      </c>
    </row>
    <row r="28179" spans="1:23">
      <c r="A28179" t="n">
        <v>274374</v>
      </c>
      <c r="B28179" s="10" t="n">
        <v>5</v>
      </c>
      <c r="C28179" s="7" t="n">
        <v>28</v>
      </c>
      <c r="D28179" s="20" t="s">
        <v>3</v>
      </c>
      <c r="E28179" s="8" t="n">
        <v>162</v>
      </c>
      <c r="F28179" s="7" t="n">
        <v>3</v>
      </c>
      <c r="G28179" s="7" t="n">
        <v>36885</v>
      </c>
      <c r="H28179" s="20" t="s">
        <v>3</v>
      </c>
      <c r="I28179" s="7" t="n">
        <v>0</v>
      </c>
      <c r="J28179" s="7" t="n">
        <v>1</v>
      </c>
      <c r="K28179" s="7" t="n">
        <v>3</v>
      </c>
      <c r="L28179" s="7" t="n">
        <v>28</v>
      </c>
      <c r="M28179" s="20" t="s">
        <v>3</v>
      </c>
      <c r="N28179" s="8" t="n">
        <v>162</v>
      </c>
      <c r="O28179" s="7" t="n">
        <v>3</v>
      </c>
      <c r="P28179" s="7" t="n">
        <v>36885</v>
      </c>
      <c r="Q28179" s="20" t="s">
        <v>3</v>
      </c>
      <c r="R28179" s="7" t="n">
        <v>0</v>
      </c>
      <c r="S28179" s="7" t="n">
        <v>2</v>
      </c>
      <c r="T28179" s="7" t="n">
        <v>3</v>
      </c>
      <c r="U28179" s="7" t="n">
        <v>9</v>
      </c>
      <c r="V28179" s="7" t="n">
        <v>1</v>
      </c>
      <c r="W28179" s="11" t="n">
        <f t="normal" ca="1">A28189</f>
        <v>0</v>
      </c>
    </row>
    <row r="28180" spans="1:23">
      <c r="A28180" t="s">
        <v>4</v>
      </c>
      <c r="B28180" s="4" t="s">
        <v>5</v>
      </c>
      <c r="C28180" s="4" t="s">
        <v>7</v>
      </c>
      <c r="D28180" s="20" t="s">
        <v>35</v>
      </c>
      <c r="E28180" s="4" t="s">
        <v>5</v>
      </c>
      <c r="F28180" s="4" t="s">
        <v>11</v>
      </c>
      <c r="G28180" s="4" t="s">
        <v>7</v>
      </c>
      <c r="H28180" s="4" t="s">
        <v>7</v>
      </c>
      <c r="I28180" s="4" t="s">
        <v>8</v>
      </c>
      <c r="J28180" s="20" t="s">
        <v>36</v>
      </c>
      <c r="K28180" s="4" t="s">
        <v>7</v>
      </c>
      <c r="L28180" s="4" t="s">
        <v>7</v>
      </c>
      <c r="M28180" s="20" t="s">
        <v>35</v>
      </c>
      <c r="N28180" s="4" t="s">
        <v>5</v>
      </c>
      <c r="O28180" s="4" t="s">
        <v>7</v>
      </c>
      <c r="P28180" s="20" t="s">
        <v>36</v>
      </c>
      <c r="Q28180" s="4" t="s">
        <v>7</v>
      </c>
      <c r="R28180" s="4" t="s">
        <v>15</v>
      </c>
      <c r="S28180" s="4" t="s">
        <v>7</v>
      </c>
      <c r="T28180" s="4" t="s">
        <v>7</v>
      </c>
      <c r="U28180" s="4" t="s">
        <v>7</v>
      </c>
      <c r="V28180" s="20" t="s">
        <v>35</v>
      </c>
      <c r="W28180" s="4" t="s">
        <v>5</v>
      </c>
      <c r="X28180" s="4" t="s">
        <v>7</v>
      </c>
      <c r="Y28180" s="20" t="s">
        <v>36</v>
      </c>
      <c r="Z28180" s="4" t="s">
        <v>7</v>
      </c>
      <c r="AA28180" s="4" t="s">
        <v>15</v>
      </c>
      <c r="AB28180" s="4" t="s">
        <v>7</v>
      </c>
      <c r="AC28180" s="4" t="s">
        <v>7</v>
      </c>
      <c r="AD28180" s="4" t="s">
        <v>7</v>
      </c>
      <c r="AE28180" s="4" t="s">
        <v>12</v>
      </c>
    </row>
    <row r="28181" spans="1:23">
      <c r="A28181" t="n">
        <v>274403</v>
      </c>
      <c r="B28181" s="10" t="n">
        <v>5</v>
      </c>
      <c r="C28181" s="7" t="n">
        <v>28</v>
      </c>
      <c r="D28181" s="20" t="s">
        <v>3</v>
      </c>
      <c r="E28181" s="41" t="n">
        <v>47</v>
      </c>
      <c r="F28181" s="7" t="n">
        <v>61456</v>
      </c>
      <c r="G28181" s="7" t="n">
        <v>2</v>
      </c>
      <c r="H28181" s="7" t="n">
        <v>0</v>
      </c>
      <c r="I28181" s="7" t="s">
        <v>105</v>
      </c>
      <c r="J28181" s="20" t="s">
        <v>3</v>
      </c>
      <c r="K28181" s="7" t="n">
        <v>8</v>
      </c>
      <c r="L28181" s="7" t="n">
        <v>28</v>
      </c>
      <c r="M28181" s="20" t="s">
        <v>3</v>
      </c>
      <c r="N28181" s="45" t="n">
        <v>74</v>
      </c>
      <c r="O28181" s="7" t="n">
        <v>65</v>
      </c>
      <c r="P28181" s="20" t="s">
        <v>3</v>
      </c>
      <c r="Q28181" s="7" t="n">
        <v>0</v>
      </c>
      <c r="R28181" s="7" t="n">
        <v>1</v>
      </c>
      <c r="S28181" s="7" t="n">
        <v>3</v>
      </c>
      <c r="T28181" s="7" t="n">
        <v>9</v>
      </c>
      <c r="U28181" s="7" t="n">
        <v>28</v>
      </c>
      <c r="V28181" s="20" t="s">
        <v>3</v>
      </c>
      <c r="W28181" s="45" t="n">
        <v>74</v>
      </c>
      <c r="X28181" s="7" t="n">
        <v>65</v>
      </c>
      <c r="Y28181" s="20" t="s">
        <v>3</v>
      </c>
      <c r="Z28181" s="7" t="n">
        <v>0</v>
      </c>
      <c r="AA28181" s="7" t="n">
        <v>2</v>
      </c>
      <c r="AB28181" s="7" t="n">
        <v>3</v>
      </c>
      <c r="AC28181" s="7" t="n">
        <v>9</v>
      </c>
      <c r="AD28181" s="7" t="n">
        <v>1</v>
      </c>
      <c r="AE28181" s="11" t="n">
        <f t="normal" ca="1">A28185</f>
        <v>0</v>
      </c>
    </row>
    <row r="28182" spans="1:23">
      <c r="A28182" t="s">
        <v>4</v>
      </c>
      <c r="B28182" s="4" t="s">
        <v>5</v>
      </c>
      <c r="C28182" s="4" t="s">
        <v>11</v>
      </c>
      <c r="D28182" s="4" t="s">
        <v>7</v>
      </c>
      <c r="E28182" s="4" t="s">
        <v>7</v>
      </c>
      <c r="F28182" s="4" t="s">
        <v>8</v>
      </c>
    </row>
    <row r="28183" spans="1:23">
      <c r="A28183" t="n">
        <v>274451</v>
      </c>
      <c r="B28183" s="41" t="n">
        <v>47</v>
      </c>
      <c r="C28183" s="7" t="n">
        <v>61456</v>
      </c>
      <c r="D28183" s="7" t="n">
        <v>0</v>
      </c>
      <c r="E28183" s="7" t="n">
        <v>0</v>
      </c>
      <c r="F28183" s="7" t="s">
        <v>106</v>
      </c>
    </row>
    <row r="28184" spans="1:23">
      <c r="A28184" t="s">
        <v>4</v>
      </c>
      <c r="B28184" s="4" t="s">
        <v>5</v>
      </c>
      <c r="C28184" s="4" t="s">
        <v>7</v>
      </c>
      <c r="D28184" s="4" t="s">
        <v>11</v>
      </c>
      <c r="E28184" s="4" t="s">
        <v>13</v>
      </c>
    </row>
    <row r="28185" spans="1:23">
      <c r="A28185" t="n">
        <v>274464</v>
      </c>
      <c r="B28185" s="23" t="n">
        <v>58</v>
      </c>
      <c r="C28185" s="7" t="n">
        <v>0</v>
      </c>
      <c r="D28185" s="7" t="n">
        <v>300</v>
      </c>
      <c r="E28185" s="7" t="n">
        <v>1</v>
      </c>
    </row>
    <row r="28186" spans="1:23">
      <c r="A28186" t="s">
        <v>4</v>
      </c>
      <c r="B28186" s="4" t="s">
        <v>5</v>
      </c>
      <c r="C28186" s="4" t="s">
        <v>7</v>
      </c>
      <c r="D28186" s="4" t="s">
        <v>11</v>
      </c>
    </row>
    <row r="28187" spans="1:23">
      <c r="A28187" t="n">
        <v>274472</v>
      </c>
      <c r="B28187" s="23" t="n">
        <v>58</v>
      </c>
      <c r="C28187" s="7" t="n">
        <v>255</v>
      </c>
      <c r="D28187" s="7" t="n">
        <v>0</v>
      </c>
    </row>
    <row r="28188" spans="1:23">
      <c r="A28188" t="s">
        <v>4</v>
      </c>
      <c r="B28188" s="4" t="s">
        <v>5</v>
      </c>
      <c r="C28188" s="4" t="s">
        <v>7</v>
      </c>
      <c r="D28188" s="4" t="s">
        <v>7</v>
      </c>
      <c r="E28188" s="4" t="s">
        <v>7</v>
      </c>
      <c r="F28188" s="4" t="s">
        <v>7</v>
      </c>
    </row>
    <row r="28189" spans="1:23">
      <c r="A28189" t="n">
        <v>274476</v>
      </c>
      <c r="B28189" s="9" t="n">
        <v>14</v>
      </c>
      <c r="C28189" s="7" t="n">
        <v>0</v>
      </c>
      <c r="D28189" s="7" t="n">
        <v>0</v>
      </c>
      <c r="E28189" s="7" t="n">
        <v>0</v>
      </c>
      <c r="F28189" s="7" t="n">
        <v>64</v>
      </c>
    </row>
    <row r="28190" spans="1:23">
      <c r="A28190" t="s">
        <v>4</v>
      </c>
      <c r="B28190" s="4" t="s">
        <v>5</v>
      </c>
      <c r="C28190" s="4" t="s">
        <v>7</v>
      </c>
      <c r="D28190" s="4" t="s">
        <v>11</v>
      </c>
    </row>
    <row r="28191" spans="1:23">
      <c r="A28191" t="n">
        <v>274481</v>
      </c>
      <c r="B28191" s="22" t="n">
        <v>22</v>
      </c>
      <c r="C28191" s="7" t="n">
        <v>0</v>
      </c>
      <c r="D28191" s="7" t="n">
        <v>36885</v>
      </c>
    </row>
    <row r="28192" spans="1:23">
      <c r="A28192" t="s">
        <v>4</v>
      </c>
      <c r="B28192" s="4" t="s">
        <v>5</v>
      </c>
      <c r="C28192" s="4" t="s">
        <v>7</v>
      </c>
      <c r="D28192" s="4" t="s">
        <v>11</v>
      </c>
    </row>
    <row r="28193" spans="1:31">
      <c r="A28193" t="n">
        <v>274485</v>
      </c>
      <c r="B28193" s="23" t="n">
        <v>58</v>
      </c>
      <c r="C28193" s="7" t="n">
        <v>5</v>
      </c>
      <c r="D28193" s="7" t="n">
        <v>300</v>
      </c>
    </row>
    <row r="28194" spans="1:31">
      <c r="A28194" t="s">
        <v>4</v>
      </c>
      <c r="B28194" s="4" t="s">
        <v>5</v>
      </c>
      <c r="C28194" s="4" t="s">
        <v>13</v>
      </c>
      <c r="D28194" s="4" t="s">
        <v>11</v>
      </c>
    </row>
    <row r="28195" spans="1:31">
      <c r="A28195" t="n">
        <v>274489</v>
      </c>
      <c r="B28195" s="46" t="n">
        <v>103</v>
      </c>
      <c r="C28195" s="7" t="n">
        <v>0</v>
      </c>
      <c r="D28195" s="7" t="n">
        <v>300</v>
      </c>
    </row>
    <row r="28196" spans="1:31">
      <c r="A28196" t="s">
        <v>4</v>
      </c>
      <c r="B28196" s="4" t="s">
        <v>5</v>
      </c>
      <c r="C28196" s="4" t="s">
        <v>7</v>
      </c>
    </row>
    <row r="28197" spans="1:31">
      <c r="A28197" t="n">
        <v>274496</v>
      </c>
      <c r="B28197" s="47" t="n">
        <v>64</v>
      </c>
      <c r="C28197" s="7" t="n">
        <v>7</v>
      </c>
    </row>
    <row r="28198" spans="1:31">
      <c r="A28198" t="s">
        <v>4</v>
      </c>
      <c r="B28198" s="4" t="s">
        <v>5</v>
      </c>
      <c r="C28198" s="4" t="s">
        <v>7</v>
      </c>
      <c r="D28198" s="4" t="s">
        <v>11</v>
      </c>
    </row>
    <row r="28199" spans="1:31">
      <c r="A28199" t="n">
        <v>274498</v>
      </c>
      <c r="B28199" s="48" t="n">
        <v>72</v>
      </c>
      <c r="C28199" s="7" t="n">
        <v>5</v>
      </c>
      <c r="D28199" s="7" t="n">
        <v>0</v>
      </c>
    </row>
    <row r="28200" spans="1:31">
      <c r="A28200" t="s">
        <v>4</v>
      </c>
      <c r="B28200" s="4" t="s">
        <v>5</v>
      </c>
      <c r="C28200" s="4" t="s">
        <v>7</v>
      </c>
      <c r="D28200" s="20" t="s">
        <v>35</v>
      </c>
      <c r="E28200" s="4" t="s">
        <v>5</v>
      </c>
      <c r="F28200" s="4" t="s">
        <v>7</v>
      </c>
      <c r="G28200" s="4" t="s">
        <v>11</v>
      </c>
      <c r="H28200" s="20" t="s">
        <v>36</v>
      </c>
      <c r="I28200" s="4" t="s">
        <v>7</v>
      </c>
      <c r="J28200" s="4" t="s">
        <v>15</v>
      </c>
      <c r="K28200" s="4" t="s">
        <v>7</v>
      </c>
      <c r="L28200" s="4" t="s">
        <v>7</v>
      </c>
      <c r="M28200" s="4" t="s">
        <v>12</v>
      </c>
    </row>
    <row r="28201" spans="1:31">
      <c r="A28201" t="n">
        <v>274502</v>
      </c>
      <c r="B28201" s="10" t="n">
        <v>5</v>
      </c>
      <c r="C28201" s="7" t="n">
        <v>28</v>
      </c>
      <c r="D28201" s="20" t="s">
        <v>3</v>
      </c>
      <c r="E28201" s="8" t="n">
        <v>162</v>
      </c>
      <c r="F28201" s="7" t="n">
        <v>4</v>
      </c>
      <c r="G28201" s="7" t="n">
        <v>36885</v>
      </c>
      <c r="H28201" s="20" t="s">
        <v>3</v>
      </c>
      <c r="I28201" s="7" t="n">
        <v>0</v>
      </c>
      <c r="J28201" s="7" t="n">
        <v>1</v>
      </c>
      <c r="K28201" s="7" t="n">
        <v>2</v>
      </c>
      <c r="L28201" s="7" t="n">
        <v>1</v>
      </c>
      <c r="M28201" s="11" t="n">
        <f t="normal" ca="1">A28207</f>
        <v>0</v>
      </c>
    </row>
    <row r="28202" spans="1:31">
      <c r="A28202" t="s">
        <v>4</v>
      </c>
      <c r="B28202" s="4" t="s">
        <v>5</v>
      </c>
      <c r="C28202" s="4" t="s">
        <v>7</v>
      </c>
      <c r="D28202" s="4" t="s">
        <v>8</v>
      </c>
    </row>
    <row r="28203" spans="1:31">
      <c r="A28203" t="n">
        <v>274519</v>
      </c>
      <c r="B28203" s="6" t="n">
        <v>2</v>
      </c>
      <c r="C28203" s="7" t="n">
        <v>10</v>
      </c>
      <c r="D28203" s="7" t="s">
        <v>107</v>
      </c>
    </row>
    <row r="28204" spans="1:31">
      <c r="A28204" t="s">
        <v>4</v>
      </c>
      <c r="B28204" s="4" t="s">
        <v>5</v>
      </c>
      <c r="C28204" s="4" t="s">
        <v>11</v>
      </c>
    </row>
    <row r="28205" spans="1:31">
      <c r="A28205" t="n">
        <v>274536</v>
      </c>
      <c r="B28205" s="29" t="n">
        <v>16</v>
      </c>
      <c r="C28205" s="7" t="n">
        <v>0</v>
      </c>
    </row>
    <row r="28206" spans="1:31">
      <c r="A28206" t="s">
        <v>4</v>
      </c>
      <c r="B28206" s="4" t="s">
        <v>5</v>
      </c>
      <c r="C28206" s="4" t="s">
        <v>7</v>
      </c>
      <c r="D28206" s="4" t="s">
        <v>11</v>
      </c>
      <c r="E28206" s="4" t="s">
        <v>15</v>
      </c>
      <c r="F28206" s="4" t="s">
        <v>11</v>
      </c>
      <c r="G28206" s="4" t="s">
        <v>15</v>
      </c>
      <c r="H28206" s="4" t="s">
        <v>7</v>
      </c>
    </row>
    <row r="28207" spans="1:31">
      <c r="A28207" t="n">
        <v>274539</v>
      </c>
      <c r="B28207" s="13" t="n">
        <v>49</v>
      </c>
      <c r="C28207" s="7" t="n">
        <v>0</v>
      </c>
      <c r="D28207" s="7" t="n">
        <v>501</v>
      </c>
      <c r="E28207" s="7" t="n">
        <v>1065353216</v>
      </c>
      <c r="F28207" s="7" t="n">
        <v>0</v>
      </c>
      <c r="G28207" s="7" t="n">
        <v>0</v>
      </c>
      <c r="H28207" s="7" t="n">
        <v>0</v>
      </c>
    </row>
    <row r="28208" spans="1:31">
      <c r="A28208" t="s">
        <v>4</v>
      </c>
      <c r="B28208" s="4" t="s">
        <v>5</v>
      </c>
      <c r="C28208" s="4" t="s">
        <v>11</v>
      </c>
      <c r="D28208" s="4" t="s">
        <v>8</v>
      </c>
      <c r="E28208" s="4" t="s">
        <v>8</v>
      </c>
      <c r="F28208" s="4" t="s">
        <v>8</v>
      </c>
      <c r="G28208" s="4" t="s">
        <v>7</v>
      </c>
      <c r="H28208" s="4" t="s">
        <v>15</v>
      </c>
      <c r="I28208" s="4" t="s">
        <v>13</v>
      </c>
      <c r="J28208" s="4" t="s">
        <v>13</v>
      </c>
      <c r="K28208" s="4" t="s">
        <v>13</v>
      </c>
      <c r="L28208" s="4" t="s">
        <v>13</v>
      </c>
      <c r="M28208" s="4" t="s">
        <v>13</v>
      </c>
      <c r="N28208" s="4" t="s">
        <v>13</v>
      </c>
      <c r="O28208" s="4" t="s">
        <v>13</v>
      </c>
      <c r="P28208" s="4" t="s">
        <v>8</v>
      </c>
      <c r="Q28208" s="4" t="s">
        <v>8</v>
      </c>
      <c r="R28208" s="4" t="s">
        <v>15</v>
      </c>
      <c r="S28208" s="4" t="s">
        <v>7</v>
      </c>
      <c r="T28208" s="4" t="s">
        <v>15</v>
      </c>
      <c r="U28208" s="4" t="s">
        <v>15</v>
      </c>
      <c r="V28208" s="4" t="s">
        <v>11</v>
      </c>
    </row>
    <row r="28209" spans="1:22">
      <c r="A28209" t="n">
        <v>274554</v>
      </c>
      <c r="B28209" s="62" t="n">
        <v>19</v>
      </c>
      <c r="C28209" s="7" t="n">
        <v>7</v>
      </c>
      <c r="D28209" s="7" t="s">
        <v>552</v>
      </c>
      <c r="E28209" s="7" t="s">
        <v>553</v>
      </c>
      <c r="F28209" s="7" t="s">
        <v>16</v>
      </c>
      <c r="G28209" s="7" t="n">
        <v>0</v>
      </c>
      <c r="H28209" s="7" t="n">
        <v>1</v>
      </c>
      <c r="I28209" s="7" t="n">
        <v>0</v>
      </c>
      <c r="J28209" s="7" t="n">
        <v>0</v>
      </c>
      <c r="K28209" s="7" t="n">
        <v>0</v>
      </c>
      <c r="L28209" s="7" t="n">
        <v>0</v>
      </c>
      <c r="M28209" s="7" t="n">
        <v>1</v>
      </c>
      <c r="N28209" s="7" t="n">
        <v>1.60000002384186</v>
      </c>
      <c r="O28209" s="7" t="n">
        <v>0.0900000035762787</v>
      </c>
      <c r="P28209" s="7" t="s">
        <v>16</v>
      </c>
      <c r="Q28209" s="7" t="s">
        <v>16</v>
      </c>
      <c r="R28209" s="7" t="n">
        <v>-1</v>
      </c>
      <c r="S28209" s="7" t="n">
        <v>0</v>
      </c>
      <c r="T28209" s="7" t="n">
        <v>0</v>
      </c>
      <c r="U28209" s="7" t="n">
        <v>0</v>
      </c>
      <c r="V28209" s="7" t="n">
        <v>0</v>
      </c>
    </row>
    <row r="28210" spans="1:22">
      <c r="A28210" t="s">
        <v>4</v>
      </c>
      <c r="B28210" s="4" t="s">
        <v>5</v>
      </c>
      <c r="C28210" s="4" t="s">
        <v>11</v>
      </c>
      <c r="D28210" s="4" t="s">
        <v>7</v>
      </c>
      <c r="E28210" s="4" t="s">
        <v>7</v>
      </c>
      <c r="F28210" s="4" t="s">
        <v>8</v>
      </c>
    </row>
    <row r="28211" spans="1:22">
      <c r="A28211" t="n">
        <v>274625</v>
      </c>
      <c r="B28211" s="50" t="n">
        <v>20</v>
      </c>
      <c r="C28211" s="7" t="n">
        <v>0</v>
      </c>
      <c r="D28211" s="7" t="n">
        <v>3</v>
      </c>
      <c r="E28211" s="7" t="n">
        <v>10</v>
      </c>
      <c r="F28211" s="7" t="s">
        <v>108</v>
      </c>
    </row>
    <row r="28212" spans="1:22">
      <c r="A28212" t="s">
        <v>4</v>
      </c>
      <c r="B28212" s="4" t="s">
        <v>5</v>
      </c>
      <c r="C28212" s="4" t="s">
        <v>11</v>
      </c>
    </row>
    <row r="28213" spans="1:22">
      <c r="A28213" t="n">
        <v>274643</v>
      </c>
      <c r="B28213" s="29" t="n">
        <v>16</v>
      </c>
      <c r="C28213" s="7" t="n">
        <v>0</v>
      </c>
    </row>
    <row r="28214" spans="1:22">
      <c r="A28214" t="s">
        <v>4</v>
      </c>
      <c r="B28214" s="4" t="s">
        <v>5</v>
      </c>
      <c r="C28214" s="4" t="s">
        <v>11</v>
      </c>
      <c r="D28214" s="4" t="s">
        <v>7</v>
      </c>
      <c r="E28214" s="4" t="s">
        <v>7</v>
      </c>
      <c r="F28214" s="4" t="s">
        <v>8</v>
      </c>
    </row>
    <row r="28215" spans="1:22">
      <c r="A28215" t="n">
        <v>274646</v>
      </c>
      <c r="B28215" s="50" t="n">
        <v>20</v>
      </c>
      <c r="C28215" s="7" t="n">
        <v>7</v>
      </c>
      <c r="D28215" s="7" t="n">
        <v>3</v>
      </c>
      <c r="E28215" s="7" t="n">
        <v>10</v>
      </c>
      <c r="F28215" s="7" t="s">
        <v>108</v>
      </c>
    </row>
    <row r="28216" spans="1:22">
      <c r="A28216" t="s">
        <v>4</v>
      </c>
      <c r="B28216" s="4" t="s">
        <v>5</v>
      </c>
      <c r="C28216" s="4" t="s">
        <v>11</v>
      </c>
    </row>
    <row r="28217" spans="1:22">
      <c r="A28217" t="n">
        <v>274664</v>
      </c>
      <c r="B28217" s="29" t="n">
        <v>16</v>
      </c>
      <c r="C28217" s="7" t="n">
        <v>0</v>
      </c>
    </row>
    <row r="28218" spans="1:22">
      <c r="A28218" t="s">
        <v>4</v>
      </c>
      <c r="B28218" s="4" t="s">
        <v>5</v>
      </c>
      <c r="C28218" s="4" t="s">
        <v>7</v>
      </c>
      <c r="D28218" s="4" t="s">
        <v>11</v>
      </c>
      <c r="E28218" s="4" t="s">
        <v>7</v>
      </c>
      <c r="F28218" s="4" t="s">
        <v>8</v>
      </c>
      <c r="G28218" s="4" t="s">
        <v>8</v>
      </c>
      <c r="H28218" s="4" t="s">
        <v>8</v>
      </c>
      <c r="I28218" s="4" t="s">
        <v>8</v>
      </c>
      <c r="J28218" s="4" t="s">
        <v>8</v>
      </c>
      <c r="K28218" s="4" t="s">
        <v>8</v>
      </c>
      <c r="L28218" s="4" t="s">
        <v>8</v>
      </c>
      <c r="M28218" s="4" t="s">
        <v>8</v>
      </c>
      <c r="N28218" s="4" t="s">
        <v>8</v>
      </c>
      <c r="O28218" s="4" t="s">
        <v>8</v>
      </c>
      <c r="P28218" s="4" t="s">
        <v>8</v>
      </c>
      <c r="Q28218" s="4" t="s">
        <v>8</v>
      </c>
      <c r="R28218" s="4" t="s">
        <v>8</v>
      </c>
      <c r="S28218" s="4" t="s">
        <v>8</v>
      </c>
      <c r="T28218" s="4" t="s">
        <v>8</v>
      </c>
      <c r="U28218" s="4" t="s">
        <v>8</v>
      </c>
    </row>
    <row r="28219" spans="1:22">
      <c r="A28219" t="n">
        <v>274667</v>
      </c>
      <c r="B28219" s="40" t="n">
        <v>36</v>
      </c>
      <c r="C28219" s="7" t="n">
        <v>8</v>
      </c>
      <c r="D28219" s="7" t="n">
        <v>0</v>
      </c>
      <c r="E28219" s="7" t="n">
        <v>0</v>
      </c>
      <c r="F28219" s="7" t="s">
        <v>1629</v>
      </c>
      <c r="G28219" s="7" t="s">
        <v>1630</v>
      </c>
      <c r="H28219" s="7" t="s">
        <v>853</v>
      </c>
      <c r="I28219" s="7" t="s">
        <v>16</v>
      </c>
      <c r="J28219" s="7" t="s">
        <v>16</v>
      </c>
      <c r="K28219" s="7" t="s">
        <v>16</v>
      </c>
      <c r="L28219" s="7" t="s">
        <v>16</v>
      </c>
      <c r="M28219" s="7" t="s">
        <v>16</v>
      </c>
      <c r="N28219" s="7" t="s">
        <v>16</v>
      </c>
      <c r="O28219" s="7" t="s">
        <v>16</v>
      </c>
      <c r="P28219" s="7" t="s">
        <v>16</v>
      </c>
      <c r="Q28219" s="7" t="s">
        <v>16</v>
      </c>
      <c r="R28219" s="7" t="s">
        <v>16</v>
      </c>
      <c r="S28219" s="7" t="s">
        <v>16</v>
      </c>
      <c r="T28219" s="7" t="s">
        <v>16</v>
      </c>
      <c r="U28219" s="7" t="s">
        <v>16</v>
      </c>
    </row>
    <row r="28220" spans="1:22">
      <c r="A28220" t="s">
        <v>4</v>
      </c>
      <c r="B28220" s="4" t="s">
        <v>5</v>
      </c>
      <c r="C28220" s="4" t="s">
        <v>7</v>
      </c>
      <c r="D28220" s="4" t="s">
        <v>11</v>
      </c>
      <c r="E28220" s="4" t="s">
        <v>7</v>
      </c>
      <c r="F28220" s="4" t="s">
        <v>8</v>
      </c>
      <c r="G28220" s="4" t="s">
        <v>8</v>
      </c>
      <c r="H28220" s="4" t="s">
        <v>8</v>
      </c>
      <c r="I28220" s="4" t="s">
        <v>8</v>
      </c>
      <c r="J28220" s="4" t="s">
        <v>8</v>
      </c>
      <c r="K28220" s="4" t="s">
        <v>8</v>
      </c>
      <c r="L28220" s="4" t="s">
        <v>8</v>
      </c>
      <c r="M28220" s="4" t="s">
        <v>8</v>
      </c>
      <c r="N28220" s="4" t="s">
        <v>8</v>
      </c>
      <c r="O28220" s="4" t="s">
        <v>8</v>
      </c>
      <c r="P28220" s="4" t="s">
        <v>8</v>
      </c>
      <c r="Q28220" s="4" t="s">
        <v>8</v>
      </c>
      <c r="R28220" s="4" t="s">
        <v>8</v>
      </c>
      <c r="S28220" s="4" t="s">
        <v>8</v>
      </c>
      <c r="T28220" s="4" t="s">
        <v>8</v>
      </c>
      <c r="U28220" s="4" t="s">
        <v>8</v>
      </c>
    </row>
    <row r="28221" spans="1:22">
      <c r="A28221" t="n">
        <v>274715</v>
      </c>
      <c r="B28221" s="40" t="n">
        <v>36</v>
      </c>
      <c r="C28221" s="7" t="n">
        <v>8</v>
      </c>
      <c r="D28221" s="7" t="n">
        <v>7</v>
      </c>
      <c r="E28221" s="7" t="n">
        <v>0</v>
      </c>
      <c r="F28221" s="7" t="s">
        <v>91</v>
      </c>
      <c r="G28221" s="7" t="s">
        <v>1629</v>
      </c>
      <c r="H28221" s="7" t="s">
        <v>1630</v>
      </c>
      <c r="I28221" s="7" t="s">
        <v>16</v>
      </c>
      <c r="J28221" s="7" t="s">
        <v>16</v>
      </c>
      <c r="K28221" s="7" t="s">
        <v>16</v>
      </c>
      <c r="L28221" s="7" t="s">
        <v>16</v>
      </c>
      <c r="M28221" s="7" t="s">
        <v>16</v>
      </c>
      <c r="N28221" s="7" t="s">
        <v>16</v>
      </c>
      <c r="O28221" s="7" t="s">
        <v>16</v>
      </c>
      <c r="P28221" s="7" t="s">
        <v>16</v>
      </c>
      <c r="Q28221" s="7" t="s">
        <v>16</v>
      </c>
      <c r="R28221" s="7" t="s">
        <v>16</v>
      </c>
      <c r="S28221" s="7" t="s">
        <v>16</v>
      </c>
      <c r="T28221" s="7" t="s">
        <v>16</v>
      </c>
      <c r="U28221" s="7" t="s">
        <v>16</v>
      </c>
    </row>
    <row r="28222" spans="1:22">
      <c r="A28222" t="s">
        <v>4</v>
      </c>
      <c r="B28222" s="4" t="s">
        <v>5</v>
      </c>
      <c r="C28222" s="4" t="s">
        <v>7</v>
      </c>
    </row>
    <row r="28223" spans="1:22">
      <c r="A28223" t="n">
        <v>274768</v>
      </c>
      <c r="B28223" s="49" t="n">
        <v>116</v>
      </c>
      <c r="C28223" s="7" t="n">
        <v>0</v>
      </c>
    </row>
    <row r="28224" spans="1:22">
      <c r="A28224" t="s">
        <v>4</v>
      </c>
      <c r="B28224" s="4" t="s">
        <v>5</v>
      </c>
      <c r="C28224" s="4" t="s">
        <v>7</v>
      </c>
      <c r="D28224" s="4" t="s">
        <v>11</v>
      </c>
    </row>
    <row r="28225" spans="1:22">
      <c r="A28225" t="n">
        <v>274770</v>
      </c>
      <c r="B28225" s="49" t="n">
        <v>116</v>
      </c>
      <c r="C28225" s="7" t="n">
        <v>2</v>
      </c>
      <c r="D28225" s="7" t="n">
        <v>1</v>
      </c>
    </row>
    <row r="28226" spans="1:22">
      <c r="A28226" t="s">
        <v>4</v>
      </c>
      <c r="B28226" s="4" t="s">
        <v>5</v>
      </c>
      <c r="C28226" s="4" t="s">
        <v>7</v>
      </c>
      <c r="D28226" s="4" t="s">
        <v>15</v>
      </c>
    </row>
    <row r="28227" spans="1:22">
      <c r="A28227" t="n">
        <v>274774</v>
      </c>
      <c r="B28227" s="49" t="n">
        <v>116</v>
      </c>
      <c r="C28227" s="7" t="n">
        <v>5</v>
      </c>
      <c r="D28227" s="7" t="n">
        <v>1088421888</v>
      </c>
    </row>
    <row r="28228" spans="1:22">
      <c r="A28228" t="s">
        <v>4</v>
      </c>
      <c r="B28228" s="4" t="s">
        <v>5</v>
      </c>
      <c r="C28228" s="4" t="s">
        <v>7</v>
      </c>
      <c r="D28228" s="4" t="s">
        <v>11</v>
      </c>
    </row>
    <row r="28229" spans="1:22">
      <c r="A28229" t="n">
        <v>274780</v>
      </c>
      <c r="B28229" s="49" t="n">
        <v>116</v>
      </c>
      <c r="C28229" s="7" t="n">
        <v>6</v>
      </c>
      <c r="D28229" s="7" t="n">
        <v>1</v>
      </c>
    </row>
    <row r="28230" spans="1:22">
      <c r="A28230" t="s">
        <v>4</v>
      </c>
      <c r="B28230" s="4" t="s">
        <v>5</v>
      </c>
      <c r="C28230" s="4" t="s">
        <v>11</v>
      </c>
      <c r="D28230" s="4" t="s">
        <v>13</v>
      </c>
      <c r="E28230" s="4" t="s">
        <v>13</v>
      </c>
      <c r="F28230" s="4" t="s">
        <v>13</v>
      </c>
      <c r="G28230" s="4" t="s">
        <v>13</v>
      </c>
    </row>
    <row r="28231" spans="1:22">
      <c r="A28231" t="n">
        <v>274784</v>
      </c>
      <c r="B28231" s="36" t="n">
        <v>46</v>
      </c>
      <c r="C28231" s="7" t="n">
        <v>0</v>
      </c>
      <c r="D28231" s="7" t="n">
        <v>-18.0799999237061</v>
      </c>
      <c r="E28231" s="7" t="n">
        <v>10.0100002288818</v>
      </c>
      <c r="F28231" s="7" t="n">
        <v>49.9900016784668</v>
      </c>
      <c r="G28231" s="7" t="n">
        <v>283.700012207031</v>
      </c>
    </row>
    <row r="28232" spans="1:22">
      <c r="A28232" t="s">
        <v>4</v>
      </c>
      <c r="B28232" s="4" t="s">
        <v>5</v>
      </c>
      <c r="C28232" s="4" t="s">
        <v>11</v>
      </c>
      <c r="D28232" s="4" t="s">
        <v>13</v>
      </c>
      <c r="E28232" s="4" t="s">
        <v>13</v>
      </c>
      <c r="F28232" s="4" t="s">
        <v>13</v>
      </c>
      <c r="G28232" s="4" t="s">
        <v>13</v>
      </c>
    </row>
    <row r="28233" spans="1:22">
      <c r="A28233" t="n">
        <v>274803</v>
      </c>
      <c r="B28233" s="36" t="n">
        <v>46</v>
      </c>
      <c r="C28233" s="7" t="n">
        <v>7</v>
      </c>
      <c r="D28233" s="7" t="n">
        <v>-18.9899997711182</v>
      </c>
      <c r="E28233" s="7" t="n">
        <v>10.0100002288818</v>
      </c>
      <c r="F28233" s="7" t="n">
        <v>50.25</v>
      </c>
      <c r="G28233" s="7" t="n">
        <v>0</v>
      </c>
    </row>
    <row r="28234" spans="1:22">
      <c r="A28234" t="s">
        <v>4</v>
      </c>
      <c r="B28234" s="4" t="s">
        <v>5</v>
      </c>
      <c r="C28234" s="4" t="s">
        <v>11</v>
      </c>
      <c r="D28234" s="4" t="s">
        <v>15</v>
      </c>
    </row>
    <row r="28235" spans="1:22">
      <c r="A28235" t="n">
        <v>274822</v>
      </c>
      <c r="B28235" s="39" t="n">
        <v>43</v>
      </c>
      <c r="C28235" s="7" t="n">
        <v>7</v>
      </c>
      <c r="D28235" s="7" t="n">
        <v>64</v>
      </c>
    </row>
    <row r="28236" spans="1:22">
      <c r="A28236" t="s">
        <v>4</v>
      </c>
      <c r="B28236" s="4" t="s">
        <v>5</v>
      </c>
      <c r="C28236" s="4" t="s">
        <v>7</v>
      </c>
      <c r="D28236" s="4" t="s">
        <v>8</v>
      </c>
      <c r="E28236" s="4" t="s">
        <v>11</v>
      </c>
    </row>
    <row r="28237" spans="1:22">
      <c r="A28237" t="n">
        <v>274829</v>
      </c>
      <c r="B28237" s="15" t="n">
        <v>94</v>
      </c>
      <c r="C28237" s="7" t="n">
        <v>0</v>
      </c>
      <c r="D28237" s="7" t="s">
        <v>21</v>
      </c>
      <c r="E28237" s="7" t="n">
        <v>1</v>
      </c>
    </row>
    <row r="28238" spans="1:22">
      <c r="A28238" t="s">
        <v>4</v>
      </c>
      <c r="B28238" s="4" t="s">
        <v>5</v>
      </c>
      <c r="C28238" s="4" t="s">
        <v>7</v>
      </c>
      <c r="D28238" s="4" t="s">
        <v>8</v>
      </c>
      <c r="E28238" s="4" t="s">
        <v>11</v>
      </c>
    </row>
    <row r="28239" spans="1:22">
      <c r="A28239" t="n">
        <v>274847</v>
      </c>
      <c r="B28239" s="15" t="n">
        <v>94</v>
      </c>
      <c r="C28239" s="7" t="n">
        <v>0</v>
      </c>
      <c r="D28239" s="7" t="s">
        <v>21</v>
      </c>
      <c r="E28239" s="7" t="n">
        <v>2</v>
      </c>
    </row>
    <row r="28240" spans="1:22">
      <c r="A28240" t="s">
        <v>4</v>
      </c>
      <c r="B28240" s="4" t="s">
        <v>5</v>
      </c>
      <c r="C28240" s="4" t="s">
        <v>7</v>
      </c>
      <c r="D28240" s="4" t="s">
        <v>8</v>
      </c>
      <c r="E28240" s="4" t="s">
        <v>11</v>
      </c>
    </row>
    <row r="28241" spans="1:7">
      <c r="A28241" t="n">
        <v>274865</v>
      </c>
      <c r="B28241" s="15" t="n">
        <v>94</v>
      </c>
      <c r="C28241" s="7" t="n">
        <v>1</v>
      </c>
      <c r="D28241" s="7" t="s">
        <v>21</v>
      </c>
      <c r="E28241" s="7" t="n">
        <v>4</v>
      </c>
    </row>
    <row r="28242" spans="1:7">
      <c r="A28242" t="s">
        <v>4</v>
      </c>
      <c r="B28242" s="4" t="s">
        <v>5</v>
      </c>
      <c r="C28242" s="4" t="s">
        <v>7</v>
      </c>
      <c r="D28242" s="4" t="s">
        <v>8</v>
      </c>
    </row>
    <row r="28243" spans="1:7">
      <c r="A28243" t="n">
        <v>274883</v>
      </c>
      <c r="B28243" s="15" t="n">
        <v>94</v>
      </c>
      <c r="C28243" s="7" t="n">
        <v>5</v>
      </c>
      <c r="D28243" s="7" t="s">
        <v>21</v>
      </c>
    </row>
    <row r="28244" spans="1:7">
      <c r="A28244" t="s">
        <v>4</v>
      </c>
      <c r="B28244" s="4" t="s">
        <v>5</v>
      </c>
      <c r="C28244" s="4" t="s">
        <v>7</v>
      </c>
      <c r="D28244" s="4" t="s">
        <v>8</v>
      </c>
      <c r="E28244" s="4" t="s">
        <v>11</v>
      </c>
    </row>
    <row r="28245" spans="1:7">
      <c r="A28245" t="n">
        <v>274899</v>
      </c>
      <c r="B28245" s="15" t="n">
        <v>94</v>
      </c>
      <c r="C28245" s="7" t="n">
        <v>0</v>
      </c>
      <c r="D28245" s="7" t="s">
        <v>22</v>
      </c>
      <c r="E28245" s="7" t="n">
        <v>1</v>
      </c>
    </row>
    <row r="28246" spans="1:7">
      <c r="A28246" t="s">
        <v>4</v>
      </c>
      <c r="B28246" s="4" t="s">
        <v>5</v>
      </c>
      <c r="C28246" s="4" t="s">
        <v>7</v>
      </c>
      <c r="D28246" s="4" t="s">
        <v>8</v>
      </c>
      <c r="E28246" s="4" t="s">
        <v>11</v>
      </c>
    </row>
    <row r="28247" spans="1:7">
      <c r="A28247" t="n">
        <v>274917</v>
      </c>
      <c r="B28247" s="15" t="n">
        <v>94</v>
      </c>
      <c r="C28247" s="7" t="n">
        <v>0</v>
      </c>
      <c r="D28247" s="7" t="s">
        <v>22</v>
      </c>
      <c r="E28247" s="7" t="n">
        <v>2</v>
      </c>
    </row>
    <row r="28248" spans="1:7">
      <c r="A28248" t="s">
        <v>4</v>
      </c>
      <c r="B28248" s="4" t="s">
        <v>5</v>
      </c>
      <c r="C28248" s="4" t="s">
        <v>7</v>
      </c>
      <c r="D28248" s="4" t="s">
        <v>8</v>
      </c>
      <c r="E28248" s="4" t="s">
        <v>11</v>
      </c>
    </row>
    <row r="28249" spans="1:7">
      <c r="A28249" t="n">
        <v>274935</v>
      </c>
      <c r="B28249" s="15" t="n">
        <v>94</v>
      </c>
      <c r="C28249" s="7" t="n">
        <v>1</v>
      </c>
      <c r="D28249" s="7" t="s">
        <v>22</v>
      </c>
      <c r="E28249" s="7" t="n">
        <v>4</v>
      </c>
    </row>
    <row r="28250" spans="1:7">
      <c r="A28250" t="s">
        <v>4</v>
      </c>
      <c r="B28250" s="4" t="s">
        <v>5</v>
      </c>
      <c r="C28250" s="4" t="s">
        <v>7</v>
      </c>
      <c r="D28250" s="4" t="s">
        <v>8</v>
      </c>
    </row>
    <row r="28251" spans="1:7">
      <c r="A28251" t="n">
        <v>274953</v>
      </c>
      <c r="B28251" s="15" t="n">
        <v>94</v>
      </c>
      <c r="C28251" s="7" t="n">
        <v>5</v>
      </c>
      <c r="D28251" s="7" t="s">
        <v>22</v>
      </c>
    </row>
    <row r="28252" spans="1:7">
      <c r="A28252" t="s">
        <v>4</v>
      </c>
      <c r="B28252" s="4" t="s">
        <v>5</v>
      </c>
      <c r="C28252" s="4" t="s">
        <v>7</v>
      </c>
      <c r="D28252" s="4" t="s">
        <v>11</v>
      </c>
      <c r="E28252" s="4" t="s">
        <v>8</v>
      </c>
      <c r="F28252" s="4" t="s">
        <v>8</v>
      </c>
      <c r="G28252" s="4" t="s">
        <v>7</v>
      </c>
    </row>
    <row r="28253" spans="1:7">
      <c r="A28253" t="n">
        <v>274969</v>
      </c>
      <c r="B28253" s="18" t="n">
        <v>32</v>
      </c>
      <c r="C28253" s="7" t="n">
        <v>0</v>
      </c>
      <c r="D28253" s="7" t="n">
        <v>65533</v>
      </c>
      <c r="E28253" s="7" t="s">
        <v>29</v>
      </c>
      <c r="F28253" s="7" t="s">
        <v>38</v>
      </c>
      <c r="G28253" s="7" t="n">
        <v>0</v>
      </c>
    </row>
    <row r="28254" spans="1:7">
      <c r="A28254" t="s">
        <v>4</v>
      </c>
      <c r="B28254" s="4" t="s">
        <v>5</v>
      </c>
      <c r="C28254" s="4" t="s">
        <v>11</v>
      </c>
      <c r="D28254" s="4" t="s">
        <v>13</v>
      </c>
      <c r="E28254" s="4" t="s">
        <v>13</v>
      </c>
      <c r="F28254" s="4" t="s">
        <v>13</v>
      </c>
      <c r="G28254" s="4" t="s">
        <v>11</v>
      </c>
      <c r="H28254" s="4" t="s">
        <v>11</v>
      </c>
    </row>
    <row r="28255" spans="1:7">
      <c r="A28255" t="n">
        <v>274987</v>
      </c>
      <c r="B28255" s="37" t="n">
        <v>60</v>
      </c>
      <c r="C28255" s="7" t="n">
        <v>7</v>
      </c>
      <c r="D28255" s="7" t="n">
        <v>0</v>
      </c>
      <c r="E28255" s="7" t="n">
        <v>-20</v>
      </c>
      <c r="F28255" s="7" t="n">
        <v>0</v>
      </c>
      <c r="G28255" s="7" t="n">
        <v>0</v>
      </c>
      <c r="H28255" s="7" t="n">
        <v>0</v>
      </c>
    </row>
    <row r="28256" spans="1:7">
      <c r="A28256" t="s">
        <v>4</v>
      </c>
      <c r="B28256" s="4" t="s">
        <v>5</v>
      </c>
      <c r="C28256" s="4" t="s">
        <v>11</v>
      </c>
    </row>
    <row r="28257" spans="1:8">
      <c r="A28257" t="n">
        <v>275006</v>
      </c>
      <c r="B28257" s="29" t="n">
        <v>16</v>
      </c>
      <c r="C28257" s="7" t="n">
        <v>0</v>
      </c>
    </row>
    <row r="28258" spans="1:8">
      <c r="A28258" t="s">
        <v>4</v>
      </c>
      <c r="B28258" s="4" t="s">
        <v>5</v>
      </c>
      <c r="C28258" s="4" t="s">
        <v>11</v>
      </c>
      <c r="D28258" s="4" t="s">
        <v>11</v>
      </c>
      <c r="E28258" s="4" t="s">
        <v>11</v>
      </c>
    </row>
    <row r="28259" spans="1:8">
      <c r="A28259" t="n">
        <v>275009</v>
      </c>
      <c r="B28259" s="72" t="n">
        <v>61</v>
      </c>
      <c r="C28259" s="7" t="n">
        <v>0</v>
      </c>
      <c r="D28259" s="7" t="n">
        <v>7</v>
      </c>
      <c r="E28259" s="7" t="n">
        <v>0</v>
      </c>
    </row>
    <row r="28260" spans="1:8">
      <c r="A28260" t="s">
        <v>4</v>
      </c>
      <c r="B28260" s="4" t="s">
        <v>5</v>
      </c>
      <c r="C28260" s="4" t="s">
        <v>7</v>
      </c>
      <c r="D28260" s="4" t="s">
        <v>7</v>
      </c>
      <c r="E28260" s="4" t="s">
        <v>13</v>
      </c>
      <c r="F28260" s="4" t="s">
        <v>13</v>
      </c>
      <c r="G28260" s="4" t="s">
        <v>13</v>
      </c>
      <c r="H28260" s="4" t="s">
        <v>11</v>
      </c>
    </row>
    <row r="28261" spans="1:8">
      <c r="A28261" t="n">
        <v>275016</v>
      </c>
      <c r="B28261" s="51" t="n">
        <v>45</v>
      </c>
      <c r="C28261" s="7" t="n">
        <v>2</v>
      </c>
      <c r="D28261" s="7" t="n">
        <v>3</v>
      </c>
      <c r="E28261" s="7" t="n">
        <v>-18.5200004577637</v>
      </c>
      <c r="F28261" s="7" t="n">
        <v>11.289999961853</v>
      </c>
      <c r="G28261" s="7" t="n">
        <v>50.2900009155273</v>
      </c>
      <c r="H28261" s="7" t="n">
        <v>0</v>
      </c>
    </row>
    <row r="28262" spans="1:8">
      <c r="A28262" t="s">
        <v>4</v>
      </c>
      <c r="B28262" s="4" t="s">
        <v>5</v>
      </c>
      <c r="C28262" s="4" t="s">
        <v>7</v>
      </c>
      <c r="D28262" s="4" t="s">
        <v>7</v>
      </c>
      <c r="E28262" s="4" t="s">
        <v>13</v>
      </c>
      <c r="F28262" s="4" t="s">
        <v>13</v>
      </c>
      <c r="G28262" s="4" t="s">
        <v>13</v>
      </c>
      <c r="H28262" s="4" t="s">
        <v>11</v>
      </c>
      <c r="I28262" s="4" t="s">
        <v>7</v>
      </c>
    </row>
    <row r="28263" spans="1:8">
      <c r="A28263" t="n">
        <v>275033</v>
      </c>
      <c r="B28263" s="51" t="n">
        <v>45</v>
      </c>
      <c r="C28263" s="7" t="n">
        <v>4</v>
      </c>
      <c r="D28263" s="7" t="n">
        <v>3</v>
      </c>
      <c r="E28263" s="7" t="n">
        <v>16.0799999237061</v>
      </c>
      <c r="F28263" s="7" t="n">
        <v>154.460006713867</v>
      </c>
      <c r="G28263" s="7" t="n">
        <v>0</v>
      </c>
      <c r="H28263" s="7" t="n">
        <v>0</v>
      </c>
      <c r="I28263" s="7" t="n">
        <v>0</v>
      </c>
    </row>
    <row r="28264" spans="1:8">
      <c r="A28264" t="s">
        <v>4</v>
      </c>
      <c r="B28264" s="4" t="s">
        <v>5</v>
      </c>
      <c r="C28264" s="4" t="s">
        <v>7</v>
      </c>
      <c r="D28264" s="4" t="s">
        <v>7</v>
      </c>
      <c r="E28264" s="4" t="s">
        <v>13</v>
      </c>
      <c r="F28264" s="4" t="s">
        <v>11</v>
      </c>
    </row>
    <row r="28265" spans="1:8">
      <c r="A28265" t="n">
        <v>275051</v>
      </c>
      <c r="B28265" s="51" t="n">
        <v>45</v>
      </c>
      <c r="C28265" s="7" t="n">
        <v>5</v>
      </c>
      <c r="D28265" s="7" t="n">
        <v>3</v>
      </c>
      <c r="E28265" s="7" t="n">
        <v>1.89999997615814</v>
      </c>
      <c r="F28265" s="7" t="n">
        <v>0</v>
      </c>
    </row>
    <row r="28266" spans="1:8">
      <c r="A28266" t="s">
        <v>4</v>
      </c>
      <c r="B28266" s="4" t="s">
        <v>5</v>
      </c>
      <c r="C28266" s="4" t="s">
        <v>7</v>
      </c>
      <c r="D28266" s="4" t="s">
        <v>7</v>
      </c>
      <c r="E28266" s="4" t="s">
        <v>13</v>
      </c>
      <c r="F28266" s="4" t="s">
        <v>11</v>
      </c>
    </row>
    <row r="28267" spans="1:8">
      <c r="A28267" t="n">
        <v>275060</v>
      </c>
      <c r="B28267" s="51" t="n">
        <v>45</v>
      </c>
      <c r="C28267" s="7" t="n">
        <v>11</v>
      </c>
      <c r="D28267" s="7" t="n">
        <v>3</v>
      </c>
      <c r="E28267" s="7" t="n">
        <v>34</v>
      </c>
      <c r="F28267" s="7" t="n">
        <v>0</v>
      </c>
    </row>
    <row r="28268" spans="1:8">
      <c r="A28268" t="s">
        <v>4</v>
      </c>
      <c r="B28268" s="4" t="s">
        <v>5</v>
      </c>
      <c r="C28268" s="4" t="s">
        <v>7</v>
      </c>
      <c r="D28268" s="4" t="s">
        <v>7</v>
      </c>
      <c r="E28268" s="4" t="s">
        <v>13</v>
      </c>
      <c r="F28268" s="4" t="s">
        <v>11</v>
      </c>
    </row>
    <row r="28269" spans="1:8">
      <c r="A28269" t="n">
        <v>275069</v>
      </c>
      <c r="B28269" s="51" t="n">
        <v>45</v>
      </c>
      <c r="C28269" s="7" t="n">
        <v>5</v>
      </c>
      <c r="D28269" s="7" t="n">
        <v>3</v>
      </c>
      <c r="E28269" s="7" t="n">
        <v>1.70000004768372</v>
      </c>
      <c r="F28269" s="7" t="n">
        <v>3000</v>
      </c>
    </row>
    <row r="28270" spans="1:8">
      <c r="A28270" t="s">
        <v>4</v>
      </c>
      <c r="B28270" s="4" t="s">
        <v>5</v>
      </c>
      <c r="C28270" s="4" t="s">
        <v>11</v>
      </c>
      <c r="D28270" s="4" t="s">
        <v>7</v>
      </c>
      <c r="E28270" s="4" t="s">
        <v>8</v>
      </c>
      <c r="F28270" s="4" t="s">
        <v>13</v>
      </c>
      <c r="G28270" s="4" t="s">
        <v>13</v>
      </c>
      <c r="H28270" s="4" t="s">
        <v>13</v>
      </c>
    </row>
    <row r="28271" spans="1:8">
      <c r="A28271" t="n">
        <v>275078</v>
      </c>
      <c r="B28271" s="42" t="n">
        <v>48</v>
      </c>
      <c r="C28271" s="7" t="n">
        <v>0</v>
      </c>
      <c r="D28271" s="7" t="n">
        <v>0</v>
      </c>
      <c r="E28271" s="7" t="s">
        <v>275</v>
      </c>
      <c r="F28271" s="7" t="n">
        <v>0</v>
      </c>
      <c r="G28271" s="7" t="n">
        <v>1</v>
      </c>
      <c r="H28271" s="7" t="n">
        <v>0</v>
      </c>
    </row>
    <row r="28272" spans="1:8">
      <c r="A28272" t="s">
        <v>4</v>
      </c>
      <c r="B28272" s="4" t="s">
        <v>5</v>
      </c>
      <c r="C28272" s="4" t="s">
        <v>11</v>
      </c>
      <c r="D28272" s="4" t="s">
        <v>7</v>
      </c>
      <c r="E28272" s="4" t="s">
        <v>8</v>
      </c>
      <c r="F28272" s="4" t="s">
        <v>13</v>
      </c>
      <c r="G28272" s="4" t="s">
        <v>13</v>
      </c>
      <c r="H28272" s="4" t="s">
        <v>13</v>
      </c>
    </row>
    <row r="28273" spans="1:9">
      <c r="A28273" t="n">
        <v>275103</v>
      </c>
      <c r="B28273" s="42" t="n">
        <v>48</v>
      </c>
      <c r="C28273" s="7" t="n">
        <v>7</v>
      </c>
      <c r="D28273" s="7" t="n">
        <v>0</v>
      </c>
      <c r="E28273" s="7" t="s">
        <v>91</v>
      </c>
      <c r="F28273" s="7" t="n">
        <v>0</v>
      </c>
      <c r="G28273" s="7" t="n">
        <v>1</v>
      </c>
      <c r="H28273" s="7" t="n">
        <v>1.40129846432482e-45</v>
      </c>
    </row>
    <row r="28274" spans="1:9">
      <c r="A28274" t="s">
        <v>4</v>
      </c>
      <c r="B28274" s="4" t="s">
        <v>5</v>
      </c>
      <c r="C28274" s="4" t="s">
        <v>7</v>
      </c>
      <c r="D28274" s="4" t="s">
        <v>11</v>
      </c>
      <c r="E28274" s="4" t="s">
        <v>13</v>
      </c>
    </row>
    <row r="28275" spans="1:9">
      <c r="A28275" t="n">
        <v>275134</v>
      </c>
      <c r="B28275" s="23" t="n">
        <v>58</v>
      </c>
      <c r="C28275" s="7" t="n">
        <v>100</v>
      </c>
      <c r="D28275" s="7" t="n">
        <v>1000</v>
      </c>
      <c r="E28275" s="7" t="n">
        <v>1</v>
      </c>
    </row>
    <row r="28276" spans="1:9">
      <c r="A28276" t="s">
        <v>4</v>
      </c>
      <c r="B28276" s="4" t="s">
        <v>5</v>
      </c>
      <c r="C28276" s="4" t="s">
        <v>7</v>
      </c>
      <c r="D28276" s="4" t="s">
        <v>11</v>
      </c>
    </row>
    <row r="28277" spans="1:9">
      <c r="A28277" t="n">
        <v>275142</v>
      </c>
      <c r="B28277" s="23" t="n">
        <v>58</v>
      </c>
      <c r="C28277" s="7" t="n">
        <v>255</v>
      </c>
      <c r="D28277" s="7" t="n">
        <v>0</v>
      </c>
    </row>
    <row r="28278" spans="1:9">
      <c r="A28278" t="s">
        <v>4</v>
      </c>
      <c r="B28278" s="4" t="s">
        <v>5</v>
      </c>
      <c r="C28278" s="4" t="s">
        <v>11</v>
      </c>
    </row>
    <row r="28279" spans="1:9">
      <c r="A28279" t="n">
        <v>275146</v>
      </c>
      <c r="B28279" s="29" t="n">
        <v>16</v>
      </c>
      <c r="C28279" s="7" t="n">
        <v>1000</v>
      </c>
    </row>
    <row r="28280" spans="1:9">
      <c r="A28280" t="s">
        <v>4</v>
      </c>
      <c r="B28280" s="4" t="s">
        <v>5</v>
      </c>
      <c r="C28280" s="4" t="s">
        <v>7</v>
      </c>
      <c r="D28280" s="4" t="s">
        <v>11</v>
      </c>
      <c r="E28280" s="4" t="s">
        <v>8</v>
      </c>
    </row>
    <row r="28281" spans="1:9">
      <c r="A28281" t="n">
        <v>275149</v>
      </c>
      <c r="B28281" s="38" t="n">
        <v>51</v>
      </c>
      <c r="C28281" s="7" t="n">
        <v>4</v>
      </c>
      <c r="D28281" s="7" t="n">
        <v>7</v>
      </c>
      <c r="E28281" s="7" t="s">
        <v>113</v>
      </c>
    </row>
    <row r="28282" spans="1:9">
      <c r="A28282" t="s">
        <v>4</v>
      </c>
      <c r="B28282" s="4" t="s">
        <v>5</v>
      </c>
      <c r="C28282" s="4" t="s">
        <v>11</v>
      </c>
    </row>
    <row r="28283" spans="1:9">
      <c r="A28283" t="n">
        <v>275164</v>
      </c>
      <c r="B28283" s="29" t="n">
        <v>16</v>
      </c>
      <c r="C28283" s="7" t="n">
        <v>0</v>
      </c>
    </row>
    <row r="28284" spans="1:9">
      <c r="A28284" t="s">
        <v>4</v>
      </c>
      <c r="B28284" s="4" t="s">
        <v>5</v>
      </c>
      <c r="C28284" s="4" t="s">
        <v>11</v>
      </c>
      <c r="D28284" s="4" t="s">
        <v>7</v>
      </c>
      <c r="E28284" s="4" t="s">
        <v>15</v>
      </c>
      <c r="F28284" s="4" t="s">
        <v>55</v>
      </c>
      <c r="G28284" s="4" t="s">
        <v>7</v>
      </c>
      <c r="H28284" s="4" t="s">
        <v>7</v>
      </c>
    </row>
    <row r="28285" spans="1:9">
      <c r="A28285" t="n">
        <v>275167</v>
      </c>
      <c r="B28285" s="55" t="n">
        <v>26</v>
      </c>
      <c r="C28285" s="7" t="n">
        <v>7</v>
      </c>
      <c r="D28285" s="7" t="n">
        <v>17</v>
      </c>
      <c r="E28285" s="7" t="n">
        <v>64642</v>
      </c>
      <c r="F28285" s="7" t="s">
        <v>446</v>
      </c>
      <c r="G28285" s="7" t="n">
        <v>2</v>
      </c>
      <c r="H28285" s="7" t="n">
        <v>0</v>
      </c>
    </row>
    <row r="28286" spans="1:9">
      <c r="A28286" t="s">
        <v>4</v>
      </c>
      <c r="B28286" s="4" t="s">
        <v>5</v>
      </c>
    </row>
    <row r="28287" spans="1:9">
      <c r="A28287" t="n">
        <v>275183</v>
      </c>
      <c r="B28287" s="27" t="n">
        <v>28</v>
      </c>
    </row>
    <row r="28288" spans="1:9">
      <c r="A28288" t="s">
        <v>4</v>
      </c>
      <c r="B28288" s="4" t="s">
        <v>5</v>
      </c>
      <c r="C28288" s="4" t="s">
        <v>7</v>
      </c>
      <c r="D28288" s="4" t="s">
        <v>11</v>
      </c>
      <c r="E28288" s="4" t="s">
        <v>8</v>
      </c>
    </row>
    <row r="28289" spans="1:8">
      <c r="A28289" t="n">
        <v>275184</v>
      </c>
      <c r="B28289" s="38" t="n">
        <v>51</v>
      </c>
      <c r="C28289" s="7" t="n">
        <v>4</v>
      </c>
      <c r="D28289" s="7" t="n">
        <v>0</v>
      </c>
      <c r="E28289" s="7" t="s">
        <v>304</v>
      </c>
    </row>
    <row r="28290" spans="1:8">
      <c r="A28290" t="s">
        <v>4</v>
      </c>
      <c r="B28290" s="4" t="s">
        <v>5</v>
      </c>
      <c r="C28290" s="4" t="s">
        <v>11</v>
      </c>
    </row>
    <row r="28291" spans="1:8">
      <c r="A28291" t="n">
        <v>275197</v>
      </c>
      <c r="B28291" s="29" t="n">
        <v>16</v>
      </c>
      <c r="C28291" s="7" t="n">
        <v>0</v>
      </c>
    </row>
    <row r="28292" spans="1:8">
      <c r="A28292" t="s">
        <v>4</v>
      </c>
      <c r="B28292" s="4" t="s">
        <v>5</v>
      </c>
      <c r="C28292" s="4" t="s">
        <v>11</v>
      </c>
      <c r="D28292" s="4" t="s">
        <v>7</v>
      </c>
      <c r="E28292" s="4" t="s">
        <v>15</v>
      </c>
      <c r="F28292" s="4" t="s">
        <v>55</v>
      </c>
      <c r="G28292" s="4" t="s">
        <v>7</v>
      </c>
      <c r="H28292" s="4" t="s">
        <v>7</v>
      </c>
    </row>
    <row r="28293" spans="1:8">
      <c r="A28293" t="n">
        <v>275200</v>
      </c>
      <c r="B28293" s="55" t="n">
        <v>26</v>
      </c>
      <c r="C28293" s="7" t="n">
        <v>0</v>
      </c>
      <c r="D28293" s="7" t="n">
        <v>17</v>
      </c>
      <c r="E28293" s="7" t="n">
        <v>64643</v>
      </c>
      <c r="F28293" s="7" t="s">
        <v>1631</v>
      </c>
      <c r="G28293" s="7" t="n">
        <v>2</v>
      </c>
      <c r="H28293" s="7" t="n">
        <v>0</v>
      </c>
    </row>
    <row r="28294" spans="1:8">
      <c r="A28294" t="s">
        <v>4</v>
      </c>
      <c r="B28294" s="4" t="s">
        <v>5</v>
      </c>
    </row>
    <row r="28295" spans="1:8">
      <c r="A28295" t="n">
        <v>275249</v>
      </c>
      <c r="B28295" s="27" t="n">
        <v>28</v>
      </c>
    </row>
    <row r="28296" spans="1:8">
      <c r="A28296" t="s">
        <v>4</v>
      </c>
      <c r="B28296" s="4" t="s">
        <v>5</v>
      </c>
      <c r="C28296" s="4" t="s">
        <v>7</v>
      </c>
      <c r="D28296" s="4" t="s">
        <v>11</v>
      </c>
      <c r="E28296" s="4" t="s">
        <v>11</v>
      </c>
      <c r="F28296" s="4" t="s">
        <v>7</v>
      </c>
    </row>
    <row r="28297" spans="1:8">
      <c r="A28297" t="n">
        <v>275250</v>
      </c>
      <c r="B28297" s="31" t="n">
        <v>25</v>
      </c>
      <c r="C28297" s="7" t="n">
        <v>1</v>
      </c>
      <c r="D28297" s="7" t="n">
        <v>65535</v>
      </c>
      <c r="E28297" s="7" t="n">
        <v>65535</v>
      </c>
      <c r="F28297" s="7" t="n">
        <v>0</v>
      </c>
    </row>
    <row r="28298" spans="1:8">
      <c r="A28298" t="s">
        <v>4</v>
      </c>
      <c r="B28298" s="4" t="s">
        <v>5</v>
      </c>
      <c r="C28298" s="4" t="s">
        <v>7</v>
      </c>
      <c r="D28298" s="4" t="s">
        <v>11</v>
      </c>
      <c r="E28298" s="4" t="s">
        <v>8</v>
      </c>
      <c r="F28298" s="4" t="s">
        <v>8</v>
      </c>
      <c r="G28298" s="4" t="s">
        <v>8</v>
      </c>
      <c r="H28298" s="4" t="s">
        <v>8</v>
      </c>
    </row>
    <row r="28299" spans="1:8">
      <c r="A28299" t="n">
        <v>275257</v>
      </c>
      <c r="B28299" s="38" t="n">
        <v>51</v>
      </c>
      <c r="C28299" s="7" t="n">
        <v>3</v>
      </c>
      <c r="D28299" s="7" t="n">
        <v>7</v>
      </c>
      <c r="E28299" s="7" t="s">
        <v>154</v>
      </c>
      <c r="F28299" s="7" t="s">
        <v>218</v>
      </c>
      <c r="G28299" s="7" t="s">
        <v>78</v>
      </c>
      <c r="H28299" s="7" t="s">
        <v>79</v>
      </c>
    </row>
    <row r="28300" spans="1:8">
      <c r="A28300" t="s">
        <v>4</v>
      </c>
      <c r="B28300" s="4" t="s">
        <v>5</v>
      </c>
      <c r="C28300" s="4" t="s">
        <v>11</v>
      </c>
      <c r="D28300" s="4" t="s">
        <v>13</v>
      </c>
      <c r="E28300" s="4" t="s">
        <v>13</v>
      </c>
      <c r="F28300" s="4" t="s">
        <v>13</v>
      </c>
      <c r="G28300" s="4" t="s">
        <v>11</v>
      </c>
      <c r="H28300" s="4" t="s">
        <v>11</v>
      </c>
    </row>
    <row r="28301" spans="1:8">
      <c r="A28301" t="n">
        <v>275270</v>
      </c>
      <c r="B28301" s="37" t="n">
        <v>60</v>
      </c>
      <c r="C28301" s="7" t="n">
        <v>7</v>
      </c>
      <c r="D28301" s="7" t="n">
        <v>0</v>
      </c>
      <c r="E28301" s="7" t="n">
        <v>0</v>
      </c>
      <c r="F28301" s="7" t="n">
        <v>0</v>
      </c>
      <c r="G28301" s="7" t="n">
        <v>1000</v>
      </c>
      <c r="H28301" s="7" t="n">
        <v>0</v>
      </c>
    </row>
    <row r="28302" spans="1:8">
      <c r="A28302" t="s">
        <v>4</v>
      </c>
      <c r="B28302" s="4" t="s">
        <v>5</v>
      </c>
      <c r="C28302" s="4" t="s">
        <v>11</v>
      </c>
      <c r="D28302" s="4" t="s">
        <v>7</v>
      </c>
      <c r="E28302" s="4" t="s">
        <v>13</v>
      </c>
      <c r="F28302" s="4" t="s">
        <v>11</v>
      </c>
    </row>
    <row r="28303" spans="1:8">
      <c r="A28303" t="n">
        <v>275289</v>
      </c>
      <c r="B28303" s="56" t="n">
        <v>59</v>
      </c>
      <c r="C28303" s="7" t="n">
        <v>7</v>
      </c>
      <c r="D28303" s="7" t="n">
        <v>13</v>
      </c>
      <c r="E28303" s="7" t="n">
        <v>0.150000005960464</v>
      </c>
      <c r="F28303" s="7" t="n">
        <v>0</v>
      </c>
    </row>
    <row r="28304" spans="1:8">
      <c r="A28304" t="s">
        <v>4</v>
      </c>
      <c r="B28304" s="4" t="s">
        <v>5</v>
      </c>
      <c r="C28304" s="4" t="s">
        <v>11</v>
      </c>
    </row>
    <row r="28305" spans="1:8">
      <c r="A28305" t="n">
        <v>275299</v>
      </c>
      <c r="B28305" s="29" t="n">
        <v>16</v>
      </c>
      <c r="C28305" s="7" t="n">
        <v>1000</v>
      </c>
    </row>
    <row r="28306" spans="1:8">
      <c r="A28306" t="s">
        <v>4</v>
      </c>
      <c r="B28306" s="4" t="s">
        <v>5</v>
      </c>
      <c r="C28306" s="4" t="s">
        <v>11</v>
      </c>
      <c r="D28306" s="4" t="s">
        <v>11</v>
      </c>
      <c r="E28306" s="4" t="s">
        <v>11</v>
      </c>
    </row>
    <row r="28307" spans="1:8">
      <c r="A28307" t="n">
        <v>275302</v>
      </c>
      <c r="B28307" s="72" t="n">
        <v>61</v>
      </c>
      <c r="C28307" s="7" t="n">
        <v>7</v>
      </c>
      <c r="D28307" s="7" t="n">
        <v>0</v>
      </c>
      <c r="E28307" s="7" t="n">
        <v>1000</v>
      </c>
    </row>
    <row r="28308" spans="1:8">
      <c r="A28308" t="s">
        <v>4</v>
      </c>
      <c r="B28308" s="4" t="s">
        <v>5</v>
      </c>
      <c r="C28308" s="4" t="s">
        <v>11</v>
      </c>
      <c r="D28308" s="4" t="s">
        <v>13</v>
      </c>
      <c r="E28308" s="4" t="s">
        <v>13</v>
      </c>
      <c r="F28308" s="4" t="s">
        <v>7</v>
      </c>
    </row>
    <row r="28309" spans="1:8">
      <c r="A28309" t="n">
        <v>275309</v>
      </c>
      <c r="B28309" s="65" t="n">
        <v>52</v>
      </c>
      <c r="C28309" s="7" t="n">
        <v>7</v>
      </c>
      <c r="D28309" s="7" t="n">
        <v>100.300003051758</v>
      </c>
      <c r="E28309" s="7" t="n">
        <v>5</v>
      </c>
      <c r="F28309" s="7" t="n">
        <v>0</v>
      </c>
    </row>
    <row r="28310" spans="1:8">
      <c r="A28310" t="s">
        <v>4</v>
      </c>
      <c r="B28310" s="4" t="s">
        <v>5</v>
      </c>
      <c r="C28310" s="4" t="s">
        <v>11</v>
      </c>
    </row>
    <row r="28311" spans="1:8">
      <c r="A28311" t="n">
        <v>275321</v>
      </c>
      <c r="B28311" s="66" t="n">
        <v>54</v>
      </c>
      <c r="C28311" s="7" t="n">
        <v>7</v>
      </c>
    </row>
    <row r="28312" spans="1:8">
      <c r="A28312" t="s">
        <v>4</v>
      </c>
      <c r="B28312" s="4" t="s">
        <v>5</v>
      </c>
      <c r="C28312" s="4" t="s">
        <v>7</v>
      </c>
      <c r="D28312" s="4" t="s">
        <v>11</v>
      </c>
    </row>
    <row r="28313" spans="1:8">
      <c r="A28313" t="n">
        <v>275324</v>
      </c>
      <c r="B28313" s="51" t="n">
        <v>45</v>
      </c>
      <c r="C28313" s="7" t="n">
        <v>7</v>
      </c>
      <c r="D28313" s="7" t="n">
        <v>255</v>
      </c>
    </row>
    <row r="28314" spans="1:8">
      <c r="A28314" t="s">
        <v>4</v>
      </c>
      <c r="B28314" s="4" t="s">
        <v>5</v>
      </c>
      <c r="C28314" s="4" t="s">
        <v>11</v>
      </c>
      <c r="D28314" s="4" t="s">
        <v>7</v>
      </c>
      <c r="E28314" s="4" t="s">
        <v>7</v>
      </c>
      <c r="F28314" s="4" t="s">
        <v>8</v>
      </c>
    </row>
    <row r="28315" spans="1:8">
      <c r="A28315" t="n">
        <v>275328</v>
      </c>
      <c r="B28315" s="50" t="n">
        <v>20</v>
      </c>
      <c r="C28315" s="7" t="n">
        <v>7</v>
      </c>
      <c r="D28315" s="7" t="n">
        <v>2</v>
      </c>
      <c r="E28315" s="7" t="n">
        <v>10</v>
      </c>
      <c r="F28315" s="7" t="s">
        <v>223</v>
      </c>
    </row>
    <row r="28316" spans="1:8">
      <c r="A28316" t="s">
        <v>4</v>
      </c>
      <c r="B28316" s="4" t="s">
        <v>5</v>
      </c>
      <c r="C28316" s="4" t="s">
        <v>7</v>
      </c>
      <c r="D28316" s="4" t="s">
        <v>11</v>
      </c>
      <c r="E28316" s="4" t="s">
        <v>8</v>
      </c>
    </row>
    <row r="28317" spans="1:8">
      <c r="A28317" t="n">
        <v>275349</v>
      </c>
      <c r="B28317" s="38" t="n">
        <v>51</v>
      </c>
      <c r="C28317" s="7" t="n">
        <v>4</v>
      </c>
      <c r="D28317" s="7" t="n">
        <v>7</v>
      </c>
      <c r="E28317" s="7" t="s">
        <v>167</v>
      </c>
    </row>
    <row r="28318" spans="1:8">
      <c r="A28318" t="s">
        <v>4</v>
      </c>
      <c r="B28318" s="4" t="s">
        <v>5</v>
      </c>
      <c r="C28318" s="4" t="s">
        <v>11</v>
      </c>
    </row>
    <row r="28319" spans="1:8">
      <c r="A28319" t="n">
        <v>275363</v>
      </c>
      <c r="B28319" s="29" t="n">
        <v>16</v>
      </c>
      <c r="C28319" s="7" t="n">
        <v>0</v>
      </c>
    </row>
    <row r="28320" spans="1:8">
      <c r="A28320" t="s">
        <v>4</v>
      </c>
      <c r="B28320" s="4" t="s">
        <v>5</v>
      </c>
      <c r="C28320" s="4" t="s">
        <v>11</v>
      </c>
      <c r="D28320" s="4" t="s">
        <v>7</v>
      </c>
      <c r="E28320" s="4" t="s">
        <v>15</v>
      </c>
      <c r="F28320" s="4" t="s">
        <v>55</v>
      </c>
      <c r="G28320" s="4" t="s">
        <v>7</v>
      </c>
      <c r="H28320" s="4" t="s">
        <v>7</v>
      </c>
      <c r="I28320" s="4" t="s">
        <v>7</v>
      </c>
      <c r="J28320" s="4" t="s">
        <v>15</v>
      </c>
      <c r="K28320" s="4" t="s">
        <v>55</v>
      </c>
      <c r="L28320" s="4" t="s">
        <v>7</v>
      </c>
      <c r="M28320" s="4" t="s">
        <v>7</v>
      </c>
    </row>
    <row r="28321" spans="1:13">
      <c r="A28321" t="n">
        <v>275366</v>
      </c>
      <c r="B28321" s="55" t="n">
        <v>26</v>
      </c>
      <c r="C28321" s="7" t="n">
        <v>7</v>
      </c>
      <c r="D28321" s="7" t="n">
        <v>17</v>
      </c>
      <c r="E28321" s="7" t="n">
        <v>64644</v>
      </c>
      <c r="F28321" s="7" t="s">
        <v>1632</v>
      </c>
      <c r="G28321" s="7" t="n">
        <v>2</v>
      </c>
      <c r="H28321" s="7" t="n">
        <v>3</v>
      </c>
      <c r="I28321" s="7" t="n">
        <v>17</v>
      </c>
      <c r="J28321" s="7" t="n">
        <v>64645</v>
      </c>
      <c r="K28321" s="7" t="s">
        <v>1633</v>
      </c>
      <c r="L28321" s="7" t="n">
        <v>2</v>
      </c>
      <c r="M28321" s="7" t="n">
        <v>0</v>
      </c>
    </row>
    <row r="28322" spans="1:13">
      <c r="A28322" t="s">
        <v>4</v>
      </c>
      <c r="B28322" s="4" t="s">
        <v>5</v>
      </c>
    </row>
    <row r="28323" spans="1:13">
      <c r="A28323" t="n">
        <v>275522</v>
      </c>
      <c r="B28323" s="27" t="n">
        <v>28</v>
      </c>
    </row>
    <row r="28324" spans="1:13">
      <c r="A28324" t="s">
        <v>4</v>
      </c>
      <c r="B28324" s="4" t="s">
        <v>5</v>
      </c>
      <c r="C28324" s="4" t="s">
        <v>7</v>
      </c>
      <c r="D28324" s="4" t="s">
        <v>11</v>
      </c>
      <c r="E28324" s="4" t="s">
        <v>8</v>
      </c>
    </row>
    <row r="28325" spans="1:13">
      <c r="A28325" t="n">
        <v>275523</v>
      </c>
      <c r="B28325" s="38" t="n">
        <v>51</v>
      </c>
      <c r="C28325" s="7" t="n">
        <v>4</v>
      </c>
      <c r="D28325" s="7" t="n">
        <v>0</v>
      </c>
      <c r="E28325" s="7" t="s">
        <v>179</v>
      </c>
    </row>
    <row r="28326" spans="1:13">
      <c r="A28326" t="s">
        <v>4</v>
      </c>
      <c r="B28326" s="4" t="s">
        <v>5</v>
      </c>
      <c r="C28326" s="4" t="s">
        <v>11</v>
      </c>
    </row>
    <row r="28327" spans="1:13">
      <c r="A28327" t="n">
        <v>275537</v>
      </c>
      <c r="B28327" s="29" t="n">
        <v>16</v>
      </c>
      <c r="C28327" s="7" t="n">
        <v>0</v>
      </c>
    </row>
    <row r="28328" spans="1:13">
      <c r="A28328" t="s">
        <v>4</v>
      </c>
      <c r="B28328" s="4" t="s">
        <v>5</v>
      </c>
      <c r="C28328" s="4" t="s">
        <v>11</v>
      </c>
      <c r="D28328" s="4" t="s">
        <v>7</v>
      </c>
      <c r="E28328" s="4" t="s">
        <v>15</v>
      </c>
      <c r="F28328" s="4" t="s">
        <v>55</v>
      </c>
      <c r="G28328" s="4" t="s">
        <v>7</v>
      </c>
      <c r="H28328" s="4" t="s">
        <v>7</v>
      </c>
      <c r="I28328" s="4" t="s">
        <v>7</v>
      </c>
      <c r="J28328" s="4" t="s">
        <v>15</v>
      </c>
      <c r="K28328" s="4" t="s">
        <v>55</v>
      </c>
      <c r="L28328" s="4" t="s">
        <v>7</v>
      </c>
      <c r="M28328" s="4" t="s">
        <v>7</v>
      </c>
    </row>
    <row r="28329" spans="1:13">
      <c r="A28329" t="n">
        <v>275540</v>
      </c>
      <c r="B28329" s="55" t="n">
        <v>26</v>
      </c>
      <c r="C28329" s="7" t="n">
        <v>0</v>
      </c>
      <c r="D28329" s="7" t="n">
        <v>17</v>
      </c>
      <c r="E28329" s="7" t="n">
        <v>64646</v>
      </c>
      <c r="F28329" s="7" t="s">
        <v>1634</v>
      </c>
      <c r="G28329" s="7" t="n">
        <v>2</v>
      </c>
      <c r="H28329" s="7" t="n">
        <v>3</v>
      </c>
      <c r="I28329" s="7" t="n">
        <v>17</v>
      </c>
      <c r="J28329" s="7" t="n">
        <v>64647</v>
      </c>
      <c r="K28329" s="7" t="s">
        <v>1635</v>
      </c>
      <c r="L28329" s="7" t="n">
        <v>2</v>
      </c>
      <c r="M28329" s="7" t="n">
        <v>0</v>
      </c>
    </row>
    <row r="28330" spans="1:13">
      <c r="A28330" t="s">
        <v>4</v>
      </c>
      <c r="B28330" s="4" t="s">
        <v>5</v>
      </c>
    </row>
    <row r="28331" spans="1:13">
      <c r="A28331" t="n">
        <v>275692</v>
      </c>
      <c r="B28331" s="27" t="n">
        <v>28</v>
      </c>
    </row>
    <row r="28332" spans="1:13">
      <c r="A28332" t="s">
        <v>4</v>
      </c>
      <c r="B28332" s="4" t="s">
        <v>5</v>
      </c>
      <c r="C28332" s="4" t="s">
        <v>7</v>
      </c>
      <c r="D28332" s="4" t="s">
        <v>11</v>
      </c>
      <c r="E28332" s="4" t="s">
        <v>11</v>
      </c>
      <c r="F28332" s="4" t="s">
        <v>7</v>
      </c>
    </row>
    <row r="28333" spans="1:13">
      <c r="A28333" t="n">
        <v>275693</v>
      </c>
      <c r="B28333" s="31" t="n">
        <v>25</v>
      </c>
      <c r="C28333" s="7" t="n">
        <v>1</v>
      </c>
      <c r="D28333" s="7" t="n">
        <v>65535</v>
      </c>
      <c r="E28333" s="7" t="n">
        <v>65535</v>
      </c>
      <c r="F28333" s="7" t="n">
        <v>0</v>
      </c>
    </row>
    <row r="28334" spans="1:13">
      <c r="A28334" t="s">
        <v>4</v>
      </c>
      <c r="B28334" s="4" t="s">
        <v>5</v>
      </c>
      <c r="C28334" s="4" t="s">
        <v>7</v>
      </c>
      <c r="D28334" s="4" t="s">
        <v>11</v>
      </c>
      <c r="E28334" s="4" t="s">
        <v>8</v>
      </c>
    </row>
    <row r="28335" spans="1:13">
      <c r="A28335" t="n">
        <v>275700</v>
      </c>
      <c r="B28335" s="38" t="n">
        <v>51</v>
      </c>
      <c r="C28335" s="7" t="n">
        <v>4</v>
      </c>
      <c r="D28335" s="7" t="n">
        <v>7</v>
      </c>
      <c r="E28335" s="7" t="s">
        <v>304</v>
      </c>
    </row>
    <row r="28336" spans="1:13">
      <c r="A28336" t="s">
        <v>4</v>
      </c>
      <c r="B28336" s="4" t="s">
        <v>5</v>
      </c>
      <c r="C28336" s="4" t="s">
        <v>11</v>
      </c>
    </row>
    <row r="28337" spans="1:13">
      <c r="A28337" t="n">
        <v>275713</v>
      </c>
      <c r="B28337" s="29" t="n">
        <v>16</v>
      </c>
      <c r="C28337" s="7" t="n">
        <v>0</v>
      </c>
    </row>
    <row r="28338" spans="1:13">
      <c r="A28338" t="s">
        <v>4</v>
      </c>
      <c r="B28338" s="4" t="s">
        <v>5</v>
      </c>
      <c r="C28338" s="4" t="s">
        <v>11</v>
      </c>
      <c r="D28338" s="4" t="s">
        <v>7</v>
      </c>
      <c r="E28338" s="4" t="s">
        <v>15</v>
      </c>
      <c r="F28338" s="4" t="s">
        <v>55</v>
      </c>
      <c r="G28338" s="4" t="s">
        <v>7</v>
      </c>
      <c r="H28338" s="4" t="s">
        <v>7</v>
      </c>
      <c r="I28338" s="4" t="s">
        <v>7</v>
      </c>
      <c r="J28338" s="4" t="s">
        <v>15</v>
      </c>
      <c r="K28338" s="4" t="s">
        <v>55</v>
      </c>
      <c r="L28338" s="4" t="s">
        <v>7</v>
      </c>
      <c r="M28338" s="4" t="s">
        <v>7</v>
      </c>
      <c r="N28338" s="4" t="s">
        <v>7</v>
      </c>
      <c r="O28338" s="4" t="s">
        <v>15</v>
      </c>
      <c r="P28338" s="4" t="s">
        <v>55</v>
      </c>
      <c r="Q28338" s="4" t="s">
        <v>7</v>
      </c>
      <c r="R28338" s="4" t="s">
        <v>7</v>
      </c>
    </row>
    <row r="28339" spans="1:13">
      <c r="A28339" t="n">
        <v>275716</v>
      </c>
      <c r="B28339" s="55" t="n">
        <v>26</v>
      </c>
      <c r="C28339" s="7" t="n">
        <v>7</v>
      </c>
      <c r="D28339" s="7" t="n">
        <v>17</v>
      </c>
      <c r="E28339" s="7" t="n">
        <v>64648</v>
      </c>
      <c r="F28339" s="7" t="s">
        <v>1636</v>
      </c>
      <c r="G28339" s="7" t="n">
        <v>2</v>
      </c>
      <c r="H28339" s="7" t="n">
        <v>3</v>
      </c>
      <c r="I28339" s="7" t="n">
        <v>17</v>
      </c>
      <c r="J28339" s="7" t="n">
        <v>64649</v>
      </c>
      <c r="K28339" s="7" t="s">
        <v>1637</v>
      </c>
      <c r="L28339" s="7" t="n">
        <v>2</v>
      </c>
      <c r="M28339" s="7" t="n">
        <v>3</v>
      </c>
      <c r="N28339" s="7" t="n">
        <v>17</v>
      </c>
      <c r="O28339" s="7" t="n">
        <v>64650</v>
      </c>
      <c r="P28339" s="7" t="s">
        <v>1638</v>
      </c>
      <c r="Q28339" s="7" t="n">
        <v>2</v>
      </c>
      <c r="R28339" s="7" t="n">
        <v>0</v>
      </c>
    </row>
    <row r="28340" spans="1:13">
      <c r="A28340" t="s">
        <v>4</v>
      </c>
      <c r="B28340" s="4" t="s">
        <v>5</v>
      </c>
    </row>
    <row r="28341" spans="1:13">
      <c r="A28341" t="n">
        <v>275868</v>
      </c>
      <c r="B28341" s="27" t="n">
        <v>28</v>
      </c>
    </row>
    <row r="28342" spans="1:13">
      <c r="A28342" t="s">
        <v>4</v>
      </c>
      <c r="B28342" s="4" t="s">
        <v>5</v>
      </c>
      <c r="C28342" s="4" t="s">
        <v>7</v>
      </c>
      <c r="D28342" s="4" t="s">
        <v>11</v>
      </c>
      <c r="E28342" s="4" t="s">
        <v>8</v>
      </c>
    </row>
    <row r="28343" spans="1:13">
      <c r="A28343" t="n">
        <v>275869</v>
      </c>
      <c r="B28343" s="38" t="n">
        <v>51</v>
      </c>
      <c r="C28343" s="7" t="n">
        <v>4</v>
      </c>
      <c r="D28343" s="7" t="n">
        <v>0</v>
      </c>
      <c r="E28343" s="7" t="s">
        <v>238</v>
      </c>
    </row>
    <row r="28344" spans="1:13">
      <c r="A28344" t="s">
        <v>4</v>
      </c>
      <c r="B28344" s="4" t="s">
        <v>5</v>
      </c>
      <c r="C28344" s="4" t="s">
        <v>11</v>
      </c>
    </row>
    <row r="28345" spans="1:13">
      <c r="A28345" t="n">
        <v>275883</v>
      </c>
      <c r="B28345" s="29" t="n">
        <v>16</v>
      </c>
      <c r="C28345" s="7" t="n">
        <v>0</v>
      </c>
    </row>
    <row r="28346" spans="1:13">
      <c r="A28346" t="s">
        <v>4</v>
      </c>
      <c r="B28346" s="4" t="s">
        <v>5</v>
      </c>
      <c r="C28346" s="4" t="s">
        <v>11</v>
      </c>
      <c r="D28346" s="4" t="s">
        <v>7</v>
      </c>
      <c r="E28346" s="4" t="s">
        <v>15</v>
      </c>
      <c r="F28346" s="4" t="s">
        <v>55</v>
      </c>
      <c r="G28346" s="4" t="s">
        <v>7</v>
      </c>
      <c r="H28346" s="4" t="s">
        <v>7</v>
      </c>
    </row>
    <row r="28347" spans="1:13">
      <c r="A28347" t="n">
        <v>275886</v>
      </c>
      <c r="B28347" s="55" t="n">
        <v>26</v>
      </c>
      <c r="C28347" s="7" t="n">
        <v>0</v>
      </c>
      <c r="D28347" s="7" t="n">
        <v>17</v>
      </c>
      <c r="E28347" s="7" t="n">
        <v>65282</v>
      </c>
      <c r="F28347" s="7" t="s">
        <v>1639</v>
      </c>
      <c r="G28347" s="7" t="n">
        <v>2</v>
      </c>
      <c r="H28347" s="7" t="n">
        <v>0</v>
      </c>
    </row>
    <row r="28348" spans="1:13">
      <c r="A28348" t="s">
        <v>4</v>
      </c>
      <c r="B28348" s="4" t="s">
        <v>5</v>
      </c>
    </row>
    <row r="28349" spans="1:13">
      <c r="A28349" t="n">
        <v>275909</v>
      </c>
      <c r="B28349" s="27" t="n">
        <v>28</v>
      </c>
    </row>
    <row r="28350" spans="1:13">
      <c r="A28350" t="s">
        <v>4</v>
      </c>
      <c r="B28350" s="4" t="s">
        <v>5</v>
      </c>
      <c r="C28350" s="4" t="s">
        <v>7</v>
      </c>
      <c r="D28350" s="4" t="s">
        <v>11</v>
      </c>
      <c r="E28350" s="4" t="s">
        <v>11</v>
      </c>
      <c r="F28350" s="4" t="s">
        <v>7</v>
      </c>
    </row>
    <row r="28351" spans="1:13">
      <c r="A28351" t="n">
        <v>275910</v>
      </c>
      <c r="B28351" s="31" t="n">
        <v>25</v>
      </c>
      <c r="C28351" s="7" t="n">
        <v>1</v>
      </c>
      <c r="D28351" s="7" t="n">
        <v>65535</v>
      </c>
      <c r="E28351" s="7" t="n">
        <v>65535</v>
      </c>
      <c r="F28351" s="7" t="n">
        <v>0</v>
      </c>
    </row>
    <row r="28352" spans="1:13">
      <c r="A28352" t="s">
        <v>4</v>
      </c>
      <c r="B28352" s="4" t="s">
        <v>5</v>
      </c>
      <c r="C28352" s="4" t="s">
        <v>11</v>
      </c>
    </row>
    <row r="28353" spans="1:18">
      <c r="A28353" t="n">
        <v>275917</v>
      </c>
      <c r="B28353" s="29" t="n">
        <v>16</v>
      </c>
      <c r="C28353" s="7" t="n">
        <v>300</v>
      </c>
    </row>
    <row r="28354" spans="1:18">
      <c r="A28354" t="s">
        <v>4</v>
      </c>
      <c r="B28354" s="4" t="s">
        <v>5</v>
      </c>
      <c r="C28354" s="4" t="s">
        <v>7</v>
      </c>
      <c r="D28354" s="4" t="s">
        <v>11</v>
      </c>
      <c r="E28354" s="4" t="s">
        <v>8</v>
      </c>
      <c r="F28354" s="4" t="s">
        <v>8</v>
      </c>
      <c r="G28354" s="4" t="s">
        <v>8</v>
      </c>
      <c r="H28354" s="4" t="s">
        <v>8</v>
      </c>
    </row>
    <row r="28355" spans="1:18">
      <c r="A28355" t="n">
        <v>275920</v>
      </c>
      <c r="B28355" s="38" t="n">
        <v>51</v>
      </c>
      <c r="C28355" s="7" t="n">
        <v>3</v>
      </c>
      <c r="D28355" s="7" t="n">
        <v>7</v>
      </c>
      <c r="E28355" s="7" t="s">
        <v>154</v>
      </c>
      <c r="F28355" s="7" t="s">
        <v>79</v>
      </c>
      <c r="G28355" s="7" t="s">
        <v>78</v>
      </c>
      <c r="H28355" s="7" t="s">
        <v>79</v>
      </c>
    </row>
    <row r="28356" spans="1:18">
      <c r="A28356" t="s">
        <v>4</v>
      </c>
      <c r="B28356" s="4" t="s">
        <v>5</v>
      </c>
      <c r="C28356" s="4" t="s">
        <v>7</v>
      </c>
      <c r="D28356" s="4" t="s">
        <v>7</v>
      </c>
      <c r="E28356" s="4" t="s">
        <v>13</v>
      </c>
      <c r="F28356" s="4" t="s">
        <v>13</v>
      </c>
      <c r="G28356" s="4" t="s">
        <v>13</v>
      </c>
      <c r="H28356" s="4" t="s">
        <v>11</v>
      </c>
    </row>
    <row r="28357" spans="1:18">
      <c r="A28357" t="n">
        <v>275933</v>
      </c>
      <c r="B28357" s="51" t="n">
        <v>45</v>
      </c>
      <c r="C28357" s="7" t="n">
        <v>2</v>
      </c>
      <c r="D28357" s="7" t="n">
        <v>3</v>
      </c>
      <c r="E28357" s="7" t="n">
        <v>-18.6700000762939</v>
      </c>
      <c r="F28357" s="7" t="n">
        <v>11.4200000762939</v>
      </c>
      <c r="G28357" s="7" t="n">
        <v>50.1300010681152</v>
      </c>
      <c r="H28357" s="7" t="n">
        <v>2000</v>
      </c>
    </row>
    <row r="28358" spans="1:18">
      <c r="A28358" t="s">
        <v>4</v>
      </c>
      <c r="B28358" s="4" t="s">
        <v>5</v>
      </c>
      <c r="C28358" s="4" t="s">
        <v>7</v>
      </c>
      <c r="D28358" s="4" t="s">
        <v>7</v>
      </c>
      <c r="E28358" s="4" t="s">
        <v>13</v>
      </c>
      <c r="F28358" s="4" t="s">
        <v>13</v>
      </c>
      <c r="G28358" s="4" t="s">
        <v>13</v>
      </c>
      <c r="H28358" s="4" t="s">
        <v>11</v>
      </c>
      <c r="I28358" s="4" t="s">
        <v>7</v>
      </c>
    </row>
    <row r="28359" spans="1:18">
      <c r="A28359" t="n">
        <v>275950</v>
      </c>
      <c r="B28359" s="51" t="n">
        <v>45</v>
      </c>
      <c r="C28359" s="7" t="n">
        <v>4</v>
      </c>
      <c r="D28359" s="7" t="n">
        <v>3</v>
      </c>
      <c r="E28359" s="7" t="n">
        <v>20.8400001525879</v>
      </c>
      <c r="F28359" s="7" t="n">
        <v>148.660003662109</v>
      </c>
      <c r="G28359" s="7" t="n">
        <v>0</v>
      </c>
      <c r="H28359" s="7" t="n">
        <v>2000</v>
      </c>
      <c r="I28359" s="7" t="n">
        <v>1</v>
      </c>
    </row>
    <row r="28360" spans="1:18">
      <c r="A28360" t="s">
        <v>4</v>
      </c>
      <c r="B28360" s="4" t="s">
        <v>5</v>
      </c>
      <c r="C28360" s="4" t="s">
        <v>7</v>
      </c>
      <c r="D28360" s="4" t="s">
        <v>7</v>
      </c>
      <c r="E28360" s="4" t="s">
        <v>13</v>
      </c>
      <c r="F28360" s="4" t="s">
        <v>11</v>
      </c>
    </row>
    <row r="28361" spans="1:18">
      <c r="A28361" t="n">
        <v>275968</v>
      </c>
      <c r="B28361" s="51" t="n">
        <v>45</v>
      </c>
      <c r="C28361" s="7" t="n">
        <v>5</v>
      </c>
      <c r="D28361" s="7" t="n">
        <v>3</v>
      </c>
      <c r="E28361" s="7" t="n">
        <v>1.29999995231628</v>
      </c>
      <c r="F28361" s="7" t="n">
        <v>2000</v>
      </c>
    </row>
    <row r="28362" spans="1:18">
      <c r="A28362" t="s">
        <v>4</v>
      </c>
      <c r="B28362" s="4" t="s">
        <v>5</v>
      </c>
      <c r="C28362" s="4" t="s">
        <v>7</v>
      </c>
      <c r="D28362" s="4" t="s">
        <v>7</v>
      </c>
      <c r="E28362" s="4" t="s">
        <v>13</v>
      </c>
      <c r="F28362" s="4" t="s">
        <v>11</v>
      </c>
    </row>
    <row r="28363" spans="1:18">
      <c r="A28363" t="n">
        <v>275977</v>
      </c>
      <c r="B28363" s="51" t="n">
        <v>45</v>
      </c>
      <c r="C28363" s="7" t="n">
        <v>11</v>
      </c>
      <c r="D28363" s="7" t="n">
        <v>3</v>
      </c>
      <c r="E28363" s="7" t="n">
        <v>34</v>
      </c>
      <c r="F28363" s="7" t="n">
        <v>2000</v>
      </c>
    </row>
    <row r="28364" spans="1:18">
      <c r="A28364" t="s">
        <v>4</v>
      </c>
      <c r="B28364" s="4" t="s">
        <v>5</v>
      </c>
      <c r="C28364" s="4" t="s">
        <v>11</v>
      </c>
      <c r="D28364" s="4" t="s">
        <v>11</v>
      </c>
      <c r="E28364" s="4" t="s">
        <v>13</v>
      </c>
      <c r="F28364" s="4" t="s">
        <v>13</v>
      </c>
      <c r="G28364" s="4" t="s">
        <v>13</v>
      </c>
      <c r="H28364" s="4" t="s">
        <v>13</v>
      </c>
      <c r="I28364" s="4" t="s">
        <v>7</v>
      </c>
      <c r="J28364" s="4" t="s">
        <v>11</v>
      </c>
    </row>
    <row r="28365" spans="1:18">
      <c r="A28365" t="n">
        <v>275986</v>
      </c>
      <c r="B28365" s="53" t="n">
        <v>55</v>
      </c>
      <c r="C28365" s="7" t="n">
        <v>0</v>
      </c>
      <c r="D28365" s="7" t="n">
        <v>65533</v>
      </c>
      <c r="E28365" s="7" t="n">
        <v>-18.4699993133545</v>
      </c>
      <c r="F28365" s="7" t="n">
        <v>10.0100002288818</v>
      </c>
      <c r="G28365" s="7" t="n">
        <v>50.1100006103516</v>
      </c>
      <c r="H28365" s="7" t="n">
        <v>0.400000005960464</v>
      </c>
      <c r="I28365" s="7" t="n">
        <v>1</v>
      </c>
      <c r="J28365" s="7" t="n">
        <v>0</v>
      </c>
    </row>
    <row r="28366" spans="1:18">
      <c r="A28366" t="s">
        <v>4</v>
      </c>
      <c r="B28366" s="4" t="s">
        <v>5</v>
      </c>
      <c r="C28366" s="4" t="s">
        <v>11</v>
      </c>
      <c r="D28366" s="4" t="s">
        <v>7</v>
      </c>
    </row>
    <row r="28367" spans="1:18">
      <c r="A28367" t="n">
        <v>276010</v>
      </c>
      <c r="B28367" s="54" t="n">
        <v>56</v>
      </c>
      <c r="C28367" s="7" t="n">
        <v>0</v>
      </c>
      <c r="D28367" s="7" t="n">
        <v>0</v>
      </c>
    </row>
    <row r="28368" spans="1:18">
      <c r="A28368" t="s">
        <v>4</v>
      </c>
      <c r="B28368" s="4" t="s">
        <v>5</v>
      </c>
      <c r="C28368" s="4" t="s">
        <v>11</v>
      </c>
    </row>
    <row r="28369" spans="1:10">
      <c r="A28369" t="n">
        <v>276014</v>
      </c>
      <c r="B28369" s="29" t="n">
        <v>16</v>
      </c>
      <c r="C28369" s="7" t="n">
        <v>500</v>
      </c>
    </row>
    <row r="28370" spans="1:10">
      <c r="A28370" t="s">
        <v>4</v>
      </c>
      <c r="B28370" s="4" t="s">
        <v>5</v>
      </c>
      <c r="C28370" s="4" t="s">
        <v>11</v>
      </c>
      <c r="D28370" s="4" t="s">
        <v>7</v>
      </c>
      <c r="E28370" s="4" t="s">
        <v>8</v>
      </c>
      <c r="F28370" s="4" t="s">
        <v>13</v>
      </c>
      <c r="G28370" s="4" t="s">
        <v>13</v>
      </c>
      <c r="H28370" s="4" t="s">
        <v>13</v>
      </c>
    </row>
    <row r="28371" spans="1:10">
      <c r="A28371" t="n">
        <v>276017</v>
      </c>
      <c r="B28371" s="42" t="n">
        <v>48</v>
      </c>
      <c r="C28371" s="7" t="n">
        <v>0</v>
      </c>
      <c r="D28371" s="7" t="n">
        <v>0</v>
      </c>
      <c r="E28371" s="7" t="s">
        <v>853</v>
      </c>
      <c r="F28371" s="7" t="n">
        <v>-1</v>
      </c>
      <c r="G28371" s="7" t="n">
        <v>1</v>
      </c>
      <c r="H28371" s="7" t="n">
        <v>0</v>
      </c>
    </row>
    <row r="28372" spans="1:10">
      <c r="A28372" t="s">
        <v>4</v>
      </c>
      <c r="B28372" s="4" t="s">
        <v>5</v>
      </c>
      <c r="C28372" s="4" t="s">
        <v>11</v>
      </c>
    </row>
    <row r="28373" spans="1:10">
      <c r="A28373" t="n">
        <v>276043</v>
      </c>
      <c r="B28373" s="29" t="n">
        <v>16</v>
      </c>
      <c r="C28373" s="7" t="n">
        <v>300</v>
      </c>
    </row>
    <row r="28374" spans="1:10">
      <c r="A28374" t="s">
        <v>4</v>
      </c>
      <c r="B28374" s="4" t="s">
        <v>5</v>
      </c>
      <c r="C28374" s="4" t="s">
        <v>7</v>
      </c>
      <c r="D28374" s="4" t="s">
        <v>11</v>
      </c>
      <c r="E28374" s="4" t="s">
        <v>13</v>
      </c>
      <c r="F28374" s="4" t="s">
        <v>11</v>
      </c>
      <c r="G28374" s="4" t="s">
        <v>15</v>
      </c>
      <c r="H28374" s="4" t="s">
        <v>15</v>
      </c>
      <c r="I28374" s="4" t="s">
        <v>11</v>
      </c>
      <c r="J28374" s="4" t="s">
        <v>11</v>
      </c>
      <c r="K28374" s="4" t="s">
        <v>15</v>
      </c>
      <c r="L28374" s="4" t="s">
        <v>15</v>
      </c>
      <c r="M28374" s="4" t="s">
        <v>15</v>
      </c>
      <c r="N28374" s="4" t="s">
        <v>15</v>
      </c>
      <c r="O28374" s="4" t="s">
        <v>8</v>
      </c>
    </row>
    <row r="28375" spans="1:10">
      <c r="A28375" t="n">
        <v>276046</v>
      </c>
      <c r="B28375" s="57" t="n">
        <v>50</v>
      </c>
      <c r="C28375" s="7" t="n">
        <v>0</v>
      </c>
      <c r="D28375" s="7" t="n">
        <v>2000</v>
      </c>
      <c r="E28375" s="7" t="n">
        <v>0.600000023841858</v>
      </c>
      <c r="F28375" s="7" t="n">
        <v>300</v>
      </c>
      <c r="G28375" s="7" t="n">
        <v>0</v>
      </c>
      <c r="H28375" s="7" t="n">
        <v>1077936128</v>
      </c>
      <c r="I28375" s="7" t="n">
        <v>0</v>
      </c>
      <c r="J28375" s="7" t="n">
        <v>65533</v>
      </c>
      <c r="K28375" s="7" t="n">
        <v>0</v>
      </c>
      <c r="L28375" s="7" t="n">
        <v>0</v>
      </c>
      <c r="M28375" s="7" t="n">
        <v>0</v>
      </c>
      <c r="N28375" s="7" t="n">
        <v>0</v>
      </c>
      <c r="O28375" s="7" t="s">
        <v>16</v>
      </c>
    </row>
    <row r="28376" spans="1:10">
      <c r="A28376" t="s">
        <v>4</v>
      </c>
      <c r="B28376" s="4" t="s">
        <v>5</v>
      </c>
      <c r="C28376" s="4" t="s">
        <v>7</v>
      </c>
      <c r="D28376" s="4" t="s">
        <v>11</v>
      </c>
      <c r="E28376" s="4" t="s">
        <v>8</v>
      </c>
      <c r="F28376" s="4" t="s">
        <v>8</v>
      </c>
      <c r="G28376" s="4" t="s">
        <v>8</v>
      </c>
      <c r="H28376" s="4" t="s">
        <v>8</v>
      </c>
    </row>
    <row r="28377" spans="1:10">
      <c r="A28377" t="n">
        <v>276085</v>
      </c>
      <c r="B28377" s="38" t="n">
        <v>51</v>
      </c>
      <c r="C28377" s="7" t="n">
        <v>3</v>
      </c>
      <c r="D28377" s="7" t="n">
        <v>7</v>
      </c>
      <c r="E28377" s="7" t="s">
        <v>319</v>
      </c>
      <c r="F28377" s="7" t="s">
        <v>99</v>
      </c>
      <c r="G28377" s="7" t="s">
        <v>78</v>
      </c>
      <c r="H28377" s="7" t="s">
        <v>79</v>
      </c>
    </row>
    <row r="28378" spans="1:10">
      <c r="A28378" t="s">
        <v>4</v>
      </c>
      <c r="B28378" s="4" t="s">
        <v>5</v>
      </c>
      <c r="C28378" s="4" t="s">
        <v>11</v>
      </c>
    </row>
    <row r="28379" spans="1:10">
      <c r="A28379" t="n">
        <v>276098</v>
      </c>
      <c r="B28379" s="29" t="n">
        <v>16</v>
      </c>
      <c r="C28379" s="7" t="n">
        <v>1500</v>
      </c>
    </row>
    <row r="28380" spans="1:10">
      <c r="A28380" t="s">
        <v>4</v>
      </c>
      <c r="B28380" s="4" t="s">
        <v>5</v>
      </c>
      <c r="C28380" s="4" t="s">
        <v>7</v>
      </c>
      <c r="D28380" s="4" t="s">
        <v>11</v>
      </c>
      <c r="E28380" s="4" t="s">
        <v>8</v>
      </c>
      <c r="F28380" s="4" t="s">
        <v>8</v>
      </c>
      <c r="G28380" s="4" t="s">
        <v>8</v>
      </c>
      <c r="H28380" s="4" t="s">
        <v>8</v>
      </c>
    </row>
    <row r="28381" spans="1:10">
      <c r="A28381" t="n">
        <v>276101</v>
      </c>
      <c r="B28381" s="38" t="n">
        <v>51</v>
      </c>
      <c r="C28381" s="7" t="n">
        <v>3</v>
      </c>
      <c r="D28381" s="7" t="n">
        <v>7</v>
      </c>
      <c r="E28381" s="7" t="s">
        <v>232</v>
      </c>
      <c r="F28381" s="7" t="s">
        <v>99</v>
      </c>
      <c r="G28381" s="7" t="s">
        <v>78</v>
      </c>
      <c r="H28381" s="7" t="s">
        <v>79</v>
      </c>
    </row>
    <row r="28382" spans="1:10">
      <c r="A28382" t="s">
        <v>4</v>
      </c>
      <c r="B28382" s="4" t="s">
        <v>5</v>
      </c>
      <c r="C28382" s="4" t="s">
        <v>7</v>
      </c>
      <c r="D28382" s="4" t="s">
        <v>11</v>
      </c>
      <c r="E28382" s="4" t="s">
        <v>13</v>
      </c>
      <c r="F28382" s="4" t="s">
        <v>11</v>
      </c>
      <c r="G28382" s="4" t="s">
        <v>15</v>
      </c>
      <c r="H28382" s="4" t="s">
        <v>15</v>
      </c>
      <c r="I28382" s="4" t="s">
        <v>11</v>
      </c>
      <c r="J28382" s="4" t="s">
        <v>11</v>
      </c>
      <c r="K28382" s="4" t="s">
        <v>15</v>
      </c>
      <c r="L28382" s="4" t="s">
        <v>15</v>
      </c>
      <c r="M28382" s="4" t="s">
        <v>15</v>
      </c>
      <c r="N28382" s="4" t="s">
        <v>15</v>
      </c>
      <c r="O28382" s="4" t="s">
        <v>8</v>
      </c>
    </row>
    <row r="28383" spans="1:10">
      <c r="A28383" t="n">
        <v>276114</v>
      </c>
      <c r="B28383" s="57" t="n">
        <v>50</v>
      </c>
      <c r="C28383" s="7" t="n">
        <v>0</v>
      </c>
      <c r="D28383" s="7" t="n">
        <v>2000</v>
      </c>
      <c r="E28383" s="7" t="n">
        <v>0.300000011920929</v>
      </c>
      <c r="F28383" s="7" t="n">
        <v>300</v>
      </c>
      <c r="G28383" s="7" t="n">
        <v>0</v>
      </c>
      <c r="H28383" s="7" t="n">
        <v>1077936128</v>
      </c>
      <c r="I28383" s="7" t="n">
        <v>0</v>
      </c>
      <c r="J28383" s="7" t="n">
        <v>65533</v>
      </c>
      <c r="K28383" s="7" t="n">
        <v>0</v>
      </c>
      <c r="L28383" s="7" t="n">
        <v>0</v>
      </c>
      <c r="M28383" s="7" t="n">
        <v>0</v>
      </c>
      <c r="N28383" s="7" t="n">
        <v>0</v>
      </c>
      <c r="O28383" s="7" t="s">
        <v>16</v>
      </c>
    </row>
    <row r="28384" spans="1:10">
      <c r="A28384" t="s">
        <v>4</v>
      </c>
      <c r="B28384" s="4" t="s">
        <v>5</v>
      </c>
      <c r="C28384" s="4" t="s">
        <v>11</v>
      </c>
    </row>
    <row r="28385" spans="1:15">
      <c r="A28385" t="n">
        <v>276153</v>
      </c>
      <c r="B28385" s="29" t="n">
        <v>16</v>
      </c>
      <c r="C28385" s="7" t="n">
        <v>500</v>
      </c>
    </row>
    <row r="28386" spans="1:15">
      <c r="A28386" t="s">
        <v>4</v>
      </c>
      <c r="B28386" s="4" t="s">
        <v>5</v>
      </c>
      <c r="C28386" s="4" t="s">
        <v>7</v>
      </c>
      <c r="D28386" s="4" t="s">
        <v>11</v>
      </c>
      <c r="E28386" s="4" t="s">
        <v>8</v>
      </c>
    </row>
    <row r="28387" spans="1:15">
      <c r="A28387" t="n">
        <v>276156</v>
      </c>
      <c r="B28387" s="38" t="n">
        <v>51</v>
      </c>
      <c r="C28387" s="7" t="n">
        <v>4</v>
      </c>
      <c r="D28387" s="7" t="n">
        <v>0</v>
      </c>
      <c r="E28387" s="7" t="s">
        <v>179</v>
      </c>
    </row>
    <row r="28388" spans="1:15">
      <c r="A28388" t="s">
        <v>4</v>
      </c>
      <c r="B28388" s="4" t="s">
        <v>5</v>
      </c>
      <c r="C28388" s="4" t="s">
        <v>11</v>
      </c>
    </row>
    <row r="28389" spans="1:15">
      <c r="A28389" t="n">
        <v>276170</v>
      </c>
      <c r="B28389" s="29" t="n">
        <v>16</v>
      </c>
      <c r="C28389" s="7" t="n">
        <v>0</v>
      </c>
    </row>
    <row r="28390" spans="1:15">
      <c r="A28390" t="s">
        <v>4</v>
      </c>
      <c r="B28390" s="4" t="s">
        <v>5</v>
      </c>
      <c r="C28390" s="4" t="s">
        <v>11</v>
      </c>
      <c r="D28390" s="4" t="s">
        <v>7</v>
      </c>
      <c r="E28390" s="4" t="s">
        <v>15</v>
      </c>
      <c r="F28390" s="4" t="s">
        <v>55</v>
      </c>
      <c r="G28390" s="4" t="s">
        <v>7</v>
      </c>
      <c r="H28390" s="4" t="s">
        <v>7</v>
      </c>
      <c r="I28390" s="4" t="s">
        <v>7</v>
      </c>
      <c r="J28390" s="4" t="s">
        <v>15</v>
      </c>
      <c r="K28390" s="4" t="s">
        <v>55</v>
      </c>
      <c r="L28390" s="4" t="s">
        <v>7</v>
      </c>
      <c r="M28390" s="4" t="s">
        <v>7</v>
      </c>
    </row>
    <row r="28391" spans="1:15">
      <c r="A28391" t="n">
        <v>276173</v>
      </c>
      <c r="B28391" s="55" t="n">
        <v>26</v>
      </c>
      <c r="C28391" s="7" t="n">
        <v>0</v>
      </c>
      <c r="D28391" s="7" t="n">
        <v>17</v>
      </c>
      <c r="E28391" s="7" t="n">
        <v>64651</v>
      </c>
      <c r="F28391" s="7" t="s">
        <v>1640</v>
      </c>
      <c r="G28391" s="7" t="n">
        <v>2</v>
      </c>
      <c r="H28391" s="7" t="n">
        <v>3</v>
      </c>
      <c r="I28391" s="7" t="n">
        <v>17</v>
      </c>
      <c r="J28391" s="7" t="n">
        <v>64652</v>
      </c>
      <c r="K28391" s="7" t="s">
        <v>1641</v>
      </c>
      <c r="L28391" s="7" t="n">
        <v>2</v>
      </c>
      <c r="M28391" s="7" t="n">
        <v>0</v>
      </c>
    </row>
    <row r="28392" spans="1:15">
      <c r="A28392" t="s">
        <v>4</v>
      </c>
      <c r="B28392" s="4" t="s">
        <v>5</v>
      </c>
    </row>
    <row r="28393" spans="1:15">
      <c r="A28393" t="n">
        <v>276415</v>
      </c>
      <c r="B28393" s="27" t="n">
        <v>28</v>
      </c>
    </row>
    <row r="28394" spans="1:15">
      <c r="A28394" t="s">
        <v>4</v>
      </c>
      <c r="B28394" s="4" t="s">
        <v>5</v>
      </c>
      <c r="C28394" s="4" t="s">
        <v>7</v>
      </c>
      <c r="D28394" s="4" t="s">
        <v>11</v>
      </c>
      <c r="E28394" s="4" t="s">
        <v>11</v>
      </c>
      <c r="F28394" s="4" t="s">
        <v>7</v>
      </c>
    </row>
    <row r="28395" spans="1:15">
      <c r="A28395" t="n">
        <v>276416</v>
      </c>
      <c r="B28395" s="31" t="n">
        <v>25</v>
      </c>
      <c r="C28395" s="7" t="n">
        <v>1</v>
      </c>
      <c r="D28395" s="7" t="n">
        <v>65535</v>
      </c>
      <c r="E28395" s="7" t="n">
        <v>65535</v>
      </c>
      <c r="F28395" s="7" t="n">
        <v>0</v>
      </c>
    </row>
    <row r="28396" spans="1:15">
      <c r="A28396" t="s">
        <v>4</v>
      </c>
      <c r="B28396" s="4" t="s">
        <v>5</v>
      </c>
      <c r="C28396" s="4" t="s">
        <v>11</v>
      </c>
      <c r="D28396" s="4" t="s">
        <v>7</v>
      </c>
      <c r="E28396" s="4" t="s">
        <v>7</v>
      </c>
      <c r="F28396" s="4" t="s">
        <v>8</v>
      </c>
    </row>
    <row r="28397" spans="1:15">
      <c r="A28397" t="n">
        <v>276423</v>
      </c>
      <c r="B28397" s="50" t="n">
        <v>20</v>
      </c>
      <c r="C28397" s="7" t="n">
        <v>7</v>
      </c>
      <c r="D28397" s="7" t="n">
        <v>2</v>
      </c>
      <c r="E28397" s="7" t="n">
        <v>10</v>
      </c>
      <c r="F28397" s="7" t="s">
        <v>260</v>
      </c>
    </row>
    <row r="28398" spans="1:15">
      <c r="A28398" t="s">
        <v>4</v>
      </c>
      <c r="B28398" s="4" t="s">
        <v>5</v>
      </c>
      <c r="C28398" s="4" t="s">
        <v>7</v>
      </c>
      <c r="D28398" s="4" t="s">
        <v>11</v>
      </c>
      <c r="E28398" s="4" t="s">
        <v>8</v>
      </c>
    </row>
    <row r="28399" spans="1:15">
      <c r="A28399" t="n">
        <v>276443</v>
      </c>
      <c r="B28399" s="38" t="n">
        <v>51</v>
      </c>
      <c r="C28399" s="7" t="n">
        <v>4</v>
      </c>
      <c r="D28399" s="7" t="n">
        <v>7</v>
      </c>
      <c r="E28399" s="7" t="s">
        <v>167</v>
      </c>
    </row>
    <row r="28400" spans="1:15">
      <c r="A28400" t="s">
        <v>4</v>
      </c>
      <c r="B28400" s="4" t="s">
        <v>5</v>
      </c>
      <c r="C28400" s="4" t="s">
        <v>11</v>
      </c>
    </row>
    <row r="28401" spans="1:13">
      <c r="A28401" t="n">
        <v>276457</v>
      </c>
      <c r="B28401" s="29" t="n">
        <v>16</v>
      </c>
      <c r="C28401" s="7" t="n">
        <v>0</v>
      </c>
    </row>
    <row r="28402" spans="1:13">
      <c r="A28402" t="s">
        <v>4</v>
      </c>
      <c r="B28402" s="4" t="s">
        <v>5</v>
      </c>
      <c r="C28402" s="4" t="s">
        <v>11</v>
      </c>
      <c r="D28402" s="4" t="s">
        <v>7</v>
      </c>
      <c r="E28402" s="4" t="s">
        <v>15</v>
      </c>
      <c r="F28402" s="4" t="s">
        <v>55</v>
      </c>
      <c r="G28402" s="4" t="s">
        <v>7</v>
      </c>
      <c r="H28402" s="4" t="s">
        <v>7</v>
      </c>
      <c r="I28402" s="4" t="s">
        <v>7</v>
      </c>
      <c r="J28402" s="4" t="s">
        <v>15</v>
      </c>
      <c r="K28402" s="4" t="s">
        <v>55</v>
      </c>
      <c r="L28402" s="4" t="s">
        <v>7</v>
      </c>
      <c r="M28402" s="4" t="s">
        <v>7</v>
      </c>
      <c r="N28402" s="4" t="s">
        <v>7</v>
      </c>
      <c r="O28402" s="4" t="s">
        <v>15</v>
      </c>
      <c r="P28402" s="4" t="s">
        <v>55</v>
      </c>
      <c r="Q28402" s="4" t="s">
        <v>7</v>
      </c>
      <c r="R28402" s="4" t="s">
        <v>7</v>
      </c>
    </row>
    <row r="28403" spans="1:13">
      <c r="A28403" t="n">
        <v>276460</v>
      </c>
      <c r="B28403" s="55" t="n">
        <v>26</v>
      </c>
      <c r="C28403" s="7" t="n">
        <v>7</v>
      </c>
      <c r="D28403" s="7" t="n">
        <v>17</v>
      </c>
      <c r="E28403" s="7" t="n">
        <v>64653</v>
      </c>
      <c r="F28403" s="7" t="s">
        <v>1642</v>
      </c>
      <c r="G28403" s="7" t="n">
        <v>2</v>
      </c>
      <c r="H28403" s="7" t="n">
        <v>3</v>
      </c>
      <c r="I28403" s="7" t="n">
        <v>17</v>
      </c>
      <c r="J28403" s="7" t="n">
        <v>64654</v>
      </c>
      <c r="K28403" s="7" t="s">
        <v>1643</v>
      </c>
      <c r="L28403" s="7" t="n">
        <v>2</v>
      </c>
      <c r="M28403" s="7" t="n">
        <v>3</v>
      </c>
      <c r="N28403" s="7" t="n">
        <v>17</v>
      </c>
      <c r="O28403" s="7" t="n">
        <v>64655</v>
      </c>
      <c r="P28403" s="7" t="s">
        <v>1644</v>
      </c>
      <c r="Q28403" s="7" t="n">
        <v>2</v>
      </c>
      <c r="R28403" s="7" t="n">
        <v>0</v>
      </c>
    </row>
    <row r="28404" spans="1:13">
      <c r="A28404" t="s">
        <v>4</v>
      </c>
      <c r="B28404" s="4" t="s">
        <v>5</v>
      </c>
    </row>
    <row r="28405" spans="1:13">
      <c r="A28405" t="n">
        <v>276593</v>
      </c>
      <c r="B28405" s="27" t="n">
        <v>28</v>
      </c>
    </row>
    <row r="28406" spans="1:13">
      <c r="A28406" t="s">
        <v>4</v>
      </c>
      <c r="B28406" s="4" t="s">
        <v>5</v>
      </c>
      <c r="C28406" s="4" t="s">
        <v>7</v>
      </c>
      <c r="D28406" s="4" t="s">
        <v>11</v>
      </c>
      <c r="E28406" s="4" t="s">
        <v>8</v>
      </c>
    </row>
    <row r="28407" spans="1:13">
      <c r="A28407" t="n">
        <v>276594</v>
      </c>
      <c r="B28407" s="38" t="n">
        <v>51</v>
      </c>
      <c r="C28407" s="7" t="n">
        <v>4</v>
      </c>
      <c r="D28407" s="7" t="n">
        <v>0</v>
      </c>
      <c r="E28407" s="7" t="s">
        <v>147</v>
      </c>
    </row>
    <row r="28408" spans="1:13">
      <c r="A28408" t="s">
        <v>4</v>
      </c>
      <c r="B28408" s="4" t="s">
        <v>5</v>
      </c>
      <c r="C28408" s="4" t="s">
        <v>11</v>
      </c>
    </row>
    <row r="28409" spans="1:13">
      <c r="A28409" t="n">
        <v>276608</v>
      </c>
      <c r="B28409" s="29" t="n">
        <v>16</v>
      </c>
      <c r="C28409" s="7" t="n">
        <v>0</v>
      </c>
    </row>
    <row r="28410" spans="1:13">
      <c r="A28410" t="s">
        <v>4</v>
      </c>
      <c r="B28410" s="4" t="s">
        <v>5</v>
      </c>
      <c r="C28410" s="4" t="s">
        <v>11</v>
      </c>
      <c r="D28410" s="4" t="s">
        <v>7</v>
      </c>
      <c r="E28410" s="4" t="s">
        <v>15</v>
      </c>
      <c r="F28410" s="4" t="s">
        <v>55</v>
      </c>
      <c r="G28410" s="4" t="s">
        <v>7</v>
      </c>
      <c r="H28410" s="4" t="s">
        <v>7</v>
      </c>
      <c r="I28410" s="4" t="s">
        <v>7</v>
      </c>
      <c r="J28410" s="4" t="s">
        <v>15</v>
      </c>
      <c r="K28410" s="4" t="s">
        <v>55</v>
      </c>
      <c r="L28410" s="4" t="s">
        <v>7</v>
      </c>
      <c r="M28410" s="4" t="s">
        <v>7</v>
      </c>
    </row>
    <row r="28411" spans="1:13">
      <c r="A28411" t="n">
        <v>276611</v>
      </c>
      <c r="B28411" s="55" t="n">
        <v>26</v>
      </c>
      <c r="C28411" s="7" t="n">
        <v>0</v>
      </c>
      <c r="D28411" s="7" t="n">
        <v>17</v>
      </c>
      <c r="E28411" s="7" t="n">
        <v>64656</v>
      </c>
      <c r="F28411" s="7" t="s">
        <v>1645</v>
      </c>
      <c r="G28411" s="7" t="n">
        <v>2</v>
      </c>
      <c r="H28411" s="7" t="n">
        <v>3</v>
      </c>
      <c r="I28411" s="7" t="n">
        <v>17</v>
      </c>
      <c r="J28411" s="7" t="n">
        <v>65283</v>
      </c>
      <c r="K28411" s="7" t="s">
        <v>1646</v>
      </c>
      <c r="L28411" s="7" t="n">
        <v>2</v>
      </c>
      <c r="M28411" s="7" t="n">
        <v>0</v>
      </c>
    </row>
    <row r="28412" spans="1:13">
      <c r="A28412" t="s">
        <v>4</v>
      </c>
      <c r="B28412" s="4" t="s">
        <v>5</v>
      </c>
    </row>
    <row r="28413" spans="1:13">
      <c r="A28413" t="n">
        <v>276696</v>
      </c>
      <c r="B28413" s="27" t="n">
        <v>28</v>
      </c>
    </row>
    <row r="28414" spans="1:13">
      <c r="A28414" t="s">
        <v>4</v>
      </c>
      <c r="B28414" s="4" t="s">
        <v>5</v>
      </c>
      <c r="C28414" s="4" t="s">
        <v>7</v>
      </c>
      <c r="D28414" s="4" t="s">
        <v>11</v>
      </c>
      <c r="E28414" s="4" t="s">
        <v>11</v>
      </c>
      <c r="F28414" s="4" t="s">
        <v>7</v>
      </c>
    </row>
    <row r="28415" spans="1:13">
      <c r="A28415" t="n">
        <v>276697</v>
      </c>
      <c r="B28415" s="31" t="n">
        <v>25</v>
      </c>
      <c r="C28415" s="7" t="n">
        <v>1</v>
      </c>
      <c r="D28415" s="7" t="n">
        <v>65535</v>
      </c>
      <c r="E28415" s="7" t="n">
        <v>65535</v>
      </c>
      <c r="F28415" s="7" t="n">
        <v>0</v>
      </c>
    </row>
    <row r="28416" spans="1:13">
      <c r="A28416" t="s">
        <v>4</v>
      </c>
      <c r="B28416" s="4" t="s">
        <v>5</v>
      </c>
      <c r="C28416" s="4" t="s">
        <v>11</v>
      </c>
    </row>
    <row r="28417" spans="1:18">
      <c r="A28417" t="n">
        <v>276704</v>
      </c>
      <c r="B28417" s="29" t="n">
        <v>16</v>
      </c>
      <c r="C28417" s="7" t="n">
        <v>300</v>
      </c>
    </row>
    <row r="28418" spans="1:18">
      <c r="A28418" t="s">
        <v>4</v>
      </c>
      <c r="B28418" s="4" t="s">
        <v>5</v>
      </c>
      <c r="C28418" s="4" t="s">
        <v>11</v>
      </c>
      <c r="D28418" s="4" t="s">
        <v>13</v>
      </c>
      <c r="E28418" s="4" t="s">
        <v>13</v>
      </c>
      <c r="F28418" s="4" t="s">
        <v>13</v>
      </c>
      <c r="G28418" s="4" t="s">
        <v>11</v>
      </c>
      <c r="H28418" s="4" t="s">
        <v>11</v>
      </c>
    </row>
    <row r="28419" spans="1:18">
      <c r="A28419" t="n">
        <v>276707</v>
      </c>
      <c r="B28419" s="37" t="n">
        <v>60</v>
      </c>
      <c r="C28419" s="7" t="n">
        <v>7</v>
      </c>
      <c r="D28419" s="7" t="n">
        <v>0</v>
      </c>
      <c r="E28419" s="7" t="n">
        <v>-10</v>
      </c>
      <c r="F28419" s="7" t="n">
        <v>0</v>
      </c>
      <c r="G28419" s="7" t="n">
        <v>1000</v>
      </c>
      <c r="H28419" s="7" t="n">
        <v>0</v>
      </c>
    </row>
    <row r="28420" spans="1:18">
      <c r="A28420" t="s">
        <v>4</v>
      </c>
      <c r="B28420" s="4" t="s">
        <v>5</v>
      </c>
      <c r="C28420" s="4" t="s">
        <v>7</v>
      </c>
      <c r="D28420" s="4" t="s">
        <v>11</v>
      </c>
      <c r="E28420" s="4" t="s">
        <v>8</v>
      </c>
    </row>
    <row r="28421" spans="1:18">
      <c r="A28421" t="n">
        <v>276726</v>
      </c>
      <c r="B28421" s="38" t="n">
        <v>51</v>
      </c>
      <c r="C28421" s="7" t="n">
        <v>4</v>
      </c>
      <c r="D28421" s="7" t="n">
        <v>7</v>
      </c>
      <c r="E28421" s="7" t="s">
        <v>110</v>
      </c>
    </row>
    <row r="28422" spans="1:18">
      <c r="A28422" t="s">
        <v>4</v>
      </c>
      <c r="B28422" s="4" t="s">
        <v>5</v>
      </c>
      <c r="C28422" s="4" t="s">
        <v>11</v>
      </c>
    </row>
    <row r="28423" spans="1:18">
      <c r="A28423" t="n">
        <v>276741</v>
      </c>
      <c r="B28423" s="29" t="n">
        <v>16</v>
      </c>
      <c r="C28423" s="7" t="n">
        <v>0</v>
      </c>
    </row>
    <row r="28424" spans="1:18">
      <c r="A28424" t="s">
        <v>4</v>
      </c>
      <c r="B28424" s="4" t="s">
        <v>5</v>
      </c>
      <c r="C28424" s="4" t="s">
        <v>11</v>
      </c>
      <c r="D28424" s="4" t="s">
        <v>7</v>
      </c>
      <c r="E28424" s="4" t="s">
        <v>15</v>
      </c>
      <c r="F28424" s="4" t="s">
        <v>55</v>
      </c>
      <c r="G28424" s="4" t="s">
        <v>7</v>
      </c>
      <c r="H28424" s="4" t="s">
        <v>7</v>
      </c>
    </row>
    <row r="28425" spans="1:18">
      <c r="A28425" t="n">
        <v>276744</v>
      </c>
      <c r="B28425" s="55" t="n">
        <v>26</v>
      </c>
      <c r="C28425" s="7" t="n">
        <v>7</v>
      </c>
      <c r="D28425" s="7" t="n">
        <v>17</v>
      </c>
      <c r="E28425" s="7" t="n">
        <v>65284</v>
      </c>
      <c r="F28425" s="7" t="s">
        <v>464</v>
      </c>
      <c r="G28425" s="7" t="n">
        <v>2</v>
      </c>
      <c r="H28425" s="7" t="n">
        <v>0</v>
      </c>
    </row>
    <row r="28426" spans="1:18">
      <c r="A28426" t="s">
        <v>4</v>
      </c>
      <c r="B28426" s="4" t="s">
        <v>5</v>
      </c>
    </row>
    <row r="28427" spans="1:18">
      <c r="A28427" t="n">
        <v>276757</v>
      </c>
      <c r="B28427" s="27" t="n">
        <v>28</v>
      </c>
    </row>
    <row r="28428" spans="1:18">
      <c r="A28428" t="s">
        <v>4</v>
      </c>
      <c r="B28428" s="4" t="s">
        <v>5</v>
      </c>
      <c r="C28428" s="4" t="s">
        <v>11</v>
      </c>
      <c r="D28428" s="4" t="s">
        <v>7</v>
      </c>
    </row>
    <row r="28429" spans="1:18">
      <c r="A28429" t="n">
        <v>276758</v>
      </c>
      <c r="B28429" s="68" t="n">
        <v>89</v>
      </c>
      <c r="C28429" s="7" t="n">
        <v>65533</v>
      </c>
      <c r="D28429" s="7" t="n">
        <v>1</v>
      </c>
    </row>
    <row r="28430" spans="1:18">
      <c r="A28430" t="s">
        <v>4</v>
      </c>
      <c r="B28430" s="4" t="s">
        <v>5</v>
      </c>
      <c r="C28430" s="4" t="s">
        <v>11</v>
      </c>
    </row>
    <row r="28431" spans="1:18">
      <c r="A28431" t="n">
        <v>276762</v>
      </c>
      <c r="B28431" s="29" t="n">
        <v>16</v>
      </c>
      <c r="C28431" s="7" t="n">
        <v>300</v>
      </c>
    </row>
    <row r="28432" spans="1:18">
      <c r="A28432" t="s">
        <v>4</v>
      </c>
      <c r="B28432" s="4" t="s">
        <v>5</v>
      </c>
      <c r="C28432" s="4" t="s">
        <v>11</v>
      </c>
      <c r="D28432" s="4" t="s">
        <v>7</v>
      </c>
      <c r="E28432" s="4" t="s">
        <v>13</v>
      </c>
      <c r="F28432" s="4" t="s">
        <v>11</v>
      </c>
    </row>
    <row r="28433" spans="1:8">
      <c r="A28433" t="n">
        <v>276765</v>
      </c>
      <c r="B28433" s="56" t="n">
        <v>59</v>
      </c>
      <c r="C28433" s="7" t="n">
        <v>7</v>
      </c>
      <c r="D28433" s="7" t="n">
        <v>9</v>
      </c>
      <c r="E28433" s="7" t="n">
        <v>0.150000005960464</v>
      </c>
      <c r="F28433" s="7" t="n">
        <v>0</v>
      </c>
    </row>
    <row r="28434" spans="1:8">
      <c r="A28434" t="s">
        <v>4</v>
      </c>
      <c r="B28434" s="4" t="s">
        <v>5</v>
      </c>
      <c r="C28434" s="4" t="s">
        <v>11</v>
      </c>
    </row>
    <row r="28435" spans="1:8">
      <c r="A28435" t="n">
        <v>276775</v>
      </c>
      <c r="B28435" s="29" t="n">
        <v>16</v>
      </c>
      <c r="C28435" s="7" t="n">
        <v>1800</v>
      </c>
    </row>
    <row r="28436" spans="1:8">
      <c r="A28436" t="s">
        <v>4</v>
      </c>
      <c r="B28436" s="4" t="s">
        <v>5</v>
      </c>
      <c r="C28436" s="4" t="s">
        <v>7</v>
      </c>
      <c r="D28436" s="4" t="s">
        <v>11</v>
      </c>
      <c r="E28436" s="4" t="s">
        <v>13</v>
      </c>
    </row>
    <row r="28437" spans="1:8">
      <c r="A28437" t="n">
        <v>276778</v>
      </c>
      <c r="B28437" s="23" t="n">
        <v>58</v>
      </c>
      <c r="C28437" s="7" t="n">
        <v>101</v>
      </c>
      <c r="D28437" s="7" t="n">
        <v>1500</v>
      </c>
      <c r="E28437" s="7" t="n">
        <v>1</v>
      </c>
    </row>
    <row r="28438" spans="1:8">
      <c r="A28438" t="s">
        <v>4</v>
      </c>
      <c r="B28438" s="4" t="s">
        <v>5</v>
      </c>
      <c r="C28438" s="4" t="s">
        <v>7</v>
      </c>
      <c r="D28438" s="4" t="s">
        <v>11</v>
      </c>
    </row>
    <row r="28439" spans="1:8">
      <c r="A28439" t="n">
        <v>276786</v>
      </c>
      <c r="B28439" s="23" t="n">
        <v>58</v>
      </c>
      <c r="C28439" s="7" t="n">
        <v>254</v>
      </c>
      <c r="D28439" s="7" t="n">
        <v>0</v>
      </c>
    </row>
    <row r="28440" spans="1:8">
      <c r="A28440" t="s">
        <v>4</v>
      </c>
      <c r="B28440" s="4" t="s">
        <v>5</v>
      </c>
      <c r="C28440" s="4" t="s">
        <v>11</v>
      </c>
      <c r="D28440" s="4" t="s">
        <v>13</v>
      </c>
      <c r="E28440" s="4" t="s">
        <v>13</v>
      </c>
      <c r="F28440" s="4" t="s">
        <v>13</v>
      </c>
      <c r="G28440" s="4" t="s">
        <v>13</v>
      </c>
    </row>
    <row r="28441" spans="1:8">
      <c r="A28441" t="n">
        <v>276790</v>
      </c>
      <c r="B28441" s="36" t="n">
        <v>46</v>
      </c>
      <c r="C28441" s="7" t="n">
        <v>0</v>
      </c>
      <c r="D28441" s="7" t="n">
        <v>-18.4699993133545</v>
      </c>
      <c r="E28441" s="7" t="n">
        <v>10.0100002288818</v>
      </c>
      <c r="F28441" s="7" t="n">
        <v>50.1100006103516</v>
      </c>
      <c r="G28441" s="7" t="n">
        <v>283.700012207031</v>
      </c>
    </row>
    <row r="28442" spans="1:8">
      <c r="A28442" t="s">
        <v>4</v>
      </c>
      <c r="B28442" s="4" t="s">
        <v>5</v>
      </c>
      <c r="C28442" s="4" t="s">
        <v>11</v>
      </c>
      <c r="D28442" s="4" t="s">
        <v>13</v>
      </c>
      <c r="E28442" s="4" t="s">
        <v>13</v>
      </c>
      <c r="F28442" s="4" t="s">
        <v>13</v>
      </c>
      <c r="G28442" s="4" t="s">
        <v>13</v>
      </c>
    </row>
    <row r="28443" spans="1:8">
      <c r="A28443" t="n">
        <v>276809</v>
      </c>
      <c r="B28443" s="36" t="n">
        <v>46</v>
      </c>
      <c r="C28443" s="7" t="n">
        <v>7</v>
      </c>
      <c r="D28443" s="7" t="n">
        <v>-18.8600006103516</v>
      </c>
      <c r="E28443" s="7" t="n">
        <v>10.0100002288818</v>
      </c>
      <c r="F28443" s="7" t="n">
        <v>50.2099990844727</v>
      </c>
      <c r="G28443" s="7" t="n">
        <v>103.099998474121</v>
      </c>
    </row>
    <row r="28444" spans="1:8">
      <c r="A28444" t="s">
        <v>4</v>
      </c>
      <c r="B28444" s="4" t="s">
        <v>5</v>
      </c>
      <c r="C28444" s="4" t="s">
        <v>11</v>
      </c>
      <c r="D28444" s="4" t="s">
        <v>7</v>
      </c>
      <c r="E28444" s="4" t="s">
        <v>8</v>
      </c>
      <c r="F28444" s="4" t="s">
        <v>13</v>
      </c>
      <c r="G28444" s="4" t="s">
        <v>13</v>
      </c>
      <c r="H28444" s="4" t="s">
        <v>13</v>
      </c>
    </row>
    <row r="28445" spans="1:8">
      <c r="A28445" t="n">
        <v>276828</v>
      </c>
      <c r="B28445" s="42" t="n">
        <v>48</v>
      </c>
      <c r="C28445" s="7" t="n">
        <v>7</v>
      </c>
      <c r="D28445" s="7" t="n">
        <v>0</v>
      </c>
      <c r="E28445" s="7" t="s">
        <v>1629</v>
      </c>
      <c r="F28445" s="7" t="n">
        <v>-1</v>
      </c>
      <c r="G28445" s="7" t="n">
        <v>1</v>
      </c>
      <c r="H28445" s="7" t="n">
        <v>0</v>
      </c>
    </row>
    <row r="28446" spans="1:8">
      <c r="A28446" t="s">
        <v>4</v>
      </c>
      <c r="B28446" s="4" t="s">
        <v>5</v>
      </c>
      <c r="C28446" s="4" t="s">
        <v>11</v>
      </c>
      <c r="D28446" s="4" t="s">
        <v>7</v>
      </c>
      <c r="E28446" s="4" t="s">
        <v>8</v>
      </c>
      <c r="F28446" s="4" t="s">
        <v>13</v>
      </c>
      <c r="G28446" s="4" t="s">
        <v>13</v>
      </c>
      <c r="H28446" s="4" t="s">
        <v>13</v>
      </c>
    </row>
    <row r="28447" spans="1:8">
      <c r="A28447" t="n">
        <v>276854</v>
      </c>
      <c r="B28447" s="42" t="n">
        <v>48</v>
      </c>
      <c r="C28447" s="7" t="n">
        <v>0</v>
      </c>
      <c r="D28447" s="7" t="n">
        <v>0</v>
      </c>
      <c r="E28447" s="7" t="s">
        <v>1629</v>
      </c>
      <c r="F28447" s="7" t="n">
        <v>-1</v>
      </c>
      <c r="G28447" s="7" t="n">
        <v>1</v>
      </c>
      <c r="H28447" s="7" t="n">
        <v>0</v>
      </c>
    </row>
    <row r="28448" spans="1:8">
      <c r="A28448" t="s">
        <v>4</v>
      </c>
      <c r="B28448" s="4" t="s">
        <v>5</v>
      </c>
      <c r="C28448" s="4" t="s">
        <v>7</v>
      </c>
      <c r="D28448" s="4" t="s">
        <v>11</v>
      </c>
      <c r="E28448" s="4" t="s">
        <v>8</v>
      </c>
      <c r="F28448" s="4" t="s">
        <v>8</v>
      </c>
      <c r="G28448" s="4" t="s">
        <v>8</v>
      </c>
      <c r="H28448" s="4" t="s">
        <v>8</v>
      </c>
    </row>
    <row r="28449" spans="1:8">
      <c r="A28449" t="n">
        <v>276880</v>
      </c>
      <c r="B28449" s="38" t="n">
        <v>51</v>
      </c>
      <c r="C28449" s="7" t="n">
        <v>3</v>
      </c>
      <c r="D28449" s="7" t="n">
        <v>7</v>
      </c>
      <c r="E28449" s="7" t="s">
        <v>319</v>
      </c>
      <c r="F28449" s="7" t="s">
        <v>79</v>
      </c>
      <c r="G28449" s="7" t="s">
        <v>78</v>
      </c>
      <c r="H28449" s="7" t="s">
        <v>79</v>
      </c>
    </row>
    <row r="28450" spans="1:8">
      <c r="A28450" t="s">
        <v>4</v>
      </c>
      <c r="B28450" s="4" t="s">
        <v>5</v>
      </c>
      <c r="C28450" s="4" t="s">
        <v>7</v>
      </c>
      <c r="D28450" s="4" t="s">
        <v>7</v>
      </c>
      <c r="E28450" s="4" t="s">
        <v>13</v>
      </c>
      <c r="F28450" s="4" t="s">
        <v>13</v>
      </c>
      <c r="G28450" s="4" t="s">
        <v>13</v>
      </c>
      <c r="H28450" s="4" t="s">
        <v>11</v>
      </c>
    </row>
    <row r="28451" spans="1:8">
      <c r="A28451" t="n">
        <v>276893</v>
      </c>
      <c r="B28451" s="51" t="n">
        <v>45</v>
      </c>
      <c r="C28451" s="7" t="n">
        <v>2</v>
      </c>
      <c r="D28451" s="7" t="n">
        <v>3</v>
      </c>
      <c r="E28451" s="7" t="n">
        <v>-18.8700008392334</v>
      </c>
      <c r="F28451" s="7" t="n">
        <v>11.3599996566772</v>
      </c>
      <c r="G28451" s="7" t="n">
        <v>50.3499984741211</v>
      </c>
      <c r="H28451" s="7" t="n">
        <v>0</v>
      </c>
    </row>
    <row r="28452" spans="1:8">
      <c r="A28452" t="s">
        <v>4</v>
      </c>
      <c r="B28452" s="4" t="s">
        <v>5</v>
      </c>
      <c r="C28452" s="4" t="s">
        <v>7</v>
      </c>
      <c r="D28452" s="4" t="s">
        <v>7</v>
      </c>
      <c r="E28452" s="4" t="s">
        <v>13</v>
      </c>
      <c r="F28452" s="4" t="s">
        <v>13</v>
      </c>
      <c r="G28452" s="4" t="s">
        <v>13</v>
      </c>
      <c r="H28452" s="4" t="s">
        <v>11</v>
      </c>
    </row>
    <row r="28453" spans="1:8">
      <c r="A28453" t="n">
        <v>276910</v>
      </c>
      <c r="B28453" s="51" t="n">
        <v>45</v>
      </c>
      <c r="C28453" s="7" t="n">
        <v>2</v>
      </c>
      <c r="D28453" s="7" t="n">
        <v>3</v>
      </c>
      <c r="E28453" s="7" t="n">
        <v>-18.6399993896484</v>
      </c>
      <c r="F28453" s="7" t="n">
        <v>11.3599996566772</v>
      </c>
      <c r="G28453" s="7" t="n">
        <v>50.189998626709</v>
      </c>
      <c r="H28453" s="7" t="n">
        <v>2000</v>
      </c>
    </row>
    <row r="28454" spans="1:8">
      <c r="A28454" t="s">
        <v>4</v>
      </c>
      <c r="B28454" s="4" t="s">
        <v>5</v>
      </c>
      <c r="C28454" s="4" t="s">
        <v>7</v>
      </c>
      <c r="D28454" s="4" t="s">
        <v>7</v>
      </c>
      <c r="E28454" s="4" t="s">
        <v>13</v>
      </c>
      <c r="F28454" s="4" t="s">
        <v>13</v>
      </c>
      <c r="G28454" s="4" t="s">
        <v>13</v>
      </c>
      <c r="H28454" s="4" t="s">
        <v>11</v>
      </c>
      <c r="I28454" s="4" t="s">
        <v>7</v>
      </c>
    </row>
    <row r="28455" spans="1:8">
      <c r="A28455" t="n">
        <v>276927</v>
      </c>
      <c r="B28455" s="51" t="n">
        <v>45</v>
      </c>
      <c r="C28455" s="7" t="n">
        <v>4</v>
      </c>
      <c r="D28455" s="7" t="n">
        <v>3</v>
      </c>
      <c r="E28455" s="7" t="n">
        <v>356.179992675781</v>
      </c>
      <c r="F28455" s="7" t="n">
        <v>327.730010986328</v>
      </c>
      <c r="G28455" s="7" t="n">
        <v>8</v>
      </c>
      <c r="H28455" s="7" t="n">
        <v>0</v>
      </c>
      <c r="I28455" s="7" t="n">
        <v>0</v>
      </c>
    </row>
    <row r="28456" spans="1:8">
      <c r="A28456" t="s">
        <v>4</v>
      </c>
      <c r="B28456" s="4" t="s">
        <v>5</v>
      </c>
      <c r="C28456" s="4" t="s">
        <v>7</v>
      </c>
      <c r="D28456" s="4" t="s">
        <v>7</v>
      </c>
      <c r="E28456" s="4" t="s">
        <v>13</v>
      </c>
      <c r="F28456" s="4" t="s">
        <v>11</v>
      </c>
    </row>
    <row r="28457" spans="1:8">
      <c r="A28457" t="n">
        <v>276945</v>
      </c>
      <c r="B28457" s="51" t="n">
        <v>45</v>
      </c>
      <c r="C28457" s="7" t="n">
        <v>5</v>
      </c>
      <c r="D28457" s="7" t="n">
        <v>3</v>
      </c>
      <c r="E28457" s="7" t="n">
        <v>1.20000004768372</v>
      </c>
      <c r="F28457" s="7" t="n">
        <v>0</v>
      </c>
    </row>
    <row r="28458" spans="1:8">
      <c r="A28458" t="s">
        <v>4</v>
      </c>
      <c r="B28458" s="4" t="s">
        <v>5</v>
      </c>
      <c r="C28458" s="4" t="s">
        <v>7</v>
      </c>
      <c r="D28458" s="4" t="s">
        <v>7</v>
      </c>
      <c r="E28458" s="4" t="s">
        <v>13</v>
      </c>
      <c r="F28458" s="4" t="s">
        <v>11</v>
      </c>
    </row>
    <row r="28459" spans="1:8">
      <c r="A28459" t="n">
        <v>276954</v>
      </c>
      <c r="B28459" s="51" t="n">
        <v>45</v>
      </c>
      <c r="C28459" s="7" t="n">
        <v>11</v>
      </c>
      <c r="D28459" s="7" t="n">
        <v>3</v>
      </c>
      <c r="E28459" s="7" t="n">
        <v>32.2999992370605</v>
      </c>
      <c r="F28459" s="7" t="n">
        <v>0</v>
      </c>
    </row>
    <row r="28460" spans="1:8">
      <c r="A28460" t="s">
        <v>4</v>
      </c>
      <c r="B28460" s="4" t="s">
        <v>5</v>
      </c>
      <c r="C28460" s="4" t="s">
        <v>11</v>
      </c>
    </row>
    <row r="28461" spans="1:8">
      <c r="A28461" t="n">
        <v>276963</v>
      </c>
      <c r="B28461" s="29" t="n">
        <v>16</v>
      </c>
      <c r="C28461" s="7" t="n">
        <v>500</v>
      </c>
    </row>
    <row r="28462" spans="1:8">
      <c r="A28462" t="s">
        <v>4</v>
      </c>
      <c r="B28462" s="4" t="s">
        <v>5</v>
      </c>
      <c r="C28462" s="4" t="s">
        <v>7</v>
      </c>
      <c r="D28462" s="4" t="s">
        <v>11</v>
      </c>
      <c r="E28462" s="4" t="s">
        <v>8</v>
      </c>
      <c r="F28462" s="4" t="s">
        <v>8</v>
      </c>
      <c r="G28462" s="4" t="s">
        <v>8</v>
      </c>
      <c r="H28462" s="4" t="s">
        <v>8</v>
      </c>
    </row>
    <row r="28463" spans="1:8">
      <c r="A28463" t="n">
        <v>276966</v>
      </c>
      <c r="B28463" s="38" t="n">
        <v>51</v>
      </c>
      <c r="C28463" s="7" t="n">
        <v>3</v>
      </c>
      <c r="D28463" s="7" t="n">
        <v>0</v>
      </c>
      <c r="E28463" s="7" t="s">
        <v>154</v>
      </c>
      <c r="F28463" s="7" t="s">
        <v>218</v>
      </c>
      <c r="G28463" s="7" t="s">
        <v>78</v>
      </c>
      <c r="H28463" s="7" t="s">
        <v>79</v>
      </c>
    </row>
    <row r="28464" spans="1:8">
      <c r="A28464" t="s">
        <v>4</v>
      </c>
      <c r="B28464" s="4" t="s">
        <v>5</v>
      </c>
      <c r="C28464" s="4" t="s">
        <v>7</v>
      </c>
      <c r="D28464" s="4" t="s">
        <v>11</v>
      </c>
      <c r="E28464" s="4" t="s">
        <v>13</v>
      </c>
      <c r="F28464" s="4" t="s">
        <v>11</v>
      </c>
      <c r="G28464" s="4" t="s">
        <v>15</v>
      </c>
      <c r="H28464" s="4" t="s">
        <v>15</v>
      </c>
      <c r="I28464" s="4" t="s">
        <v>11</v>
      </c>
      <c r="J28464" s="4" t="s">
        <v>11</v>
      </c>
      <c r="K28464" s="4" t="s">
        <v>15</v>
      </c>
      <c r="L28464" s="4" t="s">
        <v>15</v>
      </c>
      <c r="M28464" s="4" t="s">
        <v>15</v>
      </c>
      <c r="N28464" s="4" t="s">
        <v>15</v>
      </c>
      <c r="O28464" s="4" t="s">
        <v>8</v>
      </c>
    </row>
    <row r="28465" spans="1:15">
      <c r="A28465" t="n">
        <v>276979</v>
      </c>
      <c r="B28465" s="57" t="n">
        <v>50</v>
      </c>
      <c r="C28465" s="7" t="n">
        <v>0</v>
      </c>
      <c r="D28465" s="7" t="n">
        <v>2004</v>
      </c>
      <c r="E28465" s="7" t="n">
        <v>0.5</v>
      </c>
      <c r="F28465" s="7" t="n">
        <v>300</v>
      </c>
      <c r="G28465" s="7" t="n">
        <v>0</v>
      </c>
      <c r="H28465" s="7" t="n">
        <v>1073741824</v>
      </c>
      <c r="I28465" s="7" t="n">
        <v>0</v>
      </c>
      <c r="J28465" s="7" t="n">
        <v>65533</v>
      </c>
      <c r="K28465" s="7" t="n">
        <v>0</v>
      </c>
      <c r="L28465" s="7" t="n">
        <v>0</v>
      </c>
      <c r="M28465" s="7" t="n">
        <v>0</v>
      </c>
      <c r="N28465" s="7" t="n">
        <v>0</v>
      </c>
      <c r="O28465" s="7" t="s">
        <v>16</v>
      </c>
    </row>
    <row r="28466" spans="1:15">
      <c r="A28466" t="s">
        <v>4</v>
      </c>
      <c r="B28466" s="4" t="s">
        <v>5</v>
      </c>
      <c r="C28466" s="4" t="s">
        <v>11</v>
      </c>
    </row>
    <row r="28467" spans="1:15">
      <c r="A28467" t="n">
        <v>277018</v>
      </c>
      <c r="B28467" s="29" t="n">
        <v>16</v>
      </c>
      <c r="C28467" s="7" t="n">
        <v>2500</v>
      </c>
    </row>
    <row r="28468" spans="1:15">
      <c r="A28468" t="s">
        <v>4</v>
      </c>
      <c r="B28468" s="4" t="s">
        <v>5</v>
      </c>
      <c r="C28468" s="4" t="s">
        <v>7</v>
      </c>
      <c r="D28468" s="4" t="s">
        <v>11</v>
      </c>
      <c r="E28468" s="4" t="s">
        <v>13</v>
      </c>
    </row>
    <row r="28469" spans="1:15">
      <c r="A28469" t="n">
        <v>277021</v>
      </c>
      <c r="B28469" s="23" t="n">
        <v>58</v>
      </c>
      <c r="C28469" s="7" t="n">
        <v>101</v>
      </c>
      <c r="D28469" s="7" t="n">
        <v>800</v>
      </c>
      <c r="E28469" s="7" t="n">
        <v>1</v>
      </c>
    </row>
    <row r="28470" spans="1:15">
      <c r="A28470" t="s">
        <v>4</v>
      </c>
      <c r="B28470" s="4" t="s">
        <v>5</v>
      </c>
      <c r="C28470" s="4" t="s">
        <v>7</v>
      </c>
      <c r="D28470" s="4" t="s">
        <v>11</v>
      </c>
    </row>
    <row r="28471" spans="1:15">
      <c r="A28471" t="n">
        <v>277029</v>
      </c>
      <c r="B28471" s="23" t="n">
        <v>58</v>
      </c>
      <c r="C28471" s="7" t="n">
        <v>254</v>
      </c>
      <c r="D28471" s="7" t="n">
        <v>0</v>
      </c>
    </row>
    <row r="28472" spans="1:15">
      <c r="A28472" t="s">
        <v>4</v>
      </c>
      <c r="B28472" s="4" t="s">
        <v>5</v>
      </c>
      <c r="C28472" s="4" t="s">
        <v>11</v>
      </c>
      <c r="D28472" s="4" t="s">
        <v>13</v>
      </c>
      <c r="E28472" s="4" t="s">
        <v>13</v>
      </c>
      <c r="F28472" s="4" t="s">
        <v>13</v>
      </c>
      <c r="G28472" s="4" t="s">
        <v>13</v>
      </c>
    </row>
    <row r="28473" spans="1:15">
      <c r="A28473" t="n">
        <v>277033</v>
      </c>
      <c r="B28473" s="36" t="n">
        <v>46</v>
      </c>
      <c r="C28473" s="7" t="n">
        <v>7</v>
      </c>
      <c r="D28473" s="7" t="n">
        <v>-18.8500003814697</v>
      </c>
      <c r="E28473" s="7" t="n">
        <v>10.0100002288818</v>
      </c>
      <c r="F28473" s="7" t="n">
        <v>50.2000007629395</v>
      </c>
      <c r="G28473" s="7" t="n">
        <v>103.099998474121</v>
      </c>
    </row>
    <row r="28474" spans="1:15">
      <c r="A28474" t="s">
        <v>4</v>
      </c>
      <c r="B28474" s="4" t="s">
        <v>5</v>
      </c>
      <c r="C28474" s="4" t="s">
        <v>7</v>
      </c>
      <c r="D28474" s="4" t="s">
        <v>7</v>
      </c>
      <c r="E28474" s="4" t="s">
        <v>13</v>
      </c>
      <c r="F28474" s="4" t="s">
        <v>13</v>
      </c>
      <c r="G28474" s="4" t="s">
        <v>13</v>
      </c>
      <c r="H28474" s="4" t="s">
        <v>11</v>
      </c>
    </row>
    <row r="28475" spans="1:15">
      <c r="A28475" t="n">
        <v>277052</v>
      </c>
      <c r="B28475" s="51" t="n">
        <v>45</v>
      </c>
      <c r="C28475" s="7" t="n">
        <v>2</v>
      </c>
      <c r="D28475" s="7" t="n">
        <v>3</v>
      </c>
      <c r="E28475" s="7" t="n">
        <v>-18.5799999237061</v>
      </c>
      <c r="F28475" s="7" t="n">
        <v>11.3599996566772</v>
      </c>
      <c r="G28475" s="7" t="n">
        <v>50.1599998474121</v>
      </c>
      <c r="H28475" s="7" t="n">
        <v>0</v>
      </c>
    </row>
    <row r="28476" spans="1:15">
      <c r="A28476" t="s">
        <v>4</v>
      </c>
      <c r="B28476" s="4" t="s">
        <v>5</v>
      </c>
      <c r="C28476" s="4" t="s">
        <v>7</v>
      </c>
      <c r="D28476" s="4" t="s">
        <v>7</v>
      </c>
      <c r="E28476" s="4" t="s">
        <v>13</v>
      </c>
      <c r="F28476" s="4" t="s">
        <v>13</v>
      </c>
      <c r="G28476" s="4" t="s">
        <v>13</v>
      </c>
      <c r="H28476" s="4" t="s">
        <v>11</v>
      </c>
      <c r="I28476" s="4" t="s">
        <v>7</v>
      </c>
    </row>
    <row r="28477" spans="1:15">
      <c r="A28477" t="n">
        <v>277069</v>
      </c>
      <c r="B28477" s="51" t="n">
        <v>45</v>
      </c>
      <c r="C28477" s="7" t="n">
        <v>4</v>
      </c>
      <c r="D28477" s="7" t="n">
        <v>3</v>
      </c>
      <c r="E28477" s="7" t="n">
        <v>30.7000007629395</v>
      </c>
      <c r="F28477" s="7" t="n">
        <v>39</v>
      </c>
      <c r="G28477" s="7" t="n">
        <v>8</v>
      </c>
      <c r="H28477" s="7" t="n">
        <v>0</v>
      </c>
      <c r="I28477" s="7" t="n">
        <v>0</v>
      </c>
    </row>
    <row r="28478" spans="1:15">
      <c r="A28478" t="s">
        <v>4</v>
      </c>
      <c r="B28478" s="4" t="s">
        <v>5</v>
      </c>
      <c r="C28478" s="4" t="s">
        <v>7</v>
      </c>
      <c r="D28478" s="4" t="s">
        <v>7</v>
      </c>
      <c r="E28478" s="4" t="s">
        <v>13</v>
      </c>
      <c r="F28478" s="4" t="s">
        <v>11</v>
      </c>
    </row>
    <row r="28479" spans="1:15">
      <c r="A28479" t="n">
        <v>277087</v>
      </c>
      <c r="B28479" s="51" t="n">
        <v>45</v>
      </c>
      <c r="C28479" s="7" t="n">
        <v>5</v>
      </c>
      <c r="D28479" s="7" t="n">
        <v>3</v>
      </c>
      <c r="E28479" s="7" t="n">
        <v>1.20000004768372</v>
      </c>
      <c r="F28479" s="7" t="n">
        <v>0</v>
      </c>
    </row>
    <row r="28480" spans="1:15">
      <c r="A28480" t="s">
        <v>4</v>
      </c>
      <c r="B28480" s="4" t="s">
        <v>5</v>
      </c>
      <c r="C28480" s="4" t="s">
        <v>7</v>
      </c>
      <c r="D28480" s="4" t="s">
        <v>7</v>
      </c>
      <c r="E28480" s="4" t="s">
        <v>13</v>
      </c>
      <c r="F28480" s="4" t="s">
        <v>11</v>
      </c>
    </row>
    <row r="28481" spans="1:15">
      <c r="A28481" t="n">
        <v>277096</v>
      </c>
      <c r="B28481" s="51" t="n">
        <v>45</v>
      </c>
      <c r="C28481" s="7" t="n">
        <v>11</v>
      </c>
      <c r="D28481" s="7" t="n">
        <v>3</v>
      </c>
      <c r="E28481" s="7" t="n">
        <v>32.2999992370605</v>
      </c>
      <c r="F28481" s="7" t="n">
        <v>0</v>
      </c>
    </row>
    <row r="28482" spans="1:15">
      <c r="A28482" t="s">
        <v>4</v>
      </c>
      <c r="B28482" s="4" t="s">
        <v>5</v>
      </c>
      <c r="C28482" s="4" t="s">
        <v>7</v>
      </c>
      <c r="D28482" s="4" t="s">
        <v>7</v>
      </c>
      <c r="E28482" s="4" t="s">
        <v>13</v>
      </c>
      <c r="F28482" s="4" t="s">
        <v>11</v>
      </c>
    </row>
    <row r="28483" spans="1:15">
      <c r="A28483" t="n">
        <v>277105</v>
      </c>
      <c r="B28483" s="51" t="n">
        <v>45</v>
      </c>
      <c r="C28483" s="7" t="n">
        <v>11</v>
      </c>
      <c r="D28483" s="7" t="n">
        <v>3</v>
      </c>
      <c r="E28483" s="7" t="n">
        <v>32.2999992370605</v>
      </c>
      <c r="F28483" s="7" t="n">
        <v>0</v>
      </c>
    </row>
    <row r="28484" spans="1:15">
      <c r="A28484" t="s">
        <v>4</v>
      </c>
      <c r="B28484" s="4" t="s">
        <v>5</v>
      </c>
      <c r="C28484" s="4" t="s">
        <v>7</v>
      </c>
      <c r="D28484" s="4" t="s">
        <v>11</v>
      </c>
    </row>
    <row r="28485" spans="1:15">
      <c r="A28485" t="n">
        <v>277114</v>
      </c>
      <c r="B28485" s="23" t="n">
        <v>58</v>
      </c>
      <c r="C28485" s="7" t="n">
        <v>255</v>
      </c>
      <c r="D28485" s="7" t="n">
        <v>0</v>
      </c>
    </row>
    <row r="28486" spans="1:15">
      <c r="A28486" t="s">
        <v>4</v>
      </c>
      <c r="B28486" s="4" t="s">
        <v>5</v>
      </c>
      <c r="C28486" s="4" t="s">
        <v>7</v>
      </c>
      <c r="D28486" s="4" t="s">
        <v>11</v>
      </c>
      <c r="E28486" s="4" t="s">
        <v>8</v>
      </c>
      <c r="F28486" s="4" t="s">
        <v>8</v>
      </c>
      <c r="G28486" s="4" t="s">
        <v>8</v>
      </c>
      <c r="H28486" s="4" t="s">
        <v>8</v>
      </c>
    </row>
    <row r="28487" spans="1:15">
      <c r="A28487" t="n">
        <v>277118</v>
      </c>
      <c r="B28487" s="38" t="n">
        <v>51</v>
      </c>
      <c r="C28487" s="7" t="n">
        <v>3</v>
      </c>
      <c r="D28487" s="7" t="n">
        <v>0</v>
      </c>
      <c r="E28487" s="7" t="s">
        <v>154</v>
      </c>
      <c r="F28487" s="7" t="s">
        <v>218</v>
      </c>
      <c r="G28487" s="7" t="s">
        <v>78</v>
      </c>
      <c r="H28487" s="7" t="s">
        <v>79</v>
      </c>
    </row>
    <row r="28488" spans="1:15">
      <c r="A28488" t="s">
        <v>4</v>
      </c>
      <c r="B28488" s="4" t="s">
        <v>5</v>
      </c>
      <c r="C28488" s="4" t="s">
        <v>7</v>
      </c>
      <c r="D28488" s="4" t="s">
        <v>11</v>
      </c>
      <c r="E28488" s="4" t="s">
        <v>8</v>
      </c>
    </row>
    <row r="28489" spans="1:15">
      <c r="A28489" t="n">
        <v>277131</v>
      </c>
      <c r="B28489" s="38" t="n">
        <v>51</v>
      </c>
      <c r="C28489" s="7" t="n">
        <v>4</v>
      </c>
      <c r="D28489" s="7" t="n">
        <v>0</v>
      </c>
      <c r="E28489" s="7" t="s">
        <v>245</v>
      </c>
    </row>
    <row r="28490" spans="1:15">
      <c r="A28490" t="s">
        <v>4</v>
      </c>
      <c r="B28490" s="4" t="s">
        <v>5</v>
      </c>
      <c r="C28490" s="4" t="s">
        <v>11</v>
      </c>
    </row>
    <row r="28491" spans="1:15">
      <c r="A28491" t="n">
        <v>277145</v>
      </c>
      <c r="B28491" s="29" t="n">
        <v>16</v>
      </c>
      <c r="C28491" s="7" t="n">
        <v>0</v>
      </c>
    </row>
    <row r="28492" spans="1:15">
      <c r="A28492" t="s">
        <v>4</v>
      </c>
      <c r="B28492" s="4" t="s">
        <v>5</v>
      </c>
      <c r="C28492" s="4" t="s">
        <v>11</v>
      </c>
      <c r="D28492" s="4" t="s">
        <v>7</v>
      </c>
      <c r="E28492" s="4" t="s">
        <v>15</v>
      </c>
      <c r="F28492" s="4" t="s">
        <v>55</v>
      </c>
      <c r="G28492" s="4" t="s">
        <v>7</v>
      </c>
      <c r="H28492" s="4" t="s">
        <v>7</v>
      </c>
    </row>
    <row r="28493" spans="1:15">
      <c r="A28493" t="n">
        <v>277148</v>
      </c>
      <c r="B28493" s="55" t="n">
        <v>26</v>
      </c>
      <c r="C28493" s="7" t="n">
        <v>0</v>
      </c>
      <c r="D28493" s="7" t="n">
        <v>17</v>
      </c>
      <c r="E28493" s="7" t="n">
        <v>64666</v>
      </c>
      <c r="F28493" s="7" t="s">
        <v>1657</v>
      </c>
      <c r="G28493" s="7" t="n">
        <v>2</v>
      </c>
      <c r="H28493" s="7" t="n">
        <v>0</v>
      </c>
    </row>
    <row r="28494" spans="1:15">
      <c r="A28494" t="s">
        <v>4</v>
      </c>
      <c r="B28494" s="4" t="s">
        <v>5</v>
      </c>
    </row>
    <row r="28495" spans="1:15">
      <c r="A28495" t="n">
        <v>277182</v>
      </c>
      <c r="B28495" s="27" t="n">
        <v>28</v>
      </c>
    </row>
    <row r="28496" spans="1:15">
      <c r="A28496" t="s">
        <v>4</v>
      </c>
      <c r="B28496" s="4" t="s">
        <v>5</v>
      </c>
      <c r="C28496" s="4" t="s">
        <v>7</v>
      </c>
      <c r="D28496" s="4" t="s">
        <v>11</v>
      </c>
      <c r="E28496" s="4" t="s">
        <v>11</v>
      </c>
      <c r="F28496" s="4" t="s">
        <v>7</v>
      </c>
    </row>
    <row r="28497" spans="1:8">
      <c r="A28497" t="n">
        <v>277183</v>
      </c>
      <c r="B28497" s="31" t="n">
        <v>25</v>
      </c>
      <c r="C28497" s="7" t="n">
        <v>1</v>
      </c>
      <c r="D28497" s="7" t="n">
        <v>65535</v>
      </c>
      <c r="E28497" s="7" t="n">
        <v>65535</v>
      </c>
      <c r="F28497" s="7" t="n">
        <v>0</v>
      </c>
    </row>
    <row r="28498" spans="1:8">
      <c r="A28498" t="s">
        <v>4</v>
      </c>
      <c r="B28498" s="4" t="s">
        <v>5</v>
      </c>
      <c r="C28498" s="4" t="s">
        <v>11</v>
      </c>
    </row>
    <row r="28499" spans="1:8">
      <c r="A28499" t="n">
        <v>277190</v>
      </c>
      <c r="B28499" s="29" t="n">
        <v>16</v>
      </c>
      <c r="C28499" s="7" t="n">
        <v>300</v>
      </c>
    </row>
    <row r="28500" spans="1:8">
      <c r="A28500" t="s">
        <v>4</v>
      </c>
      <c r="B28500" s="4" t="s">
        <v>5</v>
      </c>
      <c r="C28500" s="4" t="s">
        <v>7</v>
      </c>
      <c r="D28500" s="4" t="s">
        <v>11</v>
      </c>
      <c r="E28500" s="4" t="s">
        <v>8</v>
      </c>
    </row>
    <row r="28501" spans="1:8">
      <c r="A28501" t="n">
        <v>277193</v>
      </c>
      <c r="B28501" s="38" t="n">
        <v>51</v>
      </c>
      <c r="C28501" s="7" t="n">
        <v>4</v>
      </c>
      <c r="D28501" s="7" t="n">
        <v>7</v>
      </c>
      <c r="E28501" s="7" t="s">
        <v>709</v>
      </c>
    </row>
    <row r="28502" spans="1:8">
      <c r="A28502" t="s">
        <v>4</v>
      </c>
      <c r="B28502" s="4" t="s">
        <v>5</v>
      </c>
      <c r="C28502" s="4" t="s">
        <v>11</v>
      </c>
    </row>
    <row r="28503" spans="1:8">
      <c r="A28503" t="n">
        <v>277207</v>
      </c>
      <c r="B28503" s="29" t="n">
        <v>16</v>
      </c>
      <c r="C28503" s="7" t="n">
        <v>0</v>
      </c>
    </row>
    <row r="28504" spans="1:8">
      <c r="A28504" t="s">
        <v>4</v>
      </c>
      <c r="B28504" s="4" t="s">
        <v>5</v>
      </c>
      <c r="C28504" s="4" t="s">
        <v>11</v>
      </c>
      <c r="D28504" s="4" t="s">
        <v>7</v>
      </c>
      <c r="E28504" s="4" t="s">
        <v>15</v>
      </c>
      <c r="F28504" s="4" t="s">
        <v>55</v>
      </c>
      <c r="G28504" s="4" t="s">
        <v>7</v>
      </c>
      <c r="H28504" s="4" t="s">
        <v>7</v>
      </c>
      <c r="I28504" s="4" t="s">
        <v>7</v>
      </c>
      <c r="J28504" s="4" t="s">
        <v>15</v>
      </c>
      <c r="K28504" s="4" t="s">
        <v>55</v>
      </c>
      <c r="L28504" s="4" t="s">
        <v>7</v>
      </c>
      <c r="M28504" s="4" t="s">
        <v>7</v>
      </c>
    </row>
    <row r="28505" spans="1:8">
      <c r="A28505" t="n">
        <v>277210</v>
      </c>
      <c r="B28505" s="55" t="n">
        <v>26</v>
      </c>
      <c r="C28505" s="7" t="n">
        <v>7</v>
      </c>
      <c r="D28505" s="7" t="n">
        <v>17</v>
      </c>
      <c r="E28505" s="7" t="n">
        <v>64667</v>
      </c>
      <c r="F28505" s="7" t="s">
        <v>1658</v>
      </c>
      <c r="G28505" s="7" t="n">
        <v>2</v>
      </c>
      <c r="H28505" s="7" t="n">
        <v>3</v>
      </c>
      <c r="I28505" s="7" t="n">
        <v>17</v>
      </c>
      <c r="J28505" s="7" t="n">
        <v>64668</v>
      </c>
      <c r="K28505" s="7" t="s">
        <v>1659</v>
      </c>
      <c r="L28505" s="7" t="n">
        <v>2</v>
      </c>
      <c r="M28505" s="7" t="n">
        <v>0</v>
      </c>
    </row>
    <row r="28506" spans="1:8">
      <c r="A28506" t="s">
        <v>4</v>
      </c>
      <c r="B28506" s="4" t="s">
        <v>5</v>
      </c>
    </row>
    <row r="28507" spans="1:8">
      <c r="A28507" t="n">
        <v>277326</v>
      </c>
      <c r="B28507" s="27" t="n">
        <v>28</v>
      </c>
    </row>
    <row r="28508" spans="1:8">
      <c r="A28508" t="s">
        <v>4</v>
      </c>
      <c r="B28508" s="4" t="s">
        <v>5</v>
      </c>
      <c r="C28508" s="4" t="s">
        <v>7</v>
      </c>
      <c r="D28508" s="4" t="s">
        <v>11</v>
      </c>
      <c r="E28508" s="4" t="s">
        <v>8</v>
      </c>
    </row>
    <row r="28509" spans="1:8">
      <c r="A28509" t="n">
        <v>277327</v>
      </c>
      <c r="B28509" s="38" t="n">
        <v>51</v>
      </c>
      <c r="C28509" s="7" t="n">
        <v>4</v>
      </c>
      <c r="D28509" s="7" t="n">
        <v>0</v>
      </c>
      <c r="E28509" s="7" t="s">
        <v>909</v>
      </c>
    </row>
    <row r="28510" spans="1:8">
      <c r="A28510" t="s">
        <v>4</v>
      </c>
      <c r="B28510" s="4" t="s">
        <v>5</v>
      </c>
      <c r="C28510" s="4" t="s">
        <v>11</v>
      </c>
    </row>
    <row r="28511" spans="1:8">
      <c r="A28511" t="n">
        <v>277341</v>
      </c>
      <c r="B28511" s="29" t="n">
        <v>16</v>
      </c>
      <c r="C28511" s="7" t="n">
        <v>0</v>
      </c>
    </row>
    <row r="28512" spans="1:8">
      <c r="A28512" t="s">
        <v>4</v>
      </c>
      <c r="B28512" s="4" t="s">
        <v>5</v>
      </c>
      <c r="C28512" s="4" t="s">
        <v>11</v>
      </c>
      <c r="D28512" s="4" t="s">
        <v>7</v>
      </c>
      <c r="E28512" s="4" t="s">
        <v>15</v>
      </c>
      <c r="F28512" s="4" t="s">
        <v>55</v>
      </c>
      <c r="G28512" s="4" t="s">
        <v>7</v>
      </c>
      <c r="H28512" s="4" t="s">
        <v>7</v>
      </c>
    </row>
    <row r="28513" spans="1:13">
      <c r="A28513" t="n">
        <v>277344</v>
      </c>
      <c r="B28513" s="55" t="n">
        <v>26</v>
      </c>
      <c r="C28513" s="7" t="n">
        <v>0</v>
      </c>
      <c r="D28513" s="7" t="n">
        <v>17</v>
      </c>
      <c r="E28513" s="7" t="n">
        <v>64268</v>
      </c>
      <c r="F28513" s="7" t="s">
        <v>1618</v>
      </c>
      <c r="G28513" s="7" t="n">
        <v>2</v>
      </c>
      <c r="H28513" s="7" t="n">
        <v>0</v>
      </c>
    </row>
    <row r="28514" spans="1:13">
      <c r="A28514" t="s">
        <v>4</v>
      </c>
      <c r="B28514" s="4" t="s">
        <v>5</v>
      </c>
    </row>
    <row r="28515" spans="1:13">
      <c r="A28515" t="n">
        <v>277363</v>
      </c>
      <c r="B28515" s="27" t="n">
        <v>28</v>
      </c>
    </row>
    <row r="28516" spans="1:13">
      <c r="A28516" t="s">
        <v>4</v>
      </c>
      <c r="B28516" s="4" t="s">
        <v>5</v>
      </c>
      <c r="C28516" s="4" t="s">
        <v>7</v>
      </c>
      <c r="D28516" s="4" t="s">
        <v>11</v>
      </c>
      <c r="E28516" s="4" t="s">
        <v>11</v>
      </c>
      <c r="F28516" s="4" t="s">
        <v>7</v>
      </c>
    </row>
    <row r="28517" spans="1:13">
      <c r="A28517" t="n">
        <v>277364</v>
      </c>
      <c r="B28517" s="31" t="n">
        <v>25</v>
      </c>
      <c r="C28517" s="7" t="n">
        <v>1</v>
      </c>
      <c r="D28517" s="7" t="n">
        <v>65535</v>
      </c>
      <c r="E28517" s="7" t="n">
        <v>65535</v>
      </c>
      <c r="F28517" s="7" t="n">
        <v>0</v>
      </c>
    </row>
    <row r="28518" spans="1:13">
      <c r="A28518" t="s">
        <v>4</v>
      </c>
      <c r="B28518" s="4" t="s">
        <v>5</v>
      </c>
      <c r="C28518" s="4" t="s">
        <v>7</v>
      </c>
      <c r="D28518" s="4" t="s">
        <v>11</v>
      </c>
      <c r="E28518" s="4" t="s">
        <v>8</v>
      </c>
      <c r="F28518" s="4" t="s">
        <v>8</v>
      </c>
      <c r="G28518" s="4" t="s">
        <v>8</v>
      </c>
      <c r="H28518" s="4" t="s">
        <v>8</v>
      </c>
    </row>
    <row r="28519" spans="1:13">
      <c r="A28519" t="n">
        <v>277371</v>
      </c>
      <c r="B28519" s="38" t="n">
        <v>51</v>
      </c>
      <c r="C28519" s="7" t="n">
        <v>3</v>
      </c>
      <c r="D28519" s="7" t="n">
        <v>7</v>
      </c>
      <c r="E28519" s="7" t="s">
        <v>99</v>
      </c>
      <c r="F28519" s="7" t="s">
        <v>218</v>
      </c>
      <c r="G28519" s="7" t="s">
        <v>78</v>
      </c>
      <c r="H28519" s="7" t="s">
        <v>79</v>
      </c>
    </row>
    <row r="28520" spans="1:13">
      <c r="A28520" t="s">
        <v>4</v>
      </c>
      <c r="B28520" s="4" t="s">
        <v>5</v>
      </c>
      <c r="C28520" s="4" t="s">
        <v>11</v>
      </c>
      <c r="D28520" s="4" t="s">
        <v>13</v>
      </c>
      <c r="E28520" s="4" t="s">
        <v>13</v>
      </c>
      <c r="F28520" s="4" t="s">
        <v>13</v>
      </c>
      <c r="G28520" s="4" t="s">
        <v>11</v>
      </c>
      <c r="H28520" s="4" t="s">
        <v>11</v>
      </c>
    </row>
    <row r="28521" spans="1:13">
      <c r="A28521" t="n">
        <v>277384</v>
      </c>
      <c r="B28521" s="37" t="n">
        <v>60</v>
      </c>
      <c r="C28521" s="7" t="n">
        <v>7</v>
      </c>
      <c r="D28521" s="7" t="n">
        <v>0</v>
      </c>
      <c r="E28521" s="7" t="n">
        <v>15</v>
      </c>
      <c r="F28521" s="7" t="n">
        <v>0</v>
      </c>
      <c r="G28521" s="7" t="n">
        <v>1000</v>
      </c>
      <c r="H28521" s="7" t="n">
        <v>0</v>
      </c>
    </row>
    <row r="28522" spans="1:13">
      <c r="A28522" t="s">
        <v>4</v>
      </c>
      <c r="B28522" s="4" t="s">
        <v>5</v>
      </c>
      <c r="C28522" s="4" t="s">
        <v>11</v>
      </c>
    </row>
    <row r="28523" spans="1:13">
      <c r="A28523" t="n">
        <v>277403</v>
      </c>
      <c r="B28523" s="29" t="n">
        <v>16</v>
      </c>
      <c r="C28523" s="7" t="n">
        <v>1000</v>
      </c>
    </row>
    <row r="28524" spans="1:13">
      <c r="A28524" t="s">
        <v>4</v>
      </c>
      <c r="B28524" s="4" t="s">
        <v>5</v>
      </c>
      <c r="C28524" s="4" t="s">
        <v>7</v>
      </c>
      <c r="D28524" s="4" t="s">
        <v>11</v>
      </c>
      <c r="E28524" s="4" t="s">
        <v>8</v>
      </c>
    </row>
    <row r="28525" spans="1:13">
      <c r="A28525" t="n">
        <v>277406</v>
      </c>
      <c r="B28525" s="38" t="n">
        <v>51</v>
      </c>
      <c r="C28525" s="7" t="n">
        <v>4</v>
      </c>
      <c r="D28525" s="7" t="n">
        <v>7</v>
      </c>
      <c r="E28525" s="7" t="s">
        <v>432</v>
      </c>
    </row>
    <row r="28526" spans="1:13">
      <c r="A28526" t="s">
        <v>4</v>
      </c>
      <c r="B28526" s="4" t="s">
        <v>5</v>
      </c>
      <c r="C28526" s="4" t="s">
        <v>11</v>
      </c>
    </row>
    <row r="28527" spans="1:13">
      <c r="A28527" t="n">
        <v>277419</v>
      </c>
      <c r="B28527" s="29" t="n">
        <v>16</v>
      </c>
      <c r="C28527" s="7" t="n">
        <v>0</v>
      </c>
    </row>
    <row r="28528" spans="1:13">
      <c r="A28528" t="s">
        <v>4</v>
      </c>
      <c r="B28528" s="4" t="s">
        <v>5</v>
      </c>
      <c r="C28528" s="4" t="s">
        <v>11</v>
      </c>
      <c r="D28528" s="4" t="s">
        <v>7</v>
      </c>
      <c r="E28528" s="4" t="s">
        <v>15</v>
      </c>
      <c r="F28528" s="4" t="s">
        <v>55</v>
      </c>
      <c r="G28528" s="4" t="s">
        <v>7</v>
      </c>
      <c r="H28528" s="4" t="s">
        <v>7</v>
      </c>
      <c r="I28528" s="4" t="s">
        <v>7</v>
      </c>
      <c r="J28528" s="4" t="s">
        <v>15</v>
      </c>
      <c r="K28528" s="4" t="s">
        <v>55</v>
      </c>
      <c r="L28528" s="4" t="s">
        <v>7</v>
      </c>
      <c r="M28528" s="4" t="s">
        <v>7</v>
      </c>
      <c r="N28528" s="4" t="s">
        <v>7</v>
      </c>
      <c r="O28528" s="4" t="s">
        <v>15</v>
      </c>
      <c r="P28528" s="4" t="s">
        <v>55</v>
      </c>
      <c r="Q28528" s="4" t="s">
        <v>7</v>
      </c>
      <c r="R28528" s="4" t="s">
        <v>7</v>
      </c>
    </row>
    <row r="28529" spans="1:18">
      <c r="A28529" t="n">
        <v>277422</v>
      </c>
      <c r="B28529" s="55" t="n">
        <v>26</v>
      </c>
      <c r="C28529" s="7" t="n">
        <v>7</v>
      </c>
      <c r="D28529" s="7" t="n">
        <v>17</v>
      </c>
      <c r="E28529" s="7" t="n">
        <v>64669</v>
      </c>
      <c r="F28529" s="7" t="s">
        <v>1660</v>
      </c>
      <c r="G28529" s="7" t="n">
        <v>2</v>
      </c>
      <c r="H28529" s="7" t="n">
        <v>3</v>
      </c>
      <c r="I28529" s="7" t="n">
        <v>17</v>
      </c>
      <c r="J28529" s="7" t="n">
        <v>64670</v>
      </c>
      <c r="K28529" s="7" t="s">
        <v>1661</v>
      </c>
      <c r="L28529" s="7" t="n">
        <v>2</v>
      </c>
      <c r="M28529" s="7" t="n">
        <v>3</v>
      </c>
      <c r="N28529" s="7" t="n">
        <v>17</v>
      </c>
      <c r="O28529" s="7" t="n">
        <v>64671</v>
      </c>
      <c r="P28529" s="7" t="s">
        <v>1662</v>
      </c>
      <c r="Q28529" s="7" t="n">
        <v>2</v>
      </c>
      <c r="R28529" s="7" t="n">
        <v>0</v>
      </c>
    </row>
    <row r="28530" spans="1:18">
      <c r="A28530" t="s">
        <v>4</v>
      </c>
      <c r="B28530" s="4" t="s">
        <v>5</v>
      </c>
    </row>
    <row r="28531" spans="1:18">
      <c r="A28531" t="n">
        <v>277630</v>
      </c>
      <c r="B28531" s="27" t="n">
        <v>28</v>
      </c>
    </row>
    <row r="28532" spans="1:18">
      <c r="A28532" t="s">
        <v>4</v>
      </c>
      <c r="B28532" s="4" t="s">
        <v>5</v>
      </c>
      <c r="C28532" s="4" t="s">
        <v>7</v>
      </c>
      <c r="D28532" s="4" t="s">
        <v>11</v>
      </c>
      <c r="E28532" s="4" t="s">
        <v>8</v>
      </c>
    </row>
    <row r="28533" spans="1:18">
      <c r="A28533" t="n">
        <v>277631</v>
      </c>
      <c r="B28533" s="38" t="n">
        <v>51</v>
      </c>
      <c r="C28533" s="7" t="n">
        <v>4</v>
      </c>
      <c r="D28533" s="7" t="n">
        <v>0</v>
      </c>
      <c r="E28533" s="7" t="s">
        <v>242</v>
      </c>
    </row>
    <row r="28534" spans="1:18">
      <c r="A28534" t="s">
        <v>4</v>
      </c>
      <c r="B28534" s="4" t="s">
        <v>5</v>
      </c>
      <c r="C28534" s="4" t="s">
        <v>11</v>
      </c>
    </row>
    <row r="28535" spans="1:18">
      <c r="A28535" t="n">
        <v>277645</v>
      </c>
      <c r="B28535" s="29" t="n">
        <v>16</v>
      </c>
      <c r="C28535" s="7" t="n">
        <v>0</v>
      </c>
    </row>
    <row r="28536" spans="1:18">
      <c r="A28536" t="s">
        <v>4</v>
      </c>
      <c r="B28536" s="4" t="s">
        <v>5</v>
      </c>
      <c r="C28536" s="4" t="s">
        <v>11</v>
      </c>
      <c r="D28536" s="4" t="s">
        <v>7</v>
      </c>
      <c r="E28536" s="4" t="s">
        <v>15</v>
      </c>
      <c r="F28536" s="4" t="s">
        <v>55</v>
      </c>
      <c r="G28536" s="4" t="s">
        <v>7</v>
      </c>
      <c r="H28536" s="4" t="s">
        <v>7</v>
      </c>
      <c r="I28536" s="4" t="s">
        <v>7</v>
      </c>
      <c r="J28536" s="4" t="s">
        <v>15</v>
      </c>
      <c r="K28536" s="4" t="s">
        <v>55</v>
      </c>
      <c r="L28536" s="4" t="s">
        <v>7</v>
      </c>
      <c r="M28536" s="4" t="s">
        <v>7</v>
      </c>
    </row>
    <row r="28537" spans="1:18">
      <c r="A28537" t="n">
        <v>277648</v>
      </c>
      <c r="B28537" s="55" t="n">
        <v>26</v>
      </c>
      <c r="C28537" s="7" t="n">
        <v>0</v>
      </c>
      <c r="D28537" s="7" t="n">
        <v>17</v>
      </c>
      <c r="E28537" s="7" t="n">
        <v>64672</v>
      </c>
      <c r="F28537" s="7" t="s">
        <v>1663</v>
      </c>
      <c r="G28537" s="7" t="n">
        <v>2</v>
      </c>
      <c r="H28537" s="7" t="n">
        <v>3</v>
      </c>
      <c r="I28537" s="7" t="n">
        <v>17</v>
      </c>
      <c r="J28537" s="7" t="n">
        <v>64418</v>
      </c>
      <c r="K28537" s="7" t="s">
        <v>1375</v>
      </c>
      <c r="L28537" s="7" t="n">
        <v>2</v>
      </c>
      <c r="M28537" s="7" t="n">
        <v>0</v>
      </c>
    </row>
    <row r="28538" spans="1:18">
      <c r="A28538" t="s">
        <v>4</v>
      </c>
      <c r="B28538" s="4" t="s">
        <v>5</v>
      </c>
    </row>
    <row r="28539" spans="1:18">
      <c r="A28539" t="n">
        <v>277711</v>
      </c>
      <c r="B28539" s="27" t="n">
        <v>28</v>
      </c>
    </row>
    <row r="28540" spans="1:18">
      <c r="A28540" t="s">
        <v>4</v>
      </c>
      <c r="B28540" s="4" t="s">
        <v>5</v>
      </c>
      <c r="C28540" s="4" t="s">
        <v>7</v>
      </c>
      <c r="D28540" s="4" t="s">
        <v>11</v>
      </c>
      <c r="E28540" s="4" t="s">
        <v>11</v>
      </c>
      <c r="F28540" s="4" t="s">
        <v>7</v>
      </c>
    </row>
    <row r="28541" spans="1:18">
      <c r="A28541" t="n">
        <v>277712</v>
      </c>
      <c r="B28541" s="31" t="n">
        <v>25</v>
      </c>
      <c r="C28541" s="7" t="n">
        <v>1</v>
      </c>
      <c r="D28541" s="7" t="n">
        <v>65535</v>
      </c>
      <c r="E28541" s="7" t="n">
        <v>65535</v>
      </c>
      <c r="F28541" s="7" t="n">
        <v>0</v>
      </c>
    </row>
    <row r="28542" spans="1:18">
      <c r="A28542" t="s">
        <v>4</v>
      </c>
      <c r="B28542" s="4" t="s">
        <v>5</v>
      </c>
      <c r="C28542" s="4" t="s">
        <v>7</v>
      </c>
      <c r="D28542" s="4" t="s">
        <v>11</v>
      </c>
      <c r="E28542" s="4" t="s">
        <v>8</v>
      </c>
    </row>
    <row r="28543" spans="1:18">
      <c r="A28543" t="n">
        <v>277719</v>
      </c>
      <c r="B28543" s="38" t="n">
        <v>51</v>
      </c>
      <c r="C28543" s="7" t="n">
        <v>4</v>
      </c>
      <c r="D28543" s="7" t="n">
        <v>7</v>
      </c>
      <c r="E28543" s="7" t="s">
        <v>1376</v>
      </c>
    </row>
    <row r="28544" spans="1:18">
      <c r="A28544" t="s">
        <v>4</v>
      </c>
      <c r="B28544" s="4" t="s">
        <v>5</v>
      </c>
      <c r="C28544" s="4" t="s">
        <v>11</v>
      </c>
    </row>
    <row r="28545" spans="1:18">
      <c r="A28545" t="n">
        <v>277734</v>
      </c>
      <c r="B28545" s="29" t="n">
        <v>16</v>
      </c>
      <c r="C28545" s="7" t="n">
        <v>0</v>
      </c>
    </row>
    <row r="28546" spans="1:18">
      <c r="A28546" t="s">
        <v>4</v>
      </c>
      <c r="B28546" s="4" t="s">
        <v>5</v>
      </c>
      <c r="C28546" s="4" t="s">
        <v>11</v>
      </c>
      <c r="D28546" s="4" t="s">
        <v>7</v>
      </c>
      <c r="E28546" s="4" t="s">
        <v>15</v>
      </c>
      <c r="F28546" s="4" t="s">
        <v>55</v>
      </c>
      <c r="G28546" s="4" t="s">
        <v>7</v>
      </c>
      <c r="H28546" s="4" t="s">
        <v>7</v>
      </c>
    </row>
    <row r="28547" spans="1:18">
      <c r="A28547" t="n">
        <v>277737</v>
      </c>
      <c r="B28547" s="55" t="n">
        <v>26</v>
      </c>
      <c r="C28547" s="7" t="n">
        <v>7</v>
      </c>
      <c r="D28547" s="7" t="n">
        <v>17</v>
      </c>
      <c r="E28547" s="7" t="n">
        <v>65288</v>
      </c>
      <c r="F28547" s="7" t="s">
        <v>464</v>
      </c>
      <c r="G28547" s="7" t="n">
        <v>2</v>
      </c>
      <c r="H28547" s="7" t="n">
        <v>0</v>
      </c>
    </row>
    <row r="28548" spans="1:18">
      <c r="A28548" t="s">
        <v>4</v>
      </c>
      <c r="B28548" s="4" t="s">
        <v>5</v>
      </c>
    </row>
    <row r="28549" spans="1:18">
      <c r="A28549" t="n">
        <v>277750</v>
      </c>
      <c r="B28549" s="27" t="n">
        <v>28</v>
      </c>
    </row>
    <row r="28550" spans="1:18">
      <c r="A28550" t="s">
        <v>4</v>
      </c>
      <c r="B28550" s="4" t="s">
        <v>5</v>
      </c>
      <c r="C28550" s="4" t="s">
        <v>7</v>
      </c>
      <c r="D28550" s="4" t="s">
        <v>11</v>
      </c>
      <c r="E28550" s="4" t="s">
        <v>8</v>
      </c>
    </row>
    <row r="28551" spans="1:18">
      <c r="A28551" t="n">
        <v>277751</v>
      </c>
      <c r="B28551" s="38" t="n">
        <v>51</v>
      </c>
      <c r="C28551" s="7" t="n">
        <v>4</v>
      </c>
      <c r="D28551" s="7" t="n">
        <v>0</v>
      </c>
      <c r="E28551" s="7" t="s">
        <v>242</v>
      </c>
    </row>
    <row r="28552" spans="1:18">
      <c r="A28552" t="s">
        <v>4</v>
      </c>
      <c r="B28552" s="4" t="s">
        <v>5</v>
      </c>
      <c r="C28552" s="4" t="s">
        <v>11</v>
      </c>
    </row>
    <row r="28553" spans="1:18">
      <c r="A28553" t="n">
        <v>277765</v>
      </c>
      <c r="B28553" s="29" t="n">
        <v>16</v>
      </c>
      <c r="C28553" s="7" t="n">
        <v>0</v>
      </c>
    </row>
    <row r="28554" spans="1:18">
      <c r="A28554" t="s">
        <v>4</v>
      </c>
      <c r="B28554" s="4" t="s">
        <v>5</v>
      </c>
      <c r="C28554" s="4" t="s">
        <v>11</v>
      </c>
      <c r="D28554" s="4" t="s">
        <v>7</v>
      </c>
      <c r="E28554" s="4" t="s">
        <v>15</v>
      </c>
      <c r="F28554" s="4" t="s">
        <v>55</v>
      </c>
      <c r="G28554" s="4" t="s">
        <v>7</v>
      </c>
      <c r="H28554" s="4" t="s">
        <v>7</v>
      </c>
      <c r="I28554" s="4" t="s">
        <v>7</v>
      </c>
      <c r="J28554" s="4" t="s">
        <v>15</v>
      </c>
      <c r="K28554" s="4" t="s">
        <v>55</v>
      </c>
      <c r="L28554" s="4" t="s">
        <v>7</v>
      </c>
      <c r="M28554" s="4" t="s">
        <v>7</v>
      </c>
      <c r="N28554" s="4" t="s">
        <v>7</v>
      </c>
      <c r="O28554" s="4" t="s">
        <v>15</v>
      </c>
      <c r="P28554" s="4" t="s">
        <v>55</v>
      </c>
      <c r="Q28554" s="4" t="s">
        <v>7</v>
      </c>
      <c r="R28554" s="4" t="s">
        <v>7</v>
      </c>
    </row>
    <row r="28555" spans="1:18">
      <c r="A28555" t="n">
        <v>277768</v>
      </c>
      <c r="B28555" s="55" t="n">
        <v>26</v>
      </c>
      <c r="C28555" s="7" t="n">
        <v>0</v>
      </c>
      <c r="D28555" s="7" t="n">
        <v>17</v>
      </c>
      <c r="E28555" s="7" t="n">
        <v>64673</v>
      </c>
      <c r="F28555" s="7" t="s">
        <v>1664</v>
      </c>
      <c r="G28555" s="7" t="n">
        <v>2</v>
      </c>
      <c r="H28555" s="7" t="n">
        <v>3</v>
      </c>
      <c r="I28555" s="7" t="n">
        <v>17</v>
      </c>
      <c r="J28555" s="7" t="n">
        <v>64674</v>
      </c>
      <c r="K28555" s="7" t="s">
        <v>1665</v>
      </c>
      <c r="L28555" s="7" t="n">
        <v>2</v>
      </c>
      <c r="M28555" s="7" t="n">
        <v>3</v>
      </c>
      <c r="N28555" s="7" t="n">
        <v>17</v>
      </c>
      <c r="O28555" s="7" t="n">
        <v>64336</v>
      </c>
      <c r="P28555" s="7" t="s">
        <v>1288</v>
      </c>
      <c r="Q28555" s="7" t="n">
        <v>2</v>
      </c>
      <c r="R28555" s="7" t="n">
        <v>0</v>
      </c>
    </row>
    <row r="28556" spans="1:18">
      <c r="A28556" t="s">
        <v>4</v>
      </c>
      <c r="B28556" s="4" t="s">
        <v>5</v>
      </c>
    </row>
    <row r="28557" spans="1:18">
      <c r="A28557" t="n">
        <v>278070</v>
      </c>
      <c r="B28557" s="27" t="n">
        <v>28</v>
      </c>
    </row>
    <row r="28558" spans="1:18">
      <c r="A28558" t="s">
        <v>4</v>
      </c>
      <c r="B28558" s="4" t="s">
        <v>5</v>
      </c>
      <c r="C28558" s="4" t="s">
        <v>7</v>
      </c>
      <c r="D28558" s="4" t="s">
        <v>11</v>
      </c>
      <c r="E28558" s="4" t="s">
        <v>11</v>
      </c>
      <c r="F28558" s="4" t="s">
        <v>7</v>
      </c>
    </row>
    <row r="28559" spans="1:18">
      <c r="A28559" t="n">
        <v>278071</v>
      </c>
      <c r="B28559" s="31" t="n">
        <v>25</v>
      </c>
      <c r="C28559" s="7" t="n">
        <v>1</v>
      </c>
      <c r="D28559" s="7" t="n">
        <v>65535</v>
      </c>
      <c r="E28559" s="7" t="n">
        <v>65535</v>
      </c>
      <c r="F28559" s="7" t="n">
        <v>0</v>
      </c>
    </row>
    <row r="28560" spans="1:18">
      <c r="A28560" t="s">
        <v>4</v>
      </c>
      <c r="B28560" s="4" t="s">
        <v>5</v>
      </c>
      <c r="C28560" s="4" t="s">
        <v>11</v>
      </c>
      <c r="D28560" s="4" t="s">
        <v>13</v>
      </c>
      <c r="E28560" s="4" t="s">
        <v>13</v>
      </c>
      <c r="F28560" s="4" t="s">
        <v>13</v>
      </c>
      <c r="G28560" s="4" t="s">
        <v>11</v>
      </c>
      <c r="H28560" s="4" t="s">
        <v>11</v>
      </c>
    </row>
    <row r="28561" spans="1:18">
      <c r="A28561" t="n">
        <v>278078</v>
      </c>
      <c r="B28561" s="37" t="n">
        <v>60</v>
      </c>
      <c r="C28561" s="7" t="n">
        <v>7</v>
      </c>
      <c r="D28561" s="7" t="n">
        <v>0</v>
      </c>
      <c r="E28561" s="7" t="n">
        <v>35</v>
      </c>
      <c r="F28561" s="7" t="n">
        <v>0</v>
      </c>
      <c r="G28561" s="7" t="n">
        <v>800</v>
      </c>
      <c r="H28561" s="7" t="n">
        <v>0</v>
      </c>
    </row>
    <row r="28562" spans="1:18">
      <c r="A28562" t="s">
        <v>4</v>
      </c>
      <c r="B28562" s="4" t="s">
        <v>5</v>
      </c>
      <c r="C28562" s="4" t="s">
        <v>7</v>
      </c>
      <c r="D28562" s="4" t="s">
        <v>11</v>
      </c>
      <c r="E28562" s="4" t="s">
        <v>8</v>
      </c>
    </row>
    <row r="28563" spans="1:18">
      <c r="A28563" t="n">
        <v>278097</v>
      </c>
      <c r="B28563" s="38" t="n">
        <v>51</v>
      </c>
      <c r="C28563" s="7" t="n">
        <v>4</v>
      </c>
      <c r="D28563" s="7" t="n">
        <v>7</v>
      </c>
      <c r="E28563" s="7" t="s">
        <v>173</v>
      </c>
    </row>
    <row r="28564" spans="1:18">
      <c r="A28564" t="s">
        <v>4</v>
      </c>
      <c r="B28564" s="4" t="s">
        <v>5</v>
      </c>
      <c r="C28564" s="4" t="s">
        <v>11</v>
      </c>
    </row>
    <row r="28565" spans="1:18">
      <c r="A28565" t="n">
        <v>278110</v>
      </c>
      <c r="B28565" s="29" t="n">
        <v>16</v>
      </c>
      <c r="C28565" s="7" t="n">
        <v>500</v>
      </c>
    </row>
    <row r="28566" spans="1:18">
      <c r="A28566" t="s">
        <v>4</v>
      </c>
      <c r="B28566" s="4" t="s">
        <v>5</v>
      </c>
      <c r="C28566" s="4" t="s">
        <v>11</v>
      </c>
      <c r="D28566" s="4" t="s">
        <v>7</v>
      </c>
      <c r="E28566" s="4" t="s">
        <v>15</v>
      </c>
      <c r="F28566" s="4" t="s">
        <v>55</v>
      </c>
      <c r="G28566" s="4" t="s">
        <v>7</v>
      </c>
      <c r="H28566" s="4" t="s">
        <v>7</v>
      </c>
      <c r="I28566" s="4" t="s">
        <v>7</v>
      </c>
      <c r="J28566" s="4" t="s">
        <v>15</v>
      </c>
      <c r="K28566" s="4" t="s">
        <v>55</v>
      </c>
      <c r="L28566" s="4" t="s">
        <v>7</v>
      </c>
      <c r="M28566" s="4" t="s">
        <v>7</v>
      </c>
      <c r="N28566" s="4" t="s">
        <v>7</v>
      </c>
      <c r="O28566" s="4" t="s">
        <v>15</v>
      </c>
      <c r="P28566" s="4" t="s">
        <v>55</v>
      </c>
      <c r="Q28566" s="4" t="s">
        <v>7</v>
      </c>
      <c r="R28566" s="4" t="s">
        <v>7</v>
      </c>
      <c r="S28566" s="4" t="s">
        <v>7</v>
      </c>
      <c r="T28566" s="4" t="s">
        <v>15</v>
      </c>
      <c r="U28566" s="4" t="s">
        <v>55</v>
      </c>
      <c r="V28566" s="4" t="s">
        <v>7</v>
      </c>
      <c r="W28566" s="4" t="s">
        <v>7</v>
      </c>
      <c r="X28566" s="4" t="s">
        <v>7</v>
      </c>
      <c r="Y28566" s="4" t="s">
        <v>15</v>
      </c>
      <c r="Z28566" s="4" t="s">
        <v>55</v>
      </c>
      <c r="AA28566" s="4" t="s">
        <v>7</v>
      </c>
      <c r="AB28566" s="4" t="s">
        <v>7</v>
      </c>
    </row>
    <row r="28567" spans="1:18">
      <c r="A28567" t="n">
        <v>278113</v>
      </c>
      <c r="B28567" s="55" t="n">
        <v>26</v>
      </c>
      <c r="C28567" s="7" t="n">
        <v>7</v>
      </c>
      <c r="D28567" s="7" t="n">
        <v>17</v>
      </c>
      <c r="E28567" s="7" t="n">
        <v>64675</v>
      </c>
      <c r="F28567" s="7" t="s">
        <v>1666</v>
      </c>
      <c r="G28567" s="7" t="n">
        <v>2</v>
      </c>
      <c r="H28567" s="7" t="n">
        <v>3</v>
      </c>
      <c r="I28567" s="7" t="n">
        <v>17</v>
      </c>
      <c r="J28567" s="7" t="n">
        <v>64676</v>
      </c>
      <c r="K28567" s="7" t="s">
        <v>1667</v>
      </c>
      <c r="L28567" s="7" t="n">
        <v>2</v>
      </c>
      <c r="M28567" s="7" t="n">
        <v>3</v>
      </c>
      <c r="N28567" s="7" t="n">
        <v>17</v>
      </c>
      <c r="O28567" s="7" t="n">
        <v>64677</v>
      </c>
      <c r="P28567" s="7" t="s">
        <v>1668</v>
      </c>
      <c r="Q28567" s="7" t="n">
        <v>2</v>
      </c>
      <c r="R28567" s="7" t="n">
        <v>3</v>
      </c>
      <c r="S28567" s="7" t="n">
        <v>17</v>
      </c>
      <c r="T28567" s="7" t="n">
        <v>64678</v>
      </c>
      <c r="U28567" s="7" t="s">
        <v>1669</v>
      </c>
      <c r="V28567" s="7" t="n">
        <v>2</v>
      </c>
      <c r="W28567" s="7" t="n">
        <v>3</v>
      </c>
      <c r="X28567" s="7" t="n">
        <v>17</v>
      </c>
      <c r="Y28567" s="7" t="n">
        <v>64679</v>
      </c>
      <c r="Z28567" s="7" t="s">
        <v>1670</v>
      </c>
      <c r="AA28567" s="7" t="n">
        <v>2</v>
      </c>
      <c r="AB28567" s="7" t="n">
        <v>0</v>
      </c>
    </row>
    <row r="28568" spans="1:18">
      <c r="A28568" t="s">
        <v>4</v>
      </c>
      <c r="B28568" s="4" t="s">
        <v>5</v>
      </c>
    </row>
    <row r="28569" spans="1:18">
      <c r="A28569" t="n">
        <v>278360</v>
      </c>
      <c r="B28569" s="27" t="n">
        <v>28</v>
      </c>
    </row>
    <row r="28570" spans="1:18">
      <c r="A28570" t="s">
        <v>4</v>
      </c>
      <c r="B28570" s="4" t="s">
        <v>5</v>
      </c>
      <c r="C28570" s="4" t="s">
        <v>11</v>
      </c>
      <c r="D28570" s="4" t="s">
        <v>7</v>
      </c>
    </row>
    <row r="28571" spans="1:18">
      <c r="A28571" t="n">
        <v>278361</v>
      </c>
      <c r="B28571" s="68" t="n">
        <v>89</v>
      </c>
      <c r="C28571" s="7" t="n">
        <v>65533</v>
      </c>
      <c r="D28571" s="7" t="n">
        <v>1</v>
      </c>
    </row>
    <row r="28572" spans="1:18">
      <c r="A28572" t="s">
        <v>4</v>
      </c>
      <c r="B28572" s="4" t="s">
        <v>5</v>
      </c>
      <c r="C28572" s="4" t="s">
        <v>7</v>
      </c>
      <c r="D28572" s="4" t="s">
        <v>11</v>
      </c>
      <c r="E28572" s="4" t="s">
        <v>13</v>
      </c>
    </row>
    <row r="28573" spans="1:18">
      <c r="A28573" t="n">
        <v>278365</v>
      </c>
      <c r="B28573" s="23" t="n">
        <v>58</v>
      </c>
      <c r="C28573" s="7" t="n">
        <v>101</v>
      </c>
      <c r="D28573" s="7" t="n">
        <v>500</v>
      </c>
      <c r="E28573" s="7" t="n">
        <v>1</v>
      </c>
    </row>
    <row r="28574" spans="1:18">
      <c r="A28574" t="s">
        <v>4</v>
      </c>
      <c r="B28574" s="4" t="s">
        <v>5</v>
      </c>
      <c r="C28574" s="4" t="s">
        <v>7</v>
      </c>
      <c r="D28574" s="4" t="s">
        <v>11</v>
      </c>
    </row>
    <row r="28575" spans="1:18">
      <c r="A28575" t="n">
        <v>278373</v>
      </c>
      <c r="B28575" s="23" t="n">
        <v>58</v>
      </c>
      <c r="C28575" s="7" t="n">
        <v>254</v>
      </c>
      <c r="D28575" s="7" t="n">
        <v>0</v>
      </c>
    </row>
    <row r="28576" spans="1:18">
      <c r="A28576" t="s">
        <v>4</v>
      </c>
      <c r="B28576" s="4" t="s">
        <v>5</v>
      </c>
      <c r="C28576" s="4" t="s">
        <v>7</v>
      </c>
      <c r="D28576" s="4" t="s">
        <v>7</v>
      </c>
      <c r="E28576" s="4" t="s">
        <v>13</v>
      </c>
      <c r="F28576" s="4" t="s">
        <v>13</v>
      </c>
      <c r="G28576" s="4" t="s">
        <v>13</v>
      </c>
      <c r="H28576" s="4" t="s">
        <v>11</v>
      </c>
    </row>
    <row r="28577" spans="1:28">
      <c r="A28577" t="n">
        <v>278377</v>
      </c>
      <c r="B28577" s="51" t="n">
        <v>45</v>
      </c>
      <c r="C28577" s="7" t="n">
        <v>2</v>
      </c>
      <c r="D28577" s="7" t="n">
        <v>3</v>
      </c>
      <c r="E28577" s="7" t="n">
        <v>-18.6000003814697</v>
      </c>
      <c r="F28577" s="7" t="n">
        <v>11.3699998855591</v>
      </c>
      <c r="G28577" s="7" t="n">
        <v>50.1500015258789</v>
      </c>
      <c r="H28577" s="7" t="n">
        <v>0</v>
      </c>
    </row>
    <row r="28578" spans="1:28">
      <c r="A28578" t="s">
        <v>4</v>
      </c>
      <c r="B28578" s="4" t="s">
        <v>5</v>
      </c>
      <c r="C28578" s="4" t="s">
        <v>7</v>
      </c>
      <c r="D28578" s="4" t="s">
        <v>7</v>
      </c>
      <c r="E28578" s="4" t="s">
        <v>13</v>
      </c>
      <c r="F28578" s="4" t="s">
        <v>13</v>
      </c>
      <c r="G28578" s="4" t="s">
        <v>13</v>
      </c>
      <c r="H28578" s="4" t="s">
        <v>11</v>
      </c>
      <c r="I28578" s="4" t="s">
        <v>7</v>
      </c>
    </row>
    <row r="28579" spans="1:28">
      <c r="A28579" t="n">
        <v>278394</v>
      </c>
      <c r="B28579" s="51" t="n">
        <v>45</v>
      </c>
      <c r="C28579" s="7" t="n">
        <v>4</v>
      </c>
      <c r="D28579" s="7" t="n">
        <v>3</v>
      </c>
      <c r="E28579" s="7" t="n">
        <v>32.75</v>
      </c>
      <c r="F28579" s="7" t="n">
        <v>40.3600006103516</v>
      </c>
      <c r="G28579" s="7" t="n">
        <v>10</v>
      </c>
      <c r="H28579" s="7" t="n">
        <v>0</v>
      </c>
      <c r="I28579" s="7" t="n">
        <v>0</v>
      </c>
    </row>
    <row r="28580" spans="1:28">
      <c r="A28580" t="s">
        <v>4</v>
      </c>
      <c r="B28580" s="4" t="s">
        <v>5</v>
      </c>
      <c r="C28580" s="4" t="s">
        <v>7</v>
      </c>
      <c r="D28580" s="4" t="s">
        <v>7</v>
      </c>
      <c r="E28580" s="4" t="s">
        <v>13</v>
      </c>
      <c r="F28580" s="4" t="s">
        <v>11</v>
      </c>
    </row>
    <row r="28581" spans="1:28">
      <c r="A28581" t="n">
        <v>278412</v>
      </c>
      <c r="B28581" s="51" t="n">
        <v>45</v>
      </c>
      <c r="C28581" s="7" t="n">
        <v>5</v>
      </c>
      <c r="D28581" s="7" t="n">
        <v>3</v>
      </c>
      <c r="E28581" s="7" t="n">
        <v>1.20000004768372</v>
      </c>
      <c r="F28581" s="7" t="n">
        <v>0</v>
      </c>
    </row>
    <row r="28582" spans="1:28">
      <c r="A28582" t="s">
        <v>4</v>
      </c>
      <c r="B28582" s="4" t="s">
        <v>5</v>
      </c>
      <c r="C28582" s="4" t="s">
        <v>7</v>
      </c>
      <c r="D28582" s="4" t="s">
        <v>7</v>
      </c>
      <c r="E28582" s="4" t="s">
        <v>13</v>
      </c>
      <c r="F28582" s="4" t="s">
        <v>11</v>
      </c>
    </row>
    <row r="28583" spans="1:28">
      <c r="A28583" t="n">
        <v>278421</v>
      </c>
      <c r="B28583" s="51" t="n">
        <v>45</v>
      </c>
      <c r="C28583" s="7" t="n">
        <v>5</v>
      </c>
      <c r="D28583" s="7" t="n">
        <v>3</v>
      </c>
      <c r="E28583" s="7" t="n">
        <v>1.10000002384186</v>
      </c>
      <c r="F28583" s="7" t="n">
        <v>3000</v>
      </c>
    </row>
    <row r="28584" spans="1:28">
      <c r="A28584" t="s">
        <v>4</v>
      </c>
      <c r="B28584" s="4" t="s">
        <v>5</v>
      </c>
      <c r="C28584" s="4" t="s">
        <v>7</v>
      </c>
      <c r="D28584" s="4" t="s">
        <v>7</v>
      </c>
      <c r="E28584" s="4" t="s">
        <v>13</v>
      </c>
      <c r="F28584" s="4" t="s">
        <v>11</v>
      </c>
    </row>
    <row r="28585" spans="1:28">
      <c r="A28585" t="n">
        <v>278430</v>
      </c>
      <c r="B28585" s="51" t="n">
        <v>45</v>
      </c>
      <c r="C28585" s="7" t="n">
        <v>11</v>
      </c>
      <c r="D28585" s="7" t="n">
        <v>3</v>
      </c>
      <c r="E28585" s="7" t="n">
        <v>32.2999992370605</v>
      </c>
      <c r="F28585" s="7" t="n">
        <v>0</v>
      </c>
    </row>
    <row r="28586" spans="1:28">
      <c r="A28586" t="s">
        <v>4</v>
      </c>
      <c r="B28586" s="4" t="s">
        <v>5</v>
      </c>
      <c r="C28586" s="4" t="s">
        <v>11</v>
      </c>
      <c r="D28586" s="4" t="s">
        <v>13</v>
      </c>
      <c r="E28586" s="4" t="s">
        <v>13</v>
      </c>
      <c r="F28586" s="4" t="s">
        <v>13</v>
      </c>
      <c r="G28586" s="4" t="s">
        <v>11</v>
      </c>
      <c r="H28586" s="4" t="s">
        <v>11</v>
      </c>
    </row>
    <row r="28587" spans="1:28">
      <c r="A28587" t="n">
        <v>278439</v>
      </c>
      <c r="B28587" s="37" t="n">
        <v>60</v>
      </c>
      <c r="C28587" s="7" t="n">
        <v>0</v>
      </c>
      <c r="D28587" s="7" t="n">
        <v>0</v>
      </c>
      <c r="E28587" s="7" t="n">
        <v>10</v>
      </c>
      <c r="F28587" s="7" t="n">
        <v>0</v>
      </c>
      <c r="G28587" s="7" t="n">
        <v>0</v>
      </c>
      <c r="H28587" s="7" t="n">
        <v>0</v>
      </c>
    </row>
    <row r="28588" spans="1:28">
      <c r="A28588" t="s">
        <v>4</v>
      </c>
      <c r="B28588" s="4" t="s">
        <v>5</v>
      </c>
      <c r="C28588" s="4" t="s">
        <v>7</v>
      </c>
      <c r="D28588" s="4" t="s">
        <v>11</v>
      </c>
      <c r="E28588" s="4" t="s">
        <v>8</v>
      </c>
      <c r="F28588" s="4" t="s">
        <v>8</v>
      </c>
      <c r="G28588" s="4" t="s">
        <v>8</v>
      </c>
      <c r="H28588" s="4" t="s">
        <v>8</v>
      </c>
    </row>
    <row r="28589" spans="1:28">
      <c r="A28589" t="n">
        <v>278458</v>
      </c>
      <c r="B28589" s="38" t="n">
        <v>51</v>
      </c>
      <c r="C28589" s="7" t="n">
        <v>3</v>
      </c>
      <c r="D28589" s="7" t="n">
        <v>7</v>
      </c>
      <c r="E28589" s="7" t="s">
        <v>154</v>
      </c>
      <c r="F28589" s="7" t="s">
        <v>79</v>
      </c>
      <c r="G28589" s="7" t="s">
        <v>78</v>
      </c>
      <c r="H28589" s="7" t="s">
        <v>79</v>
      </c>
    </row>
    <row r="28590" spans="1:28">
      <c r="A28590" t="s">
        <v>4</v>
      </c>
      <c r="B28590" s="4" t="s">
        <v>5</v>
      </c>
      <c r="C28590" s="4" t="s">
        <v>11</v>
      </c>
      <c r="D28590" s="4" t="s">
        <v>13</v>
      </c>
      <c r="E28590" s="4" t="s">
        <v>13</v>
      </c>
      <c r="F28590" s="4" t="s">
        <v>13</v>
      </c>
      <c r="G28590" s="4" t="s">
        <v>11</v>
      </c>
      <c r="H28590" s="4" t="s">
        <v>11</v>
      </c>
    </row>
    <row r="28591" spans="1:28">
      <c r="A28591" t="n">
        <v>278471</v>
      </c>
      <c r="B28591" s="37" t="n">
        <v>60</v>
      </c>
      <c r="C28591" s="7" t="n">
        <v>7</v>
      </c>
      <c r="D28591" s="7" t="n">
        <v>0</v>
      </c>
      <c r="E28591" s="7" t="n">
        <v>30</v>
      </c>
      <c r="F28591" s="7" t="n">
        <v>0</v>
      </c>
      <c r="G28591" s="7" t="n">
        <v>0</v>
      </c>
      <c r="H28591" s="7" t="n">
        <v>0</v>
      </c>
    </row>
    <row r="28592" spans="1:28">
      <c r="A28592" t="s">
        <v>4</v>
      </c>
      <c r="B28592" s="4" t="s">
        <v>5</v>
      </c>
      <c r="C28592" s="4" t="s">
        <v>11</v>
      </c>
      <c r="D28592" s="4" t="s">
        <v>13</v>
      </c>
      <c r="E28592" s="4" t="s">
        <v>13</v>
      </c>
      <c r="F28592" s="4" t="s">
        <v>13</v>
      </c>
      <c r="G28592" s="4" t="s">
        <v>13</v>
      </c>
    </row>
    <row r="28593" spans="1:9">
      <c r="A28593" t="n">
        <v>278490</v>
      </c>
      <c r="B28593" s="36" t="n">
        <v>46</v>
      </c>
      <c r="C28593" s="7" t="n">
        <v>7</v>
      </c>
      <c r="D28593" s="7" t="n">
        <v>-18.8400001525879</v>
      </c>
      <c r="E28593" s="7" t="n">
        <v>10.0100002288818</v>
      </c>
      <c r="F28593" s="7" t="n">
        <v>50.1699981689453</v>
      </c>
      <c r="G28593" s="7" t="n">
        <v>97.4000015258789</v>
      </c>
    </row>
    <row r="28594" spans="1:9">
      <c r="A28594" t="s">
        <v>4</v>
      </c>
      <c r="B28594" s="4" t="s">
        <v>5</v>
      </c>
      <c r="C28594" s="4" t="s">
        <v>11</v>
      </c>
      <c r="D28594" s="4" t="s">
        <v>7</v>
      </c>
      <c r="E28594" s="4" t="s">
        <v>8</v>
      </c>
      <c r="F28594" s="4" t="s">
        <v>13</v>
      </c>
      <c r="G28594" s="4" t="s">
        <v>13</v>
      </c>
      <c r="H28594" s="4" t="s">
        <v>13</v>
      </c>
    </row>
    <row r="28595" spans="1:9">
      <c r="A28595" t="n">
        <v>278509</v>
      </c>
      <c r="B28595" s="42" t="n">
        <v>48</v>
      </c>
      <c r="C28595" s="7" t="n">
        <v>7</v>
      </c>
      <c r="D28595" s="7" t="n">
        <v>0</v>
      </c>
      <c r="E28595" s="7" t="s">
        <v>1630</v>
      </c>
      <c r="F28595" s="7" t="n">
        <v>-1</v>
      </c>
      <c r="G28595" s="7" t="n">
        <v>1</v>
      </c>
      <c r="H28595" s="7" t="n">
        <v>0</v>
      </c>
    </row>
    <row r="28596" spans="1:9">
      <c r="A28596" t="s">
        <v>4</v>
      </c>
      <c r="B28596" s="4" t="s">
        <v>5</v>
      </c>
      <c r="C28596" s="4" t="s">
        <v>11</v>
      </c>
      <c r="D28596" s="4" t="s">
        <v>7</v>
      </c>
      <c r="E28596" s="4" t="s">
        <v>8</v>
      </c>
      <c r="F28596" s="4" t="s">
        <v>13</v>
      </c>
      <c r="G28596" s="4" t="s">
        <v>13</v>
      </c>
      <c r="H28596" s="4" t="s">
        <v>13</v>
      </c>
    </row>
    <row r="28597" spans="1:9">
      <c r="A28597" t="n">
        <v>278535</v>
      </c>
      <c r="B28597" s="42" t="n">
        <v>48</v>
      </c>
      <c r="C28597" s="7" t="n">
        <v>0</v>
      </c>
      <c r="D28597" s="7" t="n">
        <v>0</v>
      </c>
      <c r="E28597" s="7" t="s">
        <v>1630</v>
      </c>
      <c r="F28597" s="7" t="n">
        <v>-1</v>
      </c>
      <c r="G28597" s="7" t="n">
        <v>1</v>
      </c>
      <c r="H28597" s="7" t="n">
        <v>0</v>
      </c>
    </row>
    <row r="28598" spans="1:9">
      <c r="A28598" t="s">
        <v>4</v>
      </c>
      <c r="B28598" s="4" t="s">
        <v>5</v>
      </c>
      <c r="C28598" s="4" t="s">
        <v>11</v>
      </c>
    </row>
    <row r="28599" spans="1:9">
      <c r="A28599" t="n">
        <v>278561</v>
      </c>
      <c r="B28599" s="29" t="n">
        <v>16</v>
      </c>
      <c r="C28599" s="7" t="n">
        <v>500</v>
      </c>
    </row>
    <row r="28600" spans="1:9">
      <c r="A28600" t="s">
        <v>4</v>
      </c>
      <c r="B28600" s="4" t="s">
        <v>5</v>
      </c>
      <c r="C28600" s="4" t="s">
        <v>7</v>
      </c>
      <c r="D28600" s="4" t="s">
        <v>11</v>
      </c>
      <c r="E28600" s="4" t="s">
        <v>13</v>
      </c>
      <c r="F28600" s="4" t="s">
        <v>11</v>
      </c>
      <c r="G28600" s="4" t="s">
        <v>15</v>
      </c>
      <c r="H28600" s="4" t="s">
        <v>15</v>
      </c>
      <c r="I28600" s="4" t="s">
        <v>11</v>
      </c>
      <c r="J28600" s="4" t="s">
        <v>11</v>
      </c>
      <c r="K28600" s="4" t="s">
        <v>15</v>
      </c>
      <c r="L28600" s="4" t="s">
        <v>15</v>
      </c>
      <c r="M28600" s="4" t="s">
        <v>15</v>
      </c>
      <c r="N28600" s="4" t="s">
        <v>15</v>
      </c>
      <c r="O28600" s="4" t="s">
        <v>8</v>
      </c>
    </row>
    <row r="28601" spans="1:9">
      <c r="A28601" t="n">
        <v>278564</v>
      </c>
      <c r="B28601" s="57" t="n">
        <v>50</v>
      </c>
      <c r="C28601" s="7" t="n">
        <v>0</v>
      </c>
      <c r="D28601" s="7" t="n">
        <v>2004</v>
      </c>
      <c r="E28601" s="7" t="n">
        <v>0.400000005960464</v>
      </c>
      <c r="F28601" s="7" t="n">
        <v>300</v>
      </c>
      <c r="G28601" s="7" t="n">
        <v>0</v>
      </c>
      <c r="H28601" s="7" t="n">
        <v>1073741824</v>
      </c>
      <c r="I28601" s="7" t="n">
        <v>0</v>
      </c>
      <c r="J28601" s="7" t="n">
        <v>65533</v>
      </c>
      <c r="K28601" s="7" t="n">
        <v>0</v>
      </c>
      <c r="L28601" s="7" t="n">
        <v>0</v>
      </c>
      <c r="M28601" s="7" t="n">
        <v>0</v>
      </c>
      <c r="N28601" s="7" t="n">
        <v>0</v>
      </c>
      <c r="O28601" s="7" t="s">
        <v>16</v>
      </c>
    </row>
    <row r="28602" spans="1:9">
      <c r="A28602" t="s">
        <v>4</v>
      </c>
      <c r="B28602" s="4" t="s">
        <v>5</v>
      </c>
      <c r="C28602" s="4" t="s">
        <v>11</v>
      </c>
    </row>
    <row r="28603" spans="1:9">
      <c r="A28603" t="n">
        <v>278603</v>
      </c>
      <c r="B28603" s="29" t="n">
        <v>16</v>
      </c>
      <c r="C28603" s="7" t="n">
        <v>1500</v>
      </c>
    </row>
    <row r="28604" spans="1:9">
      <c r="A28604" t="s">
        <v>4</v>
      </c>
      <c r="B28604" s="4" t="s">
        <v>5</v>
      </c>
      <c r="C28604" s="4" t="s">
        <v>7</v>
      </c>
      <c r="D28604" s="4" t="s">
        <v>11</v>
      </c>
      <c r="E28604" s="4" t="s">
        <v>8</v>
      </c>
      <c r="F28604" s="4" t="s">
        <v>8</v>
      </c>
      <c r="G28604" s="4" t="s">
        <v>8</v>
      </c>
      <c r="H28604" s="4" t="s">
        <v>8</v>
      </c>
    </row>
    <row r="28605" spans="1:9">
      <c r="A28605" t="n">
        <v>278606</v>
      </c>
      <c r="B28605" s="38" t="n">
        <v>51</v>
      </c>
      <c r="C28605" s="7" t="n">
        <v>3</v>
      </c>
      <c r="D28605" s="7" t="n">
        <v>7</v>
      </c>
      <c r="E28605" s="7" t="s">
        <v>319</v>
      </c>
      <c r="F28605" s="7" t="s">
        <v>99</v>
      </c>
      <c r="G28605" s="7" t="s">
        <v>78</v>
      </c>
      <c r="H28605" s="7" t="s">
        <v>79</v>
      </c>
    </row>
    <row r="28606" spans="1:9">
      <c r="A28606" t="s">
        <v>4</v>
      </c>
      <c r="B28606" s="4" t="s">
        <v>5</v>
      </c>
      <c r="C28606" s="4" t="s">
        <v>11</v>
      </c>
    </row>
    <row r="28607" spans="1:9">
      <c r="A28607" t="n">
        <v>278619</v>
      </c>
      <c r="B28607" s="29" t="n">
        <v>16</v>
      </c>
      <c r="C28607" s="7" t="n">
        <v>500</v>
      </c>
    </row>
    <row r="28608" spans="1:9">
      <c r="A28608" t="s">
        <v>4</v>
      </c>
      <c r="B28608" s="4" t="s">
        <v>5</v>
      </c>
      <c r="C28608" s="4" t="s">
        <v>7</v>
      </c>
      <c r="D28608" s="4" t="s">
        <v>11</v>
      </c>
      <c r="E28608" s="4" t="s">
        <v>8</v>
      </c>
    </row>
    <row r="28609" spans="1:15">
      <c r="A28609" t="n">
        <v>278622</v>
      </c>
      <c r="B28609" s="38" t="n">
        <v>51</v>
      </c>
      <c r="C28609" s="7" t="n">
        <v>4</v>
      </c>
      <c r="D28609" s="7" t="n">
        <v>0</v>
      </c>
      <c r="E28609" s="7" t="s">
        <v>242</v>
      </c>
    </row>
    <row r="28610" spans="1:15">
      <c r="A28610" t="s">
        <v>4</v>
      </c>
      <c r="B28610" s="4" t="s">
        <v>5</v>
      </c>
      <c r="C28610" s="4" t="s">
        <v>11</v>
      </c>
    </row>
    <row r="28611" spans="1:15">
      <c r="A28611" t="n">
        <v>278636</v>
      </c>
      <c r="B28611" s="29" t="n">
        <v>16</v>
      </c>
      <c r="C28611" s="7" t="n">
        <v>0</v>
      </c>
    </row>
    <row r="28612" spans="1:15">
      <c r="A28612" t="s">
        <v>4</v>
      </c>
      <c r="B28612" s="4" t="s">
        <v>5</v>
      </c>
      <c r="C28612" s="4" t="s">
        <v>11</v>
      </c>
      <c r="D28612" s="4" t="s">
        <v>7</v>
      </c>
      <c r="E28612" s="4" t="s">
        <v>15</v>
      </c>
      <c r="F28612" s="4" t="s">
        <v>55</v>
      </c>
      <c r="G28612" s="4" t="s">
        <v>7</v>
      </c>
      <c r="H28612" s="4" t="s">
        <v>7</v>
      </c>
      <c r="I28612" s="4" t="s">
        <v>7</v>
      </c>
      <c r="J28612" s="4" t="s">
        <v>15</v>
      </c>
      <c r="K28612" s="4" t="s">
        <v>55</v>
      </c>
      <c r="L28612" s="4" t="s">
        <v>7</v>
      </c>
      <c r="M28612" s="4" t="s">
        <v>7</v>
      </c>
      <c r="N28612" s="4" t="s">
        <v>7</v>
      </c>
      <c r="O28612" s="4" t="s">
        <v>15</v>
      </c>
      <c r="P28612" s="4" t="s">
        <v>55</v>
      </c>
      <c r="Q28612" s="4" t="s">
        <v>7</v>
      </c>
      <c r="R28612" s="4" t="s">
        <v>7</v>
      </c>
      <c r="S28612" s="4" t="s">
        <v>7</v>
      </c>
      <c r="T28612" s="4" t="s">
        <v>15</v>
      </c>
      <c r="U28612" s="4" t="s">
        <v>55</v>
      </c>
      <c r="V28612" s="4" t="s">
        <v>7</v>
      </c>
      <c r="W28612" s="4" t="s">
        <v>7</v>
      </c>
    </row>
    <row r="28613" spans="1:15">
      <c r="A28613" t="n">
        <v>278639</v>
      </c>
      <c r="B28613" s="55" t="n">
        <v>26</v>
      </c>
      <c r="C28613" s="7" t="n">
        <v>0</v>
      </c>
      <c r="D28613" s="7" t="n">
        <v>17</v>
      </c>
      <c r="E28613" s="7" t="n">
        <v>64680</v>
      </c>
      <c r="F28613" s="7" t="s">
        <v>1671</v>
      </c>
      <c r="G28613" s="7" t="n">
        <v>2</v>
      </c>
      <c r="H28613" s="7" t="n">
        <v>3</v>
      </c>
      <c r="I28613" s="7" t="n">
        <v>17</v>
      </c>
      <c r="J28613" s="7" t="n">
        <v>64681</v>
      </c>
      <c r="K28613" s="7" t="s">
        <v>1672</v>
      </c>
      <c r="L28613" s="7" t="n">
        <v>2</v>
      </c>
      <c r="M28613" s="7" t="n">
        <v>3</v>
      </c>
      <c r="N28613" s="7" t="n">
        <v>17</v>
      </c>
      <c r="O28613" s="7" t="n">
        <v>64682</v>
      </c>
      <c r="P28613" s="7" t="s">
        <v>1673</v>
      </c>
      <c r="Q28613" s="7" t="n">
        <v>2</v>
      </c>
      <c r="R28613" s="7" t="n">
        <v>3</v>
      </c>
      <c r="S28613" s="7" t="n">
        <v>17</v>
      </c>
      <c r="T28613" s="7" t="n">
        <v>64683</v>
      </c>
      <c r="U28613" s="7" t="s">
        <v>1674</v>
      </c>
      <c r="V28613" s="7" t="n">
        <v>2</v>
      </c>
      <c r="W28613" s="7" t="n">
        <v>0</v>
      </c>
    </row>
    <row r="28614" spans="1:15">
      <c r="A28614" t="s">
        <v>4</v>
      </c>
      <c r="B28614" s="4" t="s">
        <v>5</v>
      </c>
    </row>
    <row r="28615" spans="1:15">
      <c r="A28615" t="n">
        <v>278975</v>
      </c>
      <c r="B28615" s="27" t="n">
        <v>28</v>
      </c>
    </row>
    <row r="28616" spans="1:15">
      <c r="A28616" t="s">
        <v>4</v>
      </c>
      <c r="B28616" s="4" t="s">
        <v>5</v>
      </c>
      <c r="C28616" s="4" t="s">
        <v>7</v>
      </c>
      <c r="D28616" s="4" t="s">
        <v>11</v>
      </c>
      <c r="E28616" s="4" t="s">
        <v>11</v>
      </c>
      <c r="F28616" s="4" t="s">
        <v>7</v>
      </c>
    </row>
    <row r="28617" spans="1:15">
      <c r="A28617" t="n">
        <v>278976</v>
      </c>
      <c r="B28617" s="31" t="n">
        <v>25</v>
      </c>
      <c r="C28617" s="7" t="n">
        <v>1</v>
      </c>
      <c r="D28617" s="7" t="n">
        <v>65535</v>
      </c>
      <c r="E28617" s="7" t="n">
        <v>65535</v>
      </c>
      <c r="F28617" s="7" t="n">
        <v>0</v>
      </c>
    </row>
    <row r="28618" spans="1:15">
      <c r="A28618" t="s">
        <v>4</v>
      </c>
      <c r="B28618" s="4" t="s">
        <v>5</v>
      </c>
      <c r="C28618" s="4" t="s">
        <v>7</v>
      </c>
      <c r="D28618" s="4" t="s">
        <v>11</v>
      </c>
      <c r="E28618" s="4" t="s">
        <v>8</v>
      </c>
    </row>
    <row r="28619" spans="1:15">
      <c r="A28619" t="n">
        <v>278983</v>
      </c>
      <c r="B28619" s="38" t="n">
        <v>51</v>
      </c>
      <c r="C28619" s="7" t="n">
        <v>4</v>
      </c>
      <c r="D28619" s="7" t="n">
        <v>7</v>
      </c>
      <c r="E28619" s="7" t="s">
        <v>167</v>
      </c>
    </row>
    <row r="28620" spans="1:15">
      <c r="A28620" t="s">
        <v>4</v>
      </c>
      <c r="B28620" s="4" t="s">
        <v>5</v>
      </c>
      <c r="C28620" s="4" t="s">
        <v>11</v>
      </c>
    </row>
    <row r="28621" spans="1:15">
      <c r="A28621" t="n">
        <v>278997</v>
      </c>
      <c r="B28621" s="29" t="n">
        <v>16</v>
      </c>
      <c r="C28621" s="7" t="n">
        <v>0</v>
      </c>
    </row>
    <row r="28622" spans="1:15">
      <c r="A28622" t="s">
        <v>4</v>
      </c>
      <c r="B28622" s="4" t="s">
        <v>5</v>
      </c>
      <c r="C28622" s="4" t="s">
        <v>11</v>
      </c>
      <c r="D28622" s="4" t="s">
        <v>7</v>
      </c>
      <c r="E28622" s="4" t="s">
        <v>15</v>
      </c>
      <c r="F28622" s="4" t="s">
        <v>55</v>
      </c>
      <c r="G28622" s="4" t="s">
        <v>7</v>
      </c>
      <c r="H28622" s="4" t="s">
        <v>7</v>
      </c>
      <c r="I28622" s="4" t="s">
        <v>7</v>
      </c>
      <c r="J28622" s="4" t="s">
        <v>15</v>
      </c>
      <c r="K28622" s="4" t="s">
        <v>55</v>
      </c>
      <c r="L28622" s="4" t="s">
        <v>7</v>
      </c>
      <c r="M28622" s="4" t="s">
        <v>7</v>
      </c>
      <c r="N28622" s="4" t="s">
        <v>7</v>
      </c>
      <c r="O28622" s="4" t="s">
        <v>15</v>
      </c>
      <c r="P28622" s="4" t="s">
        <v>55</v>
      </c>
      <c r="Q28622" s="4" t="s">
        <v>7</v>
      </c>
      <c r="R28622" s="4" t="s">
        <v>7</v>
      </c>
    </row>
    <row r="28623" spans="1:15">
      <c r="A28623" t="n">
        <v>279000</v>
      </c>
      <c r="B28623" s="55" t="n">
        <v>26</v>
      </c>
      <c r="C28623" s="7" t="n">
        <v>7</v>
      </c>
      <c r="D28623" s="7" t="n">
        <v>17</v>
      </c>
      <c r="E28623" s="7" t="n">
        <v>64684</v>
      </c>
      <c r="F28623" s="7" t="s">
        <v>1675</v>
      </c>
      <c r="G28623" s="7" t="n">
        <v>2</v>
      </c>
      <c r="H28623" s="7" t="n">
        <v>3</v>
      </c>
      <c r="I28623" s="7" t="n">
        <v>17</v>
      </c>
      <c r="J28623" s="7" t="n">
        <v>64685</v>
      </c>
      <c r="K28623" s="7" t="s">
        <v>1676</v>
      </c>
      <c r="L28623" s="7" t="n">
        <v>2</v>
      </c>
      <c r="M28623" s="7" t="n">
        <v>3</v>
      </c>
      <c r="N28623" s="7" t="n">
        <v>17</v>
      </c>
      <c r="O28623" s="7" t="n">
        <v>64686</v>
      </c>
      <c r="P28623" s="7" t="s">
        <v>1677</v>
      </c>
      <c r="Q28623" s="7" t="n">
        <v>2</v>
      </c>
      <c r="R28623" s="7" t="n">
        <v>0</v>
      </c>
    </row>
    <row r="28624" spans="1:15">
      <c r="A28624" t="s">
        <v>4</v>
      </c>
      <c r="B28624" s="4" t="s">
        <v>5</v>
      </c>
    </row>
    <row r="28625" spans="1:23">
      <c r="A28625" t="n">
        <v>279169</v>
      </c>
      <c r="B28625" s="27" t="n">
        <v>28</v>
      </c>
    </row>
    <row r="28626" spans="1:23">
      <c r="A28626" t="s">
        <v>4</v>
      </c>
      <c r="B28626" s="4" t="s">
        <v>5</v>
      </c>
      <c r="C28626" s="4" t="s">
        <v>11</v>
      </c>
      <c r="D28626" s="4" t="s">
        <v>7</v>
      </c>
      <c r="E28626" s="4" t="s">
        <v>13</v>
      </c>
      <c r="F28626" s="4" t="s">
        <v>11</v>
      </c>
    </row>
    <row r="28627" spans="1:23">
      <c r="A28627" t="n">
        <v>279170</v>
      </c>
      <c r="B28627" s="56" t="n">
        <v>59</v>
      </c>
      <c r="C28627" s="7" t="n">
        <v>0</v>
      </c>
      <c r="D28627" s="7" t="n">
        <v>6</v>
      </c>
      <c r="E28627" s="7" t="n">
        <v>0</v>
      </c>
      <c r="F28627" s="7" t="n">
        <v>0</v>
      </c>
    </row>
    <row r="28628" spans="1:23">
      <c r="A28628" t="s">
        <v>4</v>
      </c>
      <c r="B28628" s="4" t="s">
        <v>5</v>
      </c>
      <c r="C28628" s="4" t="s">
        <v>11</v>
      </c>
    </row>
    <row r="28629" spans="1:23">
      <c r="A28629" t="n">
        <v>279180</v>
      </c>
      <c r="B28629" s="29" t="n">
        <v>16</v>
      </c>
      <c r="C28629" s="7" t="n">
        <v>1000</v>
      </c>
    </row>
    <row r="28630" spans="1:23">
      <c r="A28630" t="s">
        <v>4</v>
      </c>
      <c r="B28630" s="4" t="s">
        <v>5</v>
      </c>
      <c r="C28630" s="4" t="s">
        <v>7</v>
      </c>
      <c r="D28630" s="4" t="s">
        <v>11</v>
      </c>
      <c r="E28630" s="4" t="s">
        <v>8</v>
      </c>
    </row>
    <row r="28631" spans="1:23">
      <c r="A28631" t="n">
        <v>279183</v>
      </c>
      <c r="B28631" s="38" t="n">
        <v>51</v>
      </c>
      <c r="C28631" s="7" t="n">
        <v>4</v>
      </c>
      <c r="D28631" s="7" t="n">
        <v>0</v>
      </c>
      <c r="E28631" s="7" t="s">
        <v>240</v>
      </c>
    </row>
    <row r="28632" spans="1:23">
      <c r="A28632" t="s">
        <v>4</v>
      </c>
      <c r="B28632" s="4" t="s">
        <v>5</v>
      </c>
      <c r="C28632" s="4" t="s">
        <v>11</v>
      </c>
    </row>
    <row r="28633" spans="1:23">
      <c r="A28633" t="n">
        <v>279197</v>
      </c>
      <c r="B28633" s="29" t="n">
        <v>16</v>
      </c>
      <c r="C28633" s="7" t="n">
        <v>0</v>
      </c>
    </row>
    <row r="28634" spans="1:23">
      <c r="A28634" t="s">
        <v>4</v>
      </c>
      <c r="B28634" s="4" t="s">
        <v>5</v>
      </c>
      <c r="C28634" s="4" t="s">
        <v>11</v>
      </c>
      <c r="D28634" s="4" t="s">
        <v>7</v>
      </c>
      <c r="E28634" s="4" t="s">
        <v>15</v>
      </c>
      <c r="F28634" s="4" t="s">
        <v>55</v>
      </c>
      <c r="G28634" s="4" t="s">
        <v>7</v>
      </c>
      <c r="H28634" s="4" t="s">
        <v>7</v>
      </c>
      <c r="I28634" s="4" t="s">
        <v>7</v>
      </c>
      <c r="J28634" s="4" t="s">
        <v>15</v>
      </c>
      <c r="K28634" s="4" t="s">
        <v>55</v>
      </c>
      <c r="L28634" s="4" t="s">
        <v>7</v>
      </c>
      <c r="M28634" s="4" t="s">
        <v>7</v>
      </c>
    </row>
    <row r="28635" spans="1:23">
      <c r="A28635" t="n">
        <v>279200</v>
      </c>
      <c r="B28635" s="55" t="n">
        <v>26</v>
      </c>
      <c r="C28635" s="7" t="n">
        <v>0</v>
      </c>
      <c r="D28635" s="7" t="n">
        <v>17</v>
      </c>
      <c r="E28635" s="7" t="n">
        <v>64687</v>
      </c>
      <c r="F28635" s="7" t="s">
        <v>1678</v>
      </c>
      <c r="G28635" s="7" t="n">
        <v>2</v>
      </c>
      <c r="H28635" s="7" t="n">
        <v>3</v>
      </c>
      <c r="I28635" s="7" t="n">
        <v>17</v>
      </c>
      <c r="J28635" s="7" t="n">
        <v>64688</v>
      </c>
      <c r="K28635" s="7" t="s">
        <v>1679</v>
      </c>
      <c r="L28635" s="7" t="n">
        <v>2</v>
      </c>
      <c r="M28635" s="7" t="n">
        <v>0</v>
      </c>
    </row>
    <row r="28636" spans="1:23">
      <c r="A28636" t="s">
        <v>4</v>
      </c>
      <c r="B28636" s="4" t="s">
        <v>5</v>
      </c>
    </row>
    <row r="28637" spans="1:23">
      <c r="A28637" t="n">
        <v>279324</v>
      </c>
      <c r="B28637" s="27" t="n">
        <v>28</v>
      </c>
    </row>
    <row r="28638" spans="1:23">
      <c r="A28638" t="s">
        <v>4</v>
      </c>
      <c r="B28638" s="4" t="s">
        <v>5</v>
      </c>
      <c r="C28638" s="4" t="s">
        <v>7</v>
      </c>
      <c r="D28638" s="4" t="s">
        <v>11</v>
      </c>
      <c r="E28638" s="4" t="s">
        <v>11</v>
      </c>
      <c r="F28638" s="4" t="s">
        <v>7</v>
      </c>
    </row>
    <row r="28639" spans="1:23">
      <c r="A28639" t="n">
        <v>279325</v>
      </c>
      <c r="B28639" s="31" t="n">
        <v>25</v>
      </c>
      <c r="C28639" s="7" t="n">
        <v>1</v>
      </c>
      <c r="D28639" s="7" t="n">
        <v>65535</v>
      </c>
      <c r="E28639" s="7" t="n">
        <v>65535</v>
      </c>
      <c r="F28639" s="7" t="n">
        <v>0</v>
      </c>
    </row>
    <row r="28640" spans="1:23">
      <c r="A28640" t="s">
        <v>4</v>
      </c>
      <c r="B28640" s="4" t="s">
        <v>5</v>
      </c>
      <c r="C28640" s="4" t="s">
        <v>7</v>
      </c>
      <c r="D28640" s="4" t="s">
        <v>11</v>
      </c>
      <c r="E28640" s="4" t="s">
        <v>13</v>
      </c>
    </row>
    <row r="28641" spans="1:13">
      <c r="A28641" t="n">
        <v>279332</v>
      </c>
      <c r="B28641" s="23" t="n">
        <v>58</v>
      </c>
      <c r="C28641" s="7" t="n">
        <v>0</v>
      </c>
      <c r="D28641" s="7" t="n">
        <v>2000</v>
      </c>
      <c r="E28641" s="7" t="n">
        <v>1</v>
      </c>
    </row>
    <row r="28642" spans="1:13">
      <c r="A28642" t="s">
        <v>4</v>
      </c>
      <c r="B28642" s="4" t="s">
        <v>5</v>
      </c>
      <c r="C28642" s="4" t="s">
        <v>7</v>
      </c>
      <c r="D28642" s="4" t="s">
        <v>11</v>
      </c>
    </row>
    <row r="28643" spans="1:13">
      <c r="A28643" t="n">
        <v>279340</v>
      </c>
      <c r="B28643" s="23" t="n">
        <v>58</v>
      </c>
      <c r="C28643" s="7" t="n">
        <v>255</v>
      </c>
      <c r="D28643" s="7" t="n">
        <v>0</v>
      </c>
    </row>
    <row r="28644" spans="1:13">
      <c r="A28644" t="s">
        <v>4</v>
      </c>
      <c r="B28644" s="4" t="s">
        <v>5</v>
      </c>
      <c r="C28644" s="4" t="s">
        <v>11</v>
      </c>
    </row>
    <row r="28645" spans="1:13">
      <c r="A28645" t="n">
        <v>279344</v>
      </c>
      <c r="B28645" s="29" t="n">
        <v>16</v>
      </c>
      <c r="C28645" s="7" t="n">
        <v>1000</v>
      </c>
    </row>
    <row r="28646" spans="1:13">
      <c r="A28646" t="s">
        <v>4</v>
      </c>
      <c r="B28646" s="4" t="s">
        <v>5</v>
      </c>
      <c r="C28646" s="4" t="s">
        <v>7</v>
      </c>
      <c r="D28646" s="4" t="s">
        <v>11</v>
      </c>
      <c r="E28646" s="4" t="s">
        <v>7</v>
      </c>
    </row>
    <row r="28647" spans="1:13">
      <c r="A28647" t="n">
        <v>279347</v>
      </c>
      <c r="B28647" s="40" t="n">
        <v>36</v>
      </c>
      <c r="C28647" s="7" t="n">
        <v>9</v>
      </c>
      <c r="D28647" s="7" t="n">
        <v>0</v>
      </c>
      <c r="E28647" s="7" t="n">
        <v>0</v>
      </c>
    </row>
    <row r="28648" spans="1:13">
      <c r="A28648" t="s">
        <v>4</v>
      </c>
      <c r="B28648" s="4" t="s">
        <v>5</v>
      </c>
      <c r="C28648" s="4" t="s">
        <v>7</v>
      </c>
      <c r="D28648" s="4" t="s">
        <v>11</v>
      </c>
      <c r="E28648" s="4" t="s">
        <v>7</v>
      </c>
    </row>
    <row r="28649" spans="1:13">
      <c r="A28649" t="n">
        <v>279352</v>
      </c>
      <c r="B28649" s="40" t="n">
        <v>36</v>
      </c>
      <c r="C28649" s="7" t="n">
        <v>9</v>
      </c>
      <c r="D28649" s="7" t="n">
        <v>7</v>
      </c>
      <c r="E28649" s="7" t="n">
        <v>0</v>
      </c>
    </row>
    <row r="28650" spans="1:13">
      <c r="A28650" t="s">
        <v>4</v>
      </c>
      <c r="B28650" s="4" t="s">
        <v>5</v>
      </c>
      <c r="C28650" s="4" t="s">
        <v>11</v>
      </c>
      <c r="D28650" s="4" t="s">
        <v>13</v>
      </c>
      <c r="E28650" s="4" t="s">
        <v>13</v>
      </c>
      <c r="F28650" s="4" t="s">
        <v>13</v>
      </c>
      <c r="G28650" s="4" t="s">
        <v>13</v>
      </c>
    </row>
    <row r="28651" spans="1:13">
      <c r="A28651" t="n">
        <v>279357</v>
      </c>
      <c r="B28651" s="36" t="n">
        <v>46</v>
      </c>
      <c r="C28651" s="7" t="n">
        <v>61456</v>
      </c>
      <c r="D28651" s="7" t="n">
        <v>-18.2600002288818</v>
      </c>
      <c r="E28651" s="7" t="n">
        <v>10.0100002288818</v>
      </c>
      <c r="F28651" s="7" t="n">
        <v>49.4500007629395</v>
      </c>
      <c r="G28651" s="7" t="n">
        <v>113.400001525879</v>
      </c>
    </row>
    <row r="28652" spans="1:13">
      <c r="A28652" t="s">
        <v>4</v>
      </c>
      <c r="B28652" s="4" t="s">
        <v>5</v>
      </c>
      <c r="C28652" s="4" t="s">
        <v>7</v>
      </c>
      <c r="D28652" s="4" t="s">
        <v>7</v>
      </c>
      <c r="E28652" s="4" t="s">
        <v>13</v>
      </c>
      <c r="F28652" s="4" t="s">
        <v>13</v>
      </c>
      <c r="G28652" s="4" t="s">
        <v>13</v>
      </c>
      <c r="H28652" s="4" t="s">
        <v>11</v>
      </c>
      <c r="I28652" s="4" t="s">
        <v>7</v>
      </c>
    </row>
    <row r="28653" spans="1:13">
      <c r="A28653" t="n">
        <v>279376</v>
      </c>
      <c r="B28653" s="51" t="n">
        <v>45</v>
      </c>
      <c r="C28653" s="7" t="n">
        <v>4</v>
      </c>
      <c r="D28653" s="7" t="n">
        <v>3</v>
      </c>
      <c r="E28653" s="7" t="n">
        <v>7</v>
      </c>
      <c r="F28653" s="7" t="n">
        <v>93.1100006103516</v>
      </c>
      <c r="G28653" s="7" t="n">
        <v>0</v>
      </c>
      <c r="H28653" s="7" t="n">
        <v>0</v>
      </c>
      <c r="I28653" s="7" t="n">
        <v>0</v>
      </c>
    </row>
    <row r="28654" spans="1:13">
      <c r="A28654" t="s">
        <v>4</v>
      </c>
      <c r="B28654" s="4" t="s">
        <v>5</v>
      </c>
      <c r="C28654" s="4" t="s">
        <v>7</v>
      </c>
      <c r="D28654" s="4" t="s">
        <v>8</v>
      </c>
    </row>
    <row r="28655" spans="1:13">
      <c r="A28655" t="n">
        <v>279394</v>
      </c>
      <c r="B28655" s="6" t="n">
        <v>2</v>
      </c>
      <c r="C28655" s="7" t="n">
        <v>10</v>
      </c>
      <c r="D28655" s="7" t="s">
        <v>1834</v>
      </c>
    </row>
    <row r="28656" spans="1:13">
      <c r="A28656" t="s">
        <v>4</v>
      </c>
      <c r="B28656" s="4" t="s">
        <v>5</v>
      </c>
    </row>
    <row r="28657" spans="1:9">
      <c r="A28657" t="n">
        <v>279415</v>
      </c>
      <c r="B28657" s="5" t="n">
        <v>1</v>
      </c>
    </row>
    <row r="28658" spans="1:9" s="3" customFormat="1" customHeight="0">
      <c r="A28658" s="3" t="s">
        <v>2</v>
      </c>
      <c r="B28658" s="3" t="s">
        <v>1842</v>
      </c>
    </row>
    <row r="28659" spans="1:9">
      <c r="A28659" t="s">
        <v>4</v>
      </c>
      <c r="B28659" s="4" t="s">
        <v>5</v>
      </c>
      <c r="C28659" s="4" t="s">
        <v>7</v>
      </c>
      <c r="D28659" s="4" t="s">
        <v>7</v>
      </c>
      <c r="E28659" s="4" t="s">
        <v>7</v>
      </c>
      <c r="F28659" s="4" t="s">
        <v>7</v>
      </c>
    </row>
    <row r="28660" spans="1:9">
      <c r="A28660" t="n">
        <v>279416</v>
      </c>
      <c r="B28660" s="9" t="n">
        <v>14</v>
      </c>
      <c r="C28660" s="7" t="n">
        <v>2</v>
      </c>
      <c r="D28660" s="7" t="n">
        <v>0</v>
      </c>
      <c r="E28660" s="7" t="n">
        <v>0</v>
      </c>
      <c r="F28660" s="7" t="n">
        <v>0</v>
      </c>
    </row>
    <row r="28661" spans="1:9">
      <c r="A28661" t="s">
        <v>4</v>
      </c>
      <c r="B28661" s="4" t="s">
        <v>5</v>
      </c>
      <c r="C28661" s="4" t="s">
        <v>7</v>
      </c>
      <c r="D28661" s="20" t="s">
        <v>35</v>
      </c>
      <c r="E28661" s="4" t="s">
        <v>5</v>
      </c>
      <c r="F28661" s="4" t="s">
        <v>7</v>
      </c>
      <c r="G28661" s="4" t="s">
        <v>11</v>
      </c>
      <c r="H28661" s="20" t="s">
        <v>36</v>
      </c>
      <c r="I28661" s="4" t="s">
        <v>7</v>
      </c>
      <c r="J28661" s="4" t="s">
        <v>15</v>
      </c>
      <c r="K28661" s="4" t="s">
        <v>7</v>
      </c>
      <c r="L28661" s="4" t="s">
        <v>7</v>
      </c>
      <c r="M28661" s="20" t="s">
        <v>35</v>
      </c>
      <c r="N28661" s="4" t="s">
        <v>5</v>
      </c>
      <c r="O28661" s="4" t="s">
        <v>7</v>
      </c>
      <c r="P28661" s="4" t="s">
        <v>11</v>
      </c>
      <c r="Q28661" s="20" t="s">
        <v>36</v>
      </c>
      <c r="R28661" s="4" t="s">
        <v>7</v>
      </c>
      <c r="S28661" s="4" t="s">
        <v>15</v>
      </c>
      <c r="T28661" s="4" t="s">
        <v>7</v>
      </c>
      <c r="U28661" s="4" t="s">
        <v>7</v>
      </c>
      <c r="V28661" s="4" t="s">
        <v>7</v>
      </c>
      <c r="W28661" s="4" t="s">
        <v>12</v>
      </c>
    </row>
    <row r="28662" spans="1:9">
      <c r="A28662" t="n">
        <v>279421</v>
      </c>
      <c r="B28662" s="10" t="n">
        <v>5</v>
      </c>
      <c r="C28662" s="7" t="n">
        <v>28</v>
      </c>
      <c r="D28662" s="20" t="s">
        <v>3</v>
      </c>
      <c r="E28662" s="8" t="n">
        <v>162</v>
      </c>
      <c r="F28662" s="7" t="n">
        <v>3</v>
      </c>
      <c r="G28662" s="7" t="n">
        <v>36889</v>
      </c>
      <c r="H28662" s="20" t="s">
        <v>3</v>
      </c>
      <c r="I28662" s="7" t="n">
        <v>0</v>
      </c>
      <c r="J28662" s="7" t="n">
        <v>1</v>
      </c>
      <c r="K28662" s="7" t="n">
        <v>2</v>
      </c>
      <c r="L28662" s="7" t="n">
        <v>28</v>
      </c>
      <c r="M28662" s="20" t="s">
        <v>3</v>
      </c>
      <c r="N28662" s="8" t="n">
        <v>162</v>
      </c>
      <c r="O28662" s="7" t="n">
        <v>3</v>
      </c>
      <c r="P28662" s="7" t="n">
        <v>36889</v>
      </c>
      <c r="Q28662" s="20" t="s">
        <v>3</v>
      </c>
      <c r="R28662" s="7" t="n">
        <v>0</v>
      </c>
      <c r="S28662" s="7" t="n">
        <v>2</v>
      </c>
      <c r="T28662" s="7" t="n">
        <v>2</v>
      </c>
      <c r="U28662" s="7" t="n">
        <v>11</v>
      </c>
      <c r="V28662" s="7" t="n">
        <v>1</v>
      </c>
      <c r="W28662" s="11" t="n">
        <f t="normal" ca="1">A28666</f>
        <v>0</v>
      </c>
    </row>
    <row r="28663" spans="1:9">
      <c r="A28663" t="s">
        <v>4</v>
      </c>
      <c r="B28663" s="4" t="s">
        <v>5</v>
      </c>
      <c r="C28663" s="4" t="s">
        <v>7</v>
      </c>
      <c r="D28663" s="4" t="s">
        <v>11</v>
      </c>
      <c r="E28663" s="4" t="s">
        <v>13</v>
      </c>
    </row>
    <row r="28664" spans="1:9">
      <c r="A28664" t="n">
        <v>279450</v>
      </c>
      <c r="B28664" s="23" t="n">
        <v>58</v>
      </c>
      <c r="C28664" s="7" t="n">
        <v>0</v>
      </c>
      <c r="D28664" s="7" t="n">
        <v>0</v>
      </c>
      <c r="E28664" s="7" t="n">
        <v>1</v>
      </c>
    </row>
    <row r="28665" spans="1:9">
      <c r="A28665" t="s">
        <v>4</v>
      </c>
      <c r="B28665" s="4" t="s">
        <v>5</v>
      </c>
      <c r="C28665" s="4" t="s">
        <v>7</v>
      </c>
      <c r="D28665" s="20" t="s">
        <v>35</v>
      </c>
      <c r="E28665" s="4" t="s">
        <v>5</v>
      </c>
      <c r="F28665" s="4" t="s">
        <v>7</v>
      </c>
      <c r="G28665" s="4" t="s">
        <v>11</v>
      </c>
      <c r="H28665" s="20" t="s">
        <v>36</v>
      </c>
      <c r="I28665" s="4" t="s">
        <v>7</v>
      </c>
      <c r="J28665" s="4" t="s">
        <v>15</v>
      </c>
      <c r="K28665" s="4" t="s">
        <v>7</v>
      </c>
      <c r="L28665" s="4" t="s">
        <v>7</v>
      </c>
      <c r="M28665" s="20" t="s">
        <v>35</v>
      </c>
      <c r="N28665" s="4" t="s">
        <v>5</v>
      </c>
      <c r="O28665" s="4" t="s">
        <v>7</v>
      </c>
      <c r="P28665" s="4" t="s">
        <v>11</v>
      </c>
      <c r="Q28665" s="20" t="s">
        <v>36</v>
      </c>
      <c r="R28665" s="4" t="s">
        <v>7</v>
      </c>
      <c r="S28665" s="4" t="s">
        <v>15</v>
      </c>
      <c r="T28665" s="4" t="s">
        <v>7</v>
      </c>
      <c r="U28665" s="4" t="s">
        <v>7</v>
      </c>
      <c r="V28665" s="4" t="s">
        <v>7</v>
      </c>
      <c r="W28665" s="4" t="s">
        <v>12</v>
      </c>
    </row>
    <row r="28666" spans="1:9">
      <c r="A28666" t="n">
        <v>279458</v>
      </c>
      <c r="B28666" s="10" t="n">
        <v>5</v>
      </c>
      <c r="C28666" s="7" t="n">
        <v>28</v>
      </c>
      <c r="D28666" s="20" t="s">
        <v>3</v>
      </c>
      <c r="E28666" s="8" t="n">
        <v>162</v>
      </c>
      <c r="F28666" s="7" t="n">
        <v>3</v>
      </c>
      <c r="G28666" s="7" t="n">
        <v>36889</v>
      </c>
      <c r="H28666" s="20" t="s">
        <v>3</v>
      </c>
      <c r="I28666" s="7" t="n">
        <v>0</v>
      </c>
      <c r="J28666" s="7" t="n">
        <v>1</v>
      </c>
      <c r="K28666" s="7" t="n">
        <v>3</v>
      </c>
      <c r="L28666" s="7" t="n">
        <v>28</v>
      </c>
      <c r="M28666" s="20" t="s">
        <v>3</v>
      </c>
      <c r="N28666" s="8" t="n">
        <v>162</v>
      </c>
      <c r="O28666" s="7" t="n">
        <v>3</v>
      </c>
      <c r="P28666" s="7" t="n">
        <v>36889</v>
      </c>
      <c r="Q28666" s="20" t="s">
        <v>3</v>
      </c>
      <c r="R28666" s="7" t="n">
        <v>0</v>
      </c>
      <c r="S28666" s="7" t="n">
        <v>2</v>
      </c>
      <c r="T28666" s="7" t="n">
        <v>3</v>
      </c>
      <c r="U28666" s="7" t="n">
        <v>9</v>
      </c>
      <c r="V28666" s="7" t="n">
        <v>1</v>
      </c>
      <c r="W28666" s="11" t="n">
        <f t="normal" ca="1">A28676</f>
        <v>0</v>
      </c>
    </row>
    <row r="28667" spans="1:9">
      <c r="A28667" t="s">
        <v>4</v>
      </c>
      <c r="B28667" s="4" t="s">
        <v>5</v>
      </c>
      <c r="C28667" s="4" t="s">
        <v>7</v>
      </c>
      <c r="D28667" s="20" t="s">
        <v>35</v>
      </c>
      <c r="E28667" s="4" t="s">
        <v>5</v>
      </c>
      <c r="F28667" s="4" t="s">
        <v>11</v>
      </c>
      <c r="G28667" s="4" t="s">
        <v>7</v>
      </c>
      <c r="H28667" s="4" t="s">
        <v>7</v>
      </c>
      <c r="I28667" s="4" t="s">
        <v>8</v>
      </c>
      <c r="J28667" s="20" t="s">
        <v>36</v>
      </c>
      <c r="K28667" s="4" t="s">
        <v>7</v>
      </c>
      <c r="L28667" s="4" t="s">
        <v>7</v>
      </c>
      <c r="M28667" s="20" t="s">
        <v>35</v>
      </c>
      <c r="N28667" s="4" t="s">
        <v>5</v>
      </c>
      <c r="O28667" s="4" t="s">
        <v>7</v>
      </c>
      <c r="P28667" s="20" t="s">
        <v>36</v>
      </c>
      <c r="Q28667" s="4" t="s">
        <v>7</v>
      </c>
      <c r="R28667" s="4" t="s">
        <v>15</v>
      </c>
      <c r="S28667" s="4" t="s">
        <v>7</v>
      </c>
      <c r="T28667" s="4" t="s">
        <v>7</v>
      </c>
      <c r="U28667" s="4" t="s">
        <v>7</v>
      </c>
      <c r="V28667" s="20" t="s">
        <v>35</v>
      </c>
      <c r="W28667" s="4" t="s">
        <v>5</v>
      </c>
      <c r="X28667" s="4" t="s">
        <v>7</v>
      </c>
      <c r="Y28667" s="20" t="s">
        <v>36</v>
      </c>
      <c r="Z28667" s="4" t="s">
        <v>7</v>
      </c>
      <c r="AA28667" s="4" t="s">
        <v>15</v>
      </c>
      <c r="AB28667" s="4" t="s">
        <v>7</v>
      </c>
      <c r="AC28667" s="4" t="s">
        <v>7</v>
      </c>
      <c r="AD28667" s="4" t="s">
        <v>7</v>
      </c>
      <c r="AE28667" s="4" t="s">
        <v>12</v>
      </c>
    </row>
    <row r="28668" spans="1:9">
      <c r="A28668" t="n">
        <v>279487</v>
      </c>
      <c r="B28668" s="10" t="n">
        <v>5</v>
      </c>
      <c r="C28668" s="7" t="n">
        <v>28</v>
      </c>
      <c r="D28668" s="20" t="s">
        <v>3</v>
      </c>
      <c r="E28668" s="41" t="n">
        <v>47</v>
      </c>
      <c r="F28668" s="7" t="n">
        <v>61456</v>
      </c>
      <c r="G28668" s="7" t="n">
        <v>2</v>
      </c>
      <c r="H28668" s="7" t="n">
        <v>0</v>
      </c>
      <c r="I28668" s="7" t="s">
        <v>105</v>
      </c>
      <c r="J28668" s="20" t="s">
        <v>3</v>
      </c>
      <c r="K28668" s="7" t="n">
        <v>8</v>
      </c>
      <c r="L28668" s="7" t="n">
        <v>28</v>
      </c>
      <c r="M28668" s="20" t="s">
        <v>3</v>
      </c>
      <c r="N28668" s="45" t="n">
        <v>74</v>
      </c>
      <c r="O28668" s="7" t="n">
        <v>65</v>
      </c>
      <c r="P28668" s="20" t="s">
        <v>3</v>
      </c>
      <c r="Q28668" s="7" t="n">
        <v>0</v>
      </c>
      <c r="R28668" s="7" t="n">
        <v>1</v>
      </c>
      <c r="S28668" s="7" t="n">
        <v>3</v>
      </c>
      <c r="T28668" s="7" t="n">
        <v>9</v>
      </c>
      <c r="U28668" s="7" t="n">
        <v>28</v>
      </c>
      <c r="V28668" s="20" t="s">
        <v>3</v>
      </c>
      <c r="W28668" s="45" t="n">
        <v>74</v>
      </c>
      <c r="X28668" s="7" t="n">
        <v>65</v>
      </c>
      <c r="Y28668" s="20" t="s">
        <v>3</v>
      </c>
      <c r="Z28668" s="7" t="n">
        <v>0</v>
      </c>
      <c r="AA28668" s="7" t="n">
        <v>2</v>
      </c>
      <c r="AB28668" s="7" t="n">
        <v>3</v>
      </c>
      <c r="AC28668" s="7" t="n">
        <v>9</v>
      </c>
      <c r="AD28668" s="7" t="n">
        <v>1</v>
      </c>
      <c r="AE28668" s="11" t="n">
        <f t="normal" ca="1">A28672</f>
        <v>0</v>
      </c>
    </row>
    <row r="28669" spans="1:9">
      <c r="A28669" t="s">
        <v>4</v>
      </c>
      <c r="B28669" s="4" t="s">
        <v>5</v>
      </c>
      <c r="C28669" s="4" t="s">
        <v>11</v>
      </c>
      <c r="D28669" s="4" t="s">
        <v>7</v>
      </c>
      <c r="E28669" s="4" t="s">
        <v>7</v>
      </c>
      <c r="F28669" s="4" t="s">
        <v>8</v>
      </c>
    </row>
    <row r="28670" spans="1:9">
      <c r="A28670" t="n">
        <v>279535</v>
      </c>
      <c r="B28670" s="41" t="n">
        <v>47</v>
      </c>
      <c r="C28670" s="7" t="n">
        <v>61456</v>
      </c>
      <c r="D28670" s="7" t="n">
        <v>0</v>
      </c>
      <c r="E28670" s="7" t="n">
        <v>0</v>
      </c>
      <c r="F28670" s="7" t="s">
        <v>106</v>
      </c>
    </row>
    <row r="28671" spans="1:9">
      <c r="A28671" t="s">
        <v>4</v>
      </c>
      <c r="B28671" s="4" t="s">
        <v>5</v>
      </c>
      <c r="C28671" s="4" t="s">
        <v>7</v>
      </c>
      <c r="D28671" s="4" t="s">
        <v>11</v>
      </c>
      <c r="E28671" s="4" t="s">
        <v>13</v>
      </c>
    </row>
    <row r="28672" spans="1:9">
      <c r="A28672" t="n">
        <v>279548</v>
      </c>
      <c r="B28672" s="23" t="n">
        <v>58</v>
      </c>
      <c r="C28672" s="7" t="n">
        <v>0</v>
      </c>
      <c r="D28672" s="7" t="n">
        <v>300</v>
      </c>
      <c r="E28672" s="7" t="n">
        <v>1</v>
      </c>
    </row>
    <row r="28673" spans="1:31">
      <c r="A28673" t="s">
        <v>4</v>
      </c>
      <c r="B28673" s="4" t="s">
        <v>5</v>
      </c>
      <c r="C28673" s="4" t="s">
        <v>7</v>
      </c>
      <c r="D28673" s="4" t="s">
        <v>11</v>
      </c>
    </row>
    <row r="28674" spans="1:31">
      <c r="A28674" t="n">
        <v>279556</v>
      </c>
      <c r="B28674" s="23" t="n">
        <v>58</v>
      </c>
      <c r="C28674" s="7" t="n">
        <v>255</v>
      </c>
      <c r="D28674" s="7" t="n">
        <v>0</v>
      </c>
    </row>
    <row r="28675" spans="1:31">
      <c r="A28675" t="s">
        <v>4</v>
      </c>
      <c r="B28675" s="4" t="s">
        <v>5</v>
      </c>
      <c r="C28675" s="4" t="s">
        <v>7</v>
      </c>
      <c r="D28675" s="4" t="s">
        <v>7</v>
      </c>
      <c r="E28675" s="4" t="s">
        <v>7</v>
      </c>
      <c r="F28675" s="4" t="s">
        <v>7</v>
      </c>
    </row>
    <row r="28676" spans="1:31">
      <c r="A28676" t="n">
        <v>279560</v>
      </c>
      <c r="B28676" s="9" t="n">
        <v>14</v>
      </c>
      <c r="C28676" s="7" t="n">
        <v>0</v>
      </c>
      <c r="D28676" s="7" t="n">
        <v>0</v>
      </c>
      <c r="E28676" s="7" t="n">
        <v>0</v>
      </c>
      <c r="F28676" s="7" t="n">
        <v>64</v>
      </c>
    </row>
    <row r="28677" spans="1:31">
      <c r="A28677" t="s">
        <v>4</v>
      </c>
      <c r="B28677" s="4" t="s">
        <v>5</v>
      </c>
      <c r="C28677" s="4" t="s">
        <v>7</v>
      </c>
      <c r="D28677" s="4" t="s">
        <v>11</v>
      </c>
    </row>
    <row r="28678" spans="1:31">
      <c r="A28678" t="n">
        <v>279565</v>
      </c>
      <c r="B28678" s="22" t="n">
        <v>22</v>
      </c>
      <c r="C28678" s="7" t="n">
        <v>0</v>
      </c>
      <c r="D28678" s="7" t="n">
        <v>36889</v>
      </c>
    </row>
    <row r="28679" spans="1:31">
      <c r="A28679" t="s">
        <v>4</v>
      </c>
      <c r="B28679" s="4" t="s">
        <v>5</v>
      </c>
      <c r="C28679" s="4" t="s">
        <v>7</v>
      </c>
      <c r="D28679" s="4" t="s">
        <v>11</v>
      </c>
    </row>
    <row r="28680" spans="1:31">
      <c r="A28680" t="n">
        <v>279569</v>
      </c>
      <c r="B28680" s="23" t="n">
        <v>58</v>
      </c>
      <c r="C28680" s="7" t="n">
        <v>5</v>
      </c>
      <c r="D28680" s="7" t="n">
        <v>300</v>
      </c>
    </row>
    <row r="28681" spans="1:31">
      <c r="A28681" t="s">
        <v>4</v>
      </c>
      <c r="B28681" s="4" t="s">
        <v>5</v>
      </c>
      <c r="C28681" s="4" t="s">
        <v>13</v>
      </c>
      <c r="D28681" s="4" t="s">
        <v>11</v>
      </c>
    </row>
    <row r="28682" spans="1:31">
      <c r="A28682" t="n">
        <v>279573</v>
      </c>
      <c r="B28682" s="46" t="n">
        <v>103</v>
      </c>
      <c r="C28682" s="7" t="n">
        <v>0</v>
      </c>
      <c r="D28682" s="7" t="n">
        <v>300</v>
      </c>
    </row>
    <row r="28683" spans="1:31">
      <c r="A28683" t="s">
        <v>4</v>
      </c>
      <c r="B28683" s="4" t="s">
        <v>5</v>
      </c>
      <c r="C28683" s="4" t="s">
        <v>7</v>
      </c>
    </row>
    <row r="28684" spans="1:31">
      <c r="A28684" t="n">
        <v>279580</v>
      </c>
      <c r="B28684" s="47" t="n">
        <v>64</v>
      </c>
      <c r="C28684" s="7" t="n">
        <v>7</v>
      </c>
    </row>
    <row r="28685" spans="1:31">
      <c r="A28685" t="s">
        <v>4</v>
      </c>
      <c r="B28685" s="4" t="s">
        <v>5</v>
      </c>
      <c r="C28685" s="4" t="s">
        <v>7</v>
      </c>
      <c r="D28685" s="4" t="s">
        <v>11</v>
      </c>
    </row>
    <row r="28686" spans="1:31">
      <c r="A28686" t="n">
        <v>279582</v>
      </c>
      <c r="B28686" s="48" t="n">
        <v>72</v>
      </c>
      <c r="C28686" s="7" t="n">
        <v>5</v>
      </c>
      <c r="D28686" s="7" t="n">
        <v>0</v>
      </c>
    </row>
    <row r="28687" spans="1:31">
      <c r="A28687" t="s">
        <v>4</v>
      </c>
      <c r="B28687" s="4" t="s">
        <v>5</v>
      </c>
      <c r="C28687" s="4" t="s">
        <v>7</v>
      </c>
      <c r="D28687" s="20" t="s">
        <v>35</v>
      </c>
      <c r="E28687" s="4" t="s">
        <v>5</v>
      </c>
      <c r="F28687" s="4" t="s">
        <v>7</v>
      </c>
      <c r="G28687" s="4" t="s">
        <v>11</v>
      </c>
      <c r="H28687" s="20" t="s">
        <v>36</v>
      </c>
      <c r="I28687" s="4" t="s">
        <v>7</v>
      </c>
      <c r="J28687" s="4" t="s">
        <v>15</v>
      </c>
      <c r="K28687" s="4" t="s">
        <v>7</v>
      </c>
      <c r="L28687" s="4" t="s">
        <v>7</v>
      </c>
      <c r="M28687" s="4" t="s">
        <v>12</v>
      </c>
    </row>
    <row r="28688" spans="1:31">
      <c r="A28688" t="n">
        <v>279586</v>
      </c>
      <c r="B28688" s="10" t="n">
        <v>5</v>
      </c>
      <c r="C28688" s="7" t="n">
        <v>28</v>
      </c>
      <c r="D28688" s="20" t="s">
        <v>3</v>
      </c>
      <c r="E28688" s="8" t="n">
        <v>162</v>
      </c>
      <c r="F28688" s="7" t="n">
        <v>4</v>
      </c>
      <c r="G28688" s="7" t="n">
        <v>36889</v>
      </c>
      <c r="H28688" s="20" t="s">
        <v>3</v>
      </c>
      <c r="I28688" s="7" t="n">
        <v>0</v>
      </c>
      <c r="J28688" s="7" t="n">
        <v>1</v>
      </c>
      <c r="K28688" s="7" t="n">
        <v>2</v>
      </c>
      <c r="L28688" s="7" t="n">
        <v>1</v>
      </c>
      <c r="M28688" s="11" t="n">
        <f t="normal" ca="1">A28694</f>
        <v>0</v>
      </c>
    </row>
    <row r="28689" spans="1:13">
      <c r="A28689" t="s">
        <v>4</v>
      </c>
      <c r="B28689" s="4" t="s">
        <v>5</v>
      </c>
      <c r="C28689" s="4" t="s">
        <v>7</v>
      </c>
      <c r="D28689" s="4" t="s">
        <v>8</v>
      </c>
    </row>
    <row r="28690" spans="1:13">
      <c r="A28690" t="n">
        <v>279603</v>
      </c>
      <c r="B28690" s="6" t="n">
        <v>2</v>
      </c>
      <c r="C28690" s="7" t="n">
        <v>10</v>
      </c>
      <c r="D28690" s="7" t="s">
        <v>107</v>
      </c>
    </row>
    <row r="28691" spans="1:13">
      <c r="A28691" t="s">
        <v>4</v>
      </c>
      <c r="B28691" s="4" t="s">
        <v>5</v>
      </c>
      <c r="C28691" s="4" t="s">
        <v>11</v>
      </c>
    </row>
    <row r="28692" spans="1:13">
      <c r="A28692" t="n">
        <v>279620</v>
      </c>
      <c r="B28692" s="29" t="n">
        <v>16</v>
      </c>
      <c r="C28692" s="7" t="n">
        <v>0</v>
      </c>
    </row>
    <row r="28693" spans="1:13">
      <c r="A28693" t="s">
        <v>4</v>
      </c>
      <c r="B28693" s="4" t="s">
        <v>5</v>
      </c>
      <c r="C28693" s="4" t="s">
        <v>7</v>
      </c>
      <c r="D28693" s="4" t="s">
        <v>11</v>
      </c>
      <c r="E28693" s="4" t="s">
        <v>11</v>
      </c>
      <c r="F28693" s="4" t="s">
        <v>11</v>
      </c>
      <c r="G28693" s="4" t="s">
        <v>11</v>
      </c>
      <c r="H28693" s="4" t="s">
        <v>11</v>
      </c>
      <c r="I28693" s="4" t="s">
        <v>11</v>
      </c>
      <c r="J28693" s="4" t="s">
        <v>11</v>
      </c>
      <c r="K28693" s="4" t="s">
        <v>11</v>
      </c>
      <c r="L28693" s="4" t="s">
        <v>11</v>
      </c>
      <c r="M28693" s="4" t="s">
        <v>11</v>
      </c>
      <c r="N28693" s="4" t="s">
        <v>15</v>
      </c>
      <c r="O28693" s="4" t="s">
        <v>15</v>
      </c>
      <c r="P28693" s="4" t="s">
        <v>15</v>
      </c>
      <c r="Q28693" s="4" t="s">
        <v>15</v>
      </c>
      <c r="R28693" s="4" t="s">
        <v>7</v>
      </c>
      <c r="S28693" s="4" t="s">
        <v>8</v>
      </c>
    </row>
    <row r="28694" spans="1:13">
      <c r="A28694" t="n">
        <v>279623</v>
      </c>
      <c r="B28694" s="24" t="n">
        <v>75</v>
      </c>
      <c r="C28694" s="7" t="n">
        <v>0</v>
      </c>
      <c r="D28694" s="7" t="n">
        <v>484</v>
      </c>
      <c r="E28694" s="7" t="n">
        <v>328</v>
      </c>
      <c r="F28694" s="7" t="n">
        <v>996</v>
      </c>
      <c r="G28694" s="7" t="n">
        <v>392</v>
      </c>
      <c r="H28694" s="7" t="n">
        <v>0</v>
      </c>
      <c r="I28694" s="7" t="n">
        <v>0</v>
      </c>
      <c r="J28694" s="7" t="n">
        <v>0</v>
      </c>
      <c r="K28694" s="7" t="n">
        <v>448</v>
      </c>
      <c r="L28694" s="7" t="n">
        <v>512</v>
      </c>
      <c r="M28694" s="7" t="n">
        <v>512</v>
      </c>
      <c r="N28694" s="7" t="n">
        <v>1065353216</v>
      </c>
      <c r="O28694" s="7" t="n">
        <v>1065353216</v>
      </c>
      <c r="P28694" s="7" t="n">
        <v>1065353216</v>
      </c>
      <c r="Q28694" s="7" t="n">
        <v>0</v>
      </c>
      <c r="R28694" s="7" t="n">
        <v>0</v>
      </c>
      <c r="S28694" s="7" t="s">
        <v>271</v>
      </c>
    </row>
    <row r="28695" spans="1:13">
      <c r="A28695" t="s">
        <v>4</v>
      </c>
      <c r="B28695" s="4" t="s">
        <v>5</v>
      </c>
      <c r="C28695" s="4" t="s">
        <v>7</v>
      </c>
      <c r="D28695" s="4" t="s">
        <v>11</v>
      </c>
      <c r="E28695" s="4" t="s">
        <v>11</v>
      </c>
      <c r="F28695" s="4" t="s">
        <v>11</v>
      </c>
      <c r="G28695" s="4" t="s">
        <v>11</v>
      </c>
      <c r="H28695" s="4" t="s">
        <v>11</v>
      </c>
      <c r="I28695" s="4" t="s">
        <v>11</v>
      </c>
      <c r="J28695" s="4" t="s">
        <v>11</v>
      </c>
      <c r="K28695" s="4" t="s">
        <v>11</v>
      </c>
      <c r="L28695" s="4" t="s">
        <v>11</v>
      </c>
      <c r="M28695" s="4" t="s">
        <v>11</v>
      </c>
      <c r="N28695" s="4" t="s">
        <v>15</v>
      </c>
      <c r="O28695" s="4" t="s">
        <v>15</v>
      </c>
      <c r="P28695" s="4" t="s">
        <v>15</v>
      </c>
      <c r="Q28695" s="4" t="s">
        <v>15</v>
      </c>
      <c r="R28695" s="4" t="s">
        <v>7</v>
      </c>
      <c r="S28695" s="4" t="s">
        <v>8</v>
      </c>
    </row>
    <row r="28696" spans="1:13">
      <c r="A28696" t="n">
        <v>279672</v>
      </c>
      <c r="B28696" s="24" t="n">
        <v>75</v>
      </c>
      <c r="C28696" s="7" t="n">
        <v>1</v>
      </c>
      <c r="D28696" s="7" t="n">
        <v>0</v>
      </c>
      <c r="E28696" s="7" t="n">
        <v>0</v>
      </c>
      <c r="F28696" s="7" t="n">
        <v>1024</v>
      </c>
      <c r="G28696" s="7" t="n">
        <v>720</v>
      </c>
      <c r="H28696" s="7" t="n">
        <v>0</v>
      </c>
      <c r="I28696" s="7" t="n">
        <v>0</v>
      </c>
      <c r="J28696" s="7" t="n">
        <v>0</v>
      </c>
      <c r="K28696" s="7" t="n">
        <v>0</v>
      </c>
      <c r="L28696" s="7" t="n">
        <v>1024</v>
      </c>
      <c r="M28696" s="7" t="n">
        <v>720</v>
      </c>
      <c r="N28696" s="7" t="n">
        <v>1065353216</v>
      </c>
      <c r="O28696" s="7" t="n">
        <v>1065353216</v>
      </c>
      <c r="P28696" s="7" t="n">
        <v>1065353216</v>
      </c>
      <c r="Q28696" s="7" t="n">
        <v>0</v>
      </c>
      <c r="R28696" s="7" t="n">
        <v>0</v>
      </c>
      <c r="S28696" s="7" t="s">
        <v>623</v>
      </c>
    </row>
    <row r="28697" spans="1:13">
      <c r="A28697" t="s">
        <v>4</v>
      </c>
      <c r="B28697" s="4" t="s">
        <v>5</v>
      </c>
      <c r="C28697" s="4" t="s">
        <v>7</v>
      </c>
      <c r="D28697" s="4" t="s">
        <v>7</v>
      </c>
      <c r="E28697" s="4" t="s">
        <v>7</v>
      </c>
      <c r="F28697" s="4" t="s">
        <v>13</v>
      </c>
      <c r="G28697" s="4" t="s">
        <v>13</v>
      </c>
      <c r="H28697" s="4" t="s">
        <v>13</v>
      </c>
      <c r="I28697" s="4" t="s">
        <v>13</v>
      </c>
      <c r="J28697" s="4" t="s">
        <v>13</v>
      </c>
    </row>
    <row r="28698" spans="1:13">
      <c r="A28698" t="n">
        <v>279721</v>
      </c>
      <c r="B28698" s="25" t="n">
        <v>76</v>
      </c>
      <c r="C28698" s="7" t="n">
        <v>1</v>
      </c>
      <c r="D28698" s="7" t="n">
        <v>9</v>
      </c>
      <c r="E28698" s="7" t="n">
        <v>2</v>
      </c>
      <c r="F28698" s="7" t="n">
        <v>0</v>
      </c>
      <c r="G28698" s="7" t="n">
        <v>0</v>
      </c>
      <c r="H28698" s="7" t="n">
        <v>0</v>
      </c>
      <c r="I28698" s="7" t="n">
        <v>0</v>
      </c>
      <c r="J28698" s="7" t="n">
        <v>0</v>
      </c>
    </row>
    <row r="28699" spans="1:13">
      <c r="A28699" t="s">
        <v>4</v>
      </c>
      <c r="B28699" s="4" t="s">
        <v>5</v>
      </c>
      <c r="C28699" s="4" t="s">
        <v>11</v>
      </c>
      <c r="D28699" s="4" t="s">
        <v>8</v>
      </c>
      <c r="E28699" s="4" t="s">
        <v>8</v>
      </c>
      <c r="F28699" s="4" t="s">
        <v>8</v>
      </c>
      <c r="G28699" s="4" t="s">
        <v>7</v>
      </c>
      <c r="H28699" s="4" t="s">
        <v>15</v>
      </c>
      <c r="I28699" s="4" t="s">
        <v>13</v>
      </c>
      <c r="J28699" s="4" t="s">
        <v>13</v>
      </c>
      <c r="K28699" s="4" t="s">
        <v>13</v>
      </c>
      <c r="L28699" s="4" t="s">
        <v>13</v>
      </c>
      <c r="M28699" s="4" t="s">
        <v>13</v>
      </c>
      <c r="N28699" s="4" t="s">
        <v>13</v>
      </c>
      <c r="O28699" s="4" t="s">
        <v>13</v>
      </c>
      <c r="P28699" s="4" t="s">
        <v>8</v>
      </c>
      <c r="Q28699" s="4" t="s">
        <v>8</v>
      </c>
      <c r="R28699" s="4" t="s">
        <v>15</v>
      </c>
      <c r="S28699" s="4" t="s">
        <v>7</v>
      </c>
      <c r="T28699" s="4" t="s">
        <v>15</v>
      </c>
      <c r="U28699" s="4" t="s">
        <v>15</v>
      </c>
      <c r="V28699" s="4" t="s">
        <v>11</v>
      </c>
    </row>
    <row r="28700" spans="1:13">
      <c r="A28700" t="n">
        <v>279745</v>
      </c>
      <c r="B28700" s="62" t="n">
        <v>19</v>
      </c>
      <c r="C28700" s="7" t="n">
        <v>9</v>
      </c>
      <c r="D28700" s="7" t="s">
        <v>624</v>
      </c>
      <c r="E28700" s="7" t="s">
        <v>625</v>
      </c>
      <c r="F28700" s="7" t="s">
        <v>16</v>
      </c>
      <c r="G28700" s="7" t="n">
        <v>0</v>
      </c>
      <c r="H28700" s="7" t="n">
        <v>1</v>
      </c>
      <c r="I28700" s="7" t="n">
        <v>0</v>
      </c>
      <c r="J28700" s="7" t="n">
        <v>0</v>
      </c>
      <c r="K28700" s="7" t="n">
        <v>0</v>
      </c>
      <c r="L28700" s="7" t="n">
        <v>0</v>
      </c>
      <c r="M28700" s="7" t="n">
        <v>1</v>
      </c>
      <c r="N28700" s="7" t="n">
        <v>1.60000002384186</v>
      </c>
      <c r="O28700" s="7" t="n">
        <v>0.0900000035762787</v>
      </c>
      <c r="P28700" s="7" t="s">
        <v>16</v>
      </c>
      <c r="Q28700" s="7" t="s">
        <v>16</v>
      </c>
      <c r="R28700" s="7" t="n">
        <v>-1</v>
      </c>
      <c r="S28700" s="7" t="n">
        <v>0</v>
      </c>
      <c r="T28700" s="7" t="n">
        <v>0</v>
      </c>
      <c r="U28700" s="7" t="n">
        <v>0</v>
      </c>
      <c r="V28700" s="7" t="n">
        <v>0</v>
      </c>
    </row>
    <row r="28701" spans="1:13">
      <c r="A28701" t="s">
        <v>4</v>
      </c>
      <c r="B28701" s="4" t="s">
        <v>5</v>
      </c>
      <c r="C28701" s="4" t="s">
        <v>11</v>
      </c>
      <c r="D28701" s="4" t="s">
        <v>7</v>
      </c>
      <c r="E28701" s="4" t="s">
        <v>7</v>
      </c>
      <c r="F28701" s="4" t="s">
        <v>8</v>
      </c>
    </row>
    <row r="28702" spans="1:13">
      <c r="A28702" t="n">
        <v>279820</v>
      </c>
      <c r="B28702" s="50" t="n">
        <v>20</v>
      </c>
      <c r="C28702" s="7" t="n">
        <v>0</v>
      </c>
      <c r="D28702" s="7" t="n">
        <v>3</v>
      </c>
      <c r="E28702" s="7" t="n">
        <v>10</v>
      </c>
      <c r="F28702" s="7" t="s">
        <v>108</v>
      </c>
    </row>
    <row r="28703" spans="1:13">
      <c r="A28703" t="s">
        <v>4</v>
      </c>
      <c r="B28703" s="4" t="s">
        <v>5</v>
      </c>
      <c r="C28703" s="4" t="s">
        <v>11</v>
      </c>
    </row>
    <row r="28704" spans="1:13">
      <c r="A28704" t="n">
        <v>279838</v>
      </c>
      <c r="B28704" s="29" t="n">
        <v>16</v>
      </c>
      <c r="C28704" s="7" t="n">
        <v>0</v>
      </c>
    </row>
    <row r="28705" spans="1:22">
      <c r="A28705" t="s">
        <v>4</v>
      </c>
      <c r="B28705" s="4" t="s">
        <v>5</v>
      </c>
      <c r="C28705" s="4" t="s">
        <v>11</v>
      </c>
      <c r="D28705" s="4" t="s">
        <v>7</v>
      </c>
      <c r="E28705" s="4" t="s">
        <v>7</v>
      </c>
      <c r="F28705" s="4" t="s">
        <v>8</v>
      </c>
    </row>
    <row r="28706" spans="1:22">
      <c r="A28706" t="n">
        <v>279841</v>
      </c>
      <c r="B28706" s="50" t="n">
        <v>20</v>
      </c>
      <c r="C28706" s="7" t="n">
        <v>9</v>
      </c>
      <c r="D28706" s="7" t="n">
        <v>3</v>
      </c>
      <c r="E28706" s="7" t="n">
        <v>10</v>
      </c>
      <c r="F28706" s="7" t="s">
        <v>108</v>
      </c>
    </row>
    <row r="28707" spans="1:22">
      <c r="A28707" t="s">
        <v>4</v>
      </c>
      <c r="B28707" s="4" t="s">
        <v>5</v>
      </c>
      <c r="C28707" s="4" t="s">
        <v>11</v>
      </c>
    </row>
    <row r="28708" spans="1:22">
      <c r="A28708" t="n">
        <v>279859</v>
      </c>
      <c r="B28708" s="29" t="n">
        <v>16</v>
      </c>
      <c r="C28708" s="7" t="n">
        <v>0</v>
      </c>
    </row>
    <row r="28709" spans="1:22">
      <c r="A28709" t="s">
        <v>4</v>
      </c>
      <c r="B28709" s="4" t="s">
        <v>5</v>
      </c>
      <c r="C28709" s="4" t="s">
        <v>11</v>
      </c>
      <c r="D28709" s="4" t="s">
        <v>15</v>
      </c>
    </row>
    <row r="28710" spans="1:22">
      <c r="A28710" t="n">
        <v>279862</v>
      </c>
      <c r="B28710" s="39" t="n">
        <v>43</v>
      </c>
      <c r="C28710" s="7" t="n">
        <v>9</v>
      </c>
      <c r="D28710" s="7" t="n">
        <v>1</v>
      </c>
    </row>
    <row r="28711" spans="1:22">
      <c r="A28711" t="s">
        <v>4</v>
      </c>
      <c r="B28711" s="4" t="s">
        <v>5</v>
      </c>
      <c r="C28711" s="4" t="s">
        <v>7</v>
      </c>
    </row>
    <row r="28712" spans="1:22">
      <c r="A28712" t="n">
        <v>279869</v>
      </c>
      <c r="B28712" s="49" t="n">
        <v>116</v>
      </c>
      <c r="C28712" s="7" t="n">
        <v>0</v>
      </c>
    </row>
    <row r="28713" spans="1:22">
      <c r="A28713" t="s">
        <v>4</v>
      </c>
      <c r="B28713" s="4" t="s">
        <v>5</v>
      </c>
      <c r="C28713" s="4" t="s">
        <v>7</v>
      </c>
      <c r="D28713" s="4" t="s">
        <v>11</v>
      </c>
    </row>
    <row r="28714" spans="1:22">
      <c r="A28714" t="n">
        <v>279871</v>
      </c>
      <c r="B28714" s="49" t="n">
        <v>116</v>
      </c>
      <c r="C28714" s="7" t="n">
        <v>2</v>
      </c>
      <c r="D28714" s="7" t="n">
        <v>1</v>
      </c>
    </row>
    <row r="28715" spans="1:22">
      <c r="A28715" t="s">
        <v>4</v>
      </c>
      <c r="B28715" s="4" t="s">
        <v>5</v>
      </c>
      <c r="C28715" s="4" t="s">
        <v>7</v>
      </c>
      <c r="D28715" s="4" t="s">
        <v>15</v>
      </c>
    </row>
    <row r="28716" spans="1:22">
      <c r="A28716" t="n">
        <v>279875</v>
      </c>
      <c r="B28716" s="49" t="n">
        <v>116</v>
      </c>
      <c r="C28716" s="7" t="n">
        <v>5</v>
      </c>
      <c r="D28716" s="7" t="n">
        <v>1106247680</v>
      </c>
    </row>
    <row r="28717" spans="1:22">
      <c r="A28717" t="s">
        <v>4</v>
      </c>
      <c r="B28717" s="4" t="s">
        <v>5</v>
      </c>
      <c r="C28717" s="4" t="s">
        <v>7</v>
      </c>
      <c r="D28717" s="4" t="s">
        <v>11</v>
      </c>
    </row>
    <row r="28718" spans="1:22">
      <c r="A28718" t="n">
        <v>279881</v>
      </c>
      <c r="B28718" s="49" t="n">
        <v>116</v>
      </c>
      <c r="C28718" s="7" t="n">
        <v>6</v>
      </c>
      <c r="D28718" s="7" t="n">
        <v>1</v>
      </c>
    </row>
    <row r="28719" spans="1:22">
      <c r="A28719" t="s">
        <v>4</v>
      </c>
      <c r="B28719" s="4" t="s">
        <v>5</v>
      </c>
      <c r="C28719" s="4" t="s">
        <v>7</v>
      </c>
      <c r="D28719" s="4" t="s">
        <v>11</v>
      </c>
      <c r="E28719" s="4" t="s">
        <v>11</v>
      </c>
      <c r="F28719" s="4" t="s">
        <v>15</v>
      </c>
    </row>
    <row r="28720" spans="1:22">
      <c r="A28720" t="n">
        <v>279885</v>
      </c>
      <c r="B28720" s="76" t="n">
        <v>84</v>
      </c>
      <c r="C28720" s="7" t="n">
        <v>0</v>
      </c>
      <c r="D28720" s="7" t="n">
        <v>0</v>
      </c>
      <c r="E28720" s="7" t="n">
        <v>0</v>
      </c>
      <c r="F28720" s="7" t="n">
        <v>1045220557</v>
      </c>
    </row>
    <row r="28721" spans="1:6">
      <c r="A28721" t="s">
        <v>4</v>
      </c>
      <c r="B28721" s="4" t="s">
        <v>5</v>
      </c>
      <c r="C28721" s="4" t="s">
        <v>11</v>
      </c>
      <c r="D28721" s="4" t="s">
        <v>13</v>
      </c>
      <c r="E28721" s="4" t="s">
        <v>13</v>
      </c>
      <c r="F28721" s="4" t="s">
        <v>13</v>
      </c>
      <c r="G28721" s="4" t="s">
        <v>13</v>
      </c>
    </row>
    <row r="28722" spans="1:6">
      <c r="A28722" t="n">
        <v>279895</v>
      </c>
      <c r="B28722" s="36" t="n">
        <v>46</v>
      </c>
      <c r="C28722" s="7" t="n">
        <v>9</v>
      </c>
      <c r="D28722" s="7" t="n">
        <v>7.6100001335144</v>
      </c>
      <c r="E28722" s="7" t="n">
        <v>0</v>
      </c>
      <c r="F28722" s="7" t="n">
        <v>46.0200004577637</v>
      </c>
      <c r="G28722" s="7" t="n">
        <v>272.200012207031</v>
      </c>
    </row>
    <row r="28723" spans="1:6">
      <c r="A28723" t="s">
        <v>4</v>
      </c>
      <c r="B28723" s="4" t="s">
        <v>5</v>
      </c>
      <c r="C28723" s="4" t="s">
        <v>11</v>
      </c>
      <c r="D28723" s="4" t="s">
        <v>13</v>
      </c>
      <c r="E28723" s="4" t="s">
        <v>13</v>
      </c>
      <c r="F28723" s="4" t="s">
        <v>13</v>
      </c>
      <c r="G28723" s="4" t="s">
        <v>13</v>
      </c>
    </row>
    <row r="28724" spans="1:6">
      <c r="A28724" t="n">
        <v>279914</v>
      </c>
      <c r="B28724" s="36" t="n">
        <v>46</v>
      </c>
      <c r="C28724" s="7" t="n">
        <v>0</v>
      </c>
      <c r="D28724" s="7" t="n">
        <v>4.78000020980835</v>
      </c>
      <c r="E28724" s="7" t="n">
        <v>0</v>
      </c>
      <c r="F28724" s="7" t="n">
        <v>45.3300018310547</v>
      </c>
      <c r="G28724" s="7" t="n">
        <v>-102.300003051758</v>
      </c>
    </row>
    <row r="28725" spans="1:6">
      <c r="A28725" t="s">
        <v>4</v>
      </c>
      <c r="B28725" s="4" t="s">
        <v>5</v>
      </c>
      <c r="C28725" s="4" t="s">
        <v>11</v>
      </c>
      <c r="D28725" s="4" t="s">
        <v>7</v>
      </c>
      <c r="E28725" s="4" t="s">
        <v>8</v>
      </c>
      <c r="F28725" s="4" t="s">
        <v>13</v>
      </c>
      <c r="G28725" s="4" t="s">
        <v>13</v>
      </c>
      <c r="H28725" s="4" t="s">
        <v>13</v>
      </c>
    </row>
    <row r="28726" spans="1:6">
      <c r="A28726" t="n">
        <v>279933</v>
      </c>
      <c r="B28726" s="42" t="n">
        <v>48</v>
      </c>
      <c r="C28726" s="7" t="n">
        <v>0</v>
      </c>
      <c r="D28726" s="7" t="n">
        <v>0</v>
      </c>
      <c r="E28726" s="7" t="s">
        <v>275</v>
      </c>
      <c r="F28726" s="7" t="n">
        <v>0</v>
      </c>
      <c r="G28726" s="7" t="n">
        <v>1</v>
      </c>
      <c r="H28726" s="7" t="n">
        <v>0</v>
      </c>
    </row>
    <row r="28727" spans="1:6">
      <c r="A28727" t="s">
        <v>4</v>
      </c>
      <c r="B28727" s="4" t="s">
        <v>5</v>
      </c>
      <c r="C28727" s="4" t="s">
        <v>7</v>
      </c>
      <c r="D28727" s="4" t="s">
        <v>11</v>
      </c>
      <c r="E28727" s="4" t="s">
        <v>8</v>
      </c>
      <c r="F28727" s="4" t="s">
        <v>8</v>
      </c>
      <c r="G28727" s="4" t="s">
        <v>8</v>
      </c>
      <c r="H28727" s="4" t="s">
        <v>8</v>
      </c>
    </row>
    <row r="28728" spans="1:6">
      <c r="A28728" t="n">
        <v>279958</v>
      </c>
      <c r="B28728" s="38" t="n">
        <v>51</v>
      </c>
      <c r="C28728" s="7" t="n">
        <v>3</v>
      </c>
      <c r="D28728" s="7" t="n">
        <v>0</v>
      </c>
      <c r="E28728" s="7" t="s">
        <v>101</v>
      </c>
      <c r="F28728" s="7" t="s">
        <v>99</v>
      </c>
      <c r="G28728" s="7" t="s">
        <v>78</v>
      </c>
      <c r="H28728" s="7" t="s">
        <v>79</v>
      </c>
    </row>
    <row r="28729" spans="1:6">
      <c r="A28729" t="s">
        <v>4</v>
      </c>
      <c r="B28729" s="4" t="s">
        <v>5</v>
      </c>
      <c r="C28729" s="4" t="s">
        <v>7</v>
      </c>
      <c r="D28729" s="4" t="s">
        <v>11</v>
      </c>
      <c r="E28729" s="4" t="s">
        <v>8</v>
      </c>
      <c r="F28729" s="4" t="s">
        <v>8</v>
      </c>
      <c r="G28729" s="4" t="s">
        <v>8</v>
      </c>
      <c r="H28729" s="4" t="s">
        <v>8</v>
      </c>
    </row>
    <row r="28730" spans="1:6">
      <c r="A28730" t="n">
        <v>279979</v>
      </c>
      <c r="B28730" s="38" t="n">
        <v>51</v>
      </c>
      <c r="C28730" s="7" t="n">
        <v>3</v>
      </c>
      <c r="D28730" s="7" t="n">
        <v>9</v>
      </c>
      <c r="E28730" s="7" t="s">
        <v>101</v>
      </c>
      <c r="F28730" s="7" t="s">
        <v>232</v>
      </c>
      <c r="G28730" s="7" t="s">
        <v>78</v>
      </c>
      <c r="H28730" s="7" t="s">
        <v>79</v>
      </c>
    </row>
    <row r="28731" spans="1:6">
      <c r="A28731" t="s">
        <v>4</v>
      </c>
      <c r="B28731" s="4" t="s">
        <v>5</v>
      </c>
      <c r="C28731" s="4" t="s">
        <v>7</v>
      </c>
      <c r="D28731" s="4" t="s">
        <v>11</v>
      </c>
      <c r="E28731" s="4" t="s">
        <v>7</v>
      </c>
      <c r="F28731" s="4" t="s">
        <v>8</v>
      </c>
      <c r="G28731" s="4" t="s">
        <v>8</v>
      </c>
      <c r="H28731" s="4" t="s">
        <v>8</v>
      </c>
      <c r="I28731" s="4" t="s">
        <v>8</v>
      </c>
      <c r="J28731" s="4" t="s">
        <v>8</v>
      </c>
      <c r="K28731" s="4" t="s">
        <v>8</v>
      </c>
      <c r="L28731" s="4" t="s">
        <v>8</v>
      </c>
      <c r="M28731" s="4" t="s">
        <v>8</v>
      </c>
      <c r="N28731" s="4" t="s">
        <v>8</v>
      </c>
      <c r="O28731" s="4" t="s">
        <v>8</v>
      </c>
      <c r="P28731" s="4" t="s">
        <v>8</v>
      </c>
      <c r="Q28731" s="4" t="s">
        <v>8</v>
      </c>
      <c r="R28731" s="4" t="s">
        <v>8</v>
      </c>
      <c r="S28731" s="4" t="s">
        <v>8</v>
      </c>
      <c r="T28731" s="4" t="s">
        <v>8</v>
      </c>
      <c r="U28731" s="4" t="s">
        <v>8</v>
      </c>
    </row>
    <row r="28732" spans="1:6">
      <c r="A28732" t="n">
        <v>280000</v>
      </c>
      <c r="B28732" s="40" t="n">
        <v>36</v>
      </c>
      <c r="C28732" s="7" t="n">
        <v>8</v>
      </c>
      <c r="D28732" s="7" t="n">
        <v>0</v>
      </c>
      <c r="E28732" s="7" t="n">
        <v>0</v>
      </c>
      <c r="F28732" s="7" t="s">
        <v>626</v>
      </c>
      <c r="G28732" s="7" t="s">
        <v>627</v>
      </c>
      <c r="H28732" s="7" t="s">
        <v>16</v>
      </c>
      <c r="I28732" s="7" t="s">
        <v>16</v>
      </c>
      <c r="J28732" s="7" t="s">
        <v>16</v>
      </c>
      <c r="K28732" s="7" t="s">
        <v>16</v>
      </c>
      <c r="L28732" s="7" t="s">
        <v>16</v>
      </c>
      <c r="M28732" s="7" t="s">
        <v>16</v>
      </c>
      <c r="N28732" s="7" t="s">
        <v>16</v>
      </c>
      <c r="O28732" s="7" t="s">
        <v>16</v>
      </c>
      <c r="P28732" s="7" t="s">
        <v>16</v>
      </c>
      <c r="Q28732" s="7" t="s">
        <v>16</v>
      </c>
      <c r="R28732" s="7" t="s">
        <v>16</v>
      </c>
      <c r="S28732" s="7" t="s">
        <v>16</v>
      </c>
      <c r="T28732" s="7" t="s">
        <v>16</v>
      </c>
      <c r="U28732" s="7" t="s">
        <v>16</v>
      </c>
    </row>
    <row r="28733" spans="1:6">
      <c r="A28733" t="s">
        <v>4</v>
      </c>
      <c r="B28733" s="4" t="s">
        <v>5</v>
      </c>
      <c r="C28733" s="4" t="s">
        <v>7</v>
      </c>
      <c r="D28733" s="4" t="s">
        <v>11</v>
      </c>
      <c r="E28733" s="4" t="s">
        <v>7</v>
      </c>
      <c r="F28733" s="4" t="s">
        <v>8</v>
      </c>
      <c r="G28733" s="4" t="s">
        <v>8</v>
      </c>
      <c r="H28733" s="4" t="s">
        <v>8</v>
      </c>
      <c r="I28733" s="4" t="s">
        <v>8</v>
      </c>
      <c r="J28733" s="4" t="s">
        <v>8</v>
      </c>
      <c r="K28733" s="4" t="s">
        <v>8</v>
      </c>
      <c r="L28733" s="4" t="s">
        <v>8</v>
      </c>
      <c r="M28733" s="4" t="s">
        <v>8</v>
      </c>
      <c r="N28733" s="4" t="s">
        <v>8</v>
      </c>
      <c r="O28733" s="4" t="s">
        <v>8</v>
      </c>
      <c r="P28733" s="4" t="s">
        <v>8</v>
      </c>
      <c r="Q28733" s="4" t="s">
        <v>8</v>
      </c>
      <c r="R28733" s="4" t="s">
        <v>8</v>
      </c>
      <c r="S28733" s="4" t="s">
        <v>8</v>
      </c>
      <c r="T28733" s="4" t="s">
        <v>8</v>
      </c>
      <c r="U28733" s="4" t="s">
        <v>8</v>
      </c>
    </row>
    <row r="28734" spans="1:6">
      <c r="A28734" t="n">
        <v>280039</v>
      </c>
      <c r="B28734" s="40" t="n">
        <v>36</v>
      </c>
      <c r="C28734" s="7" t="n">
        <v>8</v>
      </c>
      <c r="D28734" s="7" t="n">
        <v>9</v>
      </c>
      <c r="E28734" s="7" t="n">
        <v>0</v>
      </c>
      <c r="F28734" s="7" t="s">
        <v>626</v>
      </c>
      <c r="G28734" s="7" t="s">
        <v>627</v>
      </c>
      <c r="H28734" s="7" t="s">
        <v>628</v>
      </c>
      <c r="I28734" s="7" t="s">
        <v>629</v>
      </c>
      <c r="J28734" s="7" t="s">
        <v>16</v>
      </c>
      <c r="K28734" s="7" t="s">
        <v>16</v>
      </c>
      <c r="L28734" s="7" t="s">
        <v>16</v>
      </c>
      <c r="M28734" s="7" t="s">
        <v>16</v>
      </c>
      <c r="N28734" s="7" t="s">
        <v>16</v>
      </c>
      <c r="O28734" s="7" t="s">
        <v>16</v>
      </c>
      <c r="P28734" s="7" t="s">
        <v>16</v>
      </c>
      <c r="Q28734" s="7" t="s">
        <v>16</v>
      </c>
      <c r="R28734" s="7" t="s">
        <v>16</v>
      </c>
      <c r="S28734" s="7" t="s">
        <v>16</v>
      </c>
      <c r="T28734" s="7" t="s">
        <v>16</v>
      </c>
      <c r="U28734" s="7" t="s">
        <v>16</v>
      </c>
    </row>
    <row r="28735" spans="1:6">
      <c r="A28735" t="s">
        <v>4</v>
      </c>
      <c r="B28735" s="4" t="s">
        <v>5</v>
      </c>
      <c r="C28735" s="4" t="s">
        <v>7</v>
      </c>
      <c r="D28735" s="4" t="s">
        <v>7</v>
      </c>
      <c r="E28735" s="4" t="s">
        <v>13</v>
      </c>
      <c r="F28735" s="4" t="s">
        <v>13</v>
      </c>
      <c r="G28735" s="4" t="s">
        <v>13</v>
      </c>
      <c r="H28735" s="4" t="s">
        <v>11</v>
      </c>
    </row>
    <row r="28736" spans="1:6">
      <c r="A28736" t="n">
        <v>280102</v>
      </c>
      <c r="B28736" s="51" t="n">
        <v>45</v>
      </c>
      <c r="C28736" s="7" t="n">
        <v>2</v>
      </c>
      <c r="D28736" s="7" t="n">
        <v>3</v>
      </c>
      <c r="E28736" s="7" t="n">
        <v>-3</v>
      </c>
      <c r="F28736" s="7" t="n">
        <v>2.89000010490417</v>
      </c>
      <c r="G28736" s="7" t="n">
        <v>41.3699989318848</v>
      </c>
      <c r="H28736" s="7" t="n">
        <v>0</v>
      </c>
    </row>
    <row r="28737" spans="1:21">
      <c r="A28737" t="s">
        <v>4</v>
      </c>
      <c r="B28737" s="4" t="s">
        <v>5</v>
      </c>
      <c r="C28737" s="4" t="s">
        <v>7</v>
      </c>
      <c r="D28737" s="4" t="s">
        <v>7</v>
      </c>
      <c r="E28737" s="4" t="s">
        <v>13</v>
      </c>
      <c r="F28737" s="4" t="s">
        <v>13</v>
      </c>
      <c r="G28737" s="4" t="s">
        <v>13</v>
      </c>
      <c r="H28737" s="4" t="s">
        <v>11</v>
      </c>
      <c r="I28737" s="4" t="s">
        <v>7</v>
      </c>
    </row>
    <row r="28738" spans="1:21">
      <c r="A28738" t="n">
        <v>280119</v>
      </c>
      <c r="B28738" s="51" t="n">
        <v>45</v>
      </c>
      <c r="C28738" s="7" t="n">
        <v>4</v>
      </c>
      <c r="D28738" s="7" t="n">
        <v>3</v>
      </c>
      <c r="E28738" s="7" t="n">
        <v>0.649999976158142</v>
      </c>
      <c r="F28738" s="7" t="n">
        <v>105.529998779297</v>
      </c>
      <c r="G28738" s="7" t="n">
        <v>0</v>
      </c>
      <c r="H28738" s="7" t="n">
        <v>0</v>
      </c>
      <c r="I28738" s="7" t="n">
        <v>0</v>
      </c>
    </row>
    <row r="28739" spans="1:21">
      <c r="A28739" t="s">
        <v>4</v>
      </c>
      <c r="B28739" s="4" t="s">
        <v>5</v>
      </c>
      <c r="C28739" s="4" t="s">
        <v>7</v>
      </c>
      <c r="D28739" s="4" t="s">
        <v>7</v>
      </c>
      <c r="E28739" s="4" t="s">
        <v>13</v>
      </c>
      <c r="F28739" s="4" t="s">
        <v>11</v>
      </c>
    </row>
    <row r="28740" spans="1:21">
      <c r="A28740" t="n">
        <v>280137</v>
      </c>
      <c r="B28740" s="51" t="n">
        <v>45</v>
      </c>
      <c r="C28740" s="7" t="n">
        <v>5</v>
      </c>
      <c r="D28740" s="7" t="n">
        <v>3</v>
      </c>
      <c r="E28740" s="7" t="n">
        <v>2.40000009536743</v>
      </c>
      <c r="F28740" s="7" t="n">
        <v>0</v>
      </c>
    </row>
    <row r="28741" spans="1:21">
      <c r="A28741" t="s">
        <v>4</v>
      </c>
      <c r="B28741" s="4" t="s">
        <v>5</v>
      </c>
      <c r="C28741" s="4" t="s">
        <v>7</v>
      </c>
      <c r="D28741" s="4" t="s">
        <v>7</v>
      </c>
      <c r="E28741" s="4" t="s">
        <v>13</v>
      </c>
      <c r="F28741" s="4" t="s">
        <v>11</v>
      </c>
    </row>
    <row r="28742" spans="1:21">
      <c r="A28742" t="n">
        <v>280146</v>
      </c>
      <c r="B28742" s="51" t="n">
        <v>45</v>
      </c>
      <c r="C28742" s="7" t="n">
        <v>11</v>
      </c>
      <c r="D28742" s="7" t="n">
        <v>3</v>
      </c>
      <c r="E28742" s="7" t="n">
        <v>33.4000015258789</v>
      </c>
      <c r="F28742" s="7" t="n">
        <v>0</v>
      </c>
    </row>
    <row r="28743" spans="1:21">
      <c r="A28743" t="s">
        <v>4</v>
      </c>
      <c r="B28743" s="4" t="s">
        <v>5</v>
      </c>
      <c r="C28743" s="4" t="s">
        <v>11</v>
      </c>
      <c r="D28743" s="4" t="s">
        <v>13</v>
      </c>
      <c r="E28743" s="4" t="s">
        <v>13</v>
      </c>
      <c r="F28743" s="4" t="s">
        <v>13</v>
      </c>
      <c r="G28743" s="4" t="s">
        <v>11</v>
      </c>
      <c r="H28743" s="4" t="s">
        <v>11</v>
      </c>
    </row>
    <row r="28744" spans="1:21">
      <c r="A28744" t="n">
        <v>280155</v>
      </c>
      <c r="B28744" s="37" t="n">
        <v>60</v>
      </c>
      <c r="C28744" s="7" t="n">
        <v>0</v>
      </c>
      <c r="D28744" s="7" t="n">
        <v>0</v>
      </c>
      <c r="E28744" s="7" t="n">
        <v>20</v>
      </c>
      <c r="F28744" s="7" t="n">
        <v>0</v>
      </c>
      <c r="G28744" s="7" t="n">
        <v>0</v>
      </c>
      <c r="H28744" s="7" t="n">
        <v>0</v>
      </c>
    </row>
    <row r="28745" spans="1:21">
      <c r="A28745" t="s">
        <v>4</v>
      </c>
      <c r="B28745" s="4" t="s">
        <v>5</v>
      </c>
      <c r="C28745" s="4" t="s">
        <v>7</v>
      </c>
      <c r="D28745" s="4" t="s">
        <v>7</v>
      </c>
      <c r="E28745" s="4" t="s">
        <v>7</v>
      </c>
      <c r="F28745" s="4" t="s">
        <v>13</v>
      </c>
      <c r="G28745" s="4" t="s">
        <v>13</v>
      </c>
      <c r="H28745" s="4" t="s">
        <v>13</v>
      </c>
      <c r="I28745" s="4" t="s">
        <v>13</v>
      </c>
      <c r="J28745" s="4" t="s">
        <v>13</v>
      </c>
    </row>
    <row r="28746" spans="1:21">
      <c r="A28746" t="n">
        <v>280174</v>
      </c>
      <c r="B28746" s="25" t="n">
        <v>76</v>
      </c>
      <c r="C28746" s="7" t="n">
        <v>0</v>
      </c>
      <c r="D28746" s="7" t="n">
        <v>3</v>
      </c>
      <c r="E28746" s="7" t="n">
        <v>2</v>
      </c>
      <c r="F28746" s="7" t="n">
        <v>1</v>
      </c>
      <c r="G28746" s="7" t="n">
        <v>1</v>
      </c>
      <c r="H28746" s="7" t="n">
        <v>1</v>
      </c>
      <c r="I28746" s="7" t="n">
        <v>1</v>
      </c>
      <c r="J28746" s="7" t="n">
        <v>2000</v>
      </c>
    </row>
    <row r="28747" spans="1:21">
      <c r="A28747" t="s">
        <v>4</v>
      </c>
      <c r="B28747" s="4" t="s">
        <v>5</v>
      </c>
      <c r="C28747" s="4" t="s">
        <v>7</v>
      </c>
      <c r="D28747" s="4" t="s">
        <v>7</v>
      </c>
      <c r="E28747" s="4" t="s">
        <v>7</v>
      </c>
      <c r="F28747" s="4" t="s">
        <v>13</v>
      </c>
      <c r="G28747" s="4" t="s">
        <v>13</v>
      </c>
      <c r="H28747" s="4" t="s">
        <v>13</v>
      </c>
      <c r="I28747" s="4" t="s">
        <v>13</v>
      </c>
      <c r="J28747" s="4" t="s">
        <v>13</v>
      </c>
    </row>
    <row r="28748" spans="1:21">
      <c r="A28748" t="n">
        <v>280198</v>
      </c>
      <c r="B28748" s="25" t="n">
        <v>76</v>
      </c>
      <c r="C28748" s="7" t="n">
        <v>0</v>
      </c>
      <c r="D28748" s="7" t="n">
        <v>0</v>
      </c>
      <c r="E28748" s="7" t="n">
        <v>2</v>
      </c>
      <c r="F28748" s="7" t="n">
        <v>64</v>
      </c>
      <c r="G28748" s="7" t="n">
        <v>0</v>
      </c>
      <c r="H28748" s="7" t="n">
        <v>2000</v>
      </c>
      <c r="I28748" s="7" t="n">
        <v>0</v>
      </c>
      <c r="J28748" s="7" t="n">
        <v>0</v>
      </c>
    </row>
    <row r="28749" spans="1:21">
      <c r="A28749" t="s">
        <v>4</v>
      </c>
      <c r="B28749" s="4" t="s">
        <v>5</v>
      </c>
      <c r="C28749" s="4" t="s">
        <v>7</v>
      </c>
      <c r="D28749" s="4" t="s">
        <v>7</v>
      </c>
    </row>
    <row r="28750" spans="1:21">
      <c r="A28750" t="n">
        <v>280222</v>
      </c>
      <c r="B28750" s="26" t="n">
        <v>77</v>
      </c>
      <c r="C28750" s="7" t="n">
        <v>0</v>
      </c>
      <c r="D28750" s="7" t="n">
        <v>3</v>
      </c>
    </row>
    <row r="28751" spans="1:21">
      <c r="A28751" t="s">
        <v>4</v>
      </c>
      <c r="B28751" s="4" t="s">
        <v>5</v>
      </c>
      <c r="C28751" s="4" t="s">
        <v>7</v>
      </c>
      <c r="D28751" s="4" t="s">
        <v>7</v>
      </c>
    </row>
    <row r="28752" spans="1:21">
      <c r="A28752" t="n">
        <v>280225</v>
      </c>
      <c r="B28752" s="26" t="n">
        <v>77</v>
      </c>
      <c r="C28752" s="7" t="n">
        <v>0</v>
      </c>
      <c r="D28752" s="7" t="n">
        <v>0</v>
      </c>
    </row>
    <row r="28753" spans="1:10">
      <c r="A28753" t="s">
        <v>4</v>
      </c>
      <c r="B28753" s="4" t="s">
        <v>5</v>
      </c>
      <c r="C28753" s="4" t="s">
        <v>11</v>
      </c>
    </row>
    <row r="28754" spans="1:10">
      <c r="A28754" t="n">
        <v>280228</v>
      </c>
      <c r="B28754" s="29" t="n">
        <v>16</v>
      </c>
      <c r="C28754" s="7" t="n">
        <v>2000</v>
      </c>
    </row>
    <row r="28755" spans="1:10">
      <c r="A28755" t="s">
        <v>4</v>
      </c>
      <c r="B28755" s="4" t="s">
        <v>5</v>
      </c>
      <c r="C28755" s="4" t="s">
        <v>7</v>
      </c>
      <c r="D28755" s="4" t="s">
        <v>11</v>
      </c>
      <c r="E28755" s="4" t="s">
        <v>15</v>
      </c>
      <c r="F28755" s="4" t="s">
        <v>11</v>
      </c>
      <c r="G28755" s="4" t="s">
        <v>15</v>
      </c>
      <c r="H28755" s="4" t="s">
        <v>7</v>
      </c>
    </row>
    <row r="28756" spans="1:10">
      <c r="A28756" t="n">
        <v>280231</v>
      </c>
      <c r="B28756" s="13" t="n">
        <v>49</v>
      </c>
      <c r="C28756" s="7" t="n">
        <v>0</v>
      </c>
      <c r="D28756" s="7" t="n">
        <v>514</v>
      </c>
      <c r="E28756" s="7" t="n">
        <v>1065353216</v>
      </c>
      <c r="F28756" s="7" t="n">
        <v>0</v>
      </c>
      <c r="G28756" s="7" t="n">
        <v>0</v>
      </c>
      <c r="H28756" s="7" t="n">
        <v>0</v>
      </c>
    </row>
    <row r="28757" spans="1:10">
      <c r="A28757" t="s">
        <v>4</v>
      </c>
      <c r="B28757" s="4" t="s">
        <v>5</v>
      </c>
      <c r="C28757" s="4" t="s">
        <v>7</v>
      </c>
      <c r="D28757" s="4" t="s">
        <v>7</v>
      </c>
      <c r="E28757" s="4" t="s">
        <v>7</v>
      </c>
      <c r="F28757" s="4" t="s">
        <v>13</v>
      </c>
      <c r="G28757" s="4" t="s">
        <v>13</v>
      </c>
      <c r="H28757" s="4" t="s">
        <v>13</v>
      </c>
      <c r="I28757" s="4" t="s">
        <v>13</v>
      </c>
      <c r="J28757" s="4" t="s">
        <v>13</v>
      </c>
    </row>
    <row r="28758" spans="1:10">
      <c r="A28758" t="n">
        <v>280246</v>
      </c>
      <c r="B28758" s="25" t="n">
        <v>76</v>
      </c>
      <c r="C28758" s="7" t="n">
        <v>0</v>
      </c>
      <c r="D28758" s="7" t="n">
        <v>3</v>
      </c>
      <c r="E28758" s="7" t="n">
        <v>1</v>
      </c>
      <c r="F28758" s="7" t="n">
        <v>1</v>
      </c>
      <c r="G28758" s="7" t="n">
        <v>1</v>
      </c>
      <c r="H28758" s="7" t="n">
        <v>1</v>
      </c>
      <c r="I28758" s="7" t="n">
        <v>0</v>
      </c>
      <c r="J28758" s="7" t="n">
        <v>2000</v>
      </c>
    </row>
    <row r="28759" spans="1:10">
      <c r="A28759" t="s">
        <v>4</v>
      </c>
      <c r="B28759" s="4" t="s">
        <v>5</v>
      </c>
      <c r="C28759" s="4" t="s">
        <v>7</v>
      </c>
      <c r="D28759" s="4" t="s">
        <v>7</v>
      </c>
      <c r="E28759" s="4" t="s">
        <v>7</v>
      </c>
      <c r="F28759" s="4" t="s">
        <v>13</v>
      </c>
      <c r="G28759" s="4" t="s">
        <v>13</v>
      </c>
      <c r="H28759" s="4" t="s">
        <v>13</v>
      </c>
      <c r="I28759" s="4" t="s">
        <v>13</v>
      </c>
      <c r="J28759" s="4" t="s">
        <v>13</v>
      </c>
    </row>
    <row r="28760" spans="1:10">
      <c r="A28760" t="n">
        <v>280270</v>
      </c>
      <c r="B28760" s="25" t="n">
        <v>76</v>
      </c>
      <c r="C28760" s="7" t="n">
        <v>0</v>
      </c>
      <c r="D28760" s="7" t="n">
        <v>0</v>
      </c>
      <c r="E28760" s="7" t="n">
        <v>1</v>
      </c>
      <c r="F28760" s="7" t="n">
        <v>128</v>
      </c>
      <c r="G28760" s="7" t="n">
        <v>0</v>
      </c>
      <c r="H28760" s="7" t="n">
        <v>2000</v>
      </c>
      <c r="I28760" s="7" t="n">
        <v>0</v>
      </c>
      <c r="J28760" s="7" t="n">
        <v>0</v>
      </c>
    </row>
    <row r="28761" spans="1:10">
      <c r="A28761" t="s">
        <v>4</v>
      </c>
      <c r="B28761" s="4" t="s">
        <v>5</v>
      </c>
      <c r="C28761" s="4" t="s">
        <v>7</v>
      </c>
      <c r="D28761" s="4" t="s">
        <v>7</v>
      </c>
    </row>
    <row r="28762" spans="1:10">
      <c r="A28762" t="n">
        <v>280294</v>
      </c>
      <c r="B28762" s="26" t="n">
        <v>77</v>
      </c>
      <c r="C28762" s="7" t="n">
        <v>0</v>
      </c>
      <c r="D28762" s="7" t="n">
        <v>3</v>
      </c>
    </row>
    <row r="28763" spans="1:10">
      <c r="A28763" t="s">
        <v>4</v>
      </c>
      <c r="B28763" s="4" t="s">
        <v>5</v>
      </c>
      <c r="C28763" s="4" t="s">
        <v>7</v>
      </c>
      <c r="D28763" s="4" t="s">
        <v>7</v>
      </c>
    </row>
    <row r="28764" spans="1:10">
      <c r="A28764" t="n">
        <v>280297</v>
      </c>
      <c r="B28764" s="26" t="n">
        <v>77</v>
      </c>
      <c r="C28764" s="7" t="n">
        <v>0</v>
      </c>
      <c r="D28764" s="7" t="n">
        <v>0</v>
      </c>
    </row>
    <row r="28765" spans="1:10">
      <c r="A28765" t="s">
        <v>4</v>
      </c>
      <c r="B28765" s="4" t="s">
        <v>5</v>
      </c>
      <c r="C28765" s="4" t="s">
        <v>7</v>
      </c>
      <c r="D28765" s="4" t="s">
        <v>7</v>
      </c>
      <c r="E28765" s="4" t="s">
        <v>13</v>
      </c>
      <c r="F28765" s="4" t="s">
        <v>13</v>
      </c>
      <c r="G28765" s="4" t="s">
        <v>13</v>
      </c>
      <c r="H28765" s="4" t="s">
        <v>11</v>
      </c>
    </row>
    <row r="28766" spans="1:10">
      <c r="A28766" t="n">
        <v>280300</v>
      </c>
      <c r="B28766" s="51" t="n">
        <v>45</v>
      </c>
      <c r="C28766" s="7" t="n">
        <v>2</v>
      </c>
      <c r="D28766" s="7" t="n">
        <v>3</v>
      </c>
      <c r="E28766" s="7" t="n">
        <v>5.23999977111816</v>
      </c>
      <c r="F28766" s="7" t="n">
        <v>2.15000009536743</v>
      </c>
      <c r="G28766" s="7" t="n">
        <v>43.8600006103516</v>
      </c>
      <c r="H28766" s="7" t="n">
        <v>8000</v>
      </c>
    </row>
    <row r="28767" spans="1:10">
      <c r="A28767" t="s">
        <v>4</v>
      </c>
      <c r="B28767" s="4" t="s">
        <v>5</v>
      </c>
      <c r="C28767" s="4" t="s">
        <v>7</v>
      </c>
      <c r="D28767" s="4" t="s">
        <v>7</v>
      </c>
      <c r="E28767" s="4" t="s">
        <v>13</v>
      </c>
      <c r="F28767" s="4" t="s">
        <v>13</v>
      </c>
      <c r="G28767" s="4" t="s">
        <v>13</v>
      </c>
      <c r="H28767" s="4" t="s">
        <v>11</v>
      </c>
      <c r="I28767" s="4" t="s">
        <v>7</v>
      </c>
    </row>
    <row r="28768" spans="1:10">
      <c r="A28768" t="n">
        <v>280317</v>
      </c>
      <c r="B28768" s="51" t="n">
        <v>45</v>
      </c>
      <c r="C28768" s="7" t="n">
        <v>4</v>
      </c>
      <c r="D28768" s="7" t="n">
        <v>3</v>
      </c>
      <c r="E28768" s="7" t="n">
        <v>12.4799995422363</v>
      </c>
      <c r="F28768" s="7" t="n">
        <v>144.25</v>
      </c>
      <c r="G28768" s="7" t="n">
        <v>0</v>
      </c>
      <c r="H28768" s="7" t="n">
        <v>8000</v>
      </c>
      <c r="I28768" s="7" t="n">
        <v>0</v>
      </c>
    </row>
    <row r="28769" spans="1:10">
      <c r="A28769" t="s">
        <v>4</v>
      </c>
      <c r="B28769" s="4" t="s">
        <v>5</v>
      </c>
      <c r="C28769" s="4" t="s">
        <v>7</v>
      </c>
      <c r="D28769" s="4" t="s">
        <v>7</v>
      </c>
      <c r="E28769" s="4" t="s">
        <v>13</v>
      </c>
      <c r="F28769" s="4" t="s">
        <v>11</v>
      </c>
    </row>
    <row r="28770" spans="1:10">
      <c r="A28770" t="n">
        <v>280335</v>
      </c>
      <c r="B28770" s="51" t="n">
        <v>45</v>
      </c>
      <c r="C28770" s="7" t="n">
        <v>5</v>
      </c>
      <c r="D28770" s="7" t="n">
        <v>3</v>
      </c>
      <c r="E28770" s="7" t="n">
        <v>2.40000009536743</v>
      </c>
      <c r="F28770" s="7" t="n">
        <v>8000</v>
      </c>
    </row>
    <row r="28771" spans="1:10">
      <c r="A28771" t="s">
        <v>4</v>
      </c>
      <c r="B28771" s="4" t="s">
        <v>5</v>
      </c>
      <c r="C28771" s="4" t="s">
        <v>7</v>
      </c>
      <c r="D28771" s="4" t="s">
        <v>7</v>
      </c>
      <c r="E28771" s="4" t="s">
        <v>13</v>
      </c>
      <c r="F28771" s="4" t="s">
        <v>11</v>
      </c>
    </row>
    <row r="28772" spans="1:10">
      <c r="A28772" t="n">
        <v>280344</v>
      </c>
      <c r="B28772" s="51" t="n">
        <v>45</v>
      </c>
      <c r="C28772" s="7" t="n">
        <v>11</v>
      </c>
      <c r="D28772" s="7" t="n">
        <v>3</v>
      </c>
      <c r="E28772" s="7" t="n">
        <v>33.4000015258789</v>
      </c>
      <c r="F28772" s="7" t="n">
        <v>8000</v>
      </c>
    </row>
    <row r="28773" spans="1:10">
      <c r="A28773" t="s">
        <v>4</v>
      </c>
      <c r="B28773" s="4" t="s">
        <v>5</v>
      </c>
      <c r="C28773" s="4" t="s">
        <v>7</v>
      </c>
      <c r="D28773" s="4" t="s">
        <v>11</v>
      </c>
      <c r="E28773" s="4" t="s">
        <v>13</v>
      </c>
    </row>
    <row r="28774" spans="1:10">
      <c r="A28774" t="n">
        <v>280353</v>
      </c>
      <c r="B28774" s="23" t="n">
        <v>58</v>
      </c>
      <c r="C28774" s="7" t="n">
        <v>100</v>
      </c>
      <c r="D28774" s="7" t="n">
        <v>1000</v>
      </c>
      <c r="E28774" s="7" t="n">
        <v>1</v>
      </c>
    </row>
    <row r="28775" spans="1:10">
      <c r="A28775" t="s">
        <v>4</v>
      </c>
      <c r="B28775" s="4" t="s">
        <v>5</v>
      </c>
      <c r="C28775" s="4" t="s">
        <v>7</v>
      </c>
      <c r="D28775" s="4" t="s">
        <v>11</v>
      </c>
    </row>
    <row r="28776" spans="1:10">
      <c r="A28776" t="n">
        <v>280361</v>
      </c>
      <c r="B28776" s="23" t="n">
        <v>58</v>
      </c>
      <c r="C28776" s="7" t="n">
        <v>255</v>
      </c>
      <c r="D28776" s="7" t="n">
        <v>0</v>
      </c>
    </row>
    <row r="28777" spans="1:10">
      <c r="A28777" t="s">
        <v>4</v>
      </c>
      <c r="B28777" s="4" t="s">
        <v>5</v>
      </c>
      <c r="C28777" s="4" t="s">
        <v>7</v>
      </c>
      <c r="D28777" s="4" t="s">
        <v>11</v>
      </c>
    </row>
    <row r="28778" spans="1:10">
      <c r="A28778" t="n">
        <v>280365</v>
      </c>
      <c r="B28778" s="51" t="n">
        <v>45</v>
      </c>
      <c r="C28778" s="7" t="n">
        <v>7</v>
      </c>
      <c r="D28778" s="7" t="n">
        <v>255</v>
      </c>
    </row>
    <row r="28779" spans="1:10">
      <c r="A28779" t="s">
        <v>4</v>
      </c>
      <c r="B28779" s="4" t="s">
        <v>5</v>
      </c>
      <c r="C28779" s="4" t="s">
        <v>7</v>
      </c>
      <c r="D28779" s="4" t="s">
        <v>11</v>
      </c>
      <c r="E28779" s="4" t="s">
        <v>13</v>
      </c>
    </row>
    <row r="28780" spans="1:10">
      <c r="A28780" t="n">
        <v>280369</v>
      </c>
      <c r="B28780" s="23" t="n">
        <v>58</v>
      </c>
      <c r="C28780" s="7" t="n">
        <v>101</v>
      </c>
      <c r="D28780" s="7" t="n">
        <v>800</v>
      </c>
      <c r="E28780" s="7" t="n">
        <v>1</v>
      </c>
    </row>
    <row r="28781" spans="1:10">
      <c r="A28781" t="s">
        <v>4</v>
      </c>
      <c r="B28781" s="4" t="s">
        <v>5</v>
      </c>
      <c r="C28781" s="4" t="s">
        <v>7</v>
      </c>
      <c r="D28781" s="4" t="s">
        <v>11</v>
      </c>
    </row>
    <row r="28782" spans="1:10">
      <c r="A28782" t="n">
        <v>280377</v>
      </c>
      <c r="B28782" s="23" t="n">
        <v>58</v>
      </c>
      <c r="C28782" s="7" t="n">
        <v>254</v>
      </c>
      <c r="D28782" s="7" t="n">
        <v>0</v>
      </c>
    </row>
    <row r="28783" spans="1:10">
      <c r="A28783" t="s">
        <v>4</v>
      </c>
      <c r="B28783" s="4" t="s">
        <v>5</v>
      </c>
      <c r="C28783" s="4" t="s">
        <v>7</v>
      </c>
      <c r="D28783" s="4" t="s">
        <v>7</v>
      </c>
      <c r="E28783" s="4" t="s">
        <v>13</v>
      </c>
      <c r="F28783" s="4" t="s">
        <v>13</v>
      </c>
      <c r="G28783" s="4" t="s">
        <v>13</v>
      </c>
      <c r="H28783" s="4" t="s">
        <v>11</v>
      </c>
    </row>
    <row r="28784" spans="1:10">
      <c r="A28784" t="n">
        <v>280381</v>
      </c>
      <c r="B28784" s="51" t="n">
        <v>45</v>
      </c>
      <c r="C28784" s="7" t="n">
        <v>2</v>
      </c>
      <c r="D28784" s="7" t="n">
        <v>3</v>
      </c>
      <c r="E28784" s="7" t="n">
        <v>4.26999998092651</v>
      </c>
      <c r="F28784" s="7" t="n">
        <v>2.44000005722046</v>
      </c>
      <c r="G28784" s="7" t="n">
        <v>44.1500015258789</v>
      </c>
      <c r="H28784" s="7" t="n">
        <v>0</v>
      </c>
    </row>
    <row r="28785" spans="1:8">
      <c r="A28785" t="s">
        <v>4</v>
      </c>
      <c r="B28785" s="4" t="s">
        <v>5</v>
      </c>
      <c r="C28785" s="4" t="s">
        <v>7</v>
      </c>
      <c r="D28785" s="4" t="s">
        <v>7</v>
      </c>
      <c r="E28785" s="4" t="s">
        <v>13</v>
      </c>
      <c r="F28785" s="4" t="s">
        <v>13</v>
      </c>
      <c r="G28785" s="4" t="s">
        <v>13</v>
      </c>
      <c r="H28785" s="4" t="s">
        <v>11</v>
      </c>
      <c r="I28785" s="4" t="s">
        <v>7</v>
      </c>
    </row>
    <row r="28786" spans="1:8">
      <c r="A28786" t="n">
        <v>280398</v>
      </c>
      <c r="B28786" s="51" t="n">
        <v>45</v>
      </c>
      <c r="C28786" s="7" t="n">
        <v>4</v>
      </c>
      <c r="D28786" s="7" t="n">
        <v>3</v>
      </c>
      <c r="E28786" s="7" t="n">
        <v>357.880004882813</v>
      </c>
      <c r="F28786" s="7" t="n">
        <v>321.779998779297</v>
      </c>
      <c r="G28786" s="7" t="n">
        <v>0</v>
      </c>
      <c r="H28786" s="7" t="n">
        <v>0</v>
      </c>
      <c r="I28786" s="7" t="n">
        <v>0</v>
      </c>
    </row>
    <row r="28787" spans="1:8">
      <c r="A28787" t="s">
        <v>4</v>
      </c>
      <c r="B28787" s="4" t="s">
        <v>5</v>
      </c>
      <c r="C28787" s="4" t="s">
        <v>7</v>
      </c>
      <c r="D28787" s="4" t="s">
        <v>7</v>
      </c>
      <c r="E28787" s="4" t="s">
        <v>13</v>
      </c>
      <c r="F28787" s="4" t="s">
        <v>11</v>
      </c>
    </row>
    <row r="28788" spans="1:8">
      <c r="A28788" t="n">
        <v>280416</v>
      </c>
      <c r="B28788" s="51" t="n">
        <v>45</v>
      </c>
      <c r="C28788" s="7" t="n">
        <v>5</v>
      </c>
      <c r="D28788" s="7" t="n">
        <v>3</v>
      </c>
      <c r="E28788" s="7" t="n">
        <v>2.40000009536743</v>
      </c>
      <c r="F28788" s="7" t="n">
        <v>0</v>
      </c>
    </row>
    <row r="28789" spans="1:8">
      <c r="A28789" t="s">
        <v>4</v>
      </c>
      <c r="B28789" s="4" t="s">
        <v>5</v>
      </c>
      <c r="C28789" s="4" t="s">
        <v>7</v>
      </c>
      <c r="D28789" s="4" t="s">
        <v>7</v>
      </c>
      <c r="E28789" s="4" t="s">
        <v>13</v>
      </c>
      <c r="F28789" s="4" t="s">
        <v>11</v>
      </c>
    </row>
    <row r="28790" spans="1:8">
      <c r="A28790" t="n">
        <v>280425</v>
      </c>
      <c r="B28790" s="51" t="n">
        <v>45</v>
      </c>
      <c r="C28790" s="7" t="n">
        <v>11</v>
      </c>
      <c r="D28790" s="7" t="n">
        <v>3</v>
      </c>
      <c r="E28790" s="7" t="n">
        <v>33.4000015258789</v>
      </c>
      <c r="F28790" s="7" t="n">
        <v>0</v>
      </c>
    </row>
    <row r="28791" spans="1:8">
      <c r="A28791" t="s">
        <v>4</v>
      </c>
      <c r="B28791" s="4" t="s">
        <v>5</v>
      </c>
      <c r="C28791" s="4" t="s">
        <v>7</v>
      </c>
      <c r="D28791" s="4" t="s">
        <v>7</v>
      </c>
      <c r="E28791" s="4" t="s">
        <v>13</v>
      </c>
      <c r="F28791" s="4" t="s">
        <v>13</v>
      </c>
      <c r="G28791" s="4" t="s">
        <v>13</v>
      </c>
      <c r="H28791" s="4" t="s">
        <v>11</v>
      </c>
    </row>
    <row r="28792" spans="1:8">
      <c r="A28792" t="n">
        <v>280434</v>
      </c>
      <c r="B28792" s="51" t="n">
        <v>45</v>
      </c>
      <c r="C28792" s="7" t="n">
        <v>2</v>
      </c>
      <c r="D28792" s="7" t="n">
        <v>3</v>
      </c>
      <c r="E28792" s="7" t="n">
        <v>4.76999998092651</v>
      </c>
      <c r="F28792" s="7" t="n">
        <v>1.45000004768372</v>
      </c>
      <c r="G28792" s="7" t="n">
        <v>45.2599983215332</v>
      </c>
      <c r="H28792" s="7" t="n">
        <v>8000</v>
      </c>
    </row>
    <row r="28793" spans="1:8">
      <c r="A28793" t="s">
        <v>4</v>
      </c>
      <c r="B28793" s="4" t="s">
        <v>5</v>
      </c>
      <c r="C28793" s="4" t="s">
        <v>7</v>
      </c>
      <c r="D28793" s="4" t="s">
        <v>7</v>
      </c>
      <c r="E28793" s="4" t="s">
        <v>13</v>
      </c>
      <c r="F28793" s="4" t="s">
        <v>13</v>
      </c>
      <c r="G28793" s="4" t="s">
        <v>13</v>
      </c>
      <c r="H28793" s="4" t="s">
        <v>11</v>
      </c>
      <c r="I28793" s="4" t="s">
        <v>7</v>
      </c>
    </row>
    <row r="28794" spans="1:8">
      <c r="A28794" t="n">
        <v>280451</v>
      </c>
      <c r="B28794" s="51" t="n">
        <v>45</v>
      </c>
      <c r="C28794" s="7" t="n">
        <v>4</v>
      </c>
      <c r="D28794" s="7" t="n">
        <v>3</v>
      </c>
      <c r="E28794" s="7" t="n">
        <v>358.660003662109</v>
      </c>
      <c r="F28794" s="7" t="n">
        <v>283.079986572266</v>
      </c>
      <c r="G28794" s="7" t="n">
        <v>0</v>
      </c>
      <c r="H28794" s="7" t="n">
        <v>8000</v>
      </c>
      <c r="I28794" s="7" t="n">
        <v>0</v>
      </c>
    </row>
    <row r="28795" spans="1:8">
      <c r="A28795" t="s">
        <v>4</v>
      </c>
      <c r="B28795" s="4" t="s">
        <v>5</v>
      </c>
      <c r="C28795" s="4" t="s">
        <v>7</v>
      </c>
      <c r="D28795" s="4" t="s">
        <v>7</v>
      </c>
      <c r="E28795" s="4" t="s">
        <v>13</v>
      </c>
      <c r="F28795" s="4" t="s">
        <v>11</v>
      </c>
    </row>
    <row r="28796" spans="1:8">
      <c r="A28796" t="n">
        <v>280469</v>
      </c>
      <c r="B28796" s="51" t="n">
        <v>45</v>
      </c>
      <c r="C28796" s="7" t="n">
        <v>5</v>
      </c>
      <c r="D28796" s="7" t="n">
        <v>3</v>
      </c>
      <c r="E28796" s="7" t="n">
        <v>2</v>
      </c>
      <c r="F28796" s="7" t="n">
        <v>8000</v>
      </c>
    </row>
    <row r="28797" spans="1:8">
      <c r="A28797" t="s">
        <v>4</v>
      </c>
      <c r="B28797" s="4" t="s">
        <v>5</v>
      </c>
      <c r="C28797" s="4" t="s">
        <v>7</v>
      </c>
      <c r="D28797" s="4" t="s">
        <v>11</v>
      </c>
    </row>
    <row r="28798" spans="1:8">
      <c r="A28798" t="n">
        <v>280478</v>
      </c>
      <c r="B28798" s="23" t="n">
        <v>58</v>
      </c>
      <c r="C28798" s="7" t="n">
        <v>255</v>
      </c>
      <c r="D28798" s="7" t="n">
        <v>0</v>
      </c>
    </row>
    <row r="28799" spans="1:8">
      <c r="A28799" t="s">
        <v>4</v>
      </c>
      <c r="B28799" s="4" t="s">
        <v>5</v>
      </c>
      <c r="C28799" s="4" t="s">
        <v>7</v>
      </c>
      <c r="D28799" s="4" t="s">
        <v>11</v>
      </c>
    </row>
    <row r="28800" spans="1:8">
      <c r="A28800" t="n">
        <v>280482</v>
      </c>
      <c r="B28800" s="51" t="n">
        <v>45</v>
      </c>
      <c r="C28800" s="7" t="n">
        <v>7</v>
      </c>
      <c r="D28800" s="7" t="n">
        <v>255</v>
      </c>
    </row>
    <row r="28801" spans="1:9">
      <c r="A28801" t="s">
        <v>4</v>
      </c>
      <c r="B28801" s="4" t="s">
        <v>5</v>
      </c>
      <c r="C28801" s="4" t="s">
        <v>7</v>
      </c>
      <c r="D28801" s="4" t="s">
        <v>11</v>
      </c>
      <c r="E28801" s="4" t="s">
        <v>13</v>
      </c>
    </row>
    <row r="28802" spans="1:9">
      <c r="A28802" t="n">
        <v>280486</v>
      </c>
      <c r="B28802" s="23" t="n">
        <v>58</v>
      </c>
      <c r="C28802" s="7" t="n">
        <v>101</v>
      </c>
      <c r="D28802" s="7" t="n">
        <v>800</v>
      </c>
      <c r="E28802" s="7" t="n">
        <v>1</v>
      </c>
    </row>
    <row r="28803" spans="1:9">
      <c r="A28803" t="s">
        <v>4</v>
      </c>
      <c r="B28803" s="4" t="s">
        <v>5</v>
      </c>
      <c r="C28803" s="4" t="s">
        <v>7</v>
      </c>
      <c r="D28803" s="4" t="s">
        <v>11</v>
      </c>
    </row>
    <row r="28804" spans="1:9">
      <c r="A28804" t="n">
        <v>280494</v>
      </c>
      <c r="B28804" s="23" t="n">
        <v>58</v>
      </c>
      <c r="C28804" s="7" t="n">
        <v>254</v>
      </c>
      <c r="D28804" s="7" t="n">
        <v>0</v>
      </c>
    </row>
    <row r="28805" spans="1:9">
      <c r="A28805" t="s">
        <v>4</v>
      </c>
      <c r="B28805" s="4" t="s">
        <v>5</v>
      </c>
      <c r="C28805" s="4" t="s">
        <v>7</v>
      </c>
      <c r="D28805" s="4" t="s">
        <v>7</v>
      </c>
      <c r="E28805" s="4" t="s">
        <v>13</v>
      </c>
      <c r="F28805" s="4" t="s">
        <v>13</v>
      </c>
      <c r="G28805" s="4" t="s">
        <v>13</v>
      </c>
      <c r="H28805" s="4" t="s">
        <v>11</v>
      </c>
    </row>
    <row r="28806" spans="1:9">
      <c r="A28806" t="n">
        <v>280498</v>
      </c>
      <c r="B28806" s="51" t="n">
        <v>45</v>
      </c>
      <c r="C28806" s="7" t="n">
        <v>2</v>
      </c>
      <c r="D28806" s="7" t="n">
        <v>3</v>
      </c>
      <c r="E28806" s="7" t="n">
        <v>4.73999977111816</v>
      </c>
      <c r="F28806" s="7" t="n">
        <v>1.37000000476837</v>
      </c>
      <c r="G28806" s="7" t="n">
        <v>45.310001373291</v>
      </c>
      <c r="H28806" s="7" t="n">
        <v>0</v>
      </c>
    </row>
    <row r="28807" spans="1:9">
      <c r="A28807" t="s">
        <v>4</v>
      </c>
      <c r="B28807" s="4" t="s">
        <v>5</v>
      </c>
      <c r="C28807" s="4" t="s">
        <v>7</v>
      </c>
      <c r="D28807" s="4" t="s">
        <v>7</v>
      </c>
      <c r="E28807" s="4" t="s">
        <v>13</v>
      </c>
      <c r="F28807" s="4" t="s">
        <v>13</v>
      </c>
      <c r="G28807" s="4" t="s">
        <v>13</v>
      </c>
      <c r="H28807" s="4" t="s">
        <v>11</v>
      </c>
      <c r="I28807" s="4" t="s">
        <v>7</v>
      </c>
    </row>
    <row r="28808" spans="1:9">
      <c r="A28808" t="n">
        <v>280515</v>
      </c>
      <c r="B28808" s="51" t="n">
        <v>45</v>
      </c>
      <c r="C28808" s="7" t="n">
        <v>4</v>
      </c>
      <c r="D28808" s="7" t="n">
        <v>3</v>
      </c>
      <c r="E28808" s="7" t="n">
        <v>4.3899998664856</v>
      </c>
      <c r="F28808" s="7" t="n">
        <v>107.779998779297</v>
      </c>
      <c r="G28808" s="7" t="n">
        <v>0</v>
      </c>
      <c r="H28808" s="7" t="n">
        <v>0</v>
      </c>
      <c r="I28808" s="7" t="n">
        <v>0</v>
      </c>
    </row>
    <row r="28809" spans="1:9">
      <c r="A28809" t="s">
        <v>4</v>
      </c>
      <c r="B28809" s="4" t="s">
        <v>5</v>
      </c>
      <c r="C28809" s="4" t="s">
        <v>7</v>
      </c>
      <c r="D28809" s="4" t="s">
        <v>7</v>
      </c>
      <c r="E28809" s="4" t="s">
        <v>13</v>
      </c>
      <c r="F28809" s="4" t="s">
        <v>11</v>
      </c>
    </row>
    <row r="28810" spans="1:9">
      <c r="A28810" t="n">
        <v>280533</v>
      </c>
      <c r="B28810" s="51" t="n">
        <v>45</v>
      </c>
      <c r="C28810" s="7" t="n">
        <v>5</v>
      </c>
      <c r="D28810" s="7" t="n">
        <v>3</v>
      </c>
      <c r="E28810" s="7" t="n">
        <v>2</v>
      </c>
      <c r="F28810" s="7" t="n">
        <v>0</v>
      </c>
    </row>
    <row r="28811" spans="1:9">
      <c r="A28811" t="s">
        <v>4</v>
      </c>
      <c r="B28811" s="4" t="s">
        <v>5</v>
      </c>
      <c r="C28811" s="4" t="s">
        <v>7</v>
      </c>
      <c r="D28811" s="4" t="s">
        <v>7</v>
      </c>
      <c r="E28811" s="4" t="s">
        <v>13</v>
      </c>
      <c r="F28811" s="4" t="s">
        <v>11</v>
      </c>
    </row>
    <row r="28812" spans="1:9">
      <c r="A28812" t="n">
        <v>280542</v>
      </c>
      <c r="B28812" s="51" t="n">
        <v>45</v>
      </c>
      <c r="C28812" s="7" t="n">
        <v>11</v>
      </c>
      <c r="D28812" s="7" t="n">
        <v>3</v>
      </c>
      <c r="E28812" s="7" t="n">
        <v>33.4000015258789</v>
      </c>
      <c r="F28812" s="7" t="n">
        <v>0</v>
      </c>
    </row>
    <row r="28813" spans="1:9">
      <c r="A28813" t="s">
        <v>4</v>
      </c>
      <c r="B28813" s="4" t="s">
        <v>5</v>
      </c>
      <c r="C28813" s="4" t="s">
        <v>11</v>
      </c>
      <c r="D28813" s="4" t="s">
        <v>15</v>
      </c>
    </row>
    <row r="28814" spans="1:9">
      <c r="A28814" t="n">
        <v>280551</v>
      </c>
      <c r="B28814" s="63" t="n">
        <v>44</v>
      </c>
      <c r="C28814" s="7" t="n">
        <v>9</v>
      </c>
      <c r="D28814" s="7" t="n">
        <v>1</v>
      </c>
    </row>
    <row r="28815" spans="1:9">
      <c r="A28815" t="s">
        <v>4</v>
      </c>
      <c r="B28815" s="4" t="s">
        <v>5</v>
      </c>
      <c r="C28815" s="4" t="s">
        <v>7</v>
      </c>
      <c r="D28815" s="4" t="s">
        <v>11</v>
      </c>
    </row>
    <row r="28816" spans="1:9">
      <c r="A28816" t="n">
        <v>280558</v>
      </c>
      <c r="B28816" s="23" t="n">
        <v>58</v>
      </c>
      <c r="C28816" s="7" t="n">
        <v>255</v>
      </c>
      <c r="D28816" s="7" t="n">
        <v>0</v>
      </c>
    </row>
    <row r="28817" spans="1:9">
      <c r="A28817" t="s">
        <v>4</v>
      </c>
      <c r="B28817" s="4" t="s">
        <v>5</v>
      </c>
      <c r="C28817" s="4" t="s">
        <v>8</v>
      </c>
      <c r="D28817" s="4" t="s">
        <v>8</v>
      </c>
    </row>
    <row r="28818" spans="1:9">
      <c r="A28818" t="n">
        <v>280562</v>
      </c>
      <c r="B28818" s="52" t="n">
        <v>70</v>
      </c>
      <c r="C28818" s="7" t="s">
        <v>279</v>
      </c>
      <c r="D28818" s="7" t="s">
        <v>280</v>
      </c>
    </row>
    <row r="28819" spans="1:9">
      <c r="A28819" t="s">
        <v>4</v>
      </c>
      <c r="B28819" s="4" t="s">
        <v>5</v>
      </c>
      <c r="C28819" s="4" t="s">
        <v>11</v>
      </c>
    </row>
    <row r="28820" spans="1:9">
      <c r="A28820" t="n">
        <v>280579</v>
      </c>
      <c r="B28820" s="29" t="n">
        <v>16</v>
      </c>
      <c r="C28820" s="7" t="n">
        <v>1000</v>
      </c>
    </row>
    <row r="28821" spans="1:9">
      <c r="A28821" t="s">
        <v>4</v>
      </c>
      <c r="B28821" s="4" t="s">
        <v>5</v>
      </c>
      <c r="C28821" s="4" t="s">
        <v>7</v>
      </c>
      <c r="D28821" s="4" t="s">
        <v>11</v>
      </c>
      <c r="E28821" s="4" t="s">
        <v>11</v>
      </c>
      <c r="F28821" s="4" t="s">
        <v>7</v>
      </c>
    </row>
    <row r="28822" spans="1:9">
      <c r="A28822" t="n">
        <v>280582</v>
      </c>
      <c r="B28822" s="31" t="n">
        <v>25</v>
      </c>
      <c r="C28822" s="7" t="n">
        <v>1</v>
      </c>
      <c r="D28822" s="7" t="n">
        <v>100</v>
      </c>
      <c r="E28822" s="7" t="n">
        <v>500</v>
      </c>
      <c r="F28822" s="7" t="n">
        <v>5</v>
      </c>
    </row>
    <row r="28823" spans="1:9">
      <c r="A28823" t="s">
        <v>4</v>
      </c>
      <c r="B28823" s="4" t="s">
        <v>5</v>
      </c>
      <c r="C28823" s="4" t="s">
        <v>8</v>
      </c>
      <c r="D28823" s="4" t="s">
        <v>11</v>
      </c>
    </row>
    <row r="28824" spans="1:9">
      <c r="A28824" t="n">
        <v>280589</v>
      </c>
      <c r="B28824" s="67" t="n">
        <v>29</v>
      </c>
      <c r="C28824" s="7" t="s">
        <v>281</v>
      </c>
      <c r="D28824" s="7" t="n">
        <v>65533</v>
      </c>
    </row>
    <row r="28825" spans="1:9">
      <c r="A28825" t="s">
        <v>4</v>
      </c>
      <c r="B28825" s="4" t="s">
        <v>5</v>
      </c>
      <c r="C28825" s="4" t="s">
        <v>7</v>
      </c>
      <c r="D28825" s="4" t="s">
        <v>11</v>
      </c>
      <c r="E28825" s="4" t="s">
        <v>8</v>
      </c>
    </row>
    <row r="28826" spans="1:9">
      <c r="A28826" t="n">
        <v>280598</v>
      </c>
      <c r="B28826" s="38" t="n">
        <v>51</v>
      </c>
      <c r="C28826" s="7" t="n">
        <v>4</v>
      </c>
      <c r="D28826" s="7" t="n">
        <v>9</v>
      </c>
      <c r="E28826" s="7" t="s">
        <v>16</v>
      </c>
    </row>
    <row r="28827" spans="1:9">
      <c r="A28827" t="s">
        <v>4</v>
      </c>
      <c r="B28827" s="4" t="s">
        <v>5</v>
      </c>
      <c r="C28827" s="4" t="s">
        <v>11</v>
      </c>
    </row>
    <row r="28828" spans="1:9">
      <c r="A28828" t="n">
        <v>280603</v>
      </c>
      <c r="B28828" s="29" t="n">
        <v>16</v>
      </c>
      <c r="C28828" s="7" t="n">
        <v>0</v>
      </c>
    </row>
    <row r="28829" spans="1:9">
      <c r="A28829" t="s">
        <v>4</v>
      </c>
      <c r="B28829" s="4" t="s">
        <v>5</v>
      </c>
      <c r="C28829" s="4" t="s">
        <v>11</v>
      </c>
      <c r="D28829" s="4" t="s">
        <v>7</v>
      </c>
      <c r="E28829" s="4" t="s">
        <v>15</v>
      </c>
      <c r="F28829" s="4" t="s">
        <v>55</v>
      </c>
      <c r="G28829" s="4" t="s">
        <v>7</v>
      </c>
      <c r="H28829" s="4" t="s">
        <v>7</v>
      </c>
    </row>
    <row r="28830" spans="1:9">
      <c r="A28830" t="n">
        <v>280606</v>
      </c>
      <c r="B28830" s="55" t="n">
        <v>26</v>
      </c>
      <c r="C28830" s="7" t="n">
        <v>9</v>
      </c>
      <c r="D28830" s="7" t="n">
        <v>17</v>
      </c>
      <c r="E28830" s="7" t="n">
        <v>63937</v>
      </c>
      <c r="F28830" s="7" t="s">
        <v>630</v>
      </c>
      <c r="G28830" s="7" t="n">
        <v>2</v>
      </c>
      <c r="H28830" s="7" t="n">
        <v>0</v>
      </c>
    </row>
    <row r="28831" spans="1:9">
      <c r="A28831" t="s">
        <v>4</v>
      </c>
      <c r="B28831" s="4" t="s">
        <v>5</v>
      </c>
    </row>
    <row r="28832" spans="1:9">
      <c r="A28832" t="n">
        <v>280635</v>
      </c>
      <c r="B28832" s="27" t="n">
        <v>28</v>
      </c>
    </row>
    <row r="28833" spans="1:8">
      <c r="A28833" t="s">
        <v>4</v>
      </c>
      <c r="B28833" s="4" t="s">
        <v>5</v>
      </c>
      <c r="C28833" s="4" t="s">
        <v>11</v>
      </c>
      <c r="D28833" s="4" t="s">
        <v>7</v>
      </c>
    </row>
    <row r="28834" spans="1:8">
      <c r="A28834" t="n">
        <v>280636</v>
      </c>
      <c r="B28834" s="68" t="n">
        <v>89</v>
      </c>
      <c r="C28834" s="7" t="n">
        <v>65533</v>
      </c>
      <c r="D28834" s="7" t="n">
        <v>1</v>
      </c>
    </row>
    <row r="28835" spans="1:8">
      <c r="A28835" t="s">
        <v>4</v>
      </c>
      <c r="B28835" s="4" t="s">
        <v>5</v>
      </c>
      <c r="C28835" s="4" t="s">
        <v>7</v>
      </c>
      <c r="D28835" s="4" t="s">
        <v>11</v>
      </c>
      <c r="E28835" s="4" t="s">
        <v>11</v>
      </c>
      <c r="F28835" s="4" t="s">
        <v>7</v>
      </c>
    </row>
    <row r="28836" spans="1:8">
      <c r="A28836" t="n">
        <v>280640</v>
      </c>
      <c r="B28836" s="31" t="n">
        <v>25</v>
      </c>
      <c r="C28836" s="7" t="n">
        <v>1</v>
      </c>
      <c r="D28836" s="7" t="n">
        <v>65535</v>
      </c>
      <c r="E28836" s="7" t="n">
        <v>65535</v>
      </c>
      <c r="F28836" s="7" t="n">
        <v>0</v>
      </c>
    </row>
    <row r="28837" spans="1:8">
      <c r="A28837" t="s">
        <v>4</v>
      </c>
      <c r="B28837" s="4" t="s">
        <v>5</v>
      </c>
      <c r="C28837" s="4" t="s">
        <v>8</v>
      </c>
      <c r="D28837" s="4" t="s">
        <v>11</v>
      </c>
    </row>
    <row r="28838" spans="1:8">
      <c r="A28838" t="n">
        <v>280647</v>
      </c>
      <c r="B28838" s="67" t="n">
        <v>29</v>
      </c>
      <c r="C28838" s="7" t="s">
        <v>16</v>
      </c>
      <c r="D28838" s="7" t="n">
        <v>65533</v>
      </c>
    </row>
    <row r="28839" spans="1:8">
      <c r="A28839" t="s">
        <v>4</v>
      </c>
      <c r="B28839" s="4" t="s">
        <v>5</v>
      </c>
      <c r="C28839" s="4" t="s">
        <v>11</v>
      </c>
      <c r="D28839" s="4" t="s">
        <v>7</v>
      </c>
      <c r="E28839" s="4" t="s">
        <v>13</v>
      </c>
      <c r="F28839" s="4" t="s">
        <v>11</v>
      </c>
    </row>
    <row r="28840" spans="1:8">
      <c r="A28840" t="n">
        <v>280651</v>
      </c>
      <c r="B28840" s="56" t="n">
        <v>59</v>
      </c>
      <c r="C28840" s="7" t="n">
        <v>0</v>
      </c>
      <c r="D28840" s="7" t="n">
        <v>13</v>
      </c>
      <c r="E28840" s="7" t="n">
        <v>0.150000005960464</v>
      </c>
      <c r="F28840" s="7" t="n">
        <v>0</v>
      </c>
    </row>
    <row r="28841" spans="1:8">
      <c r="A28841" t="s">
        <v>4</v>
      </c>
      <c r="B28841" s="4" t="s">
        <v>5</v>
      </c>
      <c r="C28841" s="4" t="s">
        <v>11</v>
      </c>
    </row>
    <row r="28842" spans="1:8">
      <c r="A28842" t="n">
        <v>280661</v>
      </c>
      <c r="B28842" s="29" t="n">
        <v>16</v>
      </c>
      <c r="C28842" s="7" t="n">
        <v>1000</v>
      </c>
    </row>
    <row r="28843" spans="1:8">
      <c r="A28843" t="s">
        <v>4</v>
      </c>
      <c r="B28843" s="4" t="s">
        <v>5</v>
      </c>
      <c r="C28843" s="4" t="s">
        <v>11</v>
      </c>
      <c r="D28843" s="4" t="s">
        <v>13</v>
      </c>
      <c r="E28843" s="4" t="s">
        <v>13</v>
      </c>
      <c r="F28843" s="4" t="s">
        <v>13</v>
      </c>
      <c r="G28843" s="4" t="s">
        <v>11</v>
      </c>
      <c r="H28843" s="4" t="s">
        <v>11</v>
      </c>
    </row>
    <row r="28844" spans="1:8">
      <c r="A28844" t="n">
        <v>280664</v>
      </c>
      <c r="B28844" s="37" t="n">
        <v>60</v>
      </c>
      <c r="C28844" s="7" t="n">
        <v>0</v>
      </c>
      <c r="D28844" s="7" t="n">
        <v>0</v>
      </c>
      <c r="E28844" s="7" t="n">
        <v>0</v>
      </c>
      <c r="F28844" s="7" t="n">
        <v>0</v>
      </c>
      <c r="G28844" s="7" t="n">
        <v>1000</v>
      </c>
      <c r="H28844" s="7" t="n">
        <v>0</v>
      </c>
    </row>
    <row r="28845" spans="1:8">
      <c r="A28845" t="s">
        <v>4</v>
      </c>
      <c r="B28845" s="4" t="s">
        <v>5</v>
      </c>
      <c r="C28845" s="4" t="s">
        <v>11</v>
      </c>
      <c r="D28845" s="4" t="s">
        <v>11</v>
      </c>
      <c r="E28845" s="4" t="s">
        <v>11</v>
      </c>
    </row>
    <row r="28846" spans="1:8">
      <c r="A28846" t="n">
        <v>280683</v>
      </c>
      <c r="B28846" s="72" t="n">
        <v>61</v>
      </c>
      <c r="C28846" s="7" t="n">
        <v>0</v>
      </c>
      <c r="D28846" s="7" t="n">
        <v>9</v>
      </c>
      <c r="E28846" s="7" t="n">
        <v>1000</v>
      </c>
    </row>
    <row r="28847" spans="1:8">
      <c r="A28847" t="s">
        <v>4</v>
      </c>
      <c r="B28847" s="4" t="s">
        <v>5</v>
      </c>
      <c r="C28847" s="4" t="s">
        <v>11</v>
      </c>
      <c r="D28847" s="4" t="s">
        <v>11</v>
      </c>
      <c r="E28847" s="4" t="s">
        <v>11</v>
      </c>
    </row>
    <row r="28848" spans="1:8">
      <c r="A28848" t="n">
        <v>280690</v>
      </c>
      <c r="B28848" s="72" t="n">
        <v>61</v>
      </c>
      <c r="C28848" s="7" t="n">
        <v>9</v>
      </c>
      <c r="D28848" s="7" t="n">
        <v>0</v>
      </c>
      <c r="E28848" s="7" t="n">
        <v>1000</v>
      </c>
    </row>
    <row r="28849" spans="1:8">
      <c r="A28849" t="s">
        <v>4</v>
      </c>
      <c r="B28849" s="4" t="s">
        <v>5</v>
      </c>
      <c r="C28849" s="4" t="s">
        <v>11</v>
      </c>
      <c r="D28849" s="4" t="s">
        <v>13</v>
      </c>
      <c r="E28849" s="4" t="s">
        <v>13</v>
      </c>
      <c r="F28849" s="4" t="s">
        <v>7</v>
      </c>
    </row>
    <row r="28850" spans="1:8">
      <c r="A28850" t="n">
        <v>280697</v>
      </c>
      <c r="B28850" s="65" t="n">
        <v>52</v>
      </c>
      <c r="C28850" s="7" t="n">
        <v>0</v>
      </c>
      <c r="D28850" s="7" t="n">
        <v>332.399993896484</v>
      </c>
      <c r="E28850" s="7" t="n">
        <v>5</v>
      </c>
      <c r="F28850" s="7" t="n">
        <v>0</v>
      </c>
    </row>
    <row r="28851" spans="1:8">
      <c r="A28851" t="s">
        <v>4</v>
      </c>
      <c r="B28851" s="4" t="s">
        <v>5</v>
      </c>
      <c r="C28851" s="4" t="s">
        <v>11</v>
      </c>
    </row>
    <row r="28852" spans="1:8">
      <c r="A28852" t="n">
        <v>280709</v>
      </c>
      <c r="B28852" s="66" t="n">
        <v>54</v>
      </c>
      <c r="C28852" s="7" t="n">
        <v>0</v>
      </c>
    </row>
    <row r="28853" spans="1:8">
      <c r="A28853" t="s">
        <v>4</v>
      </c>
      <c r="B28853" s="4" t="s">
        <v>5</v>
      </c>
      <c r="C28853" s="4" t="s">
        <v>7</v>
      </c>
      <c r="D28853" s="4" t="s">
        <v>11</v>
      </c>
      <c r="E28853" s="4" t="s">
        <v>13</v>
      </c>
    </row>
    <row r="28854" spans="1:8">
      <c r="A28854" t="n">
        <v>280712</v>
      </c>
      <c r="B28854" s="23" t="n">
        <v>58</v>
      </c>
      <c r="C28854" s="7" t="n">
        <v>101</v>
      </c>
      <c r="D28854" s="7" t="n">
        <v>500</v>
      </c>
      <c r="E28854" s="7" t="n">
        <v>1</v>
      </c>
    </row>
    <row r="28855" spans="1:8">
      <c r="A28855" t="s">
        <v>4</v>
      </c>
      <c r="B28855" s="4" t="s">
        <v>5</v>
      </c>
      <c r="C28855" s="4" t="s">
        <v>7</v>
      </c>
      <c r="D28855" s="4" t="s">
        <v>11</v>
      </c>
    </row>
    <row r="28856" spans="1:8">
      <c r="A28856" t="n">
        <v>280720</v>
      </c>
      <c r="B28856" s="23" t="n">
        <v>58</v>
      </c>
      <c r="C28856" s="7" t="n">
        <v>254</v>
      </c>
      <c r="D28856" s="7" t="n">
        <v>0</v>
      </c>
    </row>
    <row r="28857" spans="1:8">
      <c r="A28857" t="s">
        <v>4</v>
      </c>
      <c r="B28857" s="4" t="s">
        <v>5</v>
      </c>
      <c r="C28857" s="4" t="s">
        <v>7</v>
      </c>
      <c r="D28857" s="4" t="s">
        <v>7</v>
      </c>
      <c r="E28857" s="4" t="s">
        <v>13</v>
      </c>
      <c r="F28857" s="4" t="s">
        <v>13</v>
      </c>
      <c r="G28857" s="4" t="s">
        <v>13</v>
      </c>
      <c r="H28857" s="4" t="s">
        <v>11</v>
      </c>
    </row>
    <row r="28858" spans="1:8">
      <c r="A28858" t="n">
        <v>280724</v>
      </c>
      <c r="B28858" s="51" t="n">
        <v>45</v>
      </c>
      <c r="C28858" s="7" t="n">
        <v>2</v>
      </c>
      <c r="D28858" s="7" t="n">
        <v>3</v>
      </c>
      <c r="E28858" s="7" t="n">
        <v>4.92999982833862</v>
      </c>
      <c r="F28858" s="7" t="n">
        <v>1.46000003814697</v>
      </c>
      <c r="G28858" s="7" t="n">
        <v>45.6699981689453</v>
      </c>
      <c r="H28858" s="7" t="n">
        <v>0</v>
      </c>
    </row>
    <row r="28859" spans="1:8">
      <c r="A28859" t="s">
        <v>4</v>
      </c>
      <c r="B28859" s="4" t="s">
        <v>5</v>
      </c>
      <c r="C28859" s="4" t="s">
        <v>7</v>
      </c>
      <c r="D28859" s="4" t="s">
        <v>7</v>
      </c>
      <c r="E28859" s="4" t="s">
        <v>13</v>
      </c>
      <c r="F28859" s="4" t="s">
        <v>13</v>
      </c>
      <c r="G28859" s="4" t="s">
        <v>13</v>
      </c>
      <c r="H28859" s="4" t="s">
        <v>11</v>
      </c>
      <c r="I28859" s="4" t="s">
        <v>7</v>
      </c>
    </row>
    <row r="28860" spans="1:8">
      <c r="A28860" t="n">
        <v>280741</v>
      </c>
      <c r="B28860" s="51" t="n">
        <v>45</v>
      </c>
      <c r="C28860" s="7" t="n">
        <v>4</v>
      </c>
      <c r="D28860" s="7" t="n">
        <v>3</v>
      </c>
      <c r="E28860" s="7" t="n">
        <v>5.69000005722046</v>
      </c>
      <c r="F28860" s="7" t="n">
        <v>260.239990234375</v>
      </c>
      <c r="G28860" s="7" t="n">
        <v>0</v>
      </c>
      <c r="H28860" s="7" t="n">
        <v>0</v>
      </c>
      <c r="I28860" s="7" t="n">
        <v>0</v>
      </c>
    </row>
    <row r="28861" spans="1:8">
      <c r="A28861" t="s">
        <v>4</v>
      </c>
      <c r="B28861" s="4" t="s">
        <v>5</v>
      </c>
      <c r="C28861" s="4" t="s">
        <v>7</v>
      </c>
      <c r="D28861" s="4" t="s">
        <v>7</v>
      </c>
      <c r="E28861" s="4" t="s">
        <v>13</v>
      </c>
      <c r="F28861" s="4" t="s">
        <v>11</v>
      </c>
    </row>
    <row r="28862" spans="1:8">
      <c r="A28862" t="n">
        <v>280759</v>
      </c>
      <c r="B28862" s="51" t="n">
        <v>45</v>
      </c>
      <c r="C28862" s="7" t="n">
        <v>5</v>
      </c>
      <c r="D28862" s="7" t="n">
        <v>3</v>
      </c>
      <c r="E28862" s="7" t="n">
        <v>1.70000004768372</v>
      </c>
      <c r="F28862" s="7" t="n">
        <v>0</v>
      </c>
    </row>
    <row r="28863" spans="1:8">
      <c r="A28863" t="s">
        <v>4</v>
      </c>
      <c r="B28863" s="4" t="s">
        <v>5</v>
      </c>
      <c r="C28863" s="4" t="s">
        <v>7</v>
      </c>
      <c r="D28863" s="4" t="s">
        <v>7</v>
      </c>
      <c r="E28863" s="4" t="s">
        <v>13</v>
      </c>
      <c r="F28863" s="4" t="s">
        <v>11</v>
      </c>
    </row>
    <row r="28864" spans="1:8">
      <c r="A28864" t="n">
        <v>280768</v>
      </c>
      <c r="B28864" s="51" t="n">
        <v>45</v>
      </c>
      <c r="C28864" s="7" t="n">
        <v>11</v>
      </c>
      <c r="D28864" s="7" t="n">
        <v>3</v>
      </c>
      <c r="E28864" s="7" t="n">
        <v>34</v>
      </c>
      <c r="F28864" s="7" t="n">
        <v>0</v>
      </c>
    </row>
    <row r="28865" spans="1:9">
      <c r="A28865" t="s">
        <v>4</v>
      </c>
      <c r="B28865" s="4" t="s">
        <v>5</v>
      </c>
      <c r="C28865" s="4" t="s">
        <v>7</v>
      </c>
      <c r="D28865" s="4" t="s">
        <v>7</v>
      </c>
      <c r="E28865" s="4" t="s">
        <v>13</v>
      </c>
      <c r="F28865" s="4" t="s">
        <v>13</v>
      </c>
      <c r="G28865" s="4" t="s">
        <v>13</v>
      </c>
      <c r="H28865" s="4" t="s">
        <v>11</v>
      </c>
    </row>
    <row r="28866" spans="1:9">
      <c r="A28866" t="n">
        <v>280777</v>
      </c>
      <c r="B28866" s="51" t="n">
        <v>45</v>
      </c>
      <c r="C28866" s="7" t="n">
        <v>2</v>
      </c>
      <c r="D28866" s="7" t="n">
        <v>3</v>
      </c>
      <c r="E28866" s="7" t="n">
        <v>4.84999990463257</v>
      </c>
      <c r="F28866" s="7" t="n">
        <v>1.4099999666214</v>
      </c>
      <c r="G28866" s="7" t="n">
        <v>45.7999992370605</v>
      </c>
      <c r="H28866" s="7" t="n">
        <v>5500</v>
      </c>
    </row>
    <row r="28867" spans="1:9">
      <c r="A28867" t="s">
        <v>4</v>
      </c>
      <c r="B28867" s="4" t="s">
        <v>5</v>
      </c>
      <c r="C28867" s="4" t="s">
        <v>7</v>
      </c>
      <c r="D28867" s="4" t="s">
        <v>7</v>
      </c>
      <c r="E28867" s="4" t="s">
        <v>13</v>
      </c>
      <c r="F28867" s="4" t="s">
        <v>13</v>
      </c>
      <c r="G28867" s="4" t="s">
        <v>13</v>
      </c>
      <c r="H28867" s="4" t="s">
        <v>11</v>
      </c>
      <c r="I28867" s="4" t="s">
        <v>7</v>
      </c>
    </row>
    <row r="28868" spans="1:9">
      <c r="A28868" t="n">
        <v>280794</v>
      </c>
      <c r="B28868" s="51" t="n">
        <v>45</v>
      </c>
      <c r="C28868" s="7" t="n">
        <v>4</v>
      </c>
      <c r="D28868" s="7" t="n">
        <v>3</v>
      </c>
      <c r="E28868" s="7" t="n">
        <v>5.46999979019165</v>
      </c>
      <c r="F28868" s="7" t="n">
        <v>232.490005493164</v>
      </c>
      <c r="G28868" s="7" t="n">
        <v>0</v>
      </c>
      <c r="H28868" s="7" t="n">
        <v>5500</v>
      </c>
      <c r="I28868" s="7" t="n">
        <v>0</v>
      </c>
    </row>
    <row r="28869" spans="1:9">
      <c r="A28869" t="s">
        <v>4</v>
      </c>
      <c r="B28869" s="4" t="s">
        <v>5</v>
      </c>
      <c r="C28869" s="4" t="s">
        <v>11</v>
      </c>
      <c r="D28869" s="4" t="s">
        <v>7</v>
      </c>
      <c r="E28869" s="4" t="s">
        <v>7</v>
      </c>
      <c r="F28869" s="4" t="s">
        <v>8</v>
      </c>
    </row>
    <row r="28870" spans="1:9">
      <c r="A28870" t="n">
        <v>280812</v>
      </c>
      <c r="B28870" s="50" t="n">
        <v>20</v>
      </c>
      <c r="C28870" s="7" t="n">
        <v>9</v>
      </c>
      <c r="D28870" s="7" t="n">
        <v>2</v>
      </c>
      <c r="E28870" s="7" t="n">
        <v>11</v>
      </c>
      <c r="F28870" s="7" t="s">
        <v>283</v>
      </c>
    </row>
    <row r="28871" spans="1:9">
      <c r="A28871" t="s">
        <v>4</v>
      </c>
      <c r="B28871" s="4" t="s">
        <v>5</v>
      </c>
      <c r="C28871" s="4" t="s">
        <v>7</v>
      </c>
    </row>
    <row r="28872" spans="1:9">
      <c r="A28872" t="n">
        <v>280839</v>
      </c>
      <c r="B28872" s="49" t="n">
        <v>116</v>
      </c>
      <c r="C28872" s="7" t="n">
        <v>0</v>
      </c>
    </row>
    <row r="28873" spans="1:9">
      <c r="A28873" t="s">
        <v>4</v>
      </c>
      <c r="B28873" s="4" t="s">
        <v>5</v>
      </c>
      <c r="C28873" s="4" t="s">
        <v>7</v>
      </c>
      <c r="D28873" s="4" t="s">
        <v>11</v>
      </c>
    </row>
    <row r="28874" spans="1:9">
      <c r="A28874" t="n">
        <v>280841</v>
      </c>
      <c r="B28874" s="49" t="n">
        <v>116</v>
      </c>
      <c r="C28874" s="7" t="n">
        <v>2</v>
      </c>
      <c r="D28874" s="7" t="n">
        <v>1</v>
      </c>
    </row>
    <row r="28875" spans="1:9">
      <c r="A28875" t="s">
        <v>4</v>
      </c>
      <c r="B28875" s="4" t="s">
        <v>5</v>
      </c>
      <c r="C28875" s="4" t="s">
        <v>7</v>
      </c>
      <c r="D28875" s="4" t="s">
        <v>15</v>
      </c>
    </row>
    <row r="28876" spans="1:9">
      <c r="A28876" t="n">
        <v>280845</v>
      </c>
      <c r="B28876" s="49" t="n">
        <v>116</v>
      </c>
      <c r="C28876" s="7" t="n">
        <v>5</v>
      </c>
      <c r="D28876" s="7" t="n">
        <v>1084227584</v>
      </c>
    </row>
    <row r="28877" spans="1:9">
      <c r="A28877" t="s">
        <v>4</v>
      </c>
      <c r="B28877" s="4" t="s">
        <v>5</v>
      </c>
      <c r="C28877" s="4" t="s">
        <v>7</v>
      </c>
      <c r="D28877" s="4" t="s">
        <v>11</v>
      </c>
    </row>
    <row r="28878" spans="1:9">
      <c r="A28878" t="n">
        <v>280851</v>
      </c>
      <c r="B28878" s="49" t="n">
        <v>116</v>
      </c>
      <c r="C28878" s="7" t="n">
        <v>6</v>
      </c>
      <c r="D28878" s="7" t="n">
        <v>1</v>
      </c>
    </row>
    <row r="28879" spans="1:9">
      <c r="A28879" t="s">
        <v>4</v>
      </c>
      <c r="B28879" s="4" t="s">
        <v>5</v>
      </c>
      <c r="C28879" s="4" t="s">
        <v>7</v>
      </c>
      <c r="D28879" s="4" t="s">
        <v>11</v>
      </c>
    </row>
    <row r="28880" spans="1:9">
      <c r="A28880" t="n">
        <v>280855</v>
      </c>
      <c r="B28880" s="23" t="n">
        <v>58</v>
      </c>
      <c r="C28880" s="7" t="n">
        <v>255</v>
      </c>
      <c r="D28880" s="7" t="n">
        <v>0</v>
      </c>
    </row>
    <row r="28881" spans="1:9">
      <c r="A28881" t="s">
        <v>4</v>
      </c>
      <c r="B28881" s="4" t="s">
        <v>5</v>
      </c>
      <c r="C28881" s="4" t="s">
        <v>11</v>
      </c>
    </row>
    <row r="28882" spans="1:9">
      <c r="A28882" t="n">
        <v>280859</v>
      </c>
      <c r="B28882" s="29" t="n">
        <v>16</v>
      </c>
      <c r="C28882" s="7" t="n">
        <v>800</v>
      </c>
    </row>
    <row r="28883" spans="1:9">
      <c r="A28883" t="s">
        <v>4</v>
      </c>
      <c r="B28883" s="4" t="s">
        <v>5</v>
      </c>
      <c r="C28883" s="4" t="s">
        <v>8</v>
      </c>
      <c r="D28883" s="4" t="s">
        <v>8</v>
      </c>
    </row>
    <row r="28884" spans="1:9">
      <c r="A28884" t="n">
        <v>280862</v>
      </c>
      <c r="B28884" s="52" t="n">
        <v>70</v>
      </c>
      <c r="C28884" s="7" t="s">
        <v>279</v>
      </c>
      <c r="D28884" s="7" t="s">
        <v>284</v>
      </c>
    </row>
    <row r="28885" spans="1:9">
      <c r="A28885" t="s">
        <v>4</v>
      </c>
      <c r="B28885" s="4" t="s">
        <v>5</v>
      </c>
      <c r="C28885" s="4" t="s">
        <v>7</v>
      </c>
      <c r="D28885" s="4" t="s">
        <v>11</v>
      </c>
    </row>
    <row r="28886" spans="1:9">
      <c r="A28886" t="n">
        <v>280880</v>
      </c>
      <c r="B28886" s="51" t="n">
        <v>45</v>
      </c>
      <c r="C28886" s="7" t="n">
        <v>7</v>
      </c>
      <c r="D28886" s="7" t="n">
        <v>255</v>
      </c>
    </row>
    <row r="28887" spans="1:9">
      <c r="A28887" t="s">
        <v>4</v>
      </c>
      <c r="B28887" s="4" t="s">
        <v>5</v>
      </c>
      <c r="C28887" s="4" t="s">
        <v>7</v>
      </c>
      <c r="D28887" s="4" t="s">
        <v>11</v>
      </c>
      <c r="E28887" s="4" t="s">
        <v>8</v>
      </c>
    </row>
    <row r="28888" spans="1:9">
      <c r="A28888" t="n">
        <v>280884</v>
      </c>
      <c r="B28888" s="38" t="n">
        <v>51</v>
      </c>
      <c r="C28888" s="7" t="n">
        <v>4</v>
      </c>
      <c r="D28888" s="7" t="n">
        <v>0</v>
      </c>
      <c r="E28888" s="7" t="s">
        <v>285</v>
      </c>
    </row>
    <row r="28889" spans="1:9">
      <c r="A28889" t="s">
        <v>4</v>
      </c>
      <c r="B28889" s="4" t="s">
        <v>5</v>
      </c>
      <c r="C28889" s="4" t="s">
        <v>11</v>
      </c>
    </row>
    <row r="28890" spans="1:9">
      <c r="A28890" t="n">
        <v>280897</v>
      </c>
      <c r="B28890" s="29" t="n">
        <v>16</v>
      </c>
      <c r="C28890" s="7" t="n">
        <v>0</v>
      </c>
    </row>
    <row r="28891" spans="1:9">
      <c r="A28891" t="s">
        <v>4</v>
      </c>
      <c r="B28891" s="4" t="s">
        <v>5</v>
      </c>
      <c r="C28891" s="4" t="s">
        <v>11</v>
      </c>
      <c r="D28891" s="4" t="s">
        <v>7</v>
      </c>
      <c r="E28891" s="4" t="s">
        <v>15</v>
      </c>
      <c r="F28891" s="4" t="s">
        <v>55</v>
      </c>
      <c r="G28891" s="4" t="s">
        <v>7</v>
      </c>
      <c r="H28891" s="4" t="s">
        <v>7</v>
      </c>
      <c r="I28891" s="4" t="s">
        <v>7</v>
      </c>
      <c r="J28891" s="4" t="s">
        <v>15</v>
      </c>
      <c r="K28891" s="4" t="s">
        <v>55</v>
      </c>
      <c r="L28891" s="4" t="s">
        <v>7</v>
      </c>
      <c r="M28891" s="4" t="s">
        <v>7</v>
      </c>
    </row>
    <row r="28892" spans="1:9">
      <c r="A28892" t="n">
        <v>280900</v>
      </c>
      <c r="B28892" s="55" t="n">
        <v>26</v>
      </c>
      <c r="C28892" s="7" t="n">
        <v>0</v>
      </c>
      <c r="D28892" s="7" t="n">
        <v>17</v>
      </c>
      <c r="E28892" s="7" t="n">
        <v>63938</v>
      </c>
      <c r="F28892" s="7" t="s">
        <v>631</v>
      </c>
      <c r="G28892" s="7" t="n">
        <v>2</v>
      </c>
      <c r="H28892" s="7" t="n">
        <v>3</v>
      </c>
      <c r="I28892" s="7" t="n">
        <v>17</v>
      </c>
      <c r="J28892" s="7" t="n">
        <v>63939</v>
      </c>
      <c r="K28892" s="7" t="s">
        <v>632</v>
      </c>
      <c r="L28892" s="7" t="n">
        <v>2</v>
      </c>
      <c r="M28892" s="7" t="n">
        <v>0</v>
      </c>
    </row>
    <row r="28893" spans="1:9">
      <c r="A28893" t="s">
        <v>4</v>
      </c>
      <c r="B28893" s="4" t="s">
        <v>5</v>
      </c>
    </row>
    <row r="28894" spans="1:9">
      <c r="A28894" t="n">
        <v>281008</v>
      </c>
      <c r="B28894" s="27" t="n">
        <v>28</v>
      </c>
    </row>
    <row r="28895" spans="1:9">
      <c r="A28895" t="s">
        <v>4</v>
      </c>
      <c r="B28895" s="4" t="s">
        <v>5</v>
      </c>
      <c r="C28895" s="4" t="s">
        <v>7</v>
      </c>
      <c r="D28895" s="4" t="s">
        <v>11</v>
      </c>
      <c r="E28895" s="4" t="s">
        <v>13</v>
      </c>
    </row>
    <row r="28896" spans="1:9">
      <c r="A28896" t="n">
        <v>281009</v>
      </c>
      <c r="B28896" s="23" t="n">
        <v>58</v>
      </c>
      <c r="C28896" s="7" t="n">
        <v>101</v>
      </c>
      <c r="D28896" s="7" t="n">
        <v>500</v>
      </c>
      <c r="E28896" s="7" t="n">
        <v>1</v>
      </c>
    </row>
    <row r="28897" spans="1:13">
      <c r="A28897" t="s">
        <v>4</v>
      </c>
      <c r="B28897" s="4" t="s">
        <v>5</v>
      </c>
      <c r="C28897" s="4" t="s">
        <v>7</v>
      </c>
      <c r="D28897" s="4" t="s">
        <v>11</v>
      </c>
    </row>
    <row r="28898" spans="1:13">
      <c r="A28898" t="n">
        <v>281017</v>
      </c>
      <c r="B28898" s="23" t="n">
        <v>58</v>
      </c>
      <c r="C28898" s="7" t="n">
        <v>254</v>
      </c>
      <c r="D28898" s="7" t="n">
        <v>0</v>
      </c>
    </row>
    <row r="28899" spans="1:13">
      <c r="A28899" t="s">
        <v>4</v>
      </c>
      <c r="B28899" s="4" t="s">
        <v>5</v>
      </c>
      <c r="C28899" s="4" t="s">
        <v>7</v>
      </c>
      <c r="D28899" s="4" t="s">
        <v>7</v>
      </c>
      <c r="E28899" s="4" t="s">
        <v>13</v>
      </c>
      <c r="F28899" s="4" t="s">
        <v>13</v>
      </c>
      <c r="G28899" s="4" t="s">
        <v>13</v>
      </c>
      <c r="H28899" s="4" t="s">
        <v>11</v>
      </c>
    </row>
    <row r="28900" spans="1:13">
      <c r="A28900" t="n">
        <v>281021</v>
      </c>
      <c r="B28900" s="51" t="n">
        <v>45</v>
      </c>
      <c r="C28900" s="7" t="n">
        <v>2</v>
      </c>
      <c r="D28900" s="7" t="n">
        <v>3</v>
      </c>
      <c r="E28900" s="7" t="n">
        <v>4.94999980926514</v>
      </c>
      <c r="F28900" s="7" t="n">
        <v>1.25</v>
      </c>
      <c r="G28900" s="7" t="n">
        <v>46.3600006103516</v>
      </c>
      <c r="H28900" s="7" t="n">
        <v>0</v>
      </c>
    </row>
    <row r="28901" spans="1:13">
      <c r="A28901" t="s">
        <v>4</v>
      </c>
      <c r="B28901" s="4" t="s">
        <v>5</v>
      </c>
      <c r="C28901" s="4" t="s">
        <v>7</v>
      </c>
      <c r="D28901" s="4" t="s">
        <v>7</v>
      </c>
      <c r="E28901" s="4" t="s">
        <v>13</v>
      </c>
      <c r="F28901" s="4" t="s">
        <v>13</v>
      </c>
      <c r="G28901" s="4" t="s">
        <v>13</v>
      </c>
      <c r="H28901" s="4" t="s">
        <v>11</v>
      </c>
      <c r="I28901" s="4" t="s">
        <v>7</v>
      </c>
    </row>
    <row r="28902" spans="1:13">
      <c r="A28902" t="n">
        <v>281038</v>
      </c>
      <c r="B28902" s="51" t="n">
        <v>45</v>
      </c>
      <c r="C28902" s="7" t="n">
        <v>4</v>
      </c>
      <c r="D28902" s="7" t="n">
        <v>3</v>
      </c>
      <c r="E28902" s="7" t="n">
        <v>357.170013427734</v>
      </c>
      <c r="F28902" s="7" t="n">
        <v>204.279998779297</v>
      </c>
      <c r="G28902" s="7" t="n">
        <v>0</v>
      </c>
      <c r="H28902" s="7" t="n">
        <v>0</v>
      </c>
      <c r="I28902" s="7" t="n">
        <v>0</v>
      </c>
    </row>
    <row r="28903" spans="1:13">
      <c r="A28903" t="s">
        <v>4</v>
      </c>
      <c r="B28903" s="4" t="s">
        <v>5</v>
      </c>
      <c r="C28903" s="4" t="s">
        <v>7</v>
      </c>
      <c r="D28903" s="4" t="s">
        <v>7</v>
      </c>
      <c r="E28903" s="4" t="s">
        <v>13</v>
      </c>
      <c r="F28903" s="4" t="s">
        <v>11</v>
      </c>
    </row>
    <row r="28904" spans="1:13">
      <c r="A28904" t="n">
        <v>281056</v>
      </c>
      <c r="B28904" s="51" t="n">
        <v>45</v>
      </c>
      <c r="C28904" s="7" t="n">
        <v>5</v>
      </c>
      <c r="D28904" s="7" t="n">
        <v>3</v>
      </c>
      <c r="E28904" s="7" t="n">
        <v>1</v>
      </c>
      <c r="F28904" s="7" t="n">
        <v>0</v>
      </c>
    </row>
    <row r="28905" spans="1:13">
      <c r="A28905" t="s">
        <v>4</v>
      </c>
      <c r="B28905" s="4" t="s">
        <v>5</v>
      </c>
      <c r="C28905" s="4" t="s">
        <v>7</v>
      </c>
      <c r="D28905" s="4" t="s">
        <v>7</v>
      </c>
      <c r="E28905" s="4" t="s">
        <v>13</v>
      </c>
      <c r="F28905" s="4" t="s">
        <v>11</v>
      </c>
    </row>
    <row r="28906" spans="1:13">
      <c r="A28906" t="n">
        <v>281065</v>
      </c>
      <c r="B28906" s="51" t="n">
        <v>45</v>
      </c>
      <c r="C28906" s="7" t="n">
        <v>11</v>
      </c>
      <c r="D28906" s="7" t="n">
        <v>3</v>
      </c>
      <c r="E28906" s="7" t="n">
        <v>34</v>
      </c>
      <c r="F28906" s="7" t="n">
        <v>0</v>
      </c>
    </row>
    <row r="28907" spans="1:13">
      <c r="A28907" t="s">
        <v>4</v>
      </c>
      <c r="B28907" s="4" t="s">
        <v>5</v>
      </c>
      <c r="C28907" s="4" t="s">
        <v>7</v>
      </c>
      <c r="D28907" s="4" t="s">
        <v>11</v>
      </c>
    </row>
    <row r="28908" spans="1:13">
      <c r="A28908" t="n">
        <v>281074</v>
      </c>
      <c r="B28908" s="23" t="n">
        <v>58</v>
      </c>
      <c r="C28908" s="7" t="n">
        <v>255</v>
      </c>
      <c r="D28908" s="7" t="n">
        <v>0</v>
      </c>
    </row>
    <row r="28909" spans="1:13">
      <c r="A28909" t="s">
        <v>4</v>
      </c>
      <c r="B28909" s="4" t="s">
        <v>5</v>
      </c>
      <c r="C28909" s="4" t="s">
        <v>11</v>
      </c>
      <c r="D28909" s="4" t="s">
        <v>7</v>
      </c>
      <c r="E28909" s="4" t="s">
        <v>8</v>
      </c>
      <c r="F28909" s="4" t="s">
        <v>13</v>
      </c>
      <c r="G28909" s="4" t="s">
        <v>13</v>
      </c>
      <c r="H28909" s="4" t="s">
        <v>13</v>
      </c>
    </row>
    <row r="28910" spans="1:13">
      <c r="A28910" t="n">
        <v>281078</v>
      </c>
      <c r="B28910" s="42" t="n">
        <v>48</v>
      </c>
      <c r="C28910" s="7" t="n">
        <v>9</v>
      </c>
      <c r="D28910" s="7" t="n">
        <v>0</v>
      </c>
      <c r="E28910" s="7" t="s">
        <v>628</v>
      </c>
      <c r="F28910" s="7" t="n">
        <v>-1</v>
      </c>
      <c r="G28910" s="7" t="n">
        <v>1</v>
      </c>
      <c r="H28910" s="7" t="n">
        <v>0</v>
      </c>
    </row>
    <row r="28911" spans="1:13">
      <c r="A28911" t="s">
        <v>4</v>
      </c>
      <c r="B28911" s="4" t="s">
        <v>5</v>
      </c>
      <c r="C28911" s="4" t="s">
        <v>11</v>
      </c>
    </row>
    <row r="28912" spans="1:13">
      <c r="A28912" t="n">
        <v>281110</v>
      </c>
      <c r="B28912" s="29" t="n">
        <v>16</v>
      </c>
      <c r="C28912" s="7" t="n">
        <v>500</v>
      </c>
    </row>
    <row r="28913" spans="1:9">
      <c r="A28913" t="s">
        <v>4</v>
      </c>
      <c r="B28913" s="4" t="s">
        <v>5</v>
      </c>
      <c r="C28913" s="4" t="s">
        <v>7</v>
      </c>
      <c r="D28913" s="4" t="s">
        <v>11</v>
      </c>
      <c r="E28913" s="4" t="s">
        <v>8</v>
      </c>
    </row>
    <row r="28914" spans="1:9">
      <c r="A28914" t="n">
        <v>281113</v>
      </c>
      <c r="B28914" s="38" t="n">
        <v>51</v>
      </c>
      <c r="C28914" s="7" t="n">
        <v>4</v>
      </c>
      <c r="D28914" s="7" t="n">
        <v>9</v>
      </c>
      <c r="E28914" s="7" t="s">
        <v>313</v>
      </c>
    </row>
    <row r="28915" spans="1:9">
      <c r="A28915" t="s">
        <v>4</v>
      </c>
      <c r="B28915" s="4" t="s">
        <v>5</v>
      </c>
      <c r="C28915" s="4" t="s">
        <v>11</v>
      </c>
    </row>
    <row r="28916" spans="1:9">
      <c r="A28916" t="n">
        <v>281126</v>
      </c>
      <c r="B28916" s="29" t="n">
        <v>16</v>
      </c>
      <c r="C28916" s="7" t="n">
        <v>0</v>
      </c>
    </row>
    <row r="28917" spans="1:9">
      <c r="A28917" t="s">
        <v>4</v>
      </c>
      <c r="B28917" s="4" t="s">
        <v>5</v>
      </c>
      <c r="C28917" s="4" t="s">
        <v>11</v>
      </c>
      <c r="D28917" s="4" t="s">
        <v>7</v>
      </c>
      <c r="E28917" s="4" t="s">
        <v>15</v>
      </c>
      <c r="F28917" s="4" t="s">
        <v>55</v>
      </c>
      <c r="G28917" s="4" t="s">
        <v>7</v>
      </c>
      <c r="H28917" s="4" t="s">
        <v>7</v>
      </c>
      <c r="I28917" s="4" t="s">
        <v>7</v>
      </c>
      <c r="J28917" s="4" t="s">
        <v>15</v>
      </c>
      <c r="K28917" s="4" t="s">
        <v>55</v>
      </c>
      <c r="L28917" s="4" t="s">
        <v>7</v>
      </c>
      <c r="M28917" s="4" t="s">
        <v>7</v>
      </c>
    </row>
    <row r="28918" spans="1:9">
      <c r="A28918" t="n">
        <v>281129</v>
      </c>
      <c r="B28918" s="55" t="n">
        <v>26</v>
      </c>
      <c r="C28918" s="7" t="n">
        <v>9</v>
      </c>
      <c r="D28918" s="7" t="n">
        <v>17</v>
      </c>
      <c r="E28918" s="7" t="n">
        <v>63940</v>
      </c>
      <c r="F28918" s="7" t="s">
        <v>633</v>
      </c>
      <c r="G28918" s="7" t="n">
        <v>2</v>
      </c>
      <c r="H28918" s="7" t="n">
        <v>3</v>
      </c>
      <c r="I28918" s="7" t="n">
        <v>17</v>
      </c>
      <c r="J28918" s="7" t="n">
        <v>63941</v>
      </c>
      <c r="K28918" s="7" t="s">
        <v>634</v>
      </c>
      <c r="L28918" s="7" t="n">
        <v>2</v>
      </c>
      <c r="M28918" s="7" t="n">
        <v>0</v>
      </c>
    </row>
    <row r="28919" spans="1:9">
      <c r="A28919" t="s">
        <v>4</v>
      </c>
      <c r="B28919" s="4" t="s">
        <v>5</v>
      </c>
    </row>
    <row r="28920" spans="1:9">
      <c r="A28920" t="n">
        <v>281216</v>
      </c>
      <c r="B28920" s="27" t="n">
        <v>28</v>
      </c>
    </row>
    <row r="28921" spans="1:9">
      <c r="A28921" t="s">
        <v>4</v>
      </c>
      <c r="B28921" s="4" t="s">
        <v>5</v>
      </c>
      <c r="C28921" s="4" t="s">
        <v>7</v>
      </c>
      <c r="D28921" s="4" t="s">
        <v>11</v>
      </c>
      <c r="E28921" s="4" t="s">
        <v>8</v>
      </c>
      <c r="F28921" s="4" t="s">
        <v>8</v>
      </c>
      <c r="G28921" s="4" t="s">
        <v>8</v>
      </c>
      <c r="H28921" s="4" t="s">
        <v>8</v>
      </c>
    </row>
    <row r="28922" spans="1:9">
      <c r="A28922" t="n">
        <v>281217</v>
      </c>
      <c r="B28922" s="38" t="n">
        <v>51</v>
      </c>
      <c r="C28922" s="7" t="n">
        <v>3</v>
      </c>
      <c r="D28922" s="7" t="n">
        <v>9</v>
      </c>
      <c r="E28922" s="7" t="s">
        <v>295</v>
      </c>
      <c r="F28922" s="7" t="s">
        <v>79</v>
      </c>
      <c r="G28922" s="7" t="s">
        <v>78</v>
      </c>
      <c r="H28922" s="7" t="s">
        <v>79</v>
      </c>
    </row>
    <row r="28923" spans="1:9">
      <c r="A28923" t="s">
        <v>4</v>
      </c>
      <c r="B28923" s="4" t="s">
        <v>5</v>
      </c>
      <c r="C28923" s="4" t="s">
        <v>11</v>
      </c>
      <c r="D28923" s="4" t="s">
        <v>13</v>
      </c>
      <c r="E28923" s="4" t="s">
        <v>13</v>
      </c>
      <c r="F28923" s="4" t="s">
        <v>13</v>
      </c>
      <c r="G28923" s="4" t="s">
        <v>11</v>
      </c>
      <c r="H28923" s="4" t="s">
        <v>11</v>
      </c>
    </row>
    <row r="28924" spans="1:9">
      <c r="A28924" t="n">
        <v>281230</v>
      </c>
      <c r="B28924" s="37" t="n">
        <v>60</v>
      </c>
      <c r="C28924" s="7" t="n">
        <v>9</v>
      </c>
      <c r="D28924" s="7" t="n">
        <v>-45</v>
      </c>
      <c r="E28924" s="7" t="n">
        <v>0</v>
      </c>
      <c r="F28924" s="7" t="n">
        <v>0</v>
      </c>
      <c r="G28924" s="7" t="n">
        <v>1000</v>
      </c>
      <c r="H28924" s="7" t="n">
        <v>0</v>
      </c>
    </row>
    <row r="28925" spans="1:9">
      <c r="A28925" t="s">
        <v>4</v>
      </c>
      <c r="B28925" s="4" t="s">
        <v>5</v>
      </c>
      <c r="C28925" s="4" t="s">
        <v>11</v>
      </c>
    </row>
    <row r="28926" spans="1:9">
      <c r="A28926" t="n">
        <v>281249</v>
      </c>
      <c r="B28926" s="29" t="n">
        <v>16</v>
      </c>
      <c r="C28926" s="7" t="n">
        <v>1000</v>
      </c>
    </row>
    <row r="28927" spans="1:9">
      <c r="A28927" t="s">
        <v>4</v>
      </c>
      <c r="B28927" s="4" t="s">
        <v>5</v>
      </c>
      <c r="C28927" s="4" t="s">
        <v>7</v>
      </c>
      <c r="D28927" s="4" t="s">
        <v>11</v>
      </c>
      <c r="E28927" s="4" t="s">
        <v>8</v>
      </c>
      <c r="F28927" s="4" t="s">
        <v>8</v>
      </c>
      <c r="G28927" s="4" t="s">
        <v>8</v>
      </c>
      <c r="H28927" s="4" t="s">
        <v>8</v>
      </c>
    </row>
    <row r="28928" spans="1:9">
      <c r="A28928" t="n">
        <v>281252</v>
      </c>
      <c r="B28928" s="38" t="n">
        <v>51</v>
      </c>
      <c r="C28928" s="7" t="n">
        <v>3</v>
      </c>
      <c r="D28928" s="7" t="n">
        <v>9</v>
      </c>
      <c r="E28928" s="7" t="s">
        <v>296</v>
      </c>
      <c r="F28928" s="7" t="s">
        <v>79</v>
      </c>
      <c r="G28928" s="7" t="s">
        <v>78</v>
      </c>
      <c r="H28928" s="7" t="s">
        <v>79</v>
      </c>
    </row>
    <row r="28929" spans="1:13">
      <c r="A28929" t="s">
        <v>4</v>
      </c>
      <c r="B28929" s="4" t="s">
        <v>5</v>
      </c>
      <c r="C28929" s="4" t="s">
        <v>11</v>
      </c>
      <c r="D28929" s="4" t="s">
        <v>13</v>
      </c>
      <c r="E28929" s="4" t="s">
        <v>13</v>
      </c>
      <c r="F28929" s="4" t="s">
        <v>13</v>
      </c>
      <c r="G28929" s="4" t="s">
        <v>11</v>
      </c>
      <c r="H28929" s="4" t="s">
        <v>11</v>
      </c>
    </row>
    <row r="28930" spans="1:13">
      <c r="A28930" t="n">
        <v>281266</v>
      </c>
      <c r="B28930" s="37" t="n">
        <v>60</v>
      </c>
      <c r="C28930" s="7" t="n">
        <v>9</v>
      </c>
      <c r="D28930" s="7" t="n">
        <v>45</v>
      </c>
      <c r="E28930" s="7" t="n">
        <v>0</v>
      </c>
      <c r="F28930" s="7" t="n">
        <v>0</v>
      </c>
      <c r="G28930" s="7" t="n">
        <v>1000</v>
      </c>
      <c r="H28930" s="7" t="n">
        <v>0</v>
      </c>
    </row>
    <row r="28931" spans="1:13">
      <c r="A28931" t="s">
        <v>4</v>
      </c>
      <c r="B28931" s="4" t="s">
        <v>5</v>
      </c>
      <c r="C28931" s="4" t="s">
        <v>11</v>
      </c>
    </row>
    <row r="28932" spans="1:13">
      <c r="A28932" t="n">
        <v>281285</v>
      </c>
      <c r="B28932" s="29" t="n">
        <v>16</v>
      </c>
      <c r="C28932" s="7" t="n">
        <v>1200</v>
      </c>
    </row>
    <row r="28933" spans="1:13">
      <c r="A28933" t="s">
        <v>4</v>
      </c>
      <c r="B28933" s="4" t="s">
        <v>5</v>
      </c>
      <c r="C28933" s="4" t="s">
        <v>7</v>
      </c>
      <c r="D28933" s="4" t="s">
        <v>11</v>
      </c>
      <c r="E28933" s="4" t="s">
        <v>8</v>
      </c>
      <c r="F28933" s="4" t="s">
        <v>8</v>
      </c>
      <c r="G28933" s="4" t="s">
        <v>8</v>
      </c>
      <c r="H28933" s="4" t="s">
        <v>8</v>
      </c>
    </row>
    <row r="28934" spans="1:13">
      <c r="A28934" t="n">
        <v>281288</v>
      </c>
      <c r="B28934" s="38" t="n">
        <v>51</v>
      </c>
      <c r="C28934" s="7" t="n">
        <v>3</v>
      </c>
      <c r="D28934" s="7" t="n">
        <v>9</v>
      </c>
      <c r="E28934" s="7" t="s">
        <v>86</v>
      </c>
      <c r="F28934" s="7" t="s">
        <v>79</v>
      </c>
      <c r="G28934" s="7" t="s">
        <v>78</v>
      </c>
      <c r="H28934" s="7" t="s">
        <v>79</v>
      </c>
    </row>
    <row r="28935" spans="1:13">
      <c r="A28935" t="s">
        <v>4</v>
      </c>
      <c r="B28935" s="4" t="s">
        <v>5</v>
      </c>
      <c r="C28935" s="4" t="s">
        <v>11</v>
      </c>
      <c r="D28935" s="4" t="s">
        <v>13</v>
      </c>
      <c r="E28935" s="4" t="s">
        <v>13</v>
      </c>
      <c r="F28935" s="4" t="s">
        <v>13</v>
      </c>
      <c r="G28935" s="4" t="s">
        <v>11</v>
      </c>
      <c r="H28935" s="4" t="s">
        <v>11</v>
      </c>
    </row>
    <row r="28936" spans="1:13">
      <c r="A28936" t="n">
        <v>281301</v>
      </c>
      <c r="B28936" s="37" t="n">
        <v>60</v>
      </c>
      <c r="C28936" s="7" t="n">
        <v>9</v>
      </c>
      <c r="D28936" s="7" t="n">
        <v>0</v>
      </c>
      <c r="E28936" s="7" t="n">
        <v>0</v>
      </c>
      <c r="F28936" s="7" t="n">
        <v>0</v>
      </c>
      <c r="G28936" s="7" t="n">
        <v>1000</v>
      </c>
      <c r="H28936" s="7" t="n">
        <v>0</v>
      </c>
    </row>
    <row r="28937" spans="1:13">
      <c r="A28937" t="s">
        <v>4</v>
      </c>
      <c r="B28937" s="4" t="s">
        <v>5</v>
      </c>
      <c r="C28937" s="4" t="s">
        <v>11</v>
      </c>
    </row>
    <row r="28938" spans="1:13">
      <c r="A28938" t="n">
        <v>281320</v>
      </c>
      <c r="B28938" s="29" t="n">
        <v>16</v>
      </c>
      <c r="C28938" s="7" t="n">
        <v>1000</v>
      </c>
    </row>
    <row r="28939" spans="1:13">
      <c r="A28939" t="s">
        <v>4</v>
      </c>
      <c r="B28939" s="4" t="s">
        <v>5</v>
      </c>
      <c r="C28939" s="4" t="s">
        <v>7</v>
      </c>
      <c r="D28939" s="4" t="s">
        <v>11</v>
      </c>
      <c r="E28939" s="4" t="s">
        <v>8</v>
      </c>
    </row>
    <row r="28940" spans="1:13">
      <c r="A28940" t="n">
        <v>281323</v>
      </c>
      <c r="B28940" s="38" t="n">
        <v>51</v>
      </c>
      <c r="C28940" s="7" t="n">
        <v>4</v>
      </c>
      <c r="D28940" s="7" t="n">
        <v>9</v>
      </c>
      <c r="E28940" s="7" t="s">
        <v>242</v>
      </c>
    </row>
    <row r="28941" spans="1:13">
      <c r="A28941" t="s">
        <v>4</v>
      </c>
      <c r="B28941" s="4" t="s">
        <v>5</v>
      </c>
      <c r="C28941" s="4" t="s">
        <v>11</v>
      </c>
    </row>
    <row r="28942" spans="1:13">
      <c r="A28942" t="n">
        <v>281337</v>
      </c>
      <c r="B28942" s="29" t="n">
        <v>16</v>
      </c>
      <c r="C28942" s="7" t="n">
        <v>0</v>
      </c>
    </row>
    <row r="28943" spans="1:13">
      <c r="A28943" t="s">
        <v>4</v>
      </c>
      <c r="B28943" s="4" t="s">
        <v>5</v>
      </c>
      <c r="C28943" s="4" t="s">
        <v>11</v>
      </c>
      <c r="D28943" s="4" t="s">
        <v>7</v>
      </c>
      <c r="E28943" s="4" t="s">
        <v>15</v>
      </c>
      <c r="F28943" s="4" t="s">
        <v>55</v>
      </c>
      <c r="G28943" s="4" t="s">
        <v>7</v>
      </c>
      <c r="H28943" s="4" t="s">
        <v>7</v>
      </c>
      <c r="I28943" s="4" t="s">
        <v>7</v>
      </c>
      <c r="J28943" s="4" t="s">
        <v>15</v>
      </c>
      <c r="K28943" s="4" t="s">
        <v>55</v>
      </c>
      <c r="L28943" s="4" t="s">
        <v>7</v>
      </c>
      <c r="M28943" s="4" t="s">
        <v>7</v>
      </c>
    </row>
    <row r="28944" spans="1:13">
      <c r="A28944" t="n">
        <v>281340</v>
      </c>
      <c r="B28944" s="55" t="n">
        <v>26</v>
      </c>
      <c r="C28944" s="7" t="n">
        <v>9</v>
      </c>
      <c r="D28944" s="7" t="n">
        <v>17</v>
      </c>
      <c r="E28944" s="7" t="n">
        <v>63942</v>
      </c>
      <c r="F28944" s="7" t="s">
        <v>635</v>
      </c>
      <c r="G28944" s="7" t="n">
        <v>2</v>
      </c>
      <c r="H28944" s="7" t="n">
        <v>3</v>
      </c>
      <c r="I28944" s="7" t="n">
        <v>17</v>
      </c>
      <c r="J28944" s="7" t="n">
        <v>63943</v>
      </c>
      <c r="K28944" s="7" t="s">
        <v>636</v>
      </c>
      <c r="L28944" s="7" t="n">
        <v>2</v>
      </c>
      <c r="M28944" s="7" t="n">
        <v>0</v>
      </c>
    </row>
    <row r="28945" spans="1:13">
      <c r="A28945" t="s">
        <v>4</v>
      </c>
      <c r="B28945" s="4" t="s">
        <v>5</v>
      </c>
    </row>
    <row r="28946" spans="1:13">
      <c r="A28946" t="n">
        <v>281445</v>
      </c>
      <c r="B28946" s="27" t="n">
        <v>28</v>
      </c>
    </row>
    <row r="28947" spans="1:13">
      <c r="A28947" t="s">
        <v>4</v>
      </c>
      <c r="B28947" s="4" t="s">
        <v>5</v>
      </c>
      <c r="C28947" s="4" t="s">
        <v>7</v>
      </c>
      <c r="D28947" s="4" t="s">
        <v>11</v>
      </c>
      <c r="E28947" s="4" t="s">
        <v>8</v>
      </c>
    </row>
    <row r="28948" spans="1:13">
      <c r="A28948" t="n">
        <v>281446</v>
      </c>
      <c r="B28948" s="38" t="n">
        <v>51</v>
      </c>
      <c r="C28948" s="7" t="n">
        <v>4</v>
      </c>
      <c r="D28948" s="7" t="n">
        <v>0</v>
      </c>
      <c r="E28948" s="7" t="s">
        <v>304</v>
      </c>
    </row>
    <row r="28949" spans="1:13">
      <c r="A28949" t="s">
        <v>4</v>
      </c>
      <c r="B28949" s="4" t="s">
        <v>5</v>
      </c>
      <c r="C28949" s="4" t="s">
        <v>11</v>
      </c>
    </row>
    <row r="28950" spans="1:13">
      <c r="A28950" t="n">
        <v>281459</v>
      </c>
      <c r="B28950" s="29" t="n">
        <v>16</v>
      </c>
      <c r="C28950" s="7" t="n">
        <v>0</v>
      </c>
    </row>
    <row r="28951" spans="1:13">
      <c r="A28951" t="s">
        <v>4</v>
      </c>
      <c r="B28951" s="4" t="s">
        <v>5</v>
      </c>
      <c r="C28951" s="4" t="s">
        <v>11</v>
      </c>
      <c r="D28951" s="4" t="s">
        <v>7</v>
      </c>
      <c r="E28951" s="4" t="s">
        <v>15</v>
      </c>
      <c r="F28951" s="4" t="s">
        <v>55</v>
      </c>
      <c r="G28951" s="4" t="s">
        <v>7</v>
      </c>
      <c r="H28951" s="4" t="s">
        <v>7</v>
      </c>
      <c r="I28951" s="4" t="s">
        <v>7</v>
      </c>
      <c r="J28951" s="4" t="s">
        <v>15</v>
      </c>
      <c r="K28951" s="4" t="s">
        <v>55</v>
      </c>
      <c r="L28951" s="4" t="s">
        <v>7</v>
      </c>
      <c r="M28951" s="4" t="s">
        <v>7</v>
      </c>
      <c r="N28951" s="4" t="s">
        <v>7</v>
      </c>
      <c r="O28951" s="4" t="s">
        <v>15</v>
      </c>
      <c r="P28951" s="4" t="s">
        <v>55</v>
      </c>
      <c r="Q28951" s="4" t="s">
        <v>7</v>
      </c>
      <c r="R28951" s="4" t="s">
        <v>7</v>
      </c>
    </row>
    <row r="28952" spans="1:13">
      <c r="A28952" t="n">
        <v>281462</v>
      </c>
      <c r="B28952" s="55" t="n">
        <v>26</v>
      </c>
      <c r="C28952" s="7" t="n">
        <v>0</v>
      </c>
      <c r="D28952" s="7" t="n">
        <v>17</v>
      </c>
      <c r="E28952" s="7" t="n">
        <v>63944</v>
      </c>
      <c r="F28952" s="7" t="s">
        <v>637</v>
      </c>
      <c r="G28952" s="7" t="n">
        <v>2</v>
      </c>
      <c r="H28952" s="7" t="n">
        <v>3</v>
      </c>
      <c r="I28952" s="7" t="n">
        <v>17</v>
      </c>
      <c r="J28952" s="7" t="n">
        <v>63945</v>
      </c>
      <c r="K28952" s="7" t="s">
        <v>638</v>
      </c>
      <c r="L28952" s="7" t="n">
        <v>2</v>
      </c>
      <c r="M28952" s="7" t="n">
        <v>3</v>
      </c>
      <c r="N28952" s="7" t="n">
        <v>17</v>
      </c>
      <c r="O28952" s="7" t="n">
        <v>63946</v>
      </c>
      <c r="P28952" s="7" t="s">
        <v>639</v>
      </c>
      <c r="Q28952" s="7" t="n">
        <v>2</v>
      </c>
      <c r="R28952" s="7" t="n">
        <v>0</v>
      </c>
    </row>
    <row r="28953" spans="1:13">
      <c r="A28953" t="s">
        <v>4</v>
      </c>
      <c r="B28953" s="4" t="s">
        <v>5</v>
      </c>
    </row>
    <row r="28954" spans="1:13">
      <c r="A28954" t="n">
        <v>281622</v>
      </c>
      <c r="B28954" s="27" t="n">
        <v>28</v>
      </c>
    </row>
    <row r="28955" spans="1:13">
      <c r="A28955" t="s">
        <v>4</v>
      </c>
      <c r="B28955" s="4" t="s">
        <v>5</v>
      </c>
      <c r="C28955" s="4" t="s">
        <v>7</v>
      </c>
      <c r="D28955" s="4" t="s">
        <v>11</v>
      </c>
      <c r="E28955" s="4" t="s">
        <v>8</v>
      </c>
      <c r="F28955" s="4" t="s">
        <v>8</v>
      </c>
      <c r="G28955" s="4" t="s">
        <v>8</v>
      </c>
      <c r="H28955" s="4" t="s">
        <v>8</v>
      </c>
    </row>
    <row r="28956" spans="1:13">
      <c r="A28956" t="n">
        <v>281623</v>
      </c>
      <c r="B28956" s="38" t="n">
        <v>51</v>
      </c>
      <c r="C28956" s="7" t="n">
        <v>3</v>
      </c>
      <c r="D28956" s="7" t="n">
        <v>9</v>
      </c>
      <c r="E28956" s="7" t="s">
        <v>371</v>
      </c>
      <c r="F28956" s="7" t="s">
        <v>79</v>
      </c>
      <c r="G28956" s="7" t="s">
        <v>78</v>
      </c>
      <c r="H28956" s="7" t="s">
        <v>79</v>
      </c>
    </row>
    <row r="28957" spans="1:13">
      <c r="A28957" t="s">
        <v>4</v>
      </c>
      <c r="B28957" s="4" t="s">
        <v>5</v>
      </c>
      <c r="C28957" s="4" t="s">
        <v>11</v>
      </c>
      <c r="D28957" s="4" t="s">
        <v>7</v>
      </c>
      <c r="E28957" s="4" t="s">
        <v>8</v>
      </c>
      <c r="F28957" s="4" t="s">
        <v>13</v>
      </c>
      <c r="G28957" s="4" t="s">
        <v>13</v>
      </c>
      <c r="H28957" s="4" t="s">
        <v>13</v>
      </c>
    </row>
    <row r="28958" spans="1:13">
      <c r="A28958" t="n">
        <v>281636</v>
      </c>
      <c r="B28958" s="42" t="n">
        <v>48</v>
      </c>
      <c r="C28958" s="7" t="n">
        <v>9</v>
      </c>
      <c r="D28958" s="7" t="n">
        <v>0</v>
      </c>
      <c r="E28958" s="7" t="s">
        <v>629</v>
      </c>
      <c r="F28958" s="7" t="n">
        <v>-1</v>
      </c>
      <c r="G28958" s="7" t="n">
        <v>1</v>
      </c>
      <c r="H28958" s="7" t="n">
        <v>0</v>
      </c>
    </row>
    <row r="28959" spans="1:13">
      <c r="A28959" t="s">
        <v>4</v>
      </c>
      <c r="B28959" s="4" t="s">
        <v>5</v>
      </c>
      <c r="C28959" s="4" t="s">
        <v>11</v>
      </c>
    </row>
    <row r="28960" spans="1:13">
      <c r="A28960" t="n">
        <v>281662</v>
      </c>
      <c r="B28960" s="29" t="n">
        <v>16</v>
      </c>
      <c r="C28960" s="7" t="n">
        <v>500</v>
      </c>
    </row>
    <row r="28961" spans="1:18">
      <c r="A28961" t="s">
        <v>4</v>
      </c>
      <c r="B28961" s="4" t="s">
        <v>5</v>
      </c>
      <c r="C28961" s="4" t="s">
        <v>7</v>
      </c>
      <c r="D28961" s="4" t="s">
        <v>11</v>
      </c>
      <c r="E28961" s="4" t="s">
        <v>8</v>
      </c>
    </row>
    <row r="28962" spans="1:18">
      <c r="A28962" t="n">
        <v>281665</v>
      </c>
      <c r="B28962" s="38" t="n">
        <v>51</v>
      </c>
      <c r="C28962" s="7" t="n">
        <v>4</v>
      </c>
      <c r="D28962" s="7" t="n">
        <v>9</v>
      </c>
      <c r="E28962" s="7" t="s">
        <v>640</v>
      </c>
    </row>
    <row r="28963" spans="1:18">
      <c r="A28963" t="s">
        <v>4</v>
      </c>
      <c r="B28963" s="4" t="s">
        <v>5</v>
      </c>
      <c r="C28963" s="4" t="s">
        <v>11</v>
      </c>
    </row>
    <row r="28964" spans="1:18">
      <c r="A28964" t="n">
        <v>281679</v>
      </c>
      <c r="B28964" s="29" t="n">
        <v>16</v>
      </c>
      <c r="C28964" s="7" t="n">
        <v>0</v>
      </c>
    </row>
    <row r="28965" spans="1:18">
      <c r="A28965" t="s">
        <v>4</v>
      </c>
      <c r="B28965" s="4" t="s">
        <v>5</v>
      </c>
      <c r="C28965" s="4" t="s">
        <v>11</v>
      </c>
      <c r="D28965" s="4" t="s">
        <v>7</v>
      </c>
      <c r="E28965" s="4" t="s">
        <v>15</v>
      </c>
      <c r="F28965" s="4" t="s">
        <v>55</v>
      </c>
      <c r="G28965" s="4" t="s">
        <v>7</v>
      </c>
      <c r="H28965" s="4" t="s">
        <v>7</v>
      </c>
    </row>
    <row r="28966" spans="1:18">
      <c r="A28966" t="n">
        <v>281682</v>
      </c>
      <c r="B28966" s="55" t="n">
        <v>26</v>
      </c>
      <c r="C28966" s="7" t="n">
        <v>9</v>
      </c>
      <c r="D28966" s="7" t="n">
        <v>17</v>
      </c>
      <c r="E28966" s="7" t="n">
        <v>63947</v>
      </c>
      <c r="F28966" s="7" t="s">
        <v>641</v>
      </c>
      <c r="G28966" s="7" t="n">
        <v>2</v>
      </c>
      <c r="H28966" s="7" t="n">
        <v>0</v>
      </c>
    </row>
    <row r="28967" spans="1:18">
      <c r="A28967" t="s">
        <v>4</v>
      </c>
      <c r="B28967" s="4" t="s">
        <v>5</v>
      </c>
    </row>
    <row r="28968" spans="1:18">
      <c r="A28968" t="n">
        <v>281719</v>
      </c>
      <c r="B28968" s="27" t="n">
        <v>28</v>
      </c>
    </row>
    <row r="28969" spans="1:18">
      <c r="A28969" t="s">
        <v>4</v>
      </c>
      <c r="B28969" s="4" t="s">
        <v>5</v>
      </c>
      <c r="C28969" s="4" t="s">
        <v>7</v>
      </c>
      <c r="D28969" s="4" t="s">
        <v>11</v>
      </c>
      <c r="E28969" s="4" t="s">
        <v>13</v>
      </c>
    </row>
    <row r="28970" spans="1:18">
      <c r="A28970" t="n">
        <v>281720</v>
      </c>
      <c r="B28970" s="23" t="n">
        <v>58</v>
      </c>
      <c r="C28970" s="7" t="n">
        <v>101</v>
      </c>
      <c r="D28970" s="7" t="n">
        <v>500</v>
      </c>
      <c r="E28970" s="7" t="n">
        <v>1</v>
      </c>
    </row>
    <row r="28971" spans="1:18">
      <c r="A28971" t="s">
        <v>4</v>
      </c>
      <c r="B28971" s="4" t="s">
        <v>5</v>
      </c>
      <c r="C28971" s="4" t="s">
        <v>7</v>
      </c>
      <c r="D28971" s="4" t="s">
        <v>11</v>
      </c>
    </row>
    <row r="28972" spans="1:18">
      <c r="A28972" t="n">
        <v>281728</v>
      </c>
      <c r="B28972" s="23" t="n">
        <v>58</v>
      </c>
      <c r="C28972" s="7" t="n">
        <v>254</v>
      </c>
      <c r="D28972" s="7" t="n">
        <v>0</v>
      </c>
    </row>
    <row r="28973" spans="1:18">
      <c r="A28973" t="s">
        <v>4</v>
      </c>
      <c r="B28973" s="4" t="s">
        <v>5</v>
      </c>
      <c r="C28973" s="4" t="s">
        <v>11</v>
      </c>
      <c r="D28973" s="4" t="s">
        <v>7</v>
      </c>
      <c r="E28973" s="4" t="s">
        <v>8</v>
      </c>
      <c r="F28973" s="4" t="s">
        <v>13</v>
      </c>
      <c r="G28973" s="4" t="s">
        <v>13</v>
      </c>
      <c r="H28973" s="4" t="s">
        <v>13</v>
      </c>
    </row>
    <row r="28974" spans="1:18">
      <c r="A28974" t="n">
        <v>281732</v>
      </c>
      <c r="B28974" s="42" t="n">
        <v>48</v>
      </c>
      <c r="C28974" s="7" t="n">
        <v>9</v>
      </c>
      <c r="D28974" s="7" t="n">
        <v>0</v>
      </c>
      <c r="E28974" s="7" t="s">
        <v>583</v>
      </c>
      <c r="F28974" s="7" t="n">
        <v>0</v>
      </c>
      <c r="G28974" s="7" t="n">
        <v>1</v>
      </c>
      <c r="H28974" s="7" t="n">
        <v>0</v>
      </c>
    </row>
    <row r="28975" spans="1:18">
      <c r="A28975" t="s">
        <v>4</v>
      </c>
      <c r="B28975" s="4" t="s">
        <v>5</v>
      </c>
      <c r="C28975" s="4" t="s">
        <v>7</v>
      </c>
      <c r="D28975" s="4" t="s">
        <v>11</v>
      </c>
      <c r="E28975" s="4" t="s">
        <v>8</v>
      </c>
      <c r="F28975" s="4" t="s">
        <v>8</v>
      </c>
      <c r="G28975" s="4" t="s">
        <v>8</v>
      </c>
      <c r="H28975" s="4" t="s">
        <v>8</v>
      </c>
    </row>
    <row r="28976" spans="1:18">
      <c r="A28976" t="n">
        <v>281758</v>
      </c>
      <c r="B28976" s="38" t="n">
        <v>51</v>
      </c>
      <c r="C28976" s="7" t="n">
        <v>3</v>
      </c>
      <c r="D28976" s="7" t="n">
        <v>0</v>
      </c>
      <c r="E28976" s="7" t="s">
        <v>65</v>
      </c>
      <c r="F28976" s="7" t="s">
        <v>99</v>
      </c>
      <c r="G28976" s="7" t="s">
        <v>78</v>
      </c>
      <c r="H28976" s="7" t="s">
        <v>79</v>
      </c>
    </row>
    <row r="28977" spans="1:8">
      <c r="A28977" t="s">
        <v>4</v>
      </c>
      <c r="B28977" s="4" t="s">
        <v>5</v>
      </c>
      <c r="C28977" s="4" t="s">
        <v>7</v>
      </c>
      <c r="D28977" s="4" t="s">
        <v>11</v>
      </c>
      <c r="E28977" s="4" t="s">
        <v>8</v>
      </c>
      <c r="F28977" s="4" t="s">
        <v>8</v>
      </c>
      <c r="G28977" s="4" t="s">
        <v>8</v>
      </c>
      <c r="H28977" s="4" t="s">
        <v>8</v>
      </c>
    </row>
    <row r="28978" spans="1:8">
      <c r="A28978" t="n">
        <v>281779</v>
      </c>
      <c r="B28978" s="38" t="n">
        <v>51</v>
      </c>
      <c r="C28978" s="7" t="n">
        <v>3</v>
      </c>
      <c r="D28978" s="7" t="n">
        <v>9</v>
      </c>
      <c r="E28978" s="7" t="s">
        <v>65</v>
      </c>
      <c r="F28978" s="7" t="s">
        <v>232</v>
      </c>
      <c r="G28978" s="7" t="s">
        <v>78</v>
      </c>
      <c r="H28978" s="7" t="s">
        <v>79</v>
      </c>
    </row>
    <row r="28979" spans="1:8">
      <c r="A28979" t="s">
        <v>4</v>
      </c>
      <c r="B28979" s="4" t="s">
        <v>5</v>
      </c>
      <c r="C28979" s="4" t="s">
        <v>11</v>
      </c>
      <c r="D28979" s="4" t="s">
        <v>11</v>
      </c>
      <c r="E28979" s="4" t="s">
        <v>11</v>
      </c>
    </row>
    <row r="28980" spans="1:8">
      <c r="A28980" t="n">
        <v>281800</v>
      </c>
      <c r="B28980" s="72" t="n">
        <v>61</v>
      </c>
      <c r="C28980" s="7" t="n">
        <v>0</v>
      </c>
      <c r="D28980" s="7" t="n">
        <v>65533</v>
      </c>
      <c r="E28980" s="7" t="n">
        <v>0</v>
      </c>
    </row>
    <row r="28981" spans="1:8">
      <c r="A28981" t="s">
        <v>4</v>
      </c>
      <c r="B28981" s="4" t="s">
        <v>5</v>
      </c>
      <c r="C28981" s="4" t="s">
        <v>11</v>
      </c>
      <c r="D28981" s="4" t="s">
        <v>11</v>
      </c>
      <c r="E28981" s="4" t="s">
        <v>11</v>
      </c>
    </row>
    <row r="28982" spans="1:8">
      <c r="A28982" t="n">
        <v>281807</v>
      </c>
      <c r="B28982" s="72" t="n">
        <v>61</v>
      </c>
      <c r="C28982" s="7" t="n">
        <v>9</v>
      </c>
      <c r="D28982" s="7" t="n">
        <v>65533</v>
      </c>
      <c r="E28982" s="7" t="n">
        <v>0</v>
      </c>
    </row>
    <row r="28983" spans="1:8">
      <c r="A28983" t="s">
        <v>4</v>
      </c>
      <c r="B28983" s="4" t="s">
        <v>5</v>
      </c>
      <c r="C28983" s="4" t="s">
        <v>7</v>
      </c>
    </row>
    <row r="28984" spans="1:8">
      <c r="A28984" t="n">
        <v>281814</v>
      </c>
      <c r="B28984" s="49" t="n">
        <v>116</v>
      </c>
      <c r="C28984" s="7" t="n">
        <v>0</v>
      </c>
    </row>
    <row r="28985" spans="1:8">
      <c r="A28985" t="s">
        <v>4</v>
      </c>
      <c r="B28985" s="4" t="s">
        <v>5</v>
      </c>
      <c r="C28985" s="4" t="s">
        <v>7</v>
      </c>
      <c r="D28985" s="4" t="s">
        <v>11</v>
      </c>
    </row>
    <row r="28986" spans="1:8">
      <c r="A28986" t="n">
        <v>281816</v>
      </c>
      <c r="B28986" s="49" t="n">
        <v>116</v>
      </c>
      <c r="C28986" s="7" t="n">
        <v>2</v>
      </c>
      <c r="D28986" s="7" t="n">
        <v>1</v>
      </c>
    </row>
    <row r="28987" spans="1:8">
      <c r="A28987" t="s">
        <v>4</v>
      </c>
      <c r="B28987" s="4" t="s">
        <v>5</v>
      </c>
      <c r="C28987" s="4" t="s">
        <v>7</v>
      </c>
      <c r="D28987" s="4" t="s">
        <v>15</v>
      </c>
    </row>
    <row r="28988" spans="1:8">
      <c r="A28988" t="n">
        <v>281820</v>
      </c>
      <c r="B28988" s="49" t="n">
        <v>116</v>
      </c>
      <c r="C28988" s="7" t="n">
        <v>5</v>
      </c>
      <c r="D28988" s="7" t="n">
        <v>1106247680</v>
      </c>
    </row>
    <row r="28989" spans="1:8">
      <c r="A28989" t="s">
        <v>4</v>
      </c>
      <c r="B28989" s="4" t="s">
        <v>5</v>
      </c>
      <c r="C28989" s="4" t="s">
        <v>7</v>
      </c>
      <c r="D28989" s="4" t="s">
        <v>11</v>
      </c>
    </row>
    <row r="28990" spans="1:8">
      <c r="A28990" t="n">
        <v>281826</v>
      </c>
      <c r="B28990" s="49" t="n">
        <v>116</v>
      </c>
      <c r="C28990" s="7" t="n">
        <v>6</v>
      </c>
      <c r="D28990" s="7" t="n">
        <v>1</v>
      </c>
    </row>
    <row r="28991" spans="1:8">
      <c r="A28991" t="s">
        <v>4</v>
      </c>
      <c r="B28991" s="4" t="s">
        <v>5</v>
      </c>
      <c r="C28991" s="4" t="s">
        <v>7</v>
      </c>
      <c r="D28991" s="4" t="s">
        <v>7</v>
      </c>
      <c r="E28991" s="4" t="s">
        <v>13</v>
      </c>
      <c r="F28991" s="4" t="s">
        <v>13</v>
      </c>
      <c r="G28991" s="4" t="s">
        <v>13</v>
      </c>
      <c r="H28991" s="4" t="s">
        <v>11</v>
      </c>
    </row>
    <row r="28992" spans="1:8">
      <c r="A28992" t="n">
        <v>281830</v>
      </c>
      <c r="B28992" s="51" t="n">
        <v>45</v>
      </c>
      <c r="C28992" s="7" t="n">
        <v>2</v>
      </c>
      <c r="D28992" s="7" t="n">
        <v>3</v>
      </c>
      <c r="E28992" s="7" t="n">
        <v>4.53000020980835</v>
      </c>
      <c r="F28992" s="7" t="n">
        <v>1.30999994277954</v>
      </c>
      <c r="G28992" s="7" t="n">
        <v>46.2700004577637</v>
      </c>
      <c r="H28992" s="7" t="n">
        <v>0</v>
      </c>
    </row>
    <row r="28993" spans="1:8">
      <c r="A28993" t="s">
        <v>4</v>
      </c>
      <c r="B28993" s="4" t="s">
        <v>5</v>
      </c>
      <c r="C28993" s="4" t="s">
        <v>7</v>
      </c>
      <c r="D28993" s="4" t="s">
        <v>7</v>
      </c>
      <c r="E28993" s="4" t="s">
        <v>13</v>
      </c>
      <c r="F28993" s="4" t="s">
        <v>13</v>
      </c>
      <c r="G28993" s="4" t="s">
        <v>13</v>
      </c>
      <c r="H28993" s="4" t="s">
        <v>11</v>
      </c>
      <c r="I28993" s="4" t="s">
        <v>7</v>
      </c>
    </row>
    <row r="28994" spans="1:8">
      <c r="A28994" t="n">
        <v>281847</v>
      </c>
      <c r="B28994" s="51" t="n">
        <v>45</v>
      </c>
      <c r="C28994" s="7" t="n">
        <v>4</v>
      </c>
      <c r="D28994" s="7" t="n">
        <v>3</v>
      </c>
      <c r="E28994" s="7" t="n">
        <v>12.8699998855591</v>
      </c>
      <c r="F28994" s="7" t="n">
        <v>80.0199966430664</v>
      </c>
      <c r="G28994" s="7" t="n">
        <v>0</v>
      </c>
      <c r="H28994" s="7" t="n">
        <v>0</v>
      </c>
      <c r="I28994" s="7" t="n">
        <v>0</v>
      </c>
    </row>
    <row r="28995" spans="1:8">
      <c r="A28995" t="s">
        <v>4</v>
      </c>
      <c r="B28995" s="4" t="s">
        <v>5</v>
      </c>
      <c r="C28995" s="4" t="s">
        <v>7</v>
      </c>
      <c r="D28995" s="4" t="s">
        <v>7</v>
      </c>
      <c r="E28995" s="4" t="s">
        <v>13</v>
      </c>
      <c r="F28995" s="4" t="s">
        <v>11</v>
      </c>
    </row>
    <row r="28996" spans="1:8">
      <c r="A28996" t="n">
        <v>281865</v>
      </c>
      <c r="B28996" s="51" t="n">
        <v>45</v>
      </c>
      <c r="C28996" s="7" t="n">
        <v>5</v>
      </c>
      <c r="D28996" s="7" t="n">
        <v>3</v>
      </c>
      <c r="E28996" s="7" t="n">
        <v>3</v>
      </c>
      <c r="F28996" s="7" t="n">
        <v>0</v>
      </c>
    </row>
    <row r="28997" spans="1:8">
      <c r="A28997" t="s">
        <v>4</v>
      </c>
      <c r="B28997" s="4" t="s">
        <v>5</v>
      </c>
      <c r="C28997" s="4" t="s">
        <v>7</v>
      </c>
      <c r="D28997" s="4" t="s">
        <v>7</v>
      </c>
      <c r="E28997" s="4" t="s">
        <v>13</v>
      </c>
      <c r="F28997" s="4" t="s">
        <v>11</v>
      </c>
    </row>
    <row r="28998" spans="1:8">
      <c r="A28998" t="n">
        <v>281874</v>
      </c>
      <c r="B28998" s="51" t="n">
        <v>45</v>
      </c>
      <c r="C28998" s="7" t="n">
        <v>11</v>
      </c>
      <c r="D28998" s="7" t="n">
        <v>3</v>
      </c>
      <c r="E28998" s="7" t="n">
        <v>34</v>
      </c>
      <c r="F28998" s="7" t="n">
        <v>0</v>
      </c>
    </row>
    <row r="28999" spans="1:8">
      <c r="A28999" t="s">
        <v>4</v>
      </c>
      <c r="B28999" s="4" t="s">
        <v>5</v>
      </c>
      <c r="C28999" s="4" t="s">
        <v>7</v>
      </c>
      <c r="D28999" s="4" t="s">
        <v>7</v>
      </c>
      <c r="E28999" s="4" t="s">
        <v>13</v>
      </c>
      <c r="F28999" s="4" t="s">
        <v>13</v>
      </c>
      <c r="G28999" s="4" t="s">
        <v>13</v>
      </c>
      <c r="H28999" s="4" t="s">
        <v>11</v>
      </c>
    </row>
    <row r="29000" spans="1:8">
      <c r="A29000" t="n">
        <v>281883</v>
      </c>
      <c r="B29000" s="51" t="n">
        <v>45</v>
      </c>
      <c r="C29000" s="7" t="n">
        <v>2</v>
      </c>
      <c r="D29000" s="7" t="n">
        <v>3</v>
      </c>
      <c r="E29000" s="7" t="n">
        <v>4.53000020980835</v>
      </c>
      <c r="F29000" s="7" t="n">
        <v>2.30999994277954</v>
      </c>
      <c r="G29000" s="7" t="n">
        <v>46.2700004577637</v>
      </c>
      <c r="H29000" s="7" t="n">
        <v>5000</v>
      </c>
    </row>
    <row r="29001" spans="1:8">
      <c r="A29001" t="s">
        <v>4</v>
      </c>
      <c r="B29001" s="4" t="s">
        <v>5</v>
      </c>
      <c r="C29001" s="4" t="s">
        <v>7</v>
      </c>
      <c r="D29001" s="4" t="s">
        <v>11</v>
      </c>
    </row>
    <row r="29002" spans="1:8">
      <c r="A29002" t="n">
        <v>281900</v>
      </c>
      <c r="B29002" s="23" t="n">
        <v>58</v>
      </c>
      <c r="C29002" s="7" t="n">
        <v>255</v>
      </c>
      <c r="D29002" s="7" t="n">
        <v>0</v>
      </c>
    </row>
    <row r="29003" spans="1:8">
      <c r="A29003" t="s">
        <v>4</v>
      </c>
      <c r="B29003" s="4" t="s">
        <v>5</v>
      </c>
      <c r="C29003" s="4" t="s">
        <v>11</v>
      </c>
      <c r="D29003" s="4" t="s">
        <v>13</v>
      </c>
      <c r="E29003" s="4" t="s">
        <v>13</v>
      </c>
      <c r="F29003" s="4" t="s">
        <v>7</v>
      </c>
    </row>
    <row r="29004" spans="1:8">
      <c r="A29004" t="n">
        <v>281904</v>
      </c>
      <c r="B29004" s="65" t="n">
        <v>52</v>
      </c>
      <c r="C29004" s="7" t="n">
        <v>0</v>
      </c>
      <c r="D29004" s="7" t="n">
        <v>255</v>
      </c>
      <c r="E29004" s="7" t="n">
        <v>5</v>
      </c>
      <c r="F29004" s="7" t="n">
        <v>0</v>
      </c>
    </row>
    <row r="29005" spans="1:8">
      <c r="A29005" t="s">
        <v>4</v>
      </c>
      <c r="B29005" s="4" t="s">
        <v>5</v>
      </c>
      <c r="C29005" s="4" t="s">
        <v>11</v>
      </c>
    </row>
    <row r="29006" spans="1:8">
      <c r="A29006" t="n">
        <v>281916</v>
      </c>
      <c r="B29006" s="29" t="n">
        <v>16</v>
      </c>
      <c r="C29006" s="7" t="n">
        <v>100</v>
      </c>
    </row>
    <row r="29007" spans="1:8">
      <c r="A29007" t="s">
        <v>4</v>
      </c>
      <c r="B29007" s="4" t="s">
        <v>5</v>
      </c>
      <c r="C29007" s="4" t="s">
        <v>11</v>
      </c>
      <c r="D29007" s="4" t="s">
        <v>13</v>
      </c>
      <c r="E29007" s="4" t="s">
        <v>13</v>
      </c>
      <c r="F29007" s="4" t="s">
        <v>7</v>
      </c>
    </row>
    <row r="29008" spans="1:8">
      <c r="A29008" t="n">
        <v>281919</v>
      </c>
      <c r="B29008" s="65" t="n">
        <v>52</v>
      </c>
      <c r="C29008" s="7" t="n">
        <v>9</v>
      </c>
      <c r="D29008" s="7" t="n">
        <v>255</v>
      </c>
      <c r="E29008" s="7" t="n">
        <v>5</v>
      </c>
      <c r="F29008" s="7" t="n">
        <v>0</v>
      </c>
    </row>
    <row r="29009" spans="1:9">
      <c r="A29009" t="s">
        <v>4</v>
      </c>
      <c r="B29009" s="4" t="s">
        <v>5</v>
      </c>
      <c r="C29009" s="4" t="s">
        <v>11</v>
      </c>
    </row>
    <row r="29010" spans="1:9">
      <c r="A29010" t="n">
        <v>281931</v>
      </c>
      <c r="B29010" s="66" t="n">
        <v>54</v>
      </c>
      <c r="C29010" s="7" t="n">
        <v>0</v>
      </c>
    </row>
    <row r="29011" spans="1:9">
      <c r="A29011" t="s">
        <v>4</v>
      </c>
      <c r="B29011" s="4" t="s">
        <v>5</v>
      </c>
      <c r="C29011" s="4" t="s">
        <v>11</v>
      </c>
      <c r="D29011" s="4" t="s">
        <v>11</v>
      </c>
      <c r="E29011" s="4" t="s">
        <v>13</v>
      </c>
      <c r="F29011" s="4" t="s">
        <v>13</v>
      </c>
      <c r="G29011" s="4" t="s">
        <v>13</v>
      </c>
      <c r="H29011" s="4" t="s">
        <v>13</v>
      </c>
      <c r="I29011" s="4" t="s">
        <v>7</v>
      </c>
      <c r="J29011" s="4" t="s">
        <v>11</v>
      </c>
    </row>
    <row r="29012" spans="1:9">
      <c r="A29012" t="n">
        <v>281934</v>
      </c>
      <c r="B29012" s="53" t="n">
        <v>55</v>
      </c>
      <c r="C29012" s="7" t="n">
        <v>0</v>
      </c>
      <c r="D29012" s="7" t="n">
        <v>65024</v>
      </c>
      <c r="E29012" s="7" t="n">
        <v>0</v>
      </c>
      <c r="F29012" s="7" t="n">
        <v>0</v>
      </c>
      <c r="G29012" s="7" t="n">
        <v>6</v>
      </c>
      <c r="H29012" s="7" t="n">
        <v>1.20000004768372</v>
      </c>
      <c r="I29012" s="7" t="n">
        <v>1</v>
      </c>
      <c r="J29012" s="7" t="n">
        <v>0</v>
      </c>
    </row>
    <row r="29013" spans="1:9">
      <c r="A29013" t="s">
        <v>4</v>
      </c>
      <c r="B29013" s="4" t="s">
        <v>5</v>
      </c>
      <c r="C29013" s="4" t="s">
        <v>11</v>
      </c>
    </row>
    <row r="29014" spans="1:9">
      <c r="A29014" t="n">
        <v>281958</v>
      </c>
      <c r="B29014" s="66" t="n">
        <v>54</v>
      </c>
      <c r="C29014" s="7" t="n">
        <v>9</v>
      </c>
    </row>
    <row r="29015" spans="1:9">
      <c r="A29015" t="s">
        <v>4</v>
      </c>
      <c r="B29015" s="4" t="s">
        <v>5</v>
      </c>
      <c r="C29015" s="4" t="s">
        <v>11</v>
      </c>
    </row>
    <row r="29016" spans="1:9">
      <c r="A29016" t="n">
        <v>281961</v>
      </c>
      <c r="B29016" s="29" t="n">
        <v>16</v>
      </c>
      <c r="C29016" s="7" t="n">
        <v>200</v>
      </c>
    </row>
    <row r="29017" spans="1:9">
      <c r="A29017" t="s">
        <v>4</v>
      </c>
      <c r="B29017" s="4" t="s">
        <v>5</v>
      </c>
      <c r="C29017" s="4" t="s">
        <v>11</v>
      </c>
      <c r="D29017" s="4" t="s">
        <v>11</v>
      </c>
      <c r="E29017" s="4" t="s">
        <v>13</v>
      </c>
      <c r="F29017" s="4" t="s">
        <v>13</v>
      </c>
      <c r="G29017" s="4" t="s">
        <v>13</v>
      </c>
      <c r="H29017" s="4" t="s">
        <v>13</v>
      </c>
      <c r="I29017" s="4" t="s">
        <v>7</v>
      </c>
      <c r="J29017" s="4" t="s">
        <v>11</v>
      </c>
    </row>
    <row r="29018" spans="1:9">
      <c r="A29018" t="n">
        <v>281964</v>
      </c>
      <c r="B29018" s="53" t="n">
        <v>55</v>
      </c>
      <c r="C29018" s="7" t="n">
        <v>9</v>
      </c>
      <c r="D29018" s="7" t="n">
        <v>65024</v>
      </c>
      <c r="E29018" s="7" t="n">
        <v>0</v>
      </c>
      <c r="F29018" s="7" t="n">
        <v>0</v>
      </c>
      <c r="G29018" s="7" t="n">
        <v>6</v>
      </c>
      <c r="H29018" s="7" t="n">
        <v>1.20000004768372</v>
      </c>
      <c r="I29018" s="7" t="n">
        <v>1</v>
      </c>
      <c r="J29018" s="7" t="n">
        <v>0</v>
      </c>
    </row>
    <row r="29019" spans="1:9">
      <c r="A29019" t="s">
        <v>4</v>
      </c>
      <c r="B29019" s="4" t="s">
        <v>5</v>
      </c>
      <c r="C29019" s="4" t="s">
        <v>11</v>
      </c>
    </row>
    <row r="29020" spans="1:9">
      <c r="A29020" t="n">
        <v>281988</v>
      </c>
      <c r="B29020" s="29" t="n">
        <v>16</v>
      </c>
      <c r="C29020" s="7" t="n">
        <v>2000</v>
      </c>
    </row>
    <row r="29021" spans="1:9">
      <c r="A29021" t="s">
        <v>4</v>
      </c>
      <c r="B29021" s="4" t="s">
        <v>5</v>
      </c>
      <c r="C29021" s="4" t="s">
        <v>7</v>
      </c>
      <c r="D29021" s="4" t="s">
        <v>11</v>
      </c>
      <c r="E29021" s="4" t="s">
        <v>13</v>
      </c>
    </row>
    <row r="29022" spans="1:9">
      <c r="A29022" t="n">
        <v>281991</v>
      </c>
      <c r="B29022" s="23" t="n">
        <v>58</v>
      </c>
      <c r="C29022" s="7" t="n">
        <v>0</v>
      </c>
      <c r="D29022" s="7" t="n">
        <v>1000</v>
      </c>
      <c r="E29022" s="7" t="n">
        <v>1</v>
      </c>
    </row>
    <row r="29023" spans="1:9">
      <c r="A29023" t="s">
        <v>4</v>
      </c>
      <c r="B29023" s="4" t="s">
        <v>5</v>
      </c>
      <c r="C29023" s="4" t="s">
        <v>7</v>
      </c>
      <c r="D29023" s="4" t="s">
        <v>11</v>
      </c>
    </row>
    <row r="29024" spans="1:9">
      <c r="A29024" t="n">
        <v>281999</v>
      </c>
      <c r="B29024" s="23" t="n">
        <v>58</v>
      </c>
      <c r="C29024" s="7" t="n">
        <v>255</v>
      </c>
      <c r="D29024" s="7" t="n">
        <v>0</v>
      </c>
    </row>
    <row r="29025" spans="1:10">
      <c r="A29025" t="s">
        <v>4</v>
      </c>
      <c r="B29025" s="4" t="s">
        <v>5</v>
      </c>
      <c r="C29025" s="4" t="s">
        <v>11</v>
      </c>
      <c r="D29025" s="4" t="s">
        <v>7</v>
      </c>
    </row>
    <row r="29026" spans="1:10">
      <c r="A29026" t="n">
        <v>282003</v>
      </c>
      <c r="B29026" s="54" t="n">
        <v>56</v>
      </c>
      <c r="C29026" s="7" t="n">
        <v>0</v>
      </c>
      <c r="D29026" s="7" t="n">
        <v>1</v>
      </c>
    </row>
    <row r="29027" spans="1:10">
      <c r="A29027" t="s">
        <v>4</v>
      </c>
      <c r="B29027" s="4" t="s">
        <v>5</v>
      </c>
      <c r="C29027" s="4" t="s">
        <v>11</v>
      </c>
      <c r="D29027" s="4" t="s">
        <v>7</v>
      </c>
    </row>
    <row r="29028" spans="1:10">
      <c r="A29028" t="n">
        <v>282007</v>
      </c>
      <c r="B29028" s="54" t="n">
        <v>56</v>
      </c>
      <c r="C29028" s="7" t="n">
        <v>9</v>
      </c>
      <c r="D29028" s="7" t="n">
        <v>1</v>
      </c>
    </row>
    <row r="29029" spans="1:10">
      <c r="A29029" t="s">
        <v>4</v>
      </c>
      <c r="B29029" s="4" t="s">
        <v>5</v>
      </c>
      <c r="C29029" s="4" t="s">
        <v>11</v>
      </c>
      <c r="D29029" s="4" t="s">
        <v>13</v>
      </c>
      <c r="E29029" s="4" t="s">
        <v>13</v>
      </c>
      <c r="F29029" s="4" t="s">
        <v>13</v>
      </c>
      <c r="G29029" s="4" t="s">
        <v>13</v>
      </c>
    </row>
    <row r="29030" spans="1:10">
      <c r="A29030" t="n">
        <v>282011</v>
      </c>
      <c r="B29030" s="36" t="n">
        <v>46</v>
      </c>
      <c r="C29030" s="7" t="n">
        <v>0</v>
      </c>
      <c r="D29030" s="7" t="n">
        <v>-11.3500003814697</v>
      </c>
      <c r="E29030" s="7" t="n">
        <v>10.0100002288818</v>
      </c>
      <c r="F29030" s="7" t="n">
        <v>32.2599983215332</v>
      </c>
      <c r="G29030" s="7" t="n">
        <v>278.399993896484</v>
      </c>
    </row>
    <row r="29031" spans="1:10">
      <c r="A29031" t="s">
        <v>4</v>
      </c>
      <c r="B29031" s="4" t="s">
        <v>5</v>
      </c>
      <c r="C29031" s="4" t="s">
        <v>11</v>
      </c>
      <c r="D29031" s="4" t="s">
        <v>13</v>
      </c>
      <c r="E29031" s="4" t="s">
        <v>13</v>
      </c>
      <c r="F29031" s="4" t="s">
        <v>13</v>
      </c>
      <c r="G29031" s="4" t="s">
        <v>13</v>
      </c>
    </row>
    <row r="29032" spans="1:10">
      <c r="A29032" t="n">
        <v>282030</v>
      </c>
      <c r="B29032" s="36" t="n">
        <v>46</v>
      </c>
      <c r="C29032" s="7" t="n">
        <v>9</v>
      </c>
      <c r="D29032" s="7" t="n">
        <v>-12.0699996948242</v>
      </c>
      <c r="E29032" s="7" t="n">
        <v>10.0100002288818</v>
      </c>
      <c r="F29032" s="7" t="n">
        <v>31.9200000762939</v>
      </c>
      <c r="G29032" s="7" t="n">
        <v>272.600006103516</v>
      </c>
    </row>
    <row r="29033" spans="1:10">
      <c r="A29033" t="s">
        <v>4</v>
      </c>
      <c r="B29033" s="4" t="s">
        <v>5</v>
      </c>
      <c r="C29033" s="4" t="s">
        <v>11</v>
      </c>
      <c r="D29033" s="4" t="s">
        <v>11</v>
      </c>
      <c r="E29033" s="4" t="s">
        <v>11</v>
      </c>
    </row>
    <row r="29034" spans="1:10">
      <c r="A29034" t="n">
        <v>282049</v>
      </c>
      <c r="B29034" s="72" t="n">
        <v>61</v>
      </c>
      <c r="C29034" s="7" t="n">
        <v>0</v>
      </c>
      <c r="D29034" s="7" t="n">
        <v>65533</v>
      </c>
      <c r="E29034" s="7" t="n">
        <v>0</v>
      </c>
    </row>
    <row r="29035" spans="1:10">
      <c r="A29035" t="s">
        <v>4</v>
      </c>
      <c r="B29035" s="4" t="s">
        <v>5</v>
      </c>
      <c r="C29035" s="4" t="s">
        <v>11</v>
      </c>
      <c r="D29035" s="4" t="s">
        <v>11</v>
      </c>
      <c r="E29035" s="4" t="s">
        <v>11</v>
      </c>
    </row>
    <row r="29036" spans="1:10">
      <c r="A29036" t="n">
        <v>282056</v>
      </c>
      <c r="B29036" s="72" t="n">
        <v>61</v>
      </c>
      <c r="C29036" s="7" t="n">
        <v>9</v>
      </c>
      <c r="D29036" s="7" t="n">
        <v>65533</v>
      </c>
      <c r="E29036" s="7" t="n">
        <v>0</v>
      </c>
    </row>
    <row r="29037" spans="1:10">
      <c r="A29037" t="s">
        <v>4</v>
      </c>
      <c r="B29037" s="4" t="s">
        <v>5</v>
      </c>
      <c r="C29037" s="4" t="s">
        <v>7</v>
      </c>
      <c r="D29037" s="4" t="s">
        <v>7</v>
      </c>
      <c r="E29037" s="4" t="s">
        <v>13</v>
      </c>
      <c r="F29037" s="4" t="s">
        <v>13</v>
      </c>
      <c r="G29037" s="4" t="s">
        <v>13</v>
      </c>
      <c r="H29037" s="4" t="s">
        <v>11</v>
      </c>
    </row>
    <row r="29038" spans="1:10">
      <c r="A29038" t="n">
        <v>282063</v>
      </c>
      <c r="B29038" s="51" t="n">
        <v>45</v>
      </c>
      <c r="C29038" s="7" t="n">
        <v>2</v>
      </c>
      <c r="D29038" s="7" t="n">
        <v>3</v>
      </c>
      <c r="E29038" s="7" t="n">
        <v>-17.2999992370605</v>
      </c>
      <c r="F29038" s="7" t="n">
        <v>11.25</v>
      </c>
      <c r="G29038" s="7" t="n">
        <v>33.189998626709</v>
      </c>
      <c r="H29038" s="7" t="n">
        <v>0</v>
      </c>
    </row>
    <row r="29039" spans="1:10">
      <c r="A29039" t="s">
        <v>4</v>
      </c>
      <c r="B29039" s="4" t="s">
        <v>5</v>
      </c>
      <c r="C29039" s="4" t="s">
        <v>7</v>
      </c>
      <c r="D29039" s="4" t="s">
        <v>7</v>
      </c>
      <c r="E29039" s="4" t="s">
        <v>13</v>
      </c>
      <c r="F29039" s="4" t="s">
        <v>13</v>
      </c>
      <c r="G29039" s="4" t="s">
        <v>13</v>
      </c>
      <c r="H29039" s="4" t="s">
        <v>11</v>
      </c>
      <c r="I29039" s="4" t="s">
        <v>7</v>
      </c>
    </row>
    <row r="29040" spans="1:10">
      <c r="A29040" t="n">
        <v>282080</v>
      </c>
      <c r="B29040" s="51" t="n">
        <v>45</v>
      </c>
      <c r="C29040" s="7" t="n">
        <v>4</v>
      </c>
      <c r="D29040" s="7" t="n">
        <v>3</v>
      </c>
      <c r="E29040" s="7" t="n">
        <v>357.369995117188</v>
      </c>
      <c r="F29040" s="7" t="n">
        <v>103.440002441406</v>
      </c>
      <c r="G29040" s="7" t="n">
        <v>0</v>
      </c>
      <c r="H29040" s="7" t="n">
        <v>0</v>
      </c>
      <c r="I29040" s="7" t="n">
        <v>0</v>
      </c>
    </row>
    <row r="29041" spans="1:9">
      <c r="A29041" t="s">
        <v>4</v>
      </c>
      <c r="B29041" s="4" t="s">
        <v>5</v>
      </c>
      <c r="C29041" s="4" t="s">
        <v>7</v>
      </c>
      <c r="D29041" s="4" t="s">
        <v>7</v>
      </c>
      <c r="E29041" s="4" t="s">
        <v>13</v>
      </c>
      <c r="F29041" s="4" t="s">
        <v>11</v>
      </c>
    </row>
    <row r="29042" spans="1:9">
      <c r="A29042" t="n">
        <v>282098</v>
      </c>
      <c r="B29042" s="51" t="n">
        <v>45</v>
      </c>
      <c r="C29042" s="7" t="n">
        <v>5</v>
      </c>
      <c r="D29042" s="7" t="n">
        <v>3</v>
      </c>
      <c r="E29042" s="7" t="n">
        <v>2.59999990463257</v>
      </c>
      <c r="F29042" s="7" t="n">
        <v>0</v>
      </c>
    </row>
    <row r="29043" spans="1:9">
      <c r="A29043" t="s">
        <v>4</v>
      </c>
      <c r="B29043" s="4" t="s">
        <v>5</v>
      </c>
      <c r="C29043" s="4" t="s">
        <v>7</v>
      </c>
      <c r="D29043" s="4" t="s">
        <v>7</v>
      </c>
      <c r="E29043" s="4" t="s">
        <v>13</v>
      </c>
      <c r="F29043" s="4" t="s">
        <v>11</v>
      </c>
    </row>
    <row r="29044" spans="1:9">
      <c r="A29044" t="n">
        <v>282107</v>
      </c>
      <c r="B29044" s="51" t="n">
        <v>45</v>
      </c>
      <c r="C29044" s="7" t="n">
        <v>11</v>
      </c>
      <c r="D29044" s="7" t="n">
        <v>3</v>
      </c>
      <c r="E29044" s="7" t="n">
        <v>34</v>
      </c>
      <c r="F29044" s="7" t="n">
        <v>0</v>
      </c>
    </row>
    <row r="29045" spans="1:9">
      <c r="A29045" t="s">
        <v>4</v>
      </c>
      <c r="B29045" s="4" t="s">
        <v>5</v>
      </c>
      <c r="C29045" s="4" t="s">
        <v>7</v>
      </c>
      <c r="D29045" s="4" t="s">
        <v>7</v>
      </c>
      <c r="E29045" s="4" t="s">
        <v>13</v>
      </c>
      <c r="F29045" s="4" t="s">
        <v>13</v>
      </c>
      <c r="G29045" s="4" t="s">
        <v>13</v>
      </c>
      <c r="H29045" s="4" t="s">
        <v>11</v>
      </c>
    </row>
    <row r="29046" spans="1:9">
      <c r="A29046" t="n">
        <v>282116</v>
      </c>
      <c r="B29046" s="51" t="n">
        <v>45</v>
      </c>
      <c r="C29046" s="7" t="n">
        <v>2</v>
      </c>
      <c r="D29046" s="7" t="n">
        <v>3</v>
      </c>
      <c r="E29046" s="7" t="n">
        <v>-13.7600002288818</v>
      </c>
      <c r="F29046" s="7" t="n">
        <v>11.25</v>
      </c>
      <c r="G29046" s="7" t="n">
        <v>31.9200000762939</v>
      </c>
      <c r="H29046" s="7" t="n">
        <v>7000</v>
      </c>
    </row>
    <row r="29047" spans="1:9">
      <c r="A29047" t="s">
        <v>4</v>
      </c>
      <c r="B29047" s="4" t="s">
        <v>5</v>
      </c>
      <c r="C29047" s="4" t="s">
        <v>7</v>
      </c>
      <c r="D29047" s="4" t="s">
        <v>7</v>
      </c>
      <c r="E29047" s="4" t="s">
        <v>13</v>
      </c>
      <c r="F29047" s="4" t="s">
        <v>13</v>
      </c>
      <c r="G29047" s="4" t="s">
        <v>13</v>
      </c>
      <c r="H29047" s="4" t="s">
        <v>11</v>
      </c>
      <c r="I29047" s="4" t="s">
        <v>7</v>
      </c>
    </row>
    <row r="29048" spans="1:9">
      <c r="A29048" t="n">
        <v>282133</v>
      </c>
      <c r="B29048" s="51" t="n">
        <v>45</v>
      </c>
      <c r="C29048" s="7" t="n">
        <v>4</v>
      </c>
      <c r="D29048" s="7" t="n">
        <v>3</v>
      </c>
      <c r="E29048" s="7" t="n">
        <v>357.369995117188</v>
      </c>
      <c r="F29048" s="7" t="n">
        <v>296.869995117188</v>
      </c>
      <c r="G29048" s="7" t="n">
        <v>0</v>
      </c>
      <c r="H29048" s="7" t="n">
        <v>7000</v>
      </c>
      <c r="I29048" s="7" t="n">
        <v>1</v>
      </c>
    </row>
    <row r="29049" spans="1:9">
      <c r="A29049" t="s">
        <v>4</v>
      </c>
      <c r="B29049" s="4" t="s">
        <v>5</v>
      </c>
      <c r="C29049" s="4" t="s">
        <v>7</v>
      </c>
      <c r="D29049" s="4" t="s">
        <v>7</v>
      </c>
      <c r="E29049" s="4" t="s">
        <v>13</v>
      </c>
      <c r="F29049" s="4" t="s">
        <v>11</v>
      </c>
    </row>
    <row r="29050" spans="1:9">
      <c r="A29050" t="n">
        <v>282151</v>
      </c>
      <c r="B29050" s="51" t="n">
        <v>45</v>
      </c>
      <c r="C29050" s="7" t="n">
        <v>5</v>
      </c>
      <c r="D29050" s="7" t="n">
        <v>3</v>
      </c>
      <c r="E29050" s="7" t="n">
        <v>2.59999990463257</v>
      </c>
      <c r="F29050" s="7" t="n">
        <v>0</v>
      </c>
    </row>
    <row r="29051" spans="1:9">
      <c r="A29051" t="s">
        <v>4</v>
      </c>
      <c r="B29051" s="4" t="s">
        <v>5</v>
      </c>
      <c r="C29051" s="4" t="s">
        <v>7</v>
      </c>
      <c r="D29051" s="4" t="s">
        <v>11</v>
      </c>
      <c r="E29051" s="4" t="s">
        <v>13</v>
      </c>
    </row>
    <row r="29052" spans="1:9">
      <c r="A29052" t="n">
        <v>282160</v>
      </c>
      <c r="B29052" s="23" t="n">
        <v>58</v>
      </c>
      <c r="C29052" s="7" t="n">
        <v>100</v>
      </c>
      <c r="D29052" s="7" t="n">
        <v>1000</v>
      </c>
      <c r="E29052" s="7" t="n">
        <v>1</v>
      </c>
    </row>
    <row r="29053" spans="1:9">
      <c r="A29053" t="s">
        <v>4</v>
      </c>
      <c r="B29053" s="4" t="s">
        <v>5</v>
      </c>
      <c r="C29053" s="4" t="s">
        <v>7</v>
      </c>
      <c r="D29053" s="4" t="s">
        <v>11</v>
      </c>
    </row>
    <row r="29054" spans="1:9">
      <c r="A29054" t="n">
        <v>282168</v>
      </c>
      <c r="B29054" s="23" t="n">
        <v>58</v>
      </c>
      <c r="C29054" s="7" t="n">
        <v>255</v>
      </c>
      <c r="D29054" s="7" t="n">
        <v>0</v>
      </c>
    </row>
    <row r="29055" spans="1:9">
      <c r="A29055" t="s">
        <v>4</v>
      </c>
      <c r="B29055" s="4" t="s">
        <v>5</v>
      </c>
      <c r="C29055" s="4" t="s">
        <v>8</v>
      </c>
      <c r="D29055" s="4" t="s">
        <v>8</v>
      </c>
    </row>
    <row r="29056" spans="1:9">
      <c r="A29056" t="n">
        <v>282172</v>
      </c>
      <c r="B29056" s="52" t="n">
        <v>70</v>
      </c>
      <c r="C29056" s="7" t="s">
        <v>642</v>
      </c>
      <c r="D29056" s="7" t="s">
        <v>109</v>
      </c>
    </row>
    <row r="29057" spans="1:9">
      <c r="A29057" t="s">
        <v>4</v>
      </c>
      <c r="B29057" s="4" t="s">
        <v>5</v>
      </c>
      <c r="C29057" s="4" t="s">
        <v>11</v>
      </c>
    </row>
    <row r="29058" spans="1:9">
      <c r="A29058" t="n">
        <v>282189</v>
      </c>
      <c r="B29058" s="29" t="n">
        <v>16</v>
      </c>
      <c r="C29058" s="7" t="n">
        <v>3000</v>
      </c>
    </row>
    <row r="29059" spans="1:9">
      <c r="A29059" t="s">
        <v>4</v>
      </c>
      <c r="B29059" s="4" t="s">
        <v>5</v>
      </c>
      <c r="C29059" s="4" t="s">
        <v>11</v>
      </c>
      <c r="D29059" s="4" t="s">
        <v>7</v>
      </c>
      <c r="E29059" s="4" t="s">
        <v>13</v>
      </c>
      <c r="F29059" s="4" t="s">
        <v>11</v>
      </c>
    </row>
    <row r="29060" spans="1:9">
      <c r="A29060" t="n">
        <v>282192</v>
      </c>
      <c r="B29060" s="56" t="n">
        <v>59</v>
      </c>
      <c r="C29060" s="7" t="n">
        <v>9</v>
      </c>
      <c r="D29060" s="7" t="n">
        <v>9</v>
      </c>
      <c r="E29060" s="7" t="n">
        <v>0.150000005960464</v>
      </c>
      <c r="F29060" s="7" t="n">
        <v>0</v>
      </c>
    </row>
    <row r="29061" spans="1:9">
      <c r="A29061" t="s">
        <v>4</v>
      </c>
      <c r="B29061" s="4" t="s">
        <v>5</v>
      </c>
      <c r="C29061" s="4" t="s">
        <v>11</v>
      </c>
      <c r="D29061" s="4" t="s">
        <v>13</v>
      </c>
      <c r="E29061" s="4" t="s">
        <v>13</v>
      </c>
      <c r="F29061" s="4" t="s">
        <v>13</v>
      </c>
      <c r="G29061" s="4" t="s">
        <v>11</v>
      </c>
      <c r="H29061" s="4" t="s">
        <v>11</v>
      </c>
    </row>
    <row r="29062" spans="1:9">
      <c r="A29062" t="n">
        <v>282202</v>
      </c>
      <c r="B29062" s="37" t="n">
        <v>60</v>
      </c>
      <c r="C29062" s="7" t="n">
        <v>9</v>
      </c>
      <c r="D29062" s="7" t="n">
        <v>-45</v>
      </c>
      <c r="E29062" s="7" t="n">
        <v>0</v>
      </c>
      <c r="F29062" s="7" t="n">
        <v>0</v>
      </c>
      <c r="G29062" s="7" t="n">
        <v>1000</v>
      </c>
      <c r="H29062" s="7" t="n">
        <v>0</v>
      </c>
    </row>
    <row r="29063" spans="1:9">
      <c r="A29063" t="s">
        <v>4</v>
      </c>
      <c r="B29063" s="4" t="s">
        <v>5</v>
      </c>
      <c r="C29063" s="4" t="s">
        <v>11</v>
      </c>
    </row>
    <row r="29064" spans="1:9">
      <c r="A29064" t="n">
        <v>282221</v>
      </c>
      <c r="B29064" s="29" t="n">
        <v>16</v>
      </c>
      <c r="C29064" s="7" t="n">
        <v>1000</v>
      </c>
    </row>
    <row r="29065" spans="1:9">
      <c r="A29065" t="s">
        <v>4</v>
      </c>
      <c r="B29065" s="4" t="s">
        <v>5</v>
      </c>
      <c r="C29065" s="4" t="s">
        <v>11</v>
      </c>
      <c r="D29065" s="4" t="s">
        <v>13</v>
      </c>
      <c r="E29065" s="4" t="s">
        <v>13</v>
      </c>
      <c r="F29065" s="4" t="s">
        <v>13</v>
      </c>
      <c r="G29065" s="4" t="s">
        <v>11</v>
      </c>
      <c r="H29065" s="4" t="s">
        <v>11</v>
      </c>
    </row>
    <row r="29066" spans="1:9">
      <c r="A29066" t="n">
        <v>282224</v>
      </c>
      <c r="B29066" s="37" t="n">
        <v>60</v>
      </c>
      <c r="C29066" s="7" t="n">
        <v>9</v>
      </c>
      <c r="D29066" s="7" t="n">
        <v>45</v>
      </c>
      <c r="E29066" s="7" t="n">
        <v>0</v>
      </c>
      <c r="F29066" s="7" t="n">
        <v>0</v>
      </c>
      <c r="G29066" s="7" t="n">
        <v>1000</v>
      </c>
      <c r="H29066" s="7" t="n">
        <v>0</v>
      </c>
    </row>
    <row r="29067" spans="1:9">
      <c r="A29067" t="s">
        <v>4</v>
      </c>
      <c r="B29067" s="4" t="s">
        <v>5</v>
      </c>
      <c r="C29067" s="4" t="s">
        <v>11</v>
      </c>
    </row>
    <row r="29068" spans="1:9">
      <c r="A29068" t="n">
        <v>282243</v>
      </c>
      <c r="B29068" s="29" t="n">
        <v>16</v>
      </c>
      <c r="C29068" s="7" t="n">
        <v>1000</v>
      </c>
    </row>
    <row r="29069" spans="1:9">
      <c r="A29069" t="s">
        <v>4</v>
      </c>
      <c r="B29069" s="4" t="s">
        <v>5</v>
      </c>
      <c r="C29069" s="4" t="s">
        <v>11</v>
      </c>
      <c r="D29069" s="4" t="s">
        <v>13</v>
      </c>
      <c r="E29069" s="4" t="s">
        <v>13</v>
      </c>
      <c r="F29069" s="4" t="s">
        <v>13</v>
      </c>
      <c r="G29069" s="4" t="s">
        <v>11</v>
      </c>
      <c r="H29069" s="4" t="s">
        <v>11</v>
      </c>
    </row>
    <row r="29070" spans="1:9">
      <c r="A29070" t="n">
        <v>282246</v>
      </c>
      <c r="B29070" s="37" t="n">
        <v>60</v>
      </c>
      <c r="C29070" s="7" t="n">
        <v>9</v>
      </c>
      <c r="D29070" s="7" t="n">
        <v>0</v>
      </c>
      <c r="E29070" s="7" t="n">
        <v>0</v>
      </c>
      <c r="F29070" s="7" t="n">
        <v>0</v>
      </c>
      <c r="G29070" s="7" t="n">
        <v>500</v>
      </c>
      <c r="H29070" s="7" t="n">
        <v>0</v>
      </c>
    </row>
    <row r="29071" spans="1:9">
      <c r="A29071" t="s">
        <v>4</v>
      </c>
      <c r="B29071" s="4" t="s">
        <v>5</v>
      </c>
      <c r="C29071" s="4" t="s">
        <v>11</v>
      </c>
    </row>
    <row r="29072" spans="1:9">
      <c r="A29072" t="n">
        <v>282265</v>
      </c>
      <c r="B29072" s="29" t="n">
        <v>16</v>
      </c>
      <c r="C29072" s="7" t="n">
        <v>1000</v>
      </c>
    </row>
    <row r="29073" spans="1:8">
      <c r="A29073" t="s">
        <v>4</v>
      </c>
      <c r="B29073" s="4" t="s">
        <v>5</v>
      </c>
      <c r="C29073" s="4" t="s">
        <v>7</v>
      </c>
      <c r="D29073" s="4" t="s">
        <v>11</v>
      </c>
    </row>
    <row r="29074" spans="1:8">
      <c r="A29074" t="n">
        <v>282268</v>
      </c>
      <c r="B29074" s="51" t="n">
        <v>45</v>
      </c>
      <c r="C29074" s="7" t="n">
        <v>7</v>
      </c>
      <c r="D29074" s="7" t="n">
        <v>255</v>
      </c>
    </row>
    <row r="29075" spans="1:8">
      <c r="A29075" t="s">
        <v>4</v>
      </c>
      <c r="B29075" s="4" t="s">
        <v>5</v>
      </c>
      <c r="C29075" s="4" t="s">
        <v>7</v>
      </c>
      <c r="D29075" s="4" t="s">
        <v>11</v>
      </c>
      <c r="E29075" s="4" t="s">
        <v>13</v>
      </c>
    </row>
    <row r="29076" spans="1:8">
      <c r="A29076" t="n">
        <v>282272</v>
      </c>
      <c r="B29076" s="23" t="n">
        <v>58</v>
      </c>
      <c r="C29076" s="7" t="n">
        <v>0</v>
      </c>
      <c r="D29076" s="7" t="n">
        <v>1000</v>
      </c>
      <c r="E29076" s="7" t="n">
        <v>1</v>
      </c>
    </row>
    <row r="29077" spans="1:8">
      <c r="A29077" t="s">
        <v>4</v>
      </c>
      <c r="B29077" s="4" t="s">
        <v>5</v>
      </c>
      <c r="C29077" s="4" t="s">
        <v>7</v>
      </c>
      <c r="D29077" s="4" t="s">
        <v>11</v>
      </c>
    </row>
    <row r="29078" spans="1:8">
      <c r="A29078" t="n">
        <v>282280</v>
      </c>
      <c r="B29078" s="23" t="n">
        <v>58</v>
      </c>
      <c r="C29078" s="7" t="n">
        <v>255</v>
      </c>
      <c r="D29078" s="7" t="n">
        <v>0</v>
      </c>
    </row>
    <row r="29079" spans="1:8">
      <c r="A29079" t="s">
        <v>4</v>
      </c>
      <c r="B29079" s="4" t="s">
        <v>5</v>
      </c>
      <c r="C29079" s="4" t="s">
        <v>11</v>
      </c>
      <c r="D29079" s="4" t="s">
        <v>11</v>
      </c>
      <c r="E29079" s="4" t="s">
        <v>11</v>
      </c>
    </row>
    <row r="29080" spans="1:8">
      <c r="A29080" t="n">
        <v>282284</v>
      </c>
      <c r="B29080" s="72" t="n">
        <v>61</v>
      </c>
      <c r="C29080" s="7" t="n">
        <v>0</v>
      </c>
      <c r="D29080" s="7" t="n">
        <v>65533</v>
      </c>
      <c r="E29080" s="7" t="n">
        <v>1000</v>
      </c>
    </row>
    <row r="29081" spans="1:8">
      <c r="A29081" t="s">
        <v>4</v>
      </c>
      <c r="B29081" s="4" t="s">
        <v>5</v>
      </c>
      <c r="C29081" s="4" t="s">
        <v>11</v>
      </c>
      <c r="D29081" s="4" t="s">
        <v>11</v>
      </c>
      <c r="E29081" s="4" t="s">
        <v>11</v>
      </c>
    </row>
    <row r="29082" spans="1:8">
      <c r="A29082" t="n">
        <v>282291</v>
      </c>
      <c r="B29082" s="72" t="n">
        <v>61</v>
      </c>
      <c r="C29082" s="7" t="n">
        <v>9</v>
      </c>
      <c r="D29082" s="7" t="n">
        <v>65533</v>
      </c>
      <c r="E29082" s="7" t="n">
        <v>1000</v>
      </c>
    </row>
    <row r="29083" spans="1:8">
      <c r="A29083" t="s">
        <v>4</v>
      </c>
      <c r="B29083" s="4" t="s">
        <v>5</v>
      </c>
      <c r="C29083" s="4" t="s">
        <v>11</v>
      </c>
      <c r="D29083" s="4" t="s">
        <v>13</v>
      </c>
      <c r="E29083" s="4" t="s">
        <v>13</v>
      </c>
      <c r="F29083" s="4" t="s">
        <v>13</v>
      </c>
      <c r="G29083" s="4" t="s">
        <v>13</v>
      </c>
    </row>
    <row r="29084" spans="1:8">
      <c r="A29084" t="n">
        <v>282298</v>
      </c>
      <c r="B29084" s="36" t="n">
        <v>46</v>
      </c>
      <c r="C29084" s="7" t="n">
        <v>0</v>
      </c>
      <c r="D29084" s="7" t="n">
        <v>-2.66000008583069</v>
      </c>
      <c r="E29084" s="7" t="n">
        <v>5.01000022888184</v>
      </c>
      <c r="F29084" s="7" t="n">
        <v>32.189998626709</v>
      </c>
      <c r="G29084" s="7" t="n">
        <v>90</v>
      </c>
    </row>
    <row r="29085" spans="1:8">
      <c r="A29085" t="s">
        <v>4</v>
      </c>
      <c r="B29085" s="4" t="s">
        <v>5</v>
      </c>
      <c r="C29085" s="4" t="s">
        <v>11</v>
      </c>
      <c r="D29085" s="4" t="s">
        <v>13</v>
      </c>
      <c r="E29085" s="4" t="s">
        <v>13</v>
      </c>
      <c r="F29085" s="4" t="s">
        <v>13</v>
      </c>
      <c r="G29085" s="4" t="s">
        <v>13</v>
      </c>
    </row>
    <row r="29086" spans="1:8">
      <c r="A29086" t="n">
        <v>282317</v>
      </c>
      <c r="B29086" s="36" t="n">
        <v>46</v>
      </c>
      <c r="C29086" s="7" t="n">
        <v>9</v>
      </c>
      <c r="D29086" s="7" t="n">
        <v>-3.16000008583069</v>
      </c>
      <c r="E29086" s="7" t="n">
        <v>5.01000022888184</v>
      </c>
      <c r="F29086" s="7" t="n">
        <v>31.7900009155273</v>
      </c>
      <c r="G29086" s="7" t="n">
        <v>90</v>
      </c>
    </row>
    <row r="29087" spans="1:8">
      <c r="A29087" t="s">
        <v>4</v>
      </c>
      <c r="B29087" s="4" t="s">
        <v>5</v>
      </c>
      <c r="C29087" s="4" t="s">
        <v>7</v>
      </c>
      <c r="D29087" s="4" t="s">
        <v>7</v>
      </c>
      <c r="E29087" s="4" t="s">
        <v>13</v>
      </c>
      <c r="F29087" s="4" t="s">
        <v>13</v>
      </c>
      <c r="G29087" s="4" t="s">
        <v>13</v>
      </c>
      <c r="H29087" s="4" t="s">
        <v>11</v>
      </c>
    </row>
    <row r="29088" spans="1:8">
      <c r="A29088" t="n">
        <v>282336</v>
      </c>
      <c r="B29088" s="51" t="n">
        <v>45</v>
      </c>
      <c r="C29088" s="7" t="n">
        <v>2</v>
      </c>
      <c r="D29088" s="7" t="n">
        <v>3</v>
      </c>
      <c r="E29088" s="7" t="n">
        <v>6.82000017166138</v>
      </c>
      <c r="F29088" s="7" t="n">
        <v>6.17999982833862</v>
      </c>
      <c r="G29088" s="7" t="n">
        <v>32.2799987792969</v>
      </c>
      <c r="H29088" s="7" t="n">
        <v>0</v>
      </c>
    </row>
    <row r="29089" spans="1:8">
      <c r="A29089" t="s">
        <v>4</v>
      </c>
      <c r="B29089" s="4" t="s">
        <v>5</v>
      </c>
      <c r="C29089" s="4" t="s">
        <v>7</v>
      </c>
      <c r="D29089" s="4" t="s">
        <v>7</v>
      </c>
      <c r="E29089" s="4" t="s">
        <v>13</v>
      </c>
      <c r="F29089" s="4" t="s">
        <v>13</v>
      </c>
      <c r="G29089" s="4" t="s">
        <v>13</v>
      </c>
      <c r="H29089" s="4" t="s">
        <v>11</v>
      </c>
      <c r="I29089" s="4" t="s">
        <v>7</v>
      </c>
    </row>
    <row r="29090" spans="1:8">
      <c r="A29090" t="n">
        <v>282353</v>
      </c>
      <c r="B29090" s="51" t="n">
        <v>45</v>
      </c>
      <c r="C29090" s="7" t="n">
        <v>4</v>
      </c>
      <c r="D29090" s="7" t="n">
        <v>3</v>
      </c>
      <c r="E29090" s="7" t="n">
        <v>358.239990234375</v>
      </c>
      <c r="F29090" s="7" t="n">
        <v>344.200012207031</v>
      </c>
      <c r="G29090" s="7" t="n">
        <v>0</v>
      </c>
      <c r="H29090" s="7" t="n">
        <v>0</v>
      </c>
      <c r="I29090" s="7" t="n">
        <v>0</v>
      </c>
    </row>
    <row r="29091" spans="1:8">
      <c r="A29091" t="s">
        <v>4</v>
      </c>
      <c r="B29091" s="4" t="s">
        <v>5</v>
      </c>
      <c r="C29091" s="4" t="s">
        <v>7</v>
      </c>
      <c r="D29091" s="4" t="s">
        <v>7</v>
      </c>
      <c r="E29091" s="4" t="s">
        <v>13</v>
      </c>
      <c r="F29091" s="4" t="s">
        <v>11</v>
      </c>
    </row>
    <row r="29092" spans="1:8">
      <c r="A29092" t="n">
        <v>282371</v>
      </c>
      <c r="B29092" s="51" t="n">
        <v>45</v>
      </c>
      <c r="C29092" s="7" t="n">
        <v>5</v>
      </c>
      <c r="D29092" s="7" t="n">
        <v>3</v>
      </c>
      <c r="E29092" s="7" t="n">
        <v>3.40000009536743</v>
      </c>
      <c r="F29092" s="7" t="n">
        <v>0</v>
      </c>
    </row>
    <row r="29093" spans="1:8">
      <c r="A29093" t="s">
        <v>4</v>
      </c>
      <c r="B29093" s="4" t="s">
        <v>5</v>
      </c>
      <c r="C29093" s="4" t="s">
        <v>7</v>
      </c>
      <c r="D29093" s="4" t="s">
        <v>7</v>
      </c>
      <c r="E29093" s="4" t="s">
        <v>13</v>
      </c>
      <c r="F29093" s="4" t="s">
        <v>11</v>
      </c>
    </row>
    <row r="29094" spans="1:8">
      <c r="A29094" t="n">
        <v>282380</v>
      </c>
      <c r="B29094" s="51" t="n">
        <v>45</v>
      </c>
      <c r="C29094" s="7" t="n">
        <v>11</v>
      </c>
      <c r="D29094" s="7" t="n">
        <v>3</v>
      </c>
      <c r="E29094" s="7" t="n">
        <v>40.2999992370605</v>
      </c>
      <c r="F29094" s="7" t="n">
        <v>0</v>
      </c>
    </row>
    <row r="29095" spans="1:8">
      <c r="A29095" t="s">
        <v>4</v>
      </c>
      <c r="B29095" s="4" t="s">
        <v>5</v>
      </c>
      <c r="C29095" s="4" t="s">
        <v>7</v>
      </c>
      <c r="D29095" s="4" t="s">
        <v>7</v>
      </c>
      <c r="E29095" s="4" t="s">
        <v>13</v>
      </c>
      <c r="F29095" s="4" t="s">
        <v>13</v>
      </c>
      <c r="G29095" s="4" t="s">
        <v>13</v>
      </c>
      <c r="H29095" s="4" t="s">
        <v>11</v>
      </c>
    </row>
    <row r="29096" spans="1:8">
      <c r="A29096" t="n">
        <v>282389</v>
      </c>
      <c r="B29096" s="51" t="n">
        <v>45</v>
      </c>
      <c r="C29096" s="7" t="n">
        <v>2</v>
      </c>
      <c r="D29096" s="7" t="n">
        <v>3</v>
      </c>
      <c r="E29096" s="7" t="n">
        <v>-2.55999994277954</v>
      </c>
      <c r="F29096" s="7" t="n">
        <v>6.17999982833862</v>
      </c>
      <c r="G29096" s="7" t="n">
        <v>32.1800003051758</v>
      </c>
      <c r="H29096" s="7" t="n">
        <v>6000</v>
      </c>
    </row>
    <row r="29097" spans="1:8">
      <c r="A29097" t="s">
        <v>4</v>
      </c>
      <c r="B29097" s="4" t="s">
        <v>5</v>
      </c>
      <c r="C29097" s="4" t="s">
        <v>7</v>
      </c>
      <c r="D29097" s="4" t="s">
        <v>7</v>
      </c>
      <c r="E29097" s="4" t="s">
        <v>13</v>
      </c>
      <c r="F29097" s="4" t="s">
        <v>13</v>
      </c>
      <c r="G29097" s="4" t="s">
        <v>13</v>
      </c>
      <c r="H29097" s="4" t="s">
        <v>11</v>
      </c>
      <c r="I29097" s="4" t="s">
        <v>7</v>
      </c>
    </row>
    <row r="29098" spans="1:8">
      <c r="A29098" t="n">
        <v>282406</v>
      </c>
      <c r="B29098" s="51" t="n">
        <v>45</v>
      </c>
      <c r="C29098" s="7" t="n">
        <v>4</v>
      </c>
      <c r="D29098" s="7" t="n">
        <v>3</v>
      </c>
      <c r="E29098" s="7" t="n">
        <v>12.2700004577637</v>
      </c>
      <c r="F29098" s="7" t="n">
        <v>75.7099990844727</v>
      </c>
      <c r="G29098" s="7" t="n">
        <v>0</v>
      </c>
      <c r="H29098" s="7" t="n">
        <v>6000</v>
      </c>
      <c r="I29098" s="7" t="n">
        <v>1</v>
      </c>
    </row>
    <row r="29099" spans="1:8">
      <c r="A29099" t="s">
        <v>4</v>
      </c>
      <c r="B29099" s="4" t="s">
        <v>5</v>
      </c>
      <c r="C29099" s="4" t="s">
        <v>7</v>
      </c>
      <c r="D29099" s="4" t="s">
        <v>7</v>
      </c>
      <c r="E29099" s="4" t="s">
        <v>13</v>
      </c>
      <c r="F29099" s="4" t="s">
        <v>11</v>
      </c>
    </row>
    <row r="29100" spans="1:8">
      <c r="A29100" t="n">
        <v>282424</v>
      </c>
      <c r="B29100" s="51" t="n">
        <v>45</v>
      </c>
      <c r="C29100" s="7" t="n">
        <v>5</v>
      </c>
      <c r="D29100" s="7" t="n">
        <v>3</v>
      </c>
      <c r="E29100" s="7" t="n">
        <v>2.70000004768372</v>
      </c>
      <c r="F29100" s="7" t="n">
        <v>6000</v>
      </c>
    </row>
    <row r="29101" spans="1:8">
      <c r="A29101" t="s">
        <v>4</v>
      </c>
      <c r="B29101" s="4" t="s">
        <v>5</v>
      </c>
      <c r="C29101" s="4" t="s">
        <v>7</v>
      </c>
      <c r="D29101" s="4" t="s">
        <v>11</v>
      </c>
      <c r="E29101" s="4" t="s">
        <v>13</v>
      </c>
    </row>
    <row r="29102" spans="1:8">
      <c r="A29102" t="n">
        <v>282433</v>
      </c>
      <c r="B29102" s="23" t="n">
        <v>58</v>
      </c>
      <c r="C29102" s="7" t="n">
        <v>100</v>
      </c>
      <c r="D29102" s="7" t="n">
        <v>1000</v>
      </c>
      <c r="E29102" s="7" t="n">
        <v>1</v>
      </c>
    </row>
    <row r="29103" spans="1:8">
      <c r="A29103" t="s">
        <v>4</v>
      </c>
      <c r="B29103" s="4" t="s">
        <v>5</v>
      </c>
      <c r="C29103" s="4" t="s">
        <v>7</v>
      </c>
      <c r="D29103" s="4" t="s">
        <v>11</v>
      </c>
    </row>
    <row r="29104" spans="1:8">
      <c r="A29104" t="n">
        <v>282441</v>
      </c>
      <c r="B29104" s="23" t="n">
        <v>58</v>
      </c>
      <c r="C29104" s="7" t="n">
        <v>255</v>
      </c>
      <c r="D29104" s="7" t="n">
        <v>0</v>
      </c>
    </row>
    <row r="29105" spans="1:9">
      <c r="A29105" t="s">
        <v>4</v>
      </c>
      <c r="B29105" s="4" t="s">
        <v>5</v>
      </c>
      <c r="C29105" s="4" t="s">
        <v>8</v>
      </c>
      <c r="D29105" s="4" t="s">
        <v>8</v>
      </c>
    </row>
    <row r="29106" spans="1:9">
      <c r="A29106" t="n">
        <v>282445</v>
      </c>
      <c r="B29106" s="52" t="n">
        <v>70</v>
      </c>
      <c r="C29106" s="7" t="s">
        <v>24</v>
      </c>
      <c r="D29106" s="7" t="s">
        <v>109</v>
      </c>
    </row>
    <row r="29107" spans="1:9">
      <c r="A29107" t="s">
        <v>4</v>
      </c>
      <c r="B29107" s="4" t="s">
        <v>5</v>
      </c>
      <c r="C29107" s="4" t="s">
        <v>11</v>
      </c>
    </row>
    <row r="29108" spans="1:9">
      <c r="A29108" t="n">
        <v>282462</v>
      </c>
      <c r="B29108" s="29" t="n">
        <v>16</v>
      </c>
      <c r="C29108" s="7" t="n">
        <v>4000</v>
      </c>
    </row>
    <row r="29109" spans="1:9">
      <c r="A29109" t="s">
        <v>4</v>
      </c>
      <c r="B29109" s="4" t="s">
        <v>5</v>
      </c>
      <c r="C29109" s="4" t="s">
        <v>11</v>
      </c>
      <c r="D29109" s="4" t="s">
        <v>7</v>
      </c>
      <c r="E29109" s="4" t="s">
        <v>13</v>
      </c>
      <c r="F29109" s="4" t="s">
        <v>11</v>
      </c>
    </row>
    <row r="29110" spans="1:9">
      <c r="A29110" t="n">
        <v>282465</v>
      </c>
      <c r="B29110" s="56" t="n">
        <v>59</v>
      </c>
      <c r="C29110" s="7" t="n">
        <v>0</v>
      </c>
      <c r="D29110" s="7" t="n">
        <v>9</v>
      </c>
      <c r="E29110" s="7" t="n">
        <v>0.150000005960464</v>
      </c>
      <c r="F29110" s="7" t="n">
        <v>0</v>
      </c>
    </row>
    <row r="29111" spans="1:9">
      <c r="A29111" t="s">
        <v>4</v>
      </c>
      <c r="B29111" s="4" t="s">
        <v>5</v>
      </c>
      <c r="C29111" s="4" t="s">
        <v>11</v>
      </c>
    </row>
    <row r="29112" spans="1:9">
      <c r="A29112" t="n">
        <v>282475</v>
      </c>
      <c r="B29112" s="29" t="n">
        <v>16</v>
      </c>
      <c r="C29112" s="7" t="n">
        <v>1800</v>
      </c>
    </row>
    <row r="29113" spans="1:9">
      <c r="A29113" t="s">
        <v>4</v>
      </c>
      <c r="B29113" s="4" t="s">
        <v>5</v>
      </c>
      <c r="C29113" s="4" t="s">
        <v>7</v>
      </c>
      <c r="D29113" s="4" t="s">
        <v>11</v>
      </c>
    </row>
    <row r="29114" spans="1:9">
      <c r="A29114" t="n">
        <v>282478</v>
      </c>
      <c r="B29114" s="51" t="n">
        <v>45</v>
      </c>
      <c r="C29114" s="7" t="n">
        <v>7</v>
      </c>
      <c r="D29114" s="7" t="n">
        <v>255</v>
      </c>
    </row>
    <row r="29115" spans="1:9">
      <c r="A29115" t="s">
        <v>4</v>
      </c>
      <c r="B29115" s="4" t="s">
        <v>5</v>
      </c>
      <c r="C29115" s="4" t="s">
        <v>7</v>
      </c>
      <c r="D29115" s="4" t="s">
        <v>11</v>
      </c>
      <c r="E29115" s="4" t="s">
        <v>13</v>
      </c>
    </row>
    <row r="29116" spans="1:9">
      <c r="A29116" t="n">
        <v>282482</v>
      </c>
      <c r="B29116" s="23" t="n">
        <v>58</v>
      </c>
      <c r="C29116" s="7" t="n">
        <v>0</v>
      </c>
      <c r="D29116" s="7" t="n">
        <v>1000</v>
      </c>
      <c r="E29116" s="7" t="n">
        <v>1</v>
      </c>
    </row>
    <row r="29117" spans="1:9">
      <c r="A29117" t="s">
        <v>4</v>
      </c>
      <c r="B29117" s="4" t="s">
        <v>5</v>
      </c>
      <c r="C29117" s="4" t="s">
        <v>7</v>
      </c>
      <c r="D29117" s="4" t="s">
        <v>11</v>
      </c>
    </row>
    <row r="29118" spans="1:9">
      <c r="A29118" t="n">
        <v>282490</v>
      </c>
      <c r="B29118" s="23" t="n">
        <v>58</v>
      </c>
      <c r="C29118" s="7" t="n">
        <v>255</v>
      </c>
      <c r="D29118" s="7" t="n">
        <v>0</v>
      </c>
    </row>
    <row r="29119" spans="1:9">
      <c r="A29119" t="s">
        <v>4</v>
      </c>
      <c r="B29119" s="4" t="s">
        <v>5</v>
      </c>
      <c r="C29119" s="4" t="s">
        <v>8</v>
      </c>
      <c r="D29119" s="4" t="s">
        <v>8</v>
      </c>
    </row>
    <row r="29120" spans="1:9">
      <c r="A29120" t="n">
        <v>282494</v>
      </c>
      <c r="B29120" s="52" t="n">
        <v>70</v>
      </c>
      <c r="C29120" s="7" t="s">
        <v>24</v>
      </c>
      <c r="D29120" s="7" t="s">
        <v>118</v>
      </c>
    </row>
    <row r="29121" spans="1:6">
      <c r="A29121" t="s">
        <v>4</v>
      </c>
      <c r="B29121" s="4" t="s">
        <v>5</v>
      </c>
      <c r="C29121" s="4" t="s">
        <v>11</v>
      </c>
      <c r="D29121" s="4" t="s">
        <v>13</v>
      </c>
      <c r="E29121" s="4" t="s">
        <v>13</v>
      </c>
      <c r="F29121" s="4" t="s">
        <v>13</v>
      </c>
      <c r="G29121" s="4" t="s">
        <v>13</v>
      </c>
    </row>
    <row r="29122" spans="1:6">
      <c r="A29122" t="n">
        <v>282510</v>
      </c>
      <c r="B29122" s="36" t="n">
        <v>46</v>
      </c>
      <c r="C29122" s="7" t="n">
        <v>0</v>
      </c>
      <c r="D29122" s="7" t="n">
        <v>-10.9899997711182</v>
      </c>
      <c r="E29122" s="7" t="n">
        <v>5.01000022888184</v>
      </c>
      <c r="F29122" s="7" t="n">
        <v>32.4300003051758</v>
      </c>
      <c r="G29122" s="7" t="n">
        <v>270</v>
      </c>
    </row>
    <row r="29123" spans="1:6">
      <c r="A29123" t="s">
        <v>4</v>
      </c>
      <c r="B29123" s="4" t="s">
        <v>5</v>
      </c>
      <c r="C29123" s="4" t="s">
        <v>11</v>
      </c>
      <c r="D29123" s="4" t="s">
        <v>13</v>
      </c>
      <c r="E29123" s="4" t="s">
        <v>13</v>
      </c>
      <c r="F29123" s="4" t="s">
        <v>13</v>
      </c>
      <c r="G29123" s="4" t="s">
        <v>13</v>
      </c>
    </row>
    <row r="29124" spans="1:6">
      <c r="A29124" t="n">
        <v>282529</v>
      </c>
      <c r="B29124" s="36" t="n">
        <v>46</v>
      </c>
      <c r="C29124" s="7" t="n">
        <v>9</v>
      </c>
      <c r="D29124" s="7" t="n">
        <v>-10.5500001907349</v>
      </c>
      <c r="E29124" s="7" t="n">
        <v>5.01000022888184</v>
      </c>
      <c r="F29124" s="7" t="n">
        <v>31.5499992370605</v>
      </c>
      <c r="G29124" s="7" t="n">
        <v>270</v>
      </c>
    </row>
    <row r="29125" spans="1:6">
      <c r="A29125" t="s">
        <v>4</v>
      </c>
      <c r="B29125" s="4" t="s">
        <v>5</v>
      </c>
      <c r="C29125" s="4" t="s">
        <v>7</v>
      </c>
      <c r="D29125" s="4" t="s">
        <v>7</v>
      </c>
      <c r="E29125" s="4" t="s">
        <v>13</v>
      </c>
      <c r="F29125" s="4" t="s">
        <v>13</v>
      </c>
      <c r="G29125" s="4" t="s">
        <v>13</v>
      </c>
      <c r="H29125" s="4" t="s">
        <v>11</v>
      </c>
    </row>
    <row r="29126" spans="1:6">
      <c r="A29126" t="n">
        <v>282548</v>
      </c>
      <c r="B29126" s="51" t="n">
        <v>45</v>
      </c>
      <c r="C29126" s="7" t="n">
        <v>2</v>
      </c>
      <c r="D29126" s="7" t="n">
        <v>3</v>
      </c>
      <c r="E29126" s="7" t="n">
        <v>-14.1199998855591</v>
      </c>
      <c r="F29126" s="7" t="n">
        <v>6.75</v>
      </c>
      <c r="G29126" s="7" t="n">
        <v>31.9300003051758</v>
      </c>
      <c r="H29126" s="7" t="n">
        <v>0</v>
      </c>
    </row>
    <row r="29127" spans="1:6">
      <c r="A29127" t="s">
        <v>4</v>
      </c>
      <c r="B29127" s="4" t="s">
        <v>5</v>
      </c>
      <c r="C29127" s="4" t="s">
        <v>7</v>
      </c>
      <c r="D29127" s="4" t="s">
        <v>7</v>
      </c>
      <c r="E29127" s="4" t="s">
        <v>13</v>
      </c>
      <c r="F29127" s="4" t="s">
        <v>13</v>
      </c>
      <c r="G29127" s="4" t="s">
        <v>13</v>
      </c>
      <c r="H29127" s="4" t="s">
        <v>11</v>
      </c>
      <c r="I29127" s="4" t="s">
        <v>7</v>
      </c>
    </row>
    <row r="29128" spans="1:6">
      <c r="A29128" t="n">
        <v>282565</v>
      </c>
      <c r="B29128" s="51" t="n">
        <v>45</v>
      </c>
      <c r="C29128" s="7" t="n">
        <v>4</v>
      </c>
      <c r="D29128" s="7" t="n">
        <v>3</v>
      </c>
      <c r="E29128" s="7" t="n">
        <v>7.63000011444092</v>
      </c>
      <c r="F29128" s="7" t="n">
        <v>90</v>
      </c>
      <c r="G29128" s="7" t="n">
        <v>0</v>
      </c>
      <c r="H29128" s="7" t="n">
        <v>0</v>
      </c>
      <c r="I29128" s="7" t="n">
        <v>0</v>
      </c>
    </row>
    <row r="29129" spans="1:6">
      <c r="A29129" t="s">
        <v>4</v>
      </c>
      <c r="B29129" s="4" t="s">
        <v>5</v>
      </c>
      <c r="C29129" s="4" t="s">
        <v>7</v>
      </c>
      <c r="D29129" s="4" t="s">
        <v>7</v>
      </c>
      <c r="E29129" s="4" t="s">
        <v>13</v>
      </c>
      <c r="F29129" s="4" t="s">
        <v>11</v>
      </c>
    </row>
    <row r="29130" spans="1:6">
      <c r="A29130" t="n">
        <v>282583</v>
      </c>
      <c r="B29130" s="51" t="n">
        <v>45</v>
      </c>
      <c r="C29130" s="7" t="n">
        <v>5</v>
      </c>
      <c r="D29130" s="7" t="n">
        <v>3</v>
      </c>
      <c r="E29130" s="7" t="n">
        <v>2.09999990463257</v>
      </c>
      <c r="F29130" s="7" t="n">
        <v>0</v>
      </c>
    </row>
    <row r="29131" spans="1:6">
      <c r="A29131" t="s">
        <v>4</v>
      </c>
      <c r="B29131" s="4" t="s">
        <v>5</v>
      </c>
      <c r="C29131" s="4" t="s">
        <v>7</v>
      </c>
      <c r="D29131" s="4" t="s">
        <v>7</v>
      </c>
      <c r="E29131" s="4" t="s">
        <v>13</v>
      </c>
      <c r="F29131" s="4" t="s">
        <v>11</v>
      </c>
    </row>
    <row r="29132" spans="1:6">
      <c r="A29132" t="n">
        <v>282592</v>
      </c>
      <c r="B29132" s="51" t="n">
        <v>45</v>
      </c>
      <c r="C29132" s="7" t="n">
        <v>11</v>
      </c>
      <c r="D29132" s="7" t="n">
        <v>3</v>
      </c>
      <c r="E29132" s="7" t="n">
        <v>40.2999992370605</v>
      </c>
      <c r="F29132" s="7" t="n">
        <v>0</v>
      </c>
    </row>
    <row r="29133" spans="1:6">
      <c r="A29133" t="s">
        <v>4</v>
      </c>
      <c r="B29133" s="4" t="s">
        <v>5</v>
      </c>
      <c r="C29133" s="4" t="s">
        <v>7</v>
      </c>
      <c r="D29133" s="4" t="s">
        <v>7</v>
      </c>
      <c r="E29133" s="4" t="s">
        <v>13</v>
      </c>
      <c r="F29133" s="4" t="s">
        <v>13</v>
      </c>
      <c r="G29133" s="4" t="s">
        <v>13</v>
      </c>
      <c r="H29133" s="4" t="s">
        <v>11</v>
      </c>
    </row>
    <row r="29134" spans="1:6">
      <c r="A29134" t="n">
        <v>282601</v>
      </c>
      <c r="B29134" s="51" t="n">
        <v>45</v>
      </c>
      <c r="C29134" s="7" t="n">
        <v>2</v>
      </c>
      <c r="D29134" s="7" t="n">
        <v>3</v>
      </c>
      <c r="E29134" s="7" t="n">
        <v>-9.10000038146973</v>
      </c>
      <c r="F29134" s="7" t="n">
        <v>6.75</v>
      </c>
      <c r="G29134" s="7" t="n">
        <v>31.9699993133545</v>
      </c>
      <c r="H29134" s="7" t="n">
        <v>6000</v>
      </c>
    </row>
    <row r="29135" spans="1:6">
      <c r="A29135" t="s">
        <v>4</v>
      </c>
      <c r="B29135" s="4" t="s">
        <v>5</v>
      </c>
      <c r="C29135" s="4" t="s">
        <v>7</v>
      </c>
      <c r="D29135" s="4" t="s">
        <v>7</v>
      </c>
      <c r="E29135" s="4" t="s">
        <v>13</v>
      </c>
      <c r="F29135" s="4" t="s">
        <v>13</v>
      </c>
      <c r="G29135" s="4" t="s">
        <v>13</v>
      </c>
      <c r="H29135" s="4" t="s">
        <v>11</v>
      </c>
      <c r="I29135" s="4" t="s">
        <v>7</v>
      </c>
    </row>
    <row r="29136" spans="1:6">
      <c r="A29136" t="n">
        <v>282618</v>
      </c>
      <c r="B29136" s="51" t="n">
        <v>45</v>
      </c>
      <c r="C29136" s="7" t="n">
        <v>4</v>
      </c>
      <c r="D29136" s="7" t="n">
        <v>3</v>
      </c>
      <c r="E29136" s="7" t="n">
        <v>0.0299999993294477</v>
      </c>
      <c r="F29136" s="7" t="n">
        <v>90</v>
      </c>
      <c r="G29136" s="7" t="n">
        <v>0</v>
      </c>
      <c r="H29136" s="7" t="n">
        <v>6000</v>
      </c>
      <c r="I29136" s="7" t="n">
        <v>0</v>
      </c>
    </row>
    <row r="29137" spans="1:9">
      <c r="A29137" t="s">
        <v>4</v>
      </c>
      <c r="B29137" s="4" t="s">
        <v>5</v>
      </c>
      <c r="C29137" s="4" t="s">
        <v>7</v>
      </c>
      <c r="D29137" s="4" t="s">
        <v>7</v>
      </c>
      <c r="E29137" s="4" t="s">
        <v>13</v>
      </c>
      <c r="F29137" s="4" t="s">
        <v>11</v>
      </c>
    </row>
    <row r="29138" spans="1:9">
      <c r="A29138" t="n">
        <v>282636</v>
      </c>
      <c r="B29138" s="51" t="n">
        <v>45</v>
      </c>
      <c r="C29138" s="7" t="n">
        <v>5</v>
      </c>
      <c r="D29138" s="7" t="n">
        <v>3</v>
      </c>
      <c r="E29138" s="7" t="n">
        <v>1.79999995231628</v>
      </c>
      <c r="F29138" s="7" t="n">
        <v>6000</v>
      </c>
    </row>
    <row r="29139" spans="1:9">
      <c r="A29139" t="s">
        <v>4</v>
      </c>
      <c r="B29139" s="4" t="s">
        <v>5</v>
      </c>
      <c r="C29139" s="4" t="s">
        <v>8</v>
      </c>
      <c r="D29139" s="4" t="s">
        <v>8</v>
      </c>
    </row>
    <row r="29140" spans="1:9">
      <c r="A29140" t="n">
        <v>282645</v>
      </c>
      <c r="B29140" s="52" t="n">
        <v>70</v>
      </c>
      <c r="C29140" s="7" t="s">
        <v>25</v>
      </c>
      <c r="D29140" s="7" t="s">
        <v>109</v>
      </c>
    </row>
    <row r="29141" spans="1:9">
      <c r="A29141" t="s">
        <v>4</v>
      </c>
      <c r="B29141" s="4" t="s">
        <v>5</v>
      </c>
      <c r="C29141" s="4" t="s">
        <v>7</v>
      </c>
      <c r="D29141" s="4" t="s">
        <v>11</v>
      </c>
      <c r="E29141" s="4" t="s">
        <v>13</v>
      </c>
    </row>
    <row r="29142" spans="1:9">
      <c r="A29142" t="n">
        <v>282662</v>
      </c>
      <c r="B29142" s="23" t="n">
        <v>58</v>
      </c>
      <c r="C29142" s="7" t="n">
        <v>100</v>
      </c>
      <c r="D29142" s="7" t="n">
        <v>1000</v>
      </c>
      <c r="E29142" s="7" t="n">
        <v>1</v>
      </c>
    </row>
    <row r="29143" spans="1:9">
      <c r="A29143" t="s">
        <v>4</v>
      </c>
      <c r="B29143" s="4" t="s">
        <v>5</v>
      </c>
      <c r="C29143" s="4" t="s">
        <v>7</v>
      </c>
      <c r="D29143" s="4" t="s">
        <v>11</v>
      </c>
    </row>
    <row r="29144" spans="1:9">
      <c r="A29144" t="n">
        <v>282670</v>
      </c>
      <c r="B29144" s="23" t="n">
        <v>58</v>
      </c>
      <c r="C29144" s="7" t="n">
        <v>255</v>
      </c>
      <c r="D29144" s="7" t="n">
        <v>0</v>
      </c>
    </row>
    <row r="29145" spans="1:9">
      <c r="A29145" t="s">
        <v>4</v>
      </c>
      <c r="B29145" s="4" t="s">
        <v>5</v>
      </c>
      <c r="C29145" s="4" t="s">
        <v>7</v>
      </c>
      <c r="D29145" s="4" t="s">
        <v>8</v>
      </c>
      <c r="E29145" s="4" t="s">
        <v>11</v>
      </c>
    </row>
    <row r="29146" spans="1:9">
      <c r="A29146" t="n">
        <v>282674</v>
      </c>
      <c r="B29146" s="15" t="n">
        <v>94</v>
      </c>
      <c r="C29146" s="7" t="n">
        <v>1</v>
      </c>
      <c r="D29146" s="7" t="s">
        <v>25</v>
      </c>
      <c r="E29146" s="7" t="n">
        <v>512</v>
      </c>
    </row>
    <row r="29147" spans="1:9">
      <c r="A29147" t="s">
        <v>4</v>
      </c>
      <c r="B29147" s="4" t="s">
        <v>5</v>
      </c>
      <c r="C29147" s="4" t="s">
        <v>11</v>
      </c>
    </row>
    <row r="29148" spans="1:9">
      <c r="A29148" t="n">
        <v>282688</v>
      </c>
      <c r="B29148" s="29" t="n">
        <v>16</v>
      </c>
      <c r="C29148" s="7" t="n">
        <v>4000</v>
      </c>
    </row>
    <row r="29149" spans="1:9">
      <c r="A29149" t="s">
        <v>4</v>
      </c>
      <c r="B29149" s="4" t="s">
        <v>5</v>
      </c>
      <c r="C29149" s="4" t="s">
        <v>11</v>
      </c>
      <c r="D29149" s="4" t="s">
        <v>7</v>
      </c>
      <c r="E29149" s="4" t="s">
        <v>13</v>
      </c>
      <c r="F29149" s="4" t="s">
        <v>11</v>
      </c>
    </row>
    <row r="29150" spans="1:9">
      <c r="A29150" t="n">
        <v>282691</v>
      </c>
      <c r="B29150" s="56" t="n">
        <v>59</v>
      </c>
      <c r="C29150" s="7" t="n">
        <v>0</v>
      </c>
      <c r="D29150" s="7" t="n">
        <v>9</v>
      </c>
      <c r="E29150" s="7" t="n">
        <v>0.150000005960464</v>
      </c>
      <c r="F29150" s="7" t="n">
        <v>0</v>
      </c>
    </row>
    <row r="29151" spans="1:9">
      <c r="A29151" t="s">
        <v>4</v>
      </c>
      <c r="B29151" s="4" t="s">
        <v>5</v>
      </c>
      <c r="C29151" s="4" t="s">
        <v>11</v>
      </c>
      <c r="D29151" s="4" t="s">
        <v>7</v>
      </c>
      <c r="E29151" s="4" t="s">
        <v>13</v>
      </c>
      <c r="F29151" s="4" t="s">
        <v>11</v>
      </c>
    </row>
    <row r="29152" spans="1:9">
      <c r="A29152" t="n">
        <v>282701</v>
      </c>
      <c r="B29152" s="56" t="n">
        <v>59</v>
      </c>
      <c r="C29152" s="7" t="n">
        <v>9</v>
      </c>
      <c r="D29152" s="7" t="n">
        <v>9</v>
      </c>
      <c r="E29152" s="7" t="n">
        <v>0.150000005960464</v>
      </c>
      <c r="F29152" s="7" t="n">
        <v>0</v>
      </c>
    </row>
    <row r="29153" spans="1:6">
      <c r="A29153" t="s">
        <v>4</v>
      </c>
      <c r="B29153" s="4" t="s">
        <v>5</v>
      </c>
      <c r="C29153" s="4" t="s">
        <v>11</v>
      </c>
    </row>
    <row r="29154" spans="1:6">
      <c r="A29154" t="n">
        <v>282711</v>
      </c>
      <c r="B29154" s="29" t="n">
        <v>16</v>
      </c>
      <c r="C29154" s="7" t="n">
        <v>1500</v>
      </c>
    </row>
    <row r="29155" spans="1:6">
      <c r="A29155" t="s">
        <v>4</v>
      </c>
      <c r="B29155" s="4" t="s">
        <v>5</v>
      </c>
      <c r="C29155" s="4" t="s">
        <v>7</v>
      </c>
      <c r="D29155" s="4" t="s">
        <v>11</v>
      </c>
    </row>
    <row r="29156" spans="1:6">
      <c r="A29156" t="n">
        <v>282714</v>
      </c>
      <c r="B29156" s="51" t="n">
        <v>45</v>
      </c>
      <c r="C29156" s="7" t="n">
        <v>7</v>
      </c>
      <c r="D29156" s="7" t="n">
        <v>255</v>
      </c>
    </row>
    <row r="29157" spans="1:6">
      <c r="A29157" t="s">
        <v>4</v>
      </c>
      <c r="B29157" s="4" t="s">
        <v>5</v>
      </c>
      <c r="C29157" s="4" t="s">
        <v>7</v>
      </c>
      <c r="D29157" s="4" t="s">
        <v>11</v>
      </c>
      <c r="E29157" s="4" t="s">
        <v>13</v>
      </c>
    </row>
    <row r="29158" spans="1:6">
      <c r="A29158" t="n">
        <v>282718</v>
      </c>
      <c r="B29158" s="23" t="n">
        <v>58</v>
      </c>
      <c r="C29158" s="7" t="n">
        <v>0</v>
      </c>
      <c r="D29158" s="7" t="n">
        <v>2000</v>
      </c>
      <c r="E29158" s="7" t="n">
        <v>1</v>
      </c>
    </row>
    <row r="29159" spans="1:6">
      <c r="A29159" t="s">
        <v>4</v>
      </c>
      <c r="B29159" s="4" t="s">
        <v>5</v>
      </c>
      <c r="C29159" s="4" t="s">
        <v>7</v>
      </c>
      <c r="D29159" s="4" t="s">
        <v>11</v>
      </c>
    </row>
    <row r="29160" spans="1:6">
      <c r="A29160" t="n">
        <v>282726</v>
      </c>
      <c r="B29160" s="23" t="n">
        <v>58</v>
      </c>
      <c r="C29160" s="7" t="n">
        <v>255</v>
      </c>
      <c r="D29160" s="7" t="n">
        <v>0</v>
      </c>
    </row>
    <row r="29161" spans="1:6">
      <c r="A29161" t="s">
        <v>4</v>
      </c>
      <c r="B29161" s="4" t="s">
        <v>5</v>
      </c>
      <c r="C29161" s="4" t="s">
        <v>7</v>
      </c>
      <c r="D29161" s="4" t="s">
        <v>7</v>
      </c>
      <c r="E29161" s="4" t="s">
        <v>13</v>
      </c>
      <c r="F29161" s="4" t="s">
        <v>13</v>
      </c>
      <c r="G29161" s="4" t="s">
        <v>13</v>
      </c>
      <c r="H29161" s="4" t="s">
        <v>11</v>
      </c>
    </row>
    <row r="29162" spans="1:6">
      <c r="A29162" t="n">
        <v>282730</v>
      </c>
      <c r="B29162" s="51" t="n">
        <v>45</v>
      </c>
      <c r="C29162" s="7" t="n">
        <v>2</v>
      </c>
      <c r="D29162" s="7" t="n">
        <v>3</v>
      </c>
      <c r="E29162" s="7" t="n">
        <v>-7.84000015258789</v>
      </c>
      <c r="F29162" s="7" t="n">
        <v>7.17000007629395</v>
      </c>
      <c r="G29162" s="7" t="n">
        <v>31.6599998474121</v>
      </c>
      <c r="H29162" s="7" t="n">
        <v>0</v>
      </c>
    </row>
    <row r="29163" spans="1:6">
      <c r="A29163" t="s">
        <v>4</v>
      </c>
      <c r="B29163" s="4" t="s">
        <v>5</v>
      </c>
      <c r="C29163" s="4" t="s">
        <v>7</v>
      </c>
      <c r="D29163" s="4" t="s">
        <v>7</v>
      </c>
      <c r="E29163" s="4" t="s">
        <v>13</v>
      </c>
      <c r="F29163" s="4" t="s">
        <v>13</v>
      </c>
      <c r="G29163" s="4" t="s">
        <v>13</v>
      </c>
      <c r="H29163" s="4" t="s">
        <v>11</v>
      </c>
      <c r="I29163" s="4" t="s">
        <v>7</v>
      </c>
    </row>
    <row r="29164" spans="1:6">
      <c r="A29164" t="n">
        <v>282747</v>
      </c>
      <c r="B29164" s="51" t="n">
        <v>45</v>
      </c>
      <c r="C29164" s="7" t="n">
        <v>4</v>
      </c>
      <c r="D29164" s="7" t="n">
        <v>3</v>
      </c>
      <c r="E29164" s="7" t="n">
        <v>9.01000022888184</v>
      </c>
      <c r="F29164" s="7" t="n">
        <v>55.7900009155273</v>
      </c>
      <c r="G29164" s="7" t="n">
        <v>0</v>
      </c>
      <c r="H29164" s="7" t="n">
        <v>0</v>
      </c>
      <c r="I29164" s="7" t="n">
        <v>0</v>
      </c>
    </row>
    <row r="29165" spans="1:6">
      <c r="A29165" t="s">
        <v>4</v>
      </c>
      <c r="B29165" s="4" t="s">
        <v>5</v>
      </c>
      <c r="C29165" s="4" t="s">
        <v>7</v>
      </c>
      <c r="D29165" s="4" t="s">
        <v>7</v>
      </c>
      <c r="E29165" s="4" t="s">
        <v>13</v>
      </c>
      <c r="F29165" s="4" t="s">
        <v>11</v>
      </c>
    </row>
    <row r="29166" spans="1:6">
      <c r="A29166" t="n">
        <v>282765</v>
      </c>
      <c r="B29166" s="51" t="n">
        <v>45</v>
      </c>
      <c r="C29166" s="7" t="n">
        <v>5</v>
      </c>
      <c r="D29166" s="7" t="n">
        <v>3</v>
      </c>
      <c r="E29166" s="7" t="n">
        <v>2.40000009536743</v>
      </c>
      <c r="F29166" s="7" t="n">
        <v>0</v>
      </c>
    </row>
    <row r="29167" spans="1:6">
      <c r="A29167" t="s">
        <v>4</v>
      </c>
      <c r="B29167" s="4" t="s">
        <v>5</v>
      </c>
      <c r="C29167" s="4" t="s">
        <v>7</v>
      </c>
      <c r="D29167" s="4" t="s">
        <v>7</v>
      </c>
      <c r="E29167" s="4" t="s">
        <v>13</v>
      </c>
      <c r="F29167" s="4" t="s">
        <v>11</v>
      </c>
    </row>
    <row r="29168" spans="1:6">
      <c r="A29168" t="n">
        <v>282774</v>
      </c>
      <c r="B29168" s="51" t="n">
        <v>45</v>
      </c>
      <c r="C29168" s="7" t="n">
        <v>11</v>
      </c>
      <c r="D29168" s="7" t="n">
        <v>3</v>
      </c>
      <c r="E29168" s="7" t="n">
        <v>40.2999992370605</v>
      </c>
      <c r="F29168" s="7" t="n">
        <v>0</v>
      </c>
    </row>
    <row r="29169" spans="1:9">
      <c r="A29169" t="s">
        <v>4</v>
      </c>
      <c r="B29169" s="4" t="s">
        <v>5</v>
      </c>
      <c r="C29169" s="4" t="s">
        <v>7</v>
      </c>
      <c r="D29169" s="4" t="s">
        <v>7</v>
      </c>
      <c r="E29169" s="4" t="s">
        <v>13</v>
      </c>
      <c r="F29169" s="4" t="s">
        <v>13</v>
      </c>
      <c r="G29169" s="4" t="s">
        <v>13</v>
      </c>
      <c r="H29169" s="4" t="s">
        <v>11</v>
      </c>
    </row>
    <row r="29170" spans="1:9">
      <c r="A29170" t="n">
        <v>282783</v>
      </c>
      <c r="B29170" s="51" t="n">
        <v>45</v>
      </c>
      <c r="C29170" s="7" t="n">
        <v>2</v>
      </c>
      <c r="D29170" s="7" t="n">
        <v>3</v>
      </c>
      <c r="E29170" s="7" t="n">
        <v>-6.8899998664856</v>
      </c>
      <c r="F29170" s="7" t="n">
        <v>6.26999998092651</v>
      </c>
      <c r="G29170" s="7" t="n">
        <v>30.0599994659424</v>
      </c>
      <c r="H29170" s="7" t="n">
        <v>6000</v>
      </c>
    </row>
    <row r="29171" spans="1:9">
      <c r="A29171" t="s">
        <v>4</v>
      </c>
      <c r="B29171" s="4" t="s">
        <v>5</v>
      </c>
      <c r="C29171" s="4" t="s">
        <v>7</v>
      </c>
      <c r="D29171" s="4" t="s">
        <v>7</v>
      </c>
      <c r="E29171" s="4" t="s">
        <v>13</v>
      </c>
      <c r="F29171" s="4" t="s">
        <v>13</v>
      </c>
      <c r="G29171" s="4" t="s">
        <v>13</v>
      </c>
      <c r="H29171" s="4" t="s">
        <v>11</v>
      </c>
      <c r="I29171" s="4" t="s">
        <v>7</v>
      </c>
    </row>
    <row r="29172" spans="1:9">
      <c r="A29172" t="n">
        <v>282800</v>
      </c>
      <c r="B29172" s="51" t="n">
        <v>45</v>
      </c>
      <c r="C29172" s="7" t="n">
        <v>4</v>
      </c>
      <c r="D29172" s="7" t="n">
        <v>3</v>
      </c>
      <c r="E29172" s="7" t="n">
        <v>6.73999977111816</v>
      </c>
      <c r="F29172" s="7" t="n">
        <v>13.6199998855591</v>
      </c>
      <c r="G29172" s="7" t="n">
        <v>0</v>
      </c>
      <c r="H29172" s="7" t="n">
        <v>6000</v>
      </c>
      <c r="I29172" s="7" t="n">
        <v>1</v>
      </c>
    </row>
    <row r="29173" spans="1:9">
      <c r="A29173" t="s">
        <v>4</v>
      </c>
      <c r="B29173" s="4" t="s">
        <v>5</v>
      </c>
      <c r="C29173" s="4" t="s">
        <v>11</v>
      </c>
      <c r="D29173" s="4" t="s">
        <v>13</v>
      </c>
      <c r="E29173" s="4" t="s">
        <v>13</v>
      </c>
      <c r="F29173" s="4" t="s">
        <v>13</v>
      </c>
      <c r="G29173" s="4" t="s">
        <v>13</v>
      </c>
    </row>
    <row r="29174" spans="1:9">
      <c r="A29174" t="n">
        <v>282818</v>
      </c>
      <c r="B29174" s="36" t="n">
        <v>46</v>
      </c>
      <c r="C29174" s="7" t="n">
        <v>0</v>
      </c>
      <c r="D29174" s="7" t="n">
        <v>-6.51000022888184</v>
      </c>
      <c r="E29174" s="7" t="n">
        <v>5</v>
      </c>
      <c r="F29174" s="7" t="n">
        <v>29.8999996185303</v>
      </c>
      <c r="G29174" s="7" t="n">
        <v>208</v>
      </c>
    </row>
    <row r="29175" spans="1:9">
      <c r="A29175" t="s">
        <v>4</v>
      </c>
      <c r="B29175" s="4" t="s">
        <v>5</v>
      </c>
      <c r="C29175" s="4" t="s">
        <v>11</v>
      </c>
      <c r="D29175" s="4" t="s">
        <v>13</v>
      </c>
      <c r="E29175" s="4" t="s">
        <v>13</v>
      </c>
      <c r="F29175" s="4" t="s">
        <v>13</v>
      </c>
      <c r="G29175" s="4" t="s">
        <v>13</v>
      </c>
    </row>
    <row r="29176" spans="1:9">
      <c r="A29176" t="n">
        <v>282837</v>
      </c>
      <c r="B29176" s="36" t="n">
        <v>46</v>
      </c>
      <c r="C29176" s="7" t="n">
        <v>9</v>
      </c>
      <c r="D29176" s="7" t="n">
        <v>-7.44999980926514</v>
      </c>
      <c r="E29176" s="7" t="n">
        <v>5</v>
      </c>
      <c r="F29176" s="7" t="n">
        <v>29.7999992370605</v>
      </c>
      <c r="G29176" s="7" t="n">
        <v>151.199996948242</v>
      </c>
    </row>
    <row r="29177" spans="1:9">
      <c r="A29177" t="s">
        <v>4</v>
      </c>
      <c r="B29177" s="4" t="s">
        <v>5</v>
      </c>
      <c r="C29177" s="4" t="s">
        <v>8</v>
      </c>
      <c r="D29177" s="4" t="s">
        <v>8</v>
      </c>
    </row>
    <row r="29178" spans="1:9">
      <c r="A29178" t="n">
        <v>282856</v>
      </c>
      <c r="B29178" s="52" t="n">
        <v>70</v>
      </c>
      <c r="C29178" s="7" t="s">
        <v>25</v>
      </c>
      <c r="D29178" s="7" t="s">
        <v>118</v>
      </c>
    </row>
    <row r="29179" spans="1:9">
      <c r="A29179" t="s">
        <v>4</v>
      </c>
      <c r="B29179" s="4" t="s">
        <v>5</v>
      </c>
      <c r="C29179" s="4" t="s">
        <v>11</v>
      </c>
      <c r="D29179" s="4" t="s">
        <v>11</v>
      </c>
      <c r="E29179" s="4" t="s">
        <v>11</v>
      </c>
    </row>
    <row r="29180" spans="1:9">
      <c r="A29180" t="n">
        <v>282872</v>
      </c>
      <c r="B29180" s="72" t="n">
        <v>61</v>
      </c>
      <c r="C29180" s="7" t="n">
        <v>0</v>
      </c>
      <c r="D29180" s="7" t="n">
        <v>9</v>
      </c>
      <c r="E29180" s="7" t="n">
        <v>0</v>
      </c>
    </row>
    <row r="29181" spans="1:9">
      <c r="A29181" t="s">
        <v>4</v>
      </c>
      <c r="B29181" s="4" t="s">
        <v>5</v>
      </c>
      <c r="C29181" s="4" t="s">
        <v>11</v>
      </c>
      <c r="D29181" s="4" t="s">
        <v>11</v>
      </c>
      <c r="E29181" s="4" t="s">
        <v>11</v>
      </c>
    </row>
    <row r="29182" spans="1:9">
      <c r="A29182" t="n">
        <v>282879</v>
      </c>
      <c r="B29182" s="72" t="n">
        <v>61</v>
      </c>
      <c r="C29182" s="7" t="n">
        <v>9</v>
      </c>
      <c r="D29182" s="7" t="n">
        <v>0</v>
      </c>
      <c r="E29182" s="7" t="n">
        <v>0</v>
      </c>
    </row>
    <row r="29183" spans="1:9">
      <c r="A29183" t="s">
        <v>4</v>
      </c>
      <c r="B29183" s="4" t="s">
        <v>5</v>
      </c>
      <c r="C29183" s="4" t="s">
        <v>7</v>
      </c>
      <c r="D29183" s="4" t="s">
        <v>11</v>
      </c>
      <c r="E29183" s="4" t="s">
        <v>13</v>
      </c>
    </row>
    <row r="29184" spans="1:9">
      <c r="A29184" t="n">
        <v>282886</v>
      </c>
      <c r="B29184" s="23" t="n">
        <v>58</v>
      </c>
      <c r="C29184" s="7" t="n">
        <v>100</v>
      </c>
      <c r="D29184" s="7" t="n">
        <v>1000</v>
      </c>
      <c r="E29184" s="7" t="n">
        <v>1</v>
      </c>
    </row>
    <row r="29185" spans="1:9">
      <c r="A29185" t="s">
        <v>4</v>
      </c>
      <c r="B29185" s="4" t="s">
        <v>5</v>
      </c>
      <c r="C29185" s="4" t="s">
        <v>7</v>
      </c>
      <c r="D29185" s="4" t="s">
        <v>11</v>
      </c>
    </row>
    <row r="29186" spans="1:9">
      <c r="A29186" t="n">
        <v>282894</v>
      </c>
      <c r="B29186" s="23" t="n">
        <v>58</v>
      </c>
      <c r="C29186" s="7" t="n">
        <v>255</v>
      </c>
      <c r="D29186" s="7" t="n">
        <v>0</v>
      </c>
    </row>
    <row r="29187" spans="1:9">
      <c r="A29187" t="s">
        <v>4</v>
      </c>
      <c r="B29187" s="4" t="s">
        <v>5</v>
      </c>
      <c r="C29187" s="4" t="s">
        <v>11</v>
      </c>
    </row>
    <row r="29188" spans="1:9">
      <c r="A29188" t="n">
        <v>282898</v>
      </c>
      <c r="B29188" s="29" t="n">
        <v>16</v>
      </c>
      <c r="C29188" s="7" t="n">
        <v>1000</v>
      </c>
    </row>
    <row r="29189" spans="1:9">
      <c r="A29189" t="s">
        <v>4</v>
      </c>
      <c r="B29189" s="4" t="s">
        <v>5</v>
      </c>
      <c r="C29189" s="4" t="s">
        <v>7</v>
      </c>
      <c r="D29189" s="4" t="s">
        <v>11</v>
      </c>
    </row>
    <row r="29190" spans="1:9">
      <c r="A29190" t="n">
        <v>282901</v>
      </c>
      <c r="B29190" s="51" t="n">
        <v>45</v>
      </c>
      <c r="C29190" s="7" t="n">
        <v>7</v>
      </c>
      <c r="D29190" s="7" t="n">
        <v>255</v>
      </c>
    </row>
    <row r="29191" spans="1:9">
      <c r="A29191" t="s">
        <v>4</v>
      </c>
      <c r="B29191" s="4" t="s">
        <v>5</v>
      </c>
      <c r="C29191" s="4" t="s">
        <v>7</v>
      </c>
      <c r="D29191" s="4" t="s">
        <v>11</v>
      </c>
      <c r="E29191" s="4" t="s">
        <v>13</v>
      </c>
    </row>
    <row r="29192" spans="1:9">
      <c r="A29192" t="n">
        <v>282905</v>
      </c>
      <c r="B29192" s="23" t="n">
        <v>58</v>
      </c>
      <c r="C29192" s="7" t="n">
        <v>101</v>
      </c>
      <c r="D29192" s="7" t="n">
        <v>500</v>
      </c>
      <c r="E29192" s="7" t="n">
        <v>1</v>
      </c>
    </row>
    <row r="29193" spans="1:9">
      <c r="A29193" t="s">
        <v>4</v>
      </c>
      <c r="B29193" s="4" t="s">
        <v>5</v>
      </c>
      <c r="C29193" s="4" t="s">
        <v>7</v>
      </c>
      <c r="D29193" s="4" t="s">
        <v>11</v>
      </c>
    </row>
    <row r="29194" spans="1:9">
      <c r="A29194" t="n">
        <v>282913</v>
      </c>
      <c r="B29194" s="23" t="n">
        <v>58</v>
      </c>
      <c r="C29194" s="7" t="n">
        <v>254</v>
      </c>
      <c r="D29194" s="7" t="n">
        <v>0</v>
      </c>
    </row>
    <row r="29195" spans="1:9">
      <c r="A29195" t="s">
        <v>4</v>
      </c>
      <c r="B29195" s="4" t="s">
        <v>5</v>
      </c>
      <c r="C29195" s="4" t="s">
        <v>7</v>
      </c>
      <c r="D29195" s="4" t="s">
        <v>11</v>
      </c>
      <c r="E29195" s="4" t="s">
        <v>8</v>
      </c>
      <c r="F29195" s="4" t="s">
        <v>8</v>
      </c>
      <c r="G29195" s="4" t="s">
        <v>8</v>
      </c>
      <c r="H29195" s="4" t="s">
        <v>8</v>
      </c>
    </row>
    <row r="29196" spans="1:9">
      <c r="A29196" t="n">
        <v>282917</v>
      </c>
      <c r="B29196" s="38" t="n">
        <v>51</v>
      </c>
      <c r="C29196" s="7" t="n">
        <v>3</v>
      </c>
      <c r="D29196" s="7" t="n">
        <v>9</v>
      </c>
      <c r="E29196" s="7" t="s">
        <v>79</v>
      </c>
      <c r="F29196" s="7" t="s">
        <v>79</v>
      </c>
      <c r="G29196" s="7" t="s">
        <v>78</v>
      </c>
      <c r="H29196" s="7" t="s">
        <v>79</v>
      </c>
    </row>
    <row r="29197" spans="1:9">
      <c r="A29197" t="s">
        <v>4</v>
      </c>
      <c r="B29197" s="4" t="s">
        <v>5</v>
      </c>
      <c r="C29197" s="4" t="s">
        <v>7</v>
      </c>
      <c r="D29197" s="4" t="s">
        <v>11</v>
      </c>
      <c r="E29197" s="4" t="s">
        <v>11</v>
      </c>
      <c r="F29197" s="4" t="s">
        <v>15</v>
      </c>
      <c r="G29197" s="4" t="s">
        <v>15</v>
      </c>
      <c r="H29197" s="4" t="s">
        <v>15</v>
      </c>
    </row>
    <row r="29198" spans="1:9">
      <c r="A29198" t="n">
        <v>282930</v>
      </c>
      <c r="B29198" s="77" t="n">
        <v>97</v>
      </c>
      <c r="C29198" s="7" t="n">
        <v>6</v>
      </c>
      <c r="D29198" s="7" t="n">
        <v>0</v>
      </c>
      <c r="E29198" s="7" t="n">
        <v>0</v>
      </c>
      <c r="F29198" s="7" t="n">
        <v>-1065143501</v>
      </c>
      <c r="G29198" s="7" t="n">
        <v>1101004800</v>
      </c>
      <c r="H29198" s="7" t="n">
        <v>1101004800</v>
      </c>
    </row>
    <row r="29199" spans="1:9">
      <c r="A29199" t="s">
        <v>4</v>
      </c>
      <c r="B29199" s="4" t="s">
        <v>5</v>
      </c>
      <c r="C29199" s="4" t="s">
        <v>7</v>
      </c>
      <c r="D29199" s="4" t="s">
        <v>7</v>
      </c>
      <c r="E29199" s="4" t="s">
        <v>13</v>
      </c>
      <c r="F29199" s="4" t="s">
        <v>13</v>
      </c>
      <c r="G29199" s="4" t="s">
        <v>13</v>
      </c>
      <c r="H29199" s="4" t="s">
        <v>11</v>
      </c>
    </row>
    <row r="29200" spans="1:9">
      <c r="A29200" t="n">
        <v>282948</v>
      </c>
      <c r="B29200" s="51" t="n">
        <v>45</v>
      </c>
      <c r="C29200" s="7" t="n">
        <v>2</v>
      </c>
      <c r="D29200" s="7" t="n">
        <v>3</v>
      </c>
      <c r="E29200" s="7" t="n">
        <v>-6.8600001335144</v>
      </c>
      <c r="F29200" s="7" t="n">
        <v>6.34000015258789</v>
      </c>
      <c r="G29200" s="7" t="n">
        <v>29.8500003814697</v>
      </c>
      <c r="H29200" s="7" t="n">
        <v>0</v>
      </c>
    </row>
    <row r="29201" spans="1:8">
      <c r="A29201" t="s">
        <v>4</v>
      </c>
      <c r="B29201" s="4" t="s">
        <v>5</v>
      </c>
      <c r="C29201" s="4" t="s">
        <v>7</v>
      </c>
      <c r="D29201" s="4" t="s">
        <v>7</v>
      </c>
      <c r="E29201" s="4" t="s">
        <v>13</v>
      </c>
      <c r="F29201" s="4" t="s">
        <v>13</v>
      </c>
      <c r="G29201" s="4" t="s">
        <v>13</v>
      </c>
      <c r="H29201" s="4" t="s">
        <v>11</v>
      </c>
      <c r="I29201" s="4" t="s">
        <v>7</v>
      </c>
    </row>
    <row r="29202" spans="1:8">
      <c r="A29202" t="n">
        <v>282965</v>
      </c>
      <c r="B29202" s="51" t="n">
        <v>45</v>
      </c>
      <c r="C29202" s="7" t="n">
        <v>4</v>
      </c>
      <c r="D29202" s="7" t="n">
        <v>3</v>
      </c>
      <c r="E29202" s="7" t="n">
        <v>18.2999992370605</v>
      </c>
      <c r="F29202" s="7" t="n">
        <v>137.570007324219</v>
      </c>
      <c r="G29202" s="7" t="n">
        <v>0</v>
      </c>
      <c r="H29202" s="7" t="n">
        <v>0</v>
      </c>
      <c r="I29202" s="7" t="n">
        <v>0</v>
      </c>
    </row>
    <row r="29203" spans="1:8">
      <c r="A29203" t="s">
        <v>4</v>
      </c>
      <c r="B29203" s="4" t="s">
        <v>5</v>
      </c>
      <c r="C29203" s="4" t="s">
        <v>7</v>
      </c>
      <c r="D29203" s="4" t="s">
        <v>7</v>
      </c>
      <c r="E29203" s="4" t="s">
        <v>13</v>
      </c>
      <c r="F29203" s="4" t="s">
        <v>11</v>
      </c>
    </row>
    <row r="29204" spans="1:8">
      <c r="A29204" t="n">
        <v>282983</v>
      </c>
      <c r="B29204" s="51" t="n">
        <v>45</v>
      </c>
      <c r="C29204" s="7" t="n">
        <v>5</v>
      </c>
      <c r="D29204" s="7" t="n">
        <v>3</v>
      </c>
      <c r="E29204" s="7" t="n">
        <v>1.29999995231628</v>
      </c>
      <c r="F29204" s="7" t="n">
        <v>0</v>
      </c>
    </row>
    <row r="29205" spans="1:8">
      <c r="A29205" t="s">
        <v>4</v>
      </c>
      <c r="B29205" s="4" t="s">
        <v>5</v>
      </c>
      <c r="C29205" s="4" t="s">
        <v>7</v>
      </c>
      <c r="D29205" s="4" t="s">
        <v>7</v>
      </c>
      <c r="E29205" s="4" t="s">
        <v>13</v>
      </c>
      <c r="F29205" s="4" t="s">
        <v>11</v>
      </c>
    </row>
    <row r="29206" spans="1:8">
      <c r="A29206" t="n">
        <v>282992</v>
      </c>
      <c r="B29206" s="51" t="n">
        <v>45</v>
      </c>
      <c r="C29206" s="7" t="n">
        <v>11</v>
      </c>
      <c r="D29206" s="7" t="n">
        <v>3</v>
      </c>
      <c r="E29206" s="7" t="n">
        <v>40.2999992370605</v>
      </c>
      <c r="F29206" s="7" t="n">
        <v>0</v>
      </c>
    </row>
    <row r="29207" spans="1:8">
      <c r="A29207" t="s">
        <v>4</v>
      </c>
      <c r="B29207" s="4" t="s">
        <v>5</v>
      </c>
      <c r="C29207" s="4" t="s">
        <v>7</v>
      </c>
      <c r="D29207" s="4" t="s">
        <v>11</v>
      </c>
    </row>
    <row r="29208" spans="1:8">
      <c r="A29208" t="n">
        <v>283001</v>
      </c>
      <c r="B29208" s="23" t="n">
        <v>58</v>
      </c>
      <c r="C29208" s="7" t="n">
        <v>255</v>
      </c>
      <c r="D29208" s="7" t="n">
        <v>0</v>
      </c>
    </row>
    <row r="29209" spans="1:8">
      <c r="A29209" t="s">
        <v>4</v>
      </c>
      <c r="B29209" s="4" t="s">
        <v>5</v>
      </c>
      <c r="C29209" s="4" t="s">
        <v>7</v>
      </c>
      <c r="D29209" s="4" t="s">
        <v>11</v>
      </c>
      <c r="E29209" s="4" t="s">
        <v>8</v>
      </c>
    </row>
    <row r="29210" spans="1:8">
      <c r="A29210" t="n">
        <v>283005</v>
      </c>
      <c r="B29210" s="38" t="n">
        <v>51</v>
      </c>
      <c r="C29210" s="7" t="n">
        <v>4</v>
      </c>
      <c r="D29210" s="7" t="n">
        <v>9</v>
      </c>
      <c r="E29210" s="7" t="s">
        <v>643</v>
      </c>
    </row>
    <row r="29211" spans="1:8">
      <c r="A29211" t="s">
        <v>4</v>
      </c>
      <c r="B29211" s="4" t="s">
        <v>5</v>
      </c>
      <c r="C29211" s="4" t="s">
        <v>11</v>
      </c>
    </row>
    <row r="29212" spans="1:8">
      <c r="A29212" t="n">
        <v>283018</v>
      </c>
      <c r="B29212" s="29" t="n">
        <v>16</v>
      </c>
      <c r="C29212" s="7" t="n">
        <v>0</v>
      </c>
    </row>
    <row r="29213" spans="1:8">
      <c r="A29213" t="s">
        <v>4</v>
      </c>
      <c r="B29213" s="4" t="s">
        <v>5</v>
      </c>
      <c r="C29213" s="4" t="s">
        <v>11</v>
      </c>
      <c r="D29213" s="4" t="s">
        <v>7</v>
      </c>
      <c r="E29213" s="4" t="s">
        <v>15</v>
      </c>
      <c r="F29213" s="4" t="s">
        <v>55</v>
      </c>
      <c r="G29213" s="4" t="s">
        <v>7</v>
      </c>
      <c r="H29213" s="4" t="s">
        <v>7</v>
      </c>
      <c r="I29213" s="4" t="s">
        <v>7</v>
      </c>
      <c r="J29213" s="4" t="s">
        <v>15</v>
      </c>
      <c r="K29213" s="4" t="s">
        <v>55</v>
      </c>
      <c r="L29213" s="4" t="s">
        <v>7</v>
      </c>
      <c r="M29213" s="4" t="s">
        <v>7</v>
      </c>
    </row>
    <row r="29214" spans="1:8">
      <c r="A29214" t="n">
        <v>283021</v>
      </c>
      <c r="B29214" s="55" t="n">
        <v>26</v>
      </c>
      <c r="C29214" s="7" t="n">
        <v>9</v>
      </c>
      <c r="D29214" s="7" t="n">
        <v>17</v>
      </c>
      <c r="E29214" s="7" t="n">
        <v>63948</v>
      </c>
      <c r="F29214" s="7" t="s">
        <v>644</v>
      </c>
      <c r="G29214" s="7" t="n">
        <v>2</v>
      </c>
      <c r="H29214" s="7" t="n">
        <v>3</v>
      </c>
      <c r="I29214" s="7" t="n">
        <v>17</v>
      </c>
      <c r="J29214" s="7" t="n">
        <v>63949</v>
      </c>
      <c r="K29214" s="7" t="s">
        <v>645</v>
      </c>
      <c r="L29214" s="7" t="n">
        <v>2</v>
      </c>
      <c r="M29214" s="7" t="n">
        <v>0</v>
      </c>
    </row>
    <row r="29215" spans="1:8">
      <c r="A29215" t="s">
        <v>4</v>
      </c>
      <c r="B29215" s="4" t="s">
        <v>5</v>
      </c>
    </row>
    <row r="29216" spans="1:8">
      <c r="A29216" t="n">
        <v>283180</v>
      </c>
      <c r="B29216" s="27" t="n">
        <v>28</v>
      </c>
    </row>
    <row r="29217" spans="1:13">
      <c r="A29217" t="s">
        <v>4</v>
      </c>
      <c r="B29217" s="4" t="s">
        <v>5</v>
      </c>
      <c r="C29217" s="4" t="s">
        <v>7</v>
      </c>
      <c r="D29217" s="4" t="s">
        <v>13</v>
      </c>
      <c r="E29217" s="4" t="s">
        <v>11</v>
      </c>
      <c r="F29217" s="4" t="s">
        <v>7</v>
      </c>
    </row>
    <row r="29218" spans="1:13">
      <c r="A29218" t="n">
        <v>283181</v>
      </c>
      <c r="B29218" s="13" t="n">
        <v>49</v>
      </c>
      <c r="C29218" s="7" t="n">
        <v>3</v>
      </c>
      <c r="D29218" s="7" t="n">
        <v>0.699999988079071</v>
      </c>
      <c r="E29218" s="7" t="n">
        <v>500</v>
      </c>
      <c r="F29218" s="7" t="n">
        <v>0</v>
      </c>
    </row>
    <row r="29219" spans="1:13">
      <c r="A29219" t="s">
        <v>4</v>
      </c>
      <c r="B29219" s="4" t="s">
        <v>5</v>
      </c>
      <c r="C29219" s="4" t="s">
        <v>7</v>
      </c>
      <c r="D29219" s="4" t="s">
        <v>7</v>
      </c>
      <c r="E29219" s="4" t="s">
        <v>7</v>
      </c>
      <c r="F29219" s="4" t="s">
        <v>13</v>
      </c>
      <c r="G29219" s="4" t="s">
        <v>13</v>
      </c>
      <c r="H29219" s="4" t="s">
        <v>13</v>
      </c>
      <c r="I29219" s="4" t="s">
        <v>13</v>
      </c>
      <c r="J29219" s="4" t="s">
        <v>13</v>
      </c>
    </row>
    <row r="29220" spans="1:13">
      <c r="A29220" t="n">
        <v>283190</v>
      </c>
      <c r="B29220" s="25" t="n">
        <v>76</v>
      </c>
      <c r="C29220" s="7" t="n">
        <v>1</v>
      </c>
      <c r="D29220" s="7" t="n">
        <v>3</v>
      </c>
      <c r="E29220" s="7" t="n">
        <v>0</v>
      </c>
      <c r="F29220" s="7" t="n">
        <v>1</v>
      </c>
      <c r="G29220" s="7" t="n">
        <v>1</v>
      </c>
      <c r="H29220" s="7" t="n">
        <v>1</v>
      </c>
      <c r="I29220" s="7" t="n">
        <v>1</v>
      </c>
      <c r="J29220" s="7" t="n">
        <v>1000</v>
      </c>
    </row>
    <row r="29221" spans="1:13">
      <c r="A29221" t="s">
        <v>4</v>
      </c>
      <c r="B29221" s="4" t="s">
        <v>5</v>
      </c>
      <c r="C29221" s="4" t="s">
        <v>7</v>
      </c>
      <c r="D29221" s="4" t="s">
        <v>7</v>
      </c>
    </row>
    <row r="29222" spans="1:13">
      <c r="A29222" t="n">
        <v>283214</v>
      </c>
      <c r="B29222" s="26" t="n">
        <v>77</v>
      </c>
      <c r="C29222" s="7" t="n">
        <v>1</v>
      </c>
      <c r="D29222" s="7" t="n">
        <v>3</v>
      </c>
    </row>
    <row r="29223" spans="1:13">
      <c r="A29223" t="s">
        <v>4</v>
      </c>
      <c r="B29223" s="4" t="s">
        <v>5</v>
      </c>
      <c r="C29223" s="4" t="s">
        <v>11</v>
      </c>
    </row>
    <row r="29224" spans="1:13">
      <c r="A29224" t="n">
        <v>283217</v>
      </c>
      <c r="B29224" s="29" t="n">
        <v>16</v>
      </c>
      <c r="C29224" s="7" t="n">
        <v>2000</v>
      </c>
    </row>
    <row r="29225" spans="1:13">
      <c r="A29225" t="s">
        <v>4</v>
      </c>
      <c r="B29225" s="4" t="s">
        <v>5</v>
      </c>
      <c r="C29225" s="4" t="s">
        <v>7</v>
      </c>
      <c r="D29225" s="4" t="s">
        <v>13</v>
      </c>
      <c r="E29225" s="4" t="s">
        <v>11</v>
      </c>
      <c r="F29225" s="4" t="s">
        <v>7</v>
      </c>
    </row>
    <row r="29226" spans="1:13">
      <c r="A29226" t="n">
        <v>283220</v>
      </c>
      <c r="B29226" s="13" t="n">
        <v>49</v>
      </c>
      <c r="C29226" s="7" t="n">
        <v>3</v>
      </c>
      <c r="D29226" s="7" t="n">
        <v>1</v>
      </c>
      <c r="E29226" s="7" t="n">
        <v>1000</v>
      </c>
      <c r="F29226" s="7" t="n">
        <v>0</v>
      </c>
    </row>
    <row r="29227" spans="1:13">
      <c r="A29227" t="s">
        <v>4</v>
      </c>
      <c r="B29227" s="4" t="s">
        <v>5</v>
      </c>
      <c r="C29227" s="4" t="s">
        <v>7</v>
      </c>
      <c r="D29227" s="4" t="s">
        <v>7</v>
      </c>
      <c r="E29227" s="4" t="s">
        <v>7</v>
      </c>
      <c r="F29227" s="4" t="s">
        <v>13</v>
      </c>
      <c r="G29227" s="4" t="s">
        <v>13</v>
      </c>
      <c r="H29227" s="4" t="s">
        <v>13</v>
      </c>
      <c r="I29227" s="4" t="s">
        <v>13</v>
      </c>
      <c r="J29227" s="4" t="s">
        <v>13</v>
      </c>
    </row>
    <row r="29228" spans="1:13">
      <c r="A29228" t="n">
        <v>283229</v>
      </c>
      <c r="B29228" s="25" t="n">
        <v>76</v>
      </c>
      <c r="C29228" s="7" t="n">
        <v>1</v>
      </c>
      <c r="D29228" s="7" t="n">
        <v>3</v>
      </c>
      <c r="E29228" s="7" t="n">
        <v>0</v>
      </c>
      <c r="F29228" s="7" t="n">
        <v>1</v>
      </c>
      <c r="G29228" s="7" t="n">
        <v>1</v>
      </c>
      <c r="H29228" s="7" t="n">
        <v>1</v>
      </c>
      <c r="I29228" s="7" t="n">
        <v>0</v>
      </c>
      <c r="J29228" s="7" t="n">
        <v>1000</v>
      </c>
    </row>
    <row r="29229" spans="1:13">
      <c r="A29229" t="s">
        <v>4</v>
      </c>
      <c r="B29229" s="4" t="s">
        <v>5</v>
      </c>
      <c r="C29229" s="4" t="s">
        <v>7</v>
      </c>
      <c r="D29229" s="4" t="s">
        <v>7</v>
      </c>
    </row>
    <row r="29230" spans="1:13">
      <c r="A29230" t="n">
        <v>283253</v>
      </c>
      <c r="B29230" s="26" t="n">
        <v>77</v>
      </c>
      <c r="C29230" s="7" t="n">
        <v>1</v>
      </c>
      <c r="D29230" s="7" t="n">
        <v>3</v>
      </c>
    </row>
    <row r="29231" spans="1:13">
      <c r="A29231" t="s">
        <v>4</v>
      </c>
      <c r="B29231" s="4" t="s">
        <v>5</v>
      </c>
      <c r="C29231" s="4" t="s">
        <v>7</v>
      </c>
      <c r="D29231" s="4" t="s">
        <v>11</v>
      </c>
      <c r="E29231" s="4" t="s">
        <v>8</v>
      </c>
    </row>
    <row r="29232" spans="1:13">
      <c r="A29232" t="n">
        <v>283256</v>
      </c>
      <c r="B29232" s="38" t="n">
        <v>51</v>
      </c>
      <c r="C29232" s="7" t="n">
        <v>4</v>
      </c>
      <c r="D29232" s="7" t="n">
        <v>0</v>
      </c>
      <c r="E29232" s="7" t="s">
        <v>242</v>
      </c>
    </row>
    <row r="29233" spans="1:10">
      <c r="A29233" t="s">
        <v>4</v>
      </c>
      <c r="B29233" s="4" t="s">
        <v>5</v>
      </c>
      <c r="C29233" s="4" t="s">
        <v>11</v>
      </c>
    </row>
    <row r="29234" spans="1:10">
      <c r="A29234" t="n">
        <v>283270</v>
      </c>
      <c r="B29234" s="29" t="n">
        <v>16</v>
      </c>
      <c r="C29234" s="7" t="n">
        <v>0</v>
      </c>
    </row>
    <row r="29235" spans="1:10">
      <c r="A29235" t="s">
        <v>4</v>
      </c>
      <c r="B29235" s="4" t="s">
        <v>5</v>
      </c>
      <c r="C29235" s="4" t="s">
        <v>11</v>
      </c>
      <c r="D29235" s="4" t="s">
        <v>7</v>
      </c>
      <c r="E29235" s="4" t="s">
        <v>15</v>
      </c>
      <c r="F29235" s="4" t="s">
        <v>55</v>
      </c>
      <c r="G29235" s="4" t="s">
        <v>7</v>
      </c>
      <c r="H29235" s="4" t="s">
        <v>7</v>
      </c>
      <c r="I29235" s="4" t="s">
        <v>7</v>
      </c>
      <c r="J29235" s="4" t="s">
        <v>15</v>
      </c>
      <c r="K29235" s="4" t="s">
        <v>55</v>
      </c>
      <c r="L29235" s="4" t="s">
        <v>7</v>
      </c>
      <c r="M29235" s="4" t="s">
        <v>7</v>
      </c>
      <c r="N29235" s="4" t="s">
        <v>7</v>
      </c>
      <c r="O29235" s="4" t="s">
        <v>15</v>
      </c>
      <c r="P29235" s="4" t="s">
        <v>55</v>
      </c>
      <c r="Q29235" s="4" t="s">
        <v>7</v>
      </c>
      <c r="R29235" s="4" t="s">
        <v>7</v>
      </c>
    </row>
    <row r="29236" spans="1:10">
      <c r="A29236" t="n">
        <v>283273</v>
      </c>
      <c r="B29236" s="55" t="n">
        <v>26</v>
      </c>
      <c r="C29236" s="7" t="n">
        <v>0</v>
      </c>
      <c r="D29236" s="7" t="n">
        <v>17</v>
      </c>
      <c r="E29236" s="7" t="n">
        <v>63950</v>
      </c>
      <c r="F29236" s="7" t="s">
        <v>646</v>
      </c>
      <c r="G29236" s="7" t="n">
        <v>2</v>
      </c>
      <c r="H29236" s="7" t="n">
        <v>3</v>
      </c>
      <c r="I29236" s="7" t="n">
        <v>17</v>
      </c>
      <c r="J29236" s="7" t="n">
        <v>63951</v>
      </c>
      <c r="K29236" s="7" t="s">
        <v>647</v>
      </c>
      <c r="L29236" s="7" t="n">
        <v>2</v>
      </c>
      <c r="M29236" s="7" t="n">
        <v>3</v>
      </c>
      <c r="N29236" s="7" t="n">
        <v>17</v>
      </c>
      <c r="O29236" s="7" t="n">
        <v>63952</v>
      </c>
      <c r="P29236" s="7" t="s">
        <v>648</v>
      </c>
      <c r="Q29236" s="7" t="n">
        <v>2</v>
      </c>
      <c r="R29236" s="7" t="n">
        <v>0</v>
      </c>
    </row>
    <row r="29237" spans="1:10">
      <c r="A29237" t="s">
        <v>4</v>
      </c>
      <c r="B29237" s="4" t="s">
        <v>5</v>
      </c>
    </row>
    <row r="29238" spans="1:10">
      <c r="A29238" t="n">
        <v>283524</v>
      </c>
      <c r="B29238" s="27" t="n">
        <v>28</v>
      </c>
    </row>
    <row r="29239" spans="1:10">
      <c r="A29239" t="s">
        <v>4</v>
      </c>
      <c r="B29239" s="4" t="s">
        <v>5</v>
      </c>
      <c r="C29239" s="4" t="s">
        <v>7</v>
      </c>
      <c r="D29239" s="4" t="s">
        <v>11</v>
      </c>
      <c r="E29239" s="4" t="s">
        <v>8</v>
      </c>
    </row>
    <row r="29240" spans="1:10">
      <c r="A29240" t="n">
        <v>283525</v>
      </c>
      <c r="B29240" s="38" t="n">
        <v>51</v>
      </c>
      <c r="C29240" s="7" t="n">
        <v>4</v>
      </c>
      <c r="D29240" s="7" t="n">
        <v>9</v>
      </c>
      <c r="E29240" s="7" t="s">
        <v>491</v>
      </c>
    </row>
    <row r="29241" spans="1:10">
      <c r="A29241" t="s">
        <v>4</v>
      </c>
      <c r="B29241" s="4" t="s">
        <v>5</v>
      </c>
      <c r="C29241" s="4" t="s">
        <v>11</v>
      </c>
    </row>
    <row r="29242" spans="1:10">
      <c r="A29242" t="n">
        <v>283539</v>
      </c>
      <c r="B29242" s="29" t="n">
        <v>16</v>
      </c>
      <c r="C29242" s="7" t="n">
        <v>0</v>
      </c>
    </row>
    <row r="29243" spans="1:10">
      <c r="A29243" t="s">
        <v>4</v>
      </c>
      <c r="B29243" s="4" t="s">
        <v>5</v>
      </c>
      <c r="C29243" s="4" t="s">
        <v>11</v>
      </c>
      <c r="D29243" s="4" t="s">
        <v>7</v>
      </c>
      <c r="E29243" s="4" t="s">
        <v>15</v>
      </c>
      <c r="F29243" s="4" t="s">
        <v>55</v>
      </c>
      <c r="G29243" s="4" t="s">
        <v>7</v>
      </c>
      <c r="H29243" s="4" t="s">
        <v>7</v>
      </c>
    </row>
    <row r="29244" spans="1:10">
      <c r="A29244" t="n">
        <v>283542</v>
      </c>
      <c r="B29244" s="55" t="n">
        <v>26</v>
      </c>
      <c r="C29244" s="7" t="n">
        <v>9</v>
      </c>
      <c r="D29244" s="7" t="n">
        <v>17</v>
      </c>
      <c r="E29244" s="7" t="n">
        <v>63953</v>
      </c>
      <c r="F29244" s="7" t="s">
        <v>649</v>
      </c>
      <c r="G29244" s="7" t="n">
        <v>2</v>
      </c>
      <c r="H29244" s="7" t="n">
        <v>0</v>
      </c>
    </row>
    <row r="29245" spans="1:10">
      <c r="A29245" t="s">
        <v>4</v>
      </c>
      <c r="B29245" s="4" t="s">
        <v>5</v>
      </c>
    </row>
    <row r="29246" spans="1:10">
      <c r="A29246" t="n">
        <v>283600</v>
      </c>
      <c r="B29246" s="27" t="n">
        <v>28</v>
      </c>
    </row>
    <row r="29247" spans="1:10">
      <c r="A29247" t="s">
        <v>4</v>
      </c>
      <c r="B29247" s="4" t="s">
        <v>5</v>
      </c>
      <c r="C29247" s="4" t="s">
        <v>7</v>
      </c>
      <c r="D29247" s="4" t="s">
        <v>11</v>
      </c>
      <c r="E29247" s="4" t="s">
        <v>8</v>
      </c>
    </row>
    <row r="29248" spans="1:10">
      <c r="A29248" t="n">
        <v>283601</v>
      </c>
      <c r="B29248" s="38" t="n">
        <v>51</v>
      </c>
      <c r="C29248" s="7" t="n">
        <v>4</v>
      </c>
      <c r="D29248" s="7" t="n">
        <v>0</v>
      </c>
      <c r="E29248" s="7" t="s">
        <v>173</v>
      </c>
    </row>
    <row r="29249" spans="1:18">
      <c r="A29249" t="s">
        <v>4</v>
      </c>
      <c r="B29249" s="4" t="s">
        <v>5</v>
      </c>
      <c r="C29249" s="4" t="s">
        <v>11</v>
      </c>
    </row>
    <row r="29250" spans="1:18">
      <c r="A29250" t="n">
        <v>283614</v>
      </c>
      <c r="B29250" s="29" t="n">
        <v>16</v>
      </c>
      <c r="C29250" s="7" t="n">
        <v>0</v>
      </c>
    </row>
    <row r="29251" spans="1:18">
      <c r="A29251" t="s">
        <v>4</v>
      </c>
      <c r="B29251" s="4" t="s">
        <v>5</v>
      </c>
      <c r="C29251" s="4" t="s">
        <v>11</v>
      </c>
      <c r="D29251" s="4" t="s">
        <v>7</v>
      </c>
      <c r="E29251" s="4" t="s">
        <v>15</v>
      </c>
      <c r="F29251" s="4" t="s">
        <v>55</v>
      </c>
      <c r="G29251" s="4" t="s">
        <v>7</v>
      </c>
      <c r="H29251" s="4" t="s">
        <v>7</v>
      </c>
      <c r="I29251" s="4" t="s">
        <v>7</v>
      </c>
      <c r="J29251" s="4" t="s">
        <v>15</v>
      </c>
      <c r="K29251" s="4" t="s">
        <v>55</v>
      </c>
      <c r="L29251" s="4" t="s">
        <v>7</v>
      </c>
      <c r="M29251" s="4" t="s">
        <v>7</v>
      </c>
    </row>
    <row r="29252" spans="1:18">
      <c r="A29252" t="n">
        <v>283617</v>
      </c>
      <c r="B29252" s="55" t="n">
        <v>26</v>
      </c>
      <c r="C29252" s="7" t="n">
        <v>0</v>
      </c>
      <c r="D29252" s="7" t="n">
        <v>17</v>
      </c>
      <c r="E29252" s="7" t="n">
        <v>63954</v>
      </c>
      <c r="F29252" s="7" t="s">
        <v>650</v>
      </c>
      <c r="G29252" s="7" t="n">
        <v>2</v>
      </c>
      <c r="H29252" s="7" t="n">
        <v>3</v>
      </c>
      <c r="I29252" s="7" t="n">
        <v>17</v>
      </c>
      <c r="J29252" s="7" t="n">
        <v>63955</v>
      </c>
      <c r="K29252" s="7" t="s">
        <v>651</v>
      </c>
      <c r="L29252" s="7" t="n">
        <v>2</v>
      </c>
      <c r="M29252" s="7" t="n">
        <v>0</v>
      </c>
    </row>
    <row r="29253" spans="1:18">
      <c r="A29253" t="s">
        <v>4</v>
      </c>
      <c r="B29253" s="4" t="s">
        <v>5</v>
      </c>
    </row>
    <row r="29254" spans="1:18">
      <c r="A29254" t="n">
        <v>283741</v>
      </c>
      <c r="B29254" s="27" t="n">
        <v>28</v>
      </c>
    </row>
    <row r="29255" spans="1:18">
      <c r="A29255" t="s">
        <v>4</v>
      </c>
      <c r="B29255" s="4" t="s">
        <v>5</v>
      </c>
      <c r="C29255" s="4" t="s">
        <v>7</v>
      </c>
      <c r="D29255" s="4" t="s">
        <v>11</v>
      </c>
      <c r="E29255" s="4" t="s">
        <v>8</v>
      </c>
    </row>
    <row r="29256" spans="1:18">
      <c r="A29256" t="n">
        <v>283742</v>
      </c>
      <c r="B29256" s="38" t="n">
        <v>51</v>
      </c>
      <c r="C29256" s="7" t="n">
        <v>4</v>
      </c>
      <c r="D29256" s="7" t="n">
        <v>9</v>
      </c>
      <c r="E29256" s="7" t="s">
        <v>242</v>
      </c>
    </row>
    <row r="29257" spans="1:18">
      <c r="A29257" t="s">
        <v>4</v>
      </c>
      <c r="B29257" s="4" t="s">
        <v>5</v>
      </c>
      <c r="C29257" s="4" t="s">
        <v>11</v>
      </c>
    </row>
    <row r="29258" spans="1:18">
      <c r="A29258" t="n">
        <v>283756</v>
      </c>
      <c r="B29258" s="29" t="n">
        <v>16</v>
      </c>
      <c r="C29258" s="7" t="n">
        <v>0</v>
      </c>
    </row>
    <row r="29259" spans="1:18">
      <c r="A29259" t="s">
        <v>4</v>
      </c>
      <c r="B29259" s="4" t="s">
        <v>5</v>
      </c>
      <c r="C29259" s="4" t="s">
        <v>11</v>
      </c>
      <c r="D29259" s="4" t="s">
        <v>7</v>
      </c>
      <c r="E29259" s="4" t="s">
        <v>15</v>
      </c>
      <c r="F29259" s="4" t="s">
        <v>55</v>
      </c>
      <c r="G29259" s="4" t="s">
        <v>7</v>
      </c>
      <c r="H29259" s="4" t="s">
        <v>7</v>
      </c>
      <c r="I29259" s="4" t="s">
        <v>7</v>
      </c>
      <c r="J29259" s="4" t="s">
        <v>15</v>
      </c>
      <c r="K29259" s="4" t="s">
        <v>55</v>
      </c>
      <c r="L29259" s="4" t="s">
        <v>7</v>
      </c>
      <c r="M29259" s="4" t="s">
        <v>7</v>
      </c>
      <c r="N29259" s="4" t="s">
        <v>7</v>
      </c>
      <c r="O29259" s="4" t="s">
        <v>15</v>
      </c>
      <c r="P29259" s="4" t="s">
        <v>55</v>
      </c>
      <c r="Q29259" s="4" t="s">
        <v>7</v>
      </c>
      <c r="R29259" s="4" t="s">
        <v>7</v>
      </c>
    </row>
    <row r="29260" spans="1:18">
      <c r="A29260" t="n">
        <v>283759</v>
      </c>
      <c r="B29260" s="55" t="n">
        <v>26</v>
      </c>
      <c r="C29260" s="7" t="n">
        <v>9</v>
      </c>
      <c r="D29260" s="7" t="n">
        <v>17</v>
      </c>
      <c r="E29260" s="7" t="n">
        <v>63956</v>
      </c>
      <c r="F29260" s="7" t="s">
        <v>652</v>
      </c>
      <c r="G29260" s="7" t="n">
        <v>2</v>
      </c>
      <c r="H29260" s="7" t="n">
        <v>3</v>
      </c>
      <c r="I29260" s="7" t="n">
        <v>17</v>
      </c>
      <c r="J29260" s="7" t="n">
        <v>63957</v>
      </c>
      <c r="K29260" s="7" t="s">
        <v>653</v>
      </c>
      <c r="L29260" s="7" t="n">
        <v>2</v>
      </c>
      <c r="M29260" s="7" t="n">
        <v>3</v>
      </c>
      <c r="N29260" s="7" t="n">
        <v>17</v>
      </c>
      <c r="O29260" s="7" t="n">
        <v>63958</v>
      </c>
      <c r="P29260" s="7" t="s">
        <v>654</v>
      </c>
      <c r="Q29260" s="7" t="n">
        <v>2</v>
      </c>
      <c r="R29260" s="7" t="n">
        <v>0</v>
      </c>
    </row>
    <row r="29261" spans="1:18">
      <c r="A29261" t="s">
        <v>4</v>
      </c>
      <c r="B29261" s="4" t="s">
        <v>5</v>
      </c>
    </row>
    <row r="29262" spans="1:18">
      <c r="A29262" t="n">
        <v>284003</v>
      </c>
      <c r="B29262" s="27" t="n">
        <v>28</v>
      </c>
    </row>
    <row r="29263" spans="1:18">
      <c r="A29263" t="s">
        <v>4</v>
      </c>
      <c r="B29263" s="4" t="s">
        <v>5</v>
      </c>
      <c r="C29263" s="4" t="s">
        <v>7</v>
      </c>
      <c r="D29263" s="4" t="s">
        <v>11</v>
      </c>
      <c r="E29263" s="4" t="s">
        <v>8</v>
      </c>
    </row>
    <row r="29264" spans="1:18">
      <c r="A29264" t="n">
        <v>284004</v>
      </c>
      <c r="B29264" s="38" t="n">
        <v>51</v>
      </c>
      <c r="C29264" s="7" t="n">
        <v>4</v>
      </c>
      <c r="D29264" s="7" t="n">
        <v>0</v>
      </c>
      <c r="E29264" s="7" t="s">
        <v>179</v>
      </c>
    </row>
    <row r="29265" spans="1:18">
      <c r="A29265" t="s">
        <v>4</v>
      </c>
      <c r="B29265" s="4" t="s">
        <v>5</v>
      </c>
      <c r="C29265" s="4" t="s">
        <v>11</v>
      </c>
    </row>
    <row r="29266" spans="1:18">
      <c r="A29266" t="n">
        <v>284018</v>
      </c>
      <c r="B29266" s="29" t="n">
        <v>16</v>
      </c>
      <c r="C29266" s="7" t="n">
        <v>0</v>
      </c>
    </row>
    <row r="29267" spans="1:18">
      <c r="A29267" t="s">
        <v>4</v>
      </c>
      <c r="B29267" s="4" t="s">
        <v>5</v>
      </c>
      <c r="C29267" s="4" t="s">
        <v>11</v>
      </c>
      <c r="D29267" s="4" t="s">
        <v>7</v>
      </c>
      <c r="E29267" s="4" t="s">
        <v>15</v>
      </c>
      <c r="F29267" s="4" t="s">
        <v>55</v>
      </c>
      <c r="G29267" s="4" t="s">
        <v>7</v>
      </c>
      <c r="H29267" s="4" t="s">
        <v>7</v>
      </c>
      <c r="I29267" s="4" t="s">
        <v>7</v>
      </c>
      <c r="J29267" s="4" t="s">
        <v>15</v>
      </c>
      <c r="K29267" s="4" t="s">
        <v>55</v>
      </c>
      <c r="L29267" s="4" t="s">
        <v>7</v>
      </c>
      <c r="M29267" s="4" t="s">
        <v>7</v>
      </c>
      <c r="N29267" s="4" t="s">
        <v>7</v>
      </c>
      <c r="O29267" s="4" t="s">
        <v>15</v>
      </c>
      <c r="P29267" s="4" t="s">
        <v>55</v>
      </c>
      <c r="Q29267" s="4" t="s">
        <v>7</v>
      </c>
      <c r="R29267" s="4" t="s">
        <v>7</v>
      </c>
    </row>
    <row r="29268" spans="1:18">
      <c r="A29268" t="n">
        <v>284021</v>
      </c>
      <c r="B29268" s="55" t="n">
        <v>26</v>
      </c>
      <c r="C29268" s="7" t="n">
        <v>0</v>
      </c>
      <c r="D29268" s="7" t="n">
        <v>17</v>
      </c>
      <c r="E29268" s="7" t="n">
        <v>63959</v>
      </c>
      <c r="F29268" s="7" t="s">
        <v>655</v>
      </c>
      <c r="G29268" s="7" t="n">
        <v>2</v>
      </c>
      <c r="H29268" s="7" t="n">
        <v>3</v>
      </c>
      <c r="I29268" s="7" t="n">
        <v>17</v>
      </c>
      <c r="J29268" s="7" t="n">
        <v>63960</v>
      </c>
      <c r="K29268" s="7" t="s">
        <v>656</v>
      </c>
      <c r="L29268" s="7" t="n">
        <v>2</v>
      </c>
      <c r="M29268" s="7" t="n">
        <v>3</v>
      </c>
      <c r="N29268" s="7" t="n">
        <v>17</v>
      </c>
      <c r="O29268" s="7" t="n">
        <v>63961</v>
      </c>
      <c r="P29268" s="7" t="s">
        <v>657</v>
      </c>
      <c r="Q29268" s="7" t="n">
        <v>2</v>
      </c>
      <c r="R29268" s="7" t="n">
        <v>0</v>
      </c>
    </row>
    <row r="29269" spans="1:18">
      <c r="A29269" t="s">
        <v>4</v>
      </c>
      <c r="B29269" s="4" t="s">
        <v>5</v>
      </c>
    </row>
    <row r="29270" spans="1:18">
      <c r="A29270" t="n">
        <v>284333</v>
      </c>
      <c r="B29270" s="27" t="n">
        <v>28</v>
      </c>
    </row>
    <row r="29271" spans="1:18">
      <c r="A29271" t="s">
        <v>4</v>
      </c>
      <c r="B29271" s="4" t="s">
        <v>5</v>
      </c>
      <c r="C29271" s="4" t="s">
        <v>7</v>
      </c>
      <c r="D29271" s="4" t="s">
        <v>11</v>
      </c>
      <c r="E29271" s="4" t="s">
        <v>7</v>
      </c>
    </row>
    <row r="29272" spans="1:18">
      <c r="A29272" t="n">
        <v>284334</v>
      </c>
      <c r="B29272" s="13" t="n">
        <v>49</v>
      </c>
      <c r="C29272" s="7" t="n">
        <v>1</v>
      </c>
      <c r="D29272" s="7" t="n">
        <v>3000</v>
      </c>
      <c r="E29272" s="7" t="n">
        <v>0</v>
      </c>
    </row>
    <row r="29273" spans="1:18">
      <c r="A29273" t="s">
        <v>4</v>
      </c>
      <c r="B29273" s="4" t="s">
        <v>5</v>
      </c>
      <c r="C29273" s="4" t="s">
        <v>7</v>
      </c>
      <c r="D29273" s="4" t="s">
        <v>11</v>
      </c>
      <c r="E29273" s="4" t="s">
        <v>8</v>
      </c>
      <c r="F29273" s="4" t="s">
        <v>8</v>
      </c>
      <c r="G29273" s="4" t="s">
        <v>8</v>
      </c>
      <c r="H29273" s="4" t="s">
        <v>8</v>
      </c>
    </row>
    <row r="29274" spans="1:18">
      <c r="A29274" t="n">
        <v>284339</v>
      </c>
      <c r="B29274" s="38" t="n">
        <v>51</v>
      </c>
      <c r="C29274" s="7" t="n">
        <v>3</v>
      </c>
      <c r="D29274" s="7" t="n">
        <v>9</v>
      </c>
      <c r="E29274" s="7" t="s">
        <v>86</v>
      </c>
      <c r="F29274" s="7" t="s">
        <v>218</v>
      </c>
      <c r="G29274" s="7" t="s">
        <v>78</v>
      </c>
      <c r="H29274" s="7" t="s">
        <v>79</v>
      </c>
    </row>
    <row r="29275" spans="1:18">
      <c r="A29275" t="s">
        <v>4</v>
      </c>
      <c r="B29275" s="4" t="s">
        <v>5</v>
      </c>
      <c r="C29275" s="4" t="s">
        <v>11</v>
      </c>
      <c r="D29275" s="4" t="s">
        <v>7</v>
      </c>
      <c r="E29275" s="4" t="s">
        <v>13</v>
      </c>
      <c r="F29275" s="4" t="s">
        <v>11</v>
      </c>
    </row>
    <row r="29276" spans="1:18">
      <c r="A29276" t="n">
        <v>284352</v>
      </c>
      <c r="B29276" s="56" t="n">
        <v>59</v>
      </c>
      <c r="C29276" s="7" t="n">
        <v>9</v>
      </c>
      <c r="D29276" s="7" t="n">
        <v>9</v>
      </c>
      <c r="E29276" s="7" t="n">
        <v>0.150000005960464</v>
      </c>
      <c r="F29276" s="7" t="n">
        <v>0</v>
      </c>
    </row>
    <row r="29277" spans="1:18">
      <c r="A29277" t="s">
        <v>4</v>
      </c>
      <c r="B29277" s="4" t="s">
        <v>5</v>
      </c>
      <c r="C29277" s="4" t="s">
        <v>11</v>
      </c>
    </row>
    <row r="29278" spans="1:18">
      <c r="A29278" t="n">
        <v>284362</v>
      </c>
      <c r="B29278" s="29" t="n">
        <v>16</v>
      </c>
      <c r="C29278" s="7" t="n">
        <v>1800</v>
      </c>
    </row>
    <row r="29279" spans="1:18">
      <c r="A29279" t="s">
        <v>4</v>
      </c>
      <c r="B29279" s="4" t="s">
        <v>5</v>
      </c>
      <c r="C29279" s="4" t="s">
        <v>7</v>
      </c>
      <c r="D29279" s="4" t="s">
        <v>11</v>
      </c>
      <c r="E29279" s="4" t="s">
        <v>13</v>
      </c>
    </row>
    <row r="29280" spans="1:18">
      <c r="A29280" t="n">
        <v>284365</v>
      </c>
      <c r="B29280" s="23" t="n">
        <v>58</v>
      </c>
      <c r="C29280" s="7" t="n">
        <v>101</v>
      </c>
      <c r="D29280" s="7" t="n">
        <v>800</v>
      </c>
      <c r="E29280" s="7" t="n">
        <v>1</v>
      </c>
    </row>
    <row r="29281" spans="1:18">
      <c r="A29281" t="s">
        <v>4</v>
      </c>
      <c r="B29281" s="4" t="s">
        <v>5</v>
      </c>
      <c r="C29281" s="4" t="s">
        <v>7</v>
      </c>
      <c r="D29281" s="4" t="s">
        <v>11</v>
      </c>
    </row>
    <row r="29282" spans="1:18">
      <c r="A29282" t="n">
        <v>284373</v>
      </c>
      <c r="B29282" s="23" t="n">
        <v>58</v>
      </c>
      <c r="C29282" s="7" t="n">
        <v>254</v>
      </c>
      <c r="D29282" s="7" t="n">
        <v>0</v>
      </c>
    </row>
    <row r="29283" spans="1:18">
      <c r="A29283" t="s">
        <v>4</v>
      </c>
      <c r="B29283" s="4" t="s">
        <v>5</v>
      </c>
      <c r="C29283" s="4" t="s">
        <v>7</v>
      </c>
      <c r="D29283" s="4" t="s">
        <v>7</v>
      </c>
      <c r="E29283" s="4" t="s">
        <v>13</v>
      </c>
      <c r="F29283" s="4" t="s">
        <v>13</v>
      </c>
      <c r="G29283" s="4" t="s">
        <v>13</v>
      </c>
      <c r="H29283" s="4" t="s">
        <v>11</v>
      </c>
    </row>
    <row r="29284" spans="1:18">
      <c r="A29284" t="n">
        <v>284377</v>
      </c>
      <c r="B29284" s="51" t="n">
        <v>45</v>
      </c>
      <c r="C29284" s="7" t="n">
        <v>2</v>
      </c>
      <c r="D29284" s="7" t="n">
        <v>3</v>
      </c>
      <c r="E29284" s="7" t="n">
        <v>-7.36999988555908</v>
      </c>
      <c r="F29284" s="7" t="n">
        <v>6.26999998092651</v>
      </c>
      <c r="G29284" s="7" t="n">
        <v>29.8199996948242</v>
      </c>
      <c r="H29284" s="7" t="n">
        <v>0</v>
      </c>
    </row>
    <row r="29285" spans="1:18">
      <c r="A29285" t="s">
        <v>4</v>
      </c>
      <c r="B29285" s="4" t="s">
        <v>5</v>
      </c>
      <c r="C29285" s="4" t="s">
        <v>7</v>
      </c>
      <c r="D29285" s="4" t="s">
        <v>7</v>
      </c>
      <c r="E29285" s="4" t="s">
        <v>13</v>
      </c>
      <c r="F29285" s="4" t="s">
        <v>13</v>
      </c>
      <c r="G29285" s="4" t="s">
        <v>13</v>
      </c>
      <c r="H29285" s="4" t="s">
        <v>11</v>
      </c>
      <c r="I29285" s="4" t="s">
        <v>7</v>
      </c>
    </row>
    <row r="29286" spans="1:18">
      <c r="A29286" t="n">
        <v>284394</v>
      </c>
      <c r="B29286" s="51" t="n">
        <v>45</v>
      </c>
      <c r="C29286" s="7" t="n">
        <v>4</v>
      </c>
      <c r="D29286" s="7" t="n">
        <v>3</v>
      </c>
      <c r="E29286" s="7" t="n">
        <v>10.3299999237061</v>
      </c>
      <c r="F29286" s="7" t="n">
        <v>61.2000007629395</v>
      </c>
      <c r="G29286" s="7" t="n">
        <v>356</v>
      </c>
      <c r="H29286" s="7" t="n">
        <v>0</v>
      </c>
      <c r="I29286" s="7" t="n">
        <v>0</v>
      </c>
    </row>
    <row r="29287" spans="1:18">
      <c r="A29287" t="s">
        <v>4</v>
      </c>
      <c r="B29287" s="4" t="s">
        <v>5</v>
      </c>
      <c r="C29287" s="4" t="s">
        <v>7</v>
      </c>
      <c r="D29287" s="4" t="s">
        <v>7</v>
      </c>
      <c r="E29287" s="4" t="s">
        <v>13</v>
      </c>
      <c r="F29287" s="4" t="s">
        <v>11</v>
      </c>
    </row>
    <row r="29288" spans="1:18">
      <c r="A29288" t="n">
        <v>284412</v>
      </c>
      <c r="B29288" s="51" t="n">
        <v>45</v>
      </c>
      <c r="C29288" s="7" t="n">
        <v>5</v>
      </c>
      <c r="D29288" s="7" t="n">
        <v>3</v>
      </c>
      <c r="E29288" s="7" t="n">
        <v>0.800000011920929</v>
      </c>
      <c r="F29288" s="7" t="n">
        <v>0</v>
      </c>
    </row>
    <row r="29289" spans="1:18">
      <c r="A29289" t="s">
        <v>4</v>
      </c>
      <c r="B29289" s="4" t="s">
        <v>5</v>
      </c>
      <c r="C29289" s="4" t="s">
        <v>7</v>
      </c>
      <c r="D29289" s="4" t="s">
        <v>7</v>
      </c>
      <c r="E29289" s="4" t="s">
        <v>13</v>
      </c>
      <c r="F29289" s="4" t="s">
        <v>11</v>
      </c>
    </row>
    <row r="29290" spans="1:18">
      <c r="A29290" t="n">
        <v>284421</v>
      </c>
      <c r="B29290" s="51" t="n">
        <v>45</v>
      </c>
      <c r="C29290" s="7" t="n">
        <v>11</v>
      </c>
      <c r="D29290" s="7" t="n">
        <v>3</v>
      </c>
      <c r="E29290" s="7" t="n">
        <v>40.2999992370605</v>
      </c>
      <c r="F29290" s="7" t="n">
        <v>0</v>
      </c>
    </row>
    <row r="29291" spans="1:18">
      <c r="A29291" t="s">
        <v>4</v>
      </c>
      <c r="B29291" s="4" t="s">
        <v>5</v>
      </c>
      <c r="C29291" s="4" t="s">
        <v>7</v>
      </c>
    </row>
    <row r="29292" spans="1:18">
      <c r="A29292" t="n">
        <v>284430</v>
      </c>
      <c r="B29292" s="49" t="n">
        <v>116</v>
      </c>
      <c r="C29292" s="7" t="n">
        <v>0</v>
      </c>
    </row>
    <row r="29293" spans="1:18">
      <c r="A29293" t="s">
        <v>4</v>
      </c>
      <c r="B29293" s="4" t="s">
        <v>5</v>
      </c>
      <c r="C29293" s="4" t="s">
        <v>7</v>
      </c>
      <c r="D29293" s="4" t="s">
        <v>11</v>
      </c>
    </row>
    <row r="29294" spans="1:18">
      <c r="A29294" t="n">
        <v>284432</v>
      </c>
      <c r="B29294" s="49" t="n">
        <v>116</v>
      </c>
      <c r="C29294" s="7" t="n">
        <v>2</v>
      </c>
      <c r="D29294" s="7" t="n">
        <v>1</v>
      </c>
    </row>
    <row r="29295" spans="1:18">
      <c r="A29295" t="s">
        <v>4</v>
      </c>
      <c r="B29295" s="4" t="s">
        <v>5</v>
      </c>
      <c r="C29295" s="4" t="s">
        <v>7</v>
      </c>
      <c r="D29295" s="4" t="s">
        <v>15</v>
      </c>
    </row>
    <row r="29296" spans="1:18">
      <c r="A29296" t="n">
        <v>284436</v>
      </c>
      <c r="B29296" s="49" t="n">
        <v>116</v>
      </c>
      <c r="C29296" s="7" t="n">
        <v>5</v>
      </c>
      <c r="D29296" s="7" t="n">
        <v>1077936128</v>
      </c>
    </row>
    <row r="29297" spans="1:9">
      <c r="A29297" t="s">
        <v>4</v>
      </c>
      <c r="B29297" s="4" t="s">
        <v>5</v>
      </c>
      <c r="C29297" s="4" t="s">
        <v>7</v>
      </c>
      <c r="D29297" s="4" t="s">
        <v>11</v>
      </c>
    </row>
    <row r="29298" spans="1:9">
      <c r="A29298" t="n">
        <v>284442</v>
      </c>
      <c r="B29298" s="49" t="n">
        <v>116</v>
      </c>
      <c r="C29298" s="7" t="n">
        <v>6</v>
      </c>
      <c r="D29298" s="7" t="n">
        <v>1</v>
      </c>
    </row>
    <row r="29299" spans="1:9">
      <c r="A29299" t="s">
        <v>4</v>
      </c>
      <c r="B29299" s="4" t="s">
        <v>5</v>
      </c>
      <c r="C29299" s="4" t="s">
        <v>11</v>
      </c>
      <c r="D29299" s="4" t="s">
        <v>11</v>
      </c>
      <c r="E29299" s="4" t="s">
        <v>13</v>
      </c>
      <c r="F29299" s="4" t="s">
        <v>7</v>
      </c>
    </row>
    <row r="29300" spans="1:9">
      <c r="A29300" t="n">
        <v>284446</v>
      </c>
      <c r="B29300" s="73" t="n">
        <v>53</v>
      </c>
      <c r="C29300" s="7" t="n">
        <v>0</v>
      </c>
      <c r="D29300" s="7" t="n">
        <v>9</v>
      </c>
      <c r="E29300" s="7" t="n">
        <v>0</v>
      </c>
      <c r="F29300" s="7" t="n">
        <v>0</v>
      </c>
    </row>
    <row r="29301" spans="1:9">
      <c r="A29301" t="s">
        <v>4</v>
      </c>
      <c r="B29301" s="4" t="s">
        <v>5</v>
      </c>
      <c r="C29301" s="4" t="s">
        <v>7</v>
      </c>
      <c r="D29301" s="4" t="s">
        <v>11</v>
      </c>
    </row>
    <row r="29302" spans="1:9">
      <c r="A29302" t="n">
        <v>284456</v>
      </c>
      <c r="B29302" s="23" t="n">
        <v>58</v>
      </c>
      <c r="C29302" s="7" t="n">
        <v>255</v>
      </c>
      <c r="D29302" s="7" t="n">
        <v>0</v>
      </c>
    </row>
    <row r="29303" spans="1:9">
      <c r="A29303" t="s">
        <v>4</v>
      </c>
      <c r="B29303" s="4" t="s">
        <v>5</v>
      </c>
      <c r="C29303" s="4" t="s">
        <v>7</v>
      </c>
      <c r="D29303" s="4" t="s">
        <v>11</v>
      </c>
      <c r="E29303" s="4" t="s">
        <v>8</v>
      </c>
      <c r="F29303" s="4" t="s">
        <v>8</v>
      </c>
      <c r="G29303" s="4" t="s">
        <v>8</v>
      </c>
      <c r="H29303" s="4" t="s">
        <v>8</v>
      </c>
    </row>
    <row r="29304" spans="1:9">
      <c r="A29304" t="n">
        <v>284460</v>
      </c>
      <c r="B29304" s="38" t="n">
        <v>51</v>
      </c>
      <c r="C29304" s="7" t="n">
        <v>3</v>
      </c>
      <c r="D29304" s="7" t="n">
        <v>9</v>
      </c>
      <c r="E29304" s="7" t="s">
        <v>568</v>
      </c>
      <c r="F29304" s="7" t="s">
        <v>218</v>
      </c>
      <c r="G29304" s="7" t="s">
        <v>78</v>
      </c>
      <c r="H29304" s="7" t="s">
        <v>79</v>
      </c>
    </row>
    <row r="29305" spans="1:9">
      <c r="A29305" t="s">
        <v>4</v>
      </c>
      <c r="B29305" s="4" t="s">
        <v>5</v>
      </c>
      <c r="C29305" s="4" t="s">
        <v>11</v>
      </c>
      <c r="D29305" s="4" t="s">
        <v>11</v>
      </c>
      <c r="E29305" s="4" t="s">
        <v>13</v>
      </c>
      <c r="F29305" s="4" t="s">
        <v>7</v>
      </c>
    </row>
    <row r="29306" spans="1:9">
      <c r="A29306" t="n">
        <v>284473</v>
      </c>
      <c r="B29306" s="73" t="n">
        <v>53</v>
      </c>
      <c r="C29306" s="7" t="n">
        <v>9</v>
      </c>
      <c r="D29306" s="7" t="n">
        <v>0</v>
      </c>
      <c r="E29306" s="7" t="n">
        <v>5</v>
      </c>
      <c r="F29306" s="7" t="n">
        <v>0</v>
      </c>
    </row>
    <row r="29307" spans="1:9">
      <c r="A29307" t="s">
        <v>4</v>
      </c>
      <c r="B29307" s="4" t="s">
        <v>5</v>
      </c>
      <c r="C29307" s="4" t="s">
        <v>11</v>
      </c>
    </row>
    <row r="29308" spans="1:9">
      <c r="A29308" t="n">
        <v>284483</v>
      </c>
      <c r="B29308" s="66" t="n">
        <v>54</v>
      </c>
      <c r="C29308" s="7" t="n">
        <v>9</v>
      </c>
    </row>
    <row r="29309" spans="1:9">
      <c r="A29309" t="s">
        <v>4</v>
      </c>
      <c r="B29309" s="4" t="s">
        <v>5</v>
      </c>
      <c r="C29309" s="4" t="s">
        <v>7</v>
      </c>
      <c r="D29309" s="4" t="s">
        <v>7</v>
      </c>
    </row>
    <row r="29310" spans="1:9">
      <c r="A29310" t="n">
        <v>284486</v>
      </c>
      <c r="B29310" s="13" t="n">
        <v>49</v>
      </c>
      <c r="C29310" s="7" t="n">
        <v>2</v>
      </c>
      <c r="D29310" s="7" t="n">
        <v>0</v>
      </c>
    </row>
    <row r="29311" spans="1:9">
      <c r="A29311" t="s">
        <v>4</v>
      </c>
      <c r="B29311" s="4" t="s">
        <v>5</v>
      </c>
      <c r="C29311" s="4" t="s">
        <v>7</v>
      </c>
      <c r="D29311" s="4" t="s">
        <v>11</v>
      </c>
      <c r="E29311" s="4" t="s">
        <v>15</v>
      </c>
      <c r="F29311" s="4" t="s">
        <v>11</v>
      </c>
      <c r="G29311" s="4" t="s">
        <v>15</v>
      </c>
      <c r="H29311" s="4" t="s">
        <v>7</v>
      </c>
    </row>
    <row r="29312" spans="1:9">
      <c r="A29312" t="n">
        <v>284489</v>
      </c>
      <c r="B29312" s="13" t="n">
        <v>49</v>
      </c>
      <c r="C29312" s="7" t="n">
        <v>0</v>
      </c>
      <c r="D29312" s="7" t="n">
        <v>551</v>
      </c>
      <c r="E29312" s="7" t="n">
        <v>1061997773</v>
      </c>
      <c r="F29312" s="7" t="n">
        <v>0</v>
      </c>
      <c r="G29312" s="7" t="n">
        <v>0</v>
      </c>
      <c r="H29312" s="7" t="n">
        <v>0</v>
      </c>
    </row>
    <row r="29313" spans="1:8">
      <c r="A29313" t="s">
        <v>4</v>
      </c>
      <c r="B29313" s="4" t="s">
        <v>5</v>
      </c>
      <c r="C29313" s="4" t="s">
        <v>7</v>
      </c>
      <c r="D29313" s="4" t="s">
        <v>11</v>
      </c>
    </row>
    <row r="29314" spans="1:8">
      <c r="A29314" t="n">
        <v>284504</v>
      </c>
      <c r="B29314" s="13" t="n">
        <v>49</v>
      </c>
      <c r="C29314" s="7" t="n">
        <v>6</v>
      </c>
      <c r="D29314" s="7" t="n">
        <v>551</v>
      </c>
    </row>
    <row r="29315" spans="1:8">
      <c r="A29315" t="s">
        <v>4</v>
      </c>
      <c r="B29315" s="4" t="s">
        <v>5</v>
      </c>
      <c r="C29315" s="4" t="s">
        <v>11</v>
      </c>
    </row>
    <row r="29316" spans="1:8">
      <c r="A29316" t="n">
        <v>284508</v>
      </c>
      <c r="B29316" s="29" t="n">
        <v>16</v>
      </c>
      <c r="C29316" s="7" t="n">
        <v>500</v>
      </c>
    </row>
    <row r="29317" spans="1:8">
      <c r="A29317" t="s">
        <v>4</v>
      </c>
      <c r="B29317" s="4" t="s">
        <v>5</v>
      </c>
      <c r="C29317" s="4" t="s">
        <v>7</v>
      </c>
      <c r="D29317" s="4" t="s">
        <v>11</v>
      </c>
      <c r="E29317" s="4" t="s">
        <v>8</v>
      </c>
    </row>
    <row r="29318" spans="1:8">
      <c r="A29318" t="n">
        <v>284511</v>
      </c>
      <c r="B29318" s="38" t="n">
        <v>51</v>
      </c>
      <c r="C29318" s="7" t="n">
        <v>4</v>
      </c>
      <c r="D29318" s="7" t="n">
        <v>9</v>
      </c>
      <c r="E29318" s="7" t="s">
        <v>658</v>
      </c>
    </row>
    <row r="29319" spans="1:8">
      <c r="A29319" t="s">
        <v>4</v>
      </c>
      <c r="B29319" s="4" t="s">
        <v>5</v>
      </c>
      <c r="C29319" s="4" t="s">
        <v>11</v>
      </c>
    </row>
    <row r="29320" spans="1:8">
      <c r="A29320" t="n">
        <v>284525</v>
      </c>
      <c r="B29320" s="29" t="n">
        <v>16</v>
      </c>
      <c r="C29320" s="7" t="n">
        <v>0</v>
      </c>
    </row>
    <row r="29321" spans="1:8">
      <c r="A29321" t="s">
        <v>4</v>
      </c>
      <c r="B29321" s="4" t="s">
        <v>5</v>
      </c>
      <c r="C29321" s="4" t="s">
        <v>11</v>
      </c>
      <c r="D29321" s="4" t="s">
        <v>7</v>
      </c>
      <c r="E29321" s="4" t="s">
        <v>15</v>
      </c>
      <c r="F29321" s="4" t="s">
        <v>55</v>
      </c>
      <c r="G29321" s="4" t="s">
        <v>7</v>
      </c>
      <c r="H29321" s="4" t="s">
        <v>7</v>
      </c>
    </row>
    <row r="29322" spans="1:8">
      <c r="A29322" t="n">
        <v>284528</v>
      </c>
      <c r="B29322" s="55" t="n">
        <v>26</v>
      </c>
      <c r="C29322" s="7" t="n">
        <v>9</v>
      </c>
      <c r="D29322" s="7" t="n">
        <v>17</v>
      </c>
      <c r="E29322" s="7" t="n">
        <v>5800</v>
      </c>
      <c r="F29322" s="7" t="s">
        <v>659</v>
      </c>
      <c r="G29322" s="7" t="n">
        <v>2</v>
      </c>
      <c r="H29322" s="7" t="n">
        <v>0</v>
      </c>
    </row>
    <row r="29323" spans="1:8">
      <c r="A29323" t="s">
        <v>4</v>
      </c>
      <c r="B29323" s="4" t="s">
        <v>5</v>
      </c>
    </row>
    <row r="29324" spans="1:8">
      <c r="A29324" t="n">
        <v>284579</v>
      </c>
      <c r="B29324" s="27" t="n">
        <v>28</v>
      </c>
    </row>
    <row r="29325" spans="1:8">
      <c r="A29325" t="s">
        <v>4</v>
      </c>
      <c r="B29325" s="4" t="s">
        <v>5</v>
      </c>
      <c r="C29325" s="4" t="s">
        <v>7</v>
      </c>
      <c r="D29325" s="4" t="s">
        <v>11</v>
      </c>
      <c r="E29325" s="4" t="s">
        <v>8</v>
      </c>
    </row>
    <row r="29326" spans="1:8">
      <c r="A29326" t="n">
        <v>284580</v>
      </c>
      <c r="B29326" s="38" t="n">
        <v>51</v>
      </c>
      <c r="C29326" s="7" t="n">
        <v>4</v>
      </c>
      <c r="D29326" s="7" t="n">
        <v>0</v>
      </c>
      <c r="E29326" s="7" t="s">
        <v>147</v>
      </c>
    </row>
    <row r="29327" spans="1:8">
      <c r="A29327" t="s">
        <v>4</v>
      </c>
      <c r="B29327" s="4" t="s">
        <v>5</v>
      </c>
      <c r="C29327" s="4" t="s">
        <v>11</v>
      </c>
    </row>
    <row r="29328" spans="1:8">
      <c r="A29328" t="n">
        <v>284594</v>
      </c>
      <c r="B29328" s="29" t="n">
        <v>16</v>
      </c>
      <c r="C29328" s="7" t="n">
        <v>0</v>
      </c>
    </row>
    <row r="29329" spans="1:8">
      <c r="A29329" t="s">
        <v>4</v>
      </c>
      <c r="B29329" s="4" t="s">
        <v>5</v>
      </c>
      <c r="C29329" s="4" t="s">
        <v>11</v>
      </c>
      <c r="D29329" s="4" t="s">
        <v>7</v>
      </c>
      <c r="E29329" s="4" t="s">
        <v>15</v>
      </c>
      <c r="F29329" s="4" t="s">
        <v>55</v>
      </c>
      <c r="G29329" s="4" t="s">
        <v>7</v>
      </c>
      <c r="H29329" s="4" t="s">
        <v>7</v>
      </c>
    </row>
    <row r="29330" spans="1:8">
      <c r="A29330" t="n">
        <v>284597</v>
      </c>
      <c r="B29330" s="55" t="n">
        <v>26</v>
      </c>
      <c r="C29330" s="7" t="n">
        <v>0</v>
      </c>
      <c r="D29330" s="7" t="n">
        <v>17</v>
      </c>
      <c r="E29330" s="7" t="n">
        <v>63962</v>
      </c>
      <c r="F29330" s="7" t="s">
        <v>660</v>
      </c>
      <c r="G29330" s="7" t="n">
        <v>2</v>
      </c>
      <c r="H29330" s="7" t="n">
        <v>0</v>
      </c>
    </row>
    <row r="29331" spans="1:8">
      <c r="A29331" t="s">
        <v>4</v>
      </c>
      <c r="B29331" s="4" t="s">
        <v>5</v>
      </c>
    </row>
    <row r="29332" spans="1:8">
      <c r="A29332" t="n">
        <v>284619</v>
      </c>
      <c r="B29332" s="27" t="n">
        <v>28</v>
      </c>
    </row>
    <row r="29333" spans="1:8">
      <c r="A29333" t="s">
        <v>4</v>
      </c>
      <c r="B29333" s="4" t="s">
        <v>5</v>
      </c>
      <c r="C29333" s="4" t="s">
        <v>7</v>
      </c>
      <c r="D29333" s="4" t="s">
        <v>11</v>
      </c>
      <c r="E29333" s="4" t="s">
        <v>8</v>
      </c>
    </row>
    <row r="29334" spans="1:8">
      <c r="A29334" t="n">
        <v>284620</v>
      </c>
      <c r="B29334" s="38" t="n">
        <v>51</v>
      </c>
      <c r="C29334" s="7" t="n">
        <v>4</v>
      </c>
      <c r="D29334" s="7" t="n">
        <v>9</v>
      </c>
      <c r="E29334" s="7" t="s">
        <v>219</v>
      </c>
    </row>
    <row r="29335" spans="1:8">
      <c r="A29335" t="s">
        <v>4</v>
      </c>
      <c r="B29335" s="4" t="s">
        <v>5</v>
      </c>
      <c r="C29335" s="4" t="s">
        <v>11</v>
      </c>
    </row>
    <row r="29336" spans="1:8">
      <c r="A29336" t="n">
        <v>284633</v>
      </c>
      <c r="B29336" s="29" t="n">
        <v>16</v>
      </c>
      <c r="C29336" s="7" t="n">
        <v>0</v>
      </c>
    </row>
    <row r="29337" spans="1:8">
      <c r="A29337" t="s">
        <v>4</v>
      </c>
      <c r="B29337" s="4" t="s">
        <v>5</v>
      </c>
      <c r="C29337" s="4" t="s">
        <v>11</v>
      </c>
      <c r="D29337" s="4" t="s">
        <v>7</v>
      </c>
      <c r="E29337" s="4" t="s">
        <v>15</v>
      </c>
      <c r="F29337" s="4" t="s">
        <v>55</v>
      </c>
      <c r="G29337" s="4" t="s">
        <v>7</v>
      </c>
      <c r="H29337" s="4" t="s">
        <v>7</v>
      </c>
      <c r="I29337" s="4" t="s">
        <v>7</v>
      </c>
      <c r="J29337" s="4" t="s">
        <v>15</v>
      </c>
      <c r="K29337" s="4" t="s">
        <v>55</v>
      </c>
      <c r="L29337" s="4" t="s">
        <v>7</v>
      </c>
      <c r="M29337" s="4" t="s">
        <v>7</v>
      </c>
      <c r="N29337" s="4" t="s">
        <v>7</v>
      </c>
      <c r="O29337" s="4" t="s">
        <v>15</v>
      </c>
      <c r="P29337" s="4" t="s">
        <v>55</v>
      </c>
      <c r="Q29337" s="4" t="s">
        <v>7</v>
      </c>
      <c r="R29337" s="4" t="s">
        <v>7</v>
      </c>
      <c r="S29337" s="4" t="s">
        <v>7</v>
      </c>
      <c r="T29337" s="4" t="s">
        <v>15</v>
      </c>
      <c r="U29337" s="4" t="s">
        <v>55</v>
      </c>
      <c r="V29337" s="4" t="s">
        <v>7</v>
      </c>
      <c r="W29337" s="4" t="s">
        <v>7</v>
      </c>
    </row>
    <row r="29338" spans="1:8">
      <c r="A29338" t="n">
        <v>284636</v>
      </c>
      <c r="B29338" s="55" t="n">
        <v>26</v>
      </c>
      <c r="C29338" s="7" t="n">
        <v>9</v>
      </c>
      <c r="D29338" s="7" t="n">
        <v>17</v>
      </c>
      <c r="E29338" s="7" t="n">
        <v>5801</v>
      </c>
      <c r="F29338" s="7" t="s">
        <v>661</v>
      </c>
      <c r="G29338" s="7" t="n">
        <v>2</v>
      </c>
      <c r="H29338" s="7" t="n">
        <v>3</v>
      </c>
      <c r="I29338" s="7" t="n">
        <v>17</v>
      </c>
      <c r="J29338" s="7" t="n">
        <v>5802</v>
      </c>
      <c r="K29338" s="7" t="s">
        <v>662</v>
      </c>
      <c r="L29338" s="7" t="n">
        <v>2</v>
      </c>
      <c r="M29338" s="7" t="n">
        <v>3</v>
      </c>
      <c r="N29338" s="7" t="n">
        <v>17</v>
      </c>
      <c r="O29338" s="7" t="n">
        <v>5803</v>
      </c>
      <c r="P29338" s="7" t="s">
        <v>663</v>
      </c>
      <c r="Q29338" s="7" t="n">
        <v>2</v>
      </c>
      <c r="R29338" s="7" t="n">
        <v>3</v>
      </c>
      <c r="S29338" s="7" t="n">
        <v>17</v>
      </c>
      <c r="T29338" s="7" t="n">
        <v>5804</v>
      </c>
      <c r="U29338" s="7" t="s">
        <v>664</v>
      </c>
      <c r="V29338" s="7" t="n">
        <v>2</v>
      </c>
      <c r="W29338" s="7" t="n">
        <v>0</v>
      </c>
    </row>
    <row r="29339" spans="1:8">
      <c r="A29339" t="s">
        <v>4</v>
      </c>
      <c r="B29339" s="4" t="s">
        <v>5</v>
      </c>
    </row>
    <row r="29340" spans="1:8">
      <c r="A29340" t="n">
        <v>284963</v>
      </c>
      <c r="B29340" s="27" t="n">
        <v>28</v>
      </c>
    </row>
    <row r="29341" spans="1:8">
      <c r="A29341" t="s">
        <v>4</v>
      </c>
      <c r="B29341" s="4" t="s">
        <v>5</v>
      </c>
      <c r="C29341" s="4" t="s">
        <v>7</v>
      </c>
      <c r="D29341" s="4" t="s">
        <v>11</v>
      </c>
      <c r="E29341" s="4" t="s">
        <v>8</v>
      </c>
    </row>
    <row r="29342" spans="1:8">
      <c r="A29342" t="n">
        <v>284964</v>
      </c>
      <c r="B29342" s="38" t="n">
        <v>51</v>
      </c>
      <c r="C29342" s="7" t="n">
        <v>4</v>
      </c>
      <c r="D29342" s="7" t="n">
        <v>0</v>
      </c>
      <c r="E29342" s="7" t="s">
        <v>179</v>
      </c>
    </row>
    <row r="29343" spans="1:8">
      <c r="A29343" t="s">
        <v>4</v>
      </c>
      <c r="B29343" s="4" t="s">
        <v>5</v>
      </c>
      <c r="C29343" s="4" t="s">
        <v>11</v>
      </c>
    </row>
    <row r="29344" spans="1:8">
      <c r="A29344" t="n">
        <v>284978</v>
      </c>
      <c r="B29344" s="29" t="n">
        <v>16</v>
      </c>
      <c r="C29344" s="7" t="n">
        <v>0</v>
      </c>
    </row>
    <row r="29345" spans="1:23">
      <c r="A29345" t="s">
        <v>4</v>
      </c>
      <c r="B29345" s="4" t="s">
        <v>5</v>
      </c>
      <c r="C29345" s="4" t="s">
        <v>11</v>
      </c>
      <c r="D29345" s="4" t="s">
        <v>7</v>
      </c>
      <c r="E29345" s="4" t="s">
        <v>15</v>
      </c>
      <c r="F29345" s="4" t="s">
        <v>55</v>
      </c>
      <c r="G29345" s="4" t="s">
        <v>7</v>
      </c>
      <c r="H29345" s="4" t="s">
        <v>7</v>
      </c>
      <c r="I29345" s="4" t="s">
        <v>7</v>
      </c>
      <c r="J29345" s="4" t="s">
        <v>15</v>
      </c>
      <c r="K29345" s="4" t="s">
        <v>55</v>
      </c>
      <c r="L29345" s="4" t="s">
        <v>7</v>
      </c>
      <c r="M29345" s="4" t="s">
        <v>7</v>
      </c>
      <c r="N29345" s="4" t="s">
        <v>7</v>
      </c>
      <c r="O29345" s="4" t="s">
        <v>15</v>
      </c>
      <c r="P29345" s="4" t="s">
        <v>55</v>
      </c>
      <c r="Q29345" s="4" t="s">
        <v>7</v>
      </c>
      <c r="R29345" s="4" t="s">
        <v>7</v>
      </c>
      <c r="S29345" s="4" t="s">
        <v>7</v>
      </c>
      <c r="T29345" s="4" t="s">
        <v>15</v>
      </c>
      <c r="U29345" s="4" t="s">
        <v>55</v>
      </c>
      <c r="V29345" s="4" t="s">
        <v>7</v>
      </c>
      <c r="W29345" s="4" t="s">
        <v>7</v>
      </c>
    </row>
    <row r="29346" spans="1:23">
      <c r="A29346" t="n">
        <v>284981</v>
      </c>
      <c r="B29346" s="55" t="n">
        <v>26</v>
      </c>
      <c r="C29346" s="7" t="n">
        <v>0</v>
      </c>
      <c r="D29346" s="7" t="n">
        <v>17</v>
      </c>
      <c r="E29346" s="7" t="n">
        <v>63963</v>
      </c>
      <c r="F29346" s="7" t="s">
        <v>665</v>
      </c>
      <c r="G29346" s="7" t="n">
        <v>2</v>
      </c>
      <c r="H29346" s="7" t="n">
        <v>3</v>
      </c>
      <c r="I29346" s="7" t="n">
        <v>17</v>
      </c>
      <c r="J29346" s="7" t="n">
        <v>63964</v>
      </c>
      <c r="K29346" s="7" t="s">
        <v>666</v>
      </c>
      <c r="L29346" s="7" t="n">
        <v>2</v>
      </c>
      <c r="M29346" s="7" t="n">
        <v>3</v>
      </c>
      <c r="N29346" s="7" t="n">
        <v>17</v>
      </c>
      <c r="O29346" s="7" t="n">
        <v>63965</v>
      </c>
      <c r="P29346" s="7" t="s">
        <v>667</v>
      </c>
      <c r="Q29346" s="7" t="n">
        <v>2</v>
      </c>
      <c r="R29346" s="7" t="n">
        <v>3</v>
      </c>
      <c r="S29346" s="7" t="n">
        <v>17</v>
      </c>
      <c r="T29346" s="7" t="n">
        <v>63966</v>
      </c>
      <c r="U29346" s="7" t="s">
        <v>668</v>
      </c>
      <c r="V29346" s="7" t="n">
        <v>2</v>
      </c>
      <c r="W29346" s="7" t="n">
        <v>0</v>
      </c>
    </row>
    <row r="29347" spans="1:23">
      <c r="A29347" t="s">
        <v>4</v>
      </c>
      <c r="B29347" s="4" t="s">
        <v>5</v>
      </c>
    </row>
    <row r="29348" spans="1:23">
      <c r="A29348" t="n">
        <v>285340</v>
      </c>
      <c r="B29348" s="27" t="n">
        <v>28</v>
      </c>
    </row>
    <row r="29349" spans="1:23">
      <c r="A29349" t="s">
        <v>4</v>
      </c>
      <c r="B29349" s="4" t="s">
        <v>5</v>
      </c>
      <c r="C29349" s="4" t="s">
        <v>7</v>
      </c>
      <c r="D29349" s="4" t="s">
        <v>11</v>
      </c>
      <c r="E29349" s="4" t="s">
        <v>8</v>
      </c>
    </row>
    <row r="29350" spans="1:23">
      <c r="A29350" t="n">
        <v>285341</v>
      </c>
      <c r="B29350" s="38" t="n">
        <v>51</v>
      </c>
      <c r="C29350" s="7" t="n">
        <v>4</v>
      </c>
      <c r="D29350" s="7" t="n">
        <v>9</v>
      </c>
      <c r="E29350" s="7" t="s">
        <v>245</v>
      </c>
    </row>
    <row r="29351" spans="1:23">
      <c r="A29351" t="s">
        <v>4</v>
      </c>
      <c r="B29351" s="4" t="s">
        <v>5</v>
      </c>
      <c r="C29351" s="4" t="s">
        <v>11</v>
      </c>
    </row>
    <row r="29352" spans="1:23">
      <c r="A29352" t="n">
        <v>285355</v>
      </c>
      <c r="B29352" s="29" t="n">
        <v>16</v>
      </c>
      <c r="C29352" s="7" t="n">
        <v>0</v>
      </c>
    </row>
    <row r="29353" spans="1:23">
      <c r="A29353" t="s">
        <v>4</v>
      </c>
      <c r="B29353" s="4" t="s">
        <v>5</v>
      </c>
      <c r="C29353" s="4" t="s">
        <v>11</v>
      </c>
      <c r="D29353" s="4" t="s">
        <v>7</v>
      </c>
      <c r="E29353" s="4" t="s">
        <v>15</v>
      </c>
      <c r="F29353" s="4" t="s">
        <v>55</v>
      </c>
      <c r="G29353" s="4" t="s">
        <v>7</v>
      </c>
      <c r="H29353" s="4" t="s">
        <v>7</v>
      </c>
    </row>
    <row r="29354" spans="1:23">
      <c r="A29354" t="n">
        <v>285358</v>
      </c>
      <c r="B29354" s="55" t="n">
        <v>26</v>
      </c>
      <c r="C29354" s="7" t="n">
        <v>9</v>
      </c>
      <c r="D29354" s="7" t="n">
        <v>17</v>
      </c>
      <c r="E29354" s="7" t="n">
        <v>5805</v>
      </c>
      <c r="F29354" s="7" t="s">
        <v>669</v>
      </c>
      <c r="G29354" s="7" t="n">
        <v>2</v>
      </c>
      <c r="H29354" s="7" t="n">
        <v>0</v>
      </c>
    </row>
    <row r="29355" spans="1:23">
      <c r="A29355" t="s">
        <v>4</v>
      </c>
      <c r="B29355" s="4" t="s">
        <v>5</v>
      </c>
    </row>
    <row r="29356" spans="1:23">
      <c r="A29356" t="n">
        <v>285377</v>
      </c>
      <c r="B29356" s="27" t="n">
        <v>28</v>
      </c>
    </row>
    <row r="29357" spans="1:23">
      <c r="A29357" t="s">
        <v>4</v>
      </c>
      <c r="B29357" s="4" t="s">
        <v>5</v>
      </c>
      <c r="C29357" s="4" t="s">
        <v>11</v>
      </c>
      <c r="D29357" s="4" t="s">
        <v>7</v>
      </c>
      <c r="E29357" s="4" t="s">
        <v>8</v>
      </c>
      <c r="F29357" s="4" t="s">
        <v>13</v>
      </c>
      <c r="G29357" s="4" t="s">
        <v>13</v>
      </c>
      <c r="H29357" s="4" t="s">
        <v>13</v>
      </c>
    </row>
    <row r="29358" spans="1:23">
      <c r="A29358" t="n">
        <v>285378</v>
      </c>
      <c r="B29358" s="42" t="n">
        <v>48</v>
      </c>
      <c r="C29358" s="7" t="n">
        <v>9</v>
      </c>
      <c r="D29358" s="7" t="n">
        <v>0</v>
      </c>
      <c r="E29358" s="7" t="s">
        <v>628</v>
      </c>
      <c r="F29358" s="7" t="n">
        <v>-1</v>
      </c>
      <c r="G29358" s="7" t="n">
        <v>1</v>
      </c>
      <c r="H29358" s="7" t="n">
        <v>0</v>
      </c>
    </row>
    <row r="29359" spans="1:23">
      <c r="A29359" t="s">
        <v>4</v>
      </c>
      <c r="B29359" s="4" t="s">
        <v>5</v>
      </c>
      <c r="C29359" s="4" t="s">
        <v>11</v>
      </c>
    </row>
    <row r="29360" spans="1:23">
      <c r="A29360" t="n">
        <v>285410</v>
      </c>
      <c r="B29360" s="29" t="n">
        <v>16</v>
      </c>
      <c r="C29360" s="7" t="n">
        <v>500</v>
      </c>
    </row>
    <row r="29361" spans="1:23">
      <c r="A29361" t="s">
        <v>4</v>
      </c>
      <c r="B29361" s="4" t="s">
        <v>5</v>
      </c>
      <c r="C29361" s="4" t="s">
        <v>7</v>
      </c>
      <c r="D29361" s="4" t="s">
        <v>11</v>
      </c>
      <c r="E29361" s="4" t="s">
        <v>8</v>
      </c>
    </row>
    <row r="29362" spans="1:23">
      <c r="A29362" t="n">
        <v>285413</v>
      </c>
      <c r="B29362" s="38" t="n">
        <v>51</v>
      </c>
      <c r="C29362" s="7" t="n">
        <v>4</v>
      </c>
      <c r="D29362" s="7" t="n">
        <v>9</v>
      </c>
      <c r="E29362" s="7" t="s">
        <v>658</v>
      </c>
    </row>
    <row r="29363" spans="1:23">
      <c r="A29363" t="s">
        <v>4</v>
      </c>
      <c r="B29363" s="4" t="s">
        <v>5</v>
      </c>
      <c r="C29363" s="4" t="s">
        <v>11</v>
      </c>
    </row>
    <row r="29364" spans="1:23">
      <c r="A29364" t="n">
        <v>285427</v>
      </c>
      <c r="B29364" s="29" t="n">
        <v>16</v>
      </c>
      <c r="C29364" s="7" t="n">
        <v>0</v>
      </c>
    </row>
    <row r="29365" spans="1:23">
      <c r="A29365" t="s">
        <v>4</v>
      </c>
      <c r="B29365" s="4" t="s">
        <v>5</v>
      </c>
      <c r="C29365" s="4" t="s">
        <v>11</v>
      </c>
      <c r="D29365" s="4" t="s">
        <v>7</v>
      </c>
      <c r="E29365" s="4" t="s">
        <v>15</v>
      </c>
      <c r="F29365" s="4" t="s">
        <v>55</v>
      </c>
      <c r="G29365" s="4" t="s">
        <v>7</v>
      </c>
      <c r="H29365" s="4" t="s">
        <v>7</v>
      </c>
      <c r="I29365" s="4" t="s">
        <v>7</v>
      </c>
      <c r="J29365" s="4" t="s">
        <v>15</v>
      </c>
      <c r="K29365" s="4" t="s">
        <v>55</v>
      </c>
      <c r="L29365" s="4" t="s">
        <v>7</v>
      </c>
      <c r="M29365" s="4" t="s">
        <v>7</v>
      </c>
    </row>
    <row r="29366" spans="1:23">
      <c r="A29366" t="n">
        <v>285430</v>
      </c>
      <c r="B29366" s="55" t="n">
        <v>26</v>
      </c>
      <c r="C29366" s="7" t="n">
        <v>9</v>
      </c>
      <c r="D29366" s="7" t="n">
        <v>17</v>
      </c>
      <c r="E29366" s="7" t="n">
        <v>5806</v>
      </c>
      <c r="F29366" s="7" t="s">
        <v>670</v>
      </c>
      <c r="G29366" s="7" t="n">
        <v>2</v>
      </c>
      <c r="H29366" s="7" t="n">
        <v>3</v>
      </c>
      <c r="I29366" s="7" t="n">
        <v>17</v>
      </c>
      <c r="J29366" s="7" t="n">
        <v>5807</v>
      </c>
      <c r="K29366" s="7" t="s">
        <v>671</v>
      </c>
      <c r="L29366" s="7" t="n">
        <v>2</v>
      </c>
      <c r="M29366" s="7" t="n">
        <v>0</v>
      </c>
    </row>
    <row r="29367" spans="1:23">
      <c r="A29367" t="s">
        <v>4</v>
      </c>
      <c r="B29367" s="4" t="s">
        <v>5</v>
      </c>
    </row>
    <row r="29368" spans="1:23">
      <c r="A29368" t="n">
        <v>285678</v>
      </c>
      <c r="B29368" s="27" t="n">
        <v>28</v>
      </c>
    </row>
    <row r="29369" spans="1:23">
      <c r="A29369" t="s">
        <v>4</v>
      </c>
      <c r="B29369" s="4" t="s">
        <v>5</v>
      </c>
      <c r="C29369" s="4" t="s">
        <v>7</v>
      </c>
      <c r="D29369" s="4" t="s">
        <v>11</v>
      </c>
      <c r="E29369" s="4" t="s">
        <v>8</v>
      </c>
    </row>
    <row r="29370" spans="1:23">
      <c r="A29370" t="n">
        <v>285679</v>
      </c>
      <c r="B29370" s="38" t="n">
        <v>51</v>
      </c>
      <c r="C29370" s="7" t="n">
        <v>4</v>
      </c>
      <c r="D29370" s="7" t="n">
        <v>0</v>
      </c>
      <c r="E29370" s="7" t="s">
        <v>304</v>
      </c>
    </row>
    <row r="29371" spans="1:23">
      <c r="A29371" t="s">
        <v>4</v>
      </c>
      <c r="B29371" s="4" t="s">
        <v>5</v>
      </c>
      <c r="C29371" s="4" t="s">
        <v>11</v>
      </c>
    </row>
    <row r="29372" spans="1:23">
      <c r="A29372" t="n">
        <v>285692</v>
      </c>
      <c r="B29372" s="29" t="n">
        <v>16</v>
      </c>
      <c r="C29372" s="7" t="n">
        <v>0</v>
      </c>
    </row>
    <row r="29373" spans="1:23">
      <c r="A29373" t="s">
        <v>4</v>
      </c>
      <c r="B29373" s="4" t="s">
        <v>5</v>
      </c>
      <c r="C29373" s="4" t="s">
        <v>11</v>
      </c>
      <c r="D29373" s="4" t="s">
        <v>7</v>
      </c>
      <c r="E29373" s="4" t="s">
        <v>15</v>
      </c>
      <c r="F29373" s="4" t="s">
        <v>55</v>
      </c>
      <c r="G29373" s="4" t="s">
        <v>7</v>
      </c>
      <c r="H29373" s="4" t="s">
        <v>7</v>
      </c>
    </row>
    <row r="29374" spans="1:23">
      <c r="A29374" t="n">
        <v>285695</v>
      </c>
      <c r="B29374" s="55" t="n">
        <v>26</v>
      </c>
      <c r="C29374" s="7" t="n">
        <v>0</v>
      </c>
      <c r="D29374" s="7" t="n">
        <v>17</v>
      </c>
      <c r="E29374" s="7" t="n">
        <v>63967</v>
      </c>
      <c r="F29374" s="7" t="s">
        <v>672</v>
      </c>
      <c r="G29374" s="7" t="n">
        <v>2</v>
      </c>
      <c r="H29374" s="7" t="n">
        <v>0</v>
      </c>
    </row>
    <row r="29375" spans="1:23">
      <c r="A29375" t="s">
        <v>4</v>
      </c>
      <c r="B29375" s="4" t="s">
        <v>5</v>
      </c>
    </row>
    <row r="29376" spans="1:23">
      <c r="A29376" t="n">
        <v>285756</v>
      </c>
      <c r="B29376" s="27" t="n">
        <v>28</v>
      </c>
    </row>
    <row r="29377" spans="1:13">
      <c r="A29377" t="s">
        <v>4</v>
      </c>
      <c r="B29377" s="4" t="s">
        <v>5</v>
      </c>
      <c r="C29377" s="4" t="s">
        <v>7</v>
      </c>
      <c r="D29377" s="4" t="s">
        <v>11</v>
      </c>
      <c r="E29377" s="4" t="s">
        <v>8</v>
      </c>
    </row>
    <row r="29378" spans="1:13">
      <c r="A29378" t="n">
        <v>285757</v>
      </c>
      <c r="B29378" s="38" t="n">
        <v>51</v>
      </c>
      <c r="C29378" s="7" t="n">
        <v>4</v>
      </c>
      <c r="D29378" s="7" t="n">
        <v>9</v>
      </c>
      <c r="E29378" s="7" t="s">
        <v>322</v>
      </c>
    </row>
    <row r="29379" spans="1:13">
      <c r="A29379" t="s">
        <v>4</v>
      </c>
      <c r="B29379" s="4" t="s">
        <v>5</v>
      </c>
      <c r="C29379" s="4" t="s">
        <v>11</v>
      </c>
    </row>
    <row r="29380" spans="1:13">
      <c r="A29380" t="n">
        <v>285771</v>
      </c>
      <c r="B29380" s="29" t="n">
        <v>16</v>
      </c>
      <c r="C29380" s="7" t="n">
        <v>0</v>
      </c>
    </row>
    <row r="29381" spans="1:13">
      <c r="A29381" t="s">
        <v>4</v>
      </c>
      <c r="B29381" s="4" t="s">
        <v>5</v>
      </c>
      <c r="C29381" s="4" t="s">
        <v>11</v>
      </c>
      <c r="D29381" s="4" t="s">
        <v>7</v>
      </c>
      <c r="E29381" s="4" t="s">
        <v>15</v>
      </c>
      <c r="F29381" s="4" t="s">
        <v>55</v>
      </c>
      <c r="G29381" s="4" t="s">
        <v>7</v>
      </c>
      <c r="H29381" s="4" t="s">
        <v>7</v>
      </c>
    </row>
    <row r="29382" spans="1:13">
      <c r="A29382" t="n">
        <v>285774</v>
      </c>
      <c r="B29382" s="55" t="n">
        <v>26</v>
      </c>
      <c r="C29382" s="7" t="n">
        <v>9</v>
      </c>
      <c r="D29382" s="7" t="n">
        <v>17</v>
      </c>
      <c r="E29382" s="7" t="n">
        <v>5808</v>
      </c>
      <c r="F29382" s="7" t="s">
        <v>673</v>
      </c>
      <c r="G29382" s="7" t="n">
        <v>2</v>
      </c>
      <c r="H29382" s="7" t="n">
        <v>0</v>
      </c>
    </row>
    <row r="29383" spans="1:13">
      <c r="A29383" t="s">
        <v>4</v>
      </c>
      <c r="B29383" s="4" t="s">
        <v>5</v>
      </c>
    </row>
    <row r="29384" spans="1:13">
      <c r="A29384" t="n">
        <v>285800</v>
      </c>
      <c r="B29384" s="27" t="n">
        <v>28</v>
      </c>
    </row>
    <row r="29385" spans="1:13">
      <c r="A29385" t="s">
        <v>4</v>
      </c>
      <c r="B29385" s="4" t="s">
        <v>5</v>
      </c>
      <c r="C29385" s="4" t="s">
        <v>11</v>
      </c>
      <c r="D29385" s="4" t="s">
        <v>7</v>
      </c>
    </row>
    <row r="29386" spans="1:13">
      <c r="A29386" t="n">
        <v>285801</v>
      </c>
      <c r="B29386" s="68" t="n">
        <v>89</v>
      </c>
      <c r="C29386" s="7" t="n">
        <v>65533</v>
      </c>
      <c r="D29386" s="7" t="n">
        <v>1</v>
      </c>
    </row>
    <row r="29387" spans="1:13">
      <c r="A29387" t="s">
        <v>4</v>
      </c>
      <c r="B29387" s="4" t="s">
        <v>5</v>
      </c>
      <c r="C29387" s="4" t="s">
        <v>7</v>
      </c>
      <c r="D29387" s="4" t="s">
        <v>11</v>
      </c>
      <c r="E29387" s="4" t="s">
        <v>13</v>
      </c>
    </row>
    <row r="29388" spans="1:13">
      <c r="A29388" t="n">
        <v>285805</v>
      </c>
      <c r="B29388" s="23" t="n">
        <v>58</v>
      </c>
      <c r="C29388" s="7" t="n">
        <v>101</v>
      </c>
      <c r="D29388" s="7" t="n">
        <v>500</v>
      </c>
      <c r="E29388" s="7" t="n">
        <v>1</v>
      </c>
    </row>
    <row r="29389" spans="1:13">
      <c r="A29389" t="s">
        <v>4</v>
      </c>
      <c r="B29389" s="4" t="s">
        <v>5</v>
      </c>
      <c r="C29389" s="4" t="s">
        <v>7</v>
      </c>
      <c r="D29389" s="4" t="s">
        <v>11</v>
      </c>
    </row>
    <row r="29390" spans="1:13">
      <c r="A29390" t="n">
        <v>285813</v>
      </c>
      <c r="B29390" s="23" t="n">
        <v>58</v>
      </c>
      <c r="C29390" s="7" t="n">
        <v>254</v>
      </c>
      <c r="D29390" s="7" t="n">
        <v>0</v>
      </c>
    </row>
    <row r="29391" spans="1:13">
      <c r="A29391" t="s">
        <v>4</v>
      </c>
      <c r="B29391" s="4" t="s">
        <v>5</v>
      </c>
      <c r="C29391" s="4" t="s">
        <v>7</v>
      </c>
      <c r="D29391" s="4" t="s">
        <v>7</v>
      </c>
      <c r="E29391" s="4" t="s">
        <v>13</v>
      </c>
      <c r="F29391" s="4" t="s">
        <v>13</v>
      </c>
      <c r="G29391" s="4" t="s">
        <v>13</v>
      </c>
      <c r="H29391" s="4" t="s">
        <v>11</v>
      </c>
    </row>
    <row r="29392" spans="1:13">
      <c r="A29392" t="n">
        <v>285817</v>
      </c>
      <c r="B29392" s="51" t="n">
        <v>45</v>
      </c>
      <c r="C29392" s="7" t="n">
        <v>2</v>
      </c>
      <c r="D29392" s="7" t="n">
        <v>3</v>
      </c>
      <c r="E29392" s="7" t="n">
        <v>-6.86999988555908</v>
      </c>
      <c r="F29392" s="7" t="n">
        <v>6.38000011444092</v>
      </c>
      <c r="G29392" s="7" t="n">
        <v>29.9200000762939</v>
      </c>
      <c r="H29392" s="7" t="n">
        <v>0</v>
      </c>
    </row>
    <row r="29393" spans="1:8">
      <c r="A29393" t="s">
        <v>4</v>
      </c>
      <c r="B29393" s="4" t="s">
        <v>5</v>
      </c>
      <c r="C29393" s="4" t="s">
        <v>7</v>
      </c>
      <c r="D29393" s="4" t="s">
        <v>7</v>
      </c>
      <c r="E29393" s="4" t="s">
        <v>13</v>
      </c>
      <c r="F29393" s="4" t="s">
        <v>13</v>
      </c>
      <c r="G29393" s="4" t="s">
        <v>13</v>
      </c>
      <c r="H29393" s="4" t="s">
        <v>11</v>
      </c>
      <c r="I29393" s="4" t="s">
        <v>7</v>
      </c>
    </row>
    <row r="29394" spans="1:8">
      <c r="A29394" t="n">
        <v>285834</v>
      </c>
      <c r="B29394" s="51" t="n">
        <v>45</v>
      </c>
      <c r="C29394" s="7" t="n">
        <v>4</v>
      </c>
      <c r="D29394" s="7" t="n">
        <v>3</v>
      </c>
      <c r="E29394" s="7" t="n">
        <v>9.21000003814697</v>
      </c>
      <c r="F29394" s="7" t="n">
        <v>50.6699981689453</v>
      </c>
      <c r="G29394" s="7" t="n">
        <v>8</v>
      </c>
      <c r="H29394" s="7" t="n">
        <v>0</v>
      </c>
      <c r="I29394" s="7" t="n">
        <v>0</v>
      </c>
    </row>
    <row r="29395" spans="1:8">
      <c r="A29395" t="s">
        <v>4</v>
      </c>
      <c r="B29395" s="4" t="s">
        <v>5</v>
      </c>
      <c r="C29395" s="4" t="s">
        <v>7</v>
      </c>
      <c r="D29395" s="4" t="s">
        <v>7</v>
      </c>
      <c r="E29395" s="4" t="s">
        <v>13</v>
      </c>
      <c r="F29395" s="4" t="s">
        <v>11</v>
      </c>
    </row>
    <row r="29396" spans="1:8">
      <c r="A29396" t="n">
        <v>285852</v>
      </c>
      <c r="B29396" s="51" t="n">
        <v>45</v>
      </c>
      <c r="C29396" s="7" t="n">
        <v>5</v>
      </c>
      <c r="D29396" s="7" t="n">
        <v>3</v>
      </c>
      <c r="E29396" s="7" t="n">
        <v>1.10000002384186</v>
      </c>
      <c r="F29396" s="7" t="n">
        <v>0</v>
      </c>
    </row>
    <row r="29397" spans="1:8">
      <c r="A29397" t="s">
        <v>4</v>
      </c>
      <c r="B29397" s="4" t="s">
        <v>5</v>
      </c>
      <c r="C29397" s="4" t="s">
        <v>7</v>
      </c>
      <c r="D29397" s="4" t="s">
        <v>7</v>
      </c>
      <c r="E29397" s="4" t="s">
        <v>13</v>
      </c>
      <c r="F29397" s="4" t="s">
        <v>11</v>
      </c>
    </row>
    <row r="29398" spans="1:8">
      <c r="A29398" t="n">
        <v>285861</v>
      </c>
      <c r="B29398" s="51" t="n">
        <v>45</v>
      </c>
      <c r="C29398" s="7" t="n">
        <v>11</v>
      </c>
      <c r="D29398" s="7" t="n">
        <v>3</v>
      </c>
      <c r="E29398" s="7" t="n">
        <v>40.2999992370605</v>
      </c>
      <c r="F29398" s="7" t="n">
        <v>0</v>
      </c>
    </row>
    <row r="29399" spans="1:8">
      <c r="A29399" t="s">
        <v>4</v>
      </c>
      <c r="B29399" s="4" t="s">
        <v>5</v>
      </c>
      <c r="C29399" s="4" t="s">
        <v>7</v>
      </c>
      <c r="D29399" s="4" t="s">
        <v>11</v>
      </c>
    </row>
    <row r="29400" spans="1:8">
      <c r="A29400" t="n">
        <v>285870</v>
      </c>
      <c r="B29400" s="23" t="n">
        <v>58</v>
      </c>
      <c r="C29400" s="7" t="n">
        <v>255</v>
      </c>
      <c r="D29400" s="7" t="n">
        <v>0</v>
      </c>
    </row>
    <row r="29401" spans="1:8">
      <c r="A29401" t="s">
        <v>4</v>
      </c>
      <c r="B29401" s="4" t="s">
        <v>5</v>
      </c>
      <c r="C29401" s="4" t="s">
        <v>7</v>
      </c>
      <c r="D29401" s="4" t="s">
        <v>11</v>
      </c>
      <c r="E29401" s="4" t="s">
        <v>8</v>
      </c>
    </row>
    <row r="29402" spans="1:8">
      <c r="A29402" t="n">
        <v>285874</v>
      </c>
      <c r="B29402" s="38" t="n">
        <v>51</v>
      </c>
      <c r="C29402" s="7" t="n">
        <v>4</v>
      </c>
      <c r="D29402" s="7" t="n">
        <v>0</v>
      </c>
      <c r="E29402" s="7" t="s">
        <v>242</v>
      </c>
    </row>
    <row r="29403" spans="1:8">
      <c r="A29403" t="s">
        <v>4</v>
      </c>
      <c r="B29403" s="4" t="s">
        <v>5</v>
      </c>
      <c r="C29403" s="4" t="s">
        <v>11</v>
      </c>
    </row>
    <row r="29404" spans="1:8">
      <c r="A29404" t="n">
        <v>285888</v>
      </c>
      <c r="B29404" s="29" t="n">
        <v>16</v>
      </c>
      <c r="C29404" s="7" t="n">
        <v>0</v>
      </c>
    </row>
    <row r="29405" spans="1:8">
      <c r="A29405" t="s">
        <v>4</v>
      </c>
      <c r="B29405" s="4" t="s">
        <v>5</v>
      </c>
      <c r="C29405" s="4" t="s">
        <v>11</v>
      </c>
      <c r="D29405" s="4" t="s">
        <v>7</v>
      </c>
      <c r="E29405" s="4" t="s">
        <v>15</v>
      </c>
      <c r="F29405" s="4" t="s">
        <v>55</v>
      </c>
      <c r="G29405" s="4" t="s">
        <v>7</v>
      </c>
      <c r="H29405" s="4" t="s">
        <v>7</v>
      </c>
      <c r="I29405" s="4" t="s">
        <v>7</v>
      </c>
      <c r="J29405" s="4" t="s">
        <v>15</v>
      </c>
      <c r="K29405" s="4" t="s">
        <v>55</v>
      </c>
      <c r="L29405" s="4" t="s">
        <v>7</v>
      </c>
      <c r="M29405" s="4" t="s">
        <v>7</v>
      </c>
      <c r="N29405" s="4" t="s">
        <v>7</v>
      </c>
      <c r="O29405" s="4" t="s">
        <v>15</v>
      </c>
      <c r="P29405" s="4" t="s">
        <v>55</v>
      </c>
      <c r="Q29405" s="4" t="s">
        <v>7</v>
      </c>
      <c r="R29405" s="4" t="s">
        <v>7</v>
      </c>
      <c r="S29405" s="4" t="s">
        <v>7</v>
      </c>
      <c r="T29405" s="4" t="s">
        <v>15</v>
      </c>
      <c r="U29405" s="4" t="s">
        <v>55</v>
      </c>
      <c r="V29405" s="4" t="s">
        <v>7</v>
      </c>
      <c r="W29405" s="4" t="s">
        <v>7</v>
      </c>
      <c r="X29405" s="4" t="s">
        <v>7</v>
      </c>
      <c r="Y29405" s="4" t="s">
        <v>15</v>
      </c>
      <c r="Z29405" s="4" t="s">
        <v>55</v>
      </c>
      <c r="AA29405" s="4" t="s">
        <v>7</v>
      </c>
      <c r="AB29405" s="4" t="s">
        <v>7</v>
      </c>
    </row>
    <row r="29406" spans="1:8">
      <c r="A29406" t="n">
        <v>285891</v>
      </c>
      <c r="B29406" s="55" t="n">
        <v>26</v>
      </c>
      <c r="C29406" s="7" t="n">
        <v>0</v>
      </c>
      <c r="D29406" s="7" t="n">
        <v>17</v>
      </c>
      <c r="E29406" s="7" t="n">
        <v>63968</v>
      </c>
      <c r="F29406" s="7" t="s">
        <v>674</v>
      </c>
      <c r="G29406" s="7" t="n">
        <v>2</v>
      </c>
      <c r="H29406" s="7" t="n">
        <v>3</v>
      </c>
      <c r="I29406" s="7" t="n">
        <v>17</v>
      </c>
      <c r="J29406" s="7" t="n">
        <v>63969</v>
      </c>
      <c r="K29406" s="7" t="s">
        <v>675</v>
      </c>
      <c r="L29406" s="7" t="n">
        <v>2</v>
      </c>
      <c r="M29406" s="7" t="n">
        <v>3</v>
      </c>
      <c r="N29406" s="7" t="n">
        <v>17</v>
      </c>
      <c r="O29406" s="7" t="n">
        <v>63970</v>
      </c>
      <c r="P29406" s="7" t="s">
        <v>676</v>
      </c>
      <c r="Q29406" s="7" t="n">
        <v>2</v>
      </c>
      <c r="R29406" s="7" t="n">
        <v>3</v>
      </c>
      <c r="S29406" s="7" t="n">
        <v>17</v>
      </c>
      <c r="T29406" s="7" t="n">
        <v>63971</v>
      </c>
      <c r="U29406" s="7" t="s">
        <v>677</v>
      </c>
      <c r="V29406" s="7" t="n">
        <v>2</v>
      </c>
      <c r="W29406" s="7" t="n">
        <v>3</v>
      </c>
      <c r="X29406" s="7" t="n">
        <v>17</v>
      </c>
      <c r="Y29406" s="7" t="n">
        <v>63972</v>
      </c>
      <c r="Z29406" s="7" t="s">
        <v>678</v>
      </c>
      <c r="AA29406" s="7" t="n">
        <v>2</v>
      </c>
      <c r="AB29406" s="7" t="n">
        <v>0</v>
      </c>
    </row>
    <row r="29407" spans="1:8">
      <c r="A29407" t="s">
        <v>4</v>
      </c>
      <c r="B29407" s="4" t="s">
        <v>5</v>
      </c>
    </row>
    <row r="29408" spans="1:8">
      <c r="A29408" t="n">
        <v>286404</v>
      </c>
      <c r="B29408" s="27" t="n">
        <v>28</v>
      </c>
    </row>
    <row r="29409" spans="1:28">
      <c r="A29409" t="s">
        <v>4</v>
      </c>
      <c r="B29409" s="4" t="s">
        <v>5</v>
      </c>
      <c r="C29409" s="4" t="s">
        <v>11</v>
      </c>
      <c r="D29409" s="4" t="s">
        <v>7</v>
      </c>
      <c r="E29409" s="4" t="s">
        <v>8</v>
      </c>
      <c r="F29409" s="4" t="s">
        <v>13</v>
      </c>
      <c r="G29409" s="4" t="s">
        <v>13</v>
      </c>
      <c r="H29409" s="4" t="s">
        <v>13</v>
      </c>
    </row>
    <row r="29410" spans="1:28">
      <c r="A29410" t="n">
        <v>286405</v>
      </c>
      <c r="B29410" s="42" t="n">
        <v>48</v>
      </c>
      <c r="C29410" s="7" t="n">
        <v>9</v>
      </c>
      <c r="D29410" s="7" t="n">
        <v>0</v>
      </c>
      <c r="E29410" s="7" t="s">
        <v>628</v>
      </c>
      <c r="F29410" s="7" t="n">
        <v>-1</v>
      </c>
      <c r="G29410" s="7" t="n">
        <v>1</v>
      </c>
      <c r="H29410" s="7" t="n">
        <v>2.80259692864963e-45</v>
      </c>
    </row>
    <row r="29411" spans="1:28">
      <c r="A29411" t="s">
        <v>4</v>
      </c>
      <c r="B29411" s="4" t="s">
        <v>5</v>
      </c>
      <c r="C29411" s="4" t="s">
        <v>11</v>
      </c>
    </row>
    <row r="29412" spans="1:28">
      <c r="A29412" t="n">
        <v>286437</v>
      </c>
      <c r="B29412" s="29" t="n">
        <v>16</v>
      </c>
      <c r="C29412" s="7" t="n">
        <v>500</v>
      </c>
    </row>
    <row r="29413" spans="1:28">
      <c r="A29413" t="s">
        <v>4</v>
      </c>
      <c r="B29413" s="4" t="s">
        <v>5</v>
      </c>
      <c r="C29413" s="4" t="s">
        <v>7</v>
      </c>
      <c r="D29413" s="4" t="s">
        <v>11</v>
      </c>
      <c r="E29413" s="4" t="s">
        <v>8</v>
      </c>
    </row>
    <row r="29414" spans="1:28">
      <c r="A29414" t="n">
        <v>286440</v>
      </c>
      <c r="B29414" s="38" t="n">
        <v>51</v>
      </c>
      <c r="C29414" s="7" t="n">
        <v>4</v>
      </c>
      <c r="D29414" s="7" t="n">
        <v>9</v>
      </c>
      <c r="E29414" s="7" t="s">
        <v>679</v>
      </c>
    </row>
    <row r="29415" spans="1:28">
      <c r="A29415" t="s">
        <v>4</v>
      </c>
      <c r="B29415" s="4" t="s">
        <v>5</v>
      </c>
      <c r="C29415" s="4" t="s">
        <v>11</v>
      </c>
    </row>
    <row r="29416" spans="1:28">
      <c r="A29416" t="n">
        <v>286453</v>
      </c>
      <c r="B29416" s="29" t="n">
        <v>16</v>
      </c>
      <c r="C29416" s="7" t="n">
        <v>0</v>
      </c>
    </row>
    <row r="29417" spans="1:28">
      <c r="A29417" t="s">
        <v>4</v>
      </c>
      <c r="B29417" s="4" t="s">
        <v>5</v>
      </c>
      <c r="C29417" s="4" t="s">
        <v>11</v>
      </c>
      <c r="D29417" s="4" t="s">
        <v>7</v>
      </c>
      <c r="E29417" s="4" t="s">
        <v>15</v>
      </c>
      <c r="F29417" s="4" t="s">
        <v>55</v>
      </c>
      <c r="G29417" s="4" t="s">
        <v>7</v>
      </c>
      <c r="H29417" s="4" t="s">
        <v>7</v>
      </c>
    </row>
    <row r="29418" spans="1:28">
      <c r="A29418" t="n">
        <v>286456</v>
      </c>
      <c r="B29418" s="55" t="n">
        <v>26</v>
      </c>
      <c r="C29418" s="7" t="n">
        <v>9</v>
      </c>
      <c r="D29418" s="7" t="n">
        <v>17</v>
      </c>
      <c r="E29418" s="7" t="n">
        <v>5809</v>
      </c>
      <c r="F29418" s="7" t="s">
        <v>680</v>
      </c>
      <c r="G29418" s="7" t="n">
        <v>2</v>
      </c>
      <c r="H29418" s="7" t="n">
        <v>0</v>
      </c>
    </row>
    <row r="29419" spans="1:28">
      <c r="A29419" t="s">
        <v>4</v>
      </c>
      <c r="B29419" s="4" t="s">
        <v>5</v>
      </c>
    </row>
    <row r="29420" spans="1:28">
      <c r="A29420" t="n">
        <v>286476</v>
      </c>
      <c r="B29420" s="27" t="n">
        <v>28</v>
      </c>
    </row>
    <row r="29421" spans="1:28">
      <c r="A29421" t="s">
        <v>4</v>
      </c>
      <c r="B29421" s="4" t="s">
        <v>5</v>
      </c>
      <c r="C29421" s="4" t="s">
        <v>7</v>
      </c>
      <c r="D29421" s="4" t="s">
        <v>11</v>
      </c>
      <c r="E29421" s="4" t="s">
        <v>8</v>
      </c>
    </row>
    <row r="29422" spans="1:28">
      <c r="A29422" t="n">
        <v>286477</v>
      </c>
      <c r="B29422" s="38" t="n">
        <v>51</v>
      </c>
      <c r="C29422" s="7" t="n">
        <v>4</v>
      </c>
      <c r="D29422" s="7" t="n">
        <v>0</v>
      </c>
      <c r="E29422" s="7" t="s">
        <v>179</v>
      </c>
    </row>
    <row r="29423" spans="1:28">
      <c r="A29423" t="s">
        <v>4</v>
      </c>
      <c r="B29423" s="4" t="s">
        <v>5</v>
      </c>
      <c r="C29423" s="4" t="s">
        <v>11</v>
      </c>
    </row>
    <row r="29424" spans="1:28">
      <c r="A29424" t="n">
        <v>286491</v>
      </c>
      <c r="B29424" s="29" t="n">
        <v>16</v>
      </c>
      <c r="C29424" s="7" t="n">
        <v>0</v>
      </c>
    </row>
    <row r="29425" spans="1:8">
      <c r="A29425" t="s">
        <v>4</v>
      </c>
      <c r="B29425" s="4" t="s">
        <v>5</v>
      </c>
      <c r="C29425" s="4" t="s">
        <v>11</v>
      </c>
      <c r="D29425" s="4" t="s">
        <v>7</v>
      </c>
      <c r="E29425" s="4" t="s">
        <v>15</v>
      </c>
      <c r="F29425" s="4" t="s">
        <v>55</v>
      </c>
      <c r="G29425" s="4" t="s">
        <v>7</v>
      </c>
      <c r="H29425" s="4" t="s">
        <v>7</v>
      </c>
      <c r="I29425" s="4" t="s">
        <v>7</v>
      </c>
      <c r="J29425" s="4" t="s">
        <v>15</v>
      </c>
      <c r="K29425" s="4" t="s">
        <v>55</v>
      </c>
      <c r="L29425" s="4" t="s">
        <v>7</v>
      </c>
      <c r="M29425" s="4" t="s">
        <v>7</v>
      </c>
      <c r="N29425" s="4" t="s">
        <v>7</v>
      </c>
      <c r="O29425" s="4" t="s">
        <v>15</v>
      </c>
      <c r="P29425" s="4" t="s">
        <v>55</v>
      </c>
      <c r="Q29425" s="4" t="s">
        <v>7</v>
      </c>
      <c r="R29425" s="4" t="s">
        <v>7</v>
      </c>
    </row>
    <row r="29426" spans="1:8">
      <c r="A29426" t="n">
        <v>286494</v>
      </c>
      <c r="B29426" s="55" t="n">
        <v>26</v>
      </c>
      <c r="C29426" s="7" t="n">
        <v>0</v>
      </c>
      <c r="D29426" s="7" t="n">
        <v>17</v>
      </c>
      <c r="E29426" s="7" t="n">
        <v>63973</v>
      </c>
      <c r="F29426" s="7" t="s">
        <v>681</v>
      </c>
      <c r="G29426" s="7" t="n">
        <v>2</v>
      </c>
      <c r="H29426" s="7" t="n">
        <v>3</v>
      </c>
      <c r="I29426" s="7" t="n">
        <v>17</v>
      </c>
      <c r="J29426" s="7" t="n">
        <v>63974</v>
      </c>
      <c r="K29426" s="7" t="s">
        <v>682</v>
      </c>
      <c r="L29426" s="7" t="n">
        <v>2</v>
      </c>
      <c r="M29426" s="7" t="n">
        <v>3</v>
      </c>
      <c r="N29426" s="7" t="n">
        <v>17</v>
      </c>
      <c r="O29426" s="7" t="n">
        <v>63975</v>
      </c>
      <c r="P29426" s="7" t="s">
        <v>683</v>
      </c>
      <c r="Q29426" s="7" t="n">
        <v>2</v>
      </c>
      <c r="R29426" s="7" t="n">
        <v>0</v>
      </c>
    </row>
    <row r="29427" spans="1:8">
      <c r="A29427" t="s">
        <v>4</v>
      </c>
      <c r="B29427" s="4" t="s">
        <v>5</v>
      </c>
    </row>
    <row r="29428" spans="1:8">
      <c r="A29428" t="n">
        <v>286765</v>
      </c>
      <c r="B29428" s="27" t="n">
        <v>28</v>
      </c>
    </row>
    <row r="29429" spans="1:8">
      <c r="A29429" t="s">
        <v>4</v>
      </c>
      <c r="B29429" s="4" t="s">
        <v>5</v>
      </c>
      <c r="C29429" s="4" t="s">
        <v>11</v>
      </c>
      <c r="D29429" s="4" t="s">
        <v>7</v>
      </c>
    </row>
    <row r="29430" spans="1:8">
      <c r="A29430" t="n">
        <v>286766</v>
      </c>
      <c r="B29430" s="68" t="n">
        <v>89</v>
      </c>
      <c r="C29430" s="7" t="n">
        <v>65533</v>
      </c>
      <c r="D29430" s="7" t="n">
        <v>1</v>
      </c>
    </row>
    <row r="29431" spans="1:8">
      <c r="A29431" t="s">
        <v>4</v>
      </c>
      <c r="B29431" s="4" t="s">
        <v>5</v>
      </c>
      <c r="C29431" s="4" t="s">
        <v>7</v>
      </c>
      <c r="D29431" s="4" t="s">
        <v>11</v>
      </c>
      <c r="E29431" s="4" t="s">
        <v>13</v>
      </c>
    </row>
    <row r="29432" spans="1:8">
      <c r="A29432" t="n">
        <v>286770</v>
      </c>
      <c r="B29432" s="23" t="n">
        <v>58</v>
      </c>
      <c r="C29432" s="7" t="n">
        <v>101</v>
      </c>
      <c r="D29432" s="7" t="n">
        <v>500</v>
      </c>
      <c r="E29432" s="7" t="n">
        <v>1</v>
      </c>
    </row>
    <row r="29433" spans="1:8">
      <c r="A29433" t="s">
        <v>4</v>
      </c>
      <c r="B29433" s="4" t="s">
        <v>5</v>
      </c>
      <c r="C29433" s="4" t="s">
        <v>7</v>
      </c>
      <c r="D29433" s="4" t="s">
        <v>11</v>
      </c>
    </row>
    <row r="29434" spans="1:8">
      <c r="A29434" t="n">
        <v>286778</v>
      </c>
      <c r="B29434" s="23" t="n">
        <v>58</v>
      </c>
      <c r="C29434" s="7" t="n">
        <v>254</v>
      </c>
      <c r="D29434" s="7" t="n">
        <v>0</v>
      </c>
    </row>
    <row r="29435" spans="1:8">
      <c r="A29435" t="s">
        <v>4</v>
      </c>
      <c r="B29435" s="4" t="s">
        <v>5</v>
      </c>
      <c r="C29435" s="4" t="s">
        <v>7</v>
      </c>
      <c r="D29435" s="4" t="s">
        <v>7</v>
      </c>
      <c r="E29435" s="4" t="s">
        <v>13</v>
      </c>
      <c r="F29435" s="4" t="s">
        <v>13</v>
      </c>
      <c r="G29435" s="4" t="s">
        <v>13</v>
      </c>
      <c r="H29435" s="4" t="s">
        <v>11</v>
      </c>
    </row>
    <row r="29436" spans="1:8">
      <c r="A29436" t="n">
        <v>286782</v>
      </c>
      <c r="B29436" s="51" t="n">
        <v>45</v>
      </c>
      <c r="C29436" s="7" t="n">
        <v>2</v>
      </c>
      <c r="D29436" s="7" t="n">
        <v>3</v>
      </c>
      <c r="E29436" s="7" t="n">
        <v>-7.3600001335144</v>
      </c>
      <c r="F29436" s="7" t="n">
        <v>6.26000022888184</v>
      </c>
      <c r="G29436" s="7" t="n">
        <v>29.8199996948242</v>
      </c>
      <c r="H29436" s="7" t="n">
        <v>0</v>
      </c>
    </row>
    <row r="29437" spans="1:8">
      <c r="A29437" t="s">
        <v>4</v>
      </c>
      <c r="B29437" s="4" t="s">
        <v>5</v>
      </c>
      <c r="C29437" s="4" t="s">
        <v>7</v>
      </c>
      <c r="D29437" s="4" t="s">
        <v>7</v>
      </c>
      <c r="E29437" s="4" t="s">
        <v>13</v>
      </c>
      <c r="F29437" s="4" t="s">
        <v>13</v>
      </c>
      <c r="G29437" s="4" t="s">
        <v>13</v>
      </c>
      <c r="H29437" s="4" t="s">
        <v>11</v>
      </c>
      <c r="I29437" s="4" t="s">
        <v>7</v>
      </c>
    </row>
    <row r="29438" spans="1:8">
      <c r="A29438" t="n">
        <v>286799</v>
      </c>
      <c r="B29438" s="51" t="n">
        <v>45</v>
      </c>
      <c r="C29438" s="7" t="n">
        <v>4</v>
      </c>
      <c r="D29438" s="7" t="n">
        <v>3</v>
      </c>
      <c r="E29438" s="7" t="n">
        <v>8.11999988555908</v>
      </c>
      <c r="F29438" s="7" t="n">
        <v>60.310001373291</v>
      </c>
      <c r="G29438" s="7" t="n">
        <v>354</v>
      </c>
      <c r="H29438" s="7" t="n">
        <v>0</v>
      </c>
      <c r="I29438" s="7" t="n">
        <v>0</v>
      </c>
    </row>
    <row r="29439" spans="1:8">
      <c r="A29439" t="s">
        <v>4</v>
      </c>
      <c r="B29439" s="4" t="s">
        <v>5</v>
      </c>
      <c r="C29439" s="4" t="s">
        <v>7</v>
      </c>
      <c r="D29439" s="4" t="s">
        <v>7</v>
      </c>
      <c r="E29439" s="4" t="s">
        <v>13</v>
      </c>
      <c r="F29439" s="4" t="s">
        <v>11</v>
      </c>
    </row>
    <row r="29440" spans="1:8">
      <c r="A29440" t="n">
        <v>286817</v>
      </c>
      <c r="B29440" s="51" t="n">
        <v>45</v>
      </c>
      <c r="C29440" s="7" t="n">
        <v>5</v>
      </c>
      <c r="D29440" s="7" t="n">
        <v>3</v>
      </c>
      <c r="E29440" s="7" t="n">
        <v>0.800000011920929</v>
      </c>
      <c r="F29440" s="7" t="n">
        <v>0</v>
      </c>
    </row>
    <row r="29441" spans="1:18">
      <c r="A29441" t="s">
        <v>4</v>
      </c>
      <c r="B29441" s="4" t="s">
        <v>5</v>
      </c>
      <c r="C29441" s="4" t="s">
        <v>7</v>
      </c>
      <c r="D29441" s="4" t="s">
        <v>7</v>
      </c>
      <c r="E29441" s="4" t="s">
        <v>13</v>
      </c>
      <c r="F29441" s="4" t="s">
        <v>11</v>
      </c>
    </row>
    <row r="29442" spans="1:18">
      <c r="A29442" t="n">
        <v>286826</v>
      </c>
      <c r="B29442" s="51" t="n">
        <v>45</v>
      </c>
      <c r="C29442" s="7" t="n">
        <v>11</v>
      </c>
      <c r="D29442" s="7" t="n">
        <v>3</v>
      </c>
      <c r="E29442" s="7" t="n">
        <v>40.2999992370605</v>
      </c>
      <c r="F29442" s="7" t="n">
        <v>0</v>
      </c>
    </row>
    <row r="29443" spans="1:18">
      <c r="A29443" t="s">
        <v>4</v>
      </c>
      <c r="B29443" s="4" t="s">
        <v>5</v>
      </c>
      <c r="C29443" s="4" t="s">
        <v>7</v>
      </c>
      <c r="D29443" s="4" t="s">
        <v>11</v>
      </c>
    </row>
    <row r="29444" spans="1:18">
      <c r="A29444" t="n">
        <v>286835</v>
      </c>
      <c r="B29444" s="23" t="n">
        <v>58</v>
      </c>
      <c r="C29444" s="7" t="n">
        <v>255</v>
      </c>
      <c r="D29444" s="7" t="n">
        <v>0</v>
      </c>
    </row>
    <row r="29445" spans="1:18">
      <c r="A29445" t="s">
        <v>4</v>
      </c>
      <c r="B29445" s="4" t="s">
        <v>5</v>
      </c>
      <c r="C29445" s="4" t="s">
        <v>7</v>
      </c>
      <c r="D29445" s="4" t="s">
        <v>11</v>
      </c>
      <c r="E29445" s="4" t="s">
        <v>8</v>
      </c>
    </row>
    <row r="29446" spans="1:18">
      <c r="A29446" t="n">
        <v>286839</v>
      </c>
      <c r="B29446" s="38" t="n">
        <v>51</v>
      </c>
      <c r="C29446" s="7" t="n">
        <v>4</v>
      </c>
      <c r="D29446" s="7" t="n">
        <v>9</v>
      </c>
      <c r="E29446" s="7" t="s">
        <v>313</v>
      </c>
    </row>
    <row r="29447" spans="1:18">
      <c r="A29447" t="s">
        <v>4</v>
      </c>
      <c r="B29447" s="4" t="s">
        <v>5</v>
      </c>
      <c r="C29447" s="4" t="s">
        <v>11</v>
      </c>
    </row>
    <row r="29448" spans="1:18">
      <c r="A29448" t="n">
        <v>286852</v>
      </c>
      <c r="B29448" s="29" t="n">
        <v>16</v>
      </c>
      <c r="C29448" s="7" t="n">
        <v>0</v>
      </c>
    </row>
    <row r="29449" spans="1:18">
      <c r="A29449" t="s">
        <v>4</v>
      </c>
      <c r="B29449" s="4" t="s">
        <v>5</v>
      </c>
      <c r="C29449" s="4" t="s">
        <v>11</v>
      </c>
      <c r="D29449" s="4" t="s">
        <v>7</v>
      </c>
      <c r="E29449" s="4" t="s">
        <v>15</v>
      </c>
      <c r="F29449" s="4" t="s">
        <v>55</v>
      </c>
      <c r="G29449" s="4" t="s">
        <v>7</v>
      </c>
      <c r="H29449" s="4" t="s">
        <v>7</v>
      </c>
    </row>
    <row r="29450" spans="1:18">
      <c r="A29450" t="n">
        <v>286855</v>
      </c>
      <c r="B29450" s="55" t="n">
        <v>26</v>
      </c>
      <c r="C29450" s="7" t="n">
        <v>9</v>
      </c>
      <c r="D29450" s="7" t="n">
        <v>17</v>
      </c>
      <c r="E29450" s="7" t="n">
        <v>5810</v>
      </c>
      <c r="F29450" s="7" t="s">
        <v>684</v>
      </c>
      <c r="G29450" s="7" t="n">
        <v>2</v>
      </c>
      <c r="H29450" s="7" t="n">
        <v>0</v>
      </c>
    </row>
    <row r="29451" spans="1:18">
      <c r="A29451" t="s">
        <v>4</v>
      </c>
      <c r="B29451" s="4" t="s">
        <v>5</v>
      </c>
    </row>
    <row r="29452" spans="1:18">
      <c r="A29452" t="n">
        <v>286876</v>
      </c>
      <c r="B29452" s="27" t="n">
        <v>28</v>
      </c>
    </row>
    <row r="29453" spans="1:18">
      <c r="A29453" t="s">
        <v>4</v>
      </c>
      <c r="B29453" s="4" t="s">
        <v>5</v>
      </c>
      <c r="C29453" s="4" t="s">
        <v>7</v>
      </c>
      <c r="D29453" s="4" t="s">
        <v>11</v>
      </c>
      <c r="E29453" s="4" t="s">
        <v>8</v>
      </c>
      <c r="F29453" s="4" t="s">
        <v>8</v>
      </c>
      <c r="G29453" s="4" t="s">
        <v>8</v>
      </c>
      <c r="H29453" s="4" t="s">
        <v>8</v>
      </c>
    </row>
    <row r="29454" spans="1:18">
      <c r="A29454" t="n">
        <v>286877</v>
      </c>
      <c r="B29454" s="38" t="n">
        <v>51</v>
      </c>
      <c r="C29454" s="7" t="n">
        <v>3</v>
      </c>
      <c r="D29454" s="7" t="n">
        <v>9</v>
      </c>
      <c r="E29454" s="7" t="s">
        <v>86</v>
      </c>
      <c r="F29454" s="7" t="s">
        <v>79</v>
      </c>
      <c r="G29454" s="7" t="s">
        <v>78</v>
      </c>
      <c r="H29454" s="7" t="s">
        <v>79</v>
      </c>
    </row>
    <row r="29455" spans="1:18">
      <c r="A29455" t="s">
        <v>4</v>
      </c>
      <c r="B29455" s="4" t="s">
        <v>5</v>
      </c>
      <c r="C29455" s="4" t="s">
        <v>11</v>
      </c>
      <c r="D29455" s="4" t="s">
        <v>7</v>
      </c>
      <c r="E29455" s="4" t="s">
        <v>13</v>
      </c>
      <c r="F29455" s="4" t="s">
        <v>11</v>
      </c>
    </row>
    <row r="29456" spans="1:18">
      <c r="A29456" t="n">
        <v>286890</v>
      </c>
      <c r="B29456" s="56" t="n">
        <v>59</v>
      </c>
      <c r="C29456" s="7" t="n">
        <v>9</v>
      </c>
      <c r="D29456" s="7" t="n">
        <v>9</v>
      </c>
      <c r="E29456" s="7" t="n">
        <v>0.150000005960464</v>
      </c>
      <c r="F29456" s="7" t="n">
        <v>0</v>
      </c>
    </row>
    <row r="29457" spans="1:8">
      <c r="A29457" t="s">
        <v>4</v>
      </c>
      <c r="B29457" s="4" t="s">
        <v>5</v>
      </c>
      <c r="C29457" s="4" t="s">
        <v>11</v>
      </c>
    </row>
    <row r="29458" spans="1:8">
      <c r="A29458" t="n">
        <v>286900</v>
      </c>
      <c r="B29458" s="29" t="n">
        <v>16</v>
      </c>
      <c r="C29458" s="7" t="n">
        <v>1800</v>
      </c>
    </row>
    <row r="29459" spans="1:8">
      <c r="A29459" t="s">
        <v>4</v>
      </c>
      <c r="B29459" s="4" t="s">
        <v>5</v>
      </c>
      <c r="C29459" s="4" t="s">
        <v>7</v>
      </c>
      <c r="D29459" s="4" t="s">
        <v>11</v>
      </c>
      <c r="E29459" s="4" t="s">
        <v>8</v>
      </c>
      <c r="F29459" s="4" t="s">
        <v>8</v>
      </c>
      <c r="G29459" s="4" t="s">
        <v>8</v>
      </c>
      <c r="H29459" s="4" t="s">
        <v>8</v>
      </c>
    </row>
    <row r="29460" spans="1:8">
      <c r="A29460" t="n">
        <v>286903</v>
      </c>
      <c r="B29460" s="38" t="n">
        <v>51</v>
      </c>
      <c r="C29460" s="7" t="n">
        <v>3</v>
      </c>
      <c r="D29460" s="7" t="n">
        <v>9</v>
      </c>
      <c r="E29460" s="7" t="s">
        <v>98</v>
      </c>
      <c r="F29460" s="7" t="s">
        <v>79</v>
      </c>
      <c r="G29460" s="7" t="s">
        <v>78</v>
      </c>
      <c r="H29460" s="7" t="s">
        <v>79</v>
      </c>
    </row>
    <row r="29461" spans="1:8">
      <c r="A29461" t="s">
        <v>4</v>
      </c>
      <c r="B29461" s="4" t="s">
        <v>5</v>
      </c>
      <c r="C29461" s="4" t="s">
        <v>11</v>
      </c>
      <c r="D29461" s="4" t="s">
        <v>11</v>
      </c>
      <c r="E29461" s="4" t="s">
        <v>13</v>
      </c>
      <c r="F29461" s="4" t="s">
        <v>13</v>
      </c>
      <c r="G29461" s="4" t="s">
        <v>13</v>
      </c>
      <c r="H29461" s="4" t="s">
        <v>13</v>
      </c>
      <c r="I29461" s="4" t="s">
        <v>7</v>
      </c>
      <c r="J29461" s="4" t="s">
        <v>11</v>
      </c>
    </row>
    <row r="29462" spans="1:8">
      <c r="A29462" t="n">
        <v>286916</v>
      </c>
      <c r="B29462" s="53" t="n">
        <v>55</v>
      </c>
      <c r="C29462" s="7" t="n">
        <v>9</v>
      </c>
      <c r="D29462" s="7" t="n">
        <v>65533</v>
      </c>
      <c r="E29462" s="7" t="n">
        <v>-6.90999984741211</v>
      </c>
      <c r="F29462" s="7" t="n">
        <v>5</v>
      </c>
      <c r="G29462" s="7" t="n">
        <v>29.8600006103516</v>
      </c>
      <c r="H29462" s="7" t="n">
        <v>2.79999995231628</v>
      </c>
      <c r="I29462" s="7" t="n">
        <v>1</v>
      </c>
      <c r="J29462" s="7" t="n">
        <v>0</v>
      </c>
    </row>
    <row r="29463" spans="1:8">
      <c r="A29463" t="s">
        <v>4</v>
      </c>
      <c r="B29463" s="4" t="s">
        <v>5</v>
      </c>
      <c r="C29463" s="4" t="s">
        <v>11</v>
      </c>
    </row>
    <row r="29464" spans="1:8">
      <c r="A29464" t="n">
        <v>286940</v>
      </c>
      <c r="B29464" s="29" t="n">
        <v>16</v>
      </c>
      <c r="C29464" s="7" t="n">
        <v>100</v>
      </c>
    </row>
    <row r="29465" spans="1:8">
      <c r="A29465" t="s">
        <v>4</v>
      </c>
      <c r="B29465" s="4" t="s">
        <v>5</v>
      </c>
      <c r="C29465" s="4" t="s">
        <v>7</v>
      </c>
      <c r="D29465" s="4" t="s">
        <v>11</v>
      </c>
      <c r="E29465" s="4" t="s">
        <v>13</v>
      </c>
    </row>
    <row r="29466" spans="1:8">
      <c r="A29466" t="n">
        <v>286943</v>
      </c>
      <c r="B29466" s="23" t="n">
        <v>58</v>
      </c>
      <c r="C29466" s="7" t="n">
        <v>101</v>
      </c>
      <c r="D29466" s="7" t="n">
        <v>500</v>
      </c>
      <c r="E29466" s="7" t="n">
        <v>1</v>
      </c>
    </row>
    <row r="29467" spans="1:8">
      <c r="A29467" t="s">
        <v>4</v>
      </c>
      <c r="B29467" s="4" t="s">
        <v>5</v>
      </c>
      <c r="C29467" s="4" t="s">
        <v>7</v>
      </c>
      <c r="D29467" s="4" t="s">
        <v>11</v>
      </c>
    </row>
    <row r="29468" spans="1:8">
      <c r="A29468" t="n">
        <v>286951</v>
      </c>
      <c r="B29468" s="23" t="n">
        <v>58</v>
      </c>
      <c r="C29468" s="7" t="n">
        <v>254</v>
      </c>
      <c r="D29468" s="7" t="n">
        <v>0</v>
      </c>
    </row>
    <row r="29469" spans="1:8">
      <c r="A29469" t="s">
        <v>4</v>
      </c>
      <c r="B29469" s="4" t="s">
        <v>5</v>
      </c>
      <c r="C29469" s="4" t="s">
        <v>11</v>
      </c>
      <c r="D29469" s="4" t="s">
        <v>7</v>
      </c>
    </row>
    <row r="29470" spans="1:8">
      <c r="A29470" t="n">
        <v>286955</v>
      </c>
      <c r="B29470" s="54" t="n">
        <v>56</v>
      </c>
      <c r="C29470" s="7" t="n">
        <v>9</v>
      </c>
      <c r="D29470" s="7" t="n">
        <v>1</v>
      </c>
    </row>
    <row r="29471" spans="1:8">
      <c r="A29471" t="s">
        <v>4</v>
      </c>
      <c r="B29471" s="4" t="s">
        <v>5</v>
      </c>
      <c r="C29471" s="4" t="s">
        <v>11</v>
      </c>
      <c r="D29471" s="4" t="s">
        <v>13</v>
      </c>
      <c r="E29471" s="4" t="s">
        <v>13</v>
      </c>
      <c r="F29471" s="4" t="s">
        <v>13</v>
      </c>
      <c r="G29471" s="4" t="s">
        <v>13</v>
      </c>
    </row>
    <row r="29472" spans="1:8">
      <c r="A29472" t="n">
        <v>286959</v>
      </c>
      <c r="B29472" s="36" t="n">
        <v>46</v>
      </c>
      <c r="C29472" s="7" t="n">
        <v>9</v>
      </c>
      <c r="D29472" s="7" t="n">
        <v>-7.51000022888184</v>
      </c>
      <c r="E29472" s="7" t="n">
        <v>5</v>
      </c>
      <c r="F29472" s="7" t="n">
        <v>29.7900009155273</v>
      </c>
      <c r="G29472" s="7" t="n">
        <v>83.9000015258789</v>
      </c>
    </row>
    <row r="29473" spans="1:10">
      <c r="A29473" t="s">
        <v>4</v>
      </c>
      <c r="B29473" s="4" t="s">
        <v>5</v>
      </c>
      <c r="C29473" s="4" t="s">
        <v>11</v>
      </c>
      <c r="D29473" s="4" t="s">
        <v>13</v>
      </c>
      <c r="E29473" s="4" t="s">
        <v>13</v>
      </c>
      <c r="F29473" s="4" t="s">
        <v>13</v>
      </c>
      <c r="G29473" s="4" t="s">
        <v>11</v>
      </c>
      <c r="H29473" s="4" t="s">
        <v>11</v>
      </c>
    </row>
    <row r="29474" spans="1:10">
      <c r="A29474" t="n">
        <v>286978</v>
      </c>
      <c r="B29474" s="37" t="n">
        <v>60</v>
      </c>
      <c r="C29474" s="7" t="n">
        <v>0</v>
      </c>
      <c r="D29474" s="7" t="n">
        <v>0</v>
      </c>
      <c r="E29474" s="7" t="n">
        <v>0</v>
      </c>
      <c r="F29474" s="7" t="n">
        <v>0</v>
      </c>
      <c r="G29474" s="7" t="n">
        <v>0</v>
      </c>
      <c r="H29474" s="7" t="n">
        <v>1</v>
      </c>
    </row>
    <row r="29475" spans="1:10">
      <c r="A29475" t="s">
        <v>4</v>
      </c>
      <c r="B29475" s="4" t="s">
        <v>5</v>
      </c>
      <c r="C29475" s="4" t="s">
        <v>11</v>
      </c>
      <c r="D29475" s="4" t="s">
        <v>13</v>
      </c>
      <c r="E29475" s="4" t="s">
        <v>13</v>
      </c>
      <c r="F29475" s="4" t="s">
        <v>13</v>
      </c>
      <c r="G29475" s="4" t="s">
        <v>11</v>
      </c>
      <c r="H29475" s="4" t="s">
        <v>11</v>
      </c>
    </row>
    <row r="29476" spans="1:10">
      <c r="A29476" t="n">
        <v>286997</v>
      </c>
      <c r="B29476" s="37" t="n">
        <v>60</v>
      </c>
      <c r="C29476" s="7" t="n">
        <v>0</v>
      </c>
      <c r="D29476" s="7" t="n">
        <v>0</v>
      </c>
      <c r="E29476" s="7" t="n">
        <v>0</v>
      </c>
      <c r="F29476" s="7" t="n">
        <v>0</v>
      </c>
      <c r="G29476" s="7" t="n">
        <v>0</v>
      </c>
      <c r="H29476" s="7" t="n">
        <v>0</v>
      </c>
    </row>
    <row r="29477" spans="1:10">
      <c r="A29477" t="s">
        <v>4</v>
      </c>
      <c r="B29477" s="4" t="s">
        <v>5</v>
      </c>
      <c r="C29477" s="4" t="s">
        <v>11</v>
      </c>
      <c r="D29477" s="4" t="s">
        <v>11</v>
      </c>
      <c r="E29477" s="4" t="s">
        <v>11</v>
      </c>
    </row>
    <row r="29478" spans="1:10">
      <c r="A29478" t="n">
        <v>287016</v>
      </c>
      <c r="B29478" s="72" t="n">
        <v>61</v>
      </c>
      <c r="C29478" s="7" t="n">
        <v>0</v>
      </c>
      <c r="D29478" s="7" t="n">
        <v>65533</v>
      </c>
      <c r="E29478" s="7" t="n">
        <v>0</v>
      </c>
    </row>
    <row r="29479" spans="1:10">
      <c r="A29479" t="s">
        <v>4</v>
      </c>
      <c r="B29479" s="4" t="s">
        <v>5</v>
      </c>
      <c r="C29479" s="4" t="s">
        <v>11</v>
      </c>
      <c r="D29479" s="4" t="s">
        <v>13</v>
      </c>
      <c r="E29479" s="4" t="s">
        <v>13</v>
      </c>
      <c r="F29479" s="4" t="s">
        <v>13</v>
      </c>
      <c r="G29479" s="4" t="s">
        <v>11</v>
      </c>
      <c r="H29479" s="4" t="s">
        <v>11</v>
      </c>
    </row>
    <row r="29480" spans="1:10">
      <c r="A29480" t="n">
        <v>287023</v>
      </c>
      <c r="B29480" s="37" t="n">
        <v>60</v>
      </c>
      <c r="C29480" s="7" t="n">
        <v>9</v>
      </c>
      <c r="D29480" s="7" t="n">
        <v>0</v>
      </c>
      <c r="E29480" s="7" t="n">
        <v>0</v>
      </c>
      <c r="F29480" s="7" t="n">
        <v>0</v>
      </c>
      <c r="G29480" s="7" t="n">
        <v>0</v>
      </c>
      <c r="H29480" s="7" t="n">
        <v>1</v>
      </c>
    </row>
    <row r="29481" spans="1:10">
      <c r="A29481" t="s">
        <v>4</v>
      </c>
      <c r="B29481" s="4" t="s">
        <v>5</v>
      </c>
      <c r="C29481" s="4" t="s">
        <v>11</v>
      </c>
      <c r="D29481" s="4" t="s">
        <v>13</v>
      </c>
      <c r="E29481" s="4" t="s">
        <v>13</v>
      </c>
      <c r="F29481" s="4" t="s">
        <v>13</v>
      </c>
      <c r="G29481" s="4" t="s">
        <v>11</v>
      </c>
      <c r="H29481" s="4" t="s">
        <v>11</v>
      </c>
    </row>
    <row r="29482" spans="1:10">
      <c r="A29482" t="n">
        <v>287042</v>
      </c>
      <c r="B29482" s="37" t="n">
        <v>60</v>
      </c>
      <c r="C29482" s="7" t="n">
        <v>9</v>
      </c>
      <c r="D29482" s="7" t="n">
        <v>0</v>
      </c>
      <c r="E29482" s="7" t="n">
        <v>0</v>
      </c>
      <c r="F29482" s="7" t="n">
        <v>0</v>
      </c>
      <c r="G29482" s="7" t="n">
        <v>0</v>
      </c>
      <c r="H29482" s="7" t="n">
        <v>0</v>
      </c>
    </row>
    <row r="29483" spans="1:10">
      <c r="A29483" t="s">
        <v>4</v>
      </c>
      <c r="B29483" s="4" t="s">
        <v>5</v>
      </c>
      <c r="C29483" s="4" t="s">
        <v>11</v>
      </c>
      <c r="D29483" s="4" t="s">
        <v>11</v>
      </c>
      <c r="E29483" s="4" t="s">
        <v>11</v>
      </c>
    </row>
    <row r="29484" spans="1:10">
      <c r="A29484" t="n">
        <v>287061</v>
      </c>
      <c r="B29484" s="72" t="n">
        <v>61</v>
      </c>
      <c r="C29484" s="7" t="n">
        <v>9</v>
      </c>
      <c r="D29484" s="7" t="n">
        <v>65533</v>
      </c>
      <c r="E29484" s="7" t="n">
        <v>0</v>
      </c>
    </row>
    <row r="29485" spans="1:10">
      <c r="A29485" t="s">
        <v>4</v>
      </c>
      <c r="B29485" s="4" t="s">
        <v>5</v>
      </c>
      <c r="C29485" s="4" t="s">
        <v>7</v>
      </c>
      <c r="D29485" s="4" t="s">
        <v>7</v>
      </c>
      <c r="E29485" s="4" t="s">
        <v>13</v>
      </c>
      <c r="F29485" s="4" t="s">
        <v>13</v>
      </c>
      <c r="G29485" s="4" t="s">
        <v>13</v>
      </c>
      <c r="H29485" s="4" t="s">
        <v>11</v>
      </c>
    </row>
    <row r="29486" spans="1:10">
      <c r="A29486" t="n">
        <v>287068</v>
      </c>
      <c r="B29486" s="51" t="n">
        <v>45</v>
      </c>
      <c r="C29486" s="7" t="n">
        <v>2</v>
      </c>
      <c r="D29486" s="7" t="n">
        <v>3</v>
      </c>
      <c r="E29486" s="7" t="n">
        <v>-6.82999992370605</v>
      </c>
      <c r="F29486" s="7" t="n">
        <v>6.19999980926514</v>
      </c>
      <c r="G29486" s="7" t="n">
        <v>29.9400005340576</v>
      </c>
      <c r="H29486" s="7" t="n">
        <v>0</v>
      </c>
    </row>
    <row r="29487" spans="1:10">
      <c r="A29487" t="s">
        <v>4</v>
      </c>
      <c r="B29487" s="4" t="s">
        <v>5</v>
      </c>
      <c r="C29487" s="4" t="s">
        <v>7</v>
      </c>
      <c r="D29487" s="4" t="s">
        <v>7</v>
      </c>
      <c r="E29487" s="4" t="s">
        <v>13</v>
      </c>
      <c r="F29487" s="4" t="s">
        <v>13</v>
      </c>
      <c r="G29487" s="4" t="s">
        <v>13</v>
      </c>
      <c r="H29487" s="4" t="s">
        <v>11</v>
      </c>
      <c r="I29487" s="4" t="s">
        <v>7</v>
      </c>
    </row>
    <row r="29488" spans="1:10">
      <c r="A29488" t="n">
        <v>287085</v>
      </c>
      <c r="B29488" s="51" t="n">
        <v>45</v>
      </c>
      <c r="C29488" s="7" t="n">
        <v>4</v>
      </c>
      <c r="D29488" s="7" t="n">
        <v>3</v>
      </c>
      <c r="E29488" s="7" t="n">
        <v>6.59999990463257</v>
      </c>
      <c r="F29488" s="7" t="n">
        <v>308.010009765625</v>
      </c>
      <c r="G29488" s="7" t="n">
        <v>354</v>
      </c>
      <c r="H29488" s="7" t="n">
        <v>0</v>
      </c>
      <c r="I29488" s="7" t="n">
        <v>0</v>
      </c>
    </row>
    <row r="29489" spans="1:9">
      <c r="A29489" t="s">
        <v>4</v>
      </c>
      <c r="B29489" s="4" t="s">
        <v>5</v>
      </c>
      <c r="C29489" s="4" t="s">
        <v>7</v>
      </c>
      <c r="D29489" s="4" t="s">
        <v>7</v>
      </c>
      <c r="E29489" s="4" t="s">
        <v>13</v>
      </c>
      <c r="F29489" s="4" t="s">
        <v>11</v>
      </c>
    </row>
    <row r="29490" spans="1:9">
      <c r="A29490" t="n">
        <v>287103</v>
      </c>
      <c r="B29490" s="51" t="n">
        <v>45</v>
      </c>
      <c r="C29490" s="7" t="n">
        <v>5</v>
      </c>
      <c r="D29490" s="7" t="n">
        <v>3</v>
      </c>
      <c r="E29490" s="7" t="n">
        <v>1.20000004768372</v>
      </c>
      <c r="F29490" s="7" t="n">
        <v>0</v>
      </c>
    </row>
    <row r="29491" spans="1:9">
      <c r="A29491" t="s">
        <v>4</v>
      </c>
      <c r="B29491" s="4" t="s">
        <v>5</v>
      </c>
      <c r="C29491" s="4" t="s">
        <v>7</v>
      </c>
      <c r="D29491" s="4" t="s">
        <v>7</v>
      </c>
      <c r="E29491" s="4" t="s">
        <v>13</v>
      </c>
      <c r="F29491" s="4" t="s">
        <v>11</v>
      </c>
    </row>
    <row r="29492" spans="1:9">
      <c r="A29492" t="n">
        <v>287112</v>
      </c>
      <c r="B29492" s="51" t="n">
        <v>45</v>
      </c>
      <c r="C29492" s="7" t="n">
        <v>11</v>
      </c>
      <c r="D29492" s="7" t="n">
        <v>3</v>
      </c>
      <c r="E29492" s="7" t="n">
        <v>40.2999992370605</v>
      </c>
      <c r="F29492" s="7" t="n">
        <v>0</v>
      </c>
    </row>
    <row r="29493" spans="1:9">
      <c r="A29493" t="s">
        <v>4</v>
      </c>
      <c r="B29493" s="4" t="s">
        <v>5</v>
      </c>
      <c r="C29493" s="4" t="s">
        <v>7</v>
      </c>
      <c r="D29493" s="4" t="s">
        <v>7</v>
      </c>
      <c r="E29493" s="4" t="s">
        <v>13</v>
      </c>
      <c r="F29493" s="4" t="s">
        <v>13</v>
      </c>
      <c r="G29493" s="4" t="s">
        <v>13</v>
      </c>
      <c r="H29493" s="4" t="s">
        <v>11</v>
      </c>
    </row>
    <row r="29494" spans="1:9">
      <c r="A29494" t="n">
        <v>287121</v>
      </c>
      <c r="B29494" s="51" t="n">
        <v>45</v>
      </c>
      <c r="C29494" s="7" t="n">
        <v>2</v>
      </c>
      <c r="D29494" s="7" t="n">
        <v>3</v>
      </c>
      <c r="E29494" s="7" t="n">
        <v>-6.51999998092651</v>
      </c>
      <c r="F29494" s="7" t="n">
        <v>6.30999994277954</v>
      </c>
      <c r="G29494" s="7" t="n">
        <v>29.9099998474121</v>
      </c>
      <c r="H29494" s="7" t="n">
        <v>3000</v>
      </c>
    </row>
    <row r="29495" spans="1:9">
      <c r="A29495" t="s">
        <v>4</v>
      </c>
      <c r="B29495" s="4" t="s">
        <v>5</v>
      </c>
      <c r="C29495" s="4" t="s">
        <v>7</v>
      </c>
      <c r="D29495" s="4" t="s">
        <v>7</v>
      </c>
      <c r="E29495" s="4" t="s">
        <v>13</v>
      </c>
      <c r="F29495" s="4" t="s">
        <v>13</v>
      </c>
      <c r="G29495" s="4" t="s">
        <v>13</v>
      </c>
      <c r="H29495" s="4" t="s">
        <v>11</v>
      </c>
      <c r="I29495" s="4" t="s">
        <v>7</v>
      </c>
    </row>
    <row r="29496" spans="1:9">
      <c r="A29496" t="n">
        <v>287138</v>
      </c>
      <c r="B29496" s="51" t="n">
        <v>45</v>
      </c>
      <c r="C29496" s="7" t="n">
        <v>4</v>
      </c>
      <c r="D29496" s="7" t="n">
        <v>3</v>
      </c>
      <c r="E29496" s="7" t="n">
        <v>347.279998779297</v>
      </c>
      <c r="F29496" s="7" t="n">
        <v>14.7700004577637</v>
      </c>
      <c r="G29496" s="7" t="n">
        <v>354</v>
      </c>
      <c r="H29496" s="7" t="n">
        <v>3000</v>
      </c>
      <c r="I29496" s="7" t="n">
        <v>1</v>
      </c>
    </row>
    <row r="29497" spans="1:9">
      <c r="A29497" t="s">
        <v>4</v>
      </c>
      <c r="B29497" s="4" t="s">
        <v>5</v>
      </c>
      <c r="C29497" s="4" t="s">
        <v>11</v>
      </c>
      <c r="D29497" s="4" t="s">
        <v>7</v>
      </c>
      <c r="E29497" s="4" t="s">
        <v>8</v>
      </c>
      <c r="F29497" s="4" t="s">
        <v>13</v>
      </c>
      <c r="G29497" s="4" t="s">
        <v>13</v>
      </c>
      <c r="H29497" s="4" t="s">
        <v>13</v>
      </c>
    </row>
    <row r="29498" spans="1:9">
      <c r="A29498" t="n">
        <v>287156</v>
      </c>
      <c r="B29498" s="42" t="n">
        <v>48</v>
      </c>
      <c r="C29498" s="7" t="n">
        <v>0</v>
      </c>
      <c r="D29498" s="7" t="n">
        <v>0</v>
      </c>
      <c r="E29498" s="7" t="s">
        <v>210</v>
      </c>
      <c r="F29498" s="7" t="n">
        <v>0</v>
      </c>
      <c r="G29498" s="7" t="n">
        <v>1</v>
      </c>
      <c r="H29498" s="7" t="n">
        <v>0</v>
      </c>
    </row>
    <row r="29499" spans="1:9">
      <c r="A29499" t="s">
        <v>4</v>
      </c>
      <c r="B29499" s="4" t="s">
        <v>5</v>
      </c>
      <c r="C29499" s="4" t="s">
        <v>11</v>
      </c>
      <c r="D29499" s="4" t="s">
        <v>7</v>
      </c>
      <c r="E29499" s="4" t="s">
        <v>8</v>
      </c>
      <c r="F29499" s="4" t="s">
        <v>13</v>
      </c>
      <c r="G29499" s="4" t="s">
        <v>13</v>
      </c>
      <c r="H29499" s="4" t="s">
        <v>13</v>
      </c>
    </row>
    <row r="29500" spans="1:9">
      <c r="A29500" t="n">
        <v>287181</v>
      </c>
      <c r="B29500" s="42" t="n">
        <v>48</v>
      </c>
      <c r="C29500" s="7" t="n">
        <v>9</v>
      </c>
      <c r="D29500" s="7" t="n">
        <v>0</v>
      </c>
      <c r="E29500" s="7" t="s">
        <v>210</v>
      </c>
      <c r="F29500" s="7" t="n">
        <v>0</v>
      </c>
      <c r="G29500" s="7" t="n">
        <v>1</v>
      </c>
      <c r="H29500" s="7" t="n">
        <v>0</v>
      </c>
    </row>
    <row r="29501" spans="1:9">
      <c r="A29501" t="s">
        <v>4</v>
      </c>
      <c r="B29501" s="4" t="s">
        <v>5</v>
      </c>
      <c r="C29501" s="4" t="s">
        <v>7</v>
      </c>
      <c r="D29501" s="4" t="s">
        <v>11</v>
      </c>
      <c r="E29501" s="4" t="s">
        <v>8</v>
      </c>
      <c r="F29501" s="4" t="s">
        <v>8</v>
      </c>
      <c r="G29501" s="4" t="s">
        <v>8</v>
      </c>
      <c r="H29501" s="4" t="s">
        <v>8</v>
      </c>
    </row>
    <row r="29502" spans="1:9">
      <c r="A29502" t="n">
        <v>287206</v>
      </c>
      <c r="B29502" s="38" t="n">
        <v>51</v>
      </c>
      <c r="C29502" s="7" t="n">
        <v>3</v>
      </c>
      <c r="D29502" s="7" t="n">
        <v>0</v>
      </c>
      <c r="E29502" s="7" t="s">
        <v>154</v>
      </c>
      <c r="F29502" s="7" t="s">
        <v>155</v>
      </c>
      <c r="G29502" s="7" t="s">
        <v>78</v>
      </c>
      <c r="H29502" s="7" t="s">
        <v>79</v>
      </c>
    </row>
    <row r="29503" spans="1:9">
      <c r="A29503" t="s">
        <v>4</v>
      </c>
      <c r="B29503" s="4" t="s">
        <v>5</v>
      </c>
      <c r="C29503" s="4" t="s">
        <v>7</v>
      </c>
      <c r="D29503" s="4" t="s">
        <v>11</v>
      </c>
    </row>
    <row r="29504" spans="1:9">
      <c r="A29504" t="n">
        <v>287219</v>
      </c>
      <c r="B29504" s="23" t="n">
        <v>58</v>
      </c>
      <c r="C29504" s="7" t="n">
        <v>255</v>
      </c>
      <c r="D29504" s="7" t="n">
        <v>0</v>
      </c>
    </row>
    <row r="29505" spans="1:9">
      <c r="A29505" t="s">
        <v>4</v>
      </c>
      <c r="B29505" s="4" t="s">
        <v>5</v>
      </c>
      <c r="C29505" s="4" t="s">
        <v>11</v>
      </c>
      <c r="D29505" s="4" t="s">
        <v>7</v>
      </c>
      <c r="E29505" s="4" t="s">
        <v>8</v>
      </c>
      <c r="F29505" s="4" t="s">
        <v>13</v>
      </c>
      <c r="G29505" s="4" t="s">
        <v>13</v>
      </c>
      <c r="H29505" s="4" t="s">
        <v>13</v>
      </c>
    </row>
    <row r="29506" spans="1:9">
      <c r="A29506" t="n">
        <v>287223</v>
      </c>
      <c r="B29506" s="42" t="n">
        <v>48</v>
      </c>
      <c r="C29506" s="7" t="n">
        <v>0</v>
      </c>
      <c r="D29506" s="7" t="n">
        <v>0</v>
      </c>
      <c r="E29506" s="7" t="s">
        <v>626</v>
      </c>
      <c r="F29506" s="7" t="n">
        <v>-1</v>
      </c>
      <c r="G29506" s="7" t="n">
        <v>1</v>
      </c>
      <c r="H29506" s="7" t="n">
        <v>0</v>
      </c>
    </row>
    <row r="29507" spans="1:9">
      <c r="A29507" t="s">
        <v>4</v>
      </c>
      <c r="B29507" s="4" t="s">
        <v>5</v>
      </c>
      <c r="C29507" s="4" t="s">
        <v>11</v>
      </c>
      <c r="D29507" s="4" t="s">
        <v>7</v>
      </c>
      <c r="E29507" s="4" t="s">
        <v>8</v>
      </c>
      <c r="F29507" s="4" t="s">
        <v>13</v>
      </c>
      <c r="G29507" s="4" t="s">
        <v>13</v>
      </c>
      <c r="H29507" s="4" t="s">
        <v>13</v>
      </c>
    </row>
    <row r="29508" spans="1:9">
      <c r="A29508" t="n">
        <v>287249</v>
      </c>
      <c r="B29508" s="42" t="n">
        <v>48</v>
      </c>
      <c r="C29508" s="7" t="n">
        <v>9</v>
      </c>
      <c r="D29508" s="7" t="n">
        <v>0</v>
      </c>
      <c r="E29508" s="7" t="s">
        <v>626</v>
      </c>
      <c r="F29508" s="7" t="n">
        <v>-1</v>
      </c>
      <c r="G29508" s="7" t="n">
        <v>1</v>
      </c>
      <c r="H29508" s="7" t="n">
        <v>0</v>
      </c>
    </row>
    <row r="29509" spans="1:9">
      <c r="A29509" t="s">
        <v>4</v>
      </c>
      <c r="B29509" s="4" t="s">
        <v>5</v>
      </c>
      <c r="C29509" s="4" t="s">
        <v>11</v>
      </c>
    </row>
    <row r="29510" spans="1:9">
      <c r="A29510" t="n">
        <v>287275</v>
      </c>
      <c r="B29510" s="29" t="n">
        <v>16</v>
      </c>
      <c r="C29510" s="7" t="n">
        <v>200</v>
      </c>
    </row>
    <row r="29511" spans="1:9">
      <c r="A29511" t="s">
        <v>4</v>
      </c>
      <c r="B29511" s="4" t="s">
        <v>5</v>
      </c>
      <c r="C29511" s="4" t="s">
        <v>7</v>
      </c>
      <c r="D29511" s="4" t="s">
        <v>11</v>
      </c>
      <c r="E29511" s="4" t="s">
        <v>13</v>
      </c>
      <c r="F29511" s="4" t="s">
        <v>11</v>
      </c>
      <c r="G29511" s="4" t="s">
        <v>15</v>
      </c>
      <c r="H29511" s="4" t="s">
        <v>15</v>
      </c>
      <c r="I29511" s="4" t="s">
        <v>11</v>
      </c>
      <c r="J29511" s="4" t="s">
        <v>11</v>
      </c>
      <c r="K29511" s="4" t="s">
        <v>15</v>
      </c>
      <c r="L29511" s="4" t="s">
        <v>15</v>
      </c>
      <c r="M29511" s="4" t="s">
        <v>15</v>
      </c>
      <c r="N29511" s="4" t="s">
        <v>15</v>
      </c>
      <c r="O29511" s="4" t="s">
        <v>8</v>
      </c>
    </row>
    <row r="29512" spans="1:9">
      <c r="A29512" t="n">
        <v>287278</v>
      </c>
      <c r="B29512" s="57" t="n">
        <v>50</v>
      </c>
      <c r="C29512" s="7" t="n">
        <v>0</v>
      </c>
      <c r="D29512" s="7" t="n">
        <v>2003</v>
      </c>
      <c r="E29512" s="7" t="n">
        <v>0.600000023841858</v>
      </c>
      <c r="F29512" s="7" t="n">
        <v>100</v>
      </c>
      <c r="G29512" s="7" t="n">
        <v>0</v>
      </c>
      <c r="H29512" s="7" t="n">
        <v>0</v>
      </c>
      <c r="I29512" s="7" t="n">
        <v>0</v>
      </c>
      <c r="J29512" s="7" t="n">
        <v>65533</v>
      </c>
      <c r="K29512" s="7" t="n">
        <v>0</v>
      </c>
      <c r="L29512" s="7" t="n">
        <v>0</v>
      </c>
      <c r="M29512" s="7" t="n">
        <v>0</v>
      </c>
      <c r="N29512" s="7" t="n">
        <v>0</v>
      </c>
      <c r="O29512" s="7" t="s">
        <v>16</v>
      </c>
    </row>
    <row r="29513" spans="1:9">
      <c r="A29513" t="s">
        <v>4</v>
      </c>
      <c r="B29513" s="4" t="s">
        <v>5</v>
      </c>
      <c r="C29513" s="4" t="s">
        <v>11</v>
      </c>
      <c r="D29513" s="4" t="s">
        <v>15</v>
      </c>
      <c r="E29513" s="4" t="s">
        <v>7</v>
      </c>
    </row>
    <row r="29514" spans="1:9">
      <c r="A29514" t="n">
        <v>287317</v>
      </c>
      <c r="B29514" s="78" t="n">
        <v>35</v>
      </c>
      <c r="C29514" s="7" t="n">
        <v>0</v>
      </c>
      <c r="D29514" s="7" t="n">
        <v>0</v>
      </c>
      <c r="E29514" s="7" t="n">
        <v>0</v>
      </c>
    </row>
    <row r="29515" spans="1:9">
      <c r="A29515" t="s">
        <v>4</v>
      </c>
      <c r="B29515" s="4" t="s">
        <v>5</v>
      </c>
      <c r="C29515" s="4" t="s">
        <v>11</v>
      </c>
      <c r="D29515" s="4" t="s">
        <v>15</v>
      </c>
      <c r="E29515" s="4" t="s">
        <v>7</v>
      </c>
    </row>
    <row r="29516" spans="1:9">
      <c r="A29516" t="n">
        <v>287325</v>
      </c>
      <c r="B29516" s="78" t="n">
        <v>35</v>
      </c>
      <c r="C29516" s="7" t="n">
        <v>9</v>
      </c>
      <c r="D29516" s="7" t="n">
        <v>0</v>
      </c>
      <c r="E29516" s="7" t="n">
        <v>0</v>
      </c>
    </row>
    <row r="29517" spans="1:9">
      <c r="A29517" t="s">
        <v>4</v>
      </c>
      <c r="B29517" s="4" t="s">
        <v>5</v>
      </c>
      <c r="C29517" s="4" t="s">
        <v>7</v>
      </c>
      <c r="D29517" s="4" t="s">
        <v>11</v>
      </c>
    </row>
    <row r="29518" spans="1:9">
      <c r="A29518" t="n">
        <v>287333</v>
      </c>
      <c r="B29518" s="51" t="n">
        <v>45</v>
      </c>
      <c r="C29518" s="7" t="n">
        <v>7</v>
      </c>
      <c r="D29518" s="7" t="n">
        <v>255</v>
      </c>
    </row>
    <row r="29519" spans="1:9">
      <c r="A29519" t="s">
        <v>4</v>
      </c>
      <c r="B29519" s="4" t="s">
        <v>5</v>
      </c>
      <c r="C29519" s="4" t="s">
        <v>7</v>
      </c>
      <c r="D29519" s="4" t="s">
        <v>11</v>
      </c>
      <c r="E29519" s="4" t="s">
        <v>8</v>
      </c>
    </row>
    <row r="29520" spans="1:9">
      <c r="A29520" t="n">
        <v>287337</v>
      </c>
      <c r="B29520" s="38" t="n">
        <v>51</v>
      </c>
      <c r="C29520" s="7" t="n">
        <v>4</v>
      </c>
      <c r="D29520" s="7" t="n">
        <v>9</v>
      </c>
      <c r="E29520" s="7" t="s">
        <v>417</v>
      </c>
    </row>
    <row r="29521" spans="1:15">
      <c r="A29521" t="s">
        <v>4</v>
      </c>
      <c r="B29521" s="4" t="s">
        <v>5</v>
      </c>
      <c r="C29521" s="4" t="s">
        <v>11</v>
      </c>
    </row>
    <row r="29522" spans="1:15">
      <c r="A29522" t="n">
        <v>287351</v>
      </c>
      <c r="B29522" s="29" t="n">
        <v>16</v>
      </c>
      <c r="C29522" s="7" t="n">
        <v>0</v>
      </c>
    </row>
    <row r="29523" spans="1:15">
      <c r="A29523" t="s">
        <v>4</v>
      </c>
      <c r="B29523" s="4" t="s">
        <v>5</v>
      </c>
      <c r="C29523" s="4" t="s">
        <v>11</v>
      </c>
      <c r="D29523" s="4" t="s">
        <v>7</v>
      </c>
      <c r="E29523" s="4" t="s">
        <v>15</v>
      </c>
      <c r="F29523" s="4" t="s">
        <v>55</v>
      </c>
      <c r="G29523" s="4" t="s">
        <v>7</v>
      </c>
      <c r="H29523" s="4" t="s">
        <v>7</v>
      </c>
      <c r="I29523" s="4" t="s">
        <v>7</v>
      </c>
      <c r="J29523" s="4" t="s">
        <v>15</v>
      </c>
      <c r="K29523" s="4" t="s">
        <v>55</v>
      </c>
      <c r="L29523" s="4" t="s">
        <v>7</v>
      </c>
      <c r="M29523" s="4" t="s">
        <v>7</v>
      </c>
    </row>
    <row r="29524" spans="1:15">
      <c r="A29524" t="n">
        <v>287354</v>
      </c>
      <c r="B29524" s="55" t="n">
        <v>26</v>
      </c>
      <c r="C29524" s="7" t="n">
        <v>9</v>
      </c>
      <c r="D29524" s="7" t="n">
        <v>17</v>
      </c>
      <c r="E29524" s="7" t="n">
        <v>5811</v>
      </c>
      <c r="F29524" s="7" t="s">
        <v>685</v>
      </c>
      <c r="G29524" s="7" t="n">
        <v>2</v>
      </c>
      <c r="H29524" s="7" t="n">
        <v>3</v>
      </c>
      <c r="I29524" s="7" t="n">
        <v>17</v>
      </c>
      <c r="J29524" s="7" t="n">
        <v>5812</v>
      </c>
      <c r="K29524" s="7" t="s">
        <v>686</v>
      </c>
      <c r="L29524" s="7" t="n">
        <v>2</v>
      </c>
      <c r="M29524" s="7" t="n">
        <v>0</v>
      </c>
    </row>
    <row r="29525" spans="1:15">
      <c r="A29525" t="s">
        <v>4</v>
      </c>
      <c r="B29525" s="4" t="s">
        <v>5</v>
      </c>
    </row>
    <row r="29526" spans="1:15">
      <c r="A29526" t="n">
        <v>287569</v>
      </c>
      <c r="B29526" s="27" t="n">
        <v>28</v>
      </c>
    </row>
    <row r="29527" spans="1:15">
      <c r="A29527" t="s">
        <v>4</v>
      </c>
      <c r="B29527" s="4" t="s">
        <v>5</v>
      </c>
      <c r="C29527" s="4" t="s">
        <v>7</v>
      </c>
      <c r="D29527" s="4" t="s">
        <v>11</v>
      </c>
      <c r="E29527" s="4" t="s">
        <v>8</v>
      </c>
    </row>
    <row r="29528" spans="1:15">
      <c r="A29528" t="n">
        <v>287570</v>
      </c>
      <c r="B29528" s="38" t="n">
        <v>51</v>
      </c>
      <c r="C29528" s="7" t="n">
        <v>4</v>
      </c>
      <c r="D29528" s="7" t="n">
        <v>0</v>
      </c>
      <c r="E29528" s="7" t="s">
        <v>173</v>
      </c>
    </row>
    <row r="29529" spans="1:15">
      <c r="A29529" t="s">
        <v>4</v>
      </c>
      <c r="B29529" s="4" t="s">
        <v>5</v>
      </c>
      <c r="C29529" s="4" t="s">
        <v>11</v>
      </c>
    </row>
    <row r="29530" spans="1:15">
      <c r="A29530" t="n">
        <v>287583</v>
      </c>
      <c r="B29530" s="29" t="n">
        <v>16</v>
      </c>
      <c r="C29530" s="7" t="n">
        <v>0</v>
      </c>
    </row>
    <row r="29531" spans="1:15">
      <c r="A29531" t="s">
        <v>4</v>
      </c>
      <c r="B29531" s="4" t="s">
        <v>5</v>
      </c>
      <c r="C29531" s="4" t="s">
        <v>11</v>
      </c>
      <c r="D29531" s="4" t="s">
        <v>7</v>
      </c>
      <c r="E29531" s="4" t="s">
        <v>15</v>
      </c>
      <c r="F29531" s="4" t="s">
        <v>55</v>
      </c>
      <c r="G29531" s="4" t="s">
        <v>7</v>
      </c>
      <c r="H29531" s="4" t="s">
        <v>7</v>
      </c>
      <c r="I29531" s="4" t="s">
        <v>7</v>
      </c>
      <c r="J29531" s="4" t="s">
        <v>15</v>
      </c>
      <c r="K29531" s="4" t="s">
        <v>55</v>
      </c>
      <c r="L29531" s="4" t="s">
        <v>7</v>
      </c>
      <c r="M29531" s="4" t="s">
        <v>7</v>
      </c>
      <c r="N29531" s="4" t="s">
        <v>7</v>
      </c>
      <c r="O29531" s="4" t="s">
        <v>15</v>
      </c>
      <c r="P29531" s="4" t="s">
        <v>55</v>
      </c>
      <c r="Q29531" s="4" t="s">
        <v>7</v>
      </c>
      <c r="R29531" s="4" t="s">
        <v>7</v>
      </c>
      <c r="S29531" s="4" t="s">
        <v>7</v>
      </c>
      <c r="T29531" s="4" t="s">
        <v>15</v>
      </c>
      <c r="U29531" s="4" t="s">
        <v>55</v>
      </c>
      <c r="V29531" s="4" t="s">
        <v>7</v>
      </c>
      <c r="W29531" s="4" t="s">
        <v>7</v>
      </c>
    </row>
    <row r="29532" spans="1:15">
      <c r="A29532" t="n">
        <v>287586</v>
      </c>
      <c r="B29532" s="55" t="n">
        <v>26</v>
      </c>
      <c r="C29532" s="7" t="n">
        <v>0</v>
      </c>
      <c r="D29532" s="7" t="n">
        <v>17</v>
      </c>
      <c r="E29532" s="7" t="n">
        <v>63976</v>
      </c>
      <c r="F29532" s="7" t="s">
        <v>687</v>
      </c>
      <c r="G29532" s="7" t="n">
        <v>2</v>
      </c>
      <c r="H29532" s="7" t="n">
        <v>3</v>
      </c>
      <c r="I29532" s="7" t="n">
        <v>17</v>
      </c>
      <c r="J29532" s="7" t="n">
        <v>63977</v>
      </c>
      <c r="K29532" s="7" t="s">
        <v>688</v>
      </c>
      <c r="L29532" s="7" t="n">
        <v>2</v>
      </c>
      <c r="M29532" s="7" t="n">
        <v>3</v>
      </c>
      <c r="N29532" s="7" t="n">
        <v>17</v>
      </c>
      <c r="O29532" s="7" t="n">
        <v>63978</v>
      </c>
      <c r="P29532" s="7" t="s">
        <v>689</v>
      </c>
      <c r="Q29532" s="7" t="n">
        <v>2</v>
      </c>
      <c r="R29532" s="7" t="n">
        <v>3</v>
      </c>
      <c r="S29532" s="7" t="n">
        <v>17</v>
      </c>
      <c r="T29532" s="7" t="n">
        <v>63979</v>
      </c>
      <c r="U29532" s="7" t="s">
        <v>690</v>
      </c>
      <c r="V29532" s="7" t="n">
        <v>2</v>
      </c>
      <c r="W29532" s="7" t="n">
        <v>0</v>
      </c>
    </row>
    <row r="29533" spans="1:15">
      <c r="A29533" t="s">
        <v>4</v>
      </c>
      <c r="B29533" s="4" t="s">
        <v>5</v>
      </c>
    </row>
    <row r="29534" spans="1:15">
      <c r="A29534" t="n">
        <v>287924</v>
      </c>
      <c r="B29534" s="27" t="n">
        <v>28</v>
      </c>
    </row>
    <row r="29535" spans="1:15">
      <c r="A29535" t="s">
        <v>4</v>
      </c>
      <c r="B29535" s="4" t="s">
        <v>5</v>
      </c>
      <c r="C29535" s="4" t="s">
        <v>11</v>
      </c>
      <c r="D29535" s="4" t="s">
        <v>7</v>
      </c>
    </row>
    <row r="29536" spans="1:15">
      <c r="A29536" t="n">
        <v>287925</v>
      </c>
      <c r="B29536" s="68" t="n">
        <v>89</v>
      </c>
      <c r="C29536" s="7" t="n">
        <v>65533</v>
      </c>
      <c r="D29536" s="7" t="n">
        <v>1</v>
      </c>
    </row>
    <row r="29537" spans="1:23">
      <c r="A29537" t="s">
        <v>4</v>
      </c>
      <c r="B29537" s="4" t="s">
        <v>5</v>
      </c>
      <c r="C29537" s="4" t="s">
        <v>7</v>
      </c>
      <c r="D29537" s="4" t="s">
        <v>11</v>
      </c>
      <c r="E29537" s="4" t="s">
        <v>8</v>
      </c>
      <c r="F29537" s="4" t="s">
        <v>8</v>
      </c>
      <c r="G29537" s="4" t="s">
        <v>8</v>
      </c>
      <c r="H29537" s="4" t="s">
        <v>8</v>
      </c>
    </row>
    <row r="29538" spans="1:23">
      <c r="A29538" t="n">
        <v>287929</v>
      </c>
      <c r="B29538" s="38" t="n">
        <v>51</v>
      </c>
      <c r="C29538" s="7" t="n">
        <v>3</v>
      </c>
      <c r="D29538" s="7" t="n">
        <v>0</v>
      </c>
      <c r="E29538" s="7" t="s">
        <v>86</v>
      </c>
      <c r="F29538" s="7" t="s">
        <v>99</v>
      </c>
      <c r="G29538" s="7" t="s">
        <v>78</v>
      </c>
      <c r="H29538" s="7" t="s">
        <v>79</v>
      </c>
    </row>
    <row r="29539" spans="1:23">
      <c r="A29539" t="s">
        <v>4</v>
      </c>
      <c r="B29539" s="4" t="s">
        <v>5</v>
      </c>
      <c r="C29539" s="4" t="s">
        <v>11</v>
      </c>
      <c r="D29539" s="4" t="s">
        <v>7</v>
      </c>
      <c r="E29539" s="4" t="s">
        <v>8</v>
      </c>
      <c r="F29539" s="4" t="s">
        <v>13</v>
      </c>
      <c r="G29539" s="4" t="s">
        <v>13</v>
      </c>
      <c r="H29539" s="4" t="s">
        <v>13</v>
      </c>
    </row>
    <row r="29540" spans="1:23">
      <c r="A29540" t="n">
        <v>287942</v>
      </c>
      <c r="B29540" s="42" t="n">
        <v>48</v>
      </c>
      <c r="C29540" s="7" t="n">
        <v>0</v>
      </c>
      <c r="D29540" s="7" t="n">
        <v>0</v>
      </c>
      <c r="E29540" s="7" t="s">
        <v>627</v>
      </c>
      <c r="F29540" s="7" t="n">
        <v>-1</v>
      </c>
      <c r="G29540" s="7" t="n">
        <v>1</v>
      </c>
      <c r="H29540" s="7" t="n">
        <v>0</v>
      </c>
    </row>
    <row r="29541" spans="1:23">
      <c r="A29541" t="s">
        <v>4</v>
      </c>
      <c r="B29541" s="4" t="s">
        <v>5</v>
      </c>
      <c r="C29541" s="4" t="s">
        <v>11</v>
      </c>
      <c r="D29541" s="4" t="s">
        <v>7</v>
      </c>
      <c r="E29541" s="4" t="s">
        <v>8</v>
      </c>
      <c r="F29541" s="4" t="s">
        <v>13</v>
      </c>
      <c r="G29541" s="4" t="s">
        <v>13</v>
      </c>
      <c r="H29541" s="4" t="s">
        <v>13</v>
      </c>
    </row>
    <row r="29542" spans="1:23">
      <c r="A29542" t="n">
        <v>287968</v>
      </c>
      <c r="B29542" s="42" t="n">
        <v>48</v>
      </c>
      <c r="C29542" s="7" t="n">
        <v>9</v>
      </c>
      <c r="D29542" s="7" t="n">
        <v>0</v>
      </c>
      <c r="E29542" s="7" t="s">
        <v>627</v>
      </c>
      <c r="F29542" s="7" t="n">
        <v>-1</v>
      </c>
      <c r="G29542" s="7" t="n">
        <v>1</v>
      </c>
      <c r="H29542" s="7" t="n">
        <v>0</v>
      </c>
    </row>
    <row r="29543" spans="1:23">
      <c r="A29543" t="s">
        <v>4</v>
      </c>
      <c r="B29543" s="4" t="s">
        <v>5</v>
      </c>
      <c r="C29543" s="4" t="s">
        <v>11</v>
      </c>
    </row>
    <row r="29544" spans="1:23">
      <c r="A29544" t="n">
        <v>287994</v>
      </c>
      <c r="B29544" s="29" t="n">
        <v>16</v>
      </c>
      <c r="C29544" s="7" t="n">
        <v>600</v>
      </c>
    </row>
    <row r="29545" spans="1:23">
      <c r="A29545" t="s">
        <v>4</v>
      </c>
      <c r="B29545" s="4" t="s">
        <v>5</v>
      </c>
      <c r="C29545" s="4" t="s">
        <v>7</v>
      </c>
      <c r="D29545" s="4" t="s">
        <v>11</v>
      </c>
      <c r="E29545" s="4" t="s">
        <v>13</v>
      </c>
      <c r="F29545" s="4" t="s">
        <v>11</v>
      </c>
      <c r="G29545" s="4" t="s">
        <v>15</v>
      </c>
      <c r="H29545" s="4" t="s">
        <v>15</v>
      </c>
      <c r="I29545" s="4" t="s">
        <v>11</v>
      </c>
      <c r="J29545" s="4" t="s">
        <v>11</v>
      </c>
      <c r="K29545" s="4" t="s">
        <v>15</v>
      </c>
      <c r="L29545" s="4" t="s">
        <v>15</v>
      </c>
      <c r="M29545" s="4" t="s">
        <v>15</v>
      </c>
      <c r="N29545" s="4" t="s">
        <v>15</v>
      </c>
      <c r="O29545" s="4" t="s">
        <v>8</v>
      </c>
    </row>
    <row r="29546" spans="1:23">
      <c r="A29546" t="n">
        <v>287997</v>
      </c>
      <c r="B29546" s="57" t="n">
        <v>50</v>
      </c>
      <c r="C29546" s="7" t="n">
        <v>0</v>
      </c>
      <c r="D29546" s="7" t="n">
        <v>2000</v>
      </c>
      <c r="E29546" s="7" t="n">
        <v>0.400000005960464</v>
      </c>
      <c r="F29546" s="7" t="n">
        <v>200</v>
      </c>
      <c r="G29546" s="7" t="n">
        <v>0</v>
      </c>
      <c r="H29546" s="7" t="n">
        <v>1073741824</v>
      </c>
      <c r="I29546" s="7" t="n">
        <v>0</v>
      </c>
      <c r="J29546" s="7" t="n">
        <v>65533</v>
      </c>
      <c r="K29546" s="7" t="n">
        <v>0</v>
      </c>
      <c r="L29546" s="7" t="n">
        <v>0</v>
      </c>
      <c r="M29546" s="7" t="n">
        <v>0</v>
      </c>
      <c r="N29546" s="7" t="n">
        <v>0</v>
      </c>
      <c r="O29546" s="7" t="s">
        <v>16</v>
      </c>
    </row>
    <row r="29547" spans="1:23">
      <c r="A29547" t="s">
        <v>4</v>
      </c>
      <c r="B29547" s="4" t="s">
        <v>5</v>
      </c>
      <c r="C29547" s="4" t="s">
        <v>11</v>
      </c>
      <c r="D29547" s="4" t="s">
        <v>15</v>
      </c>
      <c r="E29547" s="4" t="s">
        <v>7</v>
      </c>
    </row>
    <row r="29548" spans="1:23">
      <c r="A29548" t="n">
        <v>288036</v>
      </c>
      <c r="B29548" s="78" t="n">
        <v>35</v>
      </c>
      <c r="C29548" s="7" t="n">
        <v>0</v>
      </c>
      <c r="D29548" s="7" t="n">
        <v>0</v>
      </c>
      <c r="E29548" s="7" t="n">
        <v>0</v>
      </c>
    </row>
    <row r="29549" spans="1:23">
      <c r="A29549" t="s">
        <v>4</v>
      </c>
      <c r="B29549" s="4" t="s">
        <v>5</v>
      </c>
      <c r="C29549" s="4" t="s">
        <v>11</v>
      </c>
      <c r="D29549" s="4" t="s">
        <v>15</v>
      </c>
      <c r="E29549" s="4" t="s">
        <v>7</v>
      </c>
    </row>
    <row r="29550" spans="1:23">
      <c r="A29550" t="n">
        <v>288044</v>
      </c>
      <c r="B29550" s="78" t="n">
        <v>35</v>
      </c>
      <c r="C29550" s="7" t="n">
        <v>9</v>
      </c>
      <c r="D29550" s="7" t="n">
        <v>0</v>
      </c>
      <c r="E29550" s="7" t="n">
        <v>0</v>
      </c>
    </row>
    <row r="29551" spans="1:23">
      <c r="A29551" t="s">
        <v>4</v>
      </c>
      <c r="B29551" s="4" t="s">
        <v>5</v>
      </c>
      <c r="C29551" s="4" t="s">
        <v>11</v>
      </c>
    </row>
    <row r="29552" spans="1:23">
      <c r="A29552" t="n">
        <v>288052</v>
      </c>
      <c r="B29552" s="29" t="n">
        <v>16</v>
      </c>
      <c r="C29552" s="7" t="n">
        <v>1000</v>
      </c>
    </row>
    <row r="29553" spans="1:15">
      <c r="A29553" t="s">
        <v>4</v>
      </c>
      <c r="B29553" s="4" t="s">
        <v>5</v>
      </c>
      <c r="C29553" s="4" t="s">
        <v>7</v>
      </c>
      <c r="D29553" s="4" t="s">
        <v>11</v>
      </c>
      <c r="E29553" s="4" t="s">
        <v>8</v>
      </c>
      <c r="F29553" s="4" t="s">
        <v>8</v>
      </c>
      <c r="G29553" s="4" t="s">
        <v>8</v>
      </c>
      <c r="H29553" s="4" t="s">
        <v>8</v>
      </c>
    </row>
    <row r="29554" spans="1:15">
      <c r="A29554" t="n">
        <v>288055</v>
      </c>
      <c r="B29554" s="38" t="n">
        <v>51</v>
      </c>
      <c r="C29554" s="7" t="n">
        <v>3</v>
      </c>
      <c r="D29554" s="7" t="n">
        <v>9</v>
      </c>
      <c r="E29554" s="7" t="s">
        <v>98</v>
      </c>
      <c r="F29554" s="7" t="s">
        <v>232</v>
      </c>
      <c r="G29554" s="7" t="s">
        <v>78</v>
      </c>
      <c r="H29554" s="7" t="s">
        <v>79</v>
      </c>
    </row>
    <row r="29555" spans="1:15">
      <c r="A29555" t="s">
        <v>4</v>
      </c>
      <c r="B29555" s="4" t="s">
        <v>5</v>
      </c>
      <c r="C29555" s="4" t="s">
        <v>11</v>
      </c>
    </row>
    <row r="29556" spans="1:15">
      <c r="A29556" t="n">
        <v>288068</v>
      </c>
      <c r="B29556" s="29" t="n">
        <v>16</v>
      </c>
      <c r="C29556" s="7" t="n">
        <v>1000</v>
      </c>
    </row>
    <row r="29557" spans="1:15">
      <c r="A29557" t="s">
        <v>4</v>
      </c>
      <c r="B29557" s="4" t="s">
        <v>5</v>
      </c>
      <c r="C29557" s="4" t="s">
        <v>7</v>
      </c>
      <c r="D29557" s="4" t="s">
        <v>11</v>
      </c>
      <c r="E29557" s="4" t="s">
        <v>13</v>
      </c>
    </row>
    <row r="29558" spans="1:15">
      <c r="A29558" t="n">
        <v>288071</v>
      </c>
      <c r="B29558" s="23" t="n">
        <v>58</v>
      </c>
      <c r="C29558" s="7" t="n">
        <v>101</v>
      </c>
      <c r="D29558" s="7" t="n">
        <v>500</v>
      </c>
      <c r="E29558" s="7" t="n">
        <v>1</v>
      </c>
    </row>
    <row r="29559" spans="1:15">
      <c r="A29559" t="s">
        <v>4</v>
      </c>
      <c r="B29559" s="4" t="s">
        <v>5</v>
      </c>
      <c r="C29559" s="4" t="s">
        <v>7</v>
      </c>
      <c r="D29559" s="4" t="s">
        <v>11</v>
      </c>
    </row>
    <row r="29560" spans="1:15">
      <c r="A29560" t="n">
        <v>288079</v>
      </c>
      <c r="B29560" s="23" t="n">
        <v>58</v>
      </c>
      <c r="C29560" s="7" t="n">
        <v>254</v>
      </c>
      <c r="D29560" s="7" t="n">
        <v>0</v>
      </c>
    </row>
    <row r="29561" spans="1:15">
      <c r="A29561" t="s">
        <v>4</v>
      </c>
      <c r="B29561" s="4" t="s">
        <v>5</v>
      </c>
      <c r="C29561" s="4" t="s">
        <v>11</v>
      </c>
      <c r="D29561" s="4" t="s">
        <v>11</v>
      </c>
      <c r="E29561" s="4" t="s">
        <v>11</v>
      </c>
    </row>
    <row r="29562" spans="1:15">
      <c r="A29562" t="n">
        <v>288083</v>
      </c>
      <c r="B29562" s="72" t="n">
        <v>61</v>
      </c>
      <c r="C29562" s="7" t="n">
        <v>0</v>
      </c>
      <c r="D29562" s="7" t="n">
        <v>9</v>
      </c>
      <c r="E29562" s="7" t="n">
        <v>0</v>
      </c>
    </row>
    <row r="29563" spans="1:15">
      <c r="A29563" t="s">
        <v>4</v>
      </c>
      <c r="B29563" s="4" t="s">
        <v>5</v>
      </c>
      <c r="C29563" s="4" t="s">
        <v>7</v>
      </c>
      <c r="D29563" s="4" t="s">
        <v>7</v>
      </c>
      <c r="E29563" s="4" t="s">
        <v>13</v>
      </c>
      <c r="F29563" s="4" t="s">
        <v>13</v>
      </c>
      <c r="G29563" s="4" t="s">
        <v>13</v>
      </c>
      <c r="H29563" s="4" t="s">
        <v>11</v>
      </c>
    </row>
    <row r="29564" spans="1:15">
      <c r="A29564" t="n">
        <v>288090</v>
      </c>
      <c r="B29564" s="51" t="n">
        <v>45</v>
      </c>
      <c r="C29564" s="7" t="n">
        <v>2</v>
      </c>
      <c r="D29564" s="7" t="n">
        <v>3</v>
      </c>
      <c r="E29564" s="7" t="n">
        <v>-6.51999998092651</v>
      </c>
      <c r="F29564" s="7" t="n">
        <v>6.19999980926514</v>
      </c>
      <c r="G29564" s="7" t="n">
        <v>29.9599990844727</v>
      </c>
      <c r="H29564" s="7" t="n">
        <v>0</v>
      </c>
    </row>
    <row r="29565" spans="1:15">
      <c r="A29565" t="s">
        <v>4</v>
      </c>
      <c r="B29565" s="4" t="s">
        <v>5</v>
      </c>
      <c r="C29565" s="4" t="s">
        <v>7</v>
      </c>
      <c r="D29565" s="4" t="s">
        <v>7</v>
      </c>
      <c r="E29565" s="4" t="s">
        <v>13</v>
      </c>
      <c r="F29565" s="4" t="s">
        <v>13</v>
      </c>
      <c r="G29565" s="4" t="s">
        <v>13</v>
      </c>
      <c r="H29565" s="4" t="s">
        <v>11</v>
      </c>
      <c r="I29565" s="4" t="s">
        <v>7</v>
      </c>
    </row>
    <row r="29566" spans="1:15">
      <c r="A29566" t="n">
        <v>288107</v>
      </c>
      <c r="B29566" s="51" t="n">
        <v>45</v>
      </c>
      <c r="C29566" s="7" t="n">
        <v>4</v>
      </c>
      <c r="D29566" s="7" t="n">
        <v>3</v>
      </c>
      <c r="E29566" s="7" t="n">
        <v>336.369995117188</v>
      </c>
      <c r="F29566" s="7" t="n">
        <v>29.3400001525879</v>
      </c>
      <c r="G29566" s="7" t="n">
        <v>354</v>
      </c>
      <c r="H29566" s="7" t="n">
        <v>0</v>
      </c>
      <c r="I29566" s="7" t="n">
        <v>0</v>
      </c>
    </row>
    <row r="29567" spans="1:15">
      <c r="A29567" t="s">
        <v>4</v>
      </c>
      <c r="B29567" s="4" t="s">
        <v>5</v>
      </c>
      <c r="C29567" s="4" t="s">
        <v>7</v>
      </c>
      <c r="D29567" s="4" t="s">
        <v>7</v>
      </c>
      <c r="E29567" s="4" t="s">
        <v>13</v>
      </c>
      <c r="F29567" s="4" t="s">
        <v>11</v>
      </c>
    </row>
    <row r="29568" spans="1:15">
      <c r="A29568" t="n">
        <v>288125</v>
      </c>
      <c r="B29568" s="51" t="n">
        <v>45</v>
      </c>
      <c r="C29568" s="7" t="n">
        <v>5</v>
      </c>
      <c r="D29568" s="7" t="n">
        <v>3</v>
      </c>
      <c r="E29568" s="7" t="n">
        <v>1.29999995231628</v>
      </c>
      <c r="F29568" s="7" t="n">
        <v>0</v>
      </c>
    </row>
    <row r="29569" spans="1:9">
      <c r="A29569" t="s">
        <v>4</v>
      </c>
      <c r="B29569" s="4" t="s">
        <v>5</v>
      </c>
      <c r="C29569" s="4" t="s">
        <v>7</v>
      </c>
      <c r="D29569" s="4" t="s">
        <v>7</v>
      </c>
      <c r="E29569" s="4" t="s">
        <v>13</v>
      </c>
      <c r="F29569" s="4" t="s">
        <v>11</v>
      </c>
    </row>
    <row r="29570" spans="1:9">
      <c r="A29570" t="n">
        <v>288134</v>
      </c>
      <c r="B29570" s="51" t="n">
        <v>45</v>
      </c>
      <c r="C29570" s="7" t="n">
        <v>11</v>
      </c>
      <c r="D29570" s="7" t="n">
        <v>3</v>
      </c>
      <c r="E29570" s="7" t="n">
        <v>40.2999992370605</v>
      </c>
      <c r="F29570" s="7" t="n">
        <v>0</v>
      </c>
    </row>
    <row r="29571" spans="1:9">
      <c r="A29571" t="s">
        <v>4</v>
      </c>
      <c r="B29571" s="4" t="s">
        <v>5</v>
      </c>
      <c r="C29571" s="4" t="s">
        <v>7</v>
      </c>
      <c r="D29571" s="4" t="s">
        <v>7</v>
      </c>
      <c r="E29571" s="4" t="s">
        <v>13</v>
      </c>
      <c r="F29571" s="4" t="s">
        <v>11</v>
      </c>
    </row>
    <row r="29572" spans="1:9">
      <c r="A29572" t="n">
        <v>288143</v>
      </c>
      <c r="B29572" s="51" t="n">
        <v>45</v>
      </c>
      <c r="C29572" s="7" t="n">
        <v>5</v>
      </c>
      <c r="D29572" s="7" t="n">
        <v>3</v>
      </c>
      <c r="E29572" s="7" t="n">
        <v>0.899999976158142</v>
      </c>
      <c r="F29572" s="7" t="n">
        <v>30000</v>
      </c>
    </row>
    <row r="29573" spans="1:9">
      <c r="A29573" t="s">
        <v>4</v>
      </c>
      <c r="B29573" s="4" t="s">
        <v>5</v>
      </c>
      <c r="C29573" s="4" t="s">
        <v>11</v>
      </c>
      <c r="D29573" s="4" t="s">
        <v>13</v>
      </c>
      <c r="E29573" s="4" t="s">
        <v>13</v>
      </c>
      <c r="F29573" s="4" t="s">
        <v>13</v>
      </c>
      <c r="G29573" s="4" t="s">
        <v>13</v>
      </c>
    </row>
    <row r="29574" spans="1:9">
      <c r="A29574" t="n">
        <v>288152</v>
      </c>
      <c r="B29574" s="36" t="n">
        <v>46</v>
      </c>
      <c r="C29574" s="7" t="n">
        <v>9</v>
      </c>
      <c r="D29574" s="7" t="n">
        <v>-7.51999998092651</v>
      </c>
      <c r="E29574" s="7" t="n">
        <v>4.96999979019165</v>
      </c>
      <c r="F29574" s="7" t="n">
        <v>29.8199996948242</v>
      </c>
      <c r="G29574" s="7" t="n">
        <v>83.9000015258789</v>
      </c>
    </row>
    <row r="29575" spans="1:9">
      <c r="A29575" t="s">
        <v>4</v>
      </c>
      <c r="B29575" s="4" t="s">
        <v>5</v>
      </c>
      <c r="C29575" s="4" t="s">
        <v>7</v>
      </c>
      <c r="D29575" s="4" t="s">
        <v>11</v>
      </c>
    </row>
    <row r="29576" spans="1:9">
      <c r="A29576" t="n">
        <v>288171</v>
      </c>
      <c r="B29576" s="23" t="n">
        <v>58</v>
      </c>
      <c r="C29576" s="7" t="n">
        <v>254</v>
      </c>
      <c r="D29576" s="7" t="n">
        <v>0</v>
      </c>
    </row>
    <row r="29577" spans="1:9">
      <c r="A29577" t="s">
        <v>4</v>
      </c>
      <c r="B29577" s="4" t="s">
        <v>5</v>
      </c>
      <c r="C29577" s="4" t="s">
        <v>7</v>
      </c>
      <c r="D29577" s="4" t="s">
        <v>11</v>
      </c>
    </row>
    <row r="29578" spans="1:9">
      <c r="A29578" t="n">
        <v>288175</v>
      </c>
      <c r="B29578" s="23" t="n">
        <v>58</v>
      </c>
      <c r="C29578" s="7" t="n">
        <v>255</v>
      </c>
      <c r="D29578" s="7" t="n">
        <v>0</v>
      </c>
    </row>
    <row r="29579" spans="1:9">
      <c r="A29579" t="s">
        <v>4</v>
      </c>
      <c r="B29579" s="4" t="s">
        <v>5</v>
      </c>
      <c r="C29579" s="4" t="s">
        <v>7</v>
      </c>
      <c r="D29579" s="4" t="s">
        <v>11</v>
      </c>
      <c r="E29579" s="4" t="s">
        <v>8</v>
      </c>
    </row>
    <row r="29580" spans="1:9">
      <c r="A29580" t="n">
        <v>288179</v>
      </c>
      <c r="B29580" s="38" t="n">
        <v>51</v>
      </c>
      <c r="C29580" s="7" t="n">
        <v>4</v>
      </c>
      <c r="D29580" s="7" t="n">
        <v>9</v>
      </c>
      <c r="E29580" s="7" t="s">
        <v>491</v>
      </c>
    </row>
    <row r="29581" spans="1:9">
      <c r="A29581" t="s">
        <v>4</v>
      </c>
      <c r="B29581" s="4" t="s">
        <v>5</v>
      </c>
      <c r="C29581" s="4" t="s">
        <v>11</v>
      </c>
    </row>
    <row r="29582" spans="1:9">
      <c r="A29582" t="n">
        <v>288193</v>
      </c>
      <c r="B29582" s="29" t="n">
        <v>16</v>
      </c>
      <c r="C29582" s="7" t="n">
        <v>0</v>
      </c>
    </row>
    <row r="29583" spans="1:9">
      <c r="A29583" t="s">
        <v>4</v>
      </c>
      <c r="B29583" s="4" t="s">
        <v>5</v>
      </c>
      <c r="C29583" s="4" t="s">
        <v>11</v>
      </c>
      <c r="D29583" s="4" t="s">
        <v>7</v>
      </c>
      <c r="E29583" s="4" t="s">
        <v>15</v>
      </c>
      <c r="F29583" s="4" t="s">
        <v>55</v>
      </c>
      <c r="G29583" s="4" t="s">
        <v>7</v>
      </c>
      <c r="H29583" s="4" t="s">
        <v>7</v>
      </c>
      <c r="I29583" s="4" t="s">
        <v>7</v>
      </c>
      <c r="J29583" s="4" t="s">
        <v>15</v>
      </c>
      <c r="K29583" s="4" t="s">
        <v>55</v>
      </c>
      <c r="L29583" s="4" t="s">
        <v>7</v>
      </c>
      <c r="M29583" s="4" t="s">
        <v>7</v>
      </c>
      <c r="N29583" s="4" t="s">
        <v>7</v>
      </c>
      <c r="O29583" s="4" t="s">
        <v>15</v>
      </c>
      <c r="P29583" s="4" t="s">
        <v>55</v>
      </c>
      <c r="Q29583" s="4" t="s">
        <v>7</v>
      </c>
      <c r="R29583" s="4" t="s">
        <v>7</v>
      </c>
    </row>
    <row r="29584" spans="1:9">
      <c r="A29584" t="n">
        <v>288196</v>
      </c>
      <c r="B29584" s="55" t="n">
        <v>26</v>
      </c>
      <c r="C29584" s="7" t="n">
        <v>9</v>
      </c>
      <c r="D29584" s="7" t="n">
        <v>17</v>
      </c>
      <c r="E29584" s="7" t="n">
        <v>5813</v>
      </c>
      <c r="F29584" s="7" t="s">
        <v>691</v>
      </c>
      <c r="G29584" s="7" t="n">
        <v>2</v>
      </c>
      <c r="H29584" s="7" t="n">
        <v>3</v>
      </c>
      <c r="I29584" s="7" t="n">
        <v>17</v>
      </c>
      <c r="J29584" s="7" t="n">
        <v>5814</v>
      </c>
      <c r="K29584" s="7" t="s">
        <v>692</v>
      </c>
      <c r="L29584" s="7" t="n">
        <v>2</v>
      </c>
      <c r="M29584" s="7" t="n">
        <v>3</v>
      </c>
      <c r="N29584" s="7" t="n">
        <v>17</v>
      </c>
      <c r="O29584" s="7" t="n">
        <v>5815</v>
      </c>
      <c r="P29584" s="7" t="s">
        <v>693</v>
      </c>
      <c r="Q29584" s="7" t="n">
        <v>2</v>
      </c>
      <c r="R29584" s="7" t="n">
        <v>0</v>
      </c>
    </row>
    <row r="29585" spans="1:18">
      <c r="A29585" t="s">
        <v>4</v>
      </c>
      <c r="B29585" s="4" t="s">
        <v>5</v>
      </c>
    </row>
    <row r="29586" spans="1:18">
      <c r="A29586" t="n">
        <v>288355</v>
      </c>
      <c r="B29586" s="27" t="n">
        <v>28</v>
      </c>
    </row>
    <row r="29587" spans="1:18">
      <c r="A29587" t="s">
        <v>4</v>
      </c>
      <c r="B29587" s="4" t="s">
        <v>5</v>
      </c>
      <c r="C29587" s="4" t="s">
        <v>7</v>
      </c>
      <c r="D29587" s="4" t="s">
        <v>11</v>
      </c>
      <c r="E29587" s="4" t="s">
        <v>8</v>
      </c>
    </row>
    <row r="29588" spans="1:18">
      <c r="A29588" t="n">
        <v>288356</v>
      </c>
      <c r="B29588" s="38" t="n">
        <v>51</v>
      </c>
      <c r="C29588" s="7" t="n">
        <v>4</v>
      </c>
      <c r="D29588" s="7" t="n">
        <v>0</v>
      </c>
      <c r="E29588" s="7" t="s">
        <v>235</v>
      </c>
    </row>
    <row r="29589" spans="1:18">
      <c r="A29589" t="s">
        <v>4</v>
      </c>
      <c r="B29589" s="4" t="s">
        <v>5</v>
      </c>
      <c r="C29589" s="4" t="s">
        <v>11</v>
      </c>
    </row>
    <row r="29590" spans="1:18">
      <c r="A29590" t="n">
        <v>288370</v>
      </c>
      <c r="B29590" s="29" t="n">
        <v>16</v>
      </c>
      <c r="C29590" s="7" t="n">
        <v>0</v>
      </c>
    </row>
    <row r="29591" spans="1:18">
      <c r="A29591" t="s">
        <v>4</v>
      </c>
      <c r="B29591" s="4" t="s">
        <v>5</v>
      </c>
      <c r="C29591" s="4" t="s">
        <v>11</v>
      </c>
      <c r="D29591" s="4" t="s">
        <v>7</v>
      </c>
      <c r="E29591" s="4" t="s">
        <v>15</v>
      </c>
      <c r="F29591" s="4" t="s">
        <v>55</v>
      </c>
      <c r="G29591" s="4" t="s">
        <v>7</v>
      </c>
      <c r="H29591" s="4" t="s">
        <v>7</v>
      </c>
      <c r="I29591" s="4" t="s">
        <v>7</v>
      </c>
      <c r="J29591" s="4" t="s">
        <v>15</v>
      </c>
      <c r="K29591" s="4" t="s">
        <v>55</v>
      </c>
      <c r="L29591" s="4" t="s">
        <v>7</v>
      </c>
      <c r="M29591" s="4" t="s">
        <v>7</v>
      </c>
      <c r="N29591" s="4" t="s">
        <v>7</v>
      </c>
      <c r="O29591" s="4" t="s">
        <v>15</v>
      </c>
      <c r="P29591" s="4" t="s">
        <v>55</v>
      </c>
      <c r="Q29591" s="4" t="s">
        <v>7</v>
      </c>
      <c r="R29591" s="4" t="s">
        <v>7</v>
      </c>
    </row>
    <row r="29592" spans="1:18">
      <c r="A29592" t="n">
        <v>288373</v>
      </c>
      <c r="B29592" s="55" t="n">
        <v>26</v>
      </c>
      <c r="C29592" s="7" t="n">
        <v>0</v>
      </c>
      <c r="D29592" s="7" t="n">
        <v>17</v>
      </c>
      <c r="E29592" s="7" t="n">
        <v>63980</v>
      </c>
      <c r="F29592" s="7" t="s">
        <v>694</v>
      </c>
      <c r="G29592" s="7" t="n">
        <v>2</v>
      </c>
      <c r="H29592" s="7" t="n">
        <v>3</v>
      </c>
      <c r="I29592" s="7" t="n">
        <v>17</v>
      </c>
      <c r="J29592" s="7" t="n">
        <v>63981</v>
      </c>
      <c r="K29592" s="7" t="s">
        <v>695</v>
      </c>
      <c r="L29592" s="7" t="n">
        <v>2</v>
      </c>
      <c r="M29592" s="7" t="n">
        <v>3</v>
      </c>
      <c r="N29592" s="7" t="n">
        <v>17</v>
      </c>
      <c r="O29592" s="7" t="n">
        <v>63982</v>
      </c>
      <c r="P29592" s="7" t="s">
        <v>696</v>
      </c>
      <c r="Q29592" s="7" t="n">
        <v>2</v>
      </c>
      <c r="R29592" s="7" t="n">
        <v>0</v>
      </c>
    </row>
    <row r="29593" spans="1:18">
      <c r="A29593" t="s">
        <v>4</v>
      </c>
      <c r="B29593" s="4" t="s">
        <v>5</v>
      </c>
    </row>
    <row r="29594" spans="1:18">
      <c r="A29594" t="n">
        <v>288608</v>
      </c>
      <c r="B29594" s="27" t="n">
        <v>28</v>
      </c>
    </row>
    <row r="29595" spans="1:18">
      <c r="A29595" t="s">
        <v>4</v>
      </c>
      <c r="B29595" s="4" t="s">
        <v>5</v>
      </c>
      <c r="C29595" s="4" t="s">
        <v>7</v>
      </c>
      <c r="D29595" s="4" t="s">
        <v>11</v>
      </c>
      <c r="E29595" s="4" t="s">
        <v>8</v>
      </c>
    </row>
    <row r="29596" spans="1:18">
      <c r="A29596" t="n">
        <v>288609</v>
      </c>
      <c r="B29596" s="38" t="n">
        <v>51</v>
      </c>
      <c r="C29596" s="7" t="n">
        <v>4</v>
      </c>
      <c r="D29596" s="7" t="n">
        <v>9</v>
      </c>
      <c r="E29596" s="7" t="s">
        <v>491</v>
      </c>
    </row>
    <row r="29597" spans="1:18">
      <c r="A29597" t="s">
        <v>4</v>
      </c>
      <c r="B29597" s="4" t="s">
        <v>5</v>
      </c>
      <c r="C29597" s="4" t="s">
        <v>11</v>
      </c>
    </row>
    <row r="29598" spans="1:18">
      <c r="A29598" t="n">
        <v>288623</v>
      </c>
      <c r="B29598" s="29" t="n">
        <v>16</v>
      </c>
      <c r="C29598" s="7" t="n">
        <v>0</v>
      </c>
    </row>
    <row r="29599" spans="1:18">
      <c r="A29599" t="s">
        <v>4</v>
      </c>
      <c r="B29599" s="4" t="s">
        <v>5</v>
      </c>
      <c r="C29599" s="4" t="s">
        <v>11</v>
      </c>
      <c r="D29599" s="4" t="s">
        <v>7</v>
      </c>
      <c r="E29599" s="4" t="s">
        <v>15</v>
      </c>
      <c r="F29599" s="4" t="s">
        <v>55</v>
      </c>
      <c r="G29599" s="4" t="s">
        <v>7</v>
      </c>
      <c r="H29599" s="4" t="s">
        <v>7</v>
      </c>
    </row>
    <row r="29600" spans="1:18">
      <c r="A29600" t="n">
        <v>288626</v>
      </c>
      <c r="B29600" s="55" t="n">
        <v>26</v>
      </c>
      <c r="C29600" s="7" t="n">
        <v>9</v>
      </c>
      <c r="D29600" s="7" t="n">
        <v>17</v>
      </c>
      <c r="E29600" s="7" t="n">
        <v>5816</v>
      </c>
      <c r="F29600" s="7" t="s">
        <v>697</v>
      </c>
      <c r="G29600" s="7" t="n">
        <v>2</v>
      </c>
      <c r="H29600" s="7" t="n">
        <v>0</v>
      </c>
    </row>
    <row r="29601" spans="1:18">
      <c r="A29601" t="s">
        <v>4</v>
      </c>
      <c r="B29601" s="4" t="s">
        <v>5</v>
      </c>
    </row>
    <row r="29602" spans="1:18">
      <c r="A29602" t="n">
        <v>288657</v>
      </c>
      <c r="B29602" s="27" t="n">
        <v>28</v>
      </c>
    </row>
    <row r="29603" spans="1:18">
      <c r="A29603" t="s">
        <v>4</v>
      </c>
      <c r="B29603" s="4" t="s">
        <v>5</v>
      </c>
      <c r="C29603" s="4" t="s">
        <v>11</v>
      </c>
    </row>
    <row r="29604" spans="1:18">
      <c r="A29604" t="n">
        <v>288658</v>
      </c>
      <c r="B29604" s="29" t="n">
        <v>16</v>
      </c>
      <c r="C29604" s="7" t="n">
        <v>1000</v>
      </c>
    </row>
    <row r="29605" spans="1:18">
      <c r="A29605" t="s">
        <v>4</v>
      </c>
      <c r="B29605" s="4" t="s">
        <v>5</v>
      </c>
      <c r="C29605" s="4" t="s">
        <v>7</v>
      </c>
      <c r="D29605" s="4" t="s">
        <v>13</v>
      </c>
      <c r="E29605" s="4" t="s">
        <v>11</v>
      </c>
      <c r="F29605" s="4" t="s">
        <v>7</v>
      </c>
    </row>
    <row r="29606" spans="1:18">
      <c r="A29606" t="n">
        <v>288661</v>
      </c>
      <c r="B29606" s="13" t="n">
        <v>49</v>
      </c>
      <c r="C29606" s="7" t="n">
        <v>3</v>
      </c>
      <c r="D29606" s="7" t="n">
        <v>1</v>
      </c>
      <c r="E29606" s="7" t="n">
        <v>1000</v>
      </c>
      <c r="F29606" s="7" t="n">
        <v>0</v>
      </c>
    </row>
    <row r="29607" spans="1:18">
      <c r="A29607" t="s">
        <v>4</v>
      </c>
      <c r="B29607" s="4" t="s">
        <v>5</v>
      </c>
      <c r="C29607" s="4" t="s">
        <v>7</v>
      </c>
      <c r="D29607" s="4" t="s">
        <v>11</v>
      </c>
      <c r="E29607" s="4" t="s">
        <v>13</v>
      </c>
    </row>
    <row r="29608" spans="1:18">
      <c r="A29608" t="n">
        <v>288670</v>
      </c>
      <c r="B29608" s="23" t="n">
        <v>58</v>
      </c>
      <c r="C29608" s="7" t="n">
        <v>101</v>
      </c>
      <c r="D29608" s="7" t="n">
        <v>1000</v>
      </c>
      <c r="E29608" s="7" t="n">
        <v>1</v>
      </c>
    </row>
    <row r="29609" spans="1:18">
      <c r="A29609" t="s">
        <v>4</v>
      </c>
      <c r="B29609" s="4" t="s">
        <v>5</v>
      </c>
      <c r="C29609" s="4" t="s">
        <v>7</v>
      </c>
      <c r="D29609" s="4" t="s">
        <v>11</v>
      </c>
    </row>
    <row r="29610" spans="1:18">
      <c r="A29610" t="n">
        <v>288678</v>
      </c>
      <c r="B29610" s="23" t="n">
        <v>58</v>
      </c>
      <c r="C29610" s="7" t="n">
        <v>254</v>
      </c>
      <c r="D29610" s="7" t="n">
        <v>0</v>
      </c>
    </row>
    <row r="29611" spans="1:18">
      <c r="A29611" t="s">
        <v>4</v>
      </c>
      <c r="B29611" s="4" t="s">
        <v>5</v>
      </c>
      <c r="C29611" s="4" t="s">
        <v>7</v>
      </c>
      <c r="D29611" s="4" t="s">
        <v>11</v>
      </c>
      <c r="E29611" s="4" t="s">
        <v>8</v>
      </c>
      <c r="F29611" s="4" t="s">
        <v>8</v>
      </c>
      <c r="G29611" s="4" t="s">
        <v>8</v>
      </c>
      <c r="H29611" s="4" t="s">
        <v>8</v>
      </c>
    </row>
    <row r="29612" spans="1:18">
      <c r="A29612" t="n">
        <v>288682</v>
      </c>
      <c r="B29612" s="38" t="n">
        <v>51</v>
      </c>
      <c r="C29612" s="7" t="n">
        <v>3</v>
      </c>
      <c r="D29612" s="7" t="n">
        <v>0</v>
      </c>
      <c r="E29612" s="7" t="s">
        <v>86</v>
      </c>
      <c r="F29612" s="7" t="s">
        <v>99</v>
      </c>
      <c r="G29612" s="7" t="s">
        <v>78</v>
      </c>
      <c r="H29612" s="7" t="s">
        <v>79</v>
      </c>
    </row>
    <row r="29613" spans="1:18">
      <c r="A29613" t="s">
        <v>4</v>
      </c>
      <c r="B29613" s="4" t="s">
        <v>5</v>
      </c>
      <c r="C29613" s="4" t="s">
        <v>7</v>
      </c>
    </row>
    <row r="29614" spans="1:18">
      <c r="A29614" t="n">
        <v>288695</v>
      </c>
      <c r="B29614" s="49" t="n">
        <v>116</v>
      </c>
      <c r="C29614" s="7" t="n">
        <v>0</v>
      </c>
    </row>
    <row r="29615" spans="1:18">
      <c r="A29615" t="s">
        <v>4</v>
      </c>
      <c r="B29615" s="4" t="s">
        <v>5</v>
      </c>
      <c r="C29615" s="4" t="s">
        <v>7</v>
      </c>
      <c r="D29615" s="4" t="s">
        <v>11</v>
      </c>
    </row>
    <row r="29616" spans="1:18">
      <c r="A29616" t="n">
        <v>288697</v>
      </c>
      <c r="B29616" s="49" t="n">
        <v>116</v>
      </c>
      <c r="C29616" s="7" t="n">
        <v>2</v>
      </c>
      <c r="D29616" s="7" t="n">
        <v>1</v>
      </c>
    </row>
    <row r="29617" spans="1:8">
      <c r="A29617" t="s">
        <v>4</v>
      </c>
      <c r="B29617" s="4" t="s">
        <v>5</v>
      </c>
      <c r="C29617" s="4" t="s">
        <v>7</v>
      </c>
      <c r="D29617" s="4" t="s">
        <v>15</v>
      </c>
    </row>
    <row r="29618" spans="1:8">
      <c r="A29618" t="n">
        <v>288701</v>
      </c>
      <c r="B29618" s="49" t="n">
        <v>116</v>
      </c>
      <c r="C29618" s="7" t="n">
        <v>5</v>
      </c>
      <c r="D29618" s="7" t="n">
        <v>1092616192</v>
      </c>
    </row>
    <row r="29619" spans="1:8">
      <c r="A29619" t="s">
        <v>4</v>
      </c>
      <c r="B29619" s="4" t="s">
        <v>5</v>
      </c>
      <c r="C29619" s="4" t="s">
        <v>7</v>
      </c>
      <c r="D29619" s="4" t="s">
        <v>11</v>
      </c>
    </row>
    <row r="29620" spans="1:8">
      <c r="A29620" t="n">
        <v>288707</v>
      </c>
      <c r="B29620" s="49" t="n">
        <v>116</v>
      </c>
      <c r="C29620" s="7" t="n">
        <v>6</v>
      </c>
      <c r="D29620" s="7" t="n">
        <v>1</v>
      </c>
    </row>
    <row r="29621" spans="1:8">
      <c r="A29621" t="s">
        <v>4</v>
      </c>
      <c r="B29621" s="4" t="s">
        <v>5</v>
      </c>
      <c r="C29621" s="4" t="s">
        <v>11</v>
      </c>
      <c r="D29621" s="4" t="s">
        <v>13</v>
      </c>
      <c r="E29621" s="4" t="s">
        <v>13</v>
      </c>
      <c r="F29621" s="4" t="s">
        <v>13</v>
      </c>
      <c r="G29621" s="4" t="s">
        <v>13</v>
      </c>
    </row>
    <row r="29622" spans="1:8">
      <c r="A29622" t="n">
        <v>288711</v>
      </c>
      <c r="B29622" s="36" t="n">
        <v>46</v>
      </c>
      <c r="C29622" s="7" t="n">
        <v>9</v>
      </c>
      <c r="D29622" s="7" t="n">
        <v>-7.51000022888184</v>
      </c>
      <c r="E29622" s="7" t="n">
        <v>5</v>
      </c>
      <c r="F29622" s="7" t="n">
        <v>29.7900009155273</v>
      </c>
      <c r="G29622" s="7" t="n">
        <v>83.9000015258789</v>
      </c>
    </row>
    <row r="29623" spans="1:8">
      <c r="A29623" t="s">
        <v>4</v>
      </c>
      <c r="B29623" s="4" t="s">
        <v>5</v>
      </c>
      <c r="C29623" s="4" t="s">
        <v>7</v>
      </c>
      <c r="D29623" s="4" t="s">
        <v>7</v>
      </c>
      <c r="E29623" s="4" t="s">
        <v>13</v>
      </c>
      <c r="F29623" s="4" t="s">
        <v>13</v>
      </c>
      <c r="G29623" s="4" t="s">
        <v>13</v>
      </c>
      <c r="H29623" s="4" t="s">
        <v>11</v>
      </c>
    </row>
    <row r="29624" spans="1:8">
      <c r="A29624" t="n">
        <v>288730</v>
      </c>
      <c r="B29624" s="51" t="n">
        <v>45</v>
      </c>
      <c r="C29624" s="7" t="n">
        <v>2</v>
      </c>
      <c r="D29624" s="7" t="n">
        <v>3</v>
      </c>
      <c r="E29624" s="7" t="n">
        <v>-6.67000007629395</v>
      </c>
      <c r="F29624" s="7" t="n">
        <v>6.28000020980835</v>
      </c>
      <c r="G29624" s="7" t="n">
        <v>29.8700008392334</v>
      </c>
      <c r="H29624" s="7" t="n">
        <v>0</v>
      </c>
    </row>
    <row r="29625" spans="1:8">
      <c r="A29625" t="s">
        <v>4</v>
      </c>
      <c r="B29625" s="4" t="s">
        <v>5</v>
      </c>
      <c r="C29625" s="4" t="s">
        <v>7</v>
      </c>
      <c r="D29625" s="4" t="s">
        <v>7</v>
      </c>
      <c r="E29625" s="4" t="s">
        <v>13</v>
      </c>
      <c r="F29625" s="4" t="s">
        <v>13</v>
      </c>
      <c r="G29625" s="4" t="s">
        <v>13</v>
      </c>
      <c r="H29625" s="4" t="s">
        <v>11</v>
      </c>
      <c r="I29625" s="4" t="s">
        <v>7</v>
      </c>
    </row>
    <row r="29626" spans="1:8">
      <c r="A29626" t="n">
        <v>288747</v>
      </c>
      <c r="B29626" s="51" t="n">
        <v>45</v>
      </c>
      <c r="C29626" s="7" t="n">
        <v>4</v>
      </c>
      <c r="D29626" s="7" t="n">
        <v>3</v>
      </c>
      <c r="E29626" s="7" t="n">
        <v>1.75</v>
      </c>
      <c r="F29626" s="7" t="n">
        <v>297.660003662109</v>
      </c>
      <c r="G29626" s="7" t="n">
        <v>354.130004882813</v>
      </c>
      <c r="H29626" s="7" t="n">
        <v>0</v>
      </c>
      <c r="I29626" s="7" t="n">
        <v>0</v>
      </c>
    </row>
    <row r="29627" spans="1:8">
      <c r="A29627" t="s">
        <v>4</v>
      </c>
      <c r="B29627" s="4" t="s">
        <v>5</v>
      </c>
      <c r="C29627" s="4" t="s">
        <v>7</v>
      </c>
      <c r="D29627" s="4" t="s">
        <v>7</v>
      </c>
      <c r="E29627" s="4" t="s">
        <v>13</v>
      </c>
      <c r="F29627" s="4" t="s">
        <v>11</v>
      </c>
    </row>
    <row r="29628" spans="1:8">
      <c r="A29628" t="n">
        <v>288765</v>
      </c>
      <c r="B29628" s="51" t="n">
        <v>45</v>
      </c>
      <c r="C29628" s="7" t="n">
        <v>5</v>
      </c>
      <c r="D29628" s="7" t="n">
        <v>3</v>
      </c>
      <c r="E29628" s="7" t="n">
        <v>1.60000002384186</v>
      </c>
      <c r="F29628" s="7" t="n">
        <v>0</v>
      </c>
    </row>
    <row r="29629" spans="1:8">
      <c r="A29629" t="s">
        <v>4</v>
      </c>
      <c r="B29629" s="4" t="s">
        <v>5</v>
      </c>
      <c r="C29629" s="4" t="s">
        <v>7</v>
      </c>
      <c r="D29629" s="4" t="s">
        <v>7</v>
      </c>
      <c r="E29629" s="4" t="s">
        <v>13</v>
      </c>
      <c r="F29629" s="4" t="s">
        <v>11</v>
      </c>
    </row>
    <row r="29630" spans="1:8">
      <c r="A29630" t="n">
        <v>288774</v>
      </c>
      <c r="B29630" s="51" t="n">
        <v>45</v>
      </c>
      <c r="C29630" s="7" t="n">
        <v>11</v>
      </c>
      <c r="D29630" s="7" t="n">
        <v>3</v>
      </c>
      <c r="E29630" s="7" t="n">
        <v>40.2999992370605</v>
      </c>
      <c r="F29630" s="7" t="n">
        <v>0</v>
      </c>
    </row>
    <row r="29631" spans="1:8">
      <c r="A29631" t="s">
        <v>4</v>
      </c>
      <c r="B29631" s="4" t="s">
        <v>5</v>
      </c>
      <c r="C29631" s="4" t="s">
        <v>7</v>
      </c>
      <c r="D29631" s="4" t="s">
        <v>7</v>
      </c>
      <c r="E29631" s="4" t="s">
        <v>13</v>
      </c>
      <c r="F29631" s="4" t="s">
        <v>13</v>
      </c>
      <c r="G29631" s="4" t="s">
        <v>13</v>
      </c>
      <c r="H29631" s="4" t="s">
        <v>11</v>
      </c>
    </row>
    <row r="29632" spans="1:8">
      <c r="A29632" t="n">
        <v>288783</v>
      </c>
      <c r="B29632" s="51" t="n">
        <v>45</v>
      </c>
      <c r="C29632" s="7" t="n">
        <v>2</v>
      </c>
      <c r="D29632" s="7" t="n">
        <v>3</v>
      </c>
      <c r="E29632" s="7" t="n">
        <v>-7.28999996185303</v>
      </c>
      <c r="F29632" s="7" t="n">
        <v>6.38000011444092</v>
      </c>
      <c r="G29632" s="7" t="n">
        <v>28.5100002288818</v>
      </c>
      <c r="H29632" s="7" t="n">
        <v>6000</v>
      </c>
    </row>
    <row r="29633" spans="1:9">
      <c r="A29633" t="s">
        <v>4</v>
      </c>
      <c r="B29633" s="4" t="s">
        <v>5</v>
      </c>
      <c r="C29633" s="4" t="s">
        <v>7</v>
      </c>
      <c r="D29633" s="4" t="s">
        <v>7</v>
      </c>
      <c r="E29633" s="4" t="s">
        <v>13</v>
      </c>
      <c r="F29633" s="4" t="s">
        <v>13</v>
      </c>
      <c r="G29633" s="4" t="s">
        <v>13</v>
      </c>
      <c r="H29633" s="4" t="s">
        <v>11</v>
      </c>
      <c r="I29633" s="4" t="s">
        <v>7</v>
      </c>
    </row>
    <row r="29634" spans="1:9">
      <c r="A29634" t="n">
        <v>288800</v>
      </c>
      <c r="B29634" s="51" t="n">
        <v>45</v>
      </c>
      <c r="C29634" s="7" t="n">
        <v>4</v>
      </c>
      <c r="D29634" s="7" t="n">
        <v>3</v>
      </c>
      <c r="E29634" s="7" t="n">
        <v>1.75</v>
      </c>
      <c r="F29634" s="7" t="n">
        <v>324.200012207031</v>
      </c>
      <c r="G29634" s="7" t="n">
        <v>354.130004882813</v>
      </c>
      <c r="H29634" s="7" t="n">
        <v>6000</v>
      </c>
      <c r="I29634" s="7" t="n">
        <v>1</v>
      </c>
    </row>
    <row r="29635" spans="1:9">
      <c r="A29635" t="s">
        <v>4</v>
      </c>
      <c r="B29635" s="4" t="s">
        <v>5</v>
      </c>
      <c r="C29635" s="4" t="s">
        <v>7</v>
      </c>
      <c r="D29635" s="4" t="s">
        <v>7</v>
      </c>
      <c r="E29635" s="4" t="s">
        <v>13</v>
      </c>
      <c r="F29635" s="4" t="s">
        <v>11</v>
      </c>
    </row>
    <row r="29636" spans="1:9">
      <c r="A29636" t="n">
        <v>288818</v>
      </c>
      <c r="B29636" s="51" t="n">
        <v>45</v>
      </c>
      <c r="C29636" s="7" t="n">
        <v>5</v>
      </c>
      <c r="D29636" s="7" t="n">
        <v>3</v>
      </c>
      <c r="E29636" s="7" t="n">
        <v>1.89999997615814</v>
      </c>
      <c r="F29636" s="7" t="n">
        <v>6000</v>
      </c>
    </row>
    <row r="29637" spans="1:9">
      <c r="A29637" t="s">
        <v>4</v>
      </c>
      <c r="B29637" s="4" t="s">
        <v>5</v>
      </c>
      <c r="C29637" s="4" t="s">
        <v>7</v>
      </c>
      <c r="D29637" s="4" t="s">
        <v>7</v>
      </c>
      <c r="E29637" s="4" t="s">
        <v>13</v>
      </c>
      <c r="F29637" s="4" t="s">
        <v>11</v>
      </c>
    </row>
    <row r="29638" spans="1:9">
      <c r="A29638" t="n">
        <v>288827</v>
      </c>
      <c r="B29638" s="51" t="n">
        <v>45</v>
      </c>
      <c r="C29638" s="7" t="n">
        <v>11</v>
      </c>
      <c r="D29638" s="7" t="n">
        <v>3</v>
      </c>
      <c r="E29638" s="7" t="n">
        <v>40.2999992370605</v>
      </c>
      <c r="F29638" s="7" t="n">
        <v>6000</v>
      </c>
    </row>
    <row r="29639" spans="1:9">
      <c r="A29639" t="s">
        <v>4</v>
      </c>
      <c r="B29639" s="4" t="s">
        <v>5</v>
      </c>
      <c r="C29639" s="4" t="s">
        <v>7</v>
      </c>
      <c r="D29639" s="4" t="s">
        <v>11</v>
      </c>
    </row>
    <row r="29640" spans="1:9">
      <c r="A29640" t="n">
        <v>288836</v>
      </c>
      <c r="B29640" s="23" t="n">
        <v>58</v>
      </c>
      <c r="C29640" s="7" t="n">
        <v>255</v>
      </c>
      <c r="D29640" s="7" t="n">
        <v>0</v>
      </c>
    </row>
    <row r="29641" spans="1:9">
      <c r="A29641" t="s">
        <v>4</v>
      </c>
      <c r="B29641" s="4" t="s">
        <v>5</v>
      </c>
      <c r="C29641" s="4" t="s">
        <v>7</v>
      </c>
      <c r="D29641" s="4" t="s">
        <v>11</v>
      </c>
    </row>
    <row r="29642" spans="1:9">
      <c r="A29642" t="n">
        <v>288840</v>
      </c>
      <c r="B29642" s="51" t="n">
        <v>45</v>
      </c>
      <c r="C29642" s="7" t="n">
        <v>7</v>
      </c>
      <c r="D29642" s="7" t="n">
        <v>255</v>
      </c>
    </row>
    <row r="29643" spans="1:9">
      <c r="A29643" t="s">
        <v>4</v>
      </c>
      <c r="B29643" s="4" t="s">
        <v>5</v>
      </c>
      <c r="C29643" s="4" t="s">
        <v>7</v>
      </c>
      <c r="D29643" s="4" t="s">
        <v>11</v>
      </c>
      <c r="E29643" s="4" t="s">
        <v>13</v>
      </c>
    </row>
    <row r="29644" spans="1:9">
      <c r="A29644" t="n">
        <v>288844</v>
      </c>
      <c r="B29644" s="23" t="n">
        <v>58</v>
      </c>
      <c r="C29644" s="7" t="n">
        <v>0</v>
      </c>
      <c r="D29644" s="7" t="n">
        <v>2000</v>
      </c>
      <c r="E29644" s="7" t="n">
        <v>1</v>
      </c>
    </row>
    <row r="29645" spans="1:9">
      <c r="A29645" t="s">
        <v>4</v>
      </c>
      <c r="B29645" s="4" t="s">
        <v>5</v>
      </c>
      <c r="C29645" s="4" t="s">
        <v>7</v>
      </c>
      <c r="D29645" s="4" t="s">
        <v>11</v>
      </c>
    </row>
    <row r="29646" spans="1:9">
      <c r="A29646" t="n">
        <v>288852</v>
      </c>
      <c r="B29646" s="23" t="n">
        <v>58</v>
      </c>
      <c r="C29646" s="7" t="n">
        <v>255</v>
      </c>
      <c r="D29646" s="7" t="n">
        <v>0</v>
      </c>
    </row>
    <row r="29647" spans="1:9">
      <c r="A29647" t="s">
        <v>4</v>
      </c>
      <c r="B29647" s="4" t="s">
        <v>5</v>
      </c>
      <c r="C29647" s="4" t="s">
        <v>7</v>
      </c>
      <c r="D29647" s="4" t="s">
        <v>11</v>
      </c>
      <c r="E29647" s="4" t="s">
        <v>11</v>
      </c>
      <c r="F29647" s="4" t="s">
        <v>15</v>
      </c>
    </row>
    <row r="29648" spans="1:9">
      <c r="A29648" t="n">
        <v>288856</v>
      </c>
      <c r="B29648" s="76" t="n">
        <v>84</v>
      </c>
      <c r="C29648" s="7" t="n">
        <v>1</v>
      </c>
      <c r="D29648" s="7" t="n">
        <v>0</v>
      </c>
      <c r="E29648" s="7" t="n">
        <v>0</v>
      </c>
      <c r="F29648" s="7" t="n">
        <v>0</v>
      </c>
    </row>
    <row r="29649" spans="1:9">
      <c r="A29649" t="s">
        <v>4</v>
      </c>
      <c r="B29649" s="4" t="s">
        <v>5</v>
      </c>
      <c r="C29649" s="4" t="s">
        <v>7</v>
      </c>
    </row>
    <row r="29650" spans="1:9">
      <c r="A29650" t="n">
        <v>288866</v>
      </c>
      <c r="B29650" s="28" t="n">
        <v>78</v>
      </c>
      <c r="C29650" s="7" t="n">
        <v>255</v>
      </c>
    </row>
    <row r="29651" spans="1:9">
      <c r="A29651" t="s">
        <v>4</v>
      </c>
      <c r="B29651" s="4" t="s">
        <v>5</v>
      </c>
      <c r="C29651" s="4" t="s">
        <v>7</v>
      </c>
      <c r="D29651" s="4" t="s">
        <v>11</v>
      </c>
      <c r="E29651" s="4" t="s">
        <v>7</v>
      </c>
    </row>
    <row r="29652" spans="1:9">
      <c r="A29652" t="n">
        <v>288868</v>
      </c>
      <c r="B29652" s="40" t="n">
        <v>36</v>
      </c>
      <c r="C29652" s="7" t="n">
        <v>9</v>
      </c>
      <c r="D29652" s="7" t="n">
        <v>0</v>
      </c>
      <c r="E29652" s="7" t="n">
        <v>0</v>
      </c>
    </row>
    <row r="29653" spans="1:9">
      <c r="A29653" t="s">
        <v>4</v>
      </c>
      <c r="B29653" s="4" t="s">
        <v>5</v>
      </c>
      <c r="C29653" s="4" t="s">
        <v>7</v>
      </c>
      <c r="D29653" s="4" t="s">
        <v>11</v>
      </c>
      <c r="E29653" s="4" t="s">
        <v>7</v>
      </c>
    </row>
    <row r="29654" spans="1:9">
      <c r="A29654" t="n">
        <v>288873</v>
      </c>
      <c r="B29654" s="40" t="n">
        <v>36</v>
      </c>
      <c r="C29654" s="7" t="n">
        <v>9</v>
      </c>
      <c r="D29654" s="7" t="n">
        <v>9</v>
      </c>
      <c r="E29654" s="7" t="n">
        <v>0</v>
      </c>
    </row>
    <row r="29655" spans="1:9">
      <c r="A29655" t="s">
        <v>4</v>
      </c>
      <c r="B29655" s="4" t="s">
        <v>5</v>
      </c>
      <c r="C29655" s="4" t="s">
        <v>7</v>
      </c>
      <c r="D29655" s="4" t="s">
        <v>11</v>
      </c>
      <c r="E29655" s="4" t="s">
        <v>11</v>
      </c>
      <c r="F29655" s="4" t="s">
        <v>15</v>
      </c>
      <c r="G29655" s="4" t="s">
        <v>15</v>
      </c>
      <c r="H29655" s="4" t="s">
        <v>15</v>
      </c>
    </row>
    <row r="29656" spans="1:9">
      <c r="A29656" t="n">
        <v>288878</v>
      </c>
      <c r="B29656" s="77" t="n">
        <v>97</v>
      </c>
      <c r="C29656" s="7" t="n">
        <v>7</v>
      </c>
      <c r="D29656" s="7" t="n">
        <v>0</v>
      </c>
      <c r="E29656" s="7" t="n">
        <v>0</v>
      </c>
      <c r="F29656" s="7" t="n">
        <v>0</v>
      </c>
      <c r="G29656" s="7" t="n">
        <v>0</v>
      </c>
      <c r="H29656" s="7" t="n">
        <v>0</v>
      </c>
    </row>
    <row r="29657" spans="1:9">
      <c r="A29657" t="s">
        <v>4</v>
      </c>
      <c r="B29657" s="4" t="s">
        <v>5</v>
      </c>
      <c r="C29657" s="4" t="s">
        <v>11</v>
      </c>
      <c r="D29657" s="4" t="s">
        <v>13</v>
      </c>
      <c r="E29657" s="4" t="s">
        <v>13</v>
      </c>
      <c r="F29657" s="4" t="s">
        <v>13</v>
      </c>
      <c r="G29657" s="4" t="s">
        <v>13</v>
      </c>
    </row>
    <row r="29658" spans="1:9">
      <c r="A29658" t="n">
        <v>288896</v>
      </c>
      <c r="B29658" s="36" t="n">
        <v>46</v>
      </c>
      <c r="C29658" s="7" t="n">
        <v>61456</v>
      </c>
      <c r="D29658" s="7" t="n">
        <v>0</v>
      </c>
      <c r="E29658" s="7" t="n">
        <v>0</v>
      </c>
      <c r="F29658" s="7" t="n">
        <v>0</v>
      </c>
      <c r="G29658" s="7" t="n">
        <v>0</v>
      </c>
    </row>
    <row r="29659" spans="1:9">
      <c r="A29659" t="s">
        <v>4</v>
      </c>
      <c r="B29659" s="4" t="s">
        <v>5</v>
      </c>
      <c r="C29659" s="4" t="s">
        <v>7</v>
      </c>
      <c r="D29659" s="4" t="s">
        <v>8</v>
      </c>
    </row>
    <row r="29660" spans="1:9">
      <c r="A29660" t="n">
        <v>288915</v>
      </c>
      <c r="B29660" s="6" t="n">
        <v>2</v>
      </c>
      <c r="C29660" s="7" t="n">
        <v>10</v>
      </c>
      <c r="D29660" s="7" t="s">
        <v>1834</v>
      </c>
    </row>
    <row r="29661" spans="1:9">
      <c r="A29661" t="s">
        <v>4</v>
      </c>
      <c r="B29661" s="4" t="s">
        <v>5</v>
      </c>
    </row>
    <row r="29662" spans="1:9">
      <c r="A29662" t="n">
        <v>288936</v>
      </c>
      <c r="B29662" s="5" t="n">
        <v>1</v>
      </c>
    </row>
    <row r="29663" spans="1:9" s="3" customFormat="1" customHeight="0">
      <c r="A29663" s="3" t="s">
        <v>2</v>
      </c>
      <c r="B29663" s="3" t="s">
        <v>1843</v>
      </c>
    </row>
    <row r="29664" spans="1:9">
      <c r="A29664" t="s">
        <v>4</v>
      </c>
      <c r="B29664" s="4" t="s">
        <v>5</v>
      </c>
      <c r="C29664" s="4" t="s">
        <v>7</v>
      </c>
      <c r="D29664" s="4" t="s">
        <v>7</v>
      </c>
      <c r="E29664" s="4" t="s">
        <v>7</v>
      </c>
      <c r="F29664" s="4" t="s">
        <v>7</v>
      </c>
    </row>
    <row r="29665" spans="1:8">
      <c r="A29665" t="n">
        <v>288940</v>
      </c>
      <c r="B29665" s="9" t="n">
        <v>14</v>
      </c>
      <c r="C29665" s="7" t="n">
        <v>2</v>
      </c>
      <c r="D29665" s="7" t="n">
        <v>0</v>
      </c>
      <c r="E29665" s="7" t="n">
        <v>0</v>
      </c>
      <c r="F29665" s="7" t="n">
        <v>0</v>
      </c>
    </row>
    <row r="29666" spans="1:8">
      <c r="A29666" t="s">
        <v>4</v>
      </c>
      <c r="B29666" s="4" t="s">
        <v>5</v>
      </c>
      <c r="C29666" s="4" t="s">
        <v>7</v>
      </c>
      <c r="D29666" s="20" t="s">
        <v>35</v>
      </c>
      <c r="E29666" s="4" t="s">
        <v>5</v>
      </c>
      <c r="F29666" s="4" t="s">
        <v>7</v>
      </c>
      <c r="G29666" s="4" t="s">
        <v>11</v>
      </c>
      <c r="H29666" s="20" t="s">
        <v>36</v>
      </c>
      <c r="I29666" s="4" t="s">
        <v>7</v>
      </c>
      <c r="J29666" s="4" t="s">
        <v>15</v>
      </c>
      <c r="K29666" s="4" t="s">
        <v>7</v>
      </c>
      <c r="L29666" s="4" t="s">
        <v>7</v>
      </c>
      <c r="M29666" s="20" t="s">
        <v>35</v>
      </c>
      <c r="N29666" s="4" t="s">
        <v>5</v>
      </c>
      <c r="O29666" s="4" t="s">
        <v>7</v>
      </c>
      <c r="P29666" s="4" t="s">
        <v>11</v>
      </c>
      <c r="Q29666" s="20" t="s">
        <v>36</v>
      </c>
      <c r="R29666" s="4" t="s">
        <v>7</v>
      </c>
      <c r="S29666" s="4" t="s">
        <v>15</v>
      </c>
      <c r="T29666" s="4" t="s">
        <v>7</v>
      </c>
      <c r="U29666" s="4" t="s">
        <v>7</v>
      </c>
      <c r="V29666" s="4" t="s">
        <v>7</v>
      </c>
      <c r="W29666" s="4" t="s">
        <v>12</v>
      </c>
    </row>
    <row r="29667" spans="1:8">
      <c r="A29667" t="n">
        <v>288945</v>
      </c>
      <c r="B29667" s="10" t="n">
        <v>5</v>
      </c>
      <c r="C29667" s="7" t="n">
        <v>28</v>
      </c>
      <c r="D29667" s="20" t="s">
        <v>3</v>
      </c>
      <c r="E29667" s="8" t="n">
        <v>162</v>
      </c>
      <c r="F29667" s="7" t="n">
        <v>3</v>
      </c>
      <c r="G29667" s="7" t="n">
        <v>36891</v>
      </c>
      <c r="H29667" s="20" t="s">
        <v>3</v>
      </c>
      <c r="I29667" s="7" t="n">
        <v>0</v>
      </c>
      <c r="J29667" s="7" t="n">
        <v>1</v>
      </c>
      <c r="K29667" s="7" t="n">
        <v>2</v>
      </c>
      <c r="L29667" s="7" t="n">
        <v>28</v>
      </c>
      <c r="M29667" s="20" t="s">
        <v>3</v>
      </c>
      <c r="N29667" s="8" t="n">
        <v>162</v>
      </c>
      <c r="O29667" s="7" t="n">
        <v>3</v>
      </c>
      <c r="P29667" s="7" t="n">
        <v>36891</v>
      </c>
      <c r="Q29667" s="20" t="s">
        <v>3</v>
      </c>
      <c r="R29667" s="7" t="n">
        <v>0</v>
      </c>
      <c r="S29667" s="7" t="n">
        <v>2</v>
      </c>
      <c r="T29667" s="7" t="n">
        <v>2</v>
      </c>
      <c r="U29667" s="7" t="n">
        <v>11</v>
      </c>
      <c r="V29667" s="7" t="n">
        <v>1</v>
      </c>
      <c r="W29667" s="11" t="n">
        <f t="normal" ca="1">A29671</f>
        <v>0</v>
      </c>
    </row>
    <row r="29668" spans="1:8">
      <c r="A29668" t="s">
        <v>4</v>
      </c>
      <c r="B29668" s="4" t="s">
        <v>5</v>
      </c>
      <c r="C29668" s="4" t="s">
        <v>7</v>
      </c>
      <c r="D29668" s="4" t="s">
        <v>11</v>
      </c>
      <c r="E29668" s="4" t="s">
        <v>13</v>
      </c>
    </row>
    <row r="29669" spans="1:8">
      <c r="A29669" t="n">
        <v>288974</v>
      </c>
      <c r="B29669" s="23" t="n">
        <v>58</v>
      </c>
      <c r="C29669" s="7" t="n">
        <v>0</v>
      </c>
      <c r="D29669" s="7" t="n">
        <v>0</v>
      </c>
      <c r="E29669" s="7" t="n">
        <v>1</v>
      </c>
    </row>
    <row r="29670" spans="1:8">
      <c r="A29670" t="s">
        <v>4</v>
      </c>
      <c r="B29670" s="4" t="s">
        <v>5</v>
      </c>
      <c r="C29670" s="4" t="s">
        <v>7</v>
      </c>
      <c r="D29670" s="20" t="s">
        <v>35</v>
      </c>
      <c r="E29670" s="4" t="s">
        <v>5</v>
      </c>
      <c r="F29670" s="4" t="s">
        <v>7</v>
      </c>
      <c r="G29670" s="4" t="s">
        <v>11</v>
      </c>
      <c r="H29670" s="20" t="s">
        <v>36</v>
      </c>
      <c r="I29670" s="4" t="s">
        <v>7</v>
      </c>
      <c r="J29670" s="4" t="s">
        <v>15</v>
      </c>
      <c r="K29670" s="4" t="s">
        <v>7</v>
      </c>
      <c r="L29670" s="4" t="s">
        <v>7</v>
      </c>
      <c r="M29670" s="20" t="s">
        <v>35</v>
      </c>
      <c r="N29670" s="4" t="s">
        <v>5</v>
      </c>
      <c r="O29670" s="4" t="s">
        <v>7</v>
      </c>
      <c r="P29670" s="4" t="s">
        <v>11</v>
      </c>
      <c r="Q29670" s="20" t="s">
        <v>36</v>
      </c>
      <c r="R29670" s="4" t="s">
        <v>7</v>
      </c>
      <c r="S29670" s="4" t="s">
        <v>15</v>
      </c>
      <c r="T29670" s="4" t="s">
        <v>7</v>
      </c>
      <c r="U29670" s="4" t="s">
        <v>7</v>
      </c>
      <c r="V29670" s="4" t="s">
        <v>7</v>
      </c>
      <c r="W29670" s="4" t="s">
        <v>12</v>
      </c>
    </row>
    <row r="29671" spans="1:8">
      <c r="A29671" t="n">
        <v>288982</v>
      </c>
      <c r="B29671" s="10" t="n">
        <v>5</v>
      </c>
      <c r="C29671" s="7" t="n">
        <v>28</v>
      </c>
      <c r="D29671" s="20" t="s">
        <v>3</v>
      </c>
      <c r="E29671" s="8" t="n">
        <v>162</v>
      </c>
      <c r="F29671" s="7" t="n">
        <v>3</v>
      </c>
      <c r="G29671" s="7" t="n">
        <v>36891</v>
      </c>
      <c r="H29671" s="20" t="s">
        <v>3</v>
      </c>
      <c r="I29671" s="7" t="n">
        <v>0</v>
      </c>
      <c r="J29671" s="7" t="n">
        <v>1</v>
      </c>
      <c r="K29671" s="7" t="n">
        <v>3</v>
      </c>
      <c r="L29671" s="7" t="n">
        <v>28</v>
      </c>
      <c r="M29671" s="20" t="s">
        <v>3</v>
      </c>
      <c r="N29671" s="8" t="n">
        <v>162</v>
      </c>
      <c r="O29671" s="7" t="n">
        <v>3</v>
      </c>
      <c r="P29671" s="7" t="n">
        <v>36891</v>
      </c>
      <c r="Q29671" s="20" t="s">
        <v>3</v>
      </c>
      <c r="R29671" s="7" t="n">
        <v>0</v>
      </c>
      <c r="S29671" s="7" t="n">
        <v>2</v>
      </c>
      <c r="T29671" s="7" t="n">
        <v>3</v>
      </c>
      <c r="U29671" s="7" t="n">
        <v>9</v>
      </c>
      <c r="V29671" s="7" t="n">
        <v>1</v>
      </c>
      <c r="W29671" s="11" t="n">
        <f t="normal" ca="1">A29681</f>
        <v>0</v>
      </c>
    </row>
    <row r="29672" spans="1:8">
      <c r="A29672" t="s">
        <v>4</v>
      </c>
      <c r="B29672" s="4" t="s">
        <v>5</v>
      </c>
      <c r="C29672" s="4" t="s">
        <v>7</v>
      </c>
      <c r="D29672" s="20" t="s">
        <v>35</v>
      </c>
      <c r="E29672" s="4" t="s">
        <v>5</v>
      </c>
      <c r="F29672" s="4" t="s">
        <v>11</v>
      </c>
      <c r="G29672" s="4" t="s">
        <v>7</v>
      </c>
      <c r="H29672" s="4" t="s">
        <v>7</v>
      </c>
      <c r="I29672" s="4" t="s">
        <v>8</v>
      </c>
      <c r="J29672" s="20" t="s">
        <v>36</v>
      </c>
      <c r="K29672" s="4" t="s">
        <v>7</v>
      </c>
      <c r="L29672" s="4" t="s">
        <v>7</v>
      </c>
      <c r="M29672" s="20" t="s">
        <v>35</v>
      </c>
      <c r="N29672" s="4" t="s">
        <v>5</v>
      </c>
      <c r="O29672" s="4" t="s">
        <v>7</v>
      </c>
      <c r="P29672" s="20" t="s">
        <v>36</v>
      </c>
      <c r="Q29672" s="4" t="s">
        <v>7</v>
      </c>
      <c r="R29672" s="4" t="s">
        <v>15</v>
      </c>
      <c r="S29672" s="4" t="s">
        <v>7</v>
      </c>
      <c r="T29672" s="4" t="s">
        <v>7</v>
      </c>
      <c r="U29672" s="4" t="s">
        <v>7</v>
      </c>
      <c r="V29672" s="20" t="s">
        <v>35</v>
      </c>
      <c r="W29672" s="4" t="s">
        <v>5</v>
      </c>
      <c r="X29672" s="4" t="s">
        <v>7</v>
      </c>
      <c r="Y29672" s="20" t="s">
        <v>36</v>
      </c>
      <c r="Z29672" s="4" t="s">
        <v>7</v>
      </c>
      <c r="AA29672" s="4" t="s">
        <v>15</v>
      </c>
      <c r="AB29672" s="4" t="s">
        <v>7</v>
      </c>
      <c r="AC29672" s="4" t="s">
        <v>7</v>
      </c>
      <c r="AD29672" s="4" t="s">
        <v>7</v>
      </c>
      <c r="AE29672" s="4" t="s">
        <v>12</v>
      </c>
    </row>
    <row r="29673" spans="1:8">
      <c r="A29673" t="n">
        <v>289011</v>
      </c>
      <c r="B29673" s="10" t="n">
        <v>5</v>
      </c>
      <c r="C29673" s="7" t="n">
        <v>28</v>
      </c>
      <c r="D29673" s="20" t="s">
        <v>3</v>
      </c>
      <c r="E29673" s="41" t="n">
        <v>47</v>
      </c>
      <c r="F29673" s="7" t="n">
        <v>61456</v>
      </c>
      <c r="G29673" s="7" t="n">
        <v>2</v>
      </c>
      <c r="H29673" s="7" t="n">
        <v>0</v>
      </c>
      <c r="I29673" s="7" t="s">
        <v>105</v>
      </c>
      <c r="J29673" s="20" t="s">
        <v>3</v>
      </c>
      <c r="K29673" s="7" t="n">
        <v>8</v>
      </c>
      <c r="L29673" s="7" t="n">
        <v>28</v>
      </c>
      <c r="M29673" s="20" t="s">
        <v>3</v>
      </c>
      <c r="N29673" s="45" t="n">
        <v>74</v>
      </c>
      <c r="O29673" s="7" t="n">
        <v>65</v>
      </c>
      <c r="P29673" s="20" t="s">
        <v>3</v>
      </c>
      <c r="Q29673" s="7" t="n">
        <v>0</v>
      </c>
      <c r="R29673" s="7" t="n">
        <v>1</v>
      </c>
      <c r="S29673" s="7" t="n">
        <v>3</v>
      </c>
      <c r="T29673" s="7" t="n">
        <v>9</v>
      </c>
      <c r="U29673" s="7" t="n">
        <v>28</v>
      </c>
      <c r="V29673" s="20" t="s">
        <v>3</v>
      </c>
      <c r="W29673" s="45" t="n">
        <v>74</v>
      </c>
      <c r="X29673" s="7" t="n">
        <v>65</v>
      </c>
      <c r="Y29673" s="20" t="s">
        <v>3</v>
      </c>
      <c r="Z29673" s="7" t="n">
        <v>0</v>
      </c>
      <c r="AA29673" s="7" t="n">
        <v>2</v>
      </c>
      <c r="AB29673" s="7" t="n">
        <v>3</v>
      </c>
      <c r="AC29673" s="7" t="n">
        <v>9</v>
      </c>
      <c r="AD29673" s="7" t="n">
        <v>1</v>
      </c>
      <c r="AE29673" s="11" t="n">
        <f t="normal" ca="1">A29677</f>
        <v>0</v>
      </c>
    </row>
    <row r="29674" spans="1:8">
      <c r="A29674" t="s">
        <v>4</v>
      </c>
      <c r="B29674" s="4" t="s">
        <v>5</v>
      </c>
      <c r="C29674" s="4" t="s">
        <v>11</v>
      </c>
      <c r="D29674" s="4" t="s">
        <v>7</v>
      </c>
      <c r="E29674" s="4" t="s">
        <v>7</v>
      </c>
      <c r="F29674" s="4" t="s">
        <v>8</v>
      </c>
    </row>
    <row r="29675" spans="1:8">
      <c r="A29675" t="n">
        <v>289059</v>
      </c>
      <c r="B29675" s="41" t="n">
        <v>47</v>
      </c>
      <c r="C29675" s="7" t="n">
        <v>61456</v>
      </c>
      <c r="D29675" s="7" t="n">
        <v>0</v>
      </c>
      <c r="E29675" s="7" t="n">
        <v>0</v>
      </c>
      <c r="F29675" s="7" t="s">
        <v>106</v>
      </c>
    </row>
    <row r="29676" spans="1:8">
      <c r="A29676" t="s">
        <v>4</v>
      </c>
      <c r="B29676" s="4" t="s">
        <v>5</v>
      </c>
      <c r="C29676" s="4" t="s">
        <v>7</v>
      </c>
      <c r="D29676" s="4" t="s">
        <v>11</v>
      </c>
      <c r="E29676" s="4" t="s">
        <v>13</v>
      </c>
    </row>
    <row r="29677" spans="1:8">
      <c r="A29677" t="n">
        <v>289072</v>
      </c>
      <c r="B29677" s="23" t="n">
        <v>58</v>
      </c>
      <c r="C29677" s="7" t="n">
        <v>0</v>
      </c>
      <c r="D29677" s="7" t="n">
        <v>300</v>
      </c>
      <c r="E29677" s="7" t="n">
        <v>1</v>
      </c>
    </row>
    <row r="29678" spans="1:8">
      <c r="A29678" t="s">
        <v>4</v>
      </c>
      <c r="B29678" s="4" t="s">
        <v>5</v>
      </c>
      <c r="C29678" s="4" t="s">
        <v>7</v>
      </c>
      <c r="D29678" s="4" t="s">
        <v>11</v>
      </c>
    </row>
    <row r="29679" spans="1:8">
      <c r="A29679" t="n">
        <v>289080</v>
      </c>
      <c r="B29679" s="23" t="n">
        <v>58</v>
      </c>
      <c r="C29679" s="7" t="n">
        <v>255</v>
      </c>
      <c r="D29679" s="7" t="n">
        <v>0</v>
      </c>
    </row>
    <row r="29680" spans="1:8">
      <c r="A29680" t="s">
        <v>4</v>
      </c>
      <c r="B29680" s="4" t="s">
        <v>5</v>
      </c>
      <c r="C29680" s="4" t="s">
        <v>7</v>
      </c>
      <c r="D29680" s="4" t="s">
        <v>7</v>
      </c>
      <c r="E29680" s="4" t="s">
        <v>7</v>
      </c>
      <c r="F29680" s="4" t="s">
        <v>7</v>
      </c>
    </row>
    <row r="29681" spans="1:31">
      <c r="A29681" t="n">
        <v>289084</v>
      </c>
      <c r="B29681" s="9" t="n">
        <v>14</v>
      </c>
      <c r="C29681" s="7" t="n">
        <v>0</v>
      </c>
      <c r="D29681" s="7" t="n">
        <v>0</v>
      </c>
      <c r="E29681" s="7" t="n">
        <v>0</v>
      </c>
      <c r="F29681" s="7" t="n">
        <v>64</v>
      </c>
    </row>
    <row r="29682" spans="1:31">
      <c r="A29682" t="s">
        <v>4</v>
      </c>
      <c r="B29682" s="4" t="s">
        <v>5</v>
      </c>
      <c r="C29682" s="4" t="s">
        <v>7</v>
      </c>
      <c r="D29682" s="4" t="s">
        <v>11</v>
      </c>
    </row>
    <row r="29683" spans="1:31">
      <c r="A29683" t="n">
        <v>289089</v>
      </c>
      <c r="B29683" s="22" t="n">
        <v>22</v>
      </c>
      <c r="C29683" s="7" t="n">
        <v>0</v>
      </c>
      <c r="D29683" s="7" t="n">
        <v>36891</v>
      </c>
    </row>
    <row r="29684" spans="1:31">
      <c r="A29684" t="s">
        <v>4</v>
      </c>
      <c r="B29684" s="4" t="s">
        <v>5</v>
      </c>
      <c r="C29684" s="4" t="s">
        <v>7</v>
      </c>
      <c r="D29684" s="4" t="s">
        <v>11</v>
      </c>
    </row>
    <row r="29685" spans="1:31">
      <c r="A29685" t="n">
        <v>289093</v>
      </c>
      <c r="B29685" s="23" t="n">
        <v>58</v>
      </c>
      <c r="C29685" s="7" t="n">
        <v>5</v>
      </c>
      <c r="D29685" s="7" t="n">
        <v>300</v>
      </c>
    </row>
    <row r="29686" spans="1:31">
      <c r="A29686" t="s">
        <v>4</v>
      </c>
      <c r="B29686" s="4" t="s">
        <v>5</v>
      </c>
      <c r="C29686" s="4" t="s">
        <v>13</v>
      </c>
      <c r="D29686" s="4" t="s">
        <v>11</v>
      </c>
    </row>
    <row r="29687" spans="1:31">
      <c r="A29687" t="n">
        <v>289097</v>
      </c>
      <c r="B29687" s="46" t="n">
        <v>103</v>
      </c>
      <c r="C29687" s="7" t="n">
        <v>0</v>
      </c>
      <c r="D29687" s="7" t="n">
        <v>300</v>
      </c>
    </row>
    <row r="29688" spans="1:31">
      <c r="A29688" t="s">
        <v>4</v>
      </c>
      <c r="B29688" s="4" t="s">
        <v>5</v>
      </c>
      <c r="C29688" s="4" t="s">
        <v>7</v>
      </c>
    </row>
    <row r="29689" spans="1:31">
      <c r="A29689" t="n">
        <v>289104</v>
      </c>
      <c r="B29689" s="47" t="n">
        <v>64</v>
      </c>
      <c r="C29689" s="7" t="n">
        <v>7</v>
      </c>
    </row>
    <row r="29690" spans="1:31">
      <c r="A29690" t="s">
        <v>4</v>
      </c>
      <c r="B29690" s="4" t="s">
        <v>5</v>
      </c>
      <c r="C29690" s="4" t="s">
        <v>7</v>
      </c>
      <c r="D29690" s="4" t="s">
        <v>11</v>
      </c>
    </row>
    <row r="29691" spans="1:31">
      <c r="A29691" t="n">
        <v>289106</v>
      </c>
      <c r="B29691" s="48" t="n">
        <v>72</v>
      </c>
      <c r="C29691" s="7" t="n">
        <v>5</v>
      </c>
      <c r="D29691" s="7" t="n">
        <v>0</v>
      </c>
    </row>
    <row r="29692" spans="1:31">
      <c r="A29692" t="s">
        <v>4</v>
      </c>
      <c r="B29692" s="4" t="s">
        <v>5</v>
      </c>
      <c r="C29692" s="4" t="s">
        <v>7</v>
      </c>
      <c r="D29692" s="20" t="s">
        <v>35</v>
      </c>
      <c r="E29692" s="4" t="s">
        <v>5</v>
      </c>
      <c r="F29692" s="4" t="s">
        <v>7</v>
      </c>
      <c r="G29692" s="4" t="s">
        <v>11</v>
      </c>
      <c r="H29692" s="20" t="s">
        <v>36</v>
      </c>
      <c r="I29692" s="4" t="s">
        <v>7</v>
      </c>
      <c r="J29692" s="4" t="s">
        <v>15</v>
      </c>
      <c r="K29692" s="4" t="s">
        <v>7</v>
      </c>
      <c r="L29692" s="4" t="s">
        <v>7</v>
      </c>
      <c r="M29692" s="4" t="s">
        <v>12</v>
      </c>
    </row>
    <row r="29693" spans="1:31">
      <c r="A29693" t="n">
        <v>289110</v>
      </c>
      <c r="B29693" s="10" t="n">
        <v>5</v>
      </c>
      <c r="C29693" s="7" t="n">
        <v>28</v>
      </c>
      <c r="D29693" s="20" t="s">
        <v>3</v>
      </c>
      <c r="E29693" s="8" t="n">
        <v>162</v>
      </c>
      <c r="F29693" s="7" t="n">
        <v>4</v>
      </c>
      <c r="G29693" s="7" t="n">
        <v>36891</v>
      </c>
      <c r="H29693" s="20" t="s">
        <v>3</v>
      </c>
      <c r="I29693" s="7" t="n">
        <v>0</v>
      </c>
      <c r="J29693" s="7" t="n">
        <v>1</v>
      </c>
      <c r="K29693" s="7" t="n">
        <v>2</v>
      </c>
      <c r="L29693" s="7" t="n">
        <v>1</v>
      </c>
      <c r="M29693" s="11" t="n">
        <f t="normal" ca="1">A29699</f>
        <v>0</v>
      </c>
    </row>
    <row r="29694" spans="1:31">
      <c r="A29694" t="s">
        <v>4</v>
      </c>
      <c r="B29694" s="4" t="s">
        <v>5</v>
      </c>
      <c r="C29694" s="4" t="s">
        <v>7</v>
      </c>
      <c r="D29694" s="4" t="s">
        <v>8</v>
      </c>
    </row>
    <row r="29695" spans="1:31">
      <c r="A29695" t="n">
        <v>289127</v>
      </c>
      <c r="B29695" s="6" t="n">
        <v>2</v>
      </c>
      <c r="C29695" s="7" t="n">
        <v>10</v>
      </c>
      <c r="D29695" s="7" t="s">
        <v>107</v>
      </c>
    </row>
    <row r="29696" spans="1:31">
      <c r="A29696" t="s">
        <v>4</v>
      </c>
      <c r="B29696" s="4" t="s">
        <v>5</v>
      </c>
      <c r="C29696" s="4" t="s">
        <v>11</v>
      </c>
    </row>
    <row r="29697" spans="1:13">
      <c r="A29697" t="n">
        <v>289144</v>
      </c>
      <c r="B29697" s="29" t="n">
        <v>16</v>
      </c>
      <c r="C29697" s="7" t="n">
        <v>0</v>
      </c>
    </row>
    <row r="29698" spans="1:13">
      <c r="A29698" t="s">
        <v>4</v>
      </c>
      <c r="B29698" s="4" t="s">
        <v>5</v>
      </c>
      <c r="C29698" s="4" t="s">
        <v>7</v>
      </c>
      <c r="D29698" s="4" t="s">
        <v>11</v>
      </c>
      <c r="E29698" s="4" t="s">
        <v>15</v>
      </c>
      <c r="F29698" s="4" t="s">
        <v>11</v>
      </c>
      <c r="G29698" s="4" t="s">
        <v>15</v>
      </c>
      <c r="H29698" s="4" t="s">
        <v>7</v>
      </c>
    </row>
    <row r="29699" spans="1:13">
      <c r="A29699" t="n">
        <v>289147</v>
      </c>
      <c r="B29699" s="13" t="n">
        <v>49</v>
      </c>
      <c r="C29699" s="7" t="n">
        <v>0</v>
      </c>
      <c r="D29699" s="7" t="n">
        <v>501</v>
      </c>
      <c r="E29699" s="7" t="n">
        <v>1065353216</v>
      </c>
      <c r="F29699" s="7" t="n">
        <v>0</v>
      </c>
      <c r="G29699" s="7" t="n">
        <v>0</v>
      </c>
      <c r="H29699" s="7" t="n">
        <v>0</v>
      </c>
    </row>
    <row r="29700" spans="1:13">
      <c r="A29700" t="s">
        <v>4</v>
      </c>
      <c r="B29700" s="4" t="s">
        <v>5</v>
      </c>
      <c r="C29700" s="4" t="s">
        <v>11</v>
      </c>
      <c r="D29700" s="4" t="s">
        <v>8</v>
      </c>
      <c r="E29700" s="4" t="s">
        <v>8</v>
      </c>
      <c r="F29700" s="4" t="s">
        <v>8</v>
      </c>
      <c r="G29700" s="4" t="s">
        <v>7</v>
      </c>
      <c r="H29700" s="4" t="s">
        <v>15</v>
      </c>
      <c r="I29700" s="4" t="s">
        <v>13</v>
      </c>
      <c r="J29700" s="4" t="s">
        <v>13</v>
      </c>
      <c r="K29700" s="4" t="s">
        <v>13</v>
      </c>
      <c r="L29700" s="4" t="s">
        <v>13</v>
      </c>
      <c r="M29700" s="4" t="s">
        <v>13</v>
      </c>
      <c r="N29700" s="4" t="s">
        <v>13</v>
      </c>
      <c r="O29700" s="4" t="s">
        <v>13</v>
      </c>
      <c r="P29700" s="4" t="s">
        <v>8</v>
      </c>
      <c r="Q29700" s="4" t="s">
        <v>8</v>
      </c>
      <c r="R29700" s="4" t="s">
        <v>15</v>
      </c>
      <c r="S29700" s="4" t="s">
        <v>7</v>
      </c>
      <c r="T29700" s="4" t="s">
        <v>15</v>
      </c>
      <c r="U29700" s="4" t="s">
        <v>15</v>
      </c>
      <c r="V29700" s="4" t="s">
        <v>11</v>
      </c>
    </row>
    <row r="29701" spans="1:13">
      <c r="A29701" t="n">
        <v>289162</v>
      </c>
      <c r="B29701" s="62" t="n">
        <v>19</v>
      </c>
      <c r="C29701" s="7" t="n">
        <v>9</v>
      </c>
      <c r="D29701" s="7" t="s">
        <v>624</v>
      </c>
      <c r="E29701" s="7" t="s">
        <v>625</v>
      </c>
      <c r="F29701" s="7" t="s">
        <v>16</v>
      </c>
      <c r="G29701" s="7" t="n">
        <v>0</v>
      </c>
      <c r="H29701" s="7" t="n">
        <v>1</v>
      </c>
      <c r="I29701" s="7" t="n">
        <v>0</v>
      </c>
      <c r="J29701" s="7" t="n">
        <v>0</v>
      </c>
      <c r="K29701" s="7" t="n">
        <v>0</v>
      </c>
      <c r="L29701" s="7" t="n">
        <v>0</v>
      </c>
      <c r="M29701" s="7" t="n">
        <v>1</v>
      </c>
      <c r="N29701" s="7" t="n">
        <v>1.60000002384186</v>
      </c>
      <c r="O29701" s="7" t="n">
        <v>0.0900000035762787</v>
      </c>
      <c r="P29701" s="7" t="s">
        <v>16</v>
      </c>
      <c r="Q29701" s="7" t="s">
        <v>16</v>
      </c>
      <c r="R29701" s="7" t="n">
        <v>-1</v>
      </c>
      <c r="S29701" s="7" t="n">
        <v>0</v>
      </c>
      <c r="T29701" s="7" t="n">
        <v>0</v>
      </c>
      <c r="U29701" s="7" t="n">
        <v>0</v>
      </c>
      <c r="V29701" s="7" t="n">
        <v>0</v>
      </c>
    </row>
    <row r="29702" spans="1:13">
      <c r="A29702" t="s">
        <v>4</v>
      </c>
      <c r="B29702" s="4" t="s">
        <v>5</v>
      </c>
      <c r="C29702" s="4" t="s">
        <v>11</v>
      </c>
      <c r="D29702" s="4" t="s">
        <v>7</v>
      </c>
      <c r="E29702" s="4" t="s">
        <v>7</v>
      </c>
      <c r="F29702" s="4" t="s">
        <v>8</v>
      </c>
    </row>
    <row r="29703" spans="1:13">
      <c r="A29703" t="n">
        <v>289237</v>
      </c>
      <c r="B29703" s="50" t="n">
        <v>20</v>
      </c>
      <c r="C29703" s="7" t="n">
        <v>0</v>
      </c>
      <c r="D29703" s="7" t="n">
        <v>3</v>
      </c>
      <c r="E29703" s="7" t="n">
        <v>10</v>
      </c>
      <c r="F29703" s="7" t="s">
        <v>108</v>
      </c>
    </row>
    <row r="29704" spans="1:13">
      <c r="A29704" t="s">
        <v>4</v>
      </c>
      <c r="B29704" s="4" t="s">
        <v>5</v>
      </c>
      <c r="C29704" s="4" t="s">
        <v>11</v>
      </c>
    </row>
    <row r="29705" spans="1:13">
      <c r="A29705" t="n">
        <v>289255</v>
      </c>
      <c r="B29705" s="29" t="n">
        <v>16</v>
      </c>
      <c r="C29705" s="7" t="n">
        <v>0</v>
      </c>
    </row>
    <row r="29706" spans="1:13">
      <c r="A29706" t="s">
        <v>4</v>
      </c>
      <c r="B29706" s="4" t="s">
        <v>5</v>
      </c>
      <c r="C29706" s="4" t="s">
        <v>11</v>
      </c>
      <c r="D29706" s="4" t="s">
        <v>7</v>
      </c>
      <c r="E29706" s="4" t="s">
        <v>7</v>
      </c>
      <c r="F29706" s="4" t="s">
        <v>8</v>
      </c>
    </row>
    <row r="29707" spans="1:13">
      <c r="A29707" t="n">
        <v>289258</v>
      </c>
      <c r="B29707" s="50" t="n">
        <v>20</v>
      </c>
      <c r="C29707" s="7" t="n">
        <v>9</v>
      </c>
      <c r="D29707" s="7" t="n">
        <v>3</v>
      </c>
      <c r="E29707" s="7" t="n">
        <v>10</v>
      </c>
      <c r="F29707" s="7" t="s">
        <v>108</v>
      </c>
    </row>
    <row r="29708" spans="1:13">
      <c r="A29708" t="s">
        <v>4</v>
      </c>
      <c r="B29708" s="4" t="s">
        <v>5</v>
      </c>
      <c r="C29708" s="4" t="s">
        <v>11</v>
      </c>
    </row>
    <row r="29709" spans="1:13">
      <c r="A29709" t="n">
        <v>289276</v>
      </c>
      <c r="B29709" s="29" t="n">
        <v>16</v>
      </c>
      <c r="C29709" s="7" t="n">
        <v>0</v>
      </c>
    </row>
    <row r="29710" spans="1:13">
      <c r="A29710" t="s">
        <v>4</v>
      </c>
      <c r="B29710" s="4" t="s">
        <v>5</v>
      </c>
      <c r="C29710" s="4" t="s">
        <v>7</v>
      </c>
      <c r="D29710" s="4" t="s">
        <v>11</v>
      </c>
      <c r="E29710" s="4" t="s">
        <v>7</v>
      </c>
      <c r="F29710" s="4" t="s">
        <v>8</v>
      </c>
      <c r="G29710" s="4" t="s">
        <v>8</v>
      </c>
      <c r="H29710" s="4" t="s">
        <v>8</v>
      </c>
      <c r="I29710" s="4" t="s">
        <v>8</v>
      </c>
      <c r="J29710" s="4" t="s">
        <v>8</v>
      </c>
      <c r="K29710" s="4" t="s">
        <v>8</v>
      </c>
      <c r="L29710" s="4" t="s">
        <v>8</v>
      </c>
      <c r="M29710" s="4" t="s">
        <v>8</v>
      </c>
      <c r="N29710" s="4" t="s">
        <v>8</v>
      </c>
      <c r="O29710" s="4" t="s">
        <v>8</v>
      </c>
      <c r="P29710" s="4" t="s">
        <v>8</v>
      </c>
      <c r="Q29710" s="4" t="s">
        <v>8</v>
      </c>
      <c r="R29710" s="4" t="s">
        <v>8</v>
      </c>
      <c r="S29710" s="4" t="s">
        <v>8</v>
      </c>
      <c r="T29710" s="4" t="s">
        <v>8</v>
      </c>
      <c r="U29710" s="4" t="s">
        <v>8</v>
      </c>
    </row>
    <row r="29711" spans="1:13">
      <c r="A29711" t="n">
        <v>289279</v>
      </c>
      <c r="B29711" s="40" t="n">
        <v>36</v>
      </c>
      <c r="C29711" s="7" t="n">
        <v>8</v>
      </c>
      <c r="D29711" s="7" t="n">
        <v>0</v>
      </c>
      <c r="E29711" s="7" t="n">
        <v>0</v>
      </c>
      <c r="F29711" s="7" t="s">
        <v>626</v>
      </c>
      <c r="G29711" s="7" t="s">
        <v>627</v>
      </c>
      <c r="H29711" s="7" t="s">
        <v>16</v>
      </c>
      <c r="I29711" s="7" t="s">
        <v>16</v>
      </c>
      <c r="J29711" s="7" t="s">
        <v>16</v>
      </c>
      <c r="K29711" s="7" t="s">
        <v>16</v>
      </c>
      <c r="L29711" s="7" t="s">
        <v>16</v>
      </c>
      <c r="M29711" s="7" t="s">
        <v>16</v>
      </c>
      <c r="N29711" s="7" t="s">
        <v>16</v>
      </c>
      <c r="O29711" s="7" t="s">
        <v>16</v>
      </c>
      <c r="P29711" s="7" t="s">
        <v>16</v>
      </c>
      <c r="Q29711" s="7" t="s">
        <v>16</v>
      </c>
      <c r="R29711" s="7" t="s">
        <v>16</v>
      </c>
      <c r="S29711" s="7" t="s">
        <v>16</v>
      </c>
      <c r="T29711" s="7" t="s">
        <v>16</v>
      </c>
      <c r="U29711" s="7" t="s">
        <v>16</v>
      </c>
    </row>
    <row r="29712" spans="1:13">
      <c r="A29712" t="s">
        <v>4</v>
      </c>
      <c r="B29712" s="4" t="s">
        <v>5</v>
      </c>
      <c r="C29712" s="4" t="s">
        <v>7</v>
      </c>
      <c r="D29712" s="4" t="s">
        <v>11</v>
      </c>
      <c r="E29712" s="4" t="s">
        <v>7</v>
      </c>
      <c r="F29712" s="4" t="s">
        <v>8</v>
      </c>
      <c r="G29712" s="4" t="s">
        <v>8</v>
      </c>
      <c r="H29712" s="4" t="s">
        <v>8</v>
      </c>
      <c r="I29712" s="4" t="s">
        <v>8</v>
      </c>
      <c r="J29712" s="4" t="s">
        <v>8</v>
      </c>
      <c r="K29712" s="4" t="s">
        <v>8</v>
      </c>
      <c r="L29712" s="4" t="s">
        <v>8</v>
      </c>
      <c r="M29712" s="4" t="s">
        <v>8</v>
      </c>
      <c r="N29712" s="4" t="s">
        <v>8</v>
      </c>
      <c r="O29712" s="4" t="s">
        <v>8</v>
      </c>
      <c r="P29712" s="4" t="s">
        <v>8</v>
      </c>
      <c r="Q29712" s="4" t="s">
        <v>8</v>
      </c>
      <c r="R29712" s="4" t="s">
        <v>8</v>
      </c>
      <c r="S29712" s="4" t="s">
        <v>8</v>
      </c>
      <c r="T29712" s="4" t="s">
        <v>8</v>
      </c>
      <c r="U29712" s="4" t="s">
        <v>8</v>
      </c>
    </row>
    <row r="29713" spans="1:22">
      <c r="A29713" t="n">
        <v>289318</v>
      </c>
      <c r="B29713" s="40" t="n">
        <v>36</v>
      </c>
      <c r="C29713" s="7" t="n">
        <v>8</v>
      </c>
      <c r="D29713" s="7" t="n">
        <v>9</v>
      </c>
      <c r="E29713" s="7" t="n">
        <v>0</v>
      </c>
      <c r="F29713" s="7" t="s">
        <v>1682</v>
      </c>
      <c r="G29713" s="7" t="s">
        <v>626</v>
      </c>
      <c r="H29713" s="7" t="s">
        <v>627</v>
      </c>
      <c r="I29713" s="7" t="s">
        <v>1683</v>
      </c>
      <c r="J29713" s="7" t="s">
        <v>1684</v>
      </c>
      <c r="K29713" s="7" t="s">
        <v>1685</v>
      </c>
      <c r="L29713" s="7" t="s">
        <v>97</v>
      </c>
      <c r="M29713" s="7" t="s">
        <v>16</v>
      </c>
      <c r="N29713" s="7" t="s">
        <v>16</v>
      </c>
      <c r="O29713" s="7" t="s">
        <v>16</v>
      </c>
      <c r="P29713" s="7" t="s">
        <v>16</v>
      </c>
      <c r="Q29713" s="7" t="s">
        <v>16</v>
      </c>
      <c r="R29713" s="7" t="s">
        <v>16</v>
      </c>
      <c r="S29713" s="7" t="s">
        <v>16</v>
      </c>
      <c r="T29713" s="7" t="s">
        <v>16</v>
      </c>
      <c r="U29713" s="7" t="s">
        <v>16</v>
      </c>
    </row>
    <row r="29714" spans="1:22">
      <c r="A29714" t="s">
        <v>4</v>
      </c>
      <c r="B29714" s="4" t="s">
        <v>5</v>
      </c>
      <c r="C29714" s="4" t="s">
        <v>7</v>
      </c>
    </row>
    <row r="29715" spans="1:22">
      <c r="A29715" t="n">
        <v>289425</v>
      </c>
      <c r="B29715" s="49" t="n">
        <v>116</v>
      </c>
      <c r="C29715" s="7" t="n">
        <v>0</v>
      </c>
    </row>
    <row r="29716" spans="1:22">
      <c r="A29716" t="s">
        <v>4</v>
      </c>
      <c r="B29716" s="4" t="s">
        <v>5</v>
      </c>
      <c r="C29716" s="4" t="s">
        <v>7</v>
      </c>
      <c r="D29716" s="4" t="s">
        <v>11</v>
      </c>
    </row>
    <row r="29717" spans="1:22">
      <c r="A29717" t="n">
        <v>289427</v>
      </c>
      <c r="B29717" s="49" t="n">
        <v>116</v>
      </c>
      <c r="C29717" s="7" t="n">
        <v>2</v>
      </c>
      <c r="D29717" s="7" t="n">
        <v>1</v>
      </c>
    </row>
    <row r="29718" spans="1:22">
      <c r="A29718" t="s">
        <v>4</v>
      </c>
      <c r="B29718" s="4" t="s">
        <v>5</v>
      </c>
      <c r="C29718" s="4" t="s">
        <v>7</v>
      </c>
      <c r="D29718" s="4" t="s">
        <v>15</v>
      </c>
    </row>
    <row r="29719" spans="1:22">
      <c r="A29719" t="n">
        <v>289431</v>
      </c>
      <c r="B29719" s="49" t="n">
        <v>116</v>
      </c>
      <c r="C29719" s="7" t="n">
        <v>5</v>
      </c>
      <c r="D29719" s="7" t="n">
        <v>1088421888</v>
      </c>
    </row>
    <row r="29720" spans="1:22">
      <c r="A29720" t="s">
        <v>4</v>
      </c>
      <c r="B29720" s="4" t="s">
        <v>5</v>
      </c>
      <c r="C29720" s="4" t="s">
        <v>7</v>
      </c>
      <c r="D29720" s="4" t="s">
        <v>11</v>
      </c>
    </row>
    <row r="29721" spans="1:22">
      <c r="A29721" t="n">
        <v>289437</v>
      </c>
      <c r="B29721" s="49" t="n">
        <v>116</v>
      </c>
      <c r="C29721" s="7" t="n">
        <v>6</v>
      </c>
      <c r="D29721" s="7" t="n">
        <v>1</v>
      </c>
    </row>
    <row r="29722" spans="1:22">
      <c r="A29722" t="s">
        <v>4</v>
      </c>
      <c r="B29722" s="4" t="s">
        <v>5</v>
      </c>
      <c r="C29722" s="4" t="s">
        <v>11</v>
      </c>
      <c r="D29722" s="4" t="s">
        <v>13</v>
      </c>
      <c r="E29722" s="4" t="s">
        <v>13</v>
      </c>
      <c r="F29722" s="4" t="s">
        <v>13</v>
      </c>
      <c r="G29722" s="4" t="s">
        <v>13</v>
      </c>
    </row>
    <row r="29723" spans="1:22">
      <c r="A29723" t="n">
        <v>289441</v>
      </c>
      <c r="B29723" s="36" t="n">
        <v>46</v>
      </c>
      <c r="C29723" s="7" t="n">
        <v>0</v>
      </c>
      <c r="D29723" s="7" t="n">
        <v>-18.8899993896484</v>
      </c>
      <c r="E29723" s="7" t="n">
        <v>10.0100002288818</v>
      </c>
      <c r="F29723" s="7" t="n">
        <v>30.2399997711182</v>
      </c>
      <c r="G29723" s="7" t="n">
        <v>270</v>
      </c>
    </row>
    <row r="29724" spans="1:22">
      <c r="A29724" t="s">
        <v>4</v>
      </c>
      <c r="B29724" s="4" t="s">
        <v>5</v>
      </c>
      <c r="C29724" s="4" t="s">
        <v>11</v>
      </c>
      <c r="D29724" s="4" t="s">
        <v>13</v>
      </c>
      <c r="E29724" s="4" t="s">
        <v>13</v>
      </c>
      <c r="F29724" s="4" t="s">
        <v>13</v>
      </c>
      <c r="G29724" s="4" t="s">
        <v>13</v>
      </c>
    </row>
    <row r="29725" spans="1:22">
      <c r="A29725" t="n">
        <v>289460</v>
      </c>
      <c r="B29725" s="36" t="n">
        <v>46</v>
      </c>
      <c r="C29725" s="7" t="n">
        <v>9</v>
      </c>
      <c r="D29725" s="7" t="n">
        <v>-20.2999992370605</v>
      </c>
      <c r="E29725" s="7" t="n">
        <v>10.0600004196167</v>
      </c>
      <c r="F29725" s="7" t="n">
        <v>30.0499992370605</v>
      </c>
      <c r="G29725" s="7" t="n">
        <v>90</v>
      </c>
    </row>
    <row r="29726" spans="1:22">
      <c r="A29726" t="s">
        <v>4</v>
      </c>
      <c r="B29726" s="4" t="s">
        <v>5</v>
      </c>
      <c r="C29726" s="4" t="s">
        <v>11</v>
      </c>
      <c r="D29726" s="4" t="s">
        <v>7</v>
      </c>
      <c r="E29726" s="4" t="s">
        <v>8</v>
      </c>
      <c r="F29726" s="4" t="s">
        <v>13</v>
      </c>
      <c r="G29726" s="4" t="s">
        <v>13</v>
      </c>
      <c r="H29726" s="4" t="s">
        <v>13</v>
      </c>
    </row>
    <row r="29727" spans="1:22">
      <c r="A29727" t="n">
        <v>289479</v>
      </c>
      <c r="B29727" s="42" t="n">
        <v>48</v>
      </c>
      <c r="C29727" s="7" t="n">
        <v>9</v>
      </c>
      <c r="D29727" s="7" t="n">
        <v>0</v>
      </c>
      <c r="E29727" s="7" t="s">
        <v>97</v>
      </c>
      <c r="F29727" s="7" t="n">
        <v>0</v>
      </c>
      <c r="G29727" s="7" t="n">
        <v>1</v>
      </c>
      <c r="H29727" s="7" t="n">
        <v>1.40129846432482e-45</v>
      </c>
    </row>
    <row r="29728" spans="1:22">
      <c r="A29728" t="s">
        <v>4</v>
      </c>
      <c r="B29728" s="4" t="s">
        <v>5</v>
      </c>
      <c r="C29728" s="4" t="s">
        <v>11</v>
      </c>
      <c r="D29728" s="4" t="s">
        <v>15</v>
      </c>
    </row>
    <row r="29729" spans="1:21">
      <c r="A29729" t="n">
        <v>289505</v>
      </c>
      <c r="B29729" s="39" t="n">
        <v>43</v>
      </c>
      <c r="C29729" s="7" t="n">
        <v>9</v>
      </c>
      <c r="D29729" s="7" t="n">
        <v>64</v>
      </c>
    </row>
    <row r="29730" spans="1:21">
      <c r="A29730" t="s">
        <v>4</v>
      </c>
      <c r="B29730" s="4" t="s">
        <v>5</v>
      </c>
      <c r="C29730" s="4" t="s">
        <v>11</v>
      </c>
      <c r="D29730" s="4" t="s">
        <v>15</v>
      </c>
    </row>
    <row r="29731" spans="1:21">
      <c r="A29731" t="n">
        <v>289512</v>
      </c>
      <c r="B29731" s="44" t="n">
        <v>98</v>
      </c>
      <c r="C29731" s="7" t="n">
        <v>9</v>
      </c>
      <c r="D29731" s="7" t="n">
        <v>1060320051</v>
      </c>
    </row>
    <row r="29732" spans="1:21">
      <c r="A29732" t="s">
        <v>4</v>
      </c>
      <c r="B29732" s="4" t="s">
        <v>5</v>
      </c>
      <c r="C29732" s="4" t="s">
        <v>7</v>
      </c>
      <c r="D29732" s="4" t="s">
        <v>11</v>
      </c>
      <c r="E29732" s="4" t="s">
        <v>8</v>
      </c>
      <c r="F29732" s="4" t="s">
        <v>8</v>
      </c>
      <c r="G29732" s="4" t="s">
        <v>8</v>
      </c>
      <c r="H29732" s="4" t="s">
        <v>8</v>
      </c>
    </row>
    <row r="29733" spans="1:21">
      <c r="A29733" t="n">
        <v>289519</v>
      </c>
      <c r="B29733" s="38" t="n">
        <v>51</v>
      </c>
      <c r="C29733" s="7" t="n">
        <v>3</v>
      </c>
      <c r="D29733" s="7" t="n">
        <v>9</v>
      </c>
      <c r="E29733" s="7" t="s">
        <v>881</v>
      </c>
      <c r="F29733" s="7" t="s">
        <v>218</v>
      </c>
      <c r="G29733" s="7" t="s">
        <v>78</v>
      </c>
      <c r="H29733" s="7" t="s">
        <v>79</v>
      </c>
    </row>
    <row r="29734" spans="1:21">
      <c r="A29734" t="s">
        <v>4</v>
      </c>
      <c r="B29734" s="4" t="s">
        <v>5</v>
      </c>
      <c r="C29734" s="4" t="s">
        <v>11</v>
      </c>
      <c r="D29734" s="4" t="s">
        <v>7</v>
      </c>
      <c r="E29734" s="4" t="s">
        <v>8</v>
      </c>
      <c r="F29734" s="4" t="s">
        <v>13</v>
      </c>
      <c r="G29734" s="4" t="s">
        <v>13</v>
      </c>
      <c r="H29734" s="4" t="s">
        <v>13</v>
      </c>
    </row>
    <row r="29735" spans="1:21">
      <c r="A29735" t="n">
        <v>289532</v>
      </c>
      <c r="B29735" s="42" t="n">
        <v>48</v>
      </c>
      <c r="C29735" s="7" t="n">
        <v>0</v>
      </c>
      <c r="D29735" s="7" t="n">
        <v>0</v>
      </c>
      <c r="E29735" s="7" t="s">
        <v>275</v>
      </c>
      <c r="F29735" s="7" t="n">
        <v>0</v>
      </c>
      <c r="G29735" s="7" t="n">
        <v>1</v>
      </c>
      <c r="H29735" s="7" t="n">
        <v>0</v>
      </c>
    </row>
    <row r="29736" spans="1:21">
      <c r="A29736" t="s">
        <v>4</v>
      </c>
      <c r="B29736" s="4" t="s">
        <v>5</v>
      </c>
      <c r="C29736" s="4" t="s">
        <v>11</v>
      </c>
    </row>
    <row r="29737" spans="1:21">
      <c r="A29737" t="n">
        <v>289557</v>
      </c>
      <c r="B29737" s="29" t="n">
        <v>16</v>
      </c>
      <c r="C29737" s="7" t="n">
        <v>0</v>
      </c>
    </row>
    <row r="29738" spans="1:21">
      <c r="A29738" t="s">
        <v>4</v>
      </c>
      <c r="B29738" s="4" t="s">
        <v>5</v>
      </c>
      <c r="C29738" s="4" t="s">
        <v>11</v>
      </c>
      <c r="D29738" s="4" t="s">
        <v>11</v>
      </c>
      <c r="E29738" s="4" t="s">
        <v>11</v>
      </c>
    </row>
    <row r="29739" spans="1:21">
      <c r="A29739" t="n">
        <v>289560</v>
      </c>
      <c r="B29739" s="72" t="n">
        <v>61</v>
      </c>
      <c r="C29739" s="7" t="n">
        <v>0</v>
      </c>
      <c r="D29739" s="7" t="n">
        <v>9</v>
      </c>
      <c r="E29739" s="7" t="n">
        <v>0</v>
      </c>
    </row>
    <row r="29740" spans="1:21">
      <c r="A29740" t="s">
        <v>4</v>
      </c>
      <c r="B29740" s="4" t="s">
        <v>5</v>
      </c>
      <c r="C29740" s="4" t="s">
        <v>7</v>
      </c>
      <c r="D29740" s="4" t="s">
        <v>7</v>
      </c>
      <c r="E29740" s="4" t="s">
        <v>13</v>
      </c>
      <c r="F29740" s="4" t="s">
        <v>13</v>
      </c>
      <c r="G29740" s="4" t="s">
        <v>13</v>
      </c>
      <c r="H29740" s="4" t="s">
        <v>11</v>
      </c>
    </row>
    <row r="29741" spans="1:21">
      <c r="A29741" t="n">
        <v>289567</v>
      </c>
      <c r="B29741" s="51" t="n">
        <v>45</v>
      </c>
      <c r="C29741" s="7" t="n">
        <v>2</v>
      </c>
      <c r="D29741" s="7" t="n">
        <v>3</v>
      </c>
      <c r="E29741" s="7" t="n">
        <v>-19.2600002288818</v>
      </c>
      <c r="F29741" s="7" t="n">
        <v>11.4200000762939</v>
      </c>
      <c r="G29741" s="7" t="n">
        <v>30.3099994659424</v>
      </c>
      <c r="H29741" s="7" t="n">
        <v>0</v>
      </c>
    </row>
    <row r="29742" spans="1:21">
      <c r="A29742" t="s">
        <v>4</v>
      </c>
      <c r="B29742" s="4" t="s">
        <v>5</v>
      </c>
      <c r="C29742" s="4" t="s">
        <v>7</v>
      </c>
      <c r="D29742" s="4" t="s">
        <v>7</v>
      </c>
      <c r="E29742" s="4" t="s">
        <v>13</v>
      </c>
      <c r="F29742" s="4" t="s">
        <v>13</v>
      </c>
      <c r="G29742" s="4" t="s">
        <v>13</v>
      </c>
      <c r="H29742" s="4" t="s">
        <v>11</v>
      </c>
      <c r="I29742" s="4" t="s">
        <v>7</v>
      </c>
    </row>
    <row r="29743" spans="1:21">
      <c r="A29743" t="n">
        <v>289584</v>
      </c>
      <c r="B29743" s="51" t="n">
        <v>45</v>
      </c>
      <c r="C29743" s="7" t="n">
        <v>4</v>
      </c>
      <c r="D29743" s="7" t="n">
        <v>3</v>
      </c>
      <c r="E29743" s="7" t="n">
        <v>27.4099998474121</v>
      </c>
      <c r="F29743" s="7" t="n">
        <v>51.4199981689453</v>
      </c>
      <c r="G29743" s="7" t="n">
        <v>0</v>
      </c>
      <c r="H29743" s="7" t="n">
        <v>0</v>
      </c>
      <c r="I29743" s="7" t="n">
        <v>0</v>
      </c>
    </row>
    <row r="29744" spans="1:21">
      <c r="A29744" t="s">
        <v>4</v>
      </c>
      <c r="B29744" s="4" t="s">
        <v>5</v>
      </c>
      <c r="C29744" s="4" t="s">
        <v>7</v>
      </c>
      <c r="D29744" s="4" t="s">
        <v>7</v>
      </c>
      <c r="E29744" s="4" t="s">
        <v>13</v>
      </c>
      <c r="F29744" s="4" t="s">
        <v>11</v>
      </c>
    </row>
    <row r="29745" spans="1:9">
      <c r="A29745" t="n">
        <v>289602</v>
      </c>
      <c r="B29745" s="51" t="n">
        <v>45</v>
      </c>
      <c r="C29745" s="7" t="n">
        <v>5</v>
      </c>
      <c r="D29745" s="7" t="n">
        <v>3</v>
      </c>
      <c r="E29745" s="7" t="n">
        <v>1.5</v>
      </c>
      <c r="F29745" s="7" t="n">
        <v>0</v>
      </c>
    </row>
    <row r="29746" spans="1:9">
      <c r="A29746" t="s">
        <v>4</v>
      </c>
      <c r="B29746" s="4" t="s">
        <v>5</v>
      </c>
      <c r="C29746" s="4" t="s">
        <v>7</v>
      </c>
      <c r="D29746" s="4" t="s">
        <v>7</v>
      </c>
      <c r="E29746" s="4" t="s">
        <v>13</v>
      </c>
      <c r="F29746" s="4" t="s">
        <v>11</v>
      </c>
    </row>
    <row r="29747" spans="1:9">
      <c r="A29747" t="n">
        <v>289611</v>
      </c>
      <c r="B29747" s="51" t="n">
        <v>45</v>
      </c>
      <c r="C29747" s="7" t="n">
        <v>11</v>
      </c>
      <c r="D29747" s="7" t="n">
        <v>3</v>
      </c>
      <c r="E29747" s="7" t="n">
        <v>33.4000015258789</v>
      </c>
      <c r="F29747" s="7" t="n">
        <v>0</v>
      </c>
    </row>
    <row r="29748" spans="1:9">
      <c r="A29748" t="s">
        <v>4</v>
      </c>
      <c r="B29748" s="4" t="s">
        <v>5</v>
      </c>
      <c r="C29748" s="4" t="s">
        <v>7</v>
      </c>
      <c r="D29748" s="4" t="s">
        <v>7</v>
      </c>
      <c r="E29748" s="4" t="s">
        <v>13</v>
      </c>
      <c r="F29748" s="4" t="s">
        <v>11</v>
      </c>
    </row>
    <row r="29749" spans="1:9">
      <c r="A29749" t="n">
        <v>289620</v>
      </c>
      <c r="B29749" s="51" t="n">
        <v>45</v>
      </c>
      <c r="C29749" s="7" t="n">
        <v>5</v>
      </c>
      <c r="D29749" s="7" t="n">
        <v>3</v>
      </c>
      <c r="E29749" s="7" t="n">
        <v>1.29999995231628</v>
      </c>
      <c r="F29749" s="7" t="n">
        <v>3000</v>
      </c>
    </row>
    <row r="29750" spans="1:9">
      <c r="A29750" t="s">
        <v>4</v>
      </c>
      <c r="B29750" s="4" t="s">
        <v>5</v>
      </c>
      <c r="C29750" s="4" t="s">
        <v>7</v>
      </c>
      <c r="D29750" s="4" t="s">
        <v>11</v>
      </c>
      <c r="E29750" s="4" t="s">
        <v>13</v>
      </c>
    </row>
    <row r="29751" spans="1:9">
      <c r="A29751" t="n">
        <v>289629</v>
      </c>
      <c r="B29751" s="23" t="n">
        <v>58</v>
      </c>
      <c r="C29751" s="7" t="n">
        <v>100</v>
      </c>
      <c r="D29751" s="7" t="n">
        <v>1000</v>
      </c>
      <c r="E29751" s="7" t="n">
        <v>1</v>
      </c>
    </row>
    <row r="29752" spans="1:9">
      <c r="A29752" t="s">
        <v>4</v>
      </c>
      <c r="B29752" s="4" t="s">
        <v>5</v>
      </c>
      <c r="C29752" s="4" t="s">
        <v>7</v>
      </c>
      <c r="D29752" s="4" t="s">
        <v>11</v>
      </c>
    </row>
    <row r="29753" spans="1:9">
      <c r="A29753" t="n">
        <v>289637</v>
      </c>
      <c r="B29753" s="23" t="n">
        <v>58</v>
      </c>
      <c r="C29753" s="7" t="n">
        <v>255</v>
      </c>
      <c r="D29753" s="7" t="n">
        <v>0</v>
      </c>
    </row>
    <row r="29754" spans="1:9">
      <c r="A29754" t="s">
        <v>4</v>
      </c>
      <c r="B29754" s="4" t="s">
        <v>5</v>
      </c>
      <c r="C29754" s="4" t="s">
        <v>11</v>
      </c>
    </row>
    <row r="29755" spans="1:9">
      <c r="A29755" t="n">
        <v>289641</v>
      </c>
      <c r="B29755" s="29" t="n">
        <v>16</v>
      </c>
      <c r="C29755" s="7" t="n">
        <v>1000</v>
      </c>
    </row>
    <row r="29756" spans="1:9">
      <c r="A29756" t="s">
        <v>4</v>
      </c>
      <c r="B29756" s="4" t="s">
        <v>5</v>
      </c>
      <c r="C29756" s="4" t="s">
        <v>7</v>
      </c>
      <c r="D29756" s="4" t="s">
        <v>11</v>
      </c>
      <c r="E29756" s="4" t="s">
        <v>8</v>
      </c>
    </row>
    <row r="29757" spans="1:9">
      <c r="A29757" t="n">
        <v>289644</v>
      </c>
      <c r="B29757" s="38" t="n">
        <v>51</v>
      </c>
      <c r="C29757" s="7" t="n">
        <v>4</v>
      </c>
      <c r="D29757" s="7" t="n">
        <v>0</v>
      </c>
      <c r="E29757" s="7" t="s">
        <v>245</v>
      </c>
    </row>
    <row r="29758" spans="1:9">
      <c r="A29758" t="s">
        <v>4</v>
      </c>
      <c r="B29758" s="4" t="s">
        <v>5</v>
      </c>
      <c r="C29758" s="4" t="s">
        <v>11</v>
      </c>
    </row>
    <row r="29759" spans="1:9">
      <c r="A29759" t="n">
        <v>289658</v>
      </c>
      <c r="B29759" s="29" t="n">
        <v>16</v>
      </c>
      <c r="C29759" s="7" t="n">
        <v>0</v>
      </c>
    </row>
    <row r="29760" spans="1:9">
      <c r="A29760" t="s">
        <v>4</v>
      </c>
      <c r="B29760" s="4" t="s">
        <v>5</v>
      </c>
      <c r="C29760" s="4" t="s">
        <v>11</v>
      </c>
      <c r="D29760" s="4" t="s">
        <v>7</v>
      </c>
      <c r="E29760" s="4" t="s">
        <v>15</v>
      </c>
      <c r="F29760" s="4" t="s">
        <v>55</v>
      </c>
      <c r="G29760" s="4" t="s">
        <v>7</v>
      </c>
      <c r="H29760" s="4" t="s">
        <v>7</v>
      </c>
    </row>
    <row r="29761" spans="1:8">
      <c r="A29761" t="n">
        <v>289661</v>
      </c>
      <c r="B29761" s="55" t="n">
        <v>26</v>
      </c>
      <c r="C29761" s="7" t="n">
        <v>0</v>
      </c>
      <c r="D29761" s="7" t="n">
        <v>17</v>
      </c>
      <c r="E29761" s="7" t="n">
        <v>64689</v>
      </c>
      <c r="F29761" s="7" t="s">
        <v>1686</v>
      </c>
      <c r="G29761" s="7" t="n">
        <v>2</v>
      </c>
      <c r="H29761" s="7" t="n">
        <v>0</v>
      </c>
    </row>
    <row r="29762" spans="1:8">
      <c r="A29762" t="s">
        <v>4</v>
      </c>
      <c r="B29762" s="4" t="s">
        <v>5</v>
      </c>
    </row>
    <row r="29763" spans="1:8">
      <c r="A29763" t="n">
        <v>289696</v>
      </c>
      <c r="B29763" s="27" t="n">
        <v>28</v>
      </c>
    </row>
    <row r="29764" spans="1:8">
      <c r="A29764" t="s">
        <v>4</v>
      </c>
      <c r="B29764" s="4" t="s">
        <v>5</v>
      </c>
      <c r="C29764" s="4" t="s">
        <v>11</v>
      </c>
      <c r="D29764" s="4" t="s">
        <v>7</v>
      </c>
    </row>
    <row r="29765" spans="1:8">
      <c r="A29765" t="n">
        <v>289697</v>
      </c>
      <c r="B29765" s="68" t="n">
        <v>89</v>
      </c>
      <c r="C29765" s="7" t="n">
        <v>65533</v>
      </c>
      <c r="D29765" s="7" t="n">
        <v>1</v>
      </c>
    </row>
    <row r="29766" spans="1:8">
      <c r="A29766" t="s">
        <v>4</v>
      </c>
      <c r="B29766" s="4" t="s">
        <v>5</v>
      </c>
      <c r="C29766" s="4" t="s">
        <v>7</v>
      </c>
      <c r="D29766" s="4" t="s">
        <v>11</v>
      </c>
      <c r="E29766" s="4" t="s">
        <v>11</v>
      </c>
      <c r="F29766" s="4" t="s">
        <v>7</v>
      </c>
    </row>
    <row r="29767" spans="1:8">
      <c r="A29767" t="n">
        <v>289701</v>
      </c>
      <c r="B29767" s="31" t="n">
        <v>25</v>
      </c>
      <c r="C29767" s="7" t="n">
        <v>1</v>
      </c>
      <c r="D29767" s="7" t="n">
        <v>65535</v>
      </c>
      <c r="E29767" s="7" t="n">
        <v>65535</v>
      </c>
      <c r="F29767" s="7" t="n">
        <v>0</v>
      </c>
    </row>
    <row r="29768" spans="1:8">
      <c r="A29768" t="s">
        <v>4</v>
      </c>
      <c r="B29768" s="4" t="s">
        <v>5</v>
      </c>
      <c r="C29768" s="4" t="s">
        <v>7</v>
      </c>
      <c r="D29768" s="4" t="s">
        <v>11</v>
      </c>
      <c r="E29768" s="4" t="s">
        <v>8</v>
      </c>
      <c r="F29768" s="4" t="s">
        <v>8</v>
      </c>
      <c r="G29768" s="4" t="s">
        <v>8</v>
      </c>
      <c r="H29768" s="4" t="s">
        <v>8</v>
      </c>
    </row>
    <row r="29769" spans="1:8">
      <c r="A29769" t="n">
        <v>289708</v>
      </c>
      <c r="B29769" s="38" t="n">
        <v>51</v>
      </c>
      <c r="C29769" s="7" t="n">
        <v>3</v>
      </c>
      <c r="D29769" s="7" t="n">
        <v>9</v>
      </c>
      <c r="E29769" s="7" t="s">
        <v>154</v>
      </c>
      <c r="F29769" s="7" t="s">
        <v>155</v>
      </c>
      <c r="G29769" s="7" t="s">
        <v>78</v>
      </c>
      <c r="H29769" s="7" t="s">
        <v>79</v>
      </c>
    </row>
    <row r="29770" spans="1:8">
      <c r="A29770" t="s">
        <v>4</v>
      </c>
      <c r="B29770" s="4" t="s">
        <v>5</v>
      </c>
      <c r="C29770" s="4" t="s">
        <v>11</v>
      </c>
      <c r="D29770" s="4" t="s">
        <v>7</v>
      </c>
      <c r="E29770" s="4" t="s">
        <v>13</v>
      </c>
      <c r="F29770" s="4" t="s">
        <v>11</v>
      </c>
    </row>
    <row r="29771" spans="1:8">
      <c r="A29771" t="n">
        <v>289721</v>
      </c>
      <c r="B29771" s="56" t="n">
        <v>59</v>
      </c>
      <c r="C29771" s="7" t="n">
        <v>9</v>
      </c>
      <c r="D29771" s="7" t="n">
        <v>13</v>
      </c>
      <c r="E29771" s="7" t="n">
        <v>0.150000005960464</v>
      </c>
      <c r="F29771" s="7" t="n">
        <v>0</v>
      </c>
    </row>
    <row r="29772" spans="1:8">
      <c r="A29772" t="s">
        <v>4</v>
      </c>
      <c r="B29772" s="4" t="s">
        <v>5</v>
      </c>
      <c r="C29772" s="4" t="s">
        <v>11</v>
      </c>
    </row>
    <row r="29773" spans="1:8">
      <c r="A29773" t="n">
        <v>289731</v>
      </c>
      <c r="B29773" s="29" t="n">
        <v>16</v>
      </c>
      <c r="C29773" s="7" t="n">
        <v>1000</v>
      </c>
    </row>
    <row r="29774" spans="1:8">
      <c r="A29774" t="s">
        <v>4</v>
      </c>
      <c r="B29774" s="4" t="s">
        <v>5</v>
      </c>
      <c r="C29774" s="4" t="s">
        <v>11</v>
      </c>
      <c r="D29774" s="4" t="s">
        <v>11</v>
      </c>
      <c r="E29774" s="4" t="s">
        <v>11</v>
      </c>
    </row>
    <row r="29775" spans="1:8">
      <c r="A29775" t="n">
        <v>289734</v>
      </c>
      <c r="B29775" s="72" t="n">
        <v>61</v>
      </c>
      <c r="C29775" s="7" t="n">
        <v>9</v>
      </c>
      <c r="D29775" s="7" t="n">
        <v>0</v>
      </c>
      <c r="E29775" s="7" t="n">
        <v>1000</v>
      </c>
    </row>
    <row r="29776" spans="1:8">
      <c r="A29776" t="s">
        <v>4</v>
      </c>
      <c r="B29776" s="4" t="s">
        <v>5</v>
      </c>
      <c r="C29776" s="4" t="s">
        <v>7</v>
      </c>
      <c r="D29776" s="4" t="s">
        <v>11</v>
      </c>
      <c r="E29776" s="4" t="s">
        <v>8</v>
      </c>
    </row>
    <row r="29777" spans="1:8">
      <c r="A29777" t="n">
        <v>289741</v>
      </c>
      <c r="B29777" s="38" t="n">
        <v>51</v>
      </c>
      <c r="C29777" s="7" t="n">
        <v>4</v>
      </c>
      <c r="D29777" s="7" t="n">
        <v>9</v>
      </c>
      <c r="E29777" s="7" t="s">
        <v>137</v>
      </c>
    </row>
    <row r="29778" spans="1:8">
      <c r="A29778" t="s">
        <v>4</v>
      </c>
      <c r="B29778" s="4" t="s">
        <v>5</v>
      </c>
      <c r="C29778" s="4" t="s">
        <v>11</v>
      </c>
    </row>
    <row r="29779" spans="1:8">
      <c r="A29779" t="n">
        <v>289754</v>
      </c>
      <c r="B29779" s="29" t="n">
        <v>16</v>
      </c>
      <c r="C29779" s="7" t="n">
        <v>0</v>
      </c>
    </row>
    <row r="29780" spans="1:8">
      <c r="A29780" t="s">
        <v>4</v>
      </c>
      <c r="B29780" s="4" t="s">
        <v>5</v>
      </c>
      <c r="C29780" s="4" t="s">
        <v>11</v>
      </c>
      <c r="D29780" s="4" t="s">
        <v>7</v>
      </c>
      <c r="E29780" s="4" t="s">
        <v>15</v>
      </c>
      <c r="F29780" s="4" t="s">
        <v>55</v>
      </c>
      <c r="G29780" s="4" t="s">
        <v>7</v>
      </c>
      <c r="H29780" s="4" t="s">
        <v>7</v>
      </c>
    </row>
    <row r="29781" spans="1:8">
      <c r="A29781" t="n">
        <v>289757</v>
      </c>
      <c r="B29781" s="55" t="n">
        <v>26</v>
      </c>
      <c r="C29781" s="7" t="n">
        <v>9</v>
      </c>
      <c r="D29781" s="7" t="n">
        <v>17</v>
      </c>
      <c r="E29781" s="7" t="n">
        <v>64690</v>
      </c>
      <c r="F29781" s="7" t="s">
        <v>1687</v>
      </c>
      <c r="G29781" s="7" t="n">
        <v>2</v>
      </c>
      <c r="H29781" s="7" t="n">
        <v>0</v>
      </c>
    </row>
    <row r="29782" spans="1:8">
      <c r="A29782" t="s">
        <v>4</v>
      </c>
      <c r="B29782" s="4" t="s">
        <v>5</v>
      </c>
    </row>
    <row r="29783" spans="1:8">
      <c r="A29783" t="n">
        <v>289781</v>
      </c>
      <c r="B29783" s="27" t="n">
        <v>28</v>
      </c>
    </row>
    <row r="29784" spans="1:8">
      <c r="A29784" t="s">
        <v>4</v>
      </c>
      <c r="B29784" s="4" t="s">
        <v>5</v>
      </c>
      <c r="C29784" s="4" t="s">
        <v>11</v>
      </c>
      <c r="D29784" s="4" t="s">
        <v>8</v>
      </c>
      <c r="E29784" s="4" t="s">
        <v>7</v>
      </c>
      <c r="F29784" s="4" t="s">
        <v>7</v>
      </c>
      <c r="G29784" s="4" t="s">
        <v>7</v>
      </c>
      <c r="H29784" s="4" t="s">
        <v>7</v>
      </c>
      <c r="I29784" s="4" t="s">
        <v>7</v>
      </c>
      <c r="J29784" s="4" t="s">
        <v>13</v>
      </c>
      <c r="K29784" s="4" t="s">
        <v>13</v>
      </c>
      <c r="L29784" s="4" t="s">
        <v>13</v>
      </c>
      <c r="M29784" s="4" t="s">
        <v>13</v>
      </c>
      <c r="N29784" s="4" t="s">
        <v>7</v>
      </c>
    </row>
    <row r="29785" spans="1:8">
      <c r="A29785" t="n">
        <v>289782</v>
      </c>
      <c r="B29785" s="82" t="n">
        <v>34</v>
      </c>
      <c r="C29785" s="7" t="n">
        <v>9</v>
      </c>
      <c r="D29785" s="7" t="s">
        <v>1688</v>
      </c>
      <c r="E29785" s="7" t="n">
        <v>1</v>
      </c>
      <c r="F29785" s="7" t="n">
        <v>1</v>
      </c>
      <c r="G29785" s="7" t="n">
        <v>0</v>
      </c>
      <c r="H29785" s="7" t="n">
        <v>0</v>
      </c>
      <c r="I29785" s="7" t="n">
        <v>1</v>
      </c>
      <c r="J29785" s="7" t="n">
        <v>1</v>
      </c>
      <c r="K29785" s="7" t="n">
        <v>-0.0333333350718021</v>
      </c>
      <c r="L29785" s="7" t="n">
        <v>-0.0333333350718021</v>
      </c>
      <c r="M29785" s="7" t="n">
        <v>-0.0333333350718021</v>
      </c>
      <c r="N29785" s="7" t="n">
        <v>0</v>
      </c>
    </row>
    <row r="29786" spans="1:8">
      <c r="A29786" t="s">
        <v>4</v>
      </c>
      <c r="B29786" s="4" t="s">
        <v>5</v>
      </c>
      <c r="C29786" s="4" t="s">
        <v>11</v>
      </c>
      <c r="D29786" s="4" t="s">
        <v>15</v>
      </c>
    </row>
    <row r="29787" spans="1:8">
      <c r="A29787" t="n">
        <v>289816</v>
      </c>
      <c r="B29787" s="44" t="n">
        <v>98</v>
      </c>
      <c r="C29787" s="7" t="n">
        <v>9</v>
      </c>
      <c r="D29787" s="7" t="n">
        <v>1065353216</v>
      </c>
    </row>
    <row r="29788" spans="1:8">
      <c r="A29788" t="s">
        <v>4</v>
      </c>
      <c r="B29788" s="4" t="s">
        <v>5</v>
      </c>
      <c r="C29788" s="4" t="s">
        <v>7</v>
      </c>
      <c r="D29788" s="4" t="s">
        <v>11</v>
      </c>
      <c r="E29788" s="4" t="s">
        <v>8</v>
      </c>
    </row>
    <row r="29789" spans="1:8">
      <c r="A29789" t="n">
        <v>289823</v>
      </c>
      <c r="B29789" s="38" t="n">
        <v>51</v>
      </c>
      <c r="C29789" s="7" t="n">
        <v>4</v>
      </c>
      <c r="D29789" s="7" t="n">
        <v>9</v>
      </c>
      <c r="E29789" s="7" t="s">
        <v>658</v>
      </c>
    </row>
    <row r="29790" spans="1:8">
      <c r="A29790" t="s">
        <v>4</v>
      </c>
      <c r="B29790" s="4" t="s">
        <v>5</v>
      </c>
      <c r="C29790" s="4" t="s">
        <v>11</v>
      </c>
    </row>
    <row r="29791" spans="1:8">
      <c r="A29791" t="n">
        <v>289837</v>
      </c>
      <c r="B29791" s="29" t="n">
        <v>16</v>
      </c>
      <c r="C29791" s="7" t="n">
        <v>0</v>
      </c>
    </row>
    <row r="29792" spans="1:8">
      <c r="A29792" t="s">
        <v>4</v>
      </c>
      <c r="B29792" s="4" t="s">
        <v>5</v>
      </c>
      <c r="C29792" s="4" t="s">
        <v>11</v>
      </c>
      <c r="D29792" s="4" t="s">
        <v>7</v>
      </c>
      <c r="E29792" s="4" t="s">
        <v>15</v>
      </c>
      <c r="F29792" s="4" t="s">
        <v>55</v>
      </c>
      <c r="G29792" s="4" t="s">
        <v>7</v>
      </c>
      <c r="H29792" s="4" t="s">
        <v>7</v>
      </c>
    </row>
    <row r="29793" spans="1:14">
      <c r="A29793" t="n">
        <v>289840</v>
      </c>
      <c r="B29793" s="55" t="n">
        <v>26</v>
      </c>
      <c r="C29793" s="7" t="n">
        <v>9</v>
      </c>
      <c r="D29793" s="7" t="n">
        <v>17</v>
      </c>
      <c r="E29793" s="7" t="n">
        <v>64691</v>
      </c>
      <c r="F29793" s="7" t="s">
        <v>1689</v>
      </c>
      <c r="G29793" s="7" t="n">
        <v>2</v>
      </c>
      <c r="H29793" s="7" t="n">
        <v>0</v>
      </c>
    </row>
    <row r="29794" spans="1:14">
      <c r="A29794" t="s">
        <v>4</v>
      </c>
      <c r="B29794" s="4" t="s">
        <v>5</v>
      </c>
    </row>
    <row r="29795" spans="1:14">
      <c r="A29795" t="n">
        <v>289889</v>
      </c>
      <c r="B29795" s="27" t="n">
        <v>28</v>
      </c>
    </row>
    <row r="29796" spans="1:14">
      <c r="A29796" t="s">
        <v>4</v>
      </c>
      <c r="B29796" s="4" t="s">
        <v>5</v>
      </c>
      <c r="C29796" s="4" t="s">
        <v>7</v>
      </c>
      <c r="D29796" s="4" t="s">
        <v>11</v>
      </c>
      <c r="E29796" s="4" t="s">
        <v>8</v>
      </c>
    </row>
    <row r="29797" spans="1:14">
      <c r="A29797" t="n">
        <v>289890</v>
      </c>
      <c r="B29797" s="38" t="n">
        <v>51</v>
      </c>
      <c r="C29797" s="7" t="n">
        <v>4</v>
      </c>
      <c r="D29797" s="7" t="n">
        <v>0</v>
      </c>
      <c r="E29797" s="7" t="s">
        <v>137</v>
      </c>
    </row>
    <row r="29798" spans="1:14">
      <c r="A29798" t="s">
        <v>4</v>
      </c>
      <c r="B29798" s="4" t="s">
        <v>5</v>
      </c>
      <c r="C29798" s="4" t="s">
        <v>11</v>
      </c>
    </row>
    <row r="29799" spans="1:14">
      <c r="A29799" t="n">
        <v>289903</v>
      </c>
      <c r="B29799" s="29" t="n">
        <v>16</v>
      </c>
      <c r="C29799" s="7" t="n">
        <v>0</v>
      </c>
    </row>
    <row r="29800" spans="1:14">
      <c r="A29800" t="s">
        <v>4</v>
      </c>
      <c r="B29800" s="4" t="s">
        <v>5</v>
      </c>
      <c r="C29800" s="4" t="s">
        <v>11</v>
      </c>
      <c r="D29800" s="4" t="s">
        <v>7</v>
      </c>
      <c r="E29800" s="4" t="s">
        <v>15</v>
      </c>
      <c r="F29800" s="4" t="s">
        <v>55</v>
      </c>
      <c r="G29800" s="4" t="s">
        <v>7</v>
      </c>
      <c r="H29800" s="4" t="s">
        <v>7</v>
      </c>
    </row>
    <row r="29801" spans="1:14">
      <c r="A29801" t="n">
        <v>289906</v>
      </c>
      <c r="B29801" s="55" t="n">
        <v>26</v>
      </c>
      <c r="C29801" s="7" t="n">
        <v>0</v>
      </c>
      <c r="D29801" s="7" t="n">
        <v>17</v>
      </c>
      <c r="E29801" s="7" t="n">
        <v>64692</v>
      </c>
      <c r="F29801" s="7" t="s">
        <v>1690</v>
      </c>
      <c r="G29801" s="7" t="n">
        <v>2</v>
      </c>
      <c r="H29801" s="7" t="n">
        <v>0</v>
      </c>
    </row>
    <row r="29802" spans="1:14">
      <c r="A29802" t="s">
        <v>4</v>
      </c>
      <c r="B29802" s="4" t="s">
        <v>5</v>
      </c>
    </row>
    <row r="29803" spans="1:14">
      <c r="A29803" t="n">
        <v>289927</v>
      </c>
      <c r="B29803" s="27" t="n">
        <v>28</v>
      </c>
    </row>
    <row r="29804" spans="1:14">
      <c r="A29804" t="s">
        <v>4</v>
      </c>
      <c r="B29804" s="4" t="s">
        <v>5</v>
      </c>
      <c r="C29804" s="4" t="s">
        <v>7</v>
      </c>
      <c r="D29804" s="4" t="s">
        <v>11</v>
      </c>
      <c r="E29804" s="4" t="s">
        <v>11</v>
      </c>
      <c r="F29804" s="4" t="s">
        <v>7</v>
      </c>
    </row>
    <row r="29805" spans="1:14">
      <c r="A29805" t="n">
        <v>289928</v>
      </c>
      <c r="B29805" s="31" t="n">
        <v>25</v>
      </c>
      <c r="C29805" s="7" t="n">
        <v>1</v>
      </c>
      <c r="D29805" s="7" t="n">
        <v>65535</v>
      </c>
      <c r="E29805" s="7" t="n">
        <v>65535</v>
      </c>
      <c r="F29805" s="7" t="n">
        <v>0</v>
      </c>
    </row>
    <row r="29806" spans="1:14">
      <c r="A29806" t="s">
        <v>4</v>
      </c>
      <c r="B29806" s="4" t="s">
        <v>5</v>
      </c>
      <c r="C29806" s="4" t="s">
        <v>7</v>
      </c>
      <c r="D29806" s="4" t="s">
        <v>11</v>
      </c>
      <c r="E29806" s="4" t="s">
        <v>8</v>
      </c>
    </row>
    <row r="29807" spans="1:14">
      <c r="A29807" t="n">
        <v>289935</v>
      </c>
      <c r="B29807" s="38" t="n">
        <v>51</v>
      </c>
      <c r="C29807" s="7" t="n">
        <v>4</v>
      </c>
      <c r="D29807" s="7" t="n">
        <v>9</v>
      </c>
      <c r="E29807" s="7" t="s">
        <v>219</v>
      </c>
    </row>
    <row r="29808" spans="1:14">
      <c r="A29808" t="s">
        <v>4</v>
      </c>
      <c r="B29808" s="4" t="s">
        <v>5</v>
      </c>
      <c r="C29808" s="4" t="s">
        <v>11</v>
      </c>
    </row>
    <row r="29809" spans="1:8">
      <c r="A29809" t="n">
        <v>289948</v>
      </c>
      <c r="B29809" s="29" t="n">
        <v>16</v>
      </c>
      <c r="C29809" s="7" t="n">
        <v>0</v>
      </c>
    </row>
    <row r="29810" spans="1:8">
      <c r="A29810" t="s">
        <v>4</v>
      </c>
      <c r="B29810" s="4" t="s">
        <v>5</v>
      </c>
      <c r="C29810" s="4" t="s">
        <v>11</v>
      </c>
      <c r="D29810" s="4" t="s">
        <v>7</v>
      </c>
      <c r="E29810" s="4" t="s">
        <v>15</v>
      </c>
      <c r="F29810" s="4" t="s">
        <v>55</v>
      </c>
      <c r="G29810" s="4" t="s">
        <v>7</v>
      </c>
      <c r="H29810" s="4" t="s">
        <v>7</v>
      </c>
      <c r="I29810" s="4" t="s">
        <v>7</v>
      </c>
      <c r="J29810" s="4" t="s">
        <v>15</v>
      </c>
      <c r="K29810" s="4" t="s">
        <v>55</v>
      </c>
      <c r="L29810" s="4" t="s">
        <v>7</v>
      </c>
      <c r="M29810" s="4" t="s">
        <v>7</v>
      </c>
    </row>
    <row r="29811" spans="1:8">
      <c r="A29811" t="n">
        <v>289951</v>
      </c>
      <c r="B29811" s="55" t="n">
        <v>26</v>
      </c>
      <c r="C29811" s="7" t="n">
        <v>9</v>
      </c>
      <c r="D29811" s="7" t="n">
        <v>17</v>
      </c>
      <c r="E29811" s="7" t="n">
        <v>64693</v>
      </c>
      <c r="F29811" s="7" t="s">
        <v>1691</v>
      </c>
      <c r="G29811" s="7" t="n">
        <v>2</v>
      </c>
      <c r="H29811" s="7" t="n">
        <v>3</v>
      </c>
      <c r="I29811" s="7" t="n">
        <v>17</v>
      </c>
      <c r="J29811" s="7" t="n">
        <v>64694</v>
      </c>
      <c r="K29811" s="7" t="s">
        <v>1692</v>
      </c>
      <c r="L29811" s="7" t="n">
        <v>2</v>
      </c>
      <c r="M29811" s="7" t="n">
        <v>0</v>
      </c>
    </row>
    <row r="29812" spans="1:8">
      <c r="A29812" t="s">
        <v>4</v>
      </c>
      <c r="B29812" s="4" t="s">
        <v>5</v>
      </c>
    </row>
    <row r="29813" spans="1:8">
      <c r="A29813" t="n">
        <v>290126</v>
      </c>
      <c r="B29813" s="27" t="n">
        <v>28</v>
      </c>
    </row>
    <row r="29814" spans="1:8">
      <c r="A29814" t="s">
        <v>4</v>
      </c>
      <c r="B29814" s="4" t="s">
        <v>5</v>
      </c>
      <c r="C29814" s="4" t="s">
        <v>11</v>
      </c>
      <c r="D29814" s="4" t="s">
        <v>7</v>
      </c>
      <c r="E29814" s="4" t="s">
        <v>8</v>
      </c>
      <c r="F29814" s="4" t="s">
        <v>13</v>
      </c>
      <c r="G29814" s="4" t="s">
        <v>13</v>
      </c>
      <c r="H29814" s="4" t="s">
        <v>13</v>
      </c>
    </row>
    <row r="29815" spans="1:8">
      <c r="A29815" t="n">
        <v>290127</v>
      </c>
      <c r="B29815" s="42" t="n">
        <v>48</v>
      </c>
      <c r="C29815" s="7" t="n">
        <v>9</v>
      </c>
      <c r="D29815" s="7" t="n">
        <v>0</v>
      </c>
      <c r="E29815" s="7" t="s">
        <v>1684</v>
      </c>
      <c r="F29815" s="7" t="n">
        <v>-1</v>
      </c>
      <c r="G29815" s="7" t="n">
        <v>1</v>
      </c>
      <c r="H29815" s="7" t="n">
        <v>0</v>
      </c>
    </row>
    <row r="29816" spans="1:8">
      <c r="A29816" t="s">
        <v>4</v>
      </c>
      <c r="B29816" s="4" t="s">
        <v>5</v>
      </c>
      <c r="C29816" s="4" t="s">
        <v>11</v>
      </c>
    </row>
    <row r="29817" spans="1:8">
      <c r="A29817" t="n">
        <v>290162</v>
      </c>
      <c r="B29817" s="29" t="n">
        <v>16</v>
      </c>
      <c r="C29817" s="7" t="n">
        <v>1000</v>
      </c>
    </row>
    <row r="29818" spans="1:8">
      <c r="A29818" t="s">
        <v>4</v>
      </c>
      <c r="B29818" s="4" t="s">
        <v>5</v>
      </c>
      <c r="C29818" s="4" t="s">
        <v>7</v>
      </c>
      <c r="D29818" s="4" t="s">
        <v>11</v>
      </c>
      <c r="E29818" s="4" t="s">
        <v>8</v>
      </c>
    </row>
    <row r="29819" spans="1:8">
      <c r="A29819" t="n">
        <v>290165</v>
      </c>
      <c r="B29819" s="38" t="n">
        <v>51</v>
      </c>
      <c r="C29819" s="7" t="n">
        <v>4</v>
      </c>
      <c r="D29819" s="7" t="n">
        <v>9</v>
      </c>
      <c r="E29819" s="7" t="s">
        <v>658</v>
      </c>
    </row>
    <row r="29820" spans="1:8">
      <c r="A29820" t="s">
        <v>4</v>
      </c>
      <c r="B29820" s="4" t="s">
        <v>5</v>
      </c>
      <c r="C29820" s="4" t="s">
        <v>11</v>
      </c>
    </row>
    <row r="29821" spans="1:8">
      <c r="A29821" t="n">
        <v>290179</v>
      </c>
      <c r="B29821" s="29" t="n">
        <v>16</v>
      </c>
      <c r="C29821" s="7" t="n">
        <v>0</v>
      </c>
    </row>
    <row r="29822" spans="1:8">
      <c r="A29822" t="s">
        <v>4</v>
      </c>
      <c r="B29822" s="4" t="s">
        <v>5</v>
      </c>
      <c r="C29822" s="4" t="s">
        <v>11</v>
      </c>
      <c r="D29822" s="4" t="s">
        <v>7</v>
      </c>
      <c r="E29822" s="4" t="s">
        <v>15</v>
      </c>
      <c r="F29822" s="4" t="s">
        <v>55</v>
      </c>
      <c r="G29822" s="4" t="s">
        <v>7</v>
      </c>
      <c r="H29822" s="4" t="s">
        <v>7</v>
      </c>
    </row>
    <row r="29823" spans="1:8">
      <c r="A29823" t="n">
        <v>290182</v>
      </c>
      <c r="B29823" s="55" t="n">
        <v>26</v>
      </c>
      <c r="C29823" s="7" t="n">
        <v>9</v>
      </c>
      <c r="D29823" s="7" t="n">
        <v>17</v>
      </c>
      <c r="E29823" s="7" t="n">
        <v>64695</v>
      </c>
      <c r="F29823" s="7" t="s">
        <v>1693</v>
      </c>
      <c r="G29823" s="7" t="n">
        <v>2</v>
      </c>
      <c r="H29823" s="7" t="n">
        <v>0</v>
      </c>
    </row>
    <row r="29824" spans="1:8">
      <c r="A29824" t="s">
        <v>4</v>
      </c>
      <c r="B29824" s="4" t="s">
        <v>5</v>
      </c>
    </row>
    <row r="29825" spans="1:13">
      <c r="A29825" t="n">
        <v>290298</v>
      </c>
      <c r="B29825" s="27" t="n">
        <v>28</v>
      </c>
    </row>
    <row r="29826" spans="1:13">
      <c r="A29826" t="s">
        <v>4</v>
      </c>
      <c r="B29826" s="4" t="s">
        <v>5</v>
      </c>
      <c r="C29826" s="4" t="s">
        <v>7</v>
      </c>
      <c r="D29826" s="4" t="s">
        <v>11</v>
      </c>
      <c r="E29826" s="4" t="s">
        <v>8</v>
      </c>
    </row>
    <row r="29827" spans="1:13">
      <c r="A29827" t="n">
        <v>290299</v>
      </c>
      <c r="B29827" s="38" t="n">
        <v>51</v>
      </c>
      <c r="C29827" s="7" t="n">
        <v>4</v>
      </c>
      <c r="D29827" s="7" t="n">
        <v>0</v>
      </c>
      <c r="E29827" s="7" t="s">
        <v>242</v>
      </c>
    </row>
    <row r="29828" spans="1:13">
      <c r="A29828" t="s">
        <v>4</v>
      </c>
      <c r="B29828" s="4" t="s">
        <v>5</v>
      </c>
      <c r="C29828" s="4" t="s">
        <v>11</v>
      </c>
    </row>
    <row r="29829" spans="1:13">
      <c r="A29829" t="n">
        <v>290313</v>
      </c>
      <c r="B29829" s="29" t="n">
        <v>16</v>
      </c>
      <c r="C29829" s="7" t="n">
        <v>0</v>
      </c>
    </row>
    <row r="29830" spans="1:13">
      <c r="A29830" t="s">
        <v>4</v>
      </c>
      <c r="B29830" s="4" t="s">
        <v>5</v>
      </c>
      <c r="C29830" s="4" t="s">
        <v>11</v>
      </c>
      <c r="D29830" s="4" t="s">
        <v>7</v>
      </c>
      <c r="E29830" s="4" t="s">
        <v>15</v>
      </c>
      <c r="F29830" s="4" t="s">
        <v>55</v>
      </c>
      <c r="G29830" s="4" t="s">
        <v>7</v>
      </c>
      <c r="H29830" s="4" t="s">
        <v>7</v>
      </c>
      <c r="I29830" s="4" t="s">
        <v>7</v>
      </c>
      <c r="J29830" s="4" t="s">
        <v>15</v>
      </c>
      <c r="K29830" s="4" t="s">
        <v>55</v>
      </c>
      <c r="L29830" s="4" t="s">
        <v>7</v>
      </c>
      <c r="M29830" s="4" t="s">
        <v>7</v>
      </c>
      <c r="N29830" s="4" t="s">
        <v>7</v>
      </c>
      <c r="O29830" s="4" t="s">
        <v>15</v>
      </c>
      <c r="P29830" s="4" t="s">
        <v>55</v>
      </c>
      <c r="Q29830" s="4" t="s">
        <v>7</v>
      </c>
      <c r="R29830" s="4" t="s">
        <v>7</v>
      </c>
    </row>
    <row r="29831" spans="1:13">
      <c r="A29831" t="n">
        <v>290316</v>
      </c>
      <c r="B29831" s="55" t="n">
        <v>26</v>
      </c>
      <c r="C29831" s="7" t="n">
        <v>0</v>
      </c>
      <c r="D29831" s="7" t="n">
        <v>17</v>
      </c>
      <c r="E29831" s="7" t="n">
        <v>64696</v>
      </c>
      <c r="F29831" s="7" t="s">
        <v>1694</v>
      </c>
      <c r="G29831" s="7" t="n">
        <v>2</v>
      </c>
      <c r="H29831" s="7" t="n">
        <v>3</v>
      </c>
      <c r="I29831" s="7" t="n">
        <v>17</v>
      </c>
      <c r="J29831" s="7" t="n">
        <v>64697</v>
      </c>
      <c r="K29831" s="7" t="s">
        <v>1695</v>
      </c>
      <c r="L29831" s="7" t="n">
        <v>2</v>
      </c>
      <c r="M29831" s="7" t="n">
        <v>3</v>
      </c>
      <c r="N29831" s="7" t="n">
        <v>17</v>
      </c>
      <c r="O29831" s="7" t="n">
        <v>64698</v>
      </c>
      <c r="P29831" s="7" t="s">
        <v>1696</v>
      </c>
      <c r="Q29831" s="7" t="n">
        <v>2</v>
      </c>
      <c r="R29831" s="7" t="n">
        <v>0</v>
      </c>
    </row>
    <row r="29832" spans="1:13">
      <c r="A29832" t="s">
        <v>4</v>
      </c>
      <c r="B29832" s="4" t="s">
        <v>5</v>
      </c>
    </row>
    <row r="29833" spans="1:13">
      <c r="A29833" t="n">
        <v>290497</v>
      </c>
      <c r="B29833" s="27" t="n">
        <v>28</v>
      </c>
    </row>
    <row r="29834" spans="1:13">
      <c r="A29834" t="s">
        <v>4</v>
      </c>
      <c r="B29834" s="4" t="s">
        <v>5</v>
      </c>
      <c r="C29834" s="4" t="s">
        <v>7</v>
      </c>
      <c r="D29834" s="4" t="s">
        <v>11</v>
      </c>
      <c r="E29834" s="4" t="s">
        <v>11</v>
      </c>
      <c r="F29834" s="4" t="s">
        <v>7</v>
      </c>
    </row>
    <row r="29835" spans="1:13">
      <c r="A29835" t="n">
        <v>290498</v>
      </c>
      <c r="B29835" s="31" t="n">
        <v>25</v>
      </c>
      <c r="C29835" s="7" t="n">
        <v>1</v>
      </c>
      <c r="D29835" s="7" t="n">
        <v>65535</v>
      </c>
      <c r="E29835" s="7" t="n">
        <v>65535</v>
      </c>
      <c r="F29835" s="7" t="n">
        <v>0</v>
      </c>
    </row>
    <row r="29836" spans="1:13">
      <c r="A29836" t="s">
        <v>4</v>
      </c>
      <c r="B29836" s="4" t="s">
        <v>5</v>
      </c>
      <c r="C29836" s="4" t="s">
        <v>7</v>
      </c>
      <c r="D29836" s="4" t="s">
        <v>11</v>
      </c>
      <c r="E29836" s="4" t="s">
        <v>8</v>
      </c>
    </row>
    <row r="29837" spans="1:13">
      <c r="A29837" t="n">
        <v>290505</v>
      </c>
      <c r="B29837" s="38" t="n">
        <v>51</v>
      </c>
      <c r="C29837" s="7" t="n">
        <v>4</v>
      </c>
      <c r="D29837" s="7" t="n">
        <v>9</v>
      </c>
      <c r="E29837" s="7" t="s">
        <v>643</v>
      </c>
    </row>
    <row r="29838" spans="1:13">
      <c r="A29838" t="s">
        <v>4</v>
      </c>
      <c r="B29838" s="4" t="s">
        <v>5</v>
      </c>
      <c r="C29838" s="4" t="s">
        <v>11</v>
      </c>
    </row>
    <row r="29839" spans="1:13">
      <c r="A29839" t="n">
        <v>290518</v>
      </c>
      <c r="B29839" s="29" t="n">
        <v>16</v>
      </c>
      <c r="C29839" s="7" t="n">
        <v>0</v>
      </c>
    </row>
    <row r="29840" spans="1:13">
      <c r="A29840" t="s">
        <v>4</v>
      </c>
      <c r="B29840" s="4" t="s">
        <v>5</v>
      </c>
      <c r="C29840" s="4" t="s">
        <v>11</v>
      </c>
      <c r="D29840" s="4" t="s">
        <v>7</v>
      </c>
      <c r="E29840" s="4" t="s">
        <v>15</v>
      </c>
      <c r="F29840" s="4" t="s">
        <v>55</v>
      </c>
      <c r="G29840" s="4" t="s">
        <v>7</v>
      </c>
      <c r="H29840" s="4" t="s">
        <v>7</v>
      </c>
      <c r="I29840" s="4" t="s">
        <v>7</v>
      </c>
      <c r="J29840" s="4" t="s">
        <v>15</v>
      </c>
      <c r="K29840" s="4" t="s">
        <v>55</v>
      </c>
      <c r="L29840" s="4" t="s">
        <v>7</v>
      </c>
      <c r="M29840" s="4" t="s">
        <v>7</v>
      </c>
    </row>
    <row r="29841" spans="1:18">
      <c r="A29841" t="n">
        <v>290521</v>
      </c>
      <c r="B29841" s="55" t="n">
        <v>26</v>
      </c>
      <c r="C29841" s="7" t="n">
        <v>9</v>
      </c>
      <c r="D29841" s="7" t="n">
        <v>17</v>
      </c>
      <c r="E29841" s="7" t="n">
        <v>64699</v>
      </c>
      <c r="F29841" s="7" t="s">
        <v>1697</v>
      </c>
      <c r="G29841" s="7" t="n">
        <v>2</v>
      </c>
      <c r="H29841" s="7" t="n">
        <v>3</v>
      </c>
      <c r="I29841" s="7" t="n">
        <v>17</v>
      </c>
      <c r="J29841" s="7" t="n">
        <v>64700</v>
      </c>
      <c r="K29841" s="7" t="s">
        <v>1698</v>
      </c>
      <c r="L29841" s="7" t="n">
        <v>2</v>
      </c>
      <c r="M29841" s="7" t="n">
        <v>0</v>
      </c>
    </row>
    <row r="29842" spans="1:18">
      <c r="A29842" t="s">
        <v>4</v>
      </c>
      <c r="B29842" s="4" t="s">
        <v>5</v>
      </c>
    </row>
    <row r="29843" spans="1:18">
      <c r="A29843" t="n">
        <v>290679</v>
      </c>
      <c r="B29843" s="27" t="n">
        <v>28</v>
      </c>
    </row>
    <row r="29844" spans="1:18">
      <c r="A29844" t="s">
        <v>4</v>
      </c>
      <c r="B29844" s="4" t="s">
        <v>5</v>
      </c>
      <c r="C29844" s="4" t="s">
        <v>7</v>
      </c>
      <c r="D29844" s="4" t="s">
        <v>11</v>
      </c>
      <c r="E29844" s="4" t="s">
        <v>8</v>
      </c>
    </row>
    <row r="29845" spans="1:18">
      <c r="A29845" t="n">
        <v>290680</v>
      </c>
      <c r="B29845" s="38" t="n">
        <v>51</v>
      </c>
      <c r="C29845" s="7" t="n">
        <v>4</v>
      </c>
      <c r="D29845" s="7" t="n">
        <v>9</v>
      </c>
      <c r="E29845" s="7" t="s">
        <v>574</v>
      </c>
    </row>
    <row r="29846" spans="1:18">
      <c r="A29846" t="s">
        <v>4</v>
      </c>
      <c r="B29846" s="4" t="s">
        <v>5</v>
      </c>
      <c r="C29846" s="4" t="s">
        <v>11</v>
      </c>
    </row>
    <row r="29847" spans="1:18">
      <c r="A29847" t="n">
        <v>290693</v>
      </c>
      <c r="B29847" s="29" t="n">
        <v>16</v>
      </c>
      <c r="C29847" s="7" t="n">
        <v>0</v>
      </c>
    </row>
    <row r="29848" spans="1:18">
      <c r="A29848" t="s">
        <v>4</v>
      </c>
      <c r="B29848" s="4" t="s">
        <v>5</v>
      </c>
      <c r="C29848" s="4" t="s">
        <v>11</v>
      </c>
      <c r="D29848" s="4" t="s">
        <v>7</v>
      </c>
      <c r="E29848" s="4" t="s">
        <v>15</v>
      </c>
      <c r="F29848" s="4" t="s">
        <v>55</v>
      </c>
      <c r="G29848" s="4" t="s">
        <v>7</v>
      </c>
      <c r="H29848" s="4" t="s">
        <v>7</v>
      </c>
    </row>
    <row r="29849" spans="1:18">
      <c r="A29849" t="n">
        <v>290696</v>
      </c>
      <c r="B29849" s="55" t="n">
        <v>26</v>
      </c>
      <c r="C29849" s="7" t="n">
        <v>9</v>
      </c>
      <c r="D29849" s="7" t="n">
        <v>17</v>
      </c>
      <c r="E29849" s="7" t="n">
        <v>64701</v>
      </c>
      <c r="F29849" s="7" t="s">
        <v>1699</v>
      </c>
      <c r="G29849" s="7" t="n">
        <v>2</v>
      </c>
      <c r="H29849" s="7" t="n">
        <v>0</v>
      </c>
    </row>
    <row r="29850" spans="1:18">
      <c r="A29850" t="s">
        <v>4</v>
      </c>
      <c r="B29850" s="4" t="s">
        <v>5</v>
      </c>
    </row>
    <row r="29851" spans="1:18">
      <c r="A29851" t="n">
        <v>290806</v>
      </c>
      <c r="B29851" s="27" t="n">
        <v>28</v>
      </c>
    </row>
    <row r="29852" spans="1:18">
      <c r="A29852" t="s">
        <v>4</v>
      </c>
      <c r="B29852" s="4" t="s">
        <v>5</v>
      </c>
      <c r="C29852" s="4" t="s">
        <v>7</v>
      </c>
      <c r="D29852" s="4" t="s">
        <v>11</v>
      </c>
      <c r="E29852" s="4" t="s">
        <v>8</v>
      </c>
    </row>
    <row r="29853" spans="1:18">
      <c r="A29853" t="n">
        <v>290807</v>
      </c>
      <c r="B29853" s="38" t="n">
        <v>51</v>
      </c>
      <c r="C29853" s="7" t="n">
        <v>4</v>
      </c>
      <c r="D29853" s="7" t="n">
        <v>0</v>
      </c>
      <c r="E29853" s="7" t="s">
        <v>179</v>
      </c>
    </row>
    <row r="29854" spans="1:18">
      <c r="A29854" t="s">
        <v>4</v>
      </c>
      <c r="B29854" s="4" t="s">
        <v>5</v>
      </c>
      <c r="C29854" s="4" t="s">
        <v>11</v>
      </c>
    </row>
    <row r="29855" spans="1:18">
      <c r="A29855" t="n">
        <v>290821</v>
      </c>
      <c r="B29855" s="29" t="n">
        <v>16</v>
      </c>
      <c r="C29855" s="7" t="n">
        <v>0</v>
      </c>
    </row>
    <row r="29856" spans="1:18">
      <c r="A29856" t="s">
        <v>4</v>
      </c>
      <c r="B29856" s="4" t="s">
        <v>5</v>
      </c>
      <c r="C29856" s="4" t="s">
        <v>11</v>
      </c>
      <c r="D29856" s="4" t="s">
        <v>7</v>
      </c>
      <c r="E29856" s="4" t="s">
        <v>15</v>
      </c>
      <c r="F29856" s="4" t="s">
        <v>55</v>
      </c>
      <c r="G29856" s="4" t="s">
        <v>7</v>
      </c>
      <c r="H29856" s="4" t="s">
        <v>7</v>
      </c>
      <c r="I29856" s="4" t="s">
        <v>7</v>
      </c>
      <c r="J29856" s="4" t="s">
        <v>15</v>
      </c>
      <c r="K29856" s="4" t="s">
        <v>55</v>
      </c>
      <c r="L29856" s="4" t="s">
        <v>7</v>
      </c>
      <c r="M29856" s="4" t="s">
        <v>7</v>
      </c>
    </row>
    <row r="29857" spans="1:13">
      <c r="A29857" t="n">
        <v>290824</v>
      </c>
      <c r="B29857" s="55" t="n">
        <v>26</v>
      </c>
      <c r="C29857" s="7" t="n">
        <v>0</v>
      </c>
      <c r="D29857" s="7" t="n">
        <v>17</v>
      </c>
      <c r="E29857" s="7" t="n">
        <v>64702</v>
      </c>
      <c r="F29857" s="7" t="s">
        <v>1700</v>
      </c>
      <c r="G29857" s="7" t="n">
        <v>2</v>
      </c>
      <c r="H29857" s="7" t="n">
        <v>3</v>
      </c>
      <c r="I29857" s="7" t="n">
        <v>17</v>
      </c>
      <c r="J29857" s="7" t="n">
        <v>64268</v>
      </c>
      <c r="K29857" s="7" t="s">
        <v>1701</v>
      </c>
      <c r="L29857" s="7" t="n">
        <v>2</v>
      </c>
      <c r="M29857" s="7" t="n">
        <v>0</v>
      </c>
    </row>
    <row r="29858" spans="1:13">
      <c r="A29858" t="s">
        <v>4</v>
      </c>
      <c r="B29858" s="4" t="s">
        <v>5</v>
      </c>
    </row>
    <row r="29859" spans="1:13">
      <c r="A29859" t="n">
        <v>290871</v>
      </c>
      <c r="B29859" s="27" t="n">
        <v>28</v>
      </c>
    </row>
    <row r="29860" spans="1:13">
      <c r="A29860" t="s">
        <v>4</v>
      </c>
      <c r="B29860" s="4" t="s">
        <v>5</v>
      </c>
      <c r="C29860" s="4" t="s">
        <v>7</v>
      </c>
      <c r="D29860" s="4" t="s">
        <v>11</v>
      </c>
      <c r="E29860" s="4" t="s">
        <v>11</v>
      </c>
      <c r="F29860" s="4" t="s">
        <v>7</v>
      </c>
    </row>
    <row r="29861" spans="1:13">
      <c r="A29861" t="n">
        <v>290872</v>
      </c>
      <c r="B29861" s="31" t="n">
        <v>25</v>
      </c>
      <c r="C29861" s="7" t="n">
        <v>1</v>
      </c>
      <c r="D29861" s="7" t="n">
        <v>65535</v>
      </c>
      <c r="E29861" s="7" t="n">
        <v>65535</v>
      </c>
      <c r="F29861" s="7" t="n">
        <v>0</v>
      </c>
    </row>
    <row r="29862" spans="1:13">
      <c r="A29862" t="s">
        <v>4</v>
      </c>
      <c r="B29862" s="4" t="s">
        <v>5</v>
      </c>
      <c r="C29862" s="4" t="s">
        <v>11</v>
      </c>
      <c r="D29862" s="4" t="s">
        <v>7</v>
      </c>
      <c r="E29862" s="4" t="s">
        <v>13</v>
      </c>
      <c r="F29862" s="4" t="s">
        <v>11</v>
      </c>
    </row>
    <row r="29863" spans="1:13">
      <c r="A29863" t="n">
        <v>290879</v>
      </c>
      <c r="B29863" s="56" t="n">
        <v>59</v>
      </c>
      <c r="C29863" s="7" t="n">
        <v>0</v>
      </c>
      <c r="D29863" s="7" t="n">
        <v>9</v>
      </c>
      <c r="E29863" s="7" t="n">
        <v>0.150000005960464</v>
      </c>
      <c r="F29863" s="7" t="n">
        <v>0</v>
      </c>
    </row>
    <row r="29864" spans="1:13">
      <c r="A29864" t="s">
        <v>4</v>
      </c>
      <c r="B29864" s="4" t="s">
        <v>5</v>
      </c>
      <c r="C29864" s="4" t="s">
        <v>11</v>
      </c>
    </row>
    <row r="29865" spans="1:13">
      <c r="A29865" t="n">
        <v>290889</v>
      </c>
      <c r="B29865" s="29" t="n">
        <v>16</v>
      </c>
      <c r="C29865" s="7" t="n">
        <v>1500</v>
      </c>
    </row>
    <row r="29866" spans="1:13">
      <c r="A29866" t="s">
        <v>4</v>
      </c>
      <c r="B29866" s="4" t="s">
        <v>5</v>
      </c>
      <c r="C29866" s="4" t="s">
        <v>7</v>
      </c>
      <c r="D29866" s="4" t="s">
        <v>11</v>
      </c>
      <c r="E29866" s="4" t="s">
        <v>8</v>
      </c>
    </row>
    <row r="29867" spans="1:13">
      <c r="A29867" t="n">
        <v>290892</v>
      </c>
      <c r="B29867" s="38" t="n">
        <v>51</v>
      </c>
      <c r="C29867" s="7" t="n">
        <v>4</v>
      </c>
      <c r="D29867" s="7" t="n">
        <v>0</v>
      </c>
      <c r="E29867" s="7" t="s">
        <v>643</v>
      </c>
    </row>
    <row r="29868" spans="1:13">
      <c r="A29868" t="s">
        <v>4</v>
      </c>
      <c r="B29868" s="4" t="s">
        <v>5</v>
      </c>
      <c r="C29868" s="4" t="s">
        <v>11</v>
      </c>
    </row>
    <row r="29869" spans="1:13">
      <c r="A29869" t="n">
        <v>290905</v>
      </c>
      <c r="B29869" s="29" t="n">
        <v>16</v>
      </c>
      <c r="C29869" s="7" t="n">
        <v>0</v>
      </c>
    </row>
    <row r="29870" spans="1:13">
      <c r="A29870" t="s">
        <v>4</v>
      </c>
      <c r="B29870" s="4" t="s">
        <v>5</v>
      </c>
      <c r="C29870" s="4" t="s">
        <v>11</v>
      </c>
      <c r="D29870" s="4" t="s">
        <v>7</v>
      </c>
      <c r="E29870" s="4" t="s">
        <v>15</v>
      </c>
      <c r="F29870" s="4" t="s">
        <v>55</v>
      </c>
      <c r="G29870" s="4" t="s">
        <v>7</v>
      </c>
      <c r="H29870" s="4" t="s">
        <v>7</v>
      </c>
      <c r="I29870" s="4" t="s">
        <v>7</v>
      </c>
      <c r="J29870" s="4" t="s">
        <v>15</v>
      </c>
      <c r="K29870" s="4" t="s">
        <v>55</v>
      </c>
      <c r="L29870" s="4" t="s">
        <v>7</v>
      </c>
      <c r="M29870" s="4" t="s">
        <v>7</v>
      </c>
      <c r="N29870" s="4" t="s">
        <v>7</v>
      </c>
      <c r="O29870" s="4" t="s">
        <v>15</v>
      </c>
      <c r="P29870" s="4" t="s">
        <v>55</v>
      </c>
      <c r="Q29870" s="4" t="s">
        <v>7</v>
      </c>
      <c r="R29870" s="4" t="s">
        <v>7</v>
      </c>
    </row>
    <row r="29871" spans="1:13">
      <c r="A29871" t="n">
        <v>290908</v>
      </c>
      <c r="B29871" s="55" t="n">
        <v>26</v>
      </c>
      <c r="C29871" s="7" t="n">
        <v>0</v>
      </c>
      <c r="D29871" s="7" t="n">
        <v>17</v>
      </c>
      <c r="E29871" s="7" t="n">
        <v>64714</v>
      </c>
      <c r="F29871" s="7" t="s">
        <v>1714</v>
      </c>
      <c r="G29871" s="7" t="n">
        <v>2</v>
      </c>
      <c r="H29871" s="7" t="n">
        <v>3</v>
      </c>
      <c r="I29871" s="7" t="n">
        <v>17</v>
      </c>
      <c r="J29871" s="7" t="n">
        <v>64715</v>
      </c>
      <c r="K29871" s="7" t="s">
        <v>1715</v>
      </c>
      <c r="L29871" s="7" t="n">
        <v>2</v>
      </c>
      <c r="M29871" s="7" t="n">
        <v>3</v>
      </c>
      <c r="N29871" s="7" t="n">
        <v>17</v>
      </c>
      <c r="O29871" s="7" t="n">
        <v>64716</v>
      </c>
      <c r="P29871" s="7" t="s">
        <v>1716</v>
      </c>
      <c r="Q29871" s="7" t="n">
        <v>2</v>
      </c>
      <c r="R29871" s="7" t="n">
        <v>0</v>
      </c>
    </row>
    <row r="29872" spans="1:13">
      <c r="A29872" t="s">
        <v>4</v>
      </c>
      <c r="B29872" s="4" t="s">
        <v>5</v>
      </c>
    </row>
    <row r="29873" spans="1:18">
      <c r="A29873" t="n">
        <v>291150</v>
      </c>
      <c r="B29873" s="27" t="n">
        <v>28</v>
      </c>
    </row>
    <row r="29874" spans="1:18">
      <c r="A29874" t="s">
        <v>4</v>
      </c>
      <c r="B29874" s="4" t="s">
        <v>5</v>
      </c>
      <c r="C29874" s="4" t="s">
        <v>7</v>
      </c>
      <c r="D29874" s="4" t="s">
        <v>11</v>
      </c>
      <c r="E29874" s="4" t="s">
        <v>11</v>
      </c>
      <c r="F29874" s="4" t="s">
        <v>7</v>
      </c>
    </row>
    <row r="29875" spans="1:18">
      <c r="A29875" t="n">
        <v>291151</v>
      </c>
      <c r="B29875" s="31" t="n">
        <v>25</v>
      </c>
      <c r="C29875" s="7" t="n">
        <v>1</v>
      </c>
      <c r="D29875" s="7" t="n">
        <v>65535</v>
      </c>
      <c r="E29875" s="7" t="n">
        <v>65535</v>
      </c>
      <c r="F29875" s="7" t="n">
        <v>0</v>
      </c>
    </row>
    <row r="29876" spans="1:18">
      <c r="A29876" t="s">
        <v>4</v>
      </c>
      <c r="B29876" s="4" t="s">
        <v>5</v>
      </c>
      <c r="C29876" s="4" t="s">
        <v>11</v>
      </c>
      <c r="D29876" s="4" t="s">
        <v>7</v>
      </c>
      <c r="E29876" s="4" t="s">
        <v>8</v>
      </c>
      <c r="F29876" s="4" t="s">
        <v>13</v>
      </c>
      <c r="G29876" s="4" t="s">
        <v>13</v>
      </c>
      <c r="H29876" s="4" t="s">
        <v>13</v>
      </c>
    </row>
    <row r="29877" spans="1:18">
      <c r="A29877" t="n">
        <v>291158</v>
      </c>
      <c r="B29877" s="42" t="n">
        <v>48</v>
      </c>
      <c r="C29877" s="7" t="n">
        <v>9</v>
      </c>
      <c r="D29877" s="7" t="n">
        <v>0</v>
      </c>
      <c r="E29877" s="7" t="s">
        <v>1684</v>
      </c>
      <c r="F29877" s="7" t="n">
        <v>-1</v>
      </c>
      <c r="G29877" s="7" t="n">
        <v>1</v>
      </c>
      <c r="H29877" s="7" t="n">
        <v>2.80259692864963e-45</v>
      </c>
    </row>
    <row r="29878" spans="1:18">
      <c r="A29878" t="s">
        <v>4</v>
      </c>
      <c r="B29878" s="4" t="s">
        <v>5</v>
      </c>
      <c r="C29878" s="4" t="s">
        <v>7</v>
      </c>
      <c r="D29878" s="4" t="s">
        <v>11</v>
      </c>
      <c r="E29878" s="4" t="s">
        <v>8</v>
      </c>
      <c r="F29878" s="4" t="s">
        <v>8</v>
      </c>
      <c r="G29878" s="4" t="s">
        <v>8</v>
      </c>
      <c r="H29878" s="4" t="s">
        <v>8</v>
      </c>
    </row>
    <row r="29879" spans="1:18">
      <c r="A29879" t="n">
        <v>291193</v>
      </c>
      <c r="B29879" s="38" t="n">
        <v>51</v>
      </c>
      <c r="C29879" s="7" t="n">
        <v>3</v>
      </c>
      <c r="D29879" s="7" t="n">
        <v>9</v>
      </c>
      <c r="E29879" s="7" t="s">
        <v>154</v>
      </c>
      <c r="F29879" s="7" t="s">
        <v>155</v>
      </c>
      <c r="G29879" s="7" t="s">
        <v>78</v>
      </c>
      <c r="H29879" s="7" t="s">
        <v>79</v>
      </c>
    </row>
    <row r="29880" spans="1:18">
      <c r="A29880" t="s">
        <v>4</v>
      </c>
      <c r="B29880" s="4" t="s">
        <v>5</v>
      </c>
      <c r="C29880" s="4" t="s">
        <v>11</v>
      </c>
      <c r="D29880" s="4" t="s">
        <v>7</v>
      </c>
      <c r="E29880" s="4" t="s">
        <v>13</v>
      </c>
      <c r="F29880" s="4" t="s">
        <v>11</v>
      </c>
    </row>
    <row r="29881" spans="1:18">
      <c r="A29881" t="n">
        <v>291206</v>
      </c>
      <c r="B29881" s="56" t="n">
        <v>59</v>
      </c>
      <c r="C29881" s="7" t="n">
        <v>9</v>
      </c>
      <c r="D29881" s="7" t="n">
        <v>13</v>
      </c>
      <c r="E29881" s="7" t="n">
        <v>0.150000005960464</v>
      </c>
      <c r="F29881" s="7" t="n">
        <v>0</v>
      </c>
    </row>
    <row r="29882" spans="1:18">
      <c r="A29882" t="s">
        <v>4</v>
      </c>
      <c r="B29882" s="4" t="s">
        <v>5</v>
      </c>
      <c r="C29882" s="4" t="s">
        <v>11</v>
      </c>
    </row>
    <row r="29883" spans="1:18">
      <c r="A29883" t="n">
        <v>291216</v>
      </c>
      <c r="B29883" s="29" t="n">
        <v>16</v>
      </c>
      <c r="C29883" s="7" t="n">
        <v>1000</v>
      </c>
    </row>
    <row r="29884" spans="1:18">
      <c r="A29884" t="s">
        <v>4</v>
      </c>
      <c r="B29884" s="4" t="s">
        <v>5</v>
      </c>
      <c r="C29884" s="4" t="s">
        <v>7</v>
      </c>
      <c r="D29884" s="4" t="s">
        <v>11</v>
      </c>
      <c r="E29884" s="4" t="s">
        <v>8</v>
      </c>
    </row>
    <row r="29885" spans="1:18">
      <c r="A29885" t="n">
        <v>291219</v>
      </c>
      <c r="B29885" s="38" t="n">
        <v>51</v>
      </c>
      <c r="C29885" s="7" t="n">
        <v>4</v>
      </c>
      <c r="D29885" s="7" t="n">
        <v>9</v>
      </c>
      <c r="E29885" s="7" t="s">
        <v>242</v>
      </c>
    </row>
    <row r="29886" spans="1:18">
      <c r="A29886" t="s">
        <v>4</v>
      </c>
      <c r="B29886" s="4" t="s">
        <v>5</v>
      </c>
      <c r="C29886" s="4" t="s">
        <v>11</v>
      </c>
    </row>
    <row r="29887" spans="1:18">
      <c r="A29887" t="n">
        <v>291233</v>
      </c>
      <c r="B29887" s="29" t="n">
        <v>16</v>
      </c>
      <c r="C29887" s="7" t="n">
        <v>0</v>
      </c>
    </row>
    <row r="29888" spans="1:18">
      <c r="A29888" t="s">
        <v>4</v>
      </c>
      <c r="B29888" s="4" t="s">
        <v>5</v>
      </c>
      <c r="C29888" s="4" t="s">
        <v>11</v>
      </c>
      <c r="D29888" s="4" t="s">
        <v>7</v>
      </c>
      <c r="E29888" s="4" t="s">
        <v>15</v>
      </c>
      <c r="F29888" s="4" t="s">
        <v>55</v>
      </c>
      <c r="G29888" s="4" t="s">
        <v>7</v>
      </c>
      <c r="H29888" s="4" t="s">
        <v>7</v>
      </c>
    </row>
    <row r="29889" spans="1:8">
      <c r="A29889" t="n">
        <v>291236</v>
      </c>
      <c r="B29889" s="55" t="n">
        <v>26</v>
      </c>
      <c r="C29889" s="7" t="n">
        <v>9</v>
      </c>
      <c r="D29889" s="7" t="n">
        <v>17</v>
      </c>
      <c r="E29889" s="7" t="n">
        <v>64717</v>
      </c>
      <c r="F29889" s="7" t="s">
        <v>1717</v>
      </c>
      <c r="G29889" s="7" t="n">
        <v>2</v>
      </c>
      <c r="H29889" s="7" t="n">
        <v>0</v>
      </c>
    </row>
    <row r="29890" spans="1:8">
      <c r="A29890" t="s">
        <v>4</v>
      </c>
      <c r="B29890" s="4" t="s">
        <v>5</v>
      </c>
    </row>
    <row r="29891" spans="1:8">
      <c r="A29891" t="n">
        <v>291250</v>
      </c>
      <c r="B29891" s="27" t="n">
        <v>28</v>
      </c>
    </row>
    <row r="29892" spans="1:8">
      <c r="A29892" t="s">
        <v>4</v>
      </c>
      <c r="B29892" s="4" t="s">
        <v>5</v>
      </c>
      <c r="C29892" s="4" t="s">
        <v>7</v>
      </c>
      <c r="D29892" s="4" t="s">
        <v>11</v>
      </c>
      <c r="E29892" s="4" t="s">
        <v>13</v>
      </c>
    </row>
    <row r="29893" spans="1:8">
      <c r="A29893" t="n">
        <v>291251</v>
      </c>
      <c r="B29893" s="23" t="n">
        <v>58</v>
      </c>
      <c r="C29893" s="7" t="n">
        <v>101</v>
      </c>
      <c r="D29893" s="7" t="n">
        <v>800</v>
      </c>
      <c r="E29893" s="7" t="n">
        <v>1</v>
      </c>
    </row>
    <row r="29894" spans="1:8">
      <c r="A29894" t="s">
        <v>4</v>
      </c>
      <c r="B29894" s="4" t="s">
        <v>5</v>
      </c>
      <c r="C29894" s="4" t="s">
        <v>7</v>
      </c>
      <c r="D29894" s="4" t="s">
        <v>11</v>
      </c>
    </row>
    <row r="29895" spans="1:8">
      <c r="A29895" t="n">
        <v>291259</v>
      </c>
      <c r="B29895" s="23" t="n">
        <v>58</v>
      </c>
      <c r="C29895" s="7" t="n">
        <v>254</v>
      </c>
      <c r="D29895" s="7" t="n">
        <v>0</v>
      </c>
    </row>
    <row r="29896" spans="1:8">
      <c r="A29896" t="s">
        <v>4</v>
      </c>
      <c r="B29896" s="4" t="s">
        <v>5</v>
      </c>
      <c r="C29896" s="4" t="s">
        <v>7</v>
      </c>
      <c r="D29896" s="4" t="s">
        <v>7</v>
      </c>
      <c r="E29896" s="4" t="s">
        <v>13</v>
      </c>
      <c r="F29896" s="4" t="s">
        <v>13</v>
      </c>
      <c r="G29896" s="4" t="s">
        <v>13</v>
      </c>
      <c r="H29896" s="4" t="s">
        <v>11</v>
      </c>
    </row>
    <row r="29897" spans="1:8">
      <c r="A29897" t="n">
        <v>291263</v>
      </c>
      <c r="B29897" s="51" t="n">
        <v>45</v>
      </c>
      <c r="C29897" s="7" t="n">
        <v>2</v>
      </c>
      <c r="D29897" s="7" t="n">
        <v>3</v>
      </c>
      <c r="E29897" s="7" t="n">
        <v>-20.2199993133545</v>
      </c>
      <c r="F29897" s="7" t="n">
        <v>11.1199998855591</v>
      </c>
      <c r="G29897" s="7" t="n">
        <v>30.0799999237061</v>
      </c>
      <c r="H29897" s="7" t="n">
        <v>0</v>
      </c>
    </row>
    <row r="29898" spans="1:8">
      <c r="A29898" t="s">
        <v>4</v>
      </c>
      <c r="B29898" s="4" t="s">
        <v>5</v>
      </c>
      <c r="C29898" s="4" t="s">
        <v>7</v>
      </c>
      <c r="D29898" s="4" t="s">
        <v>7</v>
      </c>
      <c r="E29898" s="4" t="s">
        <v>13</v>
      </c>
      <c r="F29898" s="4" t="s">
        <v>13</v>
      </c>
      <c r="G29898" s="4" t="s">
        <v>13</v>
      </c>
      <c r="H29898" s="4" t="s">
        <v>11</v>
      </c>
      <c r="I29898" s="4" t="s">
        <v>7</v>
      </c>
    </row>
    <row r="29899" spans="1:8">
      <c r="A29899" t="n">
        <v>291280</v>
      </c>
      <c r="B29899" s="51" t="n">
        <v>45</v>
      </c>
      <c r="C29899" s="7" t="n">
        <v>4</v>
      </c>
      <c r="D29899" s="7" t="n">
        <v>3</v>
      </c>
      <c r="E29899" s="7" t="n">
        <v>15.7600002288818</v>
      </c>
      <c r="F29899" s="7" t="n">
        <v>65.1399993896484</v>
      </c>
      <c r="G29899" s="7" t="n">
        <v>8</v>
      </c>
      <c r="H29899" s="7" t="n">
        <v>0</v>
      </c>
      <c r="I29899" s="7" t="n">
        <v>0</v>
      </c>
    </row>
    <row r="29900" spans="1:8">
      <c r="A29900" t="s">
        <v>4</v>
      </c>
      <c r="B29900" s="4" t="s">
        <v>5</v>
      </c>
      <c r="C29900" s="4" t="s">
        <v>7</v>
      </c>
      <c r="D29900" s="4" t="s">
        <v>7</v>
      </c>
      <c r="E29900" s="4" t="s">
        <v>13</v>
      </c>
      <c r="F29900" s="4" t="s">
        <v>11</v>
      </c>
    </row>
    <row r="29901" spans="1:8">
      <c r="A29901" t="n">
        <v>291298</v>
      </c>
      <c r="B29901" s="51" t="n">
        <v>45</v>
      </c>
      <c r="C29901" s="7" t="n">
        <v>5</v>
      </c>
      <c r="D29901" s="7" t="n">
        <v>3</v>
      </c>
      <c r="E29901" s="7" t="n">
        <v>1.20000004768372</v>
      </c>
      <c r="F29901" s="7" t="n">
        <v>0</v>
      </c>
    </row>
    <row r="29902" spans="1:8">
      <c r="A29902" t="s">
        <v>4</v>
      </c>
      <c r="B29902" s="4" t="s">
        <v>5</v>
      </c>
      <c r="C29902" s="4" t="s">
        <v>7</v>
      </c>
      <c r="D29902" s="4" t="s">
        <v>7</v>
      </c>
      <c r="E29902" s="4" t="s">
        <v>13</v>
      </c>
      <c r="F29902" s="4" t="s">
        <v>11</v>
      </c>
    </row>
    <row r="29903" spans="1:8">
      <c r="A29903" t="n">
        <v>291307</v>
      </c>
      <c r="B29903" s="51" t="n">
        <v>45</v>
      </c>
      <c r="C29903" s="7" t="n">
        <v>5</v>
      </c>
      <c r="D29903" s="7" t="n">
        <v>3</v>
      </c>
      <c r="E29903" s="7" t="n">
        <v>1</v>
      </c>
      <c r="F29903" s="7" t="n">
        <v>3000</v>
      </c>
    </row>
    <row r="29904" spans="1:8">
      <c r="A29904" t="s">
        <v>4</v>
      </c>
      <c r="B29904" s="4" t="s">
        <v>5</v>
      </c>
      <c r="C29904" s="4" t="s">
        <v>7</v>
      </c>
      <c r="D29904" s="4" t="s">
        <v>7</v>
      </c>
      <c r="E29904" s="4" t="s">
        <v>13</v>
      </c>
      <c r="F29904" s="4" t="s">
        <v>11</v>
      </c>
    </row>
    <row r="29905" spans="1:9">
      <c r="A29905" t="n">
        <v>291316</v>
      </c>
      <c r="B29905" s="51" t="n">
        <v>45</v>
      </c>
      <c r="C29905" s="7" t="n">
        <v>11</v>
      </c>
      <c r="D29905" s="7" t="n">
        <v>3</v>
      </c>
      <c r="E29905" s="7" t="n">
        <v>34.5999984741211</v>
      </c>
      <c r="F29905" s="7" t="n">
        <v>0</v>
      </c>
    </row>
    <row r="29906" spans="1:9">
      <c r="A29906" t="s">
        <v>4</v>
      </c>
      <c r="B29906" s="4" t="s">
        <v>5</v>
      </c>
      <c r="C29906" s="4" t="s">
        <v>11</v>
      </c>
      <c r="D29906" s="4" t="s">
        <v>13</v>
      </c>
      <c r="E29906" s="4" t="s">
        <v>13</v>
      </c>
      <c r="F29906" s="4" t="s">
        <v>13</v>
      </c>
      <c r="G29906" s="4" t="s">
        <v>13</v>
      </c>
    </row>
    <row r="29907" spans="1:9">
      <c r="A29907" t="n">
        <v>291325</v>
      </c>
      <c r="B29907" s="36" t="n">
        <v>46</v>
      </c>
      <c r="C29907" s="7" t="n">
        <v>0</v>
      </c>
      <c r="D29907" s="7" t="n">
        <v>-19.0499992370605</v>
      </c>
      <c r="E29907" s="7" t="n">
        <v>10.0100002288818</v>
      </c>
      <c r="F29907" s="7" t="n">
        <v>30.2399997711182</v>
      </c>
      <c r="G29907" s="7" t="n">
        <v>270</v>
      </c>
    </row>
    <row r="29908" spans="1:9">
      <c r="A29908" t="s">
        <v>4</v>
      </c>
      <c r="B29908" s="4" t="s">
        <v>5</v>
      </c>
      <c r="C29908" s="4" t="s">
        <v>7</v>
      </c>
      <c r="D29908" s="4" t="s">
        <v>11</v>
      </c>
    </row>
    <row r="29909" spans="1:9">
      <c r="A29909" t="n">
        <v>291344</v>
      </c>
      <c r="B29909" s="23" t="n">
        <v>58</v>
      </c>
      <c r="C29909" s="7" t="n">
        <v>255</v>
      </c>
      <c r="D29909" s="7" t="n">
        <v>0</v>
      </c>
    </row>
    <row r="29910" spans="1:9">
      <c r="A29910" t="s">
        <v>4</v>
      </c>
      <c r="B29910" s="4" t="s">
        <v>5</v>
      </c>
      <c r="C29910" s="4" t="s">
        <v>11</v>
      </c>
    </row>
    <row r="29911" spans="1:9">
      <c r="A29911" t="n">
        <v>291348</v>
      </c>
      <c r="B29911" s="29" t="n">
        <v>16</v>
      </c>
      <c r="C29911" s="7" t="n">
        <v>800</v>
      </c>
    </row>
    <row r="29912" spans="1:9">
      <c r="A29912" t="s">
        <v>4</v>
      </c>
      <c r="B29912" s="4" t="s">
        <v>5</v>
      </c>
      <c r="C29912" s="4" t="s">
        <v>7</v>
      </c>
      <c r="D29912" s="4" t="s">
        <v>11</v>
      </c>
      <c r="E29912" s="4" t="s">
        <v>8</v>
      </c>
    </row>
    <row r="29913" spans="1:9">
      <c r="A29913" t="n">
        <v>291351</v>
      </c>
      <c r="B29913" s="38" t="n">
        <v>51</v>
      </c>
      <c r="C29913" s="7" t="n">
        <v>4</v>
      </c>
      <c r="D29913" s="7" t="n">
        <v>9</v>
      </c>
      <c r="E29913" s="7" t="s">
        <v>137</v>
      </c>
    </row>
    <row r="29914" spans="1:9">
      <c r="A29914" t="s">
        <v>4</v>
      </c>
      <c r="B29914" s="4" t="s">
        <v>5</v>
      </c>
      <c r="C29914" s="4" t="s">
        <v>11</v>
      </c>
    </row>
    <row r="29915" spans="1:9">
      <c r="A29915" t="n">
        <v>291364</v>
      </c>
      <c r="B29915" s="29" t="n">
        <v>16</v>
      </c>
      <c r="C29915" s="7" t="n">
        <v>0</v>
      </c>
    </row>
    <row r="29916" spans="1:9">
      <c r="A29916" t="s">
        <v>4</v>
      </c>
      <c r="B29916" s="4" t="s">
        <v>5</v>
      </c>
      <c r="C29916" s="4" t="s">
        <v>11</v>
      </c>
      <c r="D29916" s="4" t="s">
        <v>7</v>
      </c>
      <c r="E29916" s="4" t="s">
        <v>15</v>
      </c>
      <c r="F29916" s="4" t="s">
        <v>55</v>
      </c>
      <c r="G29916" s="4" t="s">
        <v>7</v>
      </c>
      <c r="H29916" s="4" t="s">
        <v>7</v>
      </c>
      <c r="I29916" s="4" t="s">
        <v>7</v>
      </c>
      <c r="J29916" s="4" t="s">
        <v>15</v>
      </c>
      <c r="K29916" s="4" t="s">
        <v>55</v>
      </c>
      <c r="L29916" s="4" t="s">
        <v>7</v>
      </c>
      <c r="M29916" s="4" t="s">
        <v>7</v>
      </c>
      <c r="N29916" s="4" t="s">
        <v>7</v>
      </c>
      <c r="O29916" s="4" t="s">
        <v>15</v>
      </c>
      <c r="P29916" s="4" t="s">
        <v>55</v>
      </c>
      <c r="Q29916" s="4" t="s">
        <v>7</v>
      </c>
      <c r="R29916" s="4" t="s">
        <v>7</v>
      </c>
    </row>
    <row r="29917" spans="1:9">
      <c r="A29917" t="n">
        <v>291367</v>
      </c>
      <c r="B29917" s="55" t="n">
        <v>26</v>
      </c>
      <c r="C29917" s="7" t="n">
        <v>9</v>
      </c>
      <c r="D29917" s="7" t="n">
        <v>17</v>
      </c>
      <c r="E29917" s="7" t="n">
        <v>64718</v>
      </c>
      <c r="F29917" s="7" t="s">
        <v>1718</v>
      </c>
      <c r="G29917" s="7" t="n">
        <v>2</v>
      </c>
      <c r="H29917" s="7" t="n">
        <v>3</v>
      </c>
      <c r="I29917" s="7" t="n">
        <v>17</v>
      </c>
      <c r="J29917" s="7" t="n">
        <v>64719</v>
      </c>
      <c r="K29917" s="7" t="s">
        <v>1719</v>
      </c>
      <c r="L29917" s="7" t="n">
        <v>2</v>
      </c>
      <c r="M29917" s="7" t="n">
        <v>3</v>
      </c>
      <c r="N29917" s="7" t="n">
        <v>17</v>
      </c>
      <c r="O29917" s="7" t="n">
        <v>64720</v>
      </c>
      <c r="P29917" s="7" t="s">
        <v>1720</v>
      </c>
      <c r="Q29917" s="7" t="n">
        <v>2</v>
      </c>
      <c r="R29917" s="7" t="n">
        <v>0</v>
      </c>
    </row>
    <row r="29918" spans="1:9">
      <c r="A29918" t="s">
        <v>4</v>
      </c>
      <c r="B29918" s="4" t="s">
        <v>5</v>
      </c>
    </row>
    <row r="29919" spans="1:9">
      <c r="A29919" t="n">
        <v>291665</v>
      </c>
      <c r="B29919" s="27" t="n">
        <v>28</v>
      </c>
    </row>
    <row r="29920" spans="1:9">
      <c r="A29920" t="s">
        <v>4</v>
      </c>
      <c r="B29920" s="4" t="s">
        <v>5</v>
      </c>
      <c r="C29920" s="4" t="s">
        <v>7</v>
      </c>
      <c r="D29920" s="4" t="s">
        <v>11</v>
      </c>
      <c r="E29920" s="4" t="s">
        <v>11</v>
      </c>
      <c r="F29920" s="4" t="s">
        <v>7</v>
      </c>
    </row>
    <row r="29921" spans="1:18">
      <c r="A29921" t="n">
        <v>291666</v>
      </c>
      <c r="B29921" s="31" t="n">
        <v>25</v>
      </c>
      <c r="C29921" s="7" t="n">
        <v>1</v>
      </c>
      <c r="D29921" s="7" t="n">
        <v>60</v>
      </c>
      <c r="E29921" s="7" t="n">
        <v>640</v>
      </c>
      <c r="F29921" s="7" t="n">
        <v>2</v>
      </c>
    </row>
    <row r="29922" spans="1:18">
      <c r="A29922" t="s">
        <v>4</v>
      </c>
      <c r="B29922" s="4" t="s">
        <v>5</v>
      </c>
      <c r="C29922" s="4" t="s">
        <v>7</v>
      </c>
      <c r="D29922" s="4" t="s">
        <v>11</v>
      </c>
      <c r="E29922" s="4" t="s">
        <v>8</v>
      </c>
    </row>
    <row r="29923" spans="1:18">
      <c r="A29923" t="n">
        <v>291673</v>
      </c>
      <c r="B29923" s="38" t="n">
        <v>51</v>
      </c>
      <c r="C29923" s="7" t="n">
        <v>4</v>
      </c>
      <c r="D29923" s="7" t="n">
        <v>0</v>
      </c>
      <c r="E29923" s="7" t="s">
        <v>643</v>
      </c>
    </row>
    <row r="29924" spans="1:18">
      <c r="A29924" t="s">
        <v>4</v>
      </c>
      <c r="B29924" s="4" t="s">
        <v>5</v>
      </c>
      <c r="C29924" s="4" t="s">
        <v>11</v>
      </c>
    </row>
    <row r="29925" spans="1:18">
      <c r="A29925" t="n">
        <v>291686</v>
      </c>
      <c r="B29925" s="29" t="n">
        <v>16</v>
      </c>
      <c r="C29925" s="7" t="n">
        <v>0</v>
      </c>
    </row>
    <row r="29926" spans="1:18">
      <c r="A29926" t="s">
        <v>4</v>
      </c>
      <c r="B29926" s="4" t="s">
        <v>5</v>
      </c>
      <c r="C29926" s="4" t="s">
        <v>11</v>
      </c>
      <c r="D29926" s="4" t="s">
        <v>7</v>
      </c>
      <c r="E29926" s="4" t="s">
        <v>15</v>
      </c>
      <c r="F29926" s="4" t="s">
        <v>55</v>
      </c>
      <c r="G29926" s="4" t="s">
        <v>7</v>
      </c>
      <c r="H29926" s="4" t="s">
        <v>7</v>
      </c>
      <c r="I29926" s="4" t="s">
        <v>7</v>
      </c>
      <c r="J29926" s="4" t="s">
        <v>15</v>
      </c>
      <c r="K29926" s="4" t="s">
        <v>55</v>
      </c>
      <c r="L29926" s="4" t="s">
        <v>7</v>
      </c>
      <c r="M29926" s="4" t="s">
        <v>7</v>
      </c>
    </row>
    <row r="29927" spans="1:18">
      <c r="A29927" t="n">
        <v>291689</v>
      </c>
      <c r="B29927" s="55" t="n">
        <v>26</v>
      </c>
      <c r="C29927" s="7" t="n">
        <v>0</v>
      </c>
      <c r="D29927" s="7" t="n">
        <v>17</v>
      </c>
      <c r="E29927" s="7" t="n">
        <v>64721</v>
      </c>
      <c r="F29927" s="7" t="s">
        <v>1721</v>
      </c>
      <c r="G29927" s="7" t="n">
        <v>2</v>
      </c>
      <c r="H29927" s="7" t="n">
        <v>3</v>
      </c>
      <c r="I29927" s="7" t="n">
        <v>17</v>
      </c>
      <c r="J29927" s="7" t="n">
        <v>64722</v>
      </c>
      <c r="K29927" s="7" t="s">
        <v>1722</v>
      </c>
      <c r="L29927" s="7" t="n">
        <v>2</v>
      </c>
      <c r="M29927" s="7" t="n">
        <v>0</v>
      </c>
    </row>
    <row r="29928" spans="1:18">
      <c r="A29928" t="s">
        <v>4</v>
      </c>
      <c r="B29928" s="4" t="s">
        <v>5</v>
      </c>
    </row>
    <row r="29929" spans="1:18">
      <c r="A29929" t="n">
        <v>291808</v>
      </c>
      <c r="B29929" s="27" t="n">
        <v>28</v>
      </c>
    </row>
    <row r="29930" spans="1:18">
      <c r="A29930" t="s">
        <v>4</v>
      </c>
      <c r="B29930" s="4" t="s">
        <v>5</v>
      </c>
      <c r="C29930" s="4" t="s">
        <v>7</v>
      </c>
      <c r="D29930" s="4" t="s">
        <v>11</v>
      </c>
      <c r="E29930" s="4" t="s">
        <v>11</v>
      </c>
      <c r="F29930" s="4" t="s">
        <v>7</v>
      </c>
    </row>
    <row r="29931" spans="1:18">
      <c r="A29931" t="n">
        <v>291809</v>
      </c>
      <c r="B29931" s="31" t="n">
        <v>25</v>
      </c>
      <c r="C29931" s="7" t="n">
        <v>1</v>
      </c>
      <c r="D29931" s="7" t="n">
        <v>65535</v>
      </c>
      <c r="E29931" s="7" t="n">
        <v>65535</v>
      </c>
      <c r="F29931" s="7" t="n">
        <v>0</v>
      </c>
    </row>
    <row r="29932" spans="1:18">
      <c r="A29932" t="s">
        <v>4</v>
      </c>
      <c r="B29932" s="4" t="s">
        <v>5</v>
      </c>
      <c r="C29932" s="4" t="s">
        <v>11</v>
      </c>
      <c r="D29932" s="4" t="s">
        <v>7</v>
      </c>
      <c r="E29932" s="4" t="s">
        <v>8</v>
      </c>
      <c r="F29932" s="4" t="s">
        <v>13</v>
      </c>
      <c r="G29932" s="4" t="s">
        <v>13</v>
      </c>
      <c r="H29932" s="4" t="s">
        <v>13</v>
      </c>
    </row>
    <row r="29933" spans="1:18">
      <c r="A29933" t="n">
        <v>291816</v>
      </c>
      <c r="B29933" s="42" t="n">
        <v>48</v>
      </c>
      <c r="C29933" s="7" t="n">
        <v>9</v>
      </c>
      <c r="D29933" s="7" t="n">
        <v>0</v>
      </c>
      <c r="E29933" s="7" t="s">
        <v>1685</v>
      </c>
      <c r="F29933" s="7" t="n">
        <v>-1</v>
      </c>
      <c r="G29933" s="7" t="n">
        <v>1</v>
      </c>
      <c r="H29933" s="7" t="n">
        <v>0</v>
      </c>
    </row>
    <row r="29934" spans="1:18">
      <c r="A29934" t="s">
        <v>4</v>
      </c>
      <c r="B29934" s="4" t="s">
        <v>5</v>
      </c>
      <c r="C29934" s="4" t="s">
        <v>11</v>
      </c>
    </row>
    <row r="29935" spans="1:18">
      <c r="A29935" t="n">
        <v>291850</v>
      </c>
      <c r="B29935" s="29" t="n">
        <v>16</v>
      </c>
      <c r="C29935" s="7" t="n">
        <v>300</v>
      </c>
    </row>
    <row r="29936" spans="1:18">
      <c r="A29936" t="s">
        <v>4</v>
      </c>
      <c r="B29936" s="4" t="s">
        <v>5</v>
      </c>
      <c r="C29936" s="4" t="s">
        <v>7</v>
      </c>
      <c r="D29936" s="4" t="s">
        <v>11</v>
      </c>
      <c r="E29936" s="4" t="s">
        <v>8</v>
      </c>
    </row>
    <row r="29937" spans="1:13">
      <c r="A29937" t="n">
        <v>291853</v>
      </c>
      <c r="B29937" s="38" t="n">
        <v>51</v>
      </c>
      <c r="C29937" s="7" t="n">
        <v>4</v>
      </c>
      <c r="D29937" s="7" t="n">
        <v>9</v>
      </c>
      <c r="E29937" s="7" t="s">
        <v>658</v>
      </c>
    </row>
    <row r="29938" spans="1:13">
      <c r="A29938" t="s">
        <v>4</v>
      </c>
      <c r="B29938" s="4" t="s">
        <v>5</v>
      </c>
      <c r="C29938" s="4" t="s">
        <v>11</v>
      </c>
    </row>
    <row r="29939" spans="1:13">
      <c r="A29939" t="n">
        <v>291867</v>
      </c>
      <c r="B29939" s="29" t="n">
        <v>16</v>
      </c>
      <c r="C29939" s="7" t="n">
        <v>0</v>
      </c>
    </row>
    <row r="29940" spans="1:13">
      <c r="A29940" t="s">
        <v>4</v>
      </c>
      <c r="B29940" s="4" t="s">
        <v>5</v>
      </c>
      <c r="C29940" s="4" t="s">
        <v>11</v>
      </c>
      <c r="D29940" s="4" t="s">
        <v>7</v>
      </c>
      <c r="E29940" s="4" t="s">
        <v>15</v>
      </c>
      <c r="F29940" s="4" t="s">
        <v>55</v>
      </c>
      <c r="G29940" s="4" t="s">
        <v>7</v>
      </c>
      <c r="H29940" s="4" t="s">
        <v>7</v>
      </c>
      <c r="I29940" s="4" t="s">
        <v>7</v>
      </c>
      <c r="J29940" s="4" t="s">
        <v>15</v>
      </c>
      <c r="K29940" s="4" t="s">
        <v>55</v>
      </c>
      <c r="L29940" s="4" t="s">
        <v>7</v>
      </c>
      <c r="M29940" s="4" t="s">
        <v>7</v>
      </c>
      <c r="N29940" s="4" t="s">
        <v>7</v>
      </c>
      <c r="O29940" s="4" t="s">
        <v>15</v>
      </c>
      <c r="P29940" s="4" t="s">
        <v>55</v>
      </c>
      <c r="Q29940" s="4" t="s">
        <v>7</v>
      </c>
      <c r="R29940" s="4" t="s">
        <v>7</v>
      </c>
    </row>
    <row r="29941" spans="1:13">
      <c r="A29941" t="n">
        <v>291870</v>
      </c>
      <c r="B29941" s="55" t="n">
        <v>26</v>
      </c>
      <c r="C29941" s="7" t="n">
        <v>9</v>
      </c>
      <c r="D29941" s="7" t="n">
        <v>17</v>
      </c>
      <c r="E29941" s="7" t="n">
        <v>64723</v>
      </c>
      <c r="F29941" s="7" t="s">
        <v>1723</v>
      </c>
      <c r="G29941" s="7" t="n">
        <v>2</v>
      </c>
      <c r="H29941" s="7" t="n">
        <v>3</v>
      </c>
      <c r="I29941" s="7" t="n">
        <v>17</v>
      </c>
      <c r="J29941" s="7" t="n">
        <v>64724</v>
      </c>
      <c r="K29941" s="7" t="s">
        <v>1724</v>
      </c>
      <c r="L29941" s="7" t="n">
        <v>2</v>
      </c>
      <c r="M29941" s="7" t="n">
        <v>3</v>
      </c>
      <c r="N29941" s="7" t="n">
        <v>17</v>
      </c>
      <c r="O29941" s="7" t="n">
        <v>64725</v>
      </c>
      <c r="P29941" s="7" t="s">
        <v>1725</v>
      </c>
      <c r="Q29941" s="7" t="n">
        <v>2</v>
      </c>
      <c r="R29941" s="7" t="n">
        <v>0</v>
      </c>
    </row>
    <row r="29942" spans="1:13">
      <c r="A29942" t="s">
        <v>4</v>
      </c>
      <c r="B29942" s="4" t="s">
        <v>5</v>
      </c>
    </row>
    <row r="29943" spans="1:13">
      <c r="A29943" t="n">
        <v>292123</v>
      </c>
      <c r="B29943" s="27" t="n">
        <v>28</v>
      </c>
    </row>
    <row r="29944" spans="1:13">
      <c r="A29944" t="s">
        <v>4</v>
      </c>
      <c r="B29944" s="4" t="s">
        <v>5</v>
      </c>
      <c r="C29944" s="4" t="s">
        <v>11</v>
      </c>
      <c r="D29944" s="4" t="s">
        <v>13</v>
      </c>
      <c r="E29944" s="4" t="s">
        <v>13</v>
      </c>
      <c r="F29944" s="4" t="s">
        <v>13</v>
      </c>
      <c r="G29944" s="4" t="s">
        <v>11</v>
      </c>
      <c r="H29944" s="4" t="s">
        <v>11</v>
      </c>
    </row>
    <row r="29945" spans="1:13">
      <c r="A29945" t="n">
        <v>292124</v>
      </c>
      <c r="B29945" s="37" t="n">
        <v>60</v>
      </c>
      <c r="C29945" s="7" t="n">
        <v>0</v>
      </c>
      <c r="D29945" s="7" t="n">
        <v>0</v>
      </c>
      <c r="E29945" s="7" t="n">
        <v>-10</v>
      </c>
      <c r="F29945" s="7" t="n">
        <v>0</v>
      </c>
      <c r="G29945" s="7" t="n">
        <v>800</v>
      </c>
      <c r="H29945" s="7" t="n">
        <v>0</v>
      </c>
    </row>
    <row r="29946" spans="1:13">
      <c r="A29946" t="s">
        <v>4</v>
      </c>
      <c r="B29946" s="4" t="s">
        <v>5</v>
      </c>
      <c r="C29946" s="4" t="s">
        <v>7</v>
      </c>
      <c r="D29946" s="4" t="s">
        <v>11</v>
      </c>
      <c r="E29946" s="4" t="s">
        <v>11</v>
      </c>
      <c r="F29946" s="4" t="s">
        <v>7</v>
      </c>
    </row>
    <row r="29947" spans="1:13">
      <c r="A29947" t="n">
        <v>292143</v>
      </c>
      <c r="B29947" s="31" t="n">
        <v>25</v>
      </c>
      <c r="C29947" s="7" t="n">
        <v>1</v>
      </c>
      <c r="D29947" s="7" t="n">
        <v>60</v>
      </c>
      <c r="E29947" s="7" t="n">
        <v>640</v>
      </c>
      <c r="F29947" s="7" t="n">
        <v>2</v>
      </c>
    </row>
    <row r="29948" spans="1:13">
      <c r="A29948" t="s">
        <v>4</v>
      </c>
      <c r="B29948" s="4" t="s">
        <v>5</v>
      </c>
      <c r="C29948" s="4" t="s">
        <v>7</v>
      </c>
      <c r="D29948" s="4" t="s">
        <v>11</v>
      </c>
      <c r="E29948" s="4" t="s">
        <v>8</v>
      </c>
    </row>
    <row r="29949" spans="1:13">
      <c r="A29949" t="n">
        <v>292150</v>
      </c>
      <c r="B29949" s="38" t="n">
        <v>51</v>
      </c>
      <c r="C29949" s="7" t="n">
        <v>4</v>
      </c>
      <c r="D29949" s="7" t="n">
        <v>0</v>
      </c>
      <c r="E29949" s="7" t="s">
        <v>192</v>
      </c>
    </row>
    <row r="29950" spans="1:13">
      <c r="A29950" t="s">
        <v>4</v>
      </c>
      <c r="B29950" s="4" t="s">
        <v>5</v>
      </c>
      <c r="C29950" s="4" t="s">
        <v>11</v>
      </c>
    </row>
    <row r="29951" spans="1:13">
      <c r="A29951" t="n">
        <v>292163</v>
      </c>
      <c r="B29951" s="29" t="n">
        <v>16</v>
      </c>
      <c r="C29951" s="7" t="n">
        <v>0</v>
      </c>
    </row>
    <row r="29952" spans="1:13">
      <c r="A29952" t="s">
        <v>4</v>
      </c>
      <c r="B29952" s="4" t="s">
        <v>5</v>
      </c>
      <c r="C29952" s="4" t="s">
        <v>11</v>
      </c>
      <c r="D29952" s="4" t="s">
        <v>7</v>
      </c>
      <c r="E29952" s="4" t="s">
        <v>15</v>
      </c>
      <c r="F29952" s="4" t="s">
        <v>55</v>
      </c>
      <c r="G29952" s="4" t="s">
        <v>7</v>
      </c>
      <c r="H29952" s="4" t="s">
        <v>7</v>
      </c>
      <c r="I29952" s="4" t="s">
        <v>7</v>
      </c>
      <c r="J29952" s="4" t="s">
        <v>15</v>
      </c>
      <c r="K29952" s="4" t="s">
        <v>55</v>
      </c>
      <c r="L29952" s="4" t="s">
        <v>7</v>
      </c>
      <c r="M29952" s="4" t="s">
        <v>7</v>
      </c>
      <c r="N29952" s="4" t="s">
        <v>7</v>
      </c>
      <c r="O29952" s="4" t="s">
        <v>15</v>
      </c>
      <c r="P29952" s="4" t="s">
        <v>55</v>
      </c>
      <c r="Q29952" s="4" t="s">
        <v>7</v>
      </c>
      <c r="R29952" s="4" t="s">
        <v>7</v>
      </c>
    </row>
    <row r="29953" spans="1:18">
      <c r="A29953" t="n">
        <v>292166</v>
      </c>
      <c r="B29953" s="55" t="n">
        <v>26</v>
      </c>
      <c r="C29953" s="7" t="n">
        <v>0</v>
      </c>
      <c r="D29953" s="7" t="n">
        <v>17</v>
      </c>
      <c r="E29953" s="7" t="n">
        <v>64726</v>
      </c>
      <c r="F29953" s="7" t="s">
        <v>1726</v>
      </c>
      <c r="G29953" s="7" t="n">
        <v>2</v>
      </c>
      <c r="H29953" s="7" t="n">
        <v>3</v>
      </c>
      <c r="I29953" s="7" t="n">
        <v>17</v>
      </c>
      <c r="J29953" s="7" t="n">
        <v>64727</v>
      </c>
      <c r="K29953" s="7" t="s">
        <v>1727</v>
      </c>
      <c r="L29953" s="7" t="n">
        <v>2</v>
      </c>
      <c r="M29953" s="7" t="n">
        <v>3</v>
      </c>
      <c r="N29953" s="7" t="n">
        <v>17</v>
      </c>
      <c r="O29953" s="7" t="n">
        <v>64728</v>
      </c>
      <c r="P29953" s="7" t="s">
        <v>1728</v>
      </c>
      <c r="Q29953" s="7" t="n">
        <v>2</v>
      </c>
      <c r="R29953" s="7" t="n">
        <v>0</v>
      </c>
    </row>
    <row r="29954" spans="1:18">
      <c r="A29954" t="s">
        <v>4</v>
      </c>
      <c r="B29954" s="4" t="s">
        <v>5</v>
      </c>
    </row>
    <row r="29955" spans="1:18">
      <c r="A29955" t="n">
        <v>292367</v>
      </c>
      <c r="B29955" s="27" t="n">
        <v>28</v>
      </c>
    </row>
    <row r="29956" spans="1:18">
      <c r="A29956" t="s">
        <v>4</v>
      </c>
      <c r="B29956" s="4" t="s">
        <v>5</v>
      </c>
      <c r="C29956" s="4" t="s">
        <v>7</v>
      </c>
      <c r="D29956" s="4" t="s">
        <v>11</v>
      </c>
      <c r="E29956" s="4" t="s">
        <v>11</v>
      </c>
      <c r="F29956" s="4" t="s">
        <v>7</v>
      </c>
    </row>
    <row r="29957" spans="1:18">
      <c r="A29957" t="n">
        <v>292368</v>
      </c>
      <c r="B29957" s="31" t="n">
        <v>25</v>
      </c>
      <c r="C29957" s="7" t="n">
        <v>1</v>
      </c>
      <c r="D29957" s="7" t="n">
        <v>65535</v>
      </c>
      <c r="E29957" s="7" t="n">
        <v>65535</v>
      </c>
      <c r="F29957" s="7" t="n">
        <v>0</v>
      </c>
    </row>
    <row r="29958" spans="1:18">
      <c r="A29958" t="s">
        <v>4</v>
      </c>
      <c r="B29958" s="4" t="s">
        <v>5</v>
      </c>
      <c r="C29958" s="4" t="s">
        <v>7</v>
      </c>
      <c r="D29958" s="4" t="s">
        <v>11</v>
      </c>
      <c r="E29958" s="4" t="s">
        <v>8</v>
      </c>
      <c r="F29958" s="4" t="s">
        <v>8</v>
      </c>
      <c r="G29958" s="4" t="s">
        <v>8</v>
      </c>
      <c r="H29958" s="4" t="s">
        <v>8</v>
      </c>
    </row>
    <row r="29959" spans="1:18">
      <c r="A29959" t="n">
        <v>292375</v>
      </c>
      <c r="B29959" s="38" t="n">
        <v>51</v>
      </c>
      <c r="C29959" s="7" t="n">
        <v>3</v>
      </c>
      <c r="D29959" s="7" t="n">
        <v>9</v>
      </c>
      <c r="E29959" s="7" t="s">
        <v>155</v>
      </c>
      <c r="F29959" s="7" t="s">
        <v>232</v>
      </c>
      <c r="G29959" s="7" t="s">
        <v>78</v>
      </c>
      <c r="H29959" s="7" t="s">
        <v>79</v>
      </c>
    </row>
    <row r="29960" spans="1:18">
      <c r="A29960" t="s">
        <v>4</v>
      </c>
      <c r="B29960" s="4" t="s">
        <v>5</v>
      </c>
      <c r="C29960" s="4" t="s">
        <v>11</v>
      </c>
      <c r="D29960" s="4" t="s">
        <v>7</v>
      </c>
      <c r="E29960" s="4" t="s">
        <v>13</v>
      </c>
      <c r="F29960" s="4" t="s">
        <v>11</v>
      </c>
    </row>
    <row r="29961" spans="1:18">
      <c r="A29961" t="n">
        <v>292388</v>
      </c>
      <c r="B29961" s="56" t="n">
        <v>59</v>
      </c>
      <c r="C29961" s="7" t="n">
        <v>9</v>
      </c>
      <c r="D29961" s="7" t="n">
        <v>9</v>
      </c>
      <c r="E29961" s="7" t="n">
        <v>0.150000005960464</v>
      </c>
      <c r="F29961" s="7" t="n">
        <v>0</v>
      </c>
    </row>
    <row r="29962" spans="1:18">
      <c r="A29962" t="s">
        <v>4</v>
      </c>
      <c r="B29962" s="4" t="s">
        <v>5</v>
      </c>
      <c r="C29962" s="4" t="s">
        <v>11</v>
      </c>
    </row>
    <row r="29963" spans="1:18">
      <c r="A29963" t="n">
        <v>292398</v>
      </c>
      <c r="B29963" s="29" t="n">
        <v>16</v>
      </c>
      <c r="C29963" s="7" t="n">
        <v>2000</v>
      </c>
    </row>
    <row r="29964" spans="1:18">
      <c r="A29964" t="s">
        <v>4</v>
      </c>
      <c r="B29964" s="4" t="s">
        <v>5</v>
      </c>
      <c r="C29964" s="4" t="s">
        <v>7</v>
      </c>
      <c r="D29964" s="4" t="s">
        <v>11</v>
      </c>
      <c r="E29964" s="4" t="s">
        <v>13</v>
      </c>
    </row>
    <row r="29965" spans="1:18">
      <c r="A29965" t="n">
        <v>292401</v>
      </c>
      <c r="B29965" s="23" t="n">
        <v>58</v>
      </c>
      <c r="C29965" s="7" t="n">
        <v>101</v>
      </c>
      <c r="D29965" s="7" t="n">
        <v>300</v>
      </c>
      <c r="E29965" s="7" t="n">
        <v>1</v>
      </c>
    </row>
    <row r="29966" spans="1:18">
      <c r="A29966" t="s">
        <v>4</v>
      </c>
      <c r="B29966" s="4" t="s">
        <v>5</v>
      </c>
      <c r="C29966" s="4" t="s">
        <v>7</v>
      </c>
      <c r="D29966" s="4" t="s">
        <v>11</v>
      </c>
    </row>
    <row r="29967" spans="1:18">
      <c r="A29967" t="n">
        <v>292409</v>
      </c>
      <c r="B29967" s="23" t="n">
        <v>58</v>
      </c>
      <c r="C29967" s="7" t="n">
        <v>254</v>
      </c>
      <c r="D29967" s="7" t="n">
        <v>0</v>
      </c>
    </row>
    <row r="29968" spans="1:18">
      <c r="A29968" t="s">
        <v>4</v>
      </c>
      <c r="B29968" s="4" t="s">
        <v>5</v>
      </c>
      <c r="C29968" s="4" t="s">
        <v>11</v>
      </c>
      <c r="D29968" s="4" t="s">
        <v>11</v>
      </c>
      <c r="E29968" s="4" t="s">
        <v>11</v>
      </c>
    </row>
    <row r="29969" spans="1:18">
      <c r="A29969" t="n">
        <v>292413</v>
      </c>
      <c r="B29969" s="72" t="n">
        <v>61</v>
      </c>
      <c r="C29969" s="7" t="n">
        <v>9</v>
      </c>
      <c r="D29969" s="7" t="n">
        <v>65533</v>
      </c>
      <c r="E29969" s="7" t="n">
        <v>0</v>
      </c>
    </row>
    <row r="29970" spans="1:18">
      <c r="A29970" t="s">
        <v>4</v>
      </c>
      <c r="B29970" s="4" t="s">
        <v>5</v>
      </c>
      <c r="C29970" s="4" t="s">
        <v>11</v>
      </c>
      <c r="D29970" s="4" t="s">
        <v>11</v>
      </c>
      <c r="E29970" s="4" t="s">
        <v>11</v>
      </c>
    </row>
    <row r="29971" spans="1:18">
      <c r="A29971" t="n">
        <v>292420</v>
      </c>
      <c r="B29971" s="72" t="n">
        <v>61</v>
      </c>
      <c r="C29971" s="7" t="n">
        <v>0</v>
      </c>
      <c r="D29971" s="7" t="n">
        <v>65533</v>
      </c>
      <c r="E29971" s="7" t="n">
        <v>0</v>
      </c>
    </row>
    <row r="29972" spans="1:18">
      <c r="A29972" t="s">
        <v>4</v>
      </c>
      <c r="B29972" s="4" t="s">
        <v>5</v>
      </c>
      <c r="C29972" s="4" t="s">
        <v>7</v>
      </c>
      <c r="D29972" s="4" t="s">
        <v>11</v>
      </c>
      <c r="E29972" s="4" t="s">
        <v>8</v>
      </c>
      <c r="F29972" s="4" t="s">
        <v>8</v>
      </c>
      <c r="G29972" s="4" t="s">
        <v>8</v>
      </c>
      <c r="H29972" s="4" t="s">
        <v>8</v>
      </c>
    </row>
    <row r="29973" spans="1:18">
      <c r="A29973" t="n">
        <v>292427</v>
      </c>
      <c r="B29973" s="38" t="n">
        <v>51</v>
      </c>
      <c r="C29973" s="7" t="n">
        <v>3</v>
      </c>
      <c r="D29973" s="7" t="n">
        <v>9</v>
      </c>
      <c r="E29973" s="7" t="s">
        <v>68</v>
      </c>
      <c r="F29973" s="7" t="s">
        <v>79</v>
      </c>
      <c r="G29973" s="7" t="s">
        <v>78</v>
      </c>
      <c r="H29973" s="7" t="s">
        <v>79</v>
      </c>
    </row>
    <row r="29974" spans="1:18">
      <c r="A29974" t="s">
        <v>4</v>
      </c>
      <c r="B29974" s="4" t="s">
        <v>5</v>
      </c>
      <c r="C29974" s="4" t="s">
        <v>11</v>
      </c>
      <c r="D29974" s="4" t="s">
        <v>13</v>
      </c>
      <c r="E29974" s="4" t="s">
        <v>13</v>
      </c>
      <c r="F29974" s="4" t="s">
        <v>13</v>
      </c>
      <c r="G29974" s="4" t="s">
        <v>13</v>
      </c>
    </row>
    <row r="29975" spans="1:18">
      <c r="A29975" t="n">
        <v>292440</v>
      </c>
      <c r="B29975" s="36" t="n">
        <v>46</v>
      </c>
      <c r="C29975" s="7" t="n">
        <v>0</v>
      </c>
      <c r="D29975" s="7" t="n">
        <v>-18.8299999237061</v>
      </c>
      <c r="E29975" s="7" t="n">
        <v>10.0100002288818</v>
      </c>
      <c r="F29975" s="7" t="n">
        <v>30.2000007629395</v>
      </c>
      <c r="G29975" s="7" t="n">
        <v>270</v>
      </c>
    </row>
    <row r="29976" spans="1:18">
      <c r="A29976" t="s">
        <v>4</v>
      </c>
      <c r="B29976" s="4" t="s">
        <v>5</v>
      </c>
      <c r="C29976" s="4" t="s">
        <v>11</v>
      </c>
      <c r="D29976" s="4" t="s">
        <v>13</v>
      </c>
      <c r="E29976" s="4" t="s">
        <v>13</v>
      </c>
      <c r="F29976" s="4" t="s">
        <v>13</v>
      </c>
      <c r="G29976" s="4" t="s">
        <v>13</v>
      </c>
    </row>
    <row r="29977" spans="1:18">
      <c r="A29977" t="n">
        <v>292459</v>
      </c>
      <c r="B29977" s="36" t="n">
        <v>46</v>
      </c>
      <c r="C29977" s="7" t="n">
        <v>9</v>
      </c>
      <c r="D29977" s="7" t="n">
        <v>-19.8299999237061</v>
      </c>
      <c r="E29977" s="7" t="n">
        <v>10.0600004196167</v>
      </c>
      <c r="F29977" s="7" t="n">
        <v>30.2099990844727</v>
      </c>
      <c r="G29977" s="7" t="n">
        <v>90</v>
      </c>
    </row>
    <row r="29978" spans="1:18">
      <c r="A29978" t="s">
        <v>4</v>
      </c>
      <c r="B29978" s="4" t="s">
        <v>5</v>
      </c>
      <c r="C29978" s="4" t="s">
        <v>11</v>
      </c>
      <c r="D29978" s="4" t="s">
        <v>7</v>
      </c>
      <c r="E29978" s="4" t="s">
        <v>8</v>
      </c>
      <c r="F29978" s="4" t="s">
        <v>13</v>
      </c>
      <c r="G29978" s="4" t="s">
        <v>13</v>
      </c>
      <c r="H29978" s="4" t="s">
        <v>13</v>
      </c>
    </row>
    <row r="29979" spans="1:18">
      <c r="A29979" t="n">
        <v>292478</v>
      </c>
      <c r="B29979" s="42" t="n">
        <v>48</v>
      </c>
      <c r="C29979" s="7" t="n">
        <v>9</v>
      </c>
      <c r="D29979" s="7" t="n">
        <v>0</v>
      </c>
      <c r="E29979" s="7" t="s">
        <v>106</v>
      </c>
      <c r="F29979" s="7" t="n">
        <v>0</v>
      </c>
      <c r="G29979" s="7" t="n">
        <v>1</v>
      </c>
      <c r="H29979" s="7" t="n">
        <v>0</v>
      </c>
    </row>
    <row r="29980" spans="1:18">
      <c r="A29980" t="s">
        <v>4</v>
      </c>
      <c r="B29980" s="4" t="s">
        <v>5</v>
      </c>
      <c r="C29980" s="4" t="s">
        <v>7</v>
      </c>
      <c r="D29980" s="4" t="s">
        <v>11</v>
      </c>
      <c r="E29980" s="4" t="s">
        <v>13</v>
      </c>
      <c r="F29980" s="4" t="s">
        <v>11</v>
      </c>
      <c r="G29980" s="4" t="s">
        <v>15</v>
      </c>
      <c r="H29980" s="4" t="s">
        <v>15</v>
      </c>
      <c r="I29980" s="4" t="s">
        <v>11</v>
      </c>
      <c r="J29980" s="4" t="s">
        <v>11</v>
      </c>
      <c r="K29980" s="4" t="s">
        <v>15</v>
      </c>
      <c r="L29980" s="4" t="s">
        <v>15</v>
      </c>
      <c r="M29980" s="4" t="s">
        <v>15</v>
      </c>
      <c r="N29980" s="4" t="s">
        <v>15</v>
      </c>
      <c r="O29980" s="4" t="s">
        <v>8</v>
      </c>
    </row>
    <row r="29981" spans="1:18">
      <c r="A29981" t="n">
        <v>292502</v>
      </c>
      <c r="B29981" s="57" t="n">
        <v>50</v>
      </c>
      <c r="C29981" s="7" t="n">
        <v>0</v>
      </c>
      <c r="D29981" s="7" t="n">
        <v>2000</v>
      </c>
      <c r="E29981" s="7" t="n">
        <v>0.699999988079071</v>
      </c>
      <c r="F29981" s="7" t="n">
        <v>300</v>
      </c>
      <c r="G29981" s="7" t="n">
        <v>0</v>
      </c>
      <c r="H29981" s="7" t="n">
        <v>1065353216</v>
      </c>
      <c r="I29981" s="7" t="n">
        <v>0</v>
      </c>
      <c r="J29981" s="7" t="n">
        <v>65533</v>
      </c>
      <c r="K29981" s="7" t="n">
        <v>0</v>
      </c>
      <c r="L29981" s="7" t="n">
        <v>0</v>
      </c>
      <c r="M29981" s="7" t="n">
        <v>0</v>
      </c>
      <c r="N29981" s="7" t="n">
        <v>0</v>
      </c>
      <c r="O29981" s="7" t="s">
        <v>16</v>
      </c>
    </row>
    <row r="29982" spans="1:18">
      <c r="A29982" t="s">
        <v>4</v>
      </c>
      <c r="B29982" s="4" t="s">
        <v>5</v>
      </c>
      <c r="C29982" s="4" t="s">
        <v>7</v>
      </c>
      <c r="D29982" s="4" t="s">
        <v>7</v>
      </c>
      <c r="E29982" s="4" t="s">
        <v>13</v>
      </c>
      <c r="F29982" s="4" t="s">
        <v>13</v>
      </c>
      <c r="G29982" s="4" t="s">
        <v>13</v>
      </c>
      <c r="H29982" s="4" t="s">
        <v>11</v>
      </c>
    </row>
    <row r="29983" spans="1:18">
      <c r="A29983" t="n">
        <v>292541</v>
      </c>
      <c r="B29983" s="51" t="n">
        <v>45</v>
      </c>
      <c r="C29983" s="7" t="n">
        <v>2</v>
      </c>
      <c r="D29983" s="7" t="n">
        <v>3</v>
      </c>
      <c r="E29983" s="7" t="n">
        <v>-19.7199993133545</v>
      </c>
      <c r="F29983" s="7" t="n">
        <v>10.9899997711182</v>
      </c>
      <c r="G29983" s="7" t="n">
        <v>30.1700000762939</v>
      </c>
      <c r="H29983" s="7" t="n">
        <v>0</v>
      </c>
    </row>
    <row r="29984" spans="1:18">
      <c r="A29984" t="s">
        <v>4</v>
      </c>
      <c r="B29984" s="4" t="s">
        <v>5</v>
      </c>
      <c r="C29984" s="4" t="s">
        <v>7</v>
      </c>
      <c r="D29984" s="4" t="s">
        <v>7</v>
      </c>
      <c r="E29984" s="4" t="s">
        <v>13</v>
      </c>
      <c r="F29984" s="4" t="s">
        <v>13</v>
      </c>
      <c r="G29984" s="4" t="s">
        <v>13</v>
      </c>
      <c r="H29984" s="4" t="s">
        <v>11</v>
      </c>
    </row>
    <row r="29985" spans="1:15">
      <c r="A29985" t="n">
        <v>292558</v>
      </c>
      <c r="B29985" s="51" t="n">
        <v>45</v>
      </c>
      <c r="C29985" s="7" t="n">
        <v>2</v>
      </c>
      <c r="D29985" s="7" t="n">
        <v>3</v>
      </c>
      <c r="E29985" s="7" t="n">
        <v>-19.7199993133545</v>
      </c>
      <c r="F29985" s="7" t="n">
        <v>11.1899995803833</v>
      </c>
      <c r="G29985" s="7" t="n">
        <v>30.1700000762939</v>
      </c>
      <c r="H29985" s="7" t="n">
        <v>1000</v>
      </c>
    </row>
    <row r="29986" spans="1:15">
      <c r="A29986" t="s">
        <v>4</v>
      </c>
      <c r="B29986" s="4" t="s">
        <v>5</v>
      </c>
      <c r="C29986" s="4" t="s">
        <v>7</v>
      </c>
      <c r="D29986" s="4" t="s">
        <v>7</v>
      </c>
      <c r="E29986" s="4" t="s">
        <v>13</v>
      </c>
      <c r="F29986" s="4" t="s">
        <v>13</v>
      </c>
      <c r="G29986" s="4" t="s">
        <v>13</v>
      </c>
      <c r="H29986" s="4" t="s">
        <v>11</v>
      </c>
      <c r="I29986" s="4" t="s">
        <v>7</v>
      </c>
    </row>
    <row r="29987" spans="1:15">
      <c r="A29987" t="n">
        <v>292575</v>
      </c>
      <c r="B29987" s="51" t="n">
        <v>45</v>
      </c>
      <c r="C29987" s="7" t="n">
        <v>4</v>
      </c>
      <c r="D29987" s="7" t="n">
        <v>3</v>
      </c>
      <c r="E29987" s="7" t="n">
        <v>365.670013427734</v>
      </c>
      <c r="F29987" s="7" t="n">
        <v>45.0099983215332</v>
      </c>
      <c r="G29987" s="7" t="n">
        <v>12</v>
      </c>
      <c r="H29987" s="7" t="n">
        <v>0</v>
      </c>
      <c r="I29987" s="7" t="n">
        <v>0</v>
      </c>
    </row>
    <row r="29988" spans="1:15">
      <c r="A29988" t="s">
        <v>4</v>
      </c>
      <c r="B29988" s="4" t="s">
        <v>5</v>
      </c>
      <c r="C29988" s="4" t="s">
        <v>7</v>
      </c>
      <c r="D29988" s="4" t="s">
        <v>7</v>
      </c>
      <c r="E29988" s="4" t="s">
        <v>13</v>
      </c>
      <c r="F29988" s="4" t="s">
        <v>11</v>
      </c>
    </row>
    <row r="29989" spans="1:15">
      <c r="A29989" t="n">
        <v>292593</v>
      </c>
      <c r="B29989" s="51" t="n">
        <v>45</v>
      </c>
      <c r="C29989" s="7" t="n">
        <v>5</v>
      </c>
      <c r="D29989" s="7" t="n">
        <v>3</v>
      </c>
      <c r="E29989" s="7" t="n">
        <v>1.60000002384186</v>
      </c>
      <c r="F29989" s="7" t="n">
        <v>0</v>
      </c>
    </row>
    <row r="29990" spans="1:15">
      <c r="A29990" t="s">
        <v>4</v>
      </c>
      <c r="B29990" s="4" t="s">
        <v>5</v>
      </c>
      <c r="C29990" s="4" t="s">
        <v>7</v>
      </c>
      <c r="D29990" s="4" t="s">
        <v>7</v>
      </c>
      <c r="E29990" s="4" t="s">
        <v>13</v>
      </c>
      <c r="F29990" s="4" t="s">
        <v>11</v>
      </c>
    </row>
    <row r="29991" spans="1:15">
      <c r="A29991" t="n">
        <v>292602</v>
      </c>
      <c r="B29991" s="51" t="n">
        <v>45</v>
      </c>
      <c r="C29991" s="7" t="n">
        <v>11</v>
      </c>
      <c r="D29991" s="7" t="n">
        <v>3</v>
      </c>
      <c r="E29991" s="7" t="n">
        <v>34.5999984741211</v>
      </c>
      <c r="F29991" s="7" t="n">
        <v>0</v>
      </c>
    </row>
    <row r="29992" spans="1:15">
      <c r="A29992" t="s">
        <v>4</v>
      </c>
      <c r="B29992" s="4" t="s">
        <v>5</v>
      </c>
      <c r="C29992" s="4" t="s">
        <v>11</v>
      </c>
    </row>
    <row r="29993" spans="1:15">
      <c r="A29993" t="n">
        <v>292611</v>
      </c>
      <c r="B29993" s="29" t="n">
        <v>16</v>
      </c>
      <c r="C29993" s="7" t="n">
        <v>1300</v>
      </c>
    </row>
    <row r="29994" spans="1:15">
      <c r="A29994" t="s">
        <v>4</v>
      </c>
      <c r="B29994" s="4" t="s">
        <v>5</v>
      </c>
      <c r="C29994" s="4" t="s">
        <v>7</v>
      </c>
      <c r="D29994" s="4" t="s">
        <v>11</v>
      </c>
      <c r="E29994" s="4" t="s">
        <v>8</v>
      </c>
    </row>
    <row r="29995" spans="1:15">
      <c r="A29995" t="n">
        <v>292614</v>
      </c>
      <c r="B29995" s="38" t="n">
        <v>51</v>
      </c>
      <c r="C29995" s="7" t="n">
        <v>4</v>
      </c>
      <c r="D29995" s="7" t="n">
        <v>9</v>
      </c>
      <c r="E29995" s="7" t="s">
        <v>491</v>
      </c>
    </row>
    <row r="29996" spans="1:15">
      <c r="A29996" t="s">
        <v>4</v>
      </c>
      <c r="B29996" s="4" t="s">
        <v>5</v>
      </c>
      <c r="C29996" s="4" t="s">
        <v>11</v>
      </c>
    </row>
    <row r="29997" spans="1:15">
      <c r="A29997" t="n">
        <v>292628</v>
      </c>
      <c r="B29997" s="29" t="n">
        <v>16</v>
      </c>
      <c r="C29997" s="7" t="n">
        <v>0</v>
      </c>
    </row>
    <row r="29998" spans="1:15">
      <c r="A29998" t="s">
        <v>4</v>
      </c>
      <c r="B29998" s="4" t="s">
        <v>5</v>
      </c>
      <c r="C29998" s="4" t="s">
        <v>11</v>
      </c>
      <c r="D29998" s="4" t="s">
        <v>7</v>
      </c>
      <c r="E29998" s="4" t="s">
        <v>15</v>
      </c>
      <c r="F29998" s="4" t="s">
        <v>55</v>
      </c>
      <c r="G29998" s="4" t="s">
        <v>7</v>
      </c>
      <c r="H29998" s="4" t="s">
        <v>7</v>
      </c>
      <c r="I29998" s="4" t="s">
        <v>7</v>
      </c>
    </row>
    <row r="29999" spans="1:15">
      <c r="A29999" t="n">
        <v>292631</v>
      </c>
      <c r="B29999" s="55" t="n">
        <v>26</v>
      </c>
      <c r="C29999" s="7" t="n">
        <v>9</v>
      </c>
      <c r="D29999" s="7" t="n">
        <v>17</v>
      </c>
      <c r="E29999" s="7" t="n">
        <v>64729</v>
      </c>
      <c r="F29999" s="7" t="s">
        <v>1729</v>
      </c>
      <c r="G29999" s="7" t="n">
        <v>8</v>
      </c>
      <c r="H29999" s="7" t="n">
        <v>2</v>
      </c>
      <c r="I29999" s="7" t="n">
        <v>0</v>
      </c>
    </row>
    <row r="30000" spans="1:15">
      <c r="A30000" t="s">
        <v>4</v>
      </c>
      <c r="B30000" s="4" t="s">
        <v>5</v>
      </c>
      <c r="C30000" s="4" t="s">
        <v>11</v>
      </c>
    </row>
    <row r="30001" spans="1:9">
      <c r="A30001" t="n">
        <v>292654</v>
      </c>
      <c r="B30001" s="29" t="n">
        <v>16</v>
      </c>
      <c r="C30001" s="7" t="n">
        <v>400</v>
      </c>
    </row>
    <row r="30002" spans="1:9">
      <c r="A30002" t="s">
        <v>4</v>
      </c>
      <c r="B30002" s="4" t="s">
        <v>5</v>
      </c>
      <c r="C30002" s="4" t="s">
        <v>7</v>
      </c>
      <c r="D30002" s="4" t="s">
        <v>7</v>
      </c>
      <c r="E30002" s="4" t="s">
        <v>13</v>
      </c>
      <c r="F30002" s="4" t="s">
        <v>13</v>
      </c>
      <c r="G30002" s="4" t="s">
        <v>13</v>
      </c>
      <c r="H30002" s="4" t="s">
        <v>11</v>
      </c>
    </row>
    <row r="30003" spans="1:9">
      <c r="A30003" t="n">
        <v>292657</v>
      </c>
      <c r="B30003" s="51" t="n">
        <v>45</v>
      </c>
      <c r="C30003" s="7" t="n">
        <v>2</v>
      </c>
      <c r="D30003" s="7" t="n">
        <v>3</v>
      </c>
      <c r="E30003" s="7" t="n">
        <v>-18.8400001525879</v>
      </c>
      <c r="F30003" s="7" t="n">
        <v>11.1899995803833</v>
      </c>
      <c r="G30003" s="7" t="n">
        <v>30.1700000762939</v>
      </c>
      <c r="H30003" s="7" t="n">
        <v>1000</v>
      </c>
    </row>
    <row r="30004" spans="1:9">
      <c r="A30004" t="s">
        <v>4</v>
      </c>
      <c r="B30004" s="4" t="s">
        <v>5</v>
      </c>
      <c r="C30004" s="4" t="s">
        <v>7</v>
      </c>
      <c r="D30004" s="4" t="s">
        <v>7</v>
      </c>
      <c r="E30004" s="4" t="s">
        <v>13</v>
      </c>
      <c r="F30004" s="4" t="s">
        <v>13</v>
      </c>
      <c r="G30004" s="4" t="s">
        <v>13</v>
      </c>
      <c r="H30004" s="4" t="s">
        <v>11</v>
      </c>
      <c r="I30004" s="4" t="s">
        <v>7</v>
      </c>
    </row>
    <row r="30005" spans="1:9">
      <c r="A30005" t="n">
        <v>292674</v>
      </c>
      <c r="B30005" s="51" t="n">
        <v>45</v>
      </c>
      <c r="C30005" s="7" t="n">
        <v>4</v>
      </c>
      <c r="D30005" s="7" t="n">
        <v>3</v>
      </c>
      <c r="E30005" s="7" t="n">
        <v>363.290008544922</v>
      </c>
      <c r="F30005" s="7" t="n">
        <v>35.8600006103516</v>
      </c>
      <c r="G30005" s="7" t="n">
        <v>12</v>
      </c>
      <c r="H30005" s="7" t="n">
        <v>1000</v>
      </c>
      <c r="I30005" s="7" t="n">
        <v>0</v>
      </c>
    </row>
    <row r="30006" spans="1:9">
      <c r="A30006" t="s">
        <v>4</v>
      </c>
      <c r="B30006" s="4" t="s">
        <v>5</v>
      </c>
      <c r="C30006" s="4" t="s">
        <v>7</v>
      </c>
      <c r="D30006" s="4" t="s">
        <v>7</v>
      </c>
      <c r="E30006" s="4" t="s">
        <v>13</v>
      </c>
      <c r="F30006" s="4" t="s">
        <v>11</v>
      </c>
    </row>
    <row r="30007" spans="1:9">
      <c r="A30007" t="n">
        <v>292692</v>
      </c>
      <c r="B30007" s="51" t="n">
        <v>45</v>
      </c>
      <c r="C30007" s="7" t="n">
        <v>5</v>
      </c>
      <c r="D30007" s="7" t="n">
        <v>3</v>
      </c>
      <c r="E30007" s="7" t="n">
        <v>1.29999995231628</v>
      </c>
      <c r="F30007" s="7" t="n">
        <v>1000</v>
      </c>
    </row>
    <row r="30008" spans="1:9">
      <c r="A30008" t="s">
        <v>4</v>
      </c>
      <c r="B30008" s="4" t="s">
        <v>5</v>
      </c>
      <c r="C30008" s="4" t="s">
        <v>11</v>
      </c>
      <c r="D30008" s="4" t="s">
        <v>13</v>
      </c>
      <c r="E30008" s="4" t="s">
        <v>13</v>
      </c>
      <c r="F30008" s="4" t="s">
        <v>13</v>
      </c>
      <c r="G30008" s="4" t="s">
        <v>11</v>
      </c>
      <c r="H30008" s="4" t="s">
        <v>11</v>
      </c>
    </row>
    <row r="30009" spans="1:9">
      <c r="A30009" t="n">
        <v>292701</v>
      </c>
      <c r="B30009" s="37" t="n">
        <v>60</v>
      </c>
      <c r="C30009" s="7" t="n">
        <v>0</v>
      </c>
      <c r="D30009" s="7" t="n">
        <v>0</v>
      </c>
      <c r="E30009" s="7" t="n">
        <v>0</v>
      </c>
      <c r="F30009" s="7" t="n">
        <v>0</v>
      </c>
      <c r="G30009" s="7" t="n">
        <v>800</v>
      </c>
      <c r="H30009" s="7" t="n">
        <v>0</v>
      </c>
    </row>
    <row r="30010" spans="1:9">
      <c r="A30010" t="s">
        <v>4</v>
      </c>
      <c r="B30010" s="4" t="s">
        <v>5</v>
      </c>
      <c r="C30010" s="4" t="s">
        <v>11</v>
      </c>
      <c r="D30010" s="4" t="s">
        <v>7</v>
      </c>
      <c r="E30010" s="4" t="s">
        <v>8</v>
      </c>
      <c r="F30010" s="4" t="s">
        <v>13</v>
      </c>
      <c r="G30010" s="4" t="s">
        <v>13</v>
      </c>
      <c r="H30010" s="4" t="s">
        <v>13</v>
      </c>
    </row>
    <row r="30011" spans="1:9">
      <c r="A30011" t="n">
        <v>292720</v>
      </c>
      <c r="B30011" s="42" t="n">
        <v>48</v>
      </c>
      <c r="C30011" s="7" t="n">
        <v>9</v>
      </c>
      <c r="D30011" s="7" t="n">
        <v>0</v>
      </c>
      <c r="E30011" s="7" t="s">
        <v>626</v>
      </c>
      <c r="F30011" s="7" t="n">
        <v>-1</v>
      </c>
      <c r="G30011" s="7" t="n">
        <v>1</v>
      </c>
      <c r="H30011" s="7" t="n">
        <v>0</v>
      </c>
    </row>
    <row r="30012" spans="1:9">
      <c r="A30012" t="s">
        <v>4</v>
      </c>
      <c r="B30012" s="4" t="s">
        <v>5</v>
      </c>
      <c r="C30012" s="4" t="s">
        <v>11</v>
      </c>
      <c r="D30012" s="4" t="s">
        <v>7</v>
      </c>
      <c r="E30012" s="4" t="s">
        <v>8</v>
      </c>
      <c r="F30012" s="4" t="s">
        <v>13</v>
      </c>
      <c r="G30012" s="4" t="s">
        <v>13</v>
      </c>
      <c r="H30012" s="4" t="s">
        <v>13</v>
      </c>
    </row>
    <row r="30013" spans="1:9">
      <c r="A30013" t="n">
        <v>292746</v>
      </c>
      <c r="B30013" s="42" t="n">
        <v>48</v>
      </c>
      <c r="C30013" s="7" t="n">
        <v>0</v>
      </c>
      <c r="D30013" s="7" t="n">
        <v>0</v>
      </c>
      <c r="E30013" s="7" t="s">
        <v>626</v>
      </c>
      <c r="F30013" s="7" t="n">
        <v>-1</v>
      </c>
      <c r="G30013" s="7" t="n">
        <v>1</v>
      </c>
      <c r="H30013" s="7" t="n">
        <v>0</v>
      </c>
    </row>
    <row r="30014" spans="1:9">
      <c r="A30014" t="s">
        <v>4</v>
      </c>
      <c r="B30014" s="4" t="s">
        <v>5</v>
      </c>
      <c r="C30014" s="4" t="s">
        <v>11</v>
      </c>
    </row>
    <row r="30015" spans="1:9">
      <c r="A30015" t="n">
        <v>292772</v>
      </c>
      <c r="B30015" s="29" t="n">
        <v>16</v>
      </c>
      <c r="C30015" s="7" t="n">
        <v>500</v>
      </c>
    </row>
    <row r="30016" spans="1:9">
      <c r="A30016" t="s">
        <v>4</v>
      </c>
      <c r="B30016" s="4" t="s">
        <v>5</v>
      </c>
      <c r="C30016" s="4" t="s">
        <v>11</v>
      </c>
      <c r="D30016" s="4" t="s">
        <v>7</v>
      </c>
    </row>
    <row r="30017" spans="1:9">
      <c r="A30017" t="n">
        <v>292775</v>
      </c>
      <c r="B30017" s="68" t="n">
        <v>89</v>
      </c>
      <c r="C30017" s="7" t="n">
        <v>9</v>
      </c>
      <c r="D30017" s="7" t="n">
        <v>0</v>
      </c>
    </row>
    <row r="30018" spans="1:9">
      <c r="A30018" t="s">
        <v>4</v>
      </c>
      <c r="B30018" s="4" t="s">
        <v>5</v>
      </c>
      <c r="C30018" s="4" t="s">
        <v>7</v>
      </c>
      <c r="D30018" s="4" t="s">
        <v>13</v>
      </c>
      <c r="E30018" s="4" t="s">
        <v>13</v>
      </c>
      <c r="F30018" s="4" t="s">
        <v>13</v>
      </c>
    </row>
    <row r="30019" spans="1:9">
      <c r="A30019" t="n">
        <v>292779</v>
      </c>
      <c r="B30019" s="51" t="n">
        <v>45</v>
      </c>
      <c r="C30019" s="7" t="n">
        <v>9</v>
      </c>
      <c r="D30019" s="7" t="n">
        <v>0.0500000007450581</v>
      </c>
      <c r="E30019" s="7" t="n">
        <v>0.0500000007450581</v>
      </c>
      <c r="F30019" s="7" t="n">
        <v>0.5</v>
      </c>
    </row>
    <row r="30020" spans="1:9">
      <c r="A30020" t="s">
        <v>4</v>
      </c>
      <c r="B30020" s="4" t="s">
        <v>5</v>
      </c>
      <c r="C30020" s="4" t="s">
        <v>7</v>
      </c>
      <c r="D30020" s="4" t="s">
        <v>11</v>
      </c>
      <c r="E30020" s="4" t="s">
        <v>13</v>
      </c>
      <c r="F30020" s="4" t="s">
        <v>11</v>
      </c>
      <c r="G30020" s="4" t="s">
        <v>15</v>
      </c>
      <c r="H30020" s="4" t="s">
        <v>15</v>
      </c>
      <c r="I30020" s="4" t="s">
        <v>11</v>
      </c>
      <c r="J30020" s="4" t="s">
        <v>11</v>
      </c>
      <c r="K30020" s="4" t="s">
        <v>15</v>
      </c>
      <c r="L30020" s="4" t="s">
        <v>15</v>
      </c>
      <c r="M30020" s="4" t="s">
        <v>15</v>
      </c>
      <c r="N30020" s="4" t="s">
        <v>15</v>
      </c>
      <c r="O30020" s="4" t="s">
        <v>8</v>
      </c>
    </row>
    <row r="30021" spans="1:9">
      <c r="A30021" t="n">
        <v>292793</v>
      </c>
      <c r="B30021" s="57" t="n">
        <v>50</v>
      </c>
      <c r="C30021" s="7" t="n">
        <v>0</v>
      </c>
      <c r="D30021" s="7" t="n">
        <v>2003</v>
      </c>
      <c r="E30021" s="7" t="n">
        <v>0.800000011920929</v>
      </c>
      <c r="F30021" s="7" t="n">
        <v>0</v>
      </c>
      <c r="G30021" s="7" t="n">
        <v>0</v>
      </c>
      <c r="H30021" s="7" t="n">
        <v>1065353216</v>
      </c>
      <c r="I30021" s="7" t="n">
        <v>0</v>
      </c>
      <c r="J30021" s="7" t="n">
        <v>65533</v>
      </c>
      <c r="K30021" s="7" t="n">
        <v>0</v>
      </c>
      <c r="L30021" s="7" t="n">
        <v>0</v>
      </c>
      <c r="M30021" s="7" t="n">
        <v>0</v>
      </c>
      <c r="N30021" s="7" t="n">
        <v>0</v>
      </c>
      <c r="O30021" s="7" t="s">
        <v>16</v>
      </c>
    </row>
    <row r="30022" spans="1:9">
      <c r="A30022" t="s">
        <v>4</v>
      </c>
      <c r="B30022" s="4" t="s">
        <v>5</v>
      </c>
      <c r="C30022" s="4" t="s">
        <v>7</v>
      </c>
      <c r="D30022" s="4" t="s">
        <v>11</v>
      </c>
      <c r="E30022" s="4" t="s">
        <v>11</v>
      </c>
      <c r="F30022" s="4" t="s">
        <v>7</v>
      </c>
    </row>
    <row r="30023" spans="1:9">
      <c r="A30023" t="n">
        <v>292832</v>
      </c>
      <c r="B30023" s="31" t="n">
        <v>25</v>
      </c>
      <c r="C30023" s="7" t="n">
        <v>1</v>
      </c>
      <c r="D30023" s="7" t="n">
        <v>160</v>
      </c>
      <c r="E30023" s="7" t="n">
        <v>570</v>
      </c>
      <c r="F30023" s="7" t="n">
        <v>2</v>
      </c>
    </row>
    <row r="30024" spans="1:9">
      <c r="A30024" t="s">
        <v>4</v>
      </c>
      <c r="B30024" s="4" t="s">
        <v>5</v>
      </c>
      <c r="C30024" s="4" t="s">
        <v>7</v>
      </c>
      <c r="D30024" s="4" t="s">
        <v>11</v>
      </c>
      <c r="E30024" s="4" t="s">
        <v>8</v>
      </c>
    </row>
    <row r="30025" spans="1:9">
      <c r="A30025" t="n">
        <v>292839</v>
      </c>
      <c r="B30025" s="38" t="n">
        <v>51</v>
      </c>
      <c r="C30025" s="7" t="n">
        <v>4</v>
      </c>
      <c r="D30025" s="7" t="n">
        <v>0</v>
      </c>
      <c r="E30025" s="7" t="s">
        <v>658</v>
      </c>
    </row>
    <row r="30026" spans="1:9">
      <c r="A30026" t="s">
        <v>4</v>
      </c>
      <c r="B30026" s="4" t="s">
        <v>5</v>
      </c>
      <c r="C30026" s="4" t="s">
        <v>11</v>
      </c>
    </row>
    <row r="30027" spans="1:9">
      <c r="A30027" t="n">
        <v>292853</v>
      </c>
      <c r="B30027" s="29" t="n">
        <v>16</v>
      </c>
      <c r="C30027" s="7" t="n">
        <v>0</v>
      </c>
    </row>
    <row r="30028" spans="1:9">
      <c r="A30028" t="s">
        <v>4</v>
      </c>
      <c r="B30028" s="4" t="s">
        <v>5</v>
      </c>
      <c r="C30028" s="4" t="s">
        <v>11</v>
      </c>
      <c r="D30028" s="4" t="s">
        <v>7</v>
      </c>
      <c r="E30028" s="4" t="s">
        <v>15</v>
      </c>
      <c r="F30028" s="4" t="s">
        <v>55</v>
      </c>
      <c r="G30028" s="4" t="s">
        <v>7</v>
      </c>
      <c r="H30028" s="4" t="s">
        <v>7</v>
      </c>
      <c r="I30028" s="4" t="s">
        <v>7</v>
      </c>
    </row>
    <row r="30029" spans="1:9">
      <c r="A30029" t="n">
        <v>292856</v>
      </c>
      <c r="B30029" s="55" t="n">
        <v>26</v>
      </c>
      <c r="C30029" s="7" t="n">
        <v>0</v>
      </c>
      <c r="D30029" s="7" t="n">
        <v>17</v>
      </c>
      <c r="E30029" s="7" t="n">
        <v>64730</v>
      </c>
      <c r="F30029" s="7" t="s">
        <v>1730</v>
      </c>
      <c r="G30029" s="7" t="n">
        <v>8</v>
      </c>
      <c r="H30029" s="7" t="n">
        <v>2</v>
      </c>
      <c r="I30029" s="7" t="n">
        <v>0</v>
      </c>
    </row>
    <row r="30030" spans="1:9">
      <c r="A30030" t="s">
        <v>4</v>
      </c>
      <c r="B30030" s="4" t="s">
        <v>5</v>
      </c>
      <c r="C30030" s="4" t="s">
        <v>11</v>
      </c>
    </row>
    <row r="30031" spans="1:9">
      <c r="A30031" t="n">
        <v>292882</v>
      </c>
      <c r="B30031" s="29" t="n">
        <v>16</v>
      </c>
      <c r="C30031" s="7" t="n">
        <v>500</v>
      </c>
    </row>
    <row r="30032" spans="1:9">
      <c r="A30032" t="s">
        <v>4</v>
      </c>
      <c r="B30032" s="4" t="s">
        <v>5</v>
      </c>
      <c r="C30032" s="4" t="s">
        <v>11</v>
      </c>
      <c r="D30032" s="4" t="s">
        <v>15</v>
      </c>
    </row>
    <row r="30033" spans="1:15">
      <c r="A30033" t="n">
        <v>292885</v>
      </c>
      <c r="B30033" s="44" t="n">
        <v>98</v>
      </c>
      <c r="C30033" s="7" t="n">
        <v>9</v>
      </c>
      <c r="D30033" s="7" t="n">
        <v>1045220557</v>
      </c>
    </row>
    <row r="30034" spans="1:15">
      <c r="A30034" t="s">
        <v>4</v>
      </c>
      <c r="B30034" s="4" t="s">
        <v>5</v>
      </c>
      <c r="C30034" s="4" t="s">
        <v>11</v>
      </c>
      <c r="D30034" s="4" t="s">
        <v>15</v>
      </c>
    </row>
    <row r="30035" spans="1:15">
      <c r="A30035" t="n">
        <v>292892</v>
      </c>
      <c r="B30035" s="44" t="n">
        <v>98</v>
      </c>
      <c r="C30035" s="7" t="n">
        <v>0</v>
      </c>
      <c r="D30035" s="7" t="n">
        <v>1045220557</v>
      </c>
    </row>
    <row r="30036" spans="1:15">
      <c r="A30036" t="s">
        <v>4</v>
      </c>
      <c r="B30036" s="4" t="s">
        <v>5</v>
      </c>
      <c r="C30036" s="4" t="s">
        <v>11</v>
      </c>
    </row>
    <row r="30037" spans="1:15">
      <c r="A30037" t="n">
        <v>292899</v>
      </c>
      <c r="B30037" s="29" t="n">
        <v>16</v>
      </c>
      <c r="C30037" s="7" t="n">
        <v>1000</v>
      </c>
    </row>
    <row r="30038" spans="1:15">
      <c r="A30038" t="s">
        <v>4</v>
      </c>
      <c r="B30038" s="4" t="s">
        <v>5</v>
      </c>
      <c r="C30038" s="4" t="s">
        <v>11</v>
      </c>
      <c r="D30038" s="4" t="s">
        <v>7</v>
      </c>
    </row>
    <row r="30039" spans="1:15">
      <c r="A30039" t="n">
        <v>292902</v>
      </c>
      <c r="B30039" s="68" t="n">
        <v>89</v>
      </c>
      <c r="C30039" s="7" t="n">
        <v>0</v>
      </c>
      <c r="D30039" s="7" t="n">
        <v>0</v>
      </c>
    </row>
    <row r="30040" spans="1:15">
      <c r="A30040" t="s">
        <v>4</v>
      </c>
      <c r="B30040" s="4" t="s">
        <v>5</v>
      </c>
      <c r="C30040" s="4" t="s">
        <v>7</v>
      </c>
      <c r="D30040" s="4" t="s">
        <v>7</v>
      </c>
      <c r="E30040" s="4" t="s">
        <v>13</v>
      </c>
      <c r="F30040" s="4" t="s">
        <v>13</v>
      </c>
      <c r="G30040" s="4" t="s">
        <v>13</v>
      </c>
      <c r="H30040" s="4" t="s">
        <v>11</v>
      </c>
    </row>
    <row r="30041" spans="1:15">
      <c r="A30041" t="n">
        <v>292906</v>
      </c>
      <c r="B30041" s="51" t="n">
        <v>45</v>
      </c>
      <c r="C30041" s="7" t="n">
        <v>2</v>
      </c>
      <c r="D30041" s="7" t="n">
        <v>3</v>
      </c>
      <c r="E30041" s="7" t="n">
        <v>-18.8199996948242</v>
      </c>
      <c r="F30041" s="7" t="n">
        <v>11.3599996566772</v>
      </c>
      <c r="G30041" s="7" t="n">
        <v>30.2399997711182</v>
      </c>
      <c r="H30041" s="7" t="n">
        <v>2000</v>
      </c>
    </row>
    <row r="30042" spans="1:15">
      <c r="A30042" t="s">
        <v>4</v>
      </c>
      <c r="B30042" s="4" t="s">
        <v>5</v>
      </c>
      <c r="C30042" s="4" t="s">
        <v>7</v>
      </c>
      <c r="D30042" s="4" t="s">
        <v>7</v>
      </c>
      <c r="E30042" s="4" t="s">
        <v>13</v>
      </c>
      <c r="F30042" s="4" t="s">
        <v>13</v>
      </c>
      <c r="G30042" s="4" t="s">
        <v>13</v>
      </c>
      <c r="H30042" s="4" t="s">
        <v>11</v>
      </c>
      <c r="I30042" s="4" t="s">
        <v>7</v>
      </c>
    </row>
    <row r="30043" spans="1:15">
      <c r="A30043" t="n">
        <v>292923</v>
      </c>
      <c r="B30043" s="51" t="n">
        <v>45</v>
      </c>
      <c r="C30043" s="7" t="n">
        <v>4</v>
      </c>
      <c r="D30043" s="7" t="n">
        <v>3</v>
      </c>
      <c r="E30043" s="7" t="n">
        <v>398.540008544922</v>
      </c>
      <c r="F30043" s="7" t="n">
        <v>35.5900001525879</v>
      </c>
      <c r="G30043" s="7" t="n">
        <v>12</v>
      </c>
      <c r="H30043" s="7" t="n">
        <v>2000</v>
      </c>
      <c r="I30043" s="7" t="n">
        <v>0</v>
      </c>
    </row>
    <row r="30044" spans="1:15">
      <c r="A30044" t="s">
        <v>4</v>
      </c>
      <c r="B30044" s="4" t="s">
        <v>5</v>
      </c>
      <c r="C30044" s="4" t="s">
        <v>7</v>
      </c>
      <c r="D30044" s="4" t="s">
        <v>7</v>
      </c>
      <c r="E30044" s="4" t="s">
        <v>13</v>
      </c>
      <c r="F30044" s="4" t="s">
        <v>11</v>
      </c>
    </row>
    <row r="30045" spans="1:15">
      <c r="A30045" t="n">
        <v>292941</v>
      </c>
      <c r="B30045" s="51" t="n">
        <v>45</v>
      </c>
      <c r="C30045" s="7" t="n">
        <v>5</v>
      </c>
      <c r="D30045" s="7" t="n">
        <v>3</v>
      </c>
      <c r="E30045" s="7" t="n">
        <v>1</v>
      </c>
      <c r="F30045" s="7" t="n">
        <v>2000</v>
      </c>
    </row>
    <row r="30046" spans="1:15">
      <c r="A30046" t="s">
        <v>4</v>
      </c>
      <c r="B30046" s="4" t="s">
        <v>5</v>
      </c>
      <c r="C30046" s="4" t="s">
        <v>11</v>
      </c>
      <c r="D30046" s="4" t="s">
        <v>15</v>
      </c>
    </row>
    <row r="30047" spans="1:15">
      <c r="A30047" t="n">
        <v>292950</v>
      </c>
      <c r="B30047" s="44" t="n">
        <v>98</v>
      </c>
      <c r="C30047" s="7" t="n">
        <v>9</v>
      </c>
      <c r="D30047" s="7" t="n">
        <v>1058642330</v>
      </c>
    </row>
    <row r="30048" spans="1:15">
      <c r="A30048" t="s">
        <v>4</v>
      </c>
      <c r="B30048" s="4" t="s">
        <v>5</v>
      </c>
      <c r="C30048" s="4" t="s">
        <v>11</v>
      </c>
      <c r="D30048" s="4" t="s">
        <v>15</v>
      </c>
    </row>
    <row r="30049" spans="1:9">
      <c r="A30049" t="n">
        <v>292957</v>
      </c>
      <c r="B30049" s="44" t="n">
        <v>98</v>
      </c>
      <c r="C30049" s="7" t="n">
        <v>0</v>
      </c>
      <c r="D30049" s="7" t="n">
        <v>1058642330</v>
      </c>
    </row>
    <row r="30050" spans="1:9">
      <c r="A30050" t="s">
        <v>4</v>
      </c>
      <c r="B30050" s="4" t="s">
        <v>5</v>
      </c>
      <c r="C30050" s="4" t="s">
        <v>11</v>
      </c>
    </row>
    <row r="30051" spans="1:9">
      <c r="A30051" t="n">
        <v>292964</v>
      </c>
      <c r="B30051" s="29" t="n">
        <v>16</v>
      </c>
      <c r="C30051" s="7" t="n">
        <v>1000</v>
      </c>
    </row>
    <row r="30052" spans="1:9">
      <c r="A30052" t="s">
        <v>4</v>
      </c>
      <c r="B30052" s="4" t="s">
        <v>5</v>
      </c>
      <c r="C30052" s="4" t="s">
        <v>11</v>
      </c>
      <c r="D30052" s="4" t="s">
        <v>13</v>
      </c>
      <c r="E30052" s="4" t="s">
        <v>13</v>
      </c>
      <c r="F30052" s="4" t="s">
        <v>13</v>
      </c>
      <c r="G30052" s="4" t="s">
        <v>11</v>
      </c>
      <c r="H30052" s="4" t="s">
        <v>11</v>
      </c>
    </row>
    <row r="30053" spans="1:9">
      <c r="A30053" t="n">
        <v>292967</v>
      </c>
      <c r="B30053" s="37" t="n">
        <v>60</v>
      </c>
      <c r="C30053" s="7" t="n">
        <v>0</v>
      </c>
      <c r="D30053" s="7" t="n">
        <v>0</v>
      </c>
      <c r="E30053" s="7" t="n">
        <v>-15</v>
      </c>
      <c r="F30053" s="7" t="n">
        <v>0</v>
      </c>
      <c r="G30053" s="7" t="n">
        <v>800</v>
      </c>
      <c r="H30053" s="7" t="n">
        <v>0</v>
      </c>
    </row>
    <row r="30054" spans="1:9">
      <c r="A30054" t="s">
        <v>4</v>
      </c>
      <c r="B30054" s="4" t="s">
        <v>5</v>
      </c>
      <c r="C30054" s="4" t="s">
        <v>11</v>
      </c>
    </row>
    <row r="30055" spans="1:9">
      <c r="A30055" t="n">
        <v>292986</v>
      </c>
      <c r="B30055" s="29" t="n">
        <v>16</v>
      </c>
      <c r="C30055" s="7" t="n">
        <v>1000</v>
      </c>
    </row>
    <row r="30056" spans="1:9">
      <c r="A30056" t="s">
        <v>4</v>
      </c>
      <c r="B30056" s="4" t="s">
        <v>5</v>
      </c>
      <c r="C30056" s="4" t="s">
        <v>7</v>
      </c>
      <c r="D30056" s="4" t="s">
        <v>11</v>
      </c>
      <c r="E30056" s="4" t="s">
        <v>8</v>
      </c>
    </row>
    <row r="30057" spans="1:9">
      <c r="A30057" t="n">
        <v>292989</v>
      </c>
      <c r="B30057" s="38" t="n">
        <v>51</v>
      </c>
      <c r="C30057" s="7" t="n">
        <v>4</v>
      </c>
      <c r="D30057" s="7" t="n">
        <v>0</v>
      </c>
      <c r="E30057" s="7" t="s">
        <v>658</v>
      </c>
    </row>
    <row r="30058" spans="1:9">
      <c r="A30058" t="s">
        <v>4</v>
      </c>
      <c r="B30058" s="4" t="s">
        <v>5</v>
      </c>
      <c r="C30058" s="4" t="s">
        <v>11</v>
      </c>
    </row>
    <row r="30059" spans="1:9">
      <c r="A30059" t="n">
        <v>293003</v>
      </c>
      <c r="B30059" s="29" t="n">
        <v>16</v>
      </c>
      <c r="C30059" s="7" t="n">
        <v>0</v>
      </c>
    </row>
    <row r="30060" spans="1:9">
      <c r="A30060" t="s">
        <v>4</v>
      </c>
      <c r="B30060" s="4" t="s">
        <v>5</v>
      </c>
      <c r="C30060" s="4" t="s">
        <v>11</v>
      </c>
      <c r="D30060" s="4" t="s">
        <v>7</v>
      </c>
      <c r="E30060" s="4" t="s">
        <v>15</v>
      </c>
      <c r="F30060" s="4" t="s">
        <v>55</v>
      </c>
      <c r="G30060" s="4" t="s">
        <v>7</v>
      </c>
      <c r="H30060" s="4" t="s">
        <v>7</v>
      </c>
    </row>
    <row r="30061" spans="1:9">
      <c r="A30061" t="n">
        <v>293006</v>
      </c>
      <c r="B30061" s="55" t="n">
        <v>26</v>
      </c>
      <c r="C30061" s="7" t="n">
        <v>0</v>
      </c>
      <c r="D30061" s="7" t="n">
        <v>17</v>
      </c>
      <c r="E30061" s="7" t="n">
        <v>64731</v>
      </c>
      <c r="F30061" s="7" t="s">
        <v>1731</v>
      </c>
      <c r="G30061" s="7" t="n">
        <v>2</v>
      </c>
      <c r="H30061" s="7" t="n">
        <v>0</v>
      </c>
    </row>
    <row r="30062" spans="1:9">
      <c r="A30062" t="s">
        <v>4</v>
      </c>
      <c r="B30062" s="4" t="s">
        <v>5</v>
      </c>
    </row>
    <row r="30063" spans="1:9">
      <c r="A30063" t="n">
        <v>293108</v>
      </c>
      <c r="B30063" s="27" t="n">
        <v>28</v>
      </c>
    </row>
    <row r="30064" spans="1:9">
      <c r="A30064" t="s">
        <v>4</v>
      </c>
      <c r="B30064" s="4" t="s">
        <v>5</v>
      </c>
      <c r="C30064" s="4" t="s">
        <v>7</v>
      </c>
      <c r="D30064" s="4" t="s">
        <v>11</v>
      </c>
      <c r="E30064" s="4" t="s">
        <v>11</v>
      </c>
      <c r="F30064" s="4" t="s">
        <v>7</v>
      </c>
    </row>
    <row r="30065" spans="1:8">
      <c r="A30065" t="n">
        <v>293109</v>
      </c>
      <c r="B30065" s="31" t="n">
        <v>25</v>
      </c>
      <c r="C30065" s="7" t="n">
        <v>1</v>
      </c>
      <c r="D30065" s="7" t="n">
        <v>65535</v>
      </c>
      <c r="E30065" s="7" t="n">
        <v>65535</v>
      </c>
      <c r="F30065" s="7" t="n">
        <v>0</v>
      </c>
    </row>
    <row r="30066" spans="1:8">
      <c r="A30066" t="s">
        <v>4</v>
      </c>
      <c r="B30066" s="4" t="s">
        <v>5</v>
      </c>
      <c r="C30066" s="4" t="s">
        <v>7</v>
      </c>
      <c r="D30066" s="4" t="s">
        <v>11</v>
      </c>
      <c r="E30066" s="4" t="s">
        <v>8</v>
      </c>
      <c r="F30066" s="4" t="s">
        <v>8</v>
      </c>
      <c r="G30066" s="4" t="s">
        <v>8</v>
      </c>
      <c r="H30066" s="4" t="s">
        <v>8</v>
      </c>
    </row>
    <row r="30067" spans="1:8">
      <c r="A30067" t="n">
        <v>293116</v>
      </c>
      <c r="B30067" s="38" t="n">
        <v>51</v>
      </c>
      <c r="C30067" s="7" t="n">
        <v>3</v>
      </c>
      <c r="D30067" s="7" t="n">
        <v>9</v>
      </c>
      <c r="E30067" s="7" t="s">
        <v>232</v>
      </c>
      <c r="F30067" s="7" t="s">
        <v>79</v>
      </c>
      <c r="G30067" s="7" t="s">
        <v>78</v>
      </c>
      <c r="H30067" s="7" t="s">
        <v>79</v>
      </c>
    </row>
    <row r="30068" spans="1:8">
      <c r="A30068" t="s">
        <v>4</v>
      </c>
      <c r="B30068" s="4" t="s">
        <v>5</v>
      </c>
      <c r="C30068" s="4" t="s">
        <v>11</v>
      </c>
      <c r="D30068" s="4" t="s">
        <v>13</v>
      </c>
      <c r="E30068" s="4" t="s">
        <v>13</v>
      </c>
      <c r="F30068" s="4" t="s">
        <v>13</v>
      </c>
      <c r="G30068" s="4" t="s">
        <v>11</v>
      </c>
      <c r="H30068" s="4" t="s">
        <v>11</v>
      </c>
    </row>
    <row r="30069" spans="1:8">
      <c r="A30069" t="n">
        <v>293129</v>
      </c>
      <c r="B30069" s="37" t="n">
        <v>60</v>
      </c>
      <c r="C30069" s="7" t="n">
        <v>9</v>
      </c>
      <c r="D30069" s="7" t="n">
        <v>0</v>
      </c>
      <c r="E30069" s="7" t="n">
        <v>40</v>
      </c>
      <c r="F30069" s="7" t="n">
        <v>0</v>
      </c>
      <c r="G30069" s="7" t="n">
        <v>800</v>
      </c>
      <c r="H30069" s="7" t="n">
        <v>0</v>
      </c>
    </row>
    <row r="30070" spans="1:8">
      <c r="A30070" t="s">
        <v>4</v>
      </c>
      <c r="B30070" s="4" t="s">
        <v>5</v>
      </c>
      <c r="C30070" s="4" t="s">
        <v>11</v>
      </c>
    </row>
    <row r="30071" spans="1:8">
      <c r="A30071" t="n">
        <v>293148</v>
      </c>
      <c r="B30071" s="29" t="n">
        <v>16</v>
      </c>
      <c r="C30071" s="7" t="n">
        <v>800</v>
      </c>
    </row>
    <row r="30072" spans="1:8">
      <c r="A30072" t="s">
        <v>4</v>
      </c>
      <c r="B30072" s="4" t="s">
        <v>5</v>
      </c>
      <c r="C30072" s="4" t="s">
        <v>7</v>
      </c>
      <c r="D30072" s="4" t="s">
        <v>11</v>
      </c>
      <c r="E30072" s="4" t="s">
        <v>8</v>
      </c>
    </row>
    <row r="30073" spans="1:8">
      <c r="A30073" t="n">
        <v>293151</v>
      </c>
      <c r="B30073" s="38" t="n">
        <v>51</v>
      </c>
      <c r="C30073" s="7" t="n">
        <v>4</v>
      </c>
      <c r="D30073" s="7" t="n">
        <v>9</v>
      </c>
      <c r="E30073" s="7" t="s">
        <v>491</v>
      </c>
    </row>
    <row r="30074" spans="1:8">
      <c r="A30074" t="s">
        <v>4</v>
      </c>
      <c r="B30074" s="4" t="s">
        <v>5</v>
      </c>
      <c r="C30074" s="4" t="s">
        <v>11</v>
      </c>
    </row>
    <row r="30075" spans="1:8">
      <c r="A30075" t="n">
        <v>293165</v>
      </c>
      <c r="B30075" s="29" t="n">
        <v>16</v>
      </c>
      <c r="C30075" s="7" t="n">
        <v>0</v>
      </c>
    </row>
    <row r="30076" spans="1:8">
      <c r="A30076" t="s">
        <v>4</v>
      </c>
      <c r="B30076" s="4" t="s">
        <v>5</v>
      </c>
      <c r="C30076" s="4" t="s">
        <v>11</v>
      </c>
      <c r="D30076" s="4" t="s">
        <v>7</v>
      </c>
      <c r="E30076" s="4" t="s">
        <v>15</v>
      </c>
      <c r="F30076" s="4" t="s">
        <v>55</v>
      </c>
      <c r="G30076" s="4" t="s">
        <v>7</v>
      </c>
      <c r="H30076" s="4" t="s">
        <v>7</v>
      </c>
      <c r="I30076" s="4" t="s">
        <v>7</v>
      </c>
      <c r="J30076" s="4" t="s">
        <v>15</v>
      </c>
      <c r="K30076" s="4" t="s">
        <v>55</v>
      </c>
      <c r="L30076" s="4" t="s">
        <v>7</v>
      </c>
      <c r="M30076" s="4" t="s">
        <v>7</v>
      </c>
      <c r="N30076" s="4" t="s">
        <v>7</v>
      </c>
      <c r="O30076" s="4" t="s">
        <v>15</v>
      </c>
      <c r="P30076" s="4" t="s">
        <v>55</v>
      </c>
      <c r="Q30076" s="4" t="s">
        <v>7</v>
      </c>
      <c r="R30076" s="4" t="s">
        <v>7</v>
      </c>
      <c r="S30076" s="4" t="s">
        <v>7</v>
      </c>
      <c r="T30076" s="4" t="s">
        <v>15</v>
      </c>
      <c r="U30076" s="4" t="s">
        <v>55</v>
      </c>
      <c r="V30076" s="4" t="s">
        <v>7</v>
      </c>
      <c r="W30076" s="4" t="s">
        <v>7</v>
      </c>
    </row>
    <row r="30077" spans="1:8">
      <c r="A30077" t="n">
        <v>293168</v>
      </c>
      <c r="B30077" s="55" t="n">
        <v>26</v>
      </c>
      <c r="C30077" s="7" t="n">
        <v>9</v>
      </c>
      <c r="D30077" s="7" t="n">
        <v>17</v>
      </c>
      <c r="E30077" s="7" t="n">
        <v>64732</v>
      </c>
      <c r="F30077" s="7" t="s">
        <v>1732</v>
      </c>
      <c r="G30077" s="7" t="n">
        <v>2</v>
      </c>
      <c r="H30077" s="7" t="n">
        <v>3</v>
      </c>
      <c r="I30077" s="7" t="n">
        <v>17</v>
      </c>
      <c r="J30077" s="7" t="n">
        <v>64733</v>
      </c>
      <c r="K30077" s="7" t="s">
        <v>1733</v>
      </c>
      <c r="L30077" s="7" t="n">
        <v>2</v>
      </c>
      <c r="M30077" s="7" t="n">
        <v>3</v>
      </c>
      <c r="N30077" s="7" t="n">
        <v>17</v>
      </c>
      <c r="O30077" s="7" t="n">
        <v>64734</v>
      </c>
      <c r="P30077" s="7" t="s">
        <v>1734</v>
      </c>
      <c r="Q30077" s="7" t="n">
        <v>2</v>
      </c>
      <c r="R30077" s="7" t="n">
        <v>3</v>
      </c>
      <c r="S30077" s="7" t="n">
        <v>17</v>
      </c>
      <c r="T30077" s="7" t="n">
        <v>64735</v>
      </c>
      <c r="U30077" s="7" t="s">
        <v>1735</v>
      </c>
      <c r="V30077" s="7" t="n">
        <v>2</v>
      </c>
      <c r="W30077" s="7" t="n">
        <v>0</v>
      </c>
    </row>
    <row r="30078" spans="1:8">
      <c r="A30078" t="s">
        <v>4</v>
      </c>
      <c r="B30078" s="4" t="s">
        <v>5</v>
      </c>
    </row>
    <row r="30079" spans="1:8">
      <c r="A30079" t="n">
        <v>293512</v>
      </c>
      <c r="B30079" s="27" t="n">
        <v>28</v>
      </c>
    </row>
    <row r="30080" spans="1:8">
      <c r="A30080" t="s">
        <v>4</v>
      </c>
      <c r="B30080" s="4" t="s">
        <v>5</v>
      </c>
      <c r="C30080" s="4" t="s">
        <v>7</v>
      </c>
      <c r="D30080" s="4" t="s">
        <v>11</v>
      </c>
      <c r="E30080" s="4" t="s">
        <v>8</v>
      </c>
    </row>
    <row r="30081" spans="1:23">
      <c r="A30081" t="n">
        <v>293513</v>
      </c>
      <c r="B30081" s="38" t="n">
        <v>51</v>
      </c>
      <c r="C30081" s="7" t="n">
        <v>4</v>
      </c>
      <c r="D30081" s="7" t="n">
        <v>0</v>
      </c>
      <c r="E30081" s="7" t="s">
        <v>245</v>
      </c>
    </row>
    <row r="30082" spans="1:23">
      <c r="A30082" t="s">
        <v>4</v>
      </c>
      <c r="B30082" s="4" t="s">
        <v>5</v>
      </c>
      <c r="C30082" s="4" t="s">
        <v>11</v>
      </c>
    </row>
    <row r="30083" spans="1:23">
      <c r="A30083" t="n">
        <v>293527</v>
      </c>
      <c r="B30083" s="29" t="n">
        <v>16</v>
      </c>
      <c r="C30083" s="7" t="n">
        <v>0</v>
      </c>
    </row>
    <row r="30084" spans="1:23">
      <c r="A30084" t="s">
        <v>4</v>
      </c>
      <c r="B30084" s="4" t="s">
        <v>5</v>
      </c>
      <c r="C30084" s="4" t="s">
        <v>11</v>
      </c>
      <c r="D30084" s="4" t="s">
        <v>7</v>
      </c>
      <c r="E30084" s="4" t="s">
        <v>15</v>
      </c>
      <c r="F30084" s="4" t="s">
        <v>55</v>
      </c>
      <c r="G30084" s="4" t="s">
        <v>7</v>
      </c>
      <c r="H30084" s="4" t="s">
        <v>7</v>
      </c>
    </row>
    <row r="30085" spans="1:23">
      <c r="A30085" t="n">
        <v>293530</v>
      </c>
      <c r="B30085" s="55" t="n">
        <v>26</v>
      </c>
      <c r="C30085" s="7" t="n">
        <v>0</v>
      </c>
      <c r="D30085" s="7" t="n">
        <v>17</v>
      </c>
      <c r="E30085" s="7" t="n">
        <v>64736</v>
      </c>
      <c r="F30085" s="7" t="s">
        <v>1736</v>
      </c>
      <c r="G30085" s="7" t="n">
        <v>2</v>
      </c>
      <c r="H30085" s="7" t="n">
        <v>0</v>
      </c>
    </row>
    <row r="30086" spans="1:23">
      <c r="A30086" t="s">
        <v>4</v>
      </c>
      <c r="B30086" s="4" t="s">
        <v>5</v>
      </c>
    </row>
    <row r="30087" spans="1:23">
      <c r="A30087" t="n">
        <v>293555</v>
      </c>
      <c r="B30087" s="27" t="n">
        <v>28</v>
      </c>
    </row>
    <row r="30088" spans="1:23">
      <c r="A30088" t="s">
        <v>4</v>
      </c>
      <c r="B30088" s="4" t="s">
        <v>5</v>
      </c>
      <c r="C30088" s="4" t="s">
        <v>7</v>
      </c>
      <c r="D30088" s="4" t="s">
        <v>11</v>
      </c>
      <c r="E30088" s="4" t="s">
        <v>11</v>
      </c>
      <c r="F30088" s="4" t="s">
        <v>7</v>
      </c>
    </row>
    <row r="30089" spans="1:23">
      <c r="A30089" t="n">
        <v>293556</v>
      </c>
      <c r="B30089" s="31" t="n">
        <v>25</v>
      </c>
      <c r="C30089" s="7" t="n">
        <v>1</v>
      </c>
      <c r="D30089" s="7" t="n">
        <v>65535</v>
      </c>
      <c r="E30089" s="7" t="n">
        <v>65535</v>
      </c>
      <c r="F30089" s="7" t="n">
        <v>0</v>
      </c>
    </row>
    <row r="30090" spans="1:23">
      <c r="A30090" t="s">
        <v>4</v>
      </c>
      <c r="B30090" s="4" t="s">
        <v>5</v>
      </c>
      <c r="C30090" s="4" t="s">
        <v>7</v>
      </c>
      <c r="D30090" s="4" t="s">
        <v>11</v>
      </c>
      <c r="E30090" s="4" t="s">
        <v>8</v>
      </c>
    </row>
    <row r="30091" spans="1:23">
      <c r="A30091" t="n">
        <v>293563</v>
      </c>
      <c r="B30091" s="38" t="n">
        <v>51</v>
      </c>
      <c r="C30091" s="7" t="n">
        <v>4</v>
      </c>
      <c r="D30091" s="7" t="n">
        <v>9</v>
      </c>
      <c r="E30091" s="7" t="s">
        <v>1456</v>
      </c>
    </row>
    <row r="30092" spans="1:23">
      <c r="A30092" t="s">
        <v>4</v>
      </c>
      <c r="B30092" s="4" t="s">
        <v>5</v>
      </c>
      <c r="C30092" s="4" t="s">
        <v>11</v>
      </c>
    </row>
    <row r="30093" spans="1:23">
      <c r="A30093" t="n">
        <v>293577</v>
      </c>
      <c r="B30093" s="29" t="n">
        <v>16</v>
      </c>
      <c r="C30093" s="7" t="n">
        <v>0</v>
      </c>
    </row>
    <row r="30094" spans="1:23">
      <c r="A30094" t="s">
        <v>4</v>
      </c>
      <c r="B30094" s="4" t="s">
        <v>5</v>
      </c>
      <c r="C30094" s="4" t="s">
        <v>11</v>
      </c>
      <c r="D30094" s="4" t="s">
        <v>7</v>
      </c>
      <c r="E30094" s="4" t="s">
        <v>15</v>
      </c>
      <c r="F30094" s="4" t="s">
        <v>55</v>
      </c>
      <c r="G30094" s="4" t="s">
        <v>7</v>
      </c>
      <c r="H30094" s="4" t="s">
        <v>7</v>
      </c>
      <c r="I30094" s="4" t="s">
        <v>7</v>
      </c>
      <c r="J30094" s="4" t="s">
        <v>15</v>
      </c>
      <c r="K30094" s="4" t="s">
        <v>55</v>
      </c>
      <c r="L30094" s="4" t="s">
        <v>7</v>
      </c>
      <c r="M30094" s="4" t="s">
        <v>7</v>
      </c>
      <c r="N30094" s="4" t="s">
        <v>7</v>
      </c>
      <c r="O30094" s="4" t="s">
        <v>15</v>
      </c>
      <c r="P30094" s="4" t="s">
        <v>55</v>
      </c>
      <c r="Q30094" s="4" t="s">
        <v>7</v>
      </c>
      <c r="R30094" s="4" t="s">
        <v>7</v>
      </c>
    </row>
    <row r="30095" spans="1:23">
      <c r="A30095" t="n">
        <v>293580</v>
      </c>
      <c r="B30095" s="55" t="n">
        <v>26</v>
      </c>
      <c r="C30095" s="7" t="n">
        <v>9</v>
      </c>
      <c r="D30095" s="7" t="n">
        <v>17</v>
      </c>
      <c r="E30095" s="7" t="n">
        <v>64737</v>
      </c>
      <c r="F30095" s="7" t="s">
        <v>1737</v>
      </c>
      <c r="G30095" s="7" t="n">
        <v>2</v>
      </c>
      <c r="H30095" s="7" t="n">
        <v>3</v>
      </c>
      <c r="I30095" s="7" t="n">
        <v>17</v>
      </c>
      <c r="J30095" s="7" t="n">
        <v>64738</v>
      </c>
      <c r="K30095" s="7" t="s">
        <v>1738</v>
      </c>
      <c r="L30095" s="7" t="n">
        <v>2</v>
      </c>
      <c r="M30095" s="7" t="n">
        <v>3</v>
      </c>
      <c r="N30095" s="7" t="n">
        <v>17</v>
      </c>
      <c r="O30095" s="7" t="n">
        <v>64739</v>
      </c>
      <c r="P30095" s="7" t="s">
        <v>1739</v>
      </c>
      <c r="Q30095" s="7" t="n">
        <v>2</v>
      </c>
      <c r="R30095" s="7" t="n">
        <v>0</v>
      </c>
    </row>
    <row r="30096" spans="1:23">
      <c r="A30096" t="s">
        <v>4</v>
      </c>
      <c r="B30096" s="4" t="s">
        <v>5</v>
      </c>
    </row>
    <row r="30097" spans="1:18">
      <c r="A30097" t="n">
        <v>293785</v>
      </c>
      <c r="B30097" s="27" t="n">
        <v>28</v>
      </c>
    </row>
    <row r="30098" spans="1:18">
      <c r="A30098" t="s">
        <v>4</v>
      </c>
      <c r="B30098" s="4" t="s">
        <v>5</v>
      </c>
      <c r="C30098" s="4" t="s">
        <v>7</v>
      </c>
      <c r="D30098" s="4" t="s">
        <v>11</v>
      </c>
      <c r="E30098" s="4" t="s">
        <v>8</v>
      </c>
      <c r="F30098" s="4" t="s">
        <v>8</v>
      </c>
      <c r="G30098" s="4" t="s">
        <v>8</v>
      </c>
      <c r="H30098" s="4" t="s">
        <v>8</v>
      </c>
    </row>
    <row r="30099" spans="1:18">
      <c r="A30099" t="n">
        <v>293786</v>
      </c>
      <c r="B30099" s="38" t="n">
        <v>51</v>
      </c>
      <c r="C30099" s="7" t="n">
        <v>3</v>
      </c>
      <c r="D30099" s="7" t="n">
        <v>9</v>
      </c>
      <c r="E30099" s="7" t="s">
        <v>154</v>
      </c>
      <c r="F30099" s="7" t="s">
        <v>155</v>
      </c>
      <c r="G30099" s="7" t="s">
        <v>78</v>
      </c>
      <c r="H30099" s="7" t="s">
        <v>79</v>
      </c>
    </row>
    <row r="30100" spans="1:18">
      <c r="A30100" t="s">
        <v>4</v>
      </c>
      <c r="B30100" s="4" t="s">
        <v>5</v>
      </c>
      <c r="C30100" s="4" t="s">
        <v>11</v>
      </c>
      <c r="D30100" s="4" t="s">
        <v>7</v>
      </c>
      <c r="E30100" s="4" t="s">
        <v>13</v>
      </c>
      <c r="F30100" s="4" t="s">
        <v>11</v>
      </c>
    </row>
    <row r="30101" spans="1:18">
      <c r="A30101" t="n">
        <v>293799</v>
      </c>
      <c r="B30101" s="56" t="n">
        <v>59</v>
      </c>
      <c r="C30101" s="7" t="n">
        <v>9</v>
      </c>
      <c r="D30101" s="7" t="n">
        <v>13</v>
      </c>
      <c r="E30101" s="7" t="n">
        <v>0.150000005960464</v>
      </c>
      <c r="F30101" s="7" t="n">
        <v>0</v>
      </c>
    </row>
    <row r="30102" spans="1:18">
      <c r="A30102" t="s">
        <v>4</v>
      </c>
      <c r="B30102" s="4" t="s">
        <v>5</v>
      </c>
      <c r="C30102" s="4" t="s">
        <v>11</v>
      </c>
    </row>
    <row r="30103" spans="1:18">
      <c r="A30103" t="n">
        <v>293809</v>
      </c>
      <c r="B30103" s="29" t="n">
        <v>16</v>
      </c>
      <c r="C30103" s="7" t="n">
        <v>1000</v>
      </c>
    </row>
    <row r="30104" spans="1:18">
      <c r="A30104" t="s">
        <v>4</v>
      </c>
      <c r="B30104" s="4" t="s">
        <v>5</v>
      </c>
      <c r="C30104" s="4" t="s">
        <v>7</v>
      </c>
      <c r="D30104" s="4" t="s">
        <v>13</v>
      </c>
      <c r="E30104" s="4" t="s">
        <v>13</v>
      </c>
      <c r="F30104" s="4" t="s">
        <v>13</v>
      </c>
    </row>
    <row r="30105" spans="1:18">
      <c r="A30105" t="n">
        <v>293812</v>
      </c>
      <c r="B30105" s="51" t="n">
        <v>45</v>
      </c>
      <c r="C30105" s="7" t="n">
        <v>9</v>
      </c>
      <c r="D30105" s="7" t="n">
        <v>0.00499999988824129</v>
      </c>
      <c r="E30105" s="7" t="n">
        <v>0.00499999988824129</v>
      </c>
      <c r="F30105" s="7" t="n">
        <v>0.25</v>
      </c>
    </row>
    <row r="30106" spans="1:18">
      <c r="A30106" t="s">
        <v>4</v>
      </c>
      <c r="B30106" s="4" t="s">
        <v>5</v>
      </c>
      <c r="C30106" s="4" t="s">
        <v>7</v>
      </c>
      <c r="D30106" s="4" t="s">
        <v>11</v>
      </c>
      <c r="E30106" s="4" t="s">
        <v>8</v>
      </c>
    </row>
    <row r="30107" spans="1:18">
      <c r="A30107" t="n">
        <v>293826</v>
      </c>
      <c r="B30107" s="38" t="n">
        <v>51</v>
      </c>
      <c r="C30107" s="7" t="n">
        <v>4</v>
      </c>
      <c r="D30107" s="7" t="n">
        <v>9</v>
      </c>
      <c r="E30107" s="7" t="s">
        <v>491</v>
      </c>
    </row>
    <row r="30108" spans="1:18">
      <c r="A30108" t="s">
        <v>4</v>
      </c>
      <c r="B30108" s="4" t="s">
        <v>5</v>
      </c>
      <c r="C30108" s="4" t="s">
        <v>11</v>
      </c>
    </row>
    <row r="30109" spans="1:18">
      <c r="A30109" t="n">
        <v>293840</v>
      </c>
      <c r="B30109" s="29" t="n">
        <v>16</v>
      </c>
      <c r="C30109" s="7" t="n">
        <v>0</v>
      </c>
    </row>
    <row r="30110" spans="1:18">
      <c r="A30110" t="s">
        <v>4</v>
      </c>
      <c r="B30110" s="4" t="s">
        <v>5</v>
      </c>
      <c r="C30110" s="4" t="s">
        <v>11</v>
      </c>
      <c r="D30110" s="4" t="s">
        <v>7</v>
      </c>
      <c r="E30110" s="4" t="s">
        <v>15</v>
      </c>
      <c r="F30110" s="4" t="s">
        <v>55</v>
      </c>
      <c r="G30110" s="4" t="s">
        <v>7</v>
      </c>
      <c r="H30110" s="4" t="s">
        <v>7</v>
      </c>
    </row>
    <row r="30111" spans="1:18">
      <c r="A30111" t="n">
        <v>293843</v>
      </c>
      <c r="B30111" s="55" t="n">
        <v>26</v>
      </c>
      <c r="C30111" s="7" t="n">
        <v>9</v>
      </c>
      <c r="D30111" s="7" t="n">
        <v>17</v>
      </c>
      <c r="E30111" s="7" t="n">
        <v>64740</v>
      </c>
      <c r="F30111" s="7" t="s">
        <v>1740</v>
      </c>
      <c r="G30111" s="7" t="n">
        <v>2</v>
      </c>
      <c r="H30111" s="7" t="n">
        <v>0</v>
      </c>
    </row>
    <row r="30112" spans="1:18">
      <c r="A30112" t="s">
        <v>4</v>
      </c>
      <c r="B30112" s="4" t="s">
        <v>5</v>
      </c>
    </row>
    <row r="30113" spans="1:8">
      <c r="A30113" t="n">
        <v>293952</v>
      </c>
      <c r="B30113" s="27" t="n">
        <v>28</v>
      </c>
    </row>
    <row r="30114" spans="1:8">
      <c r="A30114" t="s">
        <v>4</v>
      </c>
      <c r="B30114" s="4" t="s">
        <v>5</v>
      </c>
      <c r="C30114" s="4" t="s">
        <v>11</v>
      </c>
      <c r="D30114" s="4" t="s">
        <v>7</v>
      </c>
      <c r="E30114" s="4" t="s">
        <v>13</v>
      </c>
      <c r="F30114" s="4" t="s">
        <v>11</v>
      </c>
    </row>
    <row r="30115" spans="1:8">
      <c r="A30115" t="n">
        <v>293953</v>
      </c>
      <c r="B30115" s="56" t="n">
        <v>59</v>
      </c>
      <c r="C30115" s="7" t="n">
        <v>0</v>
      </c>
      <c r="D30115" s="7" t="n">
        <v>6</v>
      </c>
      <c r="E30115" s="7" t="n">
        <v>0</v>
      </c>
      <c r="F30115" s="7" t="n">
        <v>0</v>
      </c>
    </row>
    <row r="30116" spans="1:8">
      <c r="A30116" t="s">
        <v>4</v>
      </c>
      <c r="B30116" s="4" t="s">
        <v>5</v>
      </c>
      <c r="C30116" s="4" t="s">
        <v>11</v>
      </c>
    </row>
    <row r="30117" spans="1:8">
      <c r="A30117" t="n">
        <v>293963</v>
      </c>
      <c r="B30117" s="29" t="n">
        <v>16</v>
      </c>
      <c r="C30117" s="7" t="n">
        <v>1300</v>
      </c>
    </row>
    <row r="30118" spans="1:8">
      <c r="A30118" t="s">
        <v>4</v>
      </c>
      <c r="B30118" s="4" t="s">
        <v>5</v>
      </c>
      <c r="C30118" s="4" t="s">
        <v>7</v>
      </c>
      <c r="D30118" s="4" t="s">
        <v>7</v>
      </c>
      <c r="E30118" s="4" t="s">
        <v>13</v>
      </c>
      <c r="F30118" s="4" t="s">
        <v>13</v>
      </c>
      <c r="G30118" s="4" t="s">
        <v>13</v>
      </c>
      <c r="H30118" s="4" t="s">
        <v>11</v>
      </c>
    </row>
    <row r="30119" spans="1:8">
      <c r="A30119" t="n">
        <v>293966</v>
      </c>
      <c r="B30119" s="51" t="n">
        <v>45</v>
      </c>
      <c r="C30119" s="7" t="n">
        <v>2</v>
      </c>
      <c r="D30119" s="7" t="n">
        <v>3</v>
      </c>
      <c r="E30119" s="7" t="n">
        <v>-18.8299999237061</v>
      </c>
      <c r="F30119" s="7" t="n">
        <v>11.3699998855591</v>
      </c>
      <c r="G30119" s="7" t="n">
        <v>30.2700004577637</v>
      </c>
      <c r="H30119" s="7" t="n">
        <v>2000</v>
      </c>
    </row>
    <row r="30120" spans="1:8">
      <c r="A30120" t="s">
        <v>4</v>
      </c>
      <c r="B30120" s="4" t="s">
        <v>5</v>
      </c>
      <c r="C30120" s="4" t="s">
        <v>7</v>
      </c>
      <c r="D30120" s="4" t="s">
        <v>7</v>
      </c>
      <c r="E30120" s="4" t="s">
        <v>13</v>
      </c>
      <c r="F30120" s="4" t="s">
        <v>13</v>
      </c>
      <c r="G30120" s="4" t="s">
        <v>13</v>
      </c>
      <c r="H30120" s="4" t="s">
        <v>11</v>
      </c>
      <c r="I30120" s="4" t="s">
        <v>7</v>
      </c>
    </row>
    <row r="30121" spans="1:8">
      <c r="A30121" t="n">
        <v>293983</v>
      </c>
      <c r="B30121" s="51" t="n">
        <v>45</v>
      </c>
      <c r="C30121" s="7" t="n">
        <v>4</v>
      </c>
      <c r="D30121" s="7" t="n">
        <v>3</v>
      </c>
      <c r="E30121" s="7" t="n">
        <v>17.4400005340576</v>
      </c>
      <c r="F30121" s="7" t="n">
        <v>32.4700012207031</v>
      </c>
      <c r="G30121" s="7" t="n">
        <v>12</v>
      </c>
      <c r="H30121" s="7" t="n">
        <v>2000</v>
      </c>
      <c r="I30121" s="7" t="n">
        <v>1</v>
      </c>
    </row>
    <row r="30122" spans="1:8">
      <c r="A30122" t="s">
        <v>4</v>
      </c>
      <c r="B30122" s="4" t="s">
        <v>5</v>
      </c>
      <c r="C30122" s="4" t="s">
        <v>7</v>
      </c>
      <c r="D30122" s="4" t="s">
        <v>7</v>
      </c>
      <c r="E30122" s="4" t="s">
        <v>13</v>
      </c>
      <c r="F30122" s="4" t="s">
        <v>11</v>
      </c>
    </row>
    <row r="30123" spans="1:8">
      <c r="A30123" t="n">
        <v>294001</v>
      </c>
      <c r="B30123" s="51" t="n">
        <v>45</v>
      </c>
      <c r="C30123" s="7" t="n">
        <v>5</v>
      </c>
      <c r="D30123" s="7" t="n">
        <v>3</v>
      </c>
      <c r="E30123" s="7" t="n">
        <v>1</v>
      </c>
      <c r="F30123" s="7" t="n">
        <v>2000</v>
      </c>
    </row>
    <row r="30124" spans="1:8">
      <c r="A30124" t="s">
        <v>4</v>
      </c>
      <c r="B30124" s="4" t="s">
        <v>5</v>
      </c>
      <c r="C30124" s="4" t="s">
        <v>7</v>
      </c>
      <c r="D30124" s="4" t="s">
        <v>7</v>
      </c>
      <c r="E30124" s="4" t="s">
        <v>13</v>
      </c>
      <c r="F30124" s="4" t="s">
        <v>11</v>
      </c>
    </row>
    <row r="30125" spans="1:8">
      <c r="A30125" t="n">
        <v>294010</v>
      </c>
      <c r="B30125" s="51" t="n">
        <v>45</v>
      </c>
      <c r="C30125" s="7" t="n">
        <v>11</v>
      </c>
      <c r="D30125" s="7" t="n">
        <v>3</v>
      </c>
      <c r="E30125" s="7" t="n">
        <v>34.5999984741211</v>
      </c>
      <c r="F30125" s="7" t="n">
        <v>2000</v>
      </c>
    </row>
    <row r="30126" spans="1:8">
      <c r="A30126" t="s">
        <v>4</v>
      </c>
      <c r="B30126" s="4" t="s">
        <v>5</v>
      </c>
      <c r="C30126" s="4" t="s">
        <v>11</v>
      </c>
      <c r="D30126" s="4" t="s">
        <v>13</v>
      </c>
      <c r="E30126" s="4" t="s">
        <v>13</v>
      </c>
      <c r="F30126" s="4" t="s">
        <v>13</v>
      </c>
      <c r="G30126" s="4" t="s">
        <v>11</v>
      </c>
      <c r="H30126" s="4" t="s">
        <v>11</v>
      </c>
    </row>
    <row r="30127" spans="1:8">
      <c r="A30127" t="n">
        <v>294019</v>
      </c>
      <c r="B30127" s="37" t="n">
        <v>60</v>
      </c>
      <c r="C30127" s="7" t="n">
        <v>9</v>
      </c>
      <c r="D30127" s="7" t="n">
        <v>0</v>
      </c>
      <c r="E30127" s="7" t="n">
        <v>35</v>
      </c>
      <c r="F30127" s="7" t="n">
        <v>0</v>
      </c>
      <c r="G30127" s="7" t="n">
        <v>1000</v>
      </c>
      <c r="H30127" s="7" t="n">
        <v>0</v>
      </c>
    </row>
    <row r="30128" spans="1:8">
      <c r="A30128" t="s">
        <v>4</v>
      </c>
      <c r="B30128" s="4" t="s">
        <v>5</v>
      </c>
      <c r="C30128" s="4" t="s">
        <v>7</v>
      </c>
      <c r="D30128" s="4" t="s">
        <v>11</v>
      </c>
      <c r="E30128" s="4" t="s">
        <v>8</v>
      </c>
      <c r="F30128" s="4" t="s">
        <v>8</v>
      </c>
      <c r="G30128" s="4" t="s">
        <v>8</v>
      </c>
      <c r="H30128" s="4" t="s">
        <v>8</v>
      </c>
    </row>
    <row r="30129" spans="1:9">
      <c r="A30129" t="n">
        <v>294038</v>
      </c>
      <c r="B30129" s="38" t="n">
        <v>51</v>
      </c>
      <c r="C30129" s="7" t="n">
        <v>3</v>
      </c>
      <c r="D30129" s="7" t="n">
        <v>9</v>
      </c>
      <c r="E30129" s="7" t="s">
        <v>154</v>
      </c>
      <c r="F30129" s="7" t="s">
        <v>218</v>
      </c>
      <c r="G30129" s="7" t="s">
        <v>78</v>
      </c>
      <c r="H30129" s="7" t="s">
        <v>79</v>
      </c>
    </row>
    <row r="30130" spans="1:9">
      <c r="A30130" t="s">
        <v>4</v>
      </c>
      <c r="B30130" s="4" t="s">
        <v>5</v>
      </c>
      <c r="C30130" s="4" t="s">
        <v>11</v>
      </c>
      <c r="D30130" s="4" t="s">
        <v>7</v>
      </c>
      <c r="E30130" s="4" t="s">
        <v>8</v>
      </c>
      <c r="F30130" s="4" t="s">
        <v>13</v>
      </c>
      <c r="G30130" s="4" t="s">
        <v>13</v>
      </c>
      <c r="H30130" s="4" t="s">
        <v>13</v>
      </c>
    </row>
    <row r="30131" spans="1:9">
      <c r="A30131" t="n">
        <v>294051</v>
      </c>
      <c r="B30131" s="42" t="n">
        <v>48</v>
      </c>
      <c r="C30131" s="7" t="n">
        <v>9</v>
      </c>
      <c r="D30131" s="7" t="n">
        <v>0</v>
      </c>
      <c r="E30131" s="7" t="s">
        <v>627</v>
      </c>
      <c r="F30131" s="7" t="n">
        <v>-1</v>
      </c>
      <c r="G30131" s="7" t="n">
        <v>1</v>
      </c>
      <c r="H30131" s="7" t="n">
        <v>0</v>
      </c>
    </row>
    <row r="30132" spans="1:9">
      <c r="A30132" t="s">
        <v>4</v>
      </c>
      <c r="B30132" s="4" t="s">
        <v>5</v>
      </c>
      <c r="C30132" s="4" t="s">
        <v>11</v>
      </c>
      <c r="D30132" s="4" t="s">
        <v>7</v>
      </c>
      <c r="E30132" s="4" t="s">
        <v>8</v>
      </c>
      <c r="F30132" s="4" t="s">
        <v>13</v>
      </c>
      <c r="G30132" s="4" t="s">
        <v>13</v>
      </c>
      <c r="H30132" s="4" t="s">
        <v>13</v>
      </c>
    </row>
    <row r="30133" spans="1:9">
      <c r="A30133" t="n">
        <v>294077</v>
      </c>
      <c r="B30133" s="42" t="n">
        <v>48</v>
      </c>
      <c r="C30133" s="7" t="n">
        <v>0</v>
      </c>
      <c r="D30133" s="7" t="n">
        <v>0</v>
      </c>
      <c r="E30133" s="7" t="s">
        <v>627</v>
      </c>
      <c r="F30133" s="7" t="n">
        <v>-1</v>
      </c>
      <c r="G30133" s="7" t="n">
        <v>1</v>
      </c>
      <c r="H30133" s="7" t="n">
        <v>0</v>
      </c>
    </row>
    <row r="30134" spans="1:9">
      <c r="A30134" t="s">
        <v>4</v>
      </c>
      <c r="B30134" s="4" t="s">
        <v>5</v>
      </c>
      <c r="C30134" s="4" t="s">
        <v>11</v>
      </c>
    </row>
    <row r="30135" spans="1:9">
      <c r="A30135" t="n">
        <v>294103</v>
      </c>
      <c r="B30135" s="29" t="n">
        <v>16</v>
      </c>
      <c r="C30135" s="7" t="n">
        <v>300</v>
      </c>
    </row>
    <row r="30136" spans="1:9">
      <c r="A30136" t="s">
        <v>4</v>
      </c>
      <c r="B30136" s="4" t="s">
        <v>5</v>
      </c>
      <c r="C30136" s="4" t="s">
        <v>11</v>
      </c>
    </row>
    <row r="30137" spans="1:9">
      <c r="A30137" t="n">
        <v>294106</v>
      </c>
      <c r="B30137" s="29" t="n">
        <v>16</v>
      </c>
      <c r="C30137" s="7" t="n">
        <v>1000</v>
      </c>
    </row>
    <row r="30138" spans="1:9">
      <c r="A30138" t="s">
        <v>4</v>
      </c>
      <c r="B30138" s="4" t="s">
        <v>5</v>
      </c>
      <c r="C30138" s="4" t="s">
        <v>7</v>
      </c>
      <c r="D30138" s="4" t="s">
        <v>11</v>
      </c>
      <c r="E30138" s="4" t="s">
        <v>8</v>
      </c>
      <c r="F30138" s="4" t="s">
        <v>8</v>
      </c>
      <c r="G30138" s="4" t="s">
        <v>8</v>
      </c>
      <c r="H30138" s="4" t="s">
        <v>8</v>
      </c>
    </row>
    <row r="30139" spans="1:9">
      <c r="A30139" t="n">
        <v>294109</v>
      </c>
      <c r="B30139" s="38" t="n">
        <v>51</v>
      </c>
      <c r="C30139" s="7" t="n">
        <v>3</v>
      </c>
      <c r="D30139" s="7" t="n">
        <v>9</v>
      </c>
      <c r="E30139" s="7" t="s">
        <v>232</v>
      </c>
      <c r="F30139" s="7" t="s">
        <v>79</v>
      </c>
      <c r="G30139" s="7" t="s">
        <v>78</v>
      </c>
      <c r="H30139" s="7" t="s">
        <v>79</v>
      </c>
    </row>
    <row r="30140" spans="1:9">
      <c r="A30140" t="s">
        <v>4</v>
      </c>
      <c r="B30140" s="4" t="s">
        <v>5</v>
      </c>
      <c r="C30140" s="4" t="s">
        <v>7</v>
      </c>
      <c r="D30140" s="4" t="s">
        <v>11</v>
      </c>
      <c r="E30140" s="4" t="s">
        <v>13</v>
      </c>
      <c r="F30140" s="4" t="s">
        <v>11</v>
      </c>
      <c r="G30140" s="4" t="s">
        <v>15</v>
      </c>
      <c r="H30140" s="4" t="s">
        <v>15</v>
      </c>
      <c r="I30140" s="4" t="s">
        <v>11</v>
      </c>
      <c r="J30140" s="4" t="s">
        <v>11</v>
      </c>
      <c r="K30140" s="4" t="s">
        <v>15</v>
      </c>
      <c r="L30140" s="4" t="s">
        <v>15</v>
      </c>
      <c r="M30140" s="4" t="s">
        <v>15</v>
      </c>
      <c r="N30140" s="4" t="s">
        <v>15</v>
      </c>
      <c r="O30140" s="4" t="s">
        <v>8</v>
      </c>
    </row>
    <row r="30141" spans="1:9">
      <c r="A30141" t="n">
        <v>294122</v>
      </c>
      <c r="B30141" s="57" t="n">
        <v>50</v>
      </c>
      <c r="C30141" s="7" t="n">
        <v>0</v>
      </c>
      <c r="D30141" s="7" t="n">
        <v>2000</v>
      </c>
      <c r="E30141" s="7" t="n">
        <v>0.600000023841858</v>
      </c>
      <c r="F30141" s="7" t="n">
        <v>400</v>
      </c>
      <c r="G30141" s="7" t="n">
        <v>0</v>
      </c>
      <c r="H30141" s="7" t="n">
        <v>1065353216</v>
      </c>
      <c r="I30141" s="7" t="n">
        <v>0</v>
      </c>
      <c r="J30141" s="7" t="n">
        <v>65533</v>
      </c>
      <c r="K30141" s="7" t="n">
        <v>0</v>
      </c>
      <c r="L30141" s="7" t="n">
        <v>0</v>
      </c>
      <c r="M30141" s="7" t="n">
        <v>0</v>
      </c>
      <c r="N30141" s="7" t="n">
        <v>0</v>
      </c>
      <c r="O30141" s="7" t="s">
        <v>16</v>
      </c>
    </row>
    <row r="30142" spans="1:9">
      <c r="A30142" t="s">
        <v>4</v>
      </c>
      <c r="B30142" s="4" t="s">
        <v>5</v>
      </c>
      <c r="C30142" s="4" t="s">
        <v>11</v>
      </c>
    </row>
    <row r="30143" spans="1:9">
      <c r="A30143" t="n">
        <v>294161</v>
      </c>
      <c r="B30143" s="29" t="n">
        <v>16</v>
      </c>
      <c r="C30143" s="7" t="n">
        <v>1000</v>
      </c>
    </row>
    <row r="30144" spans="1:9">
      <c r="A30144" t="s">
        <v>4</v>
      </c>
      <c r="B30144" s="4" t="s">
        <v>5</v>
      </c>
      <c r="C30144" s="4" t="s">
        <v>7</v>
      </c>
      <c r="D30144" s="4" t="s">
        <v>11</v>
      </c>
      <c r="E30144" s="4" t="s">
        <v>8</v>
      </c>
    </row>
    <row r="30145" spans="1:15">
      <c r="A30145" t="n">
        <v>294164</v>
      </c>
      <c r="B30145" s="38" t="n">
        <v>51</v>
      </c>
      <c r="C30145" s="7" t="n">
        <v>4</v>
      </c>
      <c r="D30145" s="7" t="n">
        <v>0</v>
      </c>
      <c r="E30145" s="7" t="s">
        <v>752</v>
      </c>
    </row>
    <row r="30146" spans="1:15">
      <c r="A30146" t="s">
        <v>4</v>
      </c>
      <c r="B30146" s="4" t="s">
        <v>5</v>
      </c>
      <c r="C30146" s="4" t="s">
        <v>11</v>
      </c>
    </row>
    <row r="30147" spans="1:15">
      <c r="A30147" t="n">
        <v>294178</v>
      </c>
      <c r="B30147" s="29" t="n">
        <v>16</v>
      </c>
      <c r="C30147" s="7" t="n">
        <v>0</v>
      </c>
    </row>
    <row r="30148" spans="1:15">
      <c r="A30148" t="s">
        <v>4</v>
      </c>
      <c r="B30148" s="4" t="s">
        <v>5</v>
      </c>
      <c r="C30148" s="4" t="s">
        <v>11</v>
      </c>
      <c r="D30148" s="4" t="s">
        <v>7</v>
      </c>
      <c r="E30148" s="4" t="s">
        <v>15</v>
      </c>
      <c r="F30148" s="4" t="s">
        <v>55</v>
      </c>
      <c r="G30148" s="4" t="s">
        <v>7</v>
      </c>
      <c r="H30148" s="4" t="s">
        <v>7</v>
      </c>
      <c r="I30148" s="4" t="s">
        <v>7</v>
      </c>
      <c r="J30148" s="4" t="s">
        <v>15</v>
      </c>
      <c r="K30148" s="4" t="s">
        <v>55</v>
      </c>
      <c r="L30148" s="4" t="s">
        <v>7</v>
      </c>
      <c r="M30148" s="4" t="s">
        <v>7</v>
      </c>
    </row>
    <row r="30149" spans="1:15">
      <c r="A30149" t="n">
        <v>294181</v>
      </c>
      <c r="B30149" s="55" t="n">
        <v>26</v>
      </c>
      <c r="C30149" s="7" t="n">
        <v>0</v>
      </c>
      <c r="D30149" s="7" t="n">
        <v>17</v>
      </c>
      <c r="E30149" s="7" t="n">
        <v>64741</v>
      </c>
      <c r="F30149" s="7" t="s">
        <v>1741</v>
      </c>
      <c r="G30149" s="7" t="n">
        <v>2</v>
      </c>
      <c r="H30149" s="7" t="n">
        <v>3</v>
      </c>
      <c r="I30149" s="7" t="n">
        <v>17</v>
      </c>
      <c r="J30149" s="7" t="n">
        <v>64742</v>
      </c>
      <c r="K30149" s="7" t="s">
        <v>1742</v>
      </c>
      <c r="L30149" s="7" t="n">
        <v>2</v>
      </c>
      <c r="M30149" s="7" t="n">
        <v>0</v>
      </c>
    </row>
    <row r="30150" spans="1:15">
      <c r="A30150" t="s">
        <v>4</v>
      </c>
      <c r="B30150" s="4" t="s">
        <v>5</v>
      </c>
    </row>
    <row r="30151" spans="1:15">
      <c r="A30151" t="n">
        <v>294336</v>
      </c>
      <c r="B30151" s="27" t="n">
        <v>28</v>
      </c>
    </row>
    <row r="30152" spans="1:15">
      <c r="A30152" t="s">
        <v>4</v>
      </c>
      <c r="B30152" s="4" t="s">
        <v>5</v>
      </c>
      <c r="C30152" s="4" t="s">
        <v>7</v>
      </c>
      <c r="D30152" s="4" t="s">
        <v>11</v>
      </c>
      <c r="E30152" s="4" t="s">
        <v>11</v>
      </c>
      <c r="F30152" s="4" t="s">
        <v>7</v>
      </c>
    </row>
    <row r="30153" spans="1:15">
      <c r="A30153" t="n">
        <v>294337</v>
      </c>
      <c r="B30153" s="31" t="n">
        <v>25</v>
      </c>
      <c r="C30153" s="7" t="n">
        <v>1</v>
      </c>
      <c r="D30153" s="7" t="n">
        <v>65535</v>
      </c>
      <c r="E30153" s="7" t="n">
        <v>65535</v>
      </c>
      <c r="F30153" s="7" t="n">
        <v>0</v>
      </c>
    </row>
    <row r="30154" spans="1:15">
      <c r="A30154" t="s">
        <v>4</v>
      </c>
      <c r="B30154" s="4" t="s">
        <v>5</v>
      </c>
      <c r="C30154" s="4" t="s">
        <v>7</v>
      </c>
      <c r="D30154" s="4" t="s">
        <v>11</v>
      </c>
      <c r="E30154" s="4" t="s">
        <v>8</v>
      </c>
    </row>
    <row r="30155" spans="1:15">
      <c r="A30155" t="n">
        <v>294344</v>
      </c>
      <c r="B30155" s="38" t="n">
        <v>51</v>
      </c>
      <c r="C30155" s="7" t="n">
        <v>4</v>
      </c>
      <c r="D30155" s="7" t="n">
        <v>9</v>
      </c>
      <c r="E30155" s="7" t="s">
        <v>147</v>
      </c>
    </row>
    <row r="30156" spans="1:15">
      <c r="A30156" t="s">
        <v>4</v>
      </c>
      <c r="B30156" s="4" t="s">
        <v>5</v>
      </c>
      <c r="C30156" s="4" t="s">
        <v>11</v>
      </c>
    </row>
    <row r="30157" spans="1:15">
      <c r="A30157" t="n">
        <v>294358</v>
      </c>
      <c r="B30157" s="29" t="n">
        <v>16</v>
      </c>
      <c r="C30157" s="7" t="n">
        <v>0</v>
      </c>
    </row>
    <row r="30158" spans="1:15">
      <c r="A30158" t="s">
        <v>4</v>
      </c>
      <c r="B30158" s="4" t="s">
        <v>5</v>
      </c>
      <c r="C30158" s="4" t="s">
        <v>11</v>
      </c>
      <c r="D30158" s="4" t="s">
        <v>7</v>
      </c>
      <c r="E30158" s="4" t="s">
        <v>15</v>
      </c>
      <c r="F30158" s="4" t="s">
        <v>55</v>
      </c>
      <c r="G30158" s="4" t="s">
        <v>7</v>
      </c>
      <c r="H30158" s="4" t="s">
        <v>7</v>
      </c>
      <c r="I30158" s="4" t="s">
        <v>7</v>
      </c>
      <c r="J30158" s="4" t="s">
        <v>15</v>
      </c>
      <c r="K30158" s="4" t="s">
        <v>55</v>
      </c>
      <c r="L30158" s="4" t="s">
        <v>7</v>
      </c>
      <c r="M30158" s="4" t="s">
        <v>7</v>
      </c>
    </row>
    <row r="30159" spans="1:15">
      <c r="A30159" t="n">
        <v>294361</v>
      </c>
      <c r="B30159" s="55" t="n">
        <v>26</v>
      </c>
      <c r="C30159" s="7" t="n">
        <v>9</v>
      </c>
      <c r="D30159" s="7" t="n">
        <v>17</v>
      </c>
      <c r="E30159" s="7" t="n">
        <v>64743</v>
      </c>
      <c r="F30159" s="7" t="s">
        <v>1743</v>
      </c>
      <c r="G30159" s="7" t="n">
        <v>2</v>
      </c>
      <c r="H30159" s="7" t="n">
        <v>3</v>
      </c>
      <c r="I30159" s="7" t="n">
        <v>17</v>
      </c>
      <c r="J30159" s="7" t="n">
        <v>64744</v>
      </c>
      <c r="K30159" s="7" t="s">
        <v>1744</v>
      </c>
      <c r="L30159" s="7" t="n">
        <v>2</v>
      </c>
      <c r="M30159" s="7" t="n">
        <v>0</v>
      </c>
    </row>
    <row r="30160" spans="1:15">
      <c r="A30160" t="s">
        <v>4</v>
      </c>
      <c r="B30160" s="4" t="s">
        <v>5</v>
      </c>
    </row>
    <row r="30161" spans="1:13">
      <c r="A30161" t="n">
        <v>294449</v>
      </c>
      <c r="B30161" s="27" t="n">
        <v>28</v>
      </c>
    </row>
    <row r="30162" spans="1:13">
      <c r="A30162" t="s">
        <v>4</v>
      </c>
      <c r="B30162" s="4" t="s">
        <v>5</v>
      </c>
      <c r="C30162" s="4" t="s">
        <v>7</v>
      </c>
      <c r="D30162" s="4" t="s">
        <v>11</v>
      </c>
      <c r="E30162" s="4" t="s">
        <v>8</v>
      </c>
    </row>
    <row r="30163" spans="1:13">
      <c r="A30163" t="n">
        <v>294450</v>
      </c>
      <c r="B30163" s="38" t="n">
        <v>51</v>
      </c>
      <c r="C30163" s="7" t="n">
        <v>4</v>
      </c>
      <c r="D30163" s="7" t="n">
        <v>0</v>
      </c>
      <c r="E30163" s="7" t="s">
        <v>167</v>
      </c>
    </row>
    <row r="30164" spans="1:13">
      <c r="A30164" t="s">
        <v>4</v>
      </c>
      <c r="B30164" s="4" t="s">
        <v>5</v>
      </c>
      <c r="C30164" s="4" t="s">
        <v>11</v>
      </c>
    </row>
    <row r="30165" spans="1:13">
      <c r="A30165" t="n">
        <v>294464</v>
      </c>
      <c r="B30165" s="29" t="n">
        <v>16</v>
      </c>
      <c r="C30165" s="7" t="n">
        <v>0</v>
      </c>
    </row>
    <row r="30166" spans="1:13">
      <c r="A30166" t="s">
        <v>4</v>
      </c>
      <c r="B30166" s="4" t="s">
        <v>5</v>
      </c>
      <c r="C30166" s="4" t="s">
        <v>11</v>
      </c>
      <c r="D30166" s="4" t="s">
        <v>7</v>
      </c>
      <c r="E30166" s="4" t="s">
        <v>15</v>
      </c>
      <c r="F30166" s="4" t="s">
        <v>55</v>
      </c>
      <c r="G30166" s="4" t="s">
        <v>7</v>
      </c>
      <c r="H30166" s="4" t="s">
        <v>7</v>
      </c>
      <c r="I30166" s="4" t="s">
        <v>7</v>
      </c>
      <c r="J30166" s="4" t="s">
        <v>15</v>
      </c>
      <c r="K30166" s="4" t="s">
        <v>55</v>
      </c>
      <c r="L30166" s="4" t="s">
        <v>7</v>
      </c>
      <c r="M30166" s="4" t="s">
        <v>7</v>
      </c>
      <c r="N30166" s="4" t="s">
        <v>7</v>
      </c>
      <c r="O30166" s="4" t="s">
        <v>15</v>
      </c>
      <c r="P30166" s="4" t="s">
        <v>55</v>
      </c>
      <c r="Q30166" s="4" t="s">
        <v>7</v>
      </c>
      <c r="R30166" s="4" t="s">
        <v>7</v>
      </c>
    </row>
    <row r="30167" spans="1:13">
      <c r="A30167" t="n">
        <v>294467</v>
      </c>
      <c r="B30167" s="55" t="n">
        <v>26</v>
      </c>
      <c r="C30167" s="7" t="n">
        <v>0</v>
      </c>
      <c r="D30167" s="7" t="n">
        <v>17</v>
      </c>
      <c r="E30167" s="7" t="n">
        <v>64745</v>
      </c>
      <c r="F30167" s="7" t="s">
        <v>1745</v>
      </c>
      <c r="G30167" s="7" t="n">
        <v>2</v>
      </c>
      <c r="H30167" s="7" t="n">
        <v>3</v>
      </c>
      <c r="I30167" s="7" t="n">
        <v>17</v>
      </c>
      <c r="J30167" s="7" t="n">
        <v>64746</v>
      </c>
      <c r="K30167" s="7" t="s">
        <v>1746</v>
      </c>
      <c r="L30167" s="7" t="n">
        <v>2</v>
      </c>
      <c r="M30167" s="7" t="n">
        <v>3</v>
      </c>
      <c r="N30167" s="7" t="n">
        <v>17</v>
      </c>
      <c r="O30167" s="7" t="n">
        <v>64747</v>
      </c>
      <c r="P30167" s="7" t="s">
        <v>1747</v>
      </c>
      <c r="Q30167" s="7" t="n">
        <v>2</v>
      </c>
      <c r="R30167" s="7" t="n">
        <v>0</v>
      </c>
    </row>
    <row r="30168" spans="1:13">
      <c r="A30168" t="s">
        <v>4</v>
      </c>
      <c r="B30168" s="4" t="s">
        <v>5</v>
      </c>
    </row>
    <row r="30169" spans="1:13">
      <c r="A30169" t="n">
        <v>294661</v>
      </c>
      <c r="B30169" s="27" t="n">
        <v>28</v>
      </c>
    </row>
    <row r="30170" spans="1:13">
      <c r="A30170" t="s">
        <v>4</v>
      </c>
      <c r="B30170" s="4" t="s">
        <v>5</v>
      </c>
      <c r="C30170" s="4" t="s">
        <v>7</v>
      </c>
      <c r="D30170" s="4" t="s">
        <v>11</v>
      </c>
      <c r="E30170" s="4" t="s">
        <v>11</v>
      </c>
      <c r="F30170" s="4" t="s">
        <v>7</v>
      </c>
    </row>
    <row r="30171" spans="1:13">
      <c r="A30171" t="n">
        <v>294662</v>
      </c>
      <c r="B30171" s="31" t="n">
        <v>25</v>
      </c>
      <c r="C30171" s="7" t="n">
        <v>1</v>
      </c>
      <c r="D30171" s="7" t="n">
        <v>65535</v>
      </c>
      <c r="E30171" s="7" t="n">
        <v>65535</v>
      </c>
      <c r="F30171" s="7" t="n">
        <v>0</v>
      </c>
    </row>
    <row r="30172" spans="1:13">
      <c r="A30172" t="s">
        <v>4</v>
      </c>
      <c r="B30172" s="4" t="s">
        <v>5</v>
      </c>
      <c r="C30172" s="4" t="s">
        <v>7</v>
      </c>
      <c r="D30172" s="4" t="s">
        <v>11</v>
      </c>
      <c r="E30172" s="4" t="s">
        <v>8</v>
      </c>
      <c r="F30172" s="4" t="s">
        <v>8</v>
      </c>
      <c r="G30172" s="4" t="s">
        <v>8</v>
      </c>
      <c r="H30172" s="4" t="s">
        <v>8</v>
      </c>
    </row>
    <row r="30173" spans="1:13">
      <c r="A30173" t="n">
        <v>294669</v>
      </c>
      <c r="B30173" s="38" t="n">
        <v>51</v>
      </c>
      <c r="C30173" s="7" t="n">
        <v>3</v>
      </c>
      <c r="D30173" s="7" t="n">
        <v>9</v>
      </c>
      <c r="E30173" s="7" t="s">
        <v>98</v>
      </c>
      <c r="F30173" s="7" t="s">
        <v>79</v>
      </c>
      <c r="G30173" s="7" t="s">
        <v>78</v>
      </c>
      <c r="H30173" s="7" t="s">
        <v>79</v>
      </c>
    </row>
    <row r="30174" spans="1:13">
      <c r="A30174" t="s">
        <v>4</v>
      </c>
      <c r="B30174" s="4" t="s">
        <v>5</v>
      </c>
      <c r="C30174" s="4" t="s">
        <v>11</v>
      </c>
      <c r="D30174" s="4" t="s">
        <v>7</v>
      </c>
      <c r="E30174" s="4" t="s">
        <v>7</v>
      </c>
      <c r="F30174" s="4" t="s">
        <v>8</v>
      </c>
    </row>
    <row r="30175" spans="1:13">
      <c r="A30175" t="n">
        <v>294682</v>
      </c>
      <c r="B30175" s="50" t="n">
        <v>20</v>
      </c>
      <c r="C30175" s="7" t="n">
        <v>9</v>
      </c>
      <c r="D30175" s="7" t="n">
        <v>2</v>
      </c>
      <c r="E30175" s="7" t="n">
        <v>11</v>
      </c>
      <c r="F30175" s="7" t="s">
        <v>1748</v>
      </c>
    </row>
    <row r="30176" spans="1:13">
      <c r="A30176" t="s">
        <v>4</v>
      </c>
      <c r="B30176" s="4" t="s">
        <v>5</v>
      </c>
      <c r="C30176" s="4" t="s">
        <v>7</v>
      </c>
      <c r="D30176" s="4" t="s">
        <v>11</v>
      </c>
      <c r="E30176" s="4" t="s">
        <v>8</v>
      </c>
    </row>
    <row r="30177" spans="1:18">
      <c r="A30177" t="n">
        <v>294712</v>
      </c>
      <c r="B30177" s="38" t="n">
        <v>51</v>
      </c>
      <c r="C30177" s="7" t="n">
        <v>4</v>
      </c>
      <c r="D30177" s="7" t="n">
        <v>9</v>
      </c>
      <c r="E30177" s="7" t="s">
        <v>491</v>
      </c>
    </row>
    <row r="30178" spans="1:18">
      <c r="A30178" t="s">
        <v>4</v>
      </c>
      <c r="B30178" s="4" t="s">
        <v>5</v>
      </c>
      <c r="C30178" s="4" t="s">
        <v>11</v>
      </c>
    </row>
    <row r="30179" spans="1:18">
      <c r="A30179" t="n">
        <v>294726</v>
      </c>
      <c r="B30179" s="29" t="n">
        <v>16</v>
      </c>
      <c r="C30179" s="7" t="n">
        <v>0</v>
      </c>
    </row>
    <row r="30180" spans="1:18">
      <c r="A30180" t="s">
        <v>4</v>
      </c>
      <c r="B30180" s="4" t="s">
        <v>5</v>
      </c>
      <c r="C30180" s="4" t="s">
        <v>11</v>
      </c>
      <c r="D30180" s="4" t="s">
        <v>7</v>
      </c>
      <c r="E30180" s="4" t="s">
        <v>15</v>
      </c>
      <c r="F30180" s="4" t="s">
        <v>55</v>
      </c>
      <c r="G30180" s="4" t="s">
        <v>7</v>
      </c>
      <c r="H30180" s="4" t="s">
        <v>7</v>
      </c>
      <c r="I30180" s="4" t="s">
        <v>7</v>
      </c>
      <c r="J30180" s="4" t="s">
        <v>15</v>
      </c>
      <c r="K30180" s="4" t="s">
        <v>55</v>
      </c>
      <c r="L30180" s="4" t="s">
        <v>7</v>
      </c>
      <c r="M30180" s="4" t="s">
        <v>7</v>
      </c>
    </row>
    <row r="30181" spans="1:18">
      <c r="A30181" t="n">
        <v>294729</v>
      </c>
      <c r="B30181" s="55" t="n">
        <v>26</v>
      </c>
      <c r="C30181" s="7" t="n">
        <v>9</v>
      </c>
      <c r="D30181" s="7" t="n">
        <v>17</v>
      </c>
      <c r="E30181" s="7" t="n">
        <v>64712</v>
      </c>
      <c r="F30181" s="7" t="s">
        <v>1749</v>
      </c>
      <c r="G30181" s="7" t="n">
        <v>2</v>
      </c>
      <c r="H30181" s="7" t="n">
        <v>3</v>
      </c>
      <c r="I30181" s="7" t="n">
        <v>17</v>
      </c>
      <c r="J30181" s="7" t="n">
        <v>64713</v>
      </c>
      <c r="K30181" s="7" t="s">
        <v>1750</v>
      </c>
      <c r="L30181" s="7" t="n">
        <v>2</v>
      </c>
      <c r="M30181" s="7" t="n">
        <v>0</v>
      </c>
    </row>
    <row r="30182" spans="1:18">
      <c r="A30182" t="s">
        <v>4</v>
      </c>
      <c r="B30182" s="4" t="s">
        <v>5</v>
      </c>
    </row>
    <row r="30183" spans="1:18">
      <c r="A30183" t="n">
        <v>294862</v>
      </c>
      <c r="B30183" s="27" t="n">
        <v>28</v>
      </c>
    </row>
    <row r="30184" spans="1:18">
      <c r="A30184" t="s">
        <v>4</v>
      </c>
      <c r="B30184" s="4" t="s">
        <v>5</v>
      </c>
      <c r="C30184" s="4" t="s">
        <v>7</v>
      </c>
      <c r="D30184" s="4" t="s">
        <v>11</v>
      </c>
      <c r="E30184" s="4" t="s">
        <v>13</v>
      </c>
    </row>
    <row r="30185" spans="1:18">
      <c r="A30185" t="n">
        <v>294863</v>
      </c>
      <c r="B30185" s="23" t="n">
        <v>58</v>
      </c>
      <c r="C30185" s="7" t="n">
        <v>0</v>
      </c>
      <c r="D30185" s="7" t="n">
        <v>2000</v>
      </c>
      <c r="E30185" s="7" t="n">
        <v>1</v>
      </c>
    </row>
    <row r="30186" spans="1:18">
      <c r="A30186" t="s">
        <v>4</v>
      </c>
      <c r="B30186" s="4" t="s">
        <v>5</v>
      </c>
      <c r="C30186" s="4" t="s">
        <v>7</v>
      </c>
      <c r="D30186" s="4" t="s">
        <v>11</v>
      </c>
    </row>
    <row r="30187" spans="1:18">
      <c r="A30187" t="n">
        <v>294871</v>
      </c>
      <c r="B30187" s="23" t="n">
        <v>58</v>
      </c>
      <c r="C30187" s="7" t="n">
        <v>255</v>
      </c>
      <c r="D30187" s="7" t="n">
        <v>0</v>
      </c>
    </row>
    <row r="30188" spans="1:18">
      <c r="A30188" t="s">
        <v>4</v>
      </c>
      <c r="B30188" s="4" t="s">
        <v>5</v>
      </c>
      <c r="C30188" s="4" t="s">
        <v>11</v>
      </c>
    </row>
    <row r="30189" spans="1:18">
      <c r="A30189" t="n">
        <v>294875</v>
      </c>
      <c r="B30189" s="29" t="n">
        <v>16</v>
      </c>
      <c r="C30189" s="7" t="n">
        <v>1000</v>
      </c>
    </row>
    <row r="30190" spans="1:18">
      <c r="A30190" t="s">
        <v>4</v>
      </c>
      <c r="B30190" s="4" t="s">
        <v>5</v>
      </c>
      <c r="C30190" s="4" t="s">
        <v>7</v>
      </c>
      <c r="D30190" s="4" t="s">
        <v>11</v>
      </c>
      <c r="E30190" s="4" t="s">
        <v>7</v>
      </c>
    </row>
    <row r="30191" spans="1:18">
      <c r="A30191" t="n">
        <v>294878</v>
      </c>
      <c r="B30191" s="40" t="n">
        <v>36</v>
      </c>
      <c r="C30191" s="7" t="n">
        <v>9</v>
      </c>
      <c r="D30191" s="7" t="n">
        <v>0</v>
      </c>
      <c r="E30191" s="7" t="n">
        <v>0</v>
      </c>
    </row>
    <row r="30192" spans="1:18">
      <c r="A30192" t="s">
        <v>4</v>
      </c>
      <c r="B30192" s="4" t="s">
        <v>5</v>
      </c>
      <c r="C30192" s="4" t="s">
        <v>7</v>
      </c>
      <c r="D30192" s="4" t="s">
        <v>11</v>
      </c>
      <c r="E30192" s="4" t="s">
        <v>7</v>
      </c>
    </row>
    <row r="30193" spans="1:13">
      <c r="A30193" t="n">
        <v>294883</v>
      </c>
      <c r="B30193" s="40" t="n">
        <v>36</v>
      </c>
      <c r="C30193" s="7" t="n">
        <v>9</v>
      </c>
      <c r="D30193" s="7" t="n">
        <v>9</v>
      </c>
      <c r="E30193" s="7" t="n">
        <v>0</v>
      </c>
    </row>
    <row r="30194" spans="1:13">
      <c r="A30194" t="s">
        <v>4</v>
      </c>
      <c r="B30194" s="4" t="s">
        <v>5</v>
      </c>
      <c r="C30194" s="4" t="s">
        <v>11</v>
      </c>
      <c r="D30194" s="4" t="s">
        <v>13</v>
      </c>
      <c r="E30194" s="4" t="s">
        <v>13</v>
      </c>
      <c r="F30194" s="4" t="s">
        <v>13</v>
      </c>
      <c r="G30194" s="4" t="s">
        <v>13</v>
      </c>
    </row>
    <row r="30195" spans="1:13">
      <c r="A30195" t="n">
        <v>294888</v>
      </c>
      <c r="B30195" s="36" t="n">
        <v>46</v>
      </c>
      <c r="C30195" s="7" t="n">
        <v>61456</v>
      </c>
      <c r="D30195" s="7" t="n">
        <v>-19.0200004577637</v>
      </c>
      <c r="E30195" s="7" t="n">
        <v>10.0100002288818</v>
      </c>
      <c r="F30195" s="7" t="n">
        <v>30.0699996948242</v>
      </c>
      <c r="G30195" s="7" t="n">
        <v>63.7999992370605</v>
      </c>
    </row>
    <row r="30196" spans="1:13">
      <c r="A30196" t="s">
        <v>4</v>
      </c>
      <c r="B30196" s="4" t="s">
        <v>5</v>
      </c>
      <c r="C30196" s="4" t="s">
        <v>7</v>
      </c>
      <c r="D30196" s="4" t="s">
        <v>7</v>
      </c>
      <c r="E30196" s="4" t="s">
        <v>13</v>
      </c>
      <c r="F30196" s="4" t="s">
        <v>13</v>
      </c>
      <c r="G30196" s="4" t="s">
        <v>13</v>
      </c>
      <c r="H30196" s="4" t="s">
        <v>11</v>
      </c>
      <c r="I30196" s="4" t="s">
        <v>7</v>
      </c>
    </row>
    <row r="30197" spans="1:13">
      <c r="A30197" t="n">
        <v>294907</v>
      </c>
      <c r="B30197" s="51" t="n">
        <v>45</v>
      </c>
      <c r="C30197" s="7" t="n">
        <v>4</v>
      </c>
      <c r="D30197" s="7" t="n">
        <v>3</v>
      </c>
      <c r="E30197" s="7" t="n">
        <v>10.9399995803833</v>
      </c>
      <c r="F30197" s="7" t="n">
        <v>63.8400001525879</v>
      </c>
      <c r="G30197" s="7" t="n">
        <v>0</v>
      </c>
      <c r="H30197" s="7" t="n">
        <v>0</v>
      </c>
      <c r="I30197" s="7" t="n">
        <v>0</v>
      </c>
    </row>
    <row r="30198" spans="1:13">
      <c r="A30198" t="s">
        <v>4</v>
      </c>
      <c r="B30198" s="4" t="s">
        <v>5</v>
      </c>
      <c r="C30198" s="4" t="s">
        <v>7</v>
      </c>
      <c r="D30198" s="4" t="s">
        <v>8</v>
      </c>
    </row>
    <row r="30199" spans="1:13">
      <c r="A30199" t="n">
        <v>294925</v>
      </c>
      <c r="B30199" s="6" t="n">
        <v>2</v>
      </c>
      <c r="C30199" s="7" t="n">
        <v>10</v>
      </c>
      <c r="D30199" s="7" t="s">
        <v>1834</v>
      </c>
    </row>
    <row r="30200" spans="1:13">
      <c r="A30200" t="s">
        <v>4</v>
      </c>
      <c r="B30200" s="4" t="s">
        <v>5</v>
      </c>
    </row>
    <row r="30201" spans="1:13">
      <c r="A30201" t="n">
        <v>294946</v>
      </c>
      <c r="B30201" s="5" t="n">
        <v>1</v>
      </c>
    </row>
    <row r="30202" spans="1:13" s="3" customFormat="1" customHeight="0">
      <c r="A30202" s="3" t="s">
        <v>2</v>
      </c>
      <c r="B30202" s="3" t="s">
        <v>1844</v>
      </c>
    </row>
    <row r="30203" spans="1:13">
      <c r="A30203" t="s">
        <v>4</v>
      </c>
      <c r="B30203" s="4" t="s">
        <v>5</v>
      </c>
      <c r="C30203" s="4" t="s">
        <v>7</v>
      </c>
      <c r="D30203" s="4" t="s">
        <v>7</v>
      </c>
      <c r="E30203" s="4" t="s">
        <v>7</v>
      </c>
      <c r="F30203" s="4" t="s">
        <v>7</v>
      </c>
    </row>
    <row r="30204" spans="1:13">
      <c r="A30204" t="n">
        <v>294948</v>
      </c>
      <c r="B30204" s="9" t="n">
        <v>14</v>
      </c>
      <c r="C30204" s="7" t="n">
        <v>2</v>
      </c>
      <c r="D30204" s="7" t="n">
        <v>0</v>
      </c>
      <c r="E30204" s="7" t="n">
        <v>0</v>
      </c>
      <c r="F30204" s="7" t="n">
        <v>0</v>
      </c>
    </row>
    <row r="30205" spans="1:13">
      <c r="A30205" t="s">
        <v>4</v>
      </c>
      <c r="B30205" s="4" t="s">
        <v>5</v>
      </c>
      <c r="C30205" s="4" t="s">
        <v>7</v>
      </c>
      <c r="D30205" s="20" t="s">
        <v>35</v>
      </c>
      <c r="E30205" s="4" t="s">
        <v>5</v>
      </c>
      <c r="F30205" s="4" t="s">
        <v>7</v>
      </c>
      <c r="G30205" s="4" t="s">
        <v>11</v>
      </c>
      <c r="H30205" s="20" t="s">
        <v>36</v>
      </c>
      <c r="I30205" s="4" t="s">
        <v>7</v>
      </c>
      <c r="J30205" s="4" t="s">
        <v>15</v>
      </c>
      <c r="K30205" s="4" t="s">
        <v>7</v>
      </c>
      <c r="L30205" s="4" t="s">
        <v>7</v>
      </c>
      <c r="M30205" s="20" t="s">
        <v>35</v>
      </c>
      <c r="N30205" s="4" t="s">
        <v>5</v>
      </c>
      <c r="O30205" s="4" t="s">
        <v>7</v>
      </c>
      <c r="P30205" s="4" t="s">
        <v>11</v>
      </c>
      <c r="Q30205" s="20" t="s">
        <v>36</v>
      </c>
      <c r="R30205" s="4" t="s">
        <v>7</v>
      </c>
      <c r="S30205" s="4" t="s">
        <v>15</v>
      </c>
      <c r="T30205" s="4" t="s">
        <v>7</v>
      </c>
      <c r="U30205" s="4" t="s">
        <v>7</v>
      </c>
      <c r="V30205" s="4" t="s">
        <v>7</v>
      </c>
      <c r="W30205" s="4" t="s">
        <v>12</v>
      </c>
    </row>
    <row r="30206" spans="1:13">
      <c r="A30206" t="n">
        <v>294953</v>
      </c>
      <c r="B30206" s="10" t="n">
        <v>5</v>
      </c>
      <c r="C30206" s="7" t="n">
        <v>28</v>
      </c>
      <c r="D30206" s="20" t="s">
        <v>3</v>
      </c>
      <c r="E30206" s="8" t="n">
        <v>162</v>
      </c>
      <c r="F30206" s="7" t="n">
        <v>3</v>
      </c>
      <c r="G30206" s="7" t="n">
        <v>36892</v>
      </c>
      <c r="H30206" s="20" t="s">
        <v>3</v>
      </c>
      <c r="I30206" s="7" t="n">
        <v>0</v>
      </c>
      <c r="J30206" s="7" t="n">
        <v>1</v>
      </c>
      <c r="K30206" s="7" t="n">
        <v>2</v>
      </c>
      <c r="L30206" s="7" t="n">
        <v>28</v>
      </c>
      <c r="M30206" s="20" t="s">
        <v>3</v>
      </c>
      <c r="N30206" s="8" t="n">
        <v>162</v>
      </c>
      <c r="O30206" s="7" t="n">
        <v>3</v>
      </c>
      <c r="P30206" s="7" t="n">
        <v>36892</v>
      </c>
      <c r="Q30206" s="20" t="s">
        <v>3</v>
      </c>
      <c r="R30206" s="7" t="n">
        <v>0</v>
      </c>
      <c r="S30206" s="7" t="n">
        <v>2</v>
      </c>
      <c r="T30206" s="7" t="n">
        <v>2</v>
      </c>
      <c r="U30206" s="7" t="n">
        <v>11</v>
      </c>
      <c r="V30206" s="7" t="n">
        <v>1</v>
      </c>
      <c r="W30206" s="11" t="n">
        <f t="normal" ca="1">A30210</f>
        <v>0</v>
      </c>
    </row>
    <row r="30207" spans="1:13">
      <c r="A30207" t="s">
        <v>4</v>
      </c>
      <c r="B30207" s="4" t="s">
        <v>5</v>
      </c>
      <c r="C30207" s="4" t="s">
        <v>7</v>
      </c>
      <c r="D30207" s="4" t="s">
        <v>11</v>
      </c>
      <c r="E30207" s="4" t="s">
        <v>13</v>
      </c>
    </row>
    <row r="30208" spans="1:13">
      <c r="A30208" t="n">
        <v>294982</v>
      </c>
      <c r="B30208" s="23" t="n">
        <v>58</v>
      </c>
      <c r="C30208" s="7" t="n">
        <v>0</v>
      </c>
      <c r="D30208" s="7" t="n">
        <v>0</v>
      </c>
      <c r="E30208" s="7" t="n">
        <v>1</v>
      </c>
    </row>
    <row r="30209" spans="1:23">
      <c r="A30209" t="s">
        <v>4</v>
      </c>
      <c r="B30209" s="4" t="s">
        <v>5</v>
      </c>
      <c r="C30209" s="4" t="s">
        <v>7</v>
      </c>
      <c r="D30209" s="20" t="s">
        <v>35</v>
      </c>
      <c r="E30209" s="4" t="s">
        <v>5</v>
      </c>
      <c r="F30209" s="4" t="s">
        <v>7</v>
      </c>
      <c r="G30209" s="4" t="s">
        <v>11</v>
      </c>
      <c r="H30209" s="20" t="s">
        <v>36</v>
      </c>
      <c r="I30209" s="4" t="s">
        <v>7</v>
      </c>
      <c r="J30209" s="4" t="s">
        <v>15</v>
      </c>
      <c r="K30209" s="4" t="s">
        <v>7</v>
      </c>
      <c r="L30209" s="4" t="s">
        <v>7</v>
      </c>
      <c r="M30209" s="20" t="s">
        <v>35</v>
      </c>
      <c r="N30209" s="4" t="s">
        <v>5</v>
      </c>
      <c r="O30209" s="4" t="s">
        <v>7</v>
      </c>
      <c r="P30209" s="4" t="s">
        <v>11</v>
      </c>
      <c r="Q30209" s="20" t="s">
        <v>36</v>
      </c>
      <c r="R30209" s="4" t="s">
        <v>7</v>
      </c>
      <c r="S30209" s="4" t="s">
        <v>15</v>
      </c>
      <c r="T30209" s="4" t="s">
        <v>7</v>
      </c>
      <c r="U30209" s="4" t="s">
        <v>7</v>
      </c>
      <c r="V30209" s="4" t="s">
        <v>7</v>
      </c>
      <c r="W30209" s="4" t="s">
        <v>12</v>
      </c>
    </row>
    <row r="30210" spans="1:23">
      <c r="A30210" t="n">
        <v>294990</v>
      </c>
      <c r="B30210" s="10" t="n">
        <v>5</v>
      </c>
      <c r="C30210" s="7" t="n">
        <v>28</v>
      </c>
      <c r="D30210" s="20" t="s">
        <v>3</v>
      </c>
      <c r="E30210" s="8" t="n">
        <v>162</v>
      </c>
      <c r="F30210" s="7" t="n">
        <v>3</v>
      </c>
      <c r="G30210" s="7" t="n">
        <v>36892</v>
      </c>
      <c r="H30210" s="20" t="s">
        <v>3</v>
      </c>
      <c r="I30210" s="7" t="n">
        <v>0</v>
      </c>
      <c r="J30210" s="7" t="n">
        <v>1</v>
      </c>
      <c r="K30210" s="7" t="n">
        <v>3</v>
      </c>
      <c r="L30210" s="7" t="n">
        <v>28</v>
      </c>
      <c r="M30210" s="20" t="s">
        <v>3</v>
      </c>
      <c r="N30210" s="8" t="n">
        <v>162</v>
      </c>
      <c r="O30210" s="7" t="n">
        <v>3</v>
      </c>
      <c r="P30210" s="7" t="n">
        <v>36892</v>
      </c>
      <c r="Q30210" s="20" t="s">
        <v>3</v>
      </c>
      <c r="R30210" s="7" t="n">
        <v>0</v>
      </c>
      <c r="S30210" s="7" t="n">
        <v>2</v>
      </c>
      <c r="T30210" s="7" t="n">
        <v>3</v>
      </c>
      <c r="U30210" s="7" t="n">
        <v>9</v>
      </c>
      <c r="V30210" s="7" t="n">
        <v>1</v>
      </c>
      <c r="W30210" s="11" t="n">
        <f t="normal" ca="1">A30220</f>
        <v>0</v>
      </c>
    </row>
    <row r="30211" spans="1:23">
      <c r="A30211" t="s">
        <v>4</v>
      </c>
      <c r="B30211" s="4" t="s">
        <v>5</v>
      </c>
      <c r="C30211" s="4" t="s">
        <v>7</v>
      </c>
      <c r="D30211" s="20" t="s">
        <v>35</v>
      </c>
      <c r="E30211" s="4" t="s">
        <v>5</v>
      </c>
      <c r="F30211" s="4" t="s">
        <v>11</v>
      </c>
      <c r="G30211" s="4" t="s">
        <v>7</v>
      </c>
      <c r="H30211" s="4" t="s">
        <v>7</v>
      </c>
      <c r="I30211" s="4" t="s">
        <v>8</v>
      </c>
      <c r="J30211" s="20" t="s">
        <v>36</v>
      </c>
      <c r="K30211" s="4" t="s">
        <v>7</v>
      </c>
      <c r="L30211" s="4" t="s">
        <v>7</v>
      </c>
      <c r="M30211" s="20" t="s">
        <v>35</v>
      </c>
      <c r="N30211" s="4" t="s">
        <v>5</v>
      </c>
      <c r="O30211" s="4" t="s">
        <v>7</v>
      </c>
      <c r="P30211" s="20" t="s">
        <v>36</v>
      </c>
      <c r="Q30211" s="4" t="s">
        <v>7</v>
      </c>
      <c r="R30211" s="4" t="s">
        <v>15</v>
      </c>
      <c r="S30211" s="4" t="s">
        <v>7</v>
      </c>
      <c r="T30211" s="4" t="s">
        <v>7</v>
      </c>
      <c r="U30211" s="4" t="s">
        <v>7</v>
      </c>
      <c r="V30211" s="20" t="s">
        <v>35</v>
      </c>
      <c r="W30211" s="4" t="s">
        <v>5</v>
      </c>
      <c r="X30211" s="4" t="s">
        <v>7</v>
      </c>
      <c r="Y30211" s="20" t="s">
        <v>36</v>
      </c>
      <c r="Z30211" s="4" t="s">
        <v>7</v>
      </c>
      <c r="AA30211" s="4" t="s">
        <v>15</v>
      </c>
      <c r="AB30211" s="4" t="s">
        <v>7</v>
      </c>
      <c r="AC30211" s="4" t="s">
        <v>7</v>
      </c>
      <c r="AD30211" s="4" t="s">
        <v>7</v>
      </c>
      <c r="AE30211" s="4" t="s">
        <v>12</v>
      </c>
    </row>
    <row r="30212" spans="1:23">
      <c r="A30212" t="n">
        <v>295019</v>
      </c>
      <c r="B30212" s="10" t="n">
        <v>5</v>
      </c>
      <c r="C30212" s="7" t="n">
        <v>28</v>
      </c>
      <c r="D30212" s="20" t="s">
        <v>3</v>
      </c>
      <c r="E30212" s="41" t="n">
        <v>47</v>
      </c>
      <c r="F30212" s="7" t="n">
        <v>61456</v>
      </c>
      <c r="G30212" s="7" t="n">
        <v>2</v>
      </c>
      <c r="H30212" s="7" t="n">
        <v>0</v>
      </c>
      <c r="I30212" s="7" t="s">
        <v>105</v>
      </c>
      <c r="J30212" s="20" t="s">
        <v>3</v>
      </c>
      <c r="K30212" s="7" t="n">
        <v>8</v>
      </c>
      <c r="L30212" s="7" t="n">
        <v>28</v>
      </c>
      <c r="M30212" s="20" t="s">
        <v>3</v>
      </c>
      <c r="N30212" s="45" t="n">
        <v>74</v>
      </c>
      <c r="O30212" s="7" t="n">
        <v>65</v>
      </c>
      <c r="P30212" s="20" t="s">
        <v>3</v>
      </c>
      <c r="Q30212" s="7" t="n">
        <v>0</v>
      </c>
      <c r="R30212" s="7" t="n">
        <v>1</v>
      </c>
      <c r="S30212" s="7" t="n">
        <v>3</v>
      </c>
      <c r="T30212" s="7" t="n">
        <v>9</v>
      </c>
      <c r="U30212" s="7" t="n">
        <v>28</v>
      </c>
      <c r="V30212" s="20" t="s">
        <v>3</v>
      </c>
      <c r="W30212" s="45" t="n">
        <v>74</v>
      </c>
      <c r="X30212" s="7" t="n">
        <v>65</v>
      </c>
      <c r="Y30212" s="20" t="s">
        <v>3</v>
      </c>
      <c r="Z30212" s="7" t="n">
        <v>0</v>
      </c>
      <c r="AA30212" s="7" t="n">
        <v>2</v>
      </c>
      <c r="AB30212" s="7" t="n">
        <v>3</v>
      </c>
      <c r="AC30212" s="7" t="n">
        <v>9</v>
      </c>
      <c r="AD30212" s="7" t="n">
        <v>1</v>
      </c>
      <c r="AE30212" s="11" t="n">
        <f t="normal" ca="1">A30216</f>
        <v>0</v>
      </c>
    </row>
    <row r="30213" spans="1:23">
      <c r="A30213" t="s">
        <v>4</v>
      </c>
      <c r="B30213" s="4" t="s">
        <v>5</v>
      </c>
      <c r="C30213" s="4" t="s">
        <v>11</v>
      </c>
      <c r="D30213" s="4" t="s">
        <v>7</v>
      </c>
      <c r="E30213" s="4" t="s">
        <v>7</v>
      </c>
      <c r="F30213" s="4" t="s">
        <v>8</v>
      </c>
    </row>
    <row r="30214" spans="1:23">
      <c r="A30214" t="n">
        <v>295067</v>
      </c>
      <c r="B30214" s="41" t="n">
        <v>47</v>
      </c>
      <c r="C30214" s="7" t="n">
        <v>61456</v>
      </c>
      <c r="D30214" s="7" t="n">
        <v>0</v>
      </c>
      <c r="E30214" s="7" t="n">
        <v>0</v>
      </c>
      <c r="F30214" s="7" t="s">
        <v>106</v>
      </c>
    </row>
    <row r="30215" spans="1:23">
      <c r="A30215" t="s">
        <v>4</v>
      </c>
      <c r="B30215" s="4" t="s">
        <v>5</v>
      </c>
      <c r="C30215" s="4" t="s">
        <v>7</v>
      </c>
      <c r="D30215" s="4" t="s">
        <v>11</v>
      </c>
      <c r="E30215" s="4" t="s">
        <v>13</v>
      </c>
    </row>
    <row r="30216" spans="1:23">
      <c r="A30216" t="n">
        <v>295080</v>
      </c>
      <c r="B30216" s="23" t="n">
        <v>58</v>
      </c>
      <c r="C30216" s="7" t="n">
        <v>0</v>
      </c>
      <c r="D30216" s="7" t="n">
        <v>300</v>
      </c>
      <c r="E30216" s="7" t="n">
        <v>1</v>
      </c>
    </row>
    <row r="30217" spans="1:23">
      <c r="A30217" t="s">
        <v>4</v>
      </c>
      <c r="B30217" s="4" t="s">
        <v>5</v>
      </c>
      <c r="C30217" s="4" t="s">
        <v>7</v>
      </c>
      <c r="D30217" s="4" t="s">
        <v>11</v>
      </c>
    </row>
    <row r="30218" spans="1:23">
      <c r="A30218" t="n">
        <v>295088</v>
      </c>
      <c r="B30218" s="23" t="n">
        <v>58</v>
      </c>
      <c r="C30218" s="7" t="n">
        <v>255</v>
      </c>
      <c r="D30218" s="7" t="n">
        <v>0</v>
      </c>
    </row>
    <row r="30219" spans="1:23">
      <c r="A30219" t="s">
        <v>4</v>
      </c>
      <c r="B30219" s="4" t="s">
        <v>5</v>
      </c>
      <c r="C30219" s="4" t="s">
        <v>7</v>
      </c>
      <c r="D30219" s="4" t="s">
        <v>7</v>
      </c>
      <c r="E30219" s="4" t="s">
        <v>7</v>
      </c>
      <c r="F30219" s="4" t="s">
        <v>7</v>
      </c>
    </row>
    <row r="30220" spans="1:23">
      <c r="A30220" t="n">
        <v>295092</v>
      </c>
      <c r="B30220" s="9" t="n">
        <v>14</v>
      </c>
      <c r="C30220" s="7" t="n">
        <v>0</v>
      </c>
      <c r="D30220" s="7" t="n">
        <v>0</v>
      </c>
      <c r="E30220" s="7" t="n">
        <v>0</v>
      </c>
      <c r="F30220" s="7" t="n">
        <v>64</v>
      </c>
    </row>
    <row r="30221" spans="1:23">
      <c r="A30221" t="s">
        <v>4</v>
      </c>
      <c r="B30221" s="4" t="s">
        <v>5</v>
      </c>
      <c r="C30221" s="4" t="s">
        <v>7</v>
      </c>
      <c r="D30221" s="4" t="s">
        <v>11</v>
      </c>
    </row>
    <row r="30222" spans="1:23">
      <c r="A30222" t="n">
        <v>295097</v>
      </c>
      <c r="B30222" s="22" t="n">
        <v>22</v>
      </c>
      <c r="C30222" s="7" t="n">
        <v>0</v>
      </c>
      <c r="D30222" s="7" t="n">
        <v>36892</v>
      </c>
    </row>
    <row r="30223" spans="1:23">
      <c r="A30223" t="s">
        <v>4</v>
      </c>
      <c r="B30223" s="4" t="s">
        <v>5</v>
      </c>
      <c r="C30223" s="4" t="s">
        <v>7</v>
      </c>
      <c r="D30223" s="4" t="s">
        <v>11</v>
      </c>
    </row>
    <row r="30224" spans="1:23">
      <c r="A30224" t="n">
        <v>295101</v>
      </c>
      <c r="B30224" s="23" t="n">
        <v>58</v>
      </c>
      <c r="C30224" s="7" t="n">
        <v>5</v>
      </c>
      <c r="D30224" s="7" t="n">
        <v>300</v>
      </c>
    </row>
    <row r="30225" spans="1:31">
      <c r="A30225" t="s">
        <v>4</v>
      </c>
      <c r="B30225" s="4" t="s">
        <v>5</v>
      </c>
      <c r="C30225" s="4" t="s">
        <v>13</v>
      </c>
      <c r="D30225" s="4" t="s">
        <v>11</v>
      </c>
    </row>
    <row r="30226" spans="1:31">
      <c r="A30226" t="n">
        <v>295105</v>
      </c>
      <c r="B30226" s="46" t="n">
        <v>103</v>
      </c>
      <c r="C30226" s="7" t="n">
        <v>0</v>
      </c>
      <c r="D30226" s="7" t="n">
        <v>300</v>
      </c>
    </row>
    <row r="30227" spans="1:31">
      <c r="A30227" t="s">
        <v>4</v>
      </c>
      <c r="B30227" s="4" t="s">
        <v>5</v>
      </c>
      <c r="C30227" s="4" t="s">
        <v>7</v>
      </c>
    </row>
    <row r="30228" spans="1:31">
      <c r="A30228" t="n">
        <v>295112</v>
      </c>
      <c r="B30228" s="47" t="n">
        <v>64</v>
      </c>
      <c r="C30228" s="7" t="n">
        <v>7</v>
      </c>
    </row>
    <row r="30229" spans="1:31">
      <c r="A30229" t="s">
        <v>4</v>
      </c>
      <c r="B30229" s="4" t="s">
        <v>5</v>
      </c>
      <c r="C30229" s="4" t="s">
        <v>7</v>
      </c>
      <c r="D30229" s="4" t="s">
        <v>11</v>
      </c>
    </row>
    <row r="30230" spans="1:31">
      <c r="A30230" t="n">
        <v>295114</v>
      </c>
      <c r="B30230" s="48" t="n">
        <v>72</v>
      </c>
      <c r="C30230" s="7" t="n">
        <v>5</v>
      </c>
      <c r="D30230" s="7" t="n">
        <v>0</v>
      </c>
    </row>
    <row r="30231" spans="1:31">
      <c r="A30231" t="s">
        <v>4</v>
      </c>
      <c r="B30231" s="4" t="s">
        <v>5</v>
      </c>
      <c r="C30231" s="4" t="s">
        <v>7</v>
      </c>
      <c r="D30231" s="20" t="s">
        <v>35</v>
      </c>
      <c r="E30231" s="4" t="s">
        <v>5</v>
      </c>
      <c r="F30231" s="4" t="s">
        <v>7</v>
      </c>
      <c r="G30231" s="4" t="s">
        <v>11</v>
      </c>
      <c r="H30231" s="20" t="s">
        <v>36</v>
      </c>
      <c r="I30231" s="4" t="s">
        <v>7</v>
      </c>
      <c r="J30231" s="4" t="s">
        <v>15</v>
      </c>
      <c r="K30231" s="4" t="s">
        <v>7</v>
      </c>
      <c r="L30231" s="4" t="s">
        <v>7</v>
      </c>
      <c r="M30231" s="4" t="s">
        <v>12</v>
      </c>
    </row>
    <row r="30232" spans="1:31">
      <c r="A30232" t="n">
        <v>295118</v>
      </c>
      <c r="B30232" s="10" t="n">
        <v>5</v>
      </c>
      <c r="C30232" s="7" t="n">
        <v>28</v>
      </c>
      <c r="D30232" s="20" t="s">
        <v>3</v>
      </c>
      <c r="E30232" s="8" t="n">
        <v>162</v>
      </c>
      <c r="F30232" s="7" t="n">
        <v>4</v>
      </c>
      <c r="G30232" s="7" t="n">
        <v>36892</v>
      </c>
      <c r="H30232" s="20" t="s">
        <v>3</v>
      </c>
      <c r="I30232" s="7" t="n">
        <v>0</v>
      </c>
      <c r="J30232" s="7" t="n">
        <v>1</v>
      </c>
      <c r="K30232" s="7" t="n">
        <v>2</v>
      </c>
      <c r="L30232" s="7" t="n">
        <v>1</v>
      </c>
      <c r="M30232" s="11" t="n">
        <f t="normal" ca="1">A30238</f>
        <v>0</v>
      </c>
    </row>
    <row r="30233" spans="1:31">
      <c r="A30233" t="s">
        <v>4</v>
      </c>
      <c r="B30233" s="4" t="s">
        <v>5</v>
      </c>
      <c r="C30233" s="4" t="s">
        <v>7</v>
      </c>
      <c r="D30233" s="4" t="s">
        <v>8</v>
      </c>
    </row>
    <row r="30234" spans="1:31">
      <c r="A30234" t="n">
        <v>295135</v>
      </c>
      <c r="B30234" s="6" t="n">
        <v>2</v>
      </c>
      <c r="C30234" s="7" t="n">
        <v>10</v>
      </c>
      <c r="D30234" s="7" t="s">
        <v>107</v>
      </c>
    </row>
    <row r="30235" spans="1:31">
      <c r="A30235" t="s">
        <v>4</v>
      </c>
      <c r="B30235" s="4" t="s">
        <v>5</v>
      </c>
      <c r="C30235" s="4" t="s">
        <v>11</v>
      </c>
    </row>
    <row r="30236" spans="1:31">
      <c r="A30236" t="n">
        <v>295152</v>
      </c>
      <c r="B30236" s="29" t="n">
        <v>16</v>
      </c>
      <c r="C30236" s="7" t="n">
        <v>0</v>
      </c>
    </row>
    <row r="30237" spans="1:31">
      <c r="A30237" t="s">
        <v>4</v>
      </c>
      <c r="B30237" s="4" t="s">
        <v>5</v>
      </c>
      <c r="C30237" s="4" t="s">
        <v>7</v>
      </c>
      <c r="D30237" s="4" t="s">
        <v>11</v>
      </c>
      <c r="E30237" s="4" t="s">
        <v>11</v>
      </c>
      <c r="F30237" s="4" t="s">
        <v>11</v>
      </c>
      <c r="G30237" s="4" t="s">
        <v>11</v>
      </c>
      <c r="H30237" s="4" t="s">
        <v>11</v>
      </c>
      <c r="I30237" s="4" t="s">
        <v>11</v>
      </c>
      <c r="J30237" s="4" t="s">
        <v>11</v>
      </c>
      <c r="K30237" s="4" t="s">
        <v>11</v>
      </c>
      <c r="L30237" s="4" t="s">
        <v>11</v>
      </c>
      <c r="M30237" s="4" t="s">
        <v>11</v>
      </c>
      <c r="N30237" s="4" t="s">
        <v>15</v>
      </c>
      <c r="O30237" s="4" t="s">
        <v>15</v>
      </c>
      <c r="P30237" s="4" t="s">
        <v>15</v>
      </c>
      <c r="Q30237" s="4" t="s">
        <v>15</v>
      </c>
      <c r="R30237" s="4" t="s">
        <v>7</v>
      </c>
      <c r="S30237" s="4" t="s">
        <v>8</v>
      </c>
    </row>
    <row r="30238" spans="1:31">
      <c r="A30238" t="n">
        <v>295155</v>
      </c>
      <c r="B30238" s="24" t="n">
        <v>75</v>
      </c>
      <c r="C30238" s="7" t="n">
        <v>0</v>
      </c>
      <c r="D30238" s="7" t="n">
        <v>484</v>
      </c>
      <c r="E30238" s="7" t="n">
        <v>328</v>
      </c>
      <c r="F30238" s="7" t="n">
        <v>996</v>
      </c>
      <c r="G30238" s="7" t="n">
        <v>392</v>
      </c>
      <c r="H30238" s="7" t="n">
        <v>0</v>
      </c>
      <c r="I30238" s="7" t="n">
        <v>0</v>
      </c>
      <c r="J30238" s="7" t="n">
        <v>0</v>
      </c>
      <c r="K30238" s="7" t="n">
        <v>448</v>
      </c>
      <c r="L30238" s="7" t="n">
        <v>512</v>
      </c>
      <c r="M30238" s="7" t="n">
        <v>512</v>
      </c>
      <c r="N30238" s="7" t="n">
        <v>1065353216</v>
      </c>
      <c r="O30238" s="7" t="n">
        <v>1065353216</v>
      </c>
      <c r="P30238" s="7" t="n">
        <v>1065353216</v>
      </c>
      <c r="Q30238" s="7" t="n">
        <v>0</v>
      </c>
      <c r="R30238" s="7" t="n">
        <v>0</v>
      </c>
      <c r="S30238" s="7" t="s">
        <v>271</v>
      </c>
    </row>
    <row r="30239" spans="1:31">
      <c r="A30239" t="s">
        <v>4</v>
      </c>
      <c r="B30239" s="4" t="s">
        <v>5</v>
      </c>
      <c r="C30239" s="4" t="s">
        <v>7</v>
      </c>
      <c r="D30239" s="4" t="s">
        <v>11</v>
      </c>
      <c r="E30239" s="4" t="s">
        <v>11</v>
      </c>
      <c r="F30239" s="4" t="s">
        <v>11</v>
      </c>
      <c r="G30239" s="4" t="s">
        <v>11</v>
      </c>
      <c r="H30239" s="4" t="s">
        <v>11</v>
      </c>
      <c r="I30239" s="4" t="s">
        <v>11</v>
      </c>
      <c r="J30239" s="4" t="s">
        <v>11</v>
      </c>
      <c r="K30239" s="4" t="s">
        <v>11</v>
      </c>
      <c r="L30239" s="4" t="s">
        <v>11</v>
      </c>
      <c r="M30239" s="4" t="s">
        <v>11</v>
      </c>
      <c r="N30239" s="4" t="s">
        <v>15</v>
      </c>
      <c r="O30239" s="4" t="s">
        <v>15</v>
      </c>
      <c r="P30239" s="4" t="s">
        <v>15</v>
      </c>
      <c r="Q30239" s="4" t="s">
        <v>15</v>
      </c>
      <c r="R30239" s="4" t="s">
        <v>7</v>
      </c>
      <c r="S30239" s="4" t="s">
        <v>8</v>
      </c>
    </row>
    <row r="30240" spans="1:31">
      <c r="A30240" t="n">
        <v>295204</v>
      </c>
      <c r="B30240" s="24" t="n">
        <v>75</v>
      </c>
      <c r="C30240" s="7" t="n">
        <v>1</v>
      </c>
      <c r="D30240" s="7" t="n">
        <v>0</v>
      </c>
      <c r="E30240" s="7" t="n">
        <v>0</v>
      </c>
      <c r="F30240" s="7" t="n">
        <v>1024</v>
      </c>
      <c r="G30240" s="7" t="n">
        <v>720</v>
      </c>
      <c r="H30240" s="7" t="n">
        <v>0</v>
      </c>
      <c r="I30240" s="7" t="n">
        <v>0</v>
      </c>
      <c r="J30240" s="7" t="n">
        <v>0</v>
      </c>
      <c r="K30240" s="7" t="n">
        <v>0</v>
      </c>
      <c r="L30240" s="7" t="n">
        <v>1024</v>
      </c>
      <c r="M30240" s="7" t="n">
        <v>720</v>
      </c>
      <c r="N30240" s="7" t="n">
        <v>1065353216</v>
      </c>
      <c r="O30240" s="7" t="n">
        <v>1065353216</v>
      </c>
      <c r="P30240" s="7" t="n">
        <v>1065353216</v>
      </c>
      <c r="Q30240" s="7" t="n">
        <v>0</v>
      </c>
      <c r="R30240" s="7" t="n">
        <v>0</v>
      </c>
      <c r="S30240" s="7" t="s">
        <v>699</v>
      </c>
    </row>
    <row r="30241" spans="1:19">
      <c r="A30241" t="s">
        <v>4</v>
      </c>
      <c r="B30241" s="4" t="s">
        <v>5</v>
      </c>
      <c r="C30241" s="4" t="s">
        <v>7</v>
      </c>
      <c r="D30241" s="4" t="s">
        <v>7</v>
      </c>
      <c r="E30241" s="4" t="s">
        <v>7</v>
      </c>
      <c r="F30241" s="4" t="s">
        <v>13</v>
      </c>
      <c r="G30241" s="4" t="s">
        <v>13</v>
      </c>
      <c r="H30241" s="4" t="s">
        <v>13</v>
      </c>
      <c r="I30241" s="4" t="s">
        <v>13</v>
      </c>
      <c r="J30241" s="4" t="s">
        <v>13</v>
      </c>
    </row>
    <row r="30242" spans="1:19">
      <c r="A30242" t="n">
        <v>295253</v>
      </c>
      <c r="B30242" s="25" t="n">
        <v>76</v>
      </c>
      <c r="C30242" s="7" t="n">
        <v>1</v>
      </c>
      <c r="D30242" s="7" t="n">
        <v>9</v>
      </c>
      <c r="E30242" s="7" t="n">
        <v>2</v>
      </c>
      <c r="F30242" s="7" t="n">
        <v>0</v>
      </c>
      <c r="G30242" s="7" t="n">
        <v>0</v>
      </c>
      <c r="H30242" s="7" t="n">
        <v>0</v>
      </c>
      <c r="I30242" s="7" t="n">
        <v>0</v>
      </c>
      <c r="J30242" s="7" t="n">
        <v>0</v>
      </c>
    </row>
    <row r="30243" spans="1:19">
      <c r="A30243" t="s">
        <v>4</v>
      </c>
      <c r="B30243" s="4" t="s">
        <v>5</v>
      </c>
      <c r="C30243" s="4" t="s">
        <v>11</v>
      </c>
      <c r="D30243" s="4" t="s">
        <v>8</v>
      </c>
      <c r="E30243" s="4" t="s">
        <v>8</v>
      </c>
      <c r="F30243" s="4" t="s">
        <v>8</v>
      </c>
      <c r="G30243" s="4" t="s">
        <v>7</v>
      </c>
      <c r="H30243" s="4" t="s">
        <v>15</v>
      </c>
      <c r="I30243" s="4" t="s">
        <v>13</v>
      </c>
      <c r="J30243" s="4" t="s">
        <v>13</v>
      </c>
      <c r="K30243" s="4" t="s">
        <v>13</v>
      </c>
      <c r="L30243" s="4" t="s">
        <v>13</v>
      </c>
      <c r="M30243" s="4" t="s">
        <v>13</v>
      </c>
      <c r="N30243" s="4" t="s">
        <v>13</v>
      </c>
      <c r="O30243" s="4" t="s">
        <v>13</v>
      </c>
      <c r="P30243" s="4" t="s">
        <v>8</v>
      </c>
      <c r="Q30243" s="4" t="s">
        <v>8</v>
      </c>
      <c r="R30243" s="4" t="s">
        <v>15</v>
      </c>
      <c r="S30243" s="4" t="s">
        <v>7</v>
      </c>
      <c r="T30243" s="4" t="s">
        <v>15</v>
      </c>
      <c r="U30243" s="4" t="s">
        <v>15</v>
      </c>
      <c r="V30243" s="4" t="s">
        <v>11</v>
      </c>
    </row>
    <row r="30244" spans="1:19">
      <c r="A30244" t="n">
        <v>295277</v>
      </c>
      <c r="B30244" s="62" t="n">
        <v>19</v>
      </c>
      <c r="C30244" s="7" t="n">
        <v>11</v>
      </c>
      <c r="D30244" s="7" t="s">
        <v>228</v>
      </c>
      <c r="E30244" s="7" t="s">
        <v>229</v>
      </c>
      <c r="F30244" s="7" t="s">
        <v>16</v>
      </c>
      <c r="G30244" s="7" t="n">
        <v>0</v>
      </c>
      <c r="H30244" s="7" t="n">
        <v>1</v>
      </c>
      <c r="I30244" s="7" t="n">
        <v>0</v>
      </c>
      <c r="J30244" s="7" t="n">
        <v>0</v>
      </c>
      <c r="K30244" s="7" t="n">
        <v>0</v>
      </c>
      <c r="L30244" s="7" t="n">
        <v>0</v>
      </c>
      <c r="M30244" s="7" t="n">
        <v>1</v>
      </c>
      <c r="N30244" s="7" t="n">
        <v>1.60000002384186</v>
      </c>
      <c r="O30244" s="7" t="n">
        <v>0.0900000035762787</v>
      </c>
      <c r="P30244" s="7" t="s">
        <v>16</v>
      </c>
      <c r="Q30244" s="7" t="s">
        <v>16</v>
      </c>
      <c r="R30244" s="7" t="n">
        <v>-1</v>
      </c>
      <c r="S30244" s="7" t="n">
        <v>0</v>
      </c>
      <c r="T30244" s="7" t="n">
        <v>0</v>
      </c>
      <c r="U30244" s="7" t="n">
        <v>0</v>
      </c>
      <c r="V30244" s="7" t="n">
        <v>0</v>
      </c>
    </row>
    <row r="30245" spans="1:19">
      <c r="A30245" t="s">
        <v>4</v>
      </c>
      <c r="B30245" s="4" t="s">
        <v>5</v>
      </c>
      <c r="C30245" s="4" t="s">
        <v>11</v>
      </c>
      <c r="D30245" s="4" t="s">
        <v>7</v>
      </c>
      <c r="E30245" s="4" t="s">
        <v>7</v>
      </c>
      <c r="F30245" s="4" t="s">
        <v>8</v>
      </c>
    </row>
    <row r="30246" spans="1:19">
      <c r="A30246" t="n">
        <v>295356</v>
      </c>
      <c r="B30246" s="50" t="n">
        <v>20</v>
      </c>
      <c r="C30246" s="7" t="n">
        <v>0</v>
      </c>
      <c r="D30246" s="7" t="n">
        <v>3</v>
      </c>
      <c r="E30246" s="7" t="n">
        <v>10</v>
      </c>
      <c r="F30246" s="7" t="s">
        <v>108</v>
      </c>
    </row>
    <row r="30247" spans="1:19">
      <c r="A30247" t="s">
        <v>4</v>
      </c>
      <c r="B30247" s="4" t="s">
        <v>5</v>
      </c>
      <c r="C30247" s="4" t="s">
        <v>11</v>
      </c>
    </row>
    <row r="30248" spans="1:19">
      <c r="A30248" t="n">
        <v>295374</v>
      </c>
      <c r="B30248" s="29" t="n">
        <v>16</v>
      </c>
      <c r="C30248" s="7" t="n">
        <v>0</v>
      </c>
    </row>
    <row r="30249" spans="1:19">
      <c r="A30249" t="s">
        <v>4</v>
      </c>
      <c r="B30249" s="4" t="s">
        <v>5</v>
      </c>
      <c r="C30249" s="4" t="s">
        <v>11</v>
      </c>
      <c r="D30249" s="4" t="s">
        <v>7</v>
      </c>
      <c r="E30249" s="4" t="s">
        <v>7</v>
      </c>
      <c r="F30249" s="4" t="s">
        <v>8</v>
      </c>
    </row>
    <row r="30250" spans="1:19">
      <c r="A30250" t="n">
        <v>295377</v>
      </c>
      <c r="B30250" s="50" t="n">
        <v>20</v>
      </c>
      <c r="C30250" s="7" t="n">
        <v>11</v>
      </c>
      <c r="D30250" s="7" t="n">
        <v>3</v>
      </c>
      <c r="E30250" s="7" t="n">
        <v>10</v>
      </c>
      <c r="F30250" s="7" t="s">
        <v>108</v>
      </c>
    </row>
    <row r="30251" spans="1:19">
      <c r="A30251" t="s">
        <v>4</v>
      </c>
      <c r="B30251" s="4" t="s">
        <v>5</v>
      </c>
      <c r="C30251" s="4" t="s">
        <v>11</v>
      </c>
    </row>
    <row r="30252" spans="1:19">
      <c r="A30252" t="n">
        <v>295395</v>
      </c>
      <c r="B30252" s="29" t="n">
        <v>16</v>
      </c>
      <c r="C30252" s="7" t="n">
        <v>0</v>
      </c>
    </row>
    <row r="30253" spans="1:19">
      <c r="A30253" t="s">
        <v>4</v>
      </c>
      <c r="B30253" s="4" t="s">
        <v>5</v>
      </c>
      <c r="C30253" s="4" t="s">
        <v>11</v>
      </c>
      <c r="D30253" s="4" t="s">
        <v>15</v>
      </c>
    </row>
    <row r="30254" spans="1:19">
      <c r="A30254" t="n">
        <v>295398</v>
      </c>
      <c r="B30254" s="39" t="n">
        <v>43</v>
      </c>
      <c r="C30254" s="7" t="n">
        <v>11</v>
      </c>
      <c r="D30254" s="7" t="n">
        <v>1</v>
      </c>
    </row>
    <row r="30255" spans="1:19">
      <c r="A30255" t="s">
        <v>4</v>
      </c>
      <c r="B30255" s="4" t="s">
        <v>5</v>
      </c>
      <c r="C30255" s="4" t="s">
        <v>7</v>
      </c>
    </row>
    <row r="30256" spans="1:19">
      <c r="A30256" t="n">
        <v>295405</v>
      </c>
      <c r="B30256" s="49" t="n">
        <v>116</v>
      </c>
      <c r="C30256" s="7" t="n">
        <v>0</v>
      </c>
    </row>
    <row r="30257" spans="1:22">
      <c r="A30257" t="s">
        <v>4</v>
      </c>
      <c r="B30257" s="4" t="s">
        <v>5</v>
      </c>
      <c r="C30257" s="4" t="s">
        <v>7</v>
      </c>
      <c r="D30257" s="4" t="s">
        <v>11</v>
      </c>
    </row>
    <row r="30258" spans="1:22">
      <c r="A30258" t="n">
        <v>295407</v>
      </c>
      <c r="B30258" s="49" t="n">
        <v>116</v>
      </c>
      <c r="C30258" s="7" t="n">
        <v>2</v>
      </c>
      <c r="D30258" s="7" t="n">
        <v>1</v>
      </c>
    </row>
    <row r="30259" spans="1:22">
      <c r="A30259" t="s">
        <v>4</v>
      </c>
      <c r="B30259" s="4" t="s">
        <v>5</v>
      </c>
      <c r="C30259" s="4" t="s">
        <v>7</v>
      </c>
      <c r="D30259" s="4" t="s">
        <v>15</v>
      </c>
    </row>
    <row r="30260" spans="1:22">
      <c r="A30260" t="n">
        <v>295411</v>
      </c>
      <c r="B30260" s="49" t="n">
        <v>116</v>
      </c>
      <c r="C30260" s="7" t="n">
        <v>5</v>
      </c>
      <c r="D30260" s="7" t="n">
        <v>1106247680</v>
      </c>
    </row>
    <row r="30261" spans="1:22">
      <c r="A30261" t="s">
        <v>4</v>
      </c>
      <c r="B30261" s="4" t="s">
        <v>5</v>
      </c>
      <c r="C30261" s="4" t="s">
        <v>7</v>
      </c>
      <c r="D30261" s="4" t="s">
        <v>11</v>
      </c>
    </row>
    <row r="30262" spans="1:22">
      <c r="A30262" t="n">
        <v>295417</v>
      </c>
      <c r="B30262" s="49" t="n">
        <v>116</v>
      </c>
      <c r="C30262" s="7" t="n">
        <v>6</v>
      </c>
      <c r="D30262" s="7" t="n">
        <v>1</v>
      </c>
    </row>
    <row r="30263" spans="1:22">
      <c r="A30263" t="s">
        <v>4</v>
      </c>
      <c r="B30263" s="4" t="s">
        <v>5</v>
      </c>
      <c r="C30263" s="4" t="s">
        <v>7</v>
      </c>
      <c r="D30263" s="4" t="s">
        <v>11</v>
      </c>
      <c r="E30263" s="4" t="s">
        <v>11</v>
      </c>
      <c r="F30263" s="4" t="s">
        <v>15</v>
      </c>
    </row>
    <row r="30264" spans="1:22">
      <c r="A30264" t="n">
        <v>295421</v>
      </c>
      <c r="B30264" s="76" t="n">
        <v>84</v>
      </c>
      <c r="C30264" s="7" t="n">
        <v>0</v>
      </c>
      <c r="D30264" s="7" t="n">
        <v>0</v>
      </c>
      <c r="E30264" s="7" t="n">
        <v>0</v>
      </c>
      <c r="F30264" s="7" t="n">
        <v>1045220557</v>
      </c>
    </row>
    <row r="30265" spans="1:22">
      <c r="A30265" t="s">
        <v>4</v>
      </c>
      <c r="B30265" s="4" t="s">
        <v>5</v>
      </c>
      <c r="C30265" s="4" t="s">
        <v>11</v>
      </c>
      <c r="D30265" s="4" t="s">
        <v>13</v>
      </c>
      <c r="E30265" s="4" t="s">
        <v>13</v>
      </c>
      <c r="F30265" s="4" t="s">
        <v>13</v>
      </c>
      <c r="G30265" s="4" t="s">
        <v>13</v>
      </c>
    </row>
    <row r="30266" spans="1:22">
      <c r="A30266" t="n">
        <v>295431</v>
      </c>
      <c r="B30266" s="36" t="n">
        <v>46</v>
      </c>
      <c r="C30266" s="7" t="n">
        <v>11</v>
      </c>
      <c r="D30266" s="7" t="n">
        <v>7.6100001335144</v>
      </c>
      <c r="E30266" s="7" t="n">
        <v>0</v>
      </c>
      <c r="F30266" s="7" t="n">
        <v>46.0200004577637</v>
      </c>
      <c r="G30266" s="7" t="n">
        <v>272.200012207031</v>
      </c>
    </row>
    <row r="30267" spans="1:22">
      <c r="A30267" t="s">
        <v>4</v>
      </c>
      <c r="B30267" s="4" t="s">
        <v>5</v>
      </c>
      <c r="C30267" s="4" t="s">
        <v>11</v>
      </c>
      <c r="D30267" s="4" t="s">
        <v>13</v>
      </c>
      <c r="E30267" s="4" t="s">
        <v>13</v>
      </c>
      <c r="F30267" s="4" t="s">
        <v>13</v>
      </c>
      <c r="G30267" s="4" t="s">
        <v>13</v>
      </c>
    </row>
    <row r="30268" spans="1:22">
      <c r="A30268" t="n">
        <v>295450</v>
      </c>
      <c r="B30268" s="36" t="n">
        <v>46</v>
      </c>
      <c r="C30268" s="7" t="n">
        <v>0</v>
      </c>
      <c r="D30268" s="7" t="n">
        <v>4.78000020980835</v>
      </c>
      <c r="E30268" s="7" t="n">
        <v>0</v>
      </c>
      <c r="F30268" s="7" t="n">
        <v>45.3300018310547</v>
      </c>
      <c r="G30268" s="7" t="n">
        <v>-102.300003051758</v>
      </c>
    </row>
    <row r="30269" spans="1:22">
      <c r="A30269" t="s">
        <v>4</v>
      </c>
      <c r="B30269" s="4" t="s">
        <v>5</v>
      </c>
      <c r="C30269" s="4" t="s">
        <v>11</v>
      </c>
      <c r="D30269" s="4" t="s">
        <v>7</v>
      </c>
      <c r="E30269" s="4" t="s">
        <v>8</v>
      </c>
      <c r="F30269" s="4" t="s">
        <v>13</v>
      </c>
      <c r="G30269" s="4" t="s">
        <v>13</v>
      </c>
      <c r="H30269" s="4" t="s">
        <v>13</v>
      </c>
    </row>
    <row r="30270" spans="1:22">
      <c r="A30270" t="n">
        <v>295469</v>
      </c>
      <c r="B30270" s="42" t="n">
        <v>48</v>
      </c>
      <c r="C30270" s="7" t="n">
        <v>0</v>
      </c>
      <c r="D30270" s="7" t="n">
        <v>0</v>
      </c>
      <c r="E30270" s="7" t="s">
        <v>275</v>
      </c>
      <c r="F30270" s="7" t="n">
        <v>0</v>
      </c>
      <c r="G30270" s="7" t="n">
        <v>1</v>
      </c>
      <c r="H30270" s="7" t="n">
        <v>0</v>
      </c>
    </row>
    <row r="30271" spans="1:22">
      <c r="A30271" t="s">
        <v>4</v>
      </c>
      <c r="B30271" s="4" t="s">
        <v>5</v>
      </c>
      <c r="C30271" s="4" t="s">
        <v>7</v>
      </c>
      <c r="D30271" s="4" t="s">
        <v>11</v>
      </c>
      <c r="E30271" s="4" t="s">
        <v>8</v>
      </c>
      <c r="F30271" s="4" t="s">
        <v>8</v>
      </c>
      <c r="G30271" s="4" t="s">
        <v>8</v>
      </c>
      <c r="H30271" s="4" t="s">
        <v>8</v>
      </c>
    </row>
    <row r="30272" spans="1:22">
      <c r="A30272" t="n">
        <v>295494</v>
      </c>
      <c r="B30272" s="38" t="n">
        <v>51</v>
      </c>
      <c r="C30272" s="7" t="n">
        <v>3</v>
      </c>
      <c r="D30272" s="7" t="n">
        <v>0</v>
      </c>
      <c r="E30272" s="7" t="s">
        <v>101</v>
      </c>
      <c r="F30272" s="7" t="s">
        <v>99</v>
      </c>
      <c r="G30272" s="7" t="s">
        <v>78</v>
      </c>
      <c r="H30272" s="7" t="s">
        <v>79</v>
      </c>
    </row>
    <row r="30273" spans="1:8">
      <c r="A30273" t="s">
        <v>4</v>
      </c>
      <c r="B30273" s="4" t="s">
        <v>5</v>
      </c>
      <c r="C30273" s="4" t="s">
        <v>7</v>
      </c>
      <c r="D30273" s="4" t="s">
        <v>11</v>
      </c>
      <c r="E30273" s="4" t="s">
        <v>8</v>
      </c>
      <c r="F30273" s="4" t="s">
        <v>8</v>
      </c>
      <c r="G30273" s="4" t="s">
        <v>8</v>
      </c>
      <c r="H30273" s="4" t="s">
        <v>8</v>
      </c>
    </row>
    <row r="30274" spans="1:8">
      <c r="A30274" t="n">
        <v>295515</v>
      </c>
      <c r="B30274" s="38" t="n">
        <v>51</v>
      </c>
      <c r="C30274" s="7" t="n">
        <v>3</v>
      </c>
      <c r="D30274" s="7" t="n">
        <v>11</v>
      </c>
      <c r="E30274" s="7" t="s">
        <v>101</v>
      </c>
      <c r="F30274" s="7" t="s">
        <v>232</v>
      </c>
      <c r="G30274" s="7" t="s">
        <v>78</v>
      </c>
      <c r="H30274" s="7" t="s">
        <v>79</v>
      </c>
    </row>
    <row r="30275" spans="1:8">
      <c r="A30275" t="s">
        <v>4</v>
      </c>
      <c r="B30275" s="4" t="s">
        <v>5</v>
      </c>
      <c r="C30275" s="4" t="s">
        <v>7</v>
      </c>
      <c r="D30275" s="4" t="s">
        <v>11</v>
      </c>
      <c r="E30275" s="4" t="s">
        <v>7</v>
      </c>
      <c r="F30275" s="4" t="s">
        <v>8</v>
      </c>
      <c r="G30275" s="4" t="s">
        <v>8</v>
      </c>
      <c r="H30275" s="4" t="s">
        <v>8</v>
      </c>
      <c r="I30275" s="4" t="s">
        <v>8</v>
      </c>
      <c r="J30275" s="4" t="s">
        <v>8</v>
      </c>
      <c r="K30275" s="4" t="s">
        <v>8</v>
      </c>
      <c r="L30275" s="4" t="s">
        <v>8</v>
      </c>
      <c r="M30275" s="4" t="s">
        <v>8</v>
      </c>
      <c r="N30275" s="4" t="s">
        <v>8</v>
      </c>
      <c r="O30275" s="4" t="s">
        <v>8</v>
      </c>
      <c r="P30275" s="4" t="s">
        <v>8</v>
      </c>
      <c r="Q30275" s="4" t="s">
        <v>8</v>
      </c>
      <c r="R30275" s="4" t="s">
        <v>8</v>
      </c>
      <c r="S30275" s="4" t="s">
        <v>8</v>
      </c>
      <c r="T30275" s="4" t="s">
        <v>8</v>
      </c>
      <c r="U30275" s="4" t="s">
        <v>8</v>
      </c>
    </row>
    <row r="30276" spans="1:8">
      <c r="A30276" t="n">
        <v>295536</v>
      </c>
      <c r="B30276" s="40" t="n">
        <v>36</v>
      </c>
      <c r="C30276" s="7" t="n">
        <v>8</v>
      </c>
      <c r="D30276" s="7" t="n">
        <v>0</v>
      </c>
      <c r="E30276" s="7" t="n">
        <v>0</v>
      </c>
      <c r="F30276" s="7" t="s">
        <v>700</v>
      </c>
      <c r="G30276" s="7" t="s">
        <v>701</v>
      </c>
      <c r="H30276" s="7" t="s">
        <v>16</v>
      </c>
      <c r="I30276" s="7" t="s">
        <v>16</v>
      </c>
      <c r="J30276" s="7" t="s">
        <v>16</v>
      </c>
      <c r="K30276" s="7" t="s">
        <v>16</v>
      </c>
      <c r="L30276" s="7" t="s">
        <v>16</v>
      </c>
      <c r="M30276" s="7" t="s">
        <v>16</v>
      </c>
      <c r="N30276" s="7" t="s">
        <v>16</v>
      </c>
      <c r="O30276" s="7" t="s">
        <v>16</v>
      </c>
      <c r="P30276" s="7" t="s">
        <v>16</v>
      </c>
      <c r="Q30276" s="7" t="s">
        <v>16</v>
      </c>
      <c r="R30276" s="7" t="s">
        <v>16</v>
      </c>
      <c r="S30276" s="7" t="s">
        <v>16</v>
      </c>
      <c r="T30276" s="7" t="s">
        <v>16</v>
      </c>
      <c r="U30276" s="7" t="s">
        <v>16</v>
      </c>
    </row>
    <row r="30277" spans="1:8">
      <c r="A30277" t="s">
        <v>4</v>
      </c>
      <c r="B30277" s="4" t="s">
        <v>5</v>
      </c>
      <c r="C30277" s="4" t="s">
        <v>7</v>
      </c>
      <c r="D30277" s="4" t="s">
        <v>11</v>
      </c>
      <c r="E30277" s="4" t="s">
        <v>7</v>
      </c>
      <c r="F30277" s="4" t="s">
        <v>8</v>
      </c>
      <c r="G30277" s="4" t="s">
        <v>8</v>
      </c>
      <c r="H30277" s="4" t="s">
        <v>8</v>
      </c>
      <c r="I30277" s="4" t="s">
        <v>8</v>
      </c>
      <c r="J30277" s="4" t="s">
        <v>8</v>
      </c>
      <c r="K30277" s="4" t="s">
        <v>8</v>
      </c>
      <c r="L30277" s="4" t="s">
        <v>8</v>
      </c>
      <c r="M30277" s="4" t="s">
        <v>8</v>
      </c>
      <c r="N30277" s="4" t="s">
        <v>8</v>
      </c>
      <c r="O30277" s="4" t="s">
        <v>8</v>
      </c>
      <c r="P30277" s="4" t="s">
        <v>8</v>
      </c>
      <c r="Q30277" s="4" t="s">
        <v>8</v>
      </c>
      <c r="R30277" s="4" t="s">
        <v>8</v>
      </c>
      <c r="S30277" s="4" t="s">
        <v>8</v>
      </c>
      <c r="T30277" s="4" t="s">
        <v>8</v>
      </c>
      <c r="U30277" s="4" t="s">
        <v>8</v>
      </c>
    </row>
    <row r="30278" spans="1:8">
      <c r="A30278" t="n">
        <v>295579</v>
      </c>
      <c r="B30278" s="40" t="n">
        <v>36</v>
      </c>
      <c r="C30278" s="7" t="n">
        <v>8</v>
      </c>
      <c r="D30278" s="7" t="n">
        <v>11</v>
      </c>
      <c r="E30278" s="7" t="n">
        <v>0</v>
      </c>
      <c r="F30278" s="7" t="s">
        <v>702</v>
      </c>
      <c r="G30278" s="7" t="s">
        <v>700</v>
      </c>
      <c r="H30278" s="7" t="s">
        <v>703</v>
      </c>
      <c r="I30278" s="7" t="s">
        <v>230</v>
      </c>
      <c r="J30278" s="7" t="s">
        <v>391</v>
      </c>
      <c r="K30278" s="7" t="s">
        <v>16</v>
      </c>
      <c r="L30278" s="7" t="s">
        <v>16</v>
      </c>
      <c r="M30278" s="7" t="s">
        <v>16</v>
      </c>
      <c r="N30278" s="7" t="s">
        <v>16</v>
      </c>
      <c r="O30278" s="7" t="s">
        <v>16</v>
      </c>
      <c r="P30278" s="7" t="s">
        <v>16</v>
      </c>
      <c r="Q30278" s="7" t="s">
        <v>16</v>
      </c>
      <c r="R30278" s="7" t="s">
        <v>16</v>
      </c>
      <c r="S30278" s="7" t="s">
        <v>16</v>
      </c>
      <c r="T30278" s="7" t="s">
        <v>16</v>
      </c>
      <c r="U30278" s="7" t="s">
        <v>16</v>
      </c>
    </row>
    <row r="30279" spans="1:8">
      <c r="A30279" t="s">
        <v>4</v>
      </c>
      <c r="B30279" s="4" t="s">
        <v>5</v>
      </c>
      <c r="C30279" s="4" t="s">
        <v>7</v>
      </c>
      <c r="D30279" s="4" t="s">
        <v>7</v>
      </c>
      <c r="E30279" s="4" t="s">
        <v>13</v>
      </c>
      <c r="F30279" s="4" t="s">
        <v>13</v>
      </c>
      <c r="G30279" s="4" t="s">
        <v>13</v>
      </c>
      <c r="H30279" s="4" t="s">
        <v>11</v>
      </c>
    </row>
    <row r="30280" spans="1:8">
      <c r="A30280" t="n">
        <v>295656</v>
      </c>
      <c r="B30280" s="51" t="n">
        <v>45</v>
      </c>
      <c r="C30280" s="7" t="n">
        <v>2</v>
      </c>
      <c r="D30280" s="7" t="n">
        <v>3</v>
      </c>
      <c r="E30280" s="7" t="n">
        <v>-3</v>
      </c>
      <c r="F30280" s="7" t="n">
        <v>2.89000010490417</v>
      </c>
      <c r="G30280" s="7" t="n">
        <v>41.3699989318848</v>
      </c>
      <c r="H30280" s="7" t="n">
        <v>0</v>
      </c>
    </row>
    <row r="30281" spans="1:8">
      <c r="A30281" t="s">
        <v>4</v>
      </c>
      <c r="B30281" s="4" t="s">
        <v>5</v>
      </c>
      <c r="C30281" s="4" t="s">
        <v>7</v>
      </c>
      <c r="D30281" s="4" t="s">
        <v>7</v>
      </c>
      <c r="E30281" s="4" t="s">
        <v>13</v>
      </c>
      <c r="F30281" s="4" t="s">
        <v>13</v>
      </c>
      <c r="G30281" s="4" t="s">
        <v>13</v>
      </c>
      <c r="H30281" s="4" t="s">
        <v>11</v>
      </c>
      <c r="I30281" s="4" t="s">
        <v>7</v>
      </c>
    </row>
    <row r="30282" spans="1:8">
      <c r="A30282" t="n">
        <v>295673</v>
      </c>
      <c r="B30282" s="51" t="n">
        <v>45</v>
      </c>
      <c r="C30282" s="7" t="n">
        <v>4</v>
      </c>
      <c r="D30282" s="7" t="n">
        <v>3</v>
      </c>
      <c r="E30282" s="7" t="n">
        <v>0.649999976158142</v>
      </c>
      <c r="F30282" s="7" t="n">
        <v>105.529998779297</v>
      </c>
      <c r="G30282" s="7" t="n">
        <v>0</v>
      </c>
      <c r="H30282" s="7" t="n">
        <v>0</v>
      </c>
      <c r="I30282" s="7" t="n">
        <v>0</v>
      </c>
    </row>
    <row r="30283" spans="1:8">
      <c r="A30283" t="s">
        <v>4</v>
      </c>
      <c r="B30283" s="4" t="s">
        <v>5</v>
      </c>
      <c r="C30283" s="4" t="s">
        <v>7</v>
      </c>
      <c r="D30283" s="4" t="s">
        <v>7</v>
      </c>
      <c r="E30283" s="4" t="s">
        <v>13</v>
      </c>
      <c r="F30283" s="4" t="s">
        <v>11</v>
      </c>
    </row>
    <row r="30284" spans="1:8">
      <c r="A30284" t="n">
        <v>295691</v>
      </c>
      <c r="B30284" s="51" t="n">
        <v>45</v>
      </c>
      <c r="C30284" s="7" t="n">
        <v>5</v>
      </c>
      <c r="D30284" s="7" t="n">
        <v>3</v>
      </c>
      <c r="E30284" s="7" t="n">
        <v>2.40000009536743</v>
      </c>
      <c r="F30284" s="7" t="n">
        <v>0</v>
      </c>
    </row>
    <row r="30285" spans="1:8">
      <c r="A30285" t="s">
        <v>4</v>
      </c>
      <c r="B30285" s="4" t="s">
        <v>5</v>
      </c>
      <c r="C30285" s="4" t="s">
        <v>7</v>
      </c>
      <c r="D30285" s="4" t="s">
        <v>7</v>
      </c>
      <c r="E30285" s="4" t="s">
        <v>13</v>
      </c>
      <c r="F30285" s="4" t="s">
        <v>11</v>
      </c>
    </row>
    <row r="30286" spans="1:8">
      <c r="A30286" t="n">
        <v>295700</v>
      </c>
      <c r="B30286" s="51" t="n">
        <v>45</v>
      </c>
      <c r="C30286" s="7" t="n">
        <v>11</v>
      </c>
      <c r="D30286" s="7" t="n">
        <v>3</v>
      </c>
      <c r="E30286" s="7" t="n">
        <v>33.4000015258789</v>
      </c>
      <c r="F30286" s="7" t="n">
        <v>0</v>
      </c>
    </row>
    <row r="30287" spans="1:8">
      <c r="A30287" t="s">
        <v>4</v>
      </c>
      <c r="B30287" s="4" t="s">
        <v>5</v>
      </c>
      <c r="C30287" s="4" t="s">
        <v>11</v>
      </c>
      <c r="D30287" s="4" t="s">
        <v>13</v>
      </c>
      <c r="E30287" s="4" t="s">
        <v>13</v>
      </c>
      <c r="F30287" s="4" t="s">
        <v>13</v>
      </c>
      <c r="G30287" s="4" t="s">
        <v>11</v>
      </c>
      <c r="H30287" s="4" t="s">
        <v>11</v>
      </c>
    </row>
    <row r="30288" spans="1:8">
      <c r="A30288" t="n">
        <v>295709</v>
      </c>
      <c r="B30288" s="37" t="n">
        <v>60</v>
      </c>
      <c r="C30288" s="7" t="n">
        <v>0</v>
      </c>
      <c r="D30288" s="7" t="n">
        <v>0</v>
      </c>
      <c r="E30288" s="7" t="n">
        <v>20</v>
      </c>
      <c r="F30288" s="7" t="n">
        <v>0</v>
      </c>
      <c r="G30288" s="7" t="n">
        <v>0</v>
      </c>
      <c r="H30288" s="7" t="n">
        <v>0</v>
      </c>
    </row>
    <row r="30289" spans="1:21">
      <c r="A30289" t="s">
        <v>4</v>
      </c>
      <c r="B30289" s="4" t="s">
        <v>5</v>
      </c>
      <c r="C30289" s="4" t="s">
        <v>7</v>
      </c>
      <c r="D30289" s="4" t="s">
        <v>7</v>
      </c>
      <c r="E30289" s="4" t="s">
        <v>7</v>
      </c>
      <c r="F30289" s="4" t="s">
        <v>13</v>
      </c>
      <c r="G30289" s="4" t="s">
        <v>13</v>
      </c>
      <c r="H30289" s="4" t="s">
        <v>13</v>
      </c>
      <c r="I30289" s="4" t="s">
        <v>13</v>
      </c>
      <c r="J30289" s="4" t="s">
        <v>13</v>
      </c>
    </row>
    <row r="30290" spans="1:21">
      <c r="A30290" t="n">
        <v>295728</v>
      </c>
      <c r="B30290" s="25" t="n">
        <v>76</v>
      </c>
      <c r="C30290" s="7" t="n">
        <v>0</v>
      </c>
      <c r="D30290" s="7" t="n">
        <v>3</v>
      </c>
      <c r="E30290" s="7" t="n">
        <v>2</v>
      </c>
      <c r="F30290" s="7" t="n">
        <v>1</v>
      </c>
      <c r="G30290" s="7" t="n">
        <v>1</v>
      </c>
      <c r="H30290" s="7" t="n">
        <v>1</v>
      </c>
      <c r="I30290" s="7" t="n">
        <v>1</v>
      </c>
      <c r="J30290" s="7" t="n">
        <v>2000</v>
      </c>
    </row>
    <row r="30291" spans="1:21">
      <c r="A30291" t="s">
        <v>4</v>
      </c>
      <c r="B30291" s="4" t="s">
        <v>5</v>
      </c>
      <c r="C30291" s="4" t="s">
        <v>7</v>
      </c>
      <c r="D30291" s="4" t="s">
        <v>7</v>
      </c>
      <c r="E30291" s="4" t="s">
        <v>7</v>
      </c>
      <c r="F30291" s="4" t="s">
        <v>13</v>
      </c>
      <c r="G30291" s="4" t="s">
        <v>13</v>
      </c>
      <c r="H30291" s="4" t="s">
        <v>13</v>
      </c>
      <c r="I30291" s="4" t="s">
        <v>13</v>
      </c>
      <c r="J30291" s="4" t="s">
        <v>13</v>
      </c>
    </row>
    <row r="30292" spans="1:21">
      <c r="A30292" t="n">
        <v>295752</v>
      </c>
      <c r="B30292" s="25" t="n">
        <v>76</v>
      </c>
      <c r="C30292" s="7" t="n">
        <v>0</v>
      </c>
      <c r="D30292" s="7" t="n">
        <v>0</v>
      </c>
      <c r="E30292" s="7" t="n">
        <v>2</v>
      </c>
      <c r="F30292" s="7" t="n">
        <v>64</v>
      </c>
      <c r="G30292" s="7" t="n">
        <v>0</v>
      </c>
      <c r="H30292" s="7" t="n">
        <v>2000</v>
      </c>
      <c r="I30292" s="7" t="n">
        <v>0</v>
      </c>
      <c r="J30292" s="7" t="n">
        <v>0</v>
      </c>
    </row>
    <row r="30293" spans="1:21">
      <c r="A30293" t="s">
        <v>4</v>
      </c>
      <c r="B30293" s="4" t="s">
        <v>5</v>
      </c>
      <c r="C30293" s="4" t="s">
        <v>7</v>
      </c>
      <c r="D30293" s="4" t="s">
        <v>7</v>
      </c>
    </row>
    <row r="30294" spans="1:21">
      <c r="A30294" t="n">
        <v>295776</v>
      </c>
      <c r="B30294" s="26" t="n">
        <v>77</v>
      </c>
      <c r="C30294" s="7" t="n">
        <v>0</v>
      </c>
      <c r="D30294" s="7" t="n">
        <v>3</v>
      </c>
    </row>
    <row r="30295" spans="1:21">
      <c r="A30295" t="s">
        <v>4</v>
      </c>
      <c r="B30295" s="4" t="s">
        <v>5</v>
      </c>
      <c r="C30295" s="4" t="s">
        <v>7</v>
      </c>
      <c r="D30295" s="4" t="s">
        <v>7</v>
      </c>
    </row>
    <row r="30296" spans="1:21">
      <c r="A30296" t="n">
        <v>295779</v>
      </c>
      <c r="B30296" s="26" t="n">
        <v>77</v>
      </c>
      <c r="C30296" s="7" t="n">
        <v>0</v>
      </c>
      <c r="D30296" s="7" t="n">
        <v>0</v>
      </c>
    </row>
    <row r="30297" spans="1:21">
      <c r="A30297" t="s">
        <v>4</v>
      </c>
      <c r="B30297" s="4" t="s">
        <v>5</v>
      </c>
      <c r="C30297" s="4" t="s">
        <v>11</v>
      </c>
    </row>
    <row r="30298" spans="1:21">
      <c r="A30298" t="n">
        <v>295782</v>
      </c>
      <c r="B30298" s="29" t="n">
        <v>16</v>
      </c>
      <c r="C30298" s="7" t="n">
        <v>2000</v>
      </c>
    </row>
    <row r="30299" spans="1:21">
      <c r="A30299" t="s">
        <v>4</v>
      </c>
      <c r="B30299" s="4" t="s">
        <v>5</v>
      </c>
      <c r="C30299" s="4" t="s">
        <v>7</v>
      </c>
      <c r="D30299" s="4" t="s">
        <v>11</v>
      </c>
      <c r="E30299" s="4" t="s">
        <v>15</v>
      </c>
      <c r="F30299" s="4" t="s">
        <v>11</v>
      </c>
      <c r="G30299" s="4" t="s">
        <v>15</v>
      </c>
      <c r="H30299" s="4" t="s">
        <v>7</v>
      </c>
    </row>
    <row r="30300" spans="1:21">
      <c r="A30300" t="n">
        <v>295785</v>
      </c>
      <c r="B30300" s="13" t="n">
        <v>49</v>
      </c>
      <c r="C30300" s="7" t="n">
        <v>0</v>
      </c>
      <c r="D30300" s="7" t="n">
        <v>514</v>
      </c>
      <c r="E30300" s="7" t="n">
        <v>1065353216</v>
      </c>
      <c r="F30300" s="7" t="n">
        <v>0</v>
      </c>
      <c r="G30300" s="7" t="n">
        <v>0</v>
      </c>
      <c r="H30300" s="7" t="n">
        <v>0</v>
      </c>
    </row>
    <row r="30301" spans="1:21">
      <c r="A30301" t="s">
        <v>4</v>
      </c>
      <c r="B30301" s="4" t="s">
        <v>5</v>
      </c>
      <c r="C30301" s="4" t="s">
        <v>7</v>
      </c>
      <c r="D30301" s="4" t="s">
        <v>7</v>
      </c>
      <c r="E30301" s="4" t="s">
        <v>7</v>
      </c>
      <c r="F30301" s="4" t="s">
        <v>13</v>
      </c>
      <c r="G30301" s="4" t="s">
        <v>13</v>
      </c>
      <c r="H30301" s="4" t="s">
        <v>13</v>
      </c>
      <c r="I30301" s="4" t="s">
        <v>13</v>
      </c>
      <c r="J30301" s="4" t="s">
        <v>13</v>
      </c>
    </row>
    <row r="30302" spans="1:21">
      <c r="A30302" t="n">
        <v>295800</v>
      </c>
      <c r="B30302" s="25" t="n">
        <v>76</v>
      </c>
      <c r="C30302" s="7" t="n">
        <v>0</v>
      </c>
      <c r="D30302" s="7" t="n">
        <v>3</v>
      </c>
      <c r="E30302" s="7" t="n">
        <v>1</v>
      </c>
      <c r="F30302" s="7" t="n">
        <v>1</v>
      </c>
      <c r="G30302" s="7" t="n">
        <v>1</v>
      </c>
      <c r="H30302" s="7" t="n">
        <v>1</v>
      </c>
      <c r="I30302" s="7" t="n">
        <v>0</v>
      </c>
      <c r="J30302" s="7" t="n">
        <v>2000</v>
      </c>
    </row>
    <row r="30303" spans="1:21">
      <c r="A30303" t="s">
        <v>4</v>
      </c>
      <c r="B30303" s="4" t="s">
        <v>5</v>
      </c>
      <c r="C30303" s="4" t="s">
        <v>7</v>
      </c>
      <c r="D30303" s="4" t="s">
        <v>7</v>
      </c>
      <c r="E30303" s="4" t="s">
        <v>7</v>
      </c>
      <c r="F30303" s="4" t="s">
        <v>13</v>
      </c>
      <c r="G30303" s="4" t="s">
        <v>13</v>
      </c>
      <c r="H30303" s="4" t="s">
        <v>13</v>
      </c>
      <c r="I30303" s="4" t="s">
        <v>13</v>
      </c>
      <c r="J30303" s="4" t="s">
        <v>13</v>
      </c>
    </row>
    <row r="30304" spans="1:21">
      <c r="A30304" t="n">
        <v>295824</v>
      </c>
      <c r="B30304" s="25" t="n">
        <v>76</v>
      </c>
      <c r="C30304" s="7" t="n">
        <v>0</v>
      </c>
      <c r="D30304" s="7" t="n">
        <v>0</v>
      </c>
      <c r="E30304" s="7" t="n">
        <v>1</v>
      </c>
      <c r="F30304" s="7" t="n">
        <v>128</v>
      </c>
      <c r="G30304" s="7" t="n">
        <v>0</v>
      </c>
      <c r="H30304" s="7" t="n">
        <v>2000</v>
      </c>
      <c r="I30304" s="7" t="n">
        <v>0</v>
      </c>
      <c r="J30304" s="7" t="n">
        <v>0</v>
      </c>
    </row>
    <row r="30305" spans="1:10">
      <c r="A30305" t="s">
        <v>4</v>
      </c>
      <c r="B30305" s="4" t="s">
        <v>5</v>
      </c>
      <c r="C30305" s="4" t="s">
        <v>7</v>
      </c>
      <c r="D30305" s="4" t="s">
        <v>7</v>
      </c>
    </row>
    <row r="30306" spans="1:10">
      <c r="A30306" t="n">
        <v>295848</v>
      </c>
      <c r="B30306" s="26" t="n">
        <v>77</v>
      </c>
      <c r="C30306" s="7" t="n">
        <v>0</v>
      </c>
      <c r="D30306" s="7" t="n">
        <v>3</v>
      </c>
    </row>
    <row r="30307" spans="1:10">
      <c r="A30307" t="s">
        <v>4</v>
      </c>
      <c r="B30307" s="4" t="s">
        <v>5</v>
      </c>
      <c r="C30307" s="4" t="s">
        <v>7</v>
      </c>
      <c r="D30307" s="4" t="s">
        <v>7</v>
      </c>
    </row>
    <row r="30308" spans="1:10">
      <c r="A30308" t="n">
        <v>295851</v>
      </c>
      <c r="B30308" s="26" t="n">
        <v>77</v>
      </c>
      <c r="C30308" s="7" t="n">
        <v>0</v>
      </c>
      <c r="D30308" s="7" t="n">
        <v>0</v>
      </c>
    </row>
    <row r="30309" spans="1:10">
      <c r="A30309" t="s">
        <v>4</v>
      </c>
      <c r="B30309" s="4" t="s">
        <v>5</v>
      </c>
      <c r="C30309" s="4" t="s">
        <v>7</v>
      </c>
      <c r="D30309" s="4" t="s">
        <v>7</v>
      </c>
      <c r="E30309" s="4" t="s">
        <v>13</v>
      </c>
      <c r="F30309" s="4" t="s">
        <v>13</v>
      </c>
      <c r="G30309" s="4" t="s">
        <v>13</v>
      </c>
      <c r="H30309" s="4" t="s">
        <v>11</v>
      </c>
    </row>
    <row r="30310" spans="1:10">
      <c r="A30310" t="n">
        <v>295854</v>
      </c>
      <c r="B30310" s="51" t="n">
        <v>45</v>
      </c>
      <c r="C30310" s="7" t="n">
        <v>2</v>
      </c>
      <c r="D30310" s="7" t="n">
        <v>3</v>
      </c>
      <c r="E30310" s="7" t="n">
        <v>5.23999977111816</v>
      </c>
      <c r="F30310" s="7" t="n">
        <v>2.15000009536743</v>
      </c>
      <c r="G30310" s="7" t="n">
        <v>43.8600006103516</v>
      </c>
      <c r="H30310" s="7" t="n">
        <v>8000</v>
      </c>
    </row>
    <row r="30311" spans="1:10">
      <c r="A30311" t="s">
        <v>4</v>
      </c>
      <c r="B30311" s="4" t="s">
        <v>5</v>
      </c>
      <c r="C30311" s="4" t="s">
        <v>7</v>
      </c>
      <c r="D30311" s="4" t="s">
        <v>7</v>
      </c>
      <c r="E30311" s="4" t="s">
        <v>13</v>
      </c>
      <c r="F30311" s="4" t="s">
        <v>13</v>
      </c>
      <c r="G30311" s="4" t="s">
        <v>13</v>
      </c>
      <c r="H30311" s="4" t="s">
        <v>11</v>
      </c>
      <c r="I30311" s="4" t="s">
        <v>7</v>
      </c>
    </row>
    <row r="30312" spans="1:10">
      <c r="A30312" t="n">
        <v>295871</v>
      </c>
      <c r="B30312" s="51" t="n">
        <v>45</v>
      </c>
      <c r="C30312" s="7" t="n">
        <v>4</v>
      </c>
      <c r="D30312" s="7" t="n">
        <v>3</v>
      </c>
      <c r="E30312" s="7" t="n">
        <v>12.4799995422363</v>
      </c>
      <c r="F30312" s="7" t="n">
        <v>144.25</v>
      </c>
      <c r="G30312" s="7" t="n">
        <v>0</v>
      </c>
      <c r="H30312" s="7" t="n">
        <v>8000</v>
      </c>
      <c r="I30312" s="7" t="n">
        <v>0</v>
      </c>
    </row>
    <row r="30313" spans="1:10">
      <c r="A30313" t="s">
        <v>4</v>
      </c>
      <c r="B30313" s="4" t="s">
        <v>5</v>
      </c>
      <c r="C30313" s="4" t="s">
        <v>7</v>
      </c>
      <c r="D30313" s="4" t="s">
        <v>7</v>
      </c>
      <c r="E30313" s="4" t="s">
        <v>13</v>
      </c>
      <c r="F30313" s="4" t="s">
        <v>11</v>
      </c>
    </row>
    <row r="30314" spans="1:10">
      <c r="A30314" t="n">
        <v>295889</v>
      </c>
      <c r="B30314" s="51" t="n">
        <v>45</v>
      </c>
      <c r="C30314" s="7" t="n">
        <v>5</v>
      </c>
      <c r="D30314" s="7" t="n">
        <v>3</v>
      </c>
      <c r="E30314" s="7" t="n">
        <v>2.40000009536743</v>
      </c>
      <c r="F30314" s="7" t="n">
        <v>8000</v>
      </c>
    </row>
    <row r="30315" spans="1:10">
      <c r="A30315" t="s">
        <v>4</v>
      </c>
      <c r="B30315" s="4" t="s">
        <v>5</v>
      </c>
      <c r="C30315" s="4" t="s">
        <v>7</v>
      </c>
      <c r="D30315" s="4" t="s">
        <v>7</v>
      </c>
      <c r="E30315" s="4" t="s">
        <v>13</v>
      </c>
      <c r="F30315" s="4" t="s">
        <v>11</v>
      </c>
    </row>
    <row r="30316" spans="1:10">
      <c r="A30316" t="n">
        <v>295898</v>
      </c>
      <c r="B30316" s="51" t="n">
        <v>45</v>
      </c>
      <c r="C30316" s="7" t="n">
        <v>11</v>
      </c>
      <c r="D30316" s="7" t="n">
        <v>3</v>
      </c>
      <c r="E30316" s="7" t="n">
        <v>33.4000015258789</v>
      </c>
      <c r="F30316" s="7" t="n">
        <v>8000</v>
      </c>
    </row>
    <row r="30317" spans="1:10">
      <c r="A30317" t="s">
        <v>4</v>
      </c>
      <c r="B30317" s="4" t="s">
        <v>5</v>
      </c>
      <c r="C30317" s="4" t="s">
        <v>7</v>
      </c>
      <c r="D30317" s="4" t="s">
        <v>11</v>
      </c>
      <c r="E30317" s="4" t="s">
        <v>13</v>
      </c>
    </row>
    <row r="30318" spans="1:10">
      <c r="A30318" t="n">
        <v>295907</v>
      </c>
      <c r="B30318" s="23" t="n">
        <v>58</v>
      </c>
      <c r="C30318" s="7" t="n">
        <v>100</v>
      </c>
      <c r="D30318" s="7" t="n">
        <v>1000</v>
      </c>
      <c r="E30318" s="7" t="n">
        <v>1</v>
      </c>
    </row>
    <row r="30319" spans="1:10">
      <c r="A30319" t="s">
        <v>4</v>
      </c>
      <c r="B30319" s="4" t="s">
        <v>5</v>
      </c>
      <c r="C30319" s="4" t="s">
        <v>7</v>
      </c>
      <c r="D30319" s="4" t="s">
        <v>11</v>
      </c>
    </row>
    <row r="30320" spans="1:10">
      <c r="A30320" t="n">
        <v>295915</v>
      </c>
      <c r="B30320" s="23" t="n">
        <v>58</v>
      </c>
      <c r="C30320" s="7" t="n">
        <v>255</v>
      </c>
      <c r="D30320" s="7" t="n">
        <v>0</v>
      </c>
    </row>
    <row r="30321" spans="1:9">
      <c r="A30321" t="s">
        <v>4</v>
      </c>
      <c r="B30321" s="4" t="s">
        <v>5</v>
      </c>
      <c r="C30321" s="4" t="s">
        <v>7</v>
      </c>
      <c r="D30321" s="4" t="s">
        <v>11</v>
      </c>
    </row>
    <row r="30322" spans="1:9">
      <c r="A30322" t="n">
        <v>295919</v>
      </c>
      <c r="B30322" s="51" t="n">
        <v>45</v>
      </c>
      <c r="C30322" s="7" t="n">
        <v>7</v>
      </c>
      <c r="D30322" s="7" t="n">
        <v>255</v>
      </c>
    </row>
    <row r="30323" spans="1:9">
      <c r="A30323" t="s">
        <v>4</v>
      </c>
      <c r="B30323" s="4" t="s">
        <v>5</v>
      </c>
      <c r="C30323" s="4" t="s">
        <v>7</v>
      </c>
      <c r="D30323" s="4" t="s">
        <v>11</v>
      </c>
      <c r="E30323" s="4" t="s">
        <v>13</v>
      </c>
    </row>
    <row r="30324" spans="1:9">
      <c r="A30324" t="n">
        <v>295923</v>
      </c>
      <c r="B30324" s="23" t="n">
        <v>58</v>
      </c>
      <c r="C30324" s="7" t="n">
        <v>101</v>
      </c>
      <c r="D30324" s="7" t="n">
        <v>800</v>
      </c>
      <c r="E30324" s="7" t="n">
        <v>1</v>
      </c>
    </row>
    <row r="30325" spans="1:9">
      <c r="A30325" t="s">
        <v>4</v>
      </c>
      <c r="B30325" s="4" t="s">
        <v>5</v>
      </c>
      <c r="C30325" s="4" t="s">
        <v>7</v>
      </c>
      <c r="D30325" s="4" t="s">
        <v>11</v>
      </c>
    </row>
    <row r="30326" spans="1:9">
      <c r="A30326" t="n">
        <v>295931</v>
      </c>
      <c r="B30326" s="23" t="n">
        <v>58</v>
      </c>
      <c r="C30326" s="7" t="n">
        <v>254</v>
      </c>
      <c r="D30326" s="7" t="n">
        <v>0</v>
      </c>
    </row>
    <row r="30327" spans="1:9">
      <c r="A30327" t="s">
        <v>4</v>
      </c>
      <c r="B30327" s="4" t="s">
        <v>5</v>
      </c>
      <c r="C30327" s="4" t="s">
        <v>7</v>
      </c>
      <c r="D30327" s="4" t="s">
        <v>7</v>
      </c>
      <c r="E30327" s="4" t="s">
        <v>13</v>
      </c>
      <c r="F30327" s="4" t="s">
        <v>13</v>
      </c>
      <c r="G30327" s="4" t="s">
        <v>13</v>
      </c>
      <c r="H30327" s="4" t="s">
        <v>11</v>
      </c>
    </row>
    <row r="30328" spans="1:9">
      <c r="A30328" t="n">
        <v>295935</v>
      </c>
      <c r="B30328" s="51" t="n">
        <v>45</v>
      </c>
      <c r="C30328" s="7" t="n">
        <v>2</v>
      </c>
      <c r="D30328" s="7" t="n">
        <v>3</v>
      </c>
      <c r="E30328" s="7" t="n">
        <v>4.26999998092651</v>
      </c>
      <c r="F30328" s="7" t="n">
        <v>2.44000005722046</v>
      </c>
      <c r="G30328" s="7" t="n">
        <v>44.1500015258789</v>
      </c>
      <c r="H30328" s="7" t="n">
        <v>0</v>
      </c>
    </row>
    <row r="30329" spans="1:9">
      <c r="A30329" t="s">
        <v>4</v>
      </c>
      <c r="B30329" s="4" t="s">
        <v>5</v>
      </c>
      <c r="C30329" s="4" t="s">
        <v>7</v>
      </c>
      <c r="D30329" s="4" t="s">
        <v>7</v>
      </c>
      <c r="E30329" s="4" t="s">
        <v>13</v>
      </c>
      <c r="F30329" s="4" t="s">
        <v>13</v>
      </c>
      <c r="G30329" s="4" t="s">
        <v>13</v>
      </c>
      <c r="H30329" s="4" t="s">
        <v>11</v>
      </c>
      <c r="I30329" s="4" t="s">
        <v>7</v>
      </c>
    </row>
    <row r="30330" spans="1:9">
      <c r="A30330" t="n">
        <v>295952</v>
      </c>
      <c r="B30330" s="51" t="n">
        <v>45</v>
      </c>
      <c r="C30330" s="7" t="n">
        <v>4</v>
      </c>
      <c r="D30330" s="7" t="n">
        <v>3</v>
      </c>
      <c r="E30330" s="7" t="n">
        <v>357.880004882813</v>
      </c>
      <c r="F30330" s="7" t="n">
        <v>321.779998779297</v>
      </c>
      <c r="G30330" s="7" t="n">
        <v>0</v>
      </c>
      <c r="H30330" s="7" t="n">
        <v>0</v>
      </c>
      <c r="I30330" s="7" t="n">
        <v>0</v>
      </c>
    </row>
    <row r="30331" spans="1:9">
      <c r="A30331" t="s">
        <v>4</v>
      </c>
      <c r="B30331" s="4" t="s">
        <v>5</v>
      </c>
      <c r="C30331" s="4" t="s">
        <v>7</v>
      </c>
      <c r="D30331" s="4" t="s">
        <v>7</v>
      </c>
      <c r="E30331" s="4" t="s">
        <v>13</v>
      </c>
      <c r="F30331" s="4" t="s">
        <v>11</v>
      </c>
    </row>
    <row r="30332" spans="1:9">
      <c r="A30332" t="n">
        <v>295970</v>
      </c>
      <c r="B30332" s="51" t="n">
        <v>45</v>
      </c>
      <c r="C30332" s="7" t="n">
        <v>5</v>
      </c>
      <c r="D30332" s="7" t="n">
        <v>3</v>
      </c>
      <c r="E30332" s="7" t="n">
        <v>2.40000009536743</v>
      </c>
      <c r="F30332" s="7" t="n">
        <v>0</v>
      </c>
    </row>
    <row r="30333" spans="1:9">
      <c r="A30333" t="s">
        <v>4</v>
      </c>
      <c r="B30333" s="4" t="s">
        <v>5</v>
      </c>
      <c r="C30333" s="4" t="s">
        <v>7</v>
      </c>
      <c r="D30333" s="4" t="s">
        <v>7</v>
      </c>
      <c r="E30333" s="4" t="s">
        <v>13</v>
      </c>
      <c r="F30333" s="4" t="s">
        <v>11</v>
      </c>
    </row>
    <row r="30334" spans="1:9">
      <c r="A30334" t="n">
        <v>295979</v>
      </c>
      <c r="B30334" s="51" t="n">
        <v>45</v>
      </c>
      <c r="C30334" s="7" t="n">
        <v>11</v>
      </c>
      <c r="D30334" s="7" t="n">
        <v>3</v>
      </c>
      <c r="E30334" s="7" t="n">
        <v>33.4000015258789</v>
      </c>
      <c r="F30334" s="7" t="n">
        <v>0</v>
      </c>
    </row>
    <row r="30335" spans="1:9">
      <c r="A30335" t="s">
        <v>4</v>
      </c>
      <c r="B30335" s="4" t="s">
        <v>5</v>
      </c>
      <c r="C30335" s="4" t="s">
        <v>7</v>
      </c>
      <c r="D30335" s="4" t="s">
        <v>7</v>
      </c>
      <c r="E30335" s="4" t="s">
        <v>13</v>
      </c>
      <c r="F30335" s="4" t="s">
        <v>13</v>
      </c>
      <c r="G30335" s="4" t="s">
        <v>13</v>
      </c>
      <c r="H30335" s="4" t="s">
        <v>11</v>
      </c>
    </row>
    <row r="30336" spans="1:9">
      <c r="A30336" t="n">
        <v>295988</v>
      </c>
      <c r="B30336" s="51" t="n">
        <v>45</v>
      </c>
      <c r="C30336" s="7" t="n">
        <v>2</v>
      </c>
      <c r="D30336" s="7" t="n">
        <v>3</v>
      </c>
      <c r="E30336" s="7" t="n">
        <v>4.76999998092651</v>
      </c>
      <c r="F30336" s="7" t="n">
        <v>1.45000004768372</v>
      </c>
      <c r="G30336" s="7" t="n">
        <v>45.2599983215332</v>
      </c>
      <c r="H30336" s="7" t="n">
        <v>8000</v>
      </c>
    </row>
    <row r="30337" spans="1:9">
      <c r="A30337" t="s">
        <v>4</v>
      </c>
      <c r="B30337" s="4" t="s">
        <v>5</v>
      </c>
      <c r="C30337" s="4" t="s">
        <v>7</v>
      </c>
      <c r="D30337" s="4" t="s">
        <v>7</v>
      </c>
      <c r="E30337" s="4" t="s">
        <v>13</v>
      </c>
      <c r="F30337" s="4" t="s">
        <v>13</v>
      </c>
      <c r="G30337" s="4" t="s">
        <v>13</v>
      </c>
      <c r="H30337" s="4" t="s">
        <v>11</v>
      </c>
      <c r="I30337" s="4" t="s">
        <v>7</v>
      </c>
    </row>
    <row r="30338" spans="1:9">
      <c r="A30338" t="n">
        <v>296005</v>
      </c>
      <c r="B30338" s="51" t="n">
        <v>45</v>
      </c>
      <c r="C30338" s="7" t="n">
        <v>4</v>
      </c>
      <c r="D30338" s="7" t="n">
        <v>3</v>
      </c>
      <c r="E30338" s="7" t="n">
        <v>358.660003662109</v>
      </c>
      <c r="F30338" s="7" t="n">
        <v>283.079986572266</v>
      </c>
      <c r="G30338" s="7" t="n">
        <v>0</v>
      </c>
      <c r="H30338" s="7" t="n">
        <v>8000</v>
      </c>
      <c r="I30338" s="7" t="n">
        <v>0</v>
      </c>
    </row>
    <row r="30339" spans="1:9">
      <c r="A30339" t="s">
        <v>4</v>
      </c>
      <c r="B30339" s="4" t="s">
        <v>5</v>
      </c>
      <c r="C30339" s="4" t="s">
        <v>7</v>
      </c>
      <c r="D30339" s="4" t="s">
        <v>7</v>
      </c>
      <c r="E30339" s="4" t="s">
        <v>13</v>
      </c>
      <c r="F30339" s="4" t="s">
        <v>11</v>
      </c>
    </row>
    <row r="30340" spans="1:9">
      <c r="A30340" t="n">
        <v>296023</v>
      </c>
      <c r="B30340" s="51" t="n">
        <v>45</v>
      </c>
      <c r="C30340" s="7" t="n">
        <v>5</v>
      </c>
      <c r="D30340" s="7" t="n">
        <v>3</v>
      </c>
      <c r="E30340" s="7" t="n">
        <v>2</v>
      </c>
      <c r="F30340" s="7" t="n">
        <v>8000</v>
      </c>
    </row>
    <row r="30341" spans="1:9">
      <c r="A30341" t="s">
        <v>4</v>
      </c>
      <c r="B30341" s="4" t="s">
        <v>5</v>
      </c>
      <c r="C30341" s="4" t="s">
        <v>7</v>
      </c>
      <c r="D30341" s="4" t="s">
        <v>11</v>
      </c>
    </row>
    <row r="30342" spans="1:9">
      <c r="A30342" t="n">
        <v>296032</v>
      </c>
      <c r="B30342" s="23" t="n">
        <v>58</v>
      </c>
      <c r="C30342" s="7" t="n">
        <v>255</v>
      </c>
      <c r="D30342" s="7" t="n">
        <v>0</v>
      </c>
    </row>
    <row r="30343" spans="1:9">
      <c r="A30343" t="s">
        <v>4</v>
      </c>
      <c r="B30343" s="4" t="s">
        <v>5</v>
      </c>
      <c r="C30343" s="4" t="s">
        <v>7</v>
      </c>
      <c r="D30343" s="4" t="s">
        <v>11</v>
      </c>
    </row>
    <row r="30344" spans="1:9">
      <c r="A30344" t="n">
        <v>296036</v>
      </c>
      <c r="B30344" s="51" t="n">
        <v>45</v>
      </c>
      <c r="C30344" s="7" t="n">
        <v>7</v>
      </c>
      <c r="D30344" s="7" t="n">
        <v>255</v>
      </c>
    </row>
    <row r="30345" spans="1:9">
      <c r="A30345" t="s">
        <v>4</v>
      </c>
      <c r="B30345" s="4" t="s">
        <v>5</v>
      </c>
      <c r="C30345" s="4" t="s">
        <v>7</v>
      </c>
      <c r="D30345" s="4" t="s">
        <v>11</v>
      </c>
      <c r="E30345" s="4" t="s">
        <v>13</v>
      </c>
    </row>
    <row r="30346" spans="1:9">
      <c r="A30346" t="n">
        <v>296040</v>
      </c>
      <c r="B30346" s="23" t="n">
        <v>58</v>
      </c>
      <c r="C30346" s="7" t="n">
        <v>101</v>
      </c>
      <c r="D30346" s="7" t="n">
        <v>800</v>
      </c>
      <c r="E30346" s="7" t="n">
        <v>1</v>
      </c>
    </row>
    <row r="30347" spans="1:9">
      <c r="A30347" t="s">
        <v>4</v>
      </c>
      <c r="B30347" s="4" t="s">
        <v>5</v>
      </c>
      <c r="C30347" s="4" t="s">
        <v>7</v>
      </c>
      <c r="D30347" s="4" t="s">
        <v>11</v>
      </c>
    </row>
    <row r="30348" spans="1:9">
      <c r="A30348" t="n">
        <v>296048</v>
      </c>
      <c r="B30348" s="23" t="n">
        <v>58</v>
      </c>
      <c r="C30348" s="7" t="n">
        <v>254</v>
      </c>
      <c r="D30348" s="7" t="n">
        <v>0</v>
      </c>
    </row>
    <row r="30349" spans="1:9">
      <c r="A30349" t="s">
        <v>4</v>
      </c>
      <c r="B30349" s="4" t="s">
        <v>5</v>
      </c>
      <c r="C30349" s="4" t="s">
        <v>7</v>
      </c>
      <c r="D30349" s="4" t="s">
        <v>7</v>
      </c>
      <c r="E30349" s="4" t="s">
        <v>13</v>
      </c>
      <c r="F30349" s="4" t="s">
        <v>13</v>
      </c>
      <c r="G30349" s="4" t="s">
        <v>13</v>
      </c>
      <c r="H30349" s="4" t="s">
        <v>11</v>
      </c>
    </row>
    <row r="30350" spans="1:9">
      <c r="A30350" t="n">
        <v>296052</v>
      </c>
      <c r="B30350" s="51" t="n">
        <v>45</v>
      </c>
      <c r="C30350" s="7" t="n">
        <v>2</v>
      </c>
      <c r="D30350" s="7" t="n">
        <v>3</v>
      </c>
      <c r="E30350" s="7" t="n">
        <v>4.73999977111816</v>
      </c>
      <c r="F30350" s="7" t="n">
        <v>1.37000000476837</v>
      </c>
      <c r="G30350" s="7" t="n">
        <v>45.310001373291</v>
      </c>
      <c r="H30350" s="7" t="n">
        <v>0</v>
      </c>
    </row>
    <row r="30351" spans="1:9">
      <c r="A30351" t="s">
        <v>4</v>
      </c>
      <c r="B30351" s="4" t="s">
        <v>5</v>
      </c>
      <c r="C30351" s="4" t="s">
        <v>7</v>
      </c>
      <c r="D30351" s="4" t="s">
        <v>7</v>
      </c>
      <c r="E30351" s="4" t="s">
        <v>13</v>
      </c>
      <c r="F30351" s="4" t="s">
        <v>13</v>
      </c>
      <c r="G30351" s="4" t="s">
        <v>13</v>
      </c>
      <c r="H30351" s="4" t="s">
        <v>11</v>
      </c>
      <c r="I30351" s="4" t="s">
        <v>7</v>
      </c>
    </row>
    <row r="30352" spans="1:9">
      <c r="A30352" t="n">
        <v>296069</v>
      </c>
      <c r="B30352" s="51" t="n">
        <v>45</v>
      </c>
      <c r="C30352" s="7" t="n">
        <v>4</v>
      </c>
      <c r="D30352" s="7" t="n">
        <v>3</v>
      </c>
      <c r="E30352" s="7" t="n">
        <v>4.3899998664856</v>
      </c>
      <c r="F30352" s="7" t="n">
        <v>107.779998779297</v>
      </c>
      <c r="G30352" s="7" t="n">
        <v>0</v>
      </c>
      <c r="H30352" s="7" t="n">
        <v>0</v>
      </c>
      <c r="I30352" s="7" t="n">
        <v>0</v>
      </c>
    </row>
    <row r="30353" spans="1:9">
      <c r="A30353" t="s">
        <v>4</v>
      </c>
      <c r="B30353" s="4" t="s">
        <v>5</v>
      </c>
      <c r="C30353" s="4" t="s">
        <v>7</v>
      </c>
      <c r="D30353" s="4" t="s">
        <v>7</v>
      </c>
      <c r="E30353" s="4" t="s">
        <v>13</v>
      </c>
      <c r="F30353" s="4" t="s">
        <v>11</v>
      </c>
    </row>
    <row r="30354" spans="1:9">
      <c r="A30354" t="n">
        <v>296087</v>
      </c>
      <c r="B30354" s="51" t="n">
        <v>45</v>
      </c>
      <c r="C30354" s="7" t="n">
        <v>5</v>
      </c>
      <c r="D30354" s="7" t="n">
        <v>3</v>
      </c>
      <c r="E30354" s="7" t="n">
        <v>2</v>
      </c>
      <c r="F30354" s="7" t="n">
        <v>0</v>
      </c>
    </row>
    <row r="30355" spans="1:9">
      <c r="A30355" t="s">
        <v>4</v>
      </c>
      <c r="B30355" s="4" t="s">
        <v>5</v>
      </c>
      <c r="C30355" s="4" t="s">
        <v>7</v>
      </c>
      <c r="D30355" s="4" t="s">
        <v>7</v>
      </c>
      <c r="E30355" s="4" t="s">
        <v>13</v>
      </c>
      <c r="F30355" s="4" t="s">
        <v>11</v>
      </c>
    </row>
    <row r="30356" spans="1:9">
      <c r="A30356" t="n">
        <v>296096</v>
      </c>
      <c r="B30356" s="51" t="n">
        <v>45</v>
      </c>
      <c r="C30356" s="7" t="n">
        <v>11</v>
      </c>
      <c r="D30356" s="7" t="n">
        <v>3</v>
      </c>
      <c r="E30356" s="7" t="n">
        <v>33.4000015258789</v>
      </c>
      <c r="F30356" s="7" t="n">
        <v>0</v>
      </c>
    </row>
    <row r="30357" spans="1:9">
      <c r="A30357" t="s">
        <v>4</v>
      </c>
      <c r="B30357" s="4" t="s">
        <v>5</v>
      </c>
      <c r="C30357" s="4" t="s">
        <v>11</v>
      </c>
      <c r="D30357" s="4" t="s">
        <v>15</v>
      </c>
    </row>
    <row r="30358" spans="1:9">
      <c r="A30358" t="n">
        <v>296105</v>
      </c>
      <c r="B30358" s="63" t="n">
        <v>44</v>
      </c>
      <c r="C30358" s="7" t="n">
        <v>11</v>
      </c>
      <c r="D30358" s="7" t="n">
        <v>1</v>
      </c>
    </row>
    <row r="30359" spans="1:9">
      <c r="A30359" t="s">
        <v>4</v>
      </c>
      <c r="B30359" s="4" t="s">
        <v>5</v>
      </c>
      <c r="C30359" s="4" t="s">
        <v>7</v>
      </c>
      <c r="D30359" s="4" t="s">
        <v>11</v>
      </c>
    </row>
    <row r="30360" spans="1:9">
      <c r="A30360" t="n">
        <v>296112</v>
      </c>
      <c r="B30360" s="23" t="n">
        <v>58</v>
      </c>
      <c r="C30360" s="7" t="n">
        <v>255</v>
      </c>
      <c r="D30360" s="7" t="n">
        <v>0</v>
      </c>
    </row>
    <row r="30361" spans="1:9">
      <c r="A30361" t="s">
        <v>4</v>
      </c>
      <c r="B30361" s="4" t="s">
        <v>5</v>
      </c>
      <c r="C30361" s="4" t="s">
        <v>8</v>
      </c>
      <c r="D30361" s="4" t="s">
        <v>8</v>
      </c>
    </row>
    <row r="30362" spans="1:9">
      <c r="A30362" t="n">
        <v>296116</v>
      </c>
      <c r="B30362" s="52" t="n">
        <v>70</v>
      </c>
      <c r="C30362" s="7" t="s">
        <v>279</v>
      </c>
      <c r="D30362" s="7" t="s">
        <v>280</v>
      </c>
    </row>
    <row r="30363" spans="1:9">
      <c r="A30363" t="s">
        <v>4</v>
      </c>
      <c r="B30363" s="4" t="s">
        <v>5</v>
      </c>
      <c r="C30363" s="4" t="s">
        <v>11</v>
      </c>
    </row>
    <row r="30364" spans="1:9">
      <c r="A30364" t="n">
        <v>296133</v>
      </c>
      <c r="B30364" s="29" t="n">
        <v>16</v>
      </c>
      <c r="C30364" s="7" t="n">
        <v>1000</v>
      </c>
    </row>
    <row r="30365" spans="1:9">
      <c r="A30365" t="s">
        <v>4</v>
      </c>
      <c r="B30365" s="4" t="s">
        <v>5</v>
      </c>
      <c r="C30365" s="4" t="s">
        <v>7</v>
      </c>
      <c r="D30365" s="4" t="s">
        <v>11</v>
      </c>
      <c r="E30365" s="4" t="s">
        <v>11</v>
      </c>
      <c r="F30365" s="4" t="s">
        <v>7</v>
      </c>
    </row>
    <row r="30366" spans="1:9">
      <c r="A30366" t="n">
        <v>296136</v>
      </c>
      <c r="B30366" s="31" t="n">
        <v>25</v>
      </c>
      <c r="C30366" s="7" t="n">
        <v>1</v>
      </c>
      <c r="D30366" s="7" t="n">
        <v>100</v>
      </c>
      <c r="E30366" s="7" t="n">
        <v>500</v>
      </c>
      <c r="F30366" s="7" t="n">
        <v>5</v>
      </c>
    </row>
    <row r="30367" spans="1:9">
      <c r="A30367" t="s">
        <v>4</v>
      </c>
      <c r="B30367" s="4" t="s">
        <v>5</v>
      </c>
      <c r="C30367" s="4" t="s">
        <v>8</v>
      </c>
      <c r="D30367" s="4" t="s">
        <v>11</v>
      </c>
    </row>
    <row r="30368" spans="1:9">
      <c r="A30368" t="n">
        <v>296143</v>
      </c>
      <c r="B30368" s="67" t="n">
        <v>29</v>
      </c>
      <c r="C30368" s="7" t="s">
        <v>281</v>
      </c>
      <c r="D30368" s="7" t="n">
        <v>65533</v>
      </c>
    </row>
    <row r="30369" spans="1:6">
      <c r="A30369" t="s">
        <v>4</v>
      </c>
      <c r="B30369" s="4" t="s">
        <v>5</v>
      </c>
      <c r="C30369" s="4" t="s">
        <v>7</v>
      </c>
      <c r="D30369" s="4" t="s">
        <v>11</v>
      </c>
      <c r="E30369" s="4" t="s">
        <v>8</v>
      </c>
    </row>
    <row r="30370" spans="1:6">
      <c r="A30370" t="n">
        <v>296152</v>
      </c>
      <c r="B30370" s="38" t="n">
        <v>51</v>
      </c>
      <c r="C30370" s="7" t="n">
        <v>4</v>
      </c>
      <c r="D30370" s="7" t="n">
        <v>11</v>
      </c>
      <c r="E30370" s="7" t="s">
        <v>16</v>
      </c>
    </row>
    <row r="30371" spans="1:6">
      <c r="A30371" t="s">
        <v>4</v>
      </c>
      <c r="B30371" s="4" t="s">
        <v>5</v>
      </c>
      <c r="C30371" s="4" t="s">
        <v>11</v>
      </c>
    </row>
    <row r="30372" spans="1:6">
      <c r="A30372" t="n">
        <v>296157</v>
      </c>
      <c r="B30372" s="29" t="n">
        <v>16</v>
      </c>
      <c r="C30372" s="7" t="n">
        <v>0</v>
      </c>
    </row>
    <row r="30373" spans="1:6">
      <c r="A30373" t="s">
        <v>4</v>
      </c>
      <c r="B30373" s="4" t="s">
        <v>5</v>
      </c>
      <c r="C30373" s="4" t="s">
        <v>11</v>
      </c>
      <c r="D30373" s="4" t="s">
        <v>7</v>
      </c>
      <c r="E30373" s="4" t="s">
        <v>15</v>
      </c>
      <c r="F30373" s="4" t="s">
        <v>55</v>
      </c>
      <c r="G30373" s="4" t="s">
        <v>7</v>
      </c>
      <c r="H30373" s="4" t="s">
        <v>7</v>
      </c>
    </row>
    <row r="30374" spans="1:6">
      <c r="A30374" t="n">
        <v>296160</v>
      </c>
      <c r="B30374" s="55" t="n">
        <v>26</v>
      </c>
      <c r="C30374" s="7" t="n">
        <v>11</v>
      </c>
      <c r="D30374" s="7" t="n">
        <v>17</v>
      </c>
      <c r="E30374" s="7" t="n">
        <v>63983</v>
      </c>
      <c r="F30374" s="7" t="s">
        <v>704</v>
      </c>
      <c r="G30374" s="7" t="n">
        <v>2</v>
      </c>
      <c r="H30374" s="7" t="n">
        <v>0</v>
      </c>
    </row>
    <row r="30375" spans="1:6">
      <c r="A30375" t="s">
        <v>4</v>
      </c>
      <c r="B30375" s="4" t="s">
        <v>5</v>
      </c>
    </row>
    <row r="30376" spans="1:6">
      <c r="A30376" t="n">
        <v>296210</v>
      </c>
      <c r="B30376" s="27" t="n">
        <v>28</v>
      </c>
    </row>
    <row r="30377" spans="1:6">
      <c r="A30377" t="s">
        <v>4</v>
      </c>
      <c r="B30377" s="4" t="s">
        <v>5</v>
      </c>
      <c r="C30377" s="4" t="s">
        <v>11</v>
      </c>
      <c r="D30377" s="4" t="s">
        <v>7</v>
      </c>
    </row>
    <row r="30378" spans="1:6">
      <c r="A30378" t="n">
        <v>296211</v>
      </c>
      <c r="B30378" s="68" t="n">
        <v>89</v>
      </c>
      <c r="C30378" s="7" t="n">
        <v>65533</v>
      </c>
      <c r="D30378" s="7" t="n">
        <v>1</v>
      </c>
    </row>
    <row r="30379" spans="1:6">
      <c r="A30379" t="s">
        <v>4</v>
      </c>
      <c r="B30379" s="4" t="s">
        <v>5</v>
      </c>
      <c r="C30379" s="4" t="s">
        <v>7</v>
      </c>
      <c r="D30379" s="4" t="s">
        <v>11</v>
      </c>
      <c r="E30379" s="4" t="s">
        <v>11</v>
      </c>
      <c r="F30379" s="4" t="s">
        <v>7</v>
      </c>
    </row>
    <row r="30380" spans="1:6">
      <c r="A30380" t="n">
        <v>296215</v>
      </c>
      <c r="B30380" s="31" t="n">
        <v>25</v>
      </c>
      <c r="C30380" s="7" t="n">
        <v>1</v>
      </c>
      <c r="D30380" s="7" t="n">
        <v>65535</v>
      </c>
      <c r="E30380" s="7" t="n">
        <v>65535</v>
      </c>
      <c r="F30380" s="7" t="n">
        <v>0</v>
      </c>
    </row>
    <row r="30381" spans="1:6">
      <c r="A30381" t="s">
        <v>4</v>
      </c>
      <c r="B30381" s="4" t="s">
        <v>5</v>
      </c>
      <c r="C30381" s="4" t="s">
        <v>8</v>
      </c>
      <c r="D30381" s="4" t="s">
        <v>11</v>
      </c>
    </row>
    <row r="30382" spans="1:6">
      <c r="A30382" t="n">
        <v>296222</v>
      </c>
      <c r="B30382" s="67" t="n">
        <v>29</v>
      </c>
      <c r="C30382" s="7" t="s">
        <v>16</v>
      </c>
      <c r="D30382" s="7" t="n">
        <v>65533</v>
      </c>
    </row>
    <row r="30383" spans="1:6">
      <c r="A30383" t="s">
        <v>4</v>
      </c>
      <c r="B30383" s="4" t="s">
        <v>5</v>
      </c>
      <c r="C30383" s="4" t="s">
        <v>11</v>
      </c>
      <c r="D30383" s="4" t="s">
        <v>7</v>
      </c>
      <c r="E30383" s="4" t="s">
        <v>13</v>
      </c>
      <c r="F30383" s="4" t="s">
        <v>11</v>
      </c>
    </row>
    <row r="30384" spans="1:6">
      <c r="A30384" t="n">
        <v>296226</v>
      </c>
      <c r="B30384" s="56" t="n">
        <v>59</v>
      </c>
      <c r="C30384" s="7" t="n">
        <v>0</v>
      </c>
      <c r="D30384" s="7" t="n">
        <v>13</v>
      </c>
      <c r="E30384" s="7" t="n">
        <v>0.150000005960464</v>
      </c>
      <c r="F30384" s="7" t="n">
        <v>0</v>
      </c>
    </row>
    <row r="30385" spans="1:8">
      <c r="A30385" t="s">
        <v>4</v>
      </c>
      <c r="B30385" s="4" t="s">
        <v>5</v>
      </c>
      <c r="C30385" s="4" t="s">
        <v>11</v>
      </c>
    </row>
    <row r="30386" spans="1:8">
      <c r="A30386" t="n">
        <v>296236</v>
      </c>
      <c r="B30386" s="29" t="n">
        <v>16</v>
      </c>
      <c r="C30386" s="7" t="n">
        <v>1000</v>
      </c>
    </row>
    <row r="30387" spans="1:8">
      <c r="A30387" t="s">
        <v>4</v>
      </c>
      <c r="B30387" s="4" t="s">
        <v>5</v>
      </c>
      <c r="C30387" s="4" t="s">
        <v>11</v>
      </c>
      <c r="D30387" s="4" t="s">
        <v>13</v>
      </c>
      <c r="E30387" s="4" t="s">
        <v>13</v>
      </c>
      <c r="F30387" s="4" t="s">
        <v>13</v>
      </c>
      <c r="G30387" s="4" t="s">
        <v>11</v>
      </c>
      <c r="H30387" s="4" t="s">
        <v>11</v>
      </c>
    </row>
    <row r="30388" spans="1:8">
      <c r="A30388" t="n">
        <v>296239</v>
      </c>
      <c r="B30388" s="37" t="n">
        <v>60</v>
      </c>
      <c r="C30388" s="7" t="n">
        <v>0</v>
      </c>
      <c r="D30388" s="7" t="n">
        <v>0</v>
      </c>
      <c r="E30388" s="7" t="n">
        <v>0</v>
      </c>
      <c r="F30388" s="7" t="n">
        <v>0</v>
      </c>
      <c r="G30388" s="7" t="n">
        <v>1000</v>
      </c>
      <c r="H30388" s="7" t="n">
        <v>0</v>
      </c>
    </row>
    <row r="30389" spans="1:8">
      <c r="A30389" t="s">
        <v>4</v>
      </c>
      <c r="B30389" s="4" t="s">
        <v>5</v>
      </c>
      <c r="C30389" s="4" t="s">
        <v>11</v>
      </c>
      <c r="D30389" s="4" t="s">
        <v>11</v>
      </c>
      <c r="E30389" s="4" t="s">
        <v>11</v>
      </c>
    </row>
    <row r="30390" spans="1:8">
      <c r="A30390" t="n">
        <v>296258</v>
      </c>
      <c r="B30390" s="72" t="n">
        <v>61</v>
      </c>
      <c r="C30390" s="7" t="n">
        <v>0</v>
      </c>
      <c r="D30390" s="7" t="n">
        <v>11</v>
      </c>
      <c r="E30390" s="7" t="n">
        <v>1000</v>
      </c>
    </row>
    <row r="30391" spans="1:8">
      <c r="A30391" t="s">
        <v>4</v>
      </c>
      <c r="B30391" s="4" t="s">
        <v>5</v>
      </c>
      <c r="C30391" s="4" t="s">
        <v>11</v>
      </c>
      <c r="D30391" s="4" t="s">
        <v>11</v>
      </c>
      <c r="E30391" s="4" t="s">
        <v>11</v>
      </c>
    </row>
    <row r="30392" spans="1:8">
      <c r="A30392" t="n">
        <v>296265</v>
      </c>
      <c r="B30392" s="72" t="n">
        <v>61</v>
      </c>
      <c r="C30392" s="7" t="n">
        <v>11</v>
      </c>
      <c r="D30392" s="7" t="n">
        <v>0</v>
      </c>
      <c r="E30392" s="7" t="n">
        <v>1000</v>
      </c>
    </row>
    <row r="30393" spans="1:8">
      <c r="A30393" t="s">
        <v>4</v>
      </c>
      <c r="B30393" s="4" t="s">
        <v>5</v>
      </c>
      <c r="C30393" s="4" t="s">
        <v>11</v>
      </c>
      <c r="D30393" s="4" t="s">
        <v>13</v>
      </c>
      <c r="E30393" s="4" t="s">
        <v>13</v>
      </c>
      <c r="F30393" s="4" t="s">
        <v>7</v>
      </c>
    </row>
    <row r="30394" spans="1:8">
      <c r="A30394" t="n">
        <v>296272</v>
      </c>
      <c r="B30394" s="65" t="n">
        <v>52</v>
      </c>
      <c r="C30394" s="7" t="n">
        <v>0</v>
      </c>
      <c r="D30394" s="7" t="n">
        <v>332.399993896484</v>
      </c>
      <c r="E30394" s="7" t="n">
        <v>5</v>
      </c>
      <c r="F30394" s="7" t="n">
        <v>0</v>
      </c>
    </row>
    <row r="30395" spans="1:8">
      <c r="A30395" t="s">
        <v>4</v>
      </c>
      <c r="B30395" s="4" t="s">
        <v>5</v>
      </c>
      <c r="C30395" s="4" t="s">
        <v>11</v>
      </c>
    </row>
    <row r="30396" spans="1:8">
      <c r="A30396" t="n">
        <v>296284</v>
      </c>
      <c r="B30396" s="66" t="n">
        <v>54</v>
      </c>
      <c r="C30396" s="7" t="n">
        <v>0</v>
      </c>
    </row>
    <row r="30397" spans="1:8">
      <c r="A30397" t="s">
        <v>4</v>
      </c>
      <c r="B30397" s="4" t="s">
        <v>5</v>
      </c>
      <c r="C30397" s="4" t="s">
        <v>7</v>
      </c>
      <c r="D30397" s="4" t="s">
        <v>11</v>
      </c>
      <c r="E30397" s="4" t="s">
        <v>13</v>
      </c>
    </row>
    <row r="30398" spans="1:8">
      <c r="A30398" t="n">
        <v>296287</v>
      </c>
      <c r="B30398" s="23" t="n">
        <v>58</v>
      </c>
      <c r="C30398" s="7" t="n">
        <v>101</v>
      </c>
      <c r="D30398" s="7" t="n">
        <v>500</v>
      </c>
      <c r="E30398" s="7" t="n">
        <v>1</v>
      </c>
    </row>
    <row r="30399" spans="1:8">
      <c r="A30399" t="s">
        <v>4</v>
      </c>
      <c r="B30399" s="4" t="s">
        <v>5</v>
      </c>
      <c r="C30399" s="4" t="s">
        <v>7</v>
      </c>
      <c r="D30399" s="4" t="s">
        <v>11</v>
      </c>
    </row>
    <row r="30400" spans="1:8">
      <c r="A30400" t="n">
        <v>296295</v>
      </c>
      <c r="B30400" s="23" t="n">
        <v>58</v>
      </c>
      <c r="C30400" s="7" t="n">
        <v>254</v>
      </c>
      <c r="D30400" s="7" t="n">
        <v>0</v>
      </c>
    </row>
    <row r="30401" spans="1:8">
      <c r="A30401" t="s">
        <v>4</v>
      </c>
      <c r="B30401" s="4" t="s">
        <v>5</v>
      </c>
      <c r="C30401" s="4" t="s">
        <v>7</v>
      </c>
      <c r="D30401" s="4" t="s">
        <v>7</v>
      </c>
      <c r="E30401" s="4" t="s">
        <v>13</v>
      </c>
      <c r="F30401" s="4" t="s">
        <v>13</v>
      </c>
      <c r="G30401" s="4" t="s">
        <v>13</v>
      </c>
      <c r="H30401" s="4" t="s">
        <v>11</v>
      </c>
    </row>
    <row r="30402" spans="1:8">
      <c r="A30402" t="n">
        <v>296299</v>
      </c>
      <c r="B30402" s="51" t="n">
        <v>45</v>
      </c>
      <c r="C30402" s="7" t="n">
        <v>2</v>
      </c>
      <c r="D30402" s="7" t="n">
        <v>3</v>
      </c>
      <c r="E30402" s="7" t="n">
        <v>4.92999982833862</v>
      </c>
      <c r="F30402" s="7" t="n">
        <v>1.46000003814697</v>
      </c>
      <c r="G30402" s="7" t="n">
        <v>45.6699981689453</v>
      </c>
      <c r="H30402" s="7" t="n">
        <v>0</v>
      </c>
    </row>
    <row r="30403" spans="1:8">
      <c r="A30403" t="s">
        <v>4</v>
      </c>
      <c r="B30403" s="4" t="s">
        <v>5</v>
      </c>
      <c r="C30403" s="4" t="s">
        <v>7</v>
      </c>
      <c r="D30403" s="4" t="s">
        <v>7</v>
      </c>
      <c r="E30403" s="4" t="s">
        <v>13</v>
      </c>
      <c r="F30403" s="4" t="s">
        <v>13</v>
      </c>
      <c r="G30403" s="4" t="s">
        <v>13</v>
      </c>
      <c r="H30403" s="4" t="s">
        <v>11</v>
      </c>
      <c r="I30403" s="4" t="s">
        <v>7</v>
      </c>
    </row>
    <row r="30404" spans="1:8">
      <c r="A30404" t="n">
        <v>296316</v>
      </c>
      <c r="B30404" s="51" t="n">
        <v>45</v>
      </c>
      <c r="C30404" s="7" t="n">
        <v>4</v>
      </c>
      <c r="D30404" s="7" t="n">
        <v>3</v>
      </c>
      <c r="E30404" s="7" t="n">
        <v>5.69000005722046</v>
      </c>
      <c r="F30404" s="7" t="n">
        <v>260.239990234375</v>
      </c>
      <c r="G30404" s="7" t="n">
        <v>0</v>
      </c>
      <c r="H30404" s="7" t="n">
        <v>0</v>
      </c>
      <c r="I30404" s="7" t="n">
        <v>0</v>
      </c>
    </row>
    <row r="30405" spans="1:8">
      <c r="A30405" t="s">
        <v>4</v>
      </c>
      <c r="B30405" s="4" t="s">
        <v>5</v>
      </c>
      <c r="C30405" s="4" t="s">
        <v>7</v>
      </c>
      <c r="D30405" s="4" t="s">
        <v>7</v>
      </c>
      <c r="E30405" s="4" t="s">
        <v>13</v>
      </c>
      <c r="F30405" s="4" t="s">
        <v>11</v>
      </c>
    </row>
    <row r="30406" spans="1:8">
      <c r="A30406" t="n">
        <v>296334</v>
      </c>
      <c r="B30406" s="51" t="n">
        <v>45</v>
      </c>
      <c r="C30406" s="7" t="n">
        <v>5</v>
      </c>
      <c r="D30406" s="7" t="n">
        <v>3</v>
      </c>
      <c r="E30406" s="7" t="n">
        <v>1.70000004768372</v>
      </c>
      <c r="F30406" s="7" t="n">
        <v>0</v>
      </c>
    </row>
    <row r="30407" spans="1:8">
      <c r="A30407" t="s">
        <v>4</v>
      </c>
      <c r="B30407" s="4" t="s">
        <v>5</v>
      </c>
      <c r="C30407" s="4" t="s">
        <v>7</v>
      </c>
      <c r="D30407" s="4" t="s">
        <v>7</v>
      </c>
      <c r="E30407" s="4" t="s">
        <v>13</v>
      </c>
      <c r="F30407" s="4" t="s">
        <v>11</v>
      </c>
    </row>
    <row r="30408" spans="1:8">
      <c r="A30408" t="n">
        <v>296343</v>
      </c>
      <c r="B30408" s="51" t="n">
        <v>45</v>
      </c>
      <c r="C30408" s="7" t="n">
        <v>11</v>
      </c>
      <c r="D30408" s="7" t="n">
        <v>3</v>
      </c>
      <c r="E30408" s="7" t="n">
        <v>34</v>
      </c>
      <c r="F30408" s="7" t="n">
        <v>0</v>
      </c>
    </row>
    <row r="30409" spans="1:8">
      <c r="A30409" t="s">
        <v>4</v>
      </c>
      <c r="B30409" s="4" t="s">
        <v>5</v>
      </c>
      <c r="C30409" s="4" t="s">
        <v>7</v>
      </c>
      <c r="D30409" s="4" t="s">
        <v>7</v>
      </c>
      <c r="E30409" s="4" t="s">
        <v>13</v>
      </c>
      <c r="F30409" s="4" t="s">
        <v>13</v>
      </c>
      <c r="G30409" s="4" t="s">
        <v>13</v>
      </c>
      <c r="H30409" s="4" t="s">
        <v>11</v>
      </c>
    </row>
    <row r="30410" spans="1:8">
      <c r="A30410" t="n">
        <v>296352</v>
      </c>
      <c r="B30410" s="51" t="n">
        <v>45</v>
      </c>
      <c r="C30410" s="7" t="n">
        <v>2</v>
      </c>
      <c r="D30410" s="7" t="n">
        <v>3</v>
      </c>
      <c r="E30410" s="7" t="n">
        <v>4.84999990463257</v>
      </c>
      <c r="F30410" s="7" t="n">
        <v>1.4099999666214</v>
      </c>
      <c r="G30410" s="7" t="n">
        <v>45.7999992370605</v>
      </c>
      <c r="H30410" s="7" t="n">
        <v>5500</v>
      </c>
    </row>
    <row r="30411" spans="1:8">
      <c r="A30411" t="s">
        <v>4</v>
      </c>
      <c r="B30411" s="4" t="s">
        <v>5</v>
      </c>
      <c r="C30411" s="4" t="s">
        <v>7</v>
      </c>
      <c r="D30411" s="4" t="s">
        <v>7</v>
      </c>
      <c r="E30411" s="4" t="s">
        <v>13</v>
      </c>
      <c r="F30411" s="4" t="s">
        <v>13</v>
      </c>
      <c r="G30411" s="4" t="s">
        <v>13</v>
      </c>
      <c r="H30411" s="4" t="s">
        <v>11</v>
      </c>
      <c r="I30411" s="4" t="s">
        <v>7</v>
      </c>
    </row>
    <row r="30412" spans="1:8">
      <c r="A30412" t="n">
        <v>296369</v>
      </c>
      <c r="B30412" s="51" t="n">
        <v>45</v>
      </c>
      <c r="C30412" s="7" t="n">
        <v>4</v>
      </c>
      <c r="D30412" s="7" t="n">
        <v>3</v>
      </c>
      <c r="E30412" s="7" t="n">
        <v>5.46999979019165</v>
      </c>
      <c r="F30412" s="7" t="n">
        <v>232.490005493164</v>
      </c>
      <c r="G30412" s="7" t="n">
        <v>0</v>
      </c>
      <c r="H30412" s="7" t="n">
        <v>5500</v>
      </c>
      <c r="I30412" s="7" t="n">
        <v>0</v>
      </c>
    </row>
    <row r="30413" spans="1:8">
      <c r="A30413" t="s">
        <v>4</v>
      </c>
      <c r="B30413" s="4" t="s">
        <v>5</v>
      </c>
      <c r="C30413" s="4" t="s">
        <v>11</v>
      </c>
      <c r="D30413" s="4" t="s">
        <v>7</v>
      </c>
      <c r="E30413" s="4" t="s">
        <v>7</v>
      </c>
      <c r="F30413" s="4" t="s">
        <v>8</v>
      </c>
    </row>
    <row r="30414" spans="1:8">
      <c r="A30414" t="n">
        <v>296387</v>
      </c>
      <c r="B30414" s="50" t="n">
        <v>20</v>
      </c>
      <c r="C30414" s="7" t="n">
        <v>11</v>
      </c>
      <c r="D30414" s="7" t="n">
        <v>2</v>
      </c>
      <c r="E30414" s="7" t="n">
        <v>11</v>
      </c>
      <c r="F30414" s="7" t="s">
        <v>283</v>
      </c>
    </row>
    <row r="30415" spans="1:8">
      <c r="A30415" t="s">
        <v>4</v>
      </c>
      <c r="B30415" s="4" t="s">
        <v>5</v>
      </c>
      <c r="C30415" s="4" t="s">
        <v>7</v>
      </c>
    </row>
    <row r="30416" spans="1:8">
      <c r="A30416" t="n">
        <v>296414</v>
      </c>
      <c r="B30416" s="49" t="n">
        <v>116</v>
      </c>
      <c r="C30416" s="7" t="n">
        <v>0</v>
      </c>
    </row>
    <row r="30417" spans="1:9">
      <c r="A30417" t="s">
        <v>4</v>
      </c>
      <c r="B30417" s="4" t="s">
        <v>5</v>
      </c>
      <c r="C30417" s="4" t="s">
        <v>7</v>
      </c>
      <c r="D30417" s="4" t="s">
        <v>11</v>
      </c>
    </row>
    <row r="30418" spans="1:9">
      <c r="A30418" t="n">
        <v>296416</v>
      </c>
      <c r="B30418" s="49" t="n">
        <v>116</v>
      </c>
      <c r="C30418" s="7" t="n">
        <v>2</v>
      </c>
      <c r="D30418" s="7" t="n">
        <v>1</v>
      </c>
    </row>
    <row r="30419" spans="1:9">
      <c r="A30419" t="s">
        <v>4</v>
      </c>
      <c r="B30419" s="4" t="s">
        <v>5</v>
      </c>
      <c r="C30419" s="4" t="s">
        <v>7</v>
      </c>
      <c r="D30419" s="4" t="s">
        <v>15</v>
      </c>
    </row>
    <row r="30420" spans="1:9">
      <c r="A30420" t="n">
        <v>296420</v>
      </c>
      <c r="B30420" s="49" t="n">
        <v>116</v>
      </c>
      <c r="C30420" s="7" t="n">
        <v>5</v>
      </c>
      <c r="D30420" s="7" t="n">
        <v>1084227584</v>
      </c>
    </row>
    <row r="30421" spans="1:9">
      <c r="A30421" t="s">
        <v>4</v>
      </c>
      <c r="B30421" s="4" t="s">
        <v>5</v>
      </c>
      <c r="C30421" s="4" t="s">
        <v>7</v>
      </c>
      <c r="D30421" s="4" t="s">
        <v>11</v>
      </c>
    </row>
    <row r="30422" spans="1:9">
      <c r="A30422" t="n">
        <v>296426</v>
      </c>
      <c r="B30422" s="49" t="n">
        <v>116</v>
      </c>
      <c r="C30422" s="7" t="n">
        <v>6</v>
      </c>
      <c r="D30422" s="7" t="n">
        <v>1</v>
      </c>
    </row>
    <row r="30423" spans="1:9">
      <c r="A30423" t="s">
        <v>4</v>
      </c>
      <c r="B30423" s="4" t="s">
        <v>5</v>
      </c>
      <c r="C30423" s="4" t="s">
        <v>7</v>
      </c>
      <c r="D30423" s="4" t="s">
        <v>11</v>
      </c>
    </row>
    <row r="30424" spans="1:9">
      <c r="A30424" t="n">
        <v>296430</v>
      </c>
      <c r="B30424" s="23" t="n">
        <v>58</v>
      </c>
      <c r="C30424" s="7" t="n">
        <v>255</v>
      </c>
      <c r="D30424" s="7" t="n">
        <v>0</v>
      </c>
    </row>
    <row r="30425" spans="1:9">
      <c r="A30425" t="s">
        <v>4</v>
      </c>
      <c r="B30425" s="4" t="s">
        <v>5</v>
      </c>
      <c r="C30425" s="4" t="s">
        <v>11</v>
      </c>
    </row>
    <row r="30426" spans="1:9">
      <c r="A30426" t="n">
        <v>296434</v>
      </c>
      <c r="B30426" s="29" t="n">
        <v>16</v>
      </c>
      <c r="C30426" s="7" t="n">
        <v>800</v>
      </c>
    </row>
    <row r="30427" spans="1:9">
      <c r="A30427" t="s">
        <v>4</v>
      </c>
      <c r="B30427" s="4" t="s">
        <v>5</v>
      </c>
      <c r="C30427" s="4" t="s">
        <v>8</v>
      </c>
      <c r="D30427" s="4" t="s">
        <v>8</v>
      </c>
    </row>
    <row r="30428" spans="1:9">
      <c r="A30428" t="n">
        <v>296437</v>
      </c>
      <c r="B30428" s="52" t="n">
        <v>70</v>
      </c>
      <c r="C30428" s="7" t="s">
        <v>279</v>
      </c>
      <c r="D30428" s="7" t="s">
        <v>284</v>
      </c>
    </row>
    <row r="30429" spans="1:9">
      <c r="A30429" t="s">
        <v>4</v>
      </c>
      <c r="B30429" s="4" t="s">
        <v>5</v>
      </c>
      <c r="C30429" s="4" t="s">
        <v>7</v>
      </c>
      <c r="D30429" s="4" t="s">
        <v>11</v>
      </c>
    </row>
    <row r="30430" spans="1:9">
      <c r="A30430" t="n">
        <v>296455</v>
      </c>
      <c r="B30430" s="51" t="n">
        <v>45</v>
      </c>
      <c r="C30430" s="7" t="n">
        <v>7</v>
      </c>
      <c r="D30430" s="7" t="n">
        <v>255</v>
      </c>
    </row>
    <row r="30431" spans="1:9">
      <c r="A30431" t="s">
        <v>4</v>
      </c>
      <c r="B30431" s="4" t="s">
        <v>5</v>
      </c>
      <c r="C30431" s="4" t="s">
        <v>7</v>
      </c>
      <c r="D30431" s="4" t="s">
        <v>11</v>
      </c>
      <c r="E30431" s="4" t="s">
        <v>8</v>
      </c>
    </row>
    <row r="30432" spans="1:9">
      <c r="A30432" t="n">
        <v>296459</v>
      </c>
      <c r="B30432" s="38" t="n">
        <v>51</v>
      </c>
      <c r="C30432" s="7" t="n">
        <v>4</v>
      </c>
      <c r="D30432" s="7" t="n">
        <v>0</v>
      </c>
      <c r="E30432" s="7" t="s">
        <v>173</v>
      </c>
    </row>
    <row r="30433" spans="1:5">
      <c r="A30433" t="s">
        <v>4</v>
      </c>
      <c r="B30433" s="4" t="s">
        <v>5</v>
      </c>
      <c r="C30433" s="4" t="s">
        <v>11</v>
      </c>
    </row>
    <row r="30434" spans="1:5">
      <c r="A30434" t="n">
        <v>296472</v>
      </c>
      <c r="B30434" s="29" t="n">
        <v>16</v>
      </c>
      <c r="C30434" s="7" t="n">
        <v>0</v>
      </c>
    </row>
    <row r="30435" spans="1:5">
      <c r="A30435" t="s">
        <v>4</v>
      </c>
      <c r="B30435" s="4" t="s">
        <v>5</v>
      </c>
      <c r="C30435" s="4" t="s">
        <v>11</v>
      </c>
      <c r="D30435" s="4" t="s">
        <v>7</v>
      </c>
      <c r="E30435" s="4" t="s">
        <v>15</v>
      </c>
      <c r="F30435" s="4" t="s">
        <v>55</v>
      </c>
      <c r="G30435" s="4" t="s">
        <v>7</v>
      </c>
      <c r="H30435" s="4" t="s">
        <v>7</v>
      </c>
      <c r="I30435" s="4" t="s">
        <v>7</v>
      </c>
      <c r="J30435" s="4" t="s">
        <v>15</v>
      </c>
      <c r="K30435" s="4" t="s">
        <v>55</v>
      </c>
      <c r="L30435" s="4" t="s">
        <v>7</v>
      </c>
      <c r="M30435" s="4" t="s">
        <v>7</v>
      </c>
    </row>
    <row r="30436" spans="1:5">
      <c r="A30436" t="n">
        <v>296475</v>
      </c>
      <c r="B30436" s="55" t="n">
        <v>26</v>
      </c>
      <c r="C30436" s="7" t="n">
        <v>0</v>
      </c>
      <c r="D30436" s="7" t="n">
        <v>17</v>
      </c>
      <c r="E30436" s="7" t="n">
        <v>63984</v>
      </c>
      <c r="F30436" s="7" t="s">
        <v>705</v>
      </c>
      <c r="G30436" s="7" t="n">
        <v>2</v>
      </c>
      <c r="H30436" s="7" t="n">
        <v>3</v>
      </c>
      <c r="I30436" s="7" t="n">
        <v>17</v>
      </c>
      <c r="J30436" s="7" t="n">
        <v>63985</v>
      </c>
      <c r="K30436" s="7" t="s">
        <v>706</v>
      </c>
      <c r="L30436" s="7" t="n">
        <v>2</v>
      </c>
      <c r="M30436" s="7" t="n">
        <v>0</v>
      </c>
    </row>
    <row r="30437" spans="1:5">
      <c r="A30437" t="s">
        <v>4</v>
      </c>
      <c r="B30437" s="4" t="s">
        <v>5</v>
      </c>
    </row>
    <row r="30438" spans="1:5">
      <c r="A30438" t="n">
        <v>296609</v>
      </c>
      <c r="B30438" s="27" t="n">
        <v>28</v>
      </c>
    </row>
    <row r="30439" spans="1:5">
      <c r="A30439" t="s">
        <v>4</v>
      </c>
      <c r="B30439" s="4" t="s">
        <v>5</v>
      </c>
      <c r="C30439" s="4" t="s">
        <v>7</v>
      </c>
      <c r="D30439" s="4" t="s">
        <v>11</v>
      </c>
      <c r="E30439" s="4" t="s">
        <v>13</v>
      </c>
    </row>
    <row r="30440" spans="1:5">
      <c r="A30440" t="n">
        <v>296610</v>
      </c>
      <c r="B30440" s="23" t="n">
        <v>58</v>
      </c>
      <c r="C30440" s="7" t="n">
        <v>101</v>
      </c>
      <c r="D30440" s="7" t="n">
        <v>500</v>
      </c>
      <c r="E30440" s="7" t="n">
        <v>1</v>
      </c>
    </row>
    <row r="30441" spans="1:5">
      <c r="A30441" t="s">
        <v>4</v>
      </c>
      <c r="B30441" s="4" t="s">
        <v>5</v>
      </c>
      <c r="C30441" s="4" t="s">
        <v>7</v>
      </c>
      <c r="D30441" s="4" t="s">
        <v>11</v>
      </c>
    </row>
    <row r="30442" spans="1:5">
      <c r="A30442" t="n">
        <v>296618</v>
      </c>
      <c r="B30442" s="23" t="n">
        <v>58</v>
      </c>
      <c r="C30442" s="7" t="n">
        <v>254</v>
      </c>
      <c r="D30442" s="7" t="n">
        <v>0</v>
      </c>
    </row>
    <row r="30443" spans="1:5">
      <c r="A30443" t="s">
        <v>4</v>
      </c>
      <c r="B30443" s="4" t="s">
        <v>5</v>
      </c>
      <c r="C30443" s="4" t="s">
        <v>7</v>
      </c>
      <c r="D30443" s="4" t="s">
        <v>7</v>
      </c>
      <c r="E30443" s="4" t="s">
        <v>13</v>
      </c>
      <c r="F30443" s="4" t="s">
        <v>13</v>
      </c>
      <c r="G30443" s="4" t="s">
        <v>13</v>
      </c>
      <c r="H30443" s="4" t="s">
        <v>11</v>
      </c>
    </row>
    <row r="30444" spans="1:5">
      <c r="A30444" t="n">
        <v>296622</v>
      </c>
      <c r="B30444" s="51" t="n">
        <v>45</v>
      </c>
      <c r="C30444" s="7" t="n">
        <v>2</v>
      </c>
      <c r="D30444" s="7" t="n">
        <v>3</v>
      </c>
      <c r="E30444" s="7" t="n">
        <v>4.96999979019165</v>
      </c>
      <c r="F30444" s="7" t="n">
        <v>1.45000004768372</v>
      </c>
      <c r="G30444" s="7" t="n">
        <v>46.3800010681152</v>
      </c>
      <c r="H30444" s="7" t="n">
        <v>0</v>
      </c>
    </row>
    <row r="30445" spans="1:5">
      <c r="A30445" t="s">
        <v>4</v>
      </c>
      <c r="B30445" s="4" t="s">
        <v>5</v>
      </c>
      <c r="C30445" s="4" t="s">
        <v>7</v>
      </c>
      <c r="D30445" s="4" t="s">
        <v>7</v>
      </c>
      <c r="E30445" s="4" t="s">
        <v>13</v>
      </c>
      <c r="F30445" s="4" t="s">
        <v>13</v>
      </c>
      <c r="G30445" s="4" t="s">
        <v>13</v>
      </c>
      <c r="H30445" s="4" t="s">
        <v>11</v>
      </c>
      <c r="I30445" s="4" t="s">
        <v>7</v>
      </c>
    </row>
    <row r="30446" spans="1:5">
      <c r="A30446" t="n">
        <v>296639</v>
      </c>
      <c r="B30446" s="51" t="n">
        <v>45</v>
      </c>
      <c r="C30446" s="7" t="n">
        <v>4</v>
      </c>
      <c r="D30446" s="7" t="n">
        <v>3</v>
      </c>
      <c r="E30446" s="7" t="n">
        <v>8.30000019073486</v>
      </c>
      <c r="F30446" s="7" t="n">
        <v>213.210006713867</v>
      </c>
      <c r="G30446" s="7" t="n">
        <v>0</v>
      </c>
      <c r="H30446" s="7" t="n">
        <v>0</v>
      </c>
      <c r="I30446" s="7" t="n">
        <v>0</v>
      </c>
    </row>
    <row r="30447" spans="1:5">
      <c r="A30447" t="s">
        <v>4</v>
      </c>
      <c r="B30447" s="4" t="s">
        <v>5</v>
      </c>
      <c r="C30447" s="4" t="s">
        <v>7</v>
      </c>
      <c r="D30447" s="4" t="s">
        <v>7</v>
      </c>
      <c r="E30447" s="4" t="s">
        <v>13</v>
      </c>
      <c r="F30447" s="4" t="s">
        <v>11</v>
      </c>
    </row>
    <row r="30448" spans="1:5">
      <c r="A30448" t="n">
        <v>296657</v>
      </c>
      <c r="B30448" s="51" t="n">
        <v>45</v>
      </c>
      <c r="C30448" s="7" t="n">
        <v>5</v>
      </c>
      <c r="D30448" s="7" t="n">
        <v>3</v>
      </c>
      <c r="E30448" s="7" t="n">
        <v>1</v>
      </c>
      <c r="F30448" s="7" t="n">
        <v>0</v>
      </c>
    </row>
    <row r="30449" spans="1:13">
      <c r="A30449" t="s">
        <v>4</v>
      </c>
      <c r="B30449" s="4" t="s">
        <v>5</v>
      </c>
      <c r="C30449" s="4" t="s">
        <v>7</v>
      </c>
      <c r="D30449" s="4" t="s">
        <v>7</v>
      </c>
      <c r="E30449" s="4" t="s">
        <v>13</v>
      </c>
      <c r="F30449" s="4" t="s">
        <v>11</v>
      </c>
    </row>
    <row r="30450" spans="1:13">
      <c r="A30450" t="n">
        <v>296666</v>
      </c>
      <c r="B30450" s="51" t="n">
        <v>45</v>
      </c>
      <c r="C30450" s="7" t="n">
        <v>11</v>
      </c>
      <c r="D30450" s="7" t="n">
        <v>3</v>
      </c>
      <c r="E30450" s="7" t="n">
        <v>34</v>
      </c>
      <c r="F30450" s="7" t="n">
        <v>0</v>
      </c>
    </row>
    <row r="30451" spans="1:13">
      <c r="A30451" t="s">
        <v>4</v>
      </c>
      <c r="B30451" s="4" t="s">
        <v>5</v>
      </c>
      <c r="C30451" s="4" t="s">
        <v>7</v>
      </c>
      <c r="D30451" s="4" t="s">
        <v>11</v>
      </c>
    </row>
    <row r="30452" spans="1:13">
      <c r="A30452" t="n">
        <v>296675</v>
      </c>
      <c r="B30452" s="23" t="n">
        <v>58</v>
      </c>
      <c r="C30452" s="7" t="n">
        <v>255</v>
      </c>
      <c r="D30452" s="7" t="n">
        <v>0</v>
      </c>
    </row>
    <row r="30453" spans="1:13">
      <c r="A30453" t="s">
        <v>4</v>
      </c>
      <c r="B30453" s="4" t="s">
        <v>5</v>
      </c>
      <c r="C30453" s="4" t="s">
        <v>7</v>
      </c>
      <c r="D30453" s="4" t="s">
        <v>11</v>
      </c>
      <c r="E30453" s="4" t="s">
        <v>8</v>
      </c>
    </row>
    <row r="30454" spans="1:13">
      <c r="A30454" t="n">
        <v>296679</v>
      </c>
      <c r="B30454" s="38" t="n">
        <v>51</v>
      </c>
      <c r="C30454" s="7" t="n">
        <v>4</v>
      </c>
      <c r="D30454" s="7" t="n">
        <v>11</v>
      </c>
      <c r="E30454" s="7" t="s">
        <v>192</v>
      </c>
    </row>
    <row r="30455" spans="1:13">
      <c r="A30455" t="s">
        <v>4</v>
      </c>
      <c r="B30455" s="4" t="s">
        <v>5</v>
      </c>
      <c r="C30455" s="4" t="s">
        <v>11</v>
      </c>
    </row>
    <row r="30456" spans="1:13">
      <c r="A30456" t="n">
        <v>296692</v>
      </c>
      <c r="B30456" s="29" t="n">
        <v>16</v>
      </c>
      <c r="C30456" s="7" t="n">
        <v>0</v>
      </c>
    </row>
    <row r="30457" spans="1:13">
      <c r="A30457" t="s">
        <v>4</v>
      </c>
      <c r="B30457" s="4" t="s">
        <v>5</v>
      </c>
      <c r="C30457" s="4" t="s">
        <v>11</v>
      </c>
      <c r="D30457" s="4" t="s">
        <v>7</v>
      </c>
      <c r="E30457" s="4" t="s">
        <v>15</v>
      </c>
      <c r="F30457" s="4" t="s">
        <v>55</v>
      </c>
      <c r="G30457" s="4" t="s">
        <v>7</v>
      </c>
      <c r="H30457" s="4" t="s">
        <v>7</v>
      </c>
      <c r="I30457" s="4" t="s">
        <v>7</v>
      </c>
      <c r="J30457" s="4" t="s">
        <v>15</v>
      </c>
      <c r="K30457" s="4" t="s">
        <v>55</v>
      </c>
      <c r="L30457" s="4" t="s">
        <v>7</v>
      </c>
      <c r="M30457" s="4" t="s">
        <v>7</v>
      </c>
    </row>
    <row r="30458" spans="1:13">
      <c r="A30458" t="n">
        <v>296695</v>
      </c>
      <c r="B30458" s="55" t="n">
        <v>26</v>
      </c>
      <c r="C30458" s="7" t="n">
        <v>11</v>
      </c>
      <c r="D30458" s="7" t="n">
        <v>17</v>
      </c>
      <c r="E30458" s="7" t="n">
        <v>63986</v>
      </c>
      <c r="F30458" s="7" t="s">
        <v>707</v>
      </c>
      <c r="G30458" s="7" t="n">
        <v>2</v>
      </c>
      <c r="H30458" s="7" t="n">
        <v>3</v>
      </c>
      <c r="I30458" s="7" t="n">
        <v>17</v>
      </c>
      <c r="J30458" s="7" t="n">
        <v>63987</v>
      </c>
      <c r="K30458" s="7" t="s">
        <v>708</v>
      </c>
      <c r="L30458" s="7" t="n">
        <v>2</v>
      </c>
      <c r="M30458" s="7" t="n">
        <v>0</v>
      </c>
    </row>
    <row r="30459" spans="1:13">
      <c r="A30459" t="s">
        <v>4</v>
      </c>
      <c r="B30459" s="4" t="s">
        <v>5</v>
      </c>
    </row>
    <row r="30460" spans="1:13">
      <c r="A30460" t="n">
        <v>296861</v>
      </c>
      <c r="B30460" s="27" t="n">
        <v>28</v>
      </c>
    </row>
    <row r="30461" spans="1:13">
      <c r="A30461" t="s">
        <v>4</v>
      </c>
      <c r="B30461" s="4" t="s">
        <v>5</v>
      </c>
      <c r="C30461" s="4" t="s">
        <v>7</v>
      </c>
      <c r="D30461" s="4" t="s">
        <v>11</v>
      </c>
      <c r="E30461" s="4" t="s">
        <v>8</v>
      </c>
      <c r="F30461" s="4" t="s">
        <v>8</v>
      </c>
      <c r="G30461" s="4" t="s">
        <v>8</v>
      </c>
      <c r="H30461" s="4" t="s">
        <v>8</v>
      </c>
    </row>
    <row r="30462" spans="1:13">
      <c r="A30462" t="n">
        <v>296862</v>
      </c>
      <c r="B30462" s="38" t="n">
        <v>51</v>
      </c>
      <c r="C30462" s="7" t="n">
        <v>3</v>
      </c>
      <c r="D30462" s="7" t="n">
        <v>11</v>
      </c>
      <c r="E30462" s="7" t="s">
        <v>295</v>
      </c>
      <c r="F30462" s="7" t="s">
        <v>79</v>
      </c>
      <c r="G30462" s="7" t="s">
        <v>78</v>
      </c>
      <c r="H30462" s="7" t="s">
        <v>79</v>
      </c>
    </row>
    <row r="30463" spans="1:13">
      <c r="A30463" t="s">
        <v>4</v>
      </c>
      <c r="B30463" s="4" t="s">
        <v>5</v>
      </c>
      <c r="C30463" s="4" t="s">
        <v>11</v>
      </c>
      <c r="D30463" s="4" t="s">
        <v>13</v>
      </c>
      <c r="E30463" s="4" t="s">
        <v>13</v>
      </c>
      <c r="F30463" s="4" t="s">
        <v>13</v>
      </c>
      <c r="G30463" s="4" t="s">
        <v>11</v>
      </c>
      <c r="H30463" s="4" t="s">
        <v>11</v>
      </c>
    </row>
    <row r="30464" spans="1:13">
      <c r="A30464" t="n">
        <v>296875</v>
      </c>
      <c r="B30464" s="37" t="n">
        <v>60</v>
      </c>
      <c r="C30464" s="7" t="n">
        <v>11</v>
      </c>
      <c r="D30464" s="7" t="n">
        <v>-45</v>
      </c>
      <c r="E30464" s="7" t="n">
        <v>0</v>
      </c>
      <c r="F30464" s="7" t="n">
        <v>0</v>
      </c>
      <c r="G30464" s="7" t="n">
        <v>1000</v>
      </c>
      <c r="H30464" s="7" t="n">
        <v>0</v>
      </c>
    </row>
    <row r="30465" spans="1:13">
      <c r="A30465" t="s">
        <v>4</v>
      </c>
      <c r="B30465" s="4" t="s">
        <v>5</v>
      </c>
      <c r="C30465" s="4" t="s">
        <v>11</v>
      </c>
    </row>
    <row r="30466" spans="1:13">
      <c r="A30466" t="n">
        <v>296894</v>
      </c>
      <c r="B30466" s="29" t="n">
        <v>16</v>
      </c>
      <c r="C30466" s="7" t="n">
        <v>1000</v>
      </c>
    </row>
    <row r="30467" spans="1:13">
      <c r="A30467" t="s">
        <v>4</v>
      </c>
      <c r="B30467" s="4" t="s">
        <v>5</v>
      </c>
      <c r="C30467" s="4" t="s">
        <v>7</v>
      </c>
      <c r="D30467" s="4" t="s">
        <v>11</v>
      </c>
      <c r="E30467" s="4" t="s">
        <v>8</v>
      </c>
      <c r="F30467" s="4" t="s">
        <v>8</v>
      </c>
      <c r="G30467" s="4" t="s">
        <v>8</v>
      </c>
      <c r="H30467" s="4" t="s">
        <v>8</v>
      </c>
    </row>
    <row r="30468" spans="1:13">
      <c r="A30468" t="n">
        <v>296897</v>
      </c>
      <c r="B30468" s="38" t="n">
        <v>51</v>
      </c>
      <c r="C30468" s="7" t="n">
        <v>3</v>
      </c>
      <c r="D30468" s="7" t="n">
        <v>11</v>
      </c>
      <c r="E30468" s="7" t="s">
        <v>296</v>
      </c>
      <c r="F30468" s="7" t="s">
        <v>79</v>
      </c>
      <c r="G30468" s="7" t="s">
        <v>78</v>
      </c>
      <c r="H30468" s="7" t="s">
        <v>79</v>
      </c>
    </row>
    <row r="30469" spans="1:13">
      <c r="A30469" t="s">
        <v>4</v>
      </c>
      <c r="B30469" s="4" t="s">
        <v>5</v>
      </c>
      <c r="C30469" s="4" t="s">
        <v>11</v>
      </c>
      <c r="D30469" s="4" t="s">
        <v>13</v>
      </c>
      <c r="E30469" s="4" t="s">
        <v>13</v>
      </c>
      <c r="F30469" s="4" t="s">
        <v>13</v>
      </c>
      <c r="G30469" s="4" t="s">
        <v>11</v>
      </c>
      <c r="H30469" s="4" t="s">
        <v>11</v>
      </c>
    </row>
    <row r="30470" spans="1:13">
      <c r="A30470" t="n">
        <v>296911</v>
      </c>
      <c r="B30470" s="37" t="n">
        <v>60</v>
      </c>
      <c r="C30470" s="7" t="n">
        <v>11</v>
      </c>
      <c r="D30470" s="7" t="n">
        <v>45</v>
      </c>
      <c r="E30470" s="7" t="n">
        <v>0</v>
      </c>
      <c r="F30470" s="7" t="n">
        <v>0</v>
      </c>
      <c r="G30470" s="7" t="n">
        <v>1000</v>
      </c>
      <c r="H30470" s="7" t="n">
        <v>0</v>
      </c>
    </row>
    <row r="30471" spans="1:13">
      <c r="A30471" t="s">
        <v>4</v>
      </c>
      <c r="B30471" s="4" t="s">
        <v>5</v>
      </c>
      <c r="C30471" s="4" t="s">
        <v>11</v>
      </c>
    </row>
    <row r="30472" spans="1:13">
      <c r="A30472" t="n">
        <v>296930</v>
      </c>
      <c r="B30472" s="29" t="n">
        <v>16</v>
      </c>
      <c r="C30472" s="7" t="n">
        <v>1200</v>
      </c>
    </row>
    <row r="30473" spans="1:13">
      <c r="A30473" t="s">
        <v>4</v>
      </c>
      <c r="B30473" s="4" t="s">
        <v>5</v>
      </c>
      <c r="C30473" s="4" t="s">
        <v>7</v>
      </c>
      <c r="D30473" s="4" t="s">
        <v>11</v>
      </c>
      <c r="E30473" s="4" t="s">
        <v>8</v>
      </c>
      <c r="F30473" s="4" t="s">
        <v>8</v>
      </c>
      <c r="G30473" s="4" t="s">
        <v>8</v>
      </c>
      <c r="H30473" s="4" t="s">
        <v>8</v>
      </c>
    </row>
    <row r="30474" spans="1:13">
      <c r="A30474" t="n">
        <v>296933</v>
      </c>
      <c r="B30474" s="38" t="n">
        <v>51</v>
      </c>
      <c r="C30474" s="7" t="n">
        <v>3</v>
      </c>
      <c r="D30474" s="7" t="n">
        <v>11</v>
      </c>
      <c r="E30474" s="7" t="s">
        <v>319</v>
      </c>
      <c r="F30474" s="7" t="s">
        <v>79</v>
      </c>
      <c r="G30474" s="7" t="s">
        <v>78</v>
      </c>
      <c r="H30474" s="7" t="s">
        <v>79</v>
      </c>
    </row>
    <row r="30475" spans="1:13">
      <c r="A30475" t="s">
        <v>4</v>
      </c>
      <c r="B30475" s="4" t="s">
        <v>5</v>
      </c>
      <c r="C30475" s="4" t="s">
        <v>11</v>
      </c>
      <c r="D30475" s="4" t="s">
        <v>13</v>
      </c>
      <c r="E30475" s="4" t="s">
        <v>13</v>
      </c>
      <c r="F30475" s="4" t="s">
        <v>13</v>
      </c>
      <c r="G30475" s="4" t="s">
        <v>11</v>
      </c>
      <c r="H30475" s="4" t="s">
        <v>11</v>
      </c>
    </row>
    <row r="30476" spans="1:13">
      <c r="A30476" t="n">
        <v>296946</v>
      </c>
      <c r="B30476" s="37" t="n">
        <v>60</v>
      </c>
      <c r="C30476" s="7" t="n">
        <v>11</v>
      </c>
      <c r="D30476" s="7" t="n">
        <v>0</v>
      </c>
      <c r="E30476" s="7" t="n">
        <v>0</v>
      </c>
      <c r="F30476" s="7" t="n">
        <v>0</v>
      </c>
      <c r="G30476" s="7" t="n">
        <v>1000</v>
      </c>
      <c r="H30476" s="7" t="n">
        <v>0</v>
      </c>
    </row>
    <row r="30477" spans="1:13">
      <c r="A30477" t="s">
        <v>4</v>
      </c>
      <c r="B30477" s="4" t="s">
        <v>5</v>
      </c>
      <c r="C30477" s="4" t="s">
        <v>11</v>
      </c>
    </row>
    <row r="30478" spans="1:13">
      <c r="A30478" t="n">
        <v>296965</v>
      </c>
      <c r="B30478" s="29" t="n">
        <v>16</v>
      </c>
      <c r="C30478" s="7" t="n">
        <v>1000</v>
      </c>
    </row>
    <row r="30479" spans="1:13">
      <c r="A30479" t="s">
        <v>4</v>
      </c>
      <c r="B30479" s="4" t="s">
        <v>5</v>
      </c>
      <c r="C30479" s="4" t="s">
        <v>7</v>
      </c>
      <c r="D30479" s="4" t="s">
        <v>11</v>
      </c>
      <c r="E30479" s="4" t="s">
        <v>8</v>
      </c>
    </row>
    <row r="30480" spans="1:13">
      <c r="A30480" t="n">
        <v>296968</v>
      </c>
      <c r="B30480" s="38" t="n">
        <v>51</v>
      </c>
      <c r="C30480" s="7" t="n">
        <v>4</v>
      </c>
      <c r="D30480" s="7" t="n">
        <v>11</v>
      </c>
      <c r="E30480" s="7" t="s">
        <v>709</v>
      </c>
    </row>
    <row r="30481" spans="1:8">
      <c r="A30481" t="s">
        <v>4</v>
      </c>
      <c r="B30481" s="4" t="s">
        <v>5</v>
      </c>
      <c r="C30481" s="4" t="s">
        <v>11</v>
      </c>
    </row>
    <row r="30482" spans="1:8">
      <c r="A30482" t="n">
        <v>296982</v>
      </c>
      <c r="B30482" s="29" t="n">
        <v>16</v>
      </c>
      <c r="C30482" s="7" t="n">
        <v>0</v>
      </c>
    </row>
    <row r="30483" spans="1:8">
      <c r="A30483" t="s">
        <v>4</v>
      </c>
      <c r="B30483" s="4" t="s">
        <v>5</v>
      </c>
      <c r="C30483" s="4" t="s">
        <v>11</v>
      </c>
      <c r="D30483" s="4" t="s">
        <v>7</v>
      </c>
      <c r="E30483" s="4" t="s">
        <v>15</v>
      </c>
      <c r="F30483" s="4" t="s">
        <v>55</v>
      </c>
      <c r="G30483" s="4" t="s">
        <v>7</v>
      </c>
      <c r="H30483" s="4" t="s">
        <v>7</v>
      </c>
      <c r="I30483" s="4" t="s">
        <v>7</v>
      </c>
      <c r="J30483" s="4" t="s">
        <v>15</v>
      </c>
      <c r="K30483" s="4" t="s">
        <v>55</v>
      </c>
      <c r="L30483" s="4" t="s">
        <v>7</v>
      </c>
      <c r="M30483" s="4" t="s">
        <v>7</v>
      </c>
      <c r="N30483" s="4" t="s">
        <v>7</v>
      </c>
      <c r="O30483" s="4" t="s">
        <v>15</v>
      </c>
      <c r="P30483" s="4" t="s">
        <v>55</v>
      </c>
      <c r="Q30483" s="4" t="s">
        <v>7</v>
      </c>
      <c r="R30483" s="4" t="s">
        <v>7</v>
      </c>
    </row>
    <row r="30484" spans="1:8">
      <c r="A30484" t="n">
        <v>296985</v>
      </c>
      <c r="B30484" s="55" t="n">
        <v>26</v>
      </c>
      <c r="C30484" s="7" t="n">
        <v>11</v>
      </c>
      <c r="D30484" s="7" t="n">
        <v>17</v>
      </c>
      <c r="E30484" s="7" t="n">
        <v>63988</v>
      </c>
      <c r="F30484" s="7" t="s">
        <v>710</v>
      </c>
      <c r="G30484" s="7" t="n">
        <v>2</v>
      </c>
      <c r="H30484" s="7" t="n">
        <v>3</v>
      </c>
      <c r="I30484" s="7" t="n">
        <v>17</v>
      </c>
      <c r="J30484" s="7" t="n">
        <v>63989</v>
      </c>
      <c r="K30484" s="7" t="s">
        <v>711</v>
      </c>
      <c r="L30484" s="7" t="n">
        <v>2</v>
      </c>
      <c r="M30484" s="7" t="n">
        <v>3</v>
      </c>
      <c r="N30484" s="7" t="n">
        <v>17</v>
      </c>
      <c r="O30484" s="7" t="n">
        <v>63990</v>
      </c>
      <c r="P30484" s="7" t="s">
        <v>712</v>
      </c>
      <c r="Q30484" s="7" t="n">
        <v>2</v>
      </c>
      <c r="R30484" s="7" t="n">
        <v>0</v>
      </c>
    </row>
    <row r="30485" spans="1:8">
      <c r="A30485" t="s">
        <v>4</v>
      </c>
      <c r="B30485" s="4" t="s">
        <v>5</v>
      </c>
    </row>
    <row r="30486" spans="1:8">
      <c r="A30486" t="n">
        <v>297254</v>
      </c>
      <c r="B30486" s="27" t="n">
        <v>28</v>
      </c>
    </row>
    <row r="30487" spans="1:8">
      <c r="A30487" t="s">
        <v>4</v>
      </c>
      <c r="B30487" s="4" t="s">
        <v>5</v>
      </c>
      <c r="C30487" s="4" t="s">
        <v>7</v>
      </c>
      <c r="D30487" s="4" t="s">
        <v>11</v>
      </c>
      <c r="E30487" s="4" t="s">
        <v>8</v>
      </c>
    </row>
    <row r="30488" spans="1:8">
      <c r="A30488" t="n">
        <v>297255</v>
      </c>
      <c r="B30488" s="38" t="n">
        <v>51</v>
      </c>
      <c r="C30488" s="7" t="n">
        <v>4</v>
      </c>
      <c r="D30488" s="7" t="n">
        <v>0</v>
      </c>
      <c r="E30488" s="7" t="s">
        <v>173</v>
      </c>
    </row>
    <row r="30489" spans="1:8">
      <c r="A30489" t="s">
        <v>4</v>
      </c>
      <c r="B30489" s="4" t="s">
        <v>5</v>
      </c>
      <c r="C30489" s="4" t="s">
        <v>11</v>
      </c>
    </row>
    <row r="30490" spans="1:8">
      <c r="A30490" t="n">
        <v>297268</v>
      </c>
      <c r="B30490" s="29" t="n">
        <v>16</v>
      </c>
      <c r="C30490" s="7" t="n">
        <v>0</v>
      </c>
    </row>
    <row r="30491" spans="1:8">
      <c r="A30491" t="s">
        <v>4</v>
      </c>
      <c r="B30491" s="4" t="s">
        <v>5</v>
      </c>
      <c r="C30491" s="4" t="s">
        <v>11</v>
      </c>
      <c r="D30491" s="4" t="s">
        <v>7</v>
      </c>
      <c r="E30491" s="4" t="s">
        <v>15</v>
      </c>
      <c r="F30491" s="4" t="s">
        <v>55</v>
      </c>
      <c r="G30491" s="4" t="s">
        <v>7</v>
      </c>
      <c r="H30491" s="4" t="s">
        <v>7</v>
      </c>
      <c r="I30491" s="4" t="s">
        <v>7</v>
      </c>
      <c r="J30491" s="4" t="s">
        <v>15</v>
      </c>
      <c r="K30491" s="4" t="s">
        <v>55</v>
      </c>
      <c r="L30491" s="4" t="s">
        <v>7</v>
      </c>
      <c r="M30491" s="4" t="s">
        <v>7</v>
      </c>
      <c r="N30491" s="4" t="s">
        <v>7</v>
      </c>
      <c r="O30491" s="4" t="s">
        <v>15</v>
      </c>
      <c r="P30491" s="4" t="s">
        <v>55</v>
      </c>
      <c r="Q30491" s="4" t="s">
        <v>7</v>
      </c>
      <c r="R30491" s="4" t="s">
        <v>7</v>
      </c>
    </row>
    <row r="30492" spans="1:8">
      <c r="A30492" t="n">
        <v>297271</v>
      </c>
      <c r="B30492" s="55" t="n">
        <v>26</v>
      </c>
      <c r="C30492" s="7" t="n">
        <v>0</v>
      </c>
      <c r="D30492" s="7" t="n">
        <v>17</v>
      </c>
      <c r="E30492" s="7" t="n">
        <v>63991</v>
      </c>
      <c r="F30492" s="7" t="s">
        <v>713</v>
      </c>
      <c r="G30492" s="7" t="n">
        <v>2</v>
      </c>
      <c r="H30492" s="7" t="n">
        <v>3</v>
      </c>
      <c r="I30492" s="7" t="n">
        <v>17</v>
      </c>
      <c r="J30492" s="7" t="n">
        <v>63992</v>
      </c>
      <c r="K30492" s="7" t="s">
        <v>714</v>
      </c>
      <c r="L30492" s="7" t="n">
        <v>2</v>
      </c>
      <c r="M30492" s="7" t="n">
        <v>3</v>
      </c>
      <c r="N30492" s="7" t="n">
        <v>17</v>
      </c>
      <c r="O30492" s="7" t="n">
        <v>63993</v>
      </c>
      <c r="P30492" s="7" t="s">
        <v>715</v>
      </c>
      <c r="Q30492" s="7" t="n">
        <v>2</v>
      </c>
      <c r="R30492" s="7" t="n">
        <v>0</v>
      </c>
    </row>
    <row r="30493" spans="1:8">
      <c r="A30493" t="s">
        <v>4</v>
      </c>
      <c r="B30493" s="4" t="s">
        <v>5</v>
      </c>
    </row>
    <row r="30494" spans="1:8">
      <c r="A30494" t="n">
        <v>297516</v>
      </c>
      <c r="B30494" s="27" t="n">
        <v>28</v>
      </c>
    </row>
    <row r="30495" spans="1:8">
      <c r="A30495" t="s">
        <v>4</v>
      </c>
      <c r="B30495" s="4" t="s">
        <v>5</v>
      </c>
      <c r="C30495" s="4" t="s">
        <v>7</v>
      </c>
      <c r="D30495" s="4" t="s">
        <v>11</v>
      </c>
      <c r="E30495" s="4" t="s">
        <v>8</v>
      </c>
    </row>
    <row r="30496" spans="1:8">
      <c r="A30496" t="n">
        <v>297517</v>
      </c>
      <c r="B30496" s="38" t="n">
        <v>51</v>
      </c>
      <c r="C30496" s="7" t="n">
        <v>4</v>
      </c>
      <c r="D30496" s="7" t="n">
        <v>11</v>
      </c>
      <c r="E30496" s="7" t="s">
        <v>716</v>
      </c>
    </row>
    <row r="30497" spans="1:18">
      <c r="A30497" t="s">
        <v>4</v>
      </c>
      <c r="B30497" s="4" t="s">
        <v>5</v>
      </c>
      <c r="C30497" s="4" t="s">
        <v>11</v>
      </c>
    </row>
    <row r="30498" spans="1:18">
      <c r="A30498" t="n">
        <v>297536</v>
      </c>
      <c r="B30498" s="29" t="n">
        <v>16</v>
      </c>
      <c r="C30498" s="7" t="n">
        <v>0</v>
      </c>
    </row>
    <row r="30499" spans="1:18">
      <c r="A30499" t="s">
        <v>4</v>
      </c>
      <c r="B30499" s="4" t="s">
        <v>5</v>
      </c>
      <c r="C30499" s="4" t="s">
        <v>11</v>
      </c>
      <c r="D30499" s="4" t="s">
        <v>7</v>
      </c>
      <c r="E30499" s="4" t="s">
        <v>15</v>
      </c>
      <c r="F30499" s="4" t="s">
        <v>55</v>
      </c>
      <c r="G30499" s="4" t="s">
        <v>7</v>
      </c>
      <c r="H30499" s="4" t="s">
        <v>7</v>
      </c>
    </row>
    <row r="30500" spans="1:18">
      <c r="A30500" t="n">
        <v>297539</v>
      </c>
      <c r="B30500" s="55" t="n">
        <v>26</v>
      </c>
      <c r="C30500" s="7" t="n">
        <v>11</v>
      </c>
      <c r="D30500" s="7" t="n">
        <v>17</v>
      </c>
      <c r="E30500" s="7" t="n">
        <v>63994</v>
      </c>
      <c r="F30500" s="7" t="s">
        <v>717</v>
      </c>
      <c r="G30500" s="7" t="n">
        <v>2</v>
      </c>
      <c r="H30500" s="7" t="n">
        <v>0</v>
      </c>
    </row>
    <row r="30501" spans="1:18">
      <c r="A30501" t="s">
        <v>4</v>
      </c>
      <c r="B30501" s="4" t="s">
        <v>5</v>
      </c>
    </row>
    <row r="30502" spans="1:18">
      <c r="A30502" t="n">
        <v>297561</v>
      </c>
      <c r="B30502" s="27" t="n">
        <v>28</v>
      </c>
    </row>
    <row r="30503" spans="1:18">
      <c r="A30503" t="s">
        <v>4</v>
      </c>
      <c r="B30503" s="4" t="s">
        <v>5</v>
      </c>
      <c r="C30503" s="4" t="s">
        <v>11</v>
      </c>
      <c r="D30503" s="4" t="s">
        <v>7</v>
      </c>
    </row>
    <row r="30504" spans="1:18">
      <c r="A30504" t="n">
        <v>297562</v>
      </c>
      <c r="B30504" s="68" t="n">
        <v>89</v>
      </c>
      <c r="C30504" s="7" t="n">
        <v>65533</v>
      </c>
      <c r="D30504" s="7" t="n">
        <v>1</v>
      </c>
    </row>
    <row r="30505" spans="1:18">
      <c r="A30505" t="s">
        <v>4</v>
      </c>
      <c r="B30505" s="4" t="s">
        <v>5</v>
      </c>
      <c r="C30505" s="4" t="s">
        <v>7</v>
      </c>
      <c r="D30505" s="4" t="s">
        <v>11</v>
      </c>
      <c r="E30505" s="4" t="s">
        <v>13</v>
      </c>
    </row>
    <row r="30506" spans="1:18">
      <c r="A30506" t="n">
        <v>297566</v>
      </c>
      <c r="B30506" s="23" t="n">
        <v>58</v>
      </c>
      <c r="C30506" s="7" t="n">
        <v>101</v>
      </c>
      <c r="D30506" s="7" t="n">
        <v>500</v>
      </c>
      <c r="E30506" s="7" t="n">
        <v>1</v>
      </c>
    </row>
    <row r="30507" spans="1:18">
      <c r="A30507" t="s">
        <v>4</v>
      </c>
      <c r="B30507" s="4" t="s">
        <v>5</v>
      </c>
      <c r="C30507" s="4" t="s">
        <v>7</v>
      </c>
      <c r="D30507" s="4" t="s">
        <v>11</v>
      </c>
    </row>
    <row r="30508" spans="1:18">
      <c r="A30508" t="n">
        <v>297574</v>
      </c>
      <c r="B30508" s="23" t="n">
        <v>58</v>
      </c>
      <c r="C30508" s="7" t="n">
        <v>254</v>
      </c>
      <c r="D30508" s="7" t="n">
        <v>0</v>
      </c>
    </row>
    <row r="30509" spans="1:18">
      <c r="A30509" t="s">
        <v>4</v>
      </c>
      <c r="B30509" s="4" t="s">
        <v>5</v>
      </c>
      <c r="C30509" s="4" t="s">
        <v>7</v>
      </c>
      <c r="D30509" s="4" t="s">
        <v>11</v>
      </c>
      <c r="E30509" s="4" t="s">
        <v>8</v>
      </c>
      <c r="F30509" s="4" t="s">
        <v>8</v>
      </c>
      <c r="G30509" s="4" t="s">
        <v>8</v>
      </c>
      <c r="H30509" s="4" t="s">
        <v>8</v>
      </c>
    </row>
    <row r="30510" spans="1:18">
      <c r="A30510" t="n">
        <v>297578</v>
      </c>
      <c r="B30510" s="38" t="n">
        <v>51</v>
      </c>
      <c r="C30510" s="7" t="n">
        <v>3</v>
      </c>
      <c r="D30510" s="7" t="n">
        <v>0</v>
      </c>
      <c r="E30510" s="7" t="s">
        <v>65</v>
      </c>
      <c r="F30510" s="7" t="s">
        <v>99</v>
      </c>
      <c r="G30510" s="7" t="s">
        <v>78</v>
      </c>
      <c r="H30510" s="7" t="s">
        <v>79</v>
      </c>
    </row>
    <row r="30511" spans="1:18">
      <c r="A30511" t="s">
        <v>4</v>
      </c>
      <c r="B30511" s="4" t="s">
        <v>5</v>
      </c>
      <c r="C30511" s="4" t="s">
        <v>7</v>
      </c>
      <c r="D30511" s="4" t="s">
        <v>11</v>
      </c>
      <c r="E30511" s="4" t="s">
        <v>8</v>
      </c>
      <c r="F30511" s="4" t="s">
        <v>8</v>
      </c>
      <c r="G30511" s="4" t="s">
        <v>8</v>
      </c>
      <c r="H30511" s="4" t="s">
        <v>8</v>
      </c>
    </row>
    <row r="30512" spans="1:18">
      <c r="A30512" t="n">
        <v>297599</v>
      </c>
      <c r="B30512" s="38" t="n">
        <v>51</v>
      </c>
      <c r="C30512" s="7" t="n">
        <v>3</v>
      </c>
      <c r="D30512" s="7" t="n">
        <v>11</v>
      </c>
      <c r="E30512" s="7" t="s">
        <v>65</v>
      </c>
      <c r="F30512" s="7" t="s">
        <v>232</v>
      </c>
      <c r="G30512" s="7" t="s">
        <v>78</v>
      </c>
      <c r="H30512" s="7" t="s">
        <v>79</v>
      </c>
    </row>
    <row r="30513" spans="1:8">
      <c r="A30513" t="s">
        <v>4</v>
      </c>
      <c r="B30513" s="4" t="s">
        <v>5</v>
      </c>
      <c r="C30513" s="4" t="s">
        <v>11</v>
      </c>
      <c r="D30513" s="4" t="s">
        <v>11</v>
      </c>
      <c r="E30513" s="4" t="s">
        <v>11</v>
      </c>
    </row>
    <row r="30514" spans="1:8">
      <c r="A30514" t="n">
        <v>297620</v>
      </c>
      <c r="B30514" s="72" t="n">
        <v>61</v>
      </c>
      <c r="C30514" s="7" t="n">
        <v>0</v>
      </c>
      <c r="D30514" s="7" t="n">
        <v>65533</v>
      </c>
      <c r="E30514" s="7" t="n">
        <v>0</v>
      </c>
    </row>
    <row r="30515" spans="1:8">
      <c r="A30515" t="s">
        <v>4</v>
      </c>
      <c r="B30515" s="4" t="s">
        <v>5</v>
      </c>
      <c r="C30515" s="4" t="s">
        <v>11</v>
      </c>
      <c r="D30515" s="4" t="s">
        <v>11</v>
      </c>
      <c r="E30515" s="4" t="s">
        <v>11</v>
      </c>
    </row>
    <row r="30516" spans="1:8">
      <c r="A30516" t="n">
        <v>297627</v>
      </c>
      <c r="B30516" s="72" t="n">
        <v>61</v>
      </c>
      <c r="C30516" s="7" t="n">
        <v>11</v>
      </c>
      <c r="D30516" s="7" t="n">
        <v>65533</v>
      </c>
      <c r="E30516" s="7" t="n">
        <v>0</v>
      </c>
    </row>
    <row r="30517" spans="1:8">
      <c r="A30517" t="s">
        <v>4</v>
      </c>
      <c r="B30517" s="4" t="s">
        <v>5</v>
      </c>
      <c r="C30517" s="4" t="s">
        <v>7</v>
      </c>
    </row>
    <row r="30518" spans="1:8">
      <c r="A30518" t="n">
        <v>297634</v>
      </c>
      <c r="B30518" s="49" t="n">
        <v>116</v>
      </c>
      <c r="C30518" s="7" t="n">
        <v>0</v>
      </c>
    </row>
    <row r="30519" spans="1:8">
      <c r="A30519" t="s">
        <v>4</v>
      </c>
      <c r="B30519" s="4" t="s">
        <v>5</v>
      </c>
      <c r="C30519" s="4" t="s">
        <v>7</v>
      </c>
      <c r="D30519" s="4" t="s">
        <v>11</v>
      </c>
    </row>
    <row r="30520" spans="1:8">
      <c r="A30520" t="n">
        <v>297636</v>
      </c>
      <c r="B30520" s="49" t="n">
        <v>116</v>
      </c>
      <c r="C30520" s="7" t="n">
        <v>2</v>
      </c>
      <c r="D30520" s="7" t="n">
        <v>1</v>
      </c>
    </row>
    <row r="30521" spans="1:8">
      <c r="A30521" t="s">
        <v>4</v>
      </c>
      <c r="B30521" s="4" t="s">
        <v>5</v>
      </c>
      <c r="C30521" s="4" t="s">
        <v>7</v>
      </c>
      <c r="D30521" s="4" t="s">
        <v>15</v>
      </c>
    </row>
    <row r="30522" spans="1:8">
      <c r="A30522" t="n">
        <v>297640</v>
      </c>
      <c r="B30522" s="49" t="n">
        <v>116</v>
      </c>
      <c r="C30522" s="7" t="n">
        <v>5</v>
      </c>
      <c r="D30522" s="7" t="n">
        <v>1106247680</v>
      </c>
    </row>
    <row r="30523" spans="1:8">
      <c r="A30523" t="s">
        <v>4</v>
      </c>
      <c r="B30523" s="4" t="s">
        <v>5</v>
      </c>
      <c r="C30523" s="4" t="s">
        <v>7</v>
      </c>
      <c r="D30523" s="4" t="s">
        <v>11</v>
      </c>
    </row>
    <row r="30524" spans="1:8">
      <c r="A30524" t="n">
        <v>297646</v>
      </c>
      <c r="B30524" s="49" t="n">
        <v>116</v>
      </c>
      <c r="C30524" s="7" t="n">
        <v>6</v>
      </c>
      <c r="D30524" s="7" t="n">
        <v>1</v>
      </c>
    </row>
    <row r="30525" spans="1:8">
      <c r="A30525" t="s">
        <v>4</v>
      </c>
      <c r="B30525" s="4" t="s">
        <v>5</v>
      </c>
      <c r="C30525" s="4" t="s">
        <v>7</v>
      </c>
      <c r="D30525" s="4" t="s">
        <v>7</v>
      </c>
      <c r="E30525" s="4" t="s">
        <v>13</v>
      </c>
      <c r="F30525" s="4" t="s">
        <v>13</v>
      </c>
      <c r="G30525" s="4" t="s">
        <v>13</v>
      </c>
      <c r="H30525" s="4" t="s">
        <v>11</v>
      </c>
    </row>
    <row r="30526" spans="1:8">
      <c r="A30526" t="n">
        <v>297650</v>
      </c>
      <c r="B30526" s="51" t="n">
        <v>45</v>
      </c>
      <c r="C30526" s="7" t="n">
        <v>2</v>
      </c>
      <c r="D30526" s="7" t="n">
        <v>3</v>
      </c>
      <c r="E30526" s="7" t="n">
        <v>4.53000020980835</v>
      </c>
      <c r="F30526" s="7" t="n">
        <v>1.30999994277954</v>
      </c>
      <c r="G30526" s="7" t="n">
        <v>46.2700004577637</v>
      </c>
      <c r="H30526" s="7" t="n">
        <v>0</v>
      </c>
    </row>
    <row r="30527" spans="1:8">
      <c r="A30527" t="s">
        <v>4</v>
      </c>
      <c r="B30527" s="4" t="s">
        <v>5</v>
      </c>
      <c r="C30527" s="4" t="s">
        <v>7</v>
      </c>
      <c r="D30527" s="4" t="s">
        <v>7</v>
      </c>
      <c r="E30527" s="4" t="s">
        <v>13</v>
      </c>
      <c r="F30527" s="4" t="s">
        <v>13</v>
      </c>
      <c r="G30527" s="4" t="s">
        <v>13</v>
      </c>
      <c r="H30527" s="4" t="s">
        <v>11</v>
      </c>
      <c r="I30527" s="4" t="s">
        <v>7</v>
      </c>
    </row>
    <row r="30528" spans="1:8">
      <c r="A30528" t="n">
        <v>297667</v>
      </c>
      <c r="B30528" s="51" t="n">
        <v>45</v>
      </c>
      <c r="C30528" s="7" t="n">
        <v>4</v>
      </c>
      <c r="D30528" s="7" t="n">
        <v>3</v>
      </c>
      <c r="E30528" s="7" t="n">
        <v>12.8699998855591</v>
      </c>
      <c r="F30528" s="7" t="n">
        <v>80.0199966430664</v>
      </c>
      <c r="G30528" s="7" t="n">
        <v>0</v>
      </c>
      <c r="H30528" s="7" t="n">
        <v>0</v>
      </c>
      <c r="I30528" s="7" t="n">
        <v>0</v>
      </c>
    </row>
    <row r="30529" spans="1:9">
      <c r="A30529" t="s">
        <v>4</v>
      </c>
      <c r="B30529" s="4" t="s">
        <v>5</v>
      </c>
      <c r="C30529" s="4" t="s">
        <v>7</v>
      </c>
      <c r="D30529" s="4" t="s">
        <v>7</v>
      </c>
      <c r="E30529" s="4" t="s">
        <v>13</v>
      </c>
      <c r="F30529" s="4" t="s">
        <v>11</v>
      </c>
    </row>
    <row r="30530" spans="1:9">
      <c r="A30530" t="n">
        <v>297685</v>
      </c>
      <c r="B30530" s="51" t="n">
        <v>45</v>
      </c>
      <c r="C30530" s="7" t="n">
        <v>5</v>
      </c>
      <c r="D30530" s="7" t="n">
        <v>3</v>
      </c>
      <c r="E30530" s="7" t="n">
        <v>3</v>
      </c>
      <c r="F30530" s="7" t="n">
        <v>0</v>
      </c>
    </row>
    <row r="30531" spans="1:9">
      <c r="A30531" t="s">
        <v>4</v>
      </c>
      <c r="B30531" s="4" t="s">
        <v>5</v>
      </c>
      <c r="C30531" s="4" t="s">
        <v>7</v>
      </c>
      <c r="D30531" s="4" t="s">
        <v>7</v>
      </c>
      <c r="E30531" s="4" t="s">
        <v>13</v>
      </c>
      <c r="F30531" s="4" t="s">
        <v>11</v>
      </c>
    </row>
    <row r="30532" spans="1:9">
      <c r="A30532" t="n">
        <v>297694</v>
      </c>
      <c r="B30532" s="51" t="n">
        <v>45</v>
      </c>
      <c r="C30532" s="7" t="n">
        <v>11</v>
      </c>
      <c r="D30532" s="7" t="n">
        <v>3</v>
      </c>
      <c r="E30532" s="7" t="n">
        <v>34</v>
      </c>
      <c r="F30532" s="7" t="n">
        <v>0</v>
      </c>
    </row>
    <row r="30533" spans="1:9">
      <c r="A30533" t="s">
        <v>4</v>
      </c>
      <c r="B30533" s="4" t="s">
        <v>5</v>
      </c>
      <c r="C30533" s="4" t="s">
        <v>7</v>
      </c>
      <c r="D30533" s="4" t="s">
        <v>7</v>
      </c>
      <c r="E30533" s="4" t="s">
        <v>13</v>
      </c>
      <c r="F30533" s="4" t="s">
        <v>13</v>
      </c>
      <c r="G30533" s="4" t="s">
        <v>13</v>
      </c>
      <c r="H30533" s="4" t="s">
        <v>11</v>
      </c>
    </row>
    <row r="30534" spans="1:9">
      <c r="A30534" t="n">
        <v>297703</v>
      </c>
      <c r="B30534" s="51" t="n">
        <v>45</v>
      </c>
      <c r="C30534" s="7" t="n">
        <v>2</v>
      </c>
      <c r="D30534" s="7" t="n">
        <v>3</v>
      </c>
      <c r="E30534" s="7" t="n">
        <v>4.53000020980835</v>
      </c>
      <c r="F30534" s="7" t="n">
        <v>2.30999994277954</v>
      </c>
      <c r="G30534" s="7" t="n">
        <v>46.2700004577637</v>
      </c>
      <c r="H30534" s="7" t="n">
        <v>5000</v>
      </c>
    </row>
    <row r="30535" spans="1:9">
      <c r="A30535" t="s">
        <v>4</v>
      </c>
      <c r="B30535" s="4" t="s">
        <v>5</v>
      </c>
      <c r="C30535" s="4" t="s">
        <v>7</v>
      </c>
      <c r="D30535" s="4" t="s">
        <v>11</v>
      </c>
    </row>
    <row r="30536" spans="1:9">
      <c r="A30536" t="n">
        <v>297720</v>
      </c>
      <c r="B30536" s="23" t="n">
        <v>58</v>
      </c>
      <c r="C30536" s="7" t="n">
        <v>255</v>
      </c>
      <c r="D30536" s="7" t="n">
        <v>0</v>
      </c>
    </row>
    <row r="30537" spans="1:9">
      <c r="A30537" t="s">
        <v>4</v>
      </c>
      <c r="B30537" s="4" t="s">
        <v>5</v>
      </c>
      <c r="C30537" s="4" t="s">
        <v>11</v>
      </c>
      <c r="D30537" s="4" t="s">
        <v>13</v>
      </c>
      <c r="E30537" s="4" t="s">
        <v>13</v>
      </c>
      <c r="F30537" s="4" t="s">
        <v>7</v>
      </c>
    </row>
    <row r="30538" spans="1:9">
      <c r="A30538" t="n">
        <v>297724</v>
      </c>
      <c r="B30538" s="65" t="n">
        <v>52</v>
      </c>
      <c r="C30538" s="7" t="n">
        <v>0</v>
      </c>
      <c r="D30538" s="7" t="n">
        <v>255</v>
      </c>
      <c r="E30538" s="7" t="n">
        <v>5</v>
      </c>
      <c r="F30538" s="7" t="n">
        <v>0</v>
      </c>
    </row>
    <row r="30539" spans="1:9">
      <c r="A30539" t="s">
        <v>4</v>
      </c>
      <c r="B30539" s="4" t="s">
        <v>5</v>
      </c>
      <c r="C30539" s="4" t="s">
        <v>11</v>
      </c>
    </row>
    <row r="30540" spans="1:9">
      <c r="A30540" t="n">
        <v>297736</v>
      </c>
      <c r="B30540" s="29" t="n">
        <v>16</v>
      </c>
      <c r="C30540" s="7" t="n">
        <v>100</v>
      </c>
    </row>
    <row r="30541" spans="1:9">
      <c r="A30541" t="s">
        <v>4</v>
      </c>
      <c r="B30541" s="4" t="s">
        <v>5</v>
      </c>
      <c r="C30541" s="4" t="s">
        <v>11</v>
      </c>
      <c r="D30541" s="4" t="s">
        <v>13</v>
      </c>
      <c r="E30541" s="4" t="s">
        <v>13</v>
      </c>
      <c r="F30541" s="4" t="s">
        <v>7</v>
      </c>
    </row>
    <row r="30542" spans="1:9">
      <c r="A30542" t="n">
        <v>297739</v>
      </c>
      <c r="B30542" s="65" t="n">
        <v>52</v>
      </c>
      <c r="C30542" s="7" t="n">
        <v>11</v>
      </c>
      <c r="D30542" s="7" t="n">
        <v>255</v>
      </c>
      <c r="E30542" s="7" t="n">
        <v>5</v>
      </c>
      <c r="F30542" s="7" t="n">
        <v>0</v>
      </c>
    </row>
    <row r="30543" spans="1:9">
      <c r="A30543" t="s">
        <v>4</v>
      </c>
      <c r="B30543" s="4" t="s">
        <v>5</v>
      </c>
      <c r="C30543" s="4" t="s">
        <v>11</v>
      </c>
    </row>
    <row r="30544" spans="1:9">
      <c r="A30544" t="n">
        <v>297751</v>
      </c>
      <c r="B30544" s="66" t="n">
        <v>54</v>
      </c>
      <c r="C30544" s="7" t="n">
        <v>0</v>
      </c>
    </row>
    <row r="30545" spans="1:8">
      <c r="A30545" t="s">
        <v>4</v>
      </c>
      <c r="B30545" s="4" t="s">
        <v>5</v>
      </c>
      <c r="C30545" s="4" t="s">
        <v>11</v>
      </c>
      <c r="D30545" s="4" t="s">
        <v>11</v>
      </c>
      <c r="E30545" s="4" t="s">
        <v>13</v>
      </c>
      <c r="F30545" s="4" t="s">
        <v>13</v>
      </c>
      <c r="G30545" s="4" t="s">
        <v>13</v>
      </c>
      <c r="H30545" s="4" t="s">
        <v>13</v>
      </c>
      <c r="I30545" s="4" t="s">
        <v>7</v>
      </c>
      <c r="J30545" s="4" t="s">
        <v>11</v>
      </c>
    </row>
    <row r="30546" spans="1:8">
      <c r="A30546" t="n">
        <v>297754</v>
      </c>
      <c r="B30546" s="53" t="n">
        <v>55</v>
      </c>
      <c r="C30546" s="7" t="n">
        <v>0</v>
      </c>
      <c r="D30546" s="7" t="n">
        <v>65024</v>
      </c>
      <c r="E30546" s="7" t="n">
        <v>0</v>
      </c>
      <c r="F30546" s="7" t="n">
        <v>0</v>
      </c>
      <c r="G30546" s="7" t="n">
        <v>6</v>
      </c>
      <c r="H30546" s="7" t="n">
        <v>1.20000004768372</v>
      </c>
      <c r="I30546" s="7" t="n">
        <v>1</v>
      </c>
      <c r="J30546" s="7" t="n">
        <v>0</v>
      </c>
    </row>
    <row r="30547" spans="1:8">
      <c r="A30547" t="s">
        <v>4</v>
      </c>
      <c r="B30547" s="4" t="s">
        <v>5</v>
      </c>
      <c r="C30547" s="4" t="s">
        <v>11</v>
      </c>
    </row>
    <row r="30548" spans="1:8">
      <c r="A30548" t="n">
        <v>297778</v>
      </c>
      <c r="B30548" s="66" t="n">
        <v>54</v>
      </c>
      <c r="C30548" s="7" t="n">
        <v>11</v>
      </c>
    </row>
    <row r="30549" spans="1:8">
      <c r="A30549" t="s">
        <v>4</v>
      </c>
      <c r="B30549" s="4" t="s">
        <v>5</v>
      </c>
      <c r="C30549" s="4" t="s">
        <v>11</v>
      </c>
    </row>
    <row r="30550" spans="1:8">
      <c r="A30550" t="n">
        <v>297781</v>
      </c>
      <c r="B30550" s="29" t="n">
        <v>16</v>
      </c>
      <c r="C30550" s="7" t="n">
        <v>200</v>
      </c>
    </row>
    <row r="30551" spans="1:8">
      <c r="A30551" t="s">
        <v>4</v>
      </c>
      <c r="B30551" s="4" t="s">
        <v>5</v>
      </c>
      <c r="C30551" s="4" t="s">
        <v>11</v>
      </c>
      <c r="D30551" s="4" t="s">
        <v>11</v>
      </c>
      <c r="E30551" s="4" t="s">
        <v>13</v>
      </c>
      <c r="F30551" s="4" t="s">
        <v>13</v>
      </c>
      <c r="G30551" s="4" t="s">
        <v>13</v>
      </c>
      <c r="H30551" s="4" t="s">
        <v>13</v>
      </c>
      <c r="I30551" s="4" t="s">
        <v>7</v>
      </c>
      <c r="J30551" s="4" t="s">
        <v>11</v>
      </c>
    </row>
    <row r="30552" spans="1:8">
      <c r="A30552" t="n">
        <v>297784</v>
      </c>
      <c r="B30552" s="53" t="n">
        <v>55</v>
      </c>
      <c r="C30552" s="7" t="n">
        <v>11</v>
      </c>
      <c r="D30552" s="7" t="n">
        <v>65024</v>
      </c>
      <c r="E30552" s="7" t="n">
        <v>0</v>
      </c>
      <c r="F30552" s="7" t="n">
        <v>0</v>
      </c>
      <c r="G30552" s="7" t="n">
        <v>6</v>
      </c>
      <c r="H30552" s="7" t="n">
        <v>1.20000004768372</v>
      </c>
      <c r="I30552" s="7" t="n">
        <v>1</v>
      </c>
      <c r="J30552" s="7" t="n">
        <v>0</v>
      </c>
    </row>
    <row r="30553" spans="1:8">
      <c r="A30553" t="s">
        <v>4</v>
      </c>
      <c r="B30553" s="4" t="s">
        <v>5</v>
      </c>
      <c r="C30553" s="4" t="s">
        <v>11</v>
      </c>
    </row>
    <row r="30554" spans="1:8">
      <c r="A30554" t="n">
        <v>297808</v>
      </c>
      <c r="B30554" s="29" t="n">
        <v>16</v>
      </c>
      <c r="C30554" s="7" t="n">
        <v>2000</v>
      </c>
    </row>
    <row r="30555" spans="1:8">
      <c r="A30555" t="s">
        <v>4</v>
      </c>
      <c r="B30555" s="4" t="s">
        <v>5</v>
      </c>
      <c r="C30555" s="4" t="s">
        <v>7</v>
      </c>
      <c r="D30555" s="4" t="s">
        <v>11</v>
      </c>
      <c r="E30555" s="4" t="s">
        <v>13</v>
      </c>
    </row>
    <row r="30556" spans="1:8">
      <c r="A30556" t="n">
        <v>297811</v>
      </c>
      <c r="B30556" s="23" t="n">
        <v>58</v>
      </c>
      <c r="C30556" s="7" t="n">
        <v>0</v>
      </c>
      <c r="D30556" s="7" t="n">
        <v>1000</v>
      </c>
      <c r="E30556" s="7" t="n">
        <v>1</v>
      </c>
    </row>
    <row r="30557" spans="1:8">
      <c r="A30557" t="s">
        <v>4</v>
      </c>
      <c r="B30557" s="4" t="s">
        <v>5</v>
      </c>
      <c r="C30557" s="4" t="s">
        <v>7</v>
      </c>
      <c r="D30557" s="4" t="s">
        <v>11</v>
      </c>
    </row>
    <row r="30558" spans="1:8">
      <c r="A30558" t="n">
        <v>297819</v>
      </c>
      <c r="B30558" s="23" t="n">
        <v>58</v>
      </c>
      <c r="C30558" s="7" t="n">
        <v>255</v>
      </c>
      <c r="D30558" s="7" t="n">
        <v>0</v>
      </c>
    </row>
    <row r="30559" spans="1:8">
      <c r="A30559" t="s">
        <v>4</v>
      </c>
      <c r="B30559" s="4" t="s">
        <v>5</v>
      </c>
      <c r="C30559" s="4" t="s">
        <v>11</v>
      </c>
      <c r="D30559" s="4" t="s">
        <v>7</v>
      </c>
    </row>
    <row r="30560" spans="1:8">
      <c r="A30560" t="n">
        <v>297823</v>
      </c>
      <c r="B30560" s="54" t="n">
        <v>56</v>
      </c>
      <c r="C30560" s="7" t="n">
        <v>0</v>
      </c>
      <c r="D30560" s="7" t="n">
        <v>1</v>
      </c>
    </row>
    <row r="30561" spans="1:10">
      <c r="A30561" t="s">
        <v>4</v>
      </c>
      <c r="B30561" s="4" t="s">
        <v>5</v>
      </c>
      <c r="C30561" s="4" t="s">
        <v>11</v>
      </c>
      <c r="D30561" s="4" t="s">
        <v>7</v>
      </c>
    </row>
    <row r="30562" spans="1:10">
      <c r="A30562" t="n">
        <v>297827</v>
      </c>
      <c r="B30562" s="54" t="n">
        <v>56</v>
      </c>
      <c r="C30562" s="7" t="n">
        <v>11</v>
      </c>
      <c r="D30562" s="7" t="n">
        <v>1</v>
      </c>
    </row>
    <row r="30563" spans="1:10">
      <c r="A30563" t="s">
        <v>4</v>
      </c>
      <c r="B30563" s="4" t="s">
        <v>5</v>
      </c>
      <c r="C30563" s="4" t="s">
        <v>11</v>
      </c>
      <c r="D30563" s="4" t="s">
        <v>13</v>
      </c>
      <c r="E30563" s="4" t="s">
        <v>13</v>
      </c>
      <c r="F30563" s="4" t="s">
        <v>13</v>
      </c>
      <c r="G30563" s="4" t="s">
        <v>13</v>
      </c>
    </row>
    <row r="30564" spans="1:10">
      <c r="A30564" t="n">
        <v>297831</v>
      </c>
      <c r="B30564" s="36" t="n">
        <v>46</v>
      </c>
      <c r="C30564" s="7" t="n">
        <v>0</v>
      </c>
      <c r="D30564" s="7" t="n">
        <v>-2.84999990463257</v>
      </c>
      <c r="E30564" s="7" t="n">
        <v>10.0100002288818</v>
      </c>
      <c r="F30564" s="7" t="n">
        <v>31.7299995422363</v>
      </c>
      <c r="G30564" s="7" t="n">
        <v>95.0999984741211</v>
      </c>
    </row>
    <row r="30565" spans="1:10">
      <c r="A30565" t="s">
        <v>4</v>
      </c>
      <c r="B30565" s="4" t="s">
        <v>5</v>
      </c>
      <c r="C30565" s="4" t="s">
        <v>11</v>
      </c>
      <c r="D30565" s="4" t="s">
        <v>13</v>
      </c>
      <c r="E30565" s="4" t="s">
        <v>13</v>
      </c>
      <c r="F30565" s="4" t="s">
        <v>13</v>
      </c>
      <c r="G30565" s="4" t="s">
        <v>13</v>
      </c>
    </row>
    <row r="30566" spans="1:10">
      <c r="A30566" t="n">
        <v>297850</v>
      </c>
      <c r="B30566" s="36" t="n">
        <v>46</v>
      </c>
      <c r="C30566" s="7" t="n">
        <v>11</v>
      </c>
      <c r="D30566" s="7" t="n">
        <v>-2.07999992370605</v>
      </c>
      <c r="E30566" s="7" t="n">
        <v>10.0100002288818</v>
      </c>
      <c r="F30566" s="7" t="n">
        <v>32.310001373291</v>
      </c>
      <c r="G30566" s="7" t="n">
        <v>86.4000015258789</v>
      </c>
    </row>
    <row r="30567" spans="1:10">
      <c r="A30567" t="s">
        <v>4</v>
      </c>
      <c r="B30567" s="4" t="s">
        <v>5</v>
      </c>
      <c r="C30567" s="4" t="s">
        <v>11</v>
      </c>
      <c r="D30567" s="4" t="s">
        <v>11</v>
      </c>
      <c r="E30567" s="4" t="s">
        <v>11</v>
      </c>
    </row>
    <row r="30568" spans="1:10">
      <c r="A30568" t="n">
        <v>297869</v>
      </c>
      <c r="B30568" s="72" t="n">
        <v>61</v>
      </c>
      <c r="C30568" s="7" t="n">
        <v>0</v>
      </c>
      <c r="D30568" s="7" t="n">
        <v>65533</v>
      </c>
      <c r="E30568" s="7" t="n">
        <v>0</v>
      </c>
    </row>
    <row r="30569" spans="1:10">
      <c r="A30569" t="s">
        <v>4</v>
      </c>
      <c r="B30569" s="4" t="s">
        <v>5</v>
      </c>
      <c r="C30569" s="4" t="s">
        <v>11</v>
      </c>
      <c r="D30569" s="4" t="s">
        <v>11</v>
      </c>
      <c r="E30569" s="4" t="s">
        <v>11</v>
      </c>
    </row>
    <row r="30570" spans="1:10">
      <c r="A30570" t="n">
        <v>297876</v>
      </c>
      <c r="B30570" s="72" t="n">
        <v>61</v>
      </c>
      <c r="C30570" s="7" t="n">
        <v>11</v>
      </c>
      <c r="D30570" s="7" t="n">
        <v>65533</v>
      </c>
      <c r="E30570" s="7" t="n">
        <v>0</v>
      </c>
    </row>
    <row r="30571" spans="1:10">
      <c r="A30571" t="s">
        <v>4</v>
      </c>
      <c r="B30571" s="4" t="s">
        <v>5</v>
      </c>
      <c r="C30571" s="4" t="s">
        <v>7</v>
      </c>
      <c r="D30571" s="4" t="s">
        <v>7</v>
      </c>
      <c r="E30571" s="4" t="s">
        <v>13</v>
      </c>
      <c r="F30571" s="4" t="s">
        <v>13</v>
      </c>
      <c r="G30571" s="4" t="s">
        <v>13</v>
      </c>
      <c r="H30571" s="4" t="s">
        <v>11</v>
      </c>
    </row>
    <row r="30572" spans="1:10">
      <c r="A30572" t="n">
        <v>297883</v>
      </c>
      <c r="B30572" s="51" t="n">
        <v>45</v>
      </c>
      <c r="C30572" s="7" t="n">
        <v>2</v>
      </c>
      <c r="D30572" s="7" t="n">
        <v>3</v>
      </c>
      <c r="E30572" s="7" t="n">
        <v>1.37000000476837</v>
      </c>
      <c r="F30572" s="7" t="n">
        <v>11.2700004577637</v>
      </c>
      <c r="G30572" s="7" t="n">
        <v>33.4000015258789</v>
      </c>
      <c r="H30572" s="7" t="n">
        <v>0</v>
      </c>
    </row>
    <row r="30573" spans="1:10">
      <c r="A30573" t="s">
        <v>4</v>
      </c>
      <c r="B30573" s="4" t="s">
        <v>5</v>
      </c>
      <c r="C30573" s="4" t="s">
        <v>7</v>
      </c>
      <c r="D30573" s="4" t="s">
        <v>7</v>
      </c>
      <c r="E30573" s="4" t="s">
        <v>13</v>
      </c>
      <c r="F30573" s="4" t="s">
        <v>13</v>
      </c>
      <c r="G30573" s="4" t="s">
        <v>13</v>
      </c>
      <c r="H30573" s="4" t="s">
        <v>11</v>
      </c>
      <c r="I30573" s="4" t="s">
        <v>7</v>
      </c>
    </row>
    <row r="30574" spans="1:10">
      <c r="A30574" t="n">
        <v>297900</v>
      </c>
      <c r="B30574" s="51" t="n">
        <v>45</v>
      </c>
      <c r="C30574" s="7" t="n">
        <v>4</v>
      </c>
      <c r="D30574" s="7" t="n">
        <v>3</v>
      </c>
      <c r="E30574" s="7" t="n">
        <v>0.850000023841858</v>
      </c>
      <c r="F30574" s="7" t="n">
        <v>286.75</v>
      </c>
      <c r="G30574" s="7" t="n">
        <v>0</v>
      </c>
      <c r="H30574" s="7" t="n">
        <v>0</v>
      </c>
      <c r="I30574" s="7" t="n">
        <v>0</v>
      </c>
    </row>
    <row r="30575" spans="1:10">
      <c r="A30575" t="s">
        <v>4</v>
      </c>
      <c r="B30575" s="4" t="s">
        <v>5</v>
      </c>
      <c r="C30575" s="4" t="s">
        <v>7</v>
      </c>
      <c r="D30575" s="4" t="s">
        <v>7</v>
      </c>
      <c r="E30575" s="4" t="s">
        <v>13</v>
      </c>
      <c r="F30575" s="4" t="s">
        <v>11</v>
      </c>
    </row>
    <row r="30576" spans="1:10">
      <c r="A30576" t="n">
        <v>297918</v>
      </c>
      <c r="B30576" s="51" t="n">
        <v>45</v>
      </c>
      <c r="C30576" s="7" t="n">
        <v>5</v>
      </c>
      <c r="D30576" s="7" t="n">
        <v>3</v>
      </c>
      <c r="E30576" s="7" t="n">
        <v>3</v>
      </c>
      <c r="F30576" s="7" t="n">
        <v>0</v>
      </c>
    </row>
    <row r="30577" spans="1:9">
      <c r="A30577" t="s">
        <v>4</v>
      </c>
      <c r="B30577" s="4" t="s">
        <v>5</v>
      </c>
      <c r="C30577" s="4" t="s">
        <v>7</v>
      </c>
      <c r="D30577" s="4" t="s">
        <v>7</v>
      </c>
      <c r="E30577" s="4" t="s">
        <v>13</v>
      </c>
      <c r="F30577" s="4" t="s">
        <v>11</v>
      </c>
    </row>
    <row r="30578" spans="1:9">
      <c r="A30578" t="n">
        <v>297927</v>
      </c>
      <c r="B30578" s="51" t="n">
        <v>45</v>
      </c>
      <c r="C30578" s="7" t="n">
        <v>11</v>
      </c>
      <c r="D30578" s="7" t="n">
        <v>3</v>
      </c>
      <c r="E30578" s="7" t="n">
        <v>34</v>
      </c>
      <c r="F30578" s="7" t="n">
        <v>0</v>
      </c>
    </row>
    <row r="30579" spans="1:9">
      <c r="A30579" t="s">
        <v>4</v>
      </c>
      <c r="B30579" s="4" t="s">
        <v>5</v>
      </c>
      <c r="C30579" s="4" t="s">
        <v>7</v>
      </c>
      <c r="D30579" s="4" t="s">
        <v>7</v>
      </c>
      <c r="E30579" s="4" t="s">
        <v>13</v>
      </c>
      <c r="F30579" s="4" t="s">
        <v>13</v>
      </c>
      <c r="G30579" s="4" t="s">
        <v>13</v>
      </c>
      <c r="H30579" s="4" t="s">
        <v>11</v>
      </c>
    </row>
    <row r="30580" spans="1:9">
      <c r="A30580" t="n">
        <v>297936</v>
      </c>
      <c r="B30580" s="51" t="n">
        <v>45</v>
      </c>
      <c r="C30580" s="7" t="n">
        <v>2</v>
      </c>
      <c r="D30580" s="7" t="n">
        <v>3</v>
      </c>
      <c r="E30580" s="7" t="n">
        <v>-1.86000001430511</v>
      </c>
      <c r="F30580" s="7" t="n">
        <v>11.2700004577637</v>
      </c>
      <c r="G30580" s="7" t="n">
        <v>32.439998626709</v>
      </c>
      <c r="H30580" s="7" t="n">
        <v>6000</v>
      </c>
    </row>
    <row r="30581" spans="1:9">
      <c r="A30581" t="s">
        <v>4</v>
      </c>
      <c r="B30581" s="4" t="s">
        <v>5</v>
      </c>
      <c r="C30581" s="4" t="s">
        <v>7</v>
      </c>
      <c r="D30581" s="4" t="s">
        <v>7</v>
      </c>
      <c r="E30581" s="4" t="s">
        <v>13</v>
      </c>
      <c r="F30581" s="4" t="s">
        <v>13</v>
      </c>
      <c r="G30581" s="4" t="s">
        <v>13</v>
      </c>
      <c r="H30581" s="4" t="s">
        <v>11</v>
      </c>
      <c r="I30581" s="4" t="s">
        <v>7</v>
      </c>
    </row>
    <row r="30582" spans="1:9">
      <c r="A30582" t="n">
        <v>297953</v>
      </c>
      <c r="B30582" s="51" t="n">
        <v>45</v>
      </c>
      <c r="C30582" s="7" t="n">
        <v>4</v>
      </c>
      <c r="D30582" s="7" t="n">
        <v>3</v>
      </c>
      <c r="E30582" s="7" t="n">
        <v>0.850000023841858</v>
      </c>
      <c r="F30582" s="7" t="n">
        <v>331.820007324219</v>
      </c>
      <c r="G30582" s="7" t="n">
        <v>0</v>
      </c>
      <c r="H30582" s="7" t="n">
        <v>6000</v>
      </c>
      <c r="I30582" s="7" t="n">
        <v>1</v>
      </c>
    </row>
    <row r="30583" spans="1:9">
      <c r="A30583" t="s">
        <v>4</v>
      </c>
      <c r="B30583" s="4" t="s">
        <v>5</v>
      </c>
      <c r="C30583" s="4" t="s">
        <v>7</v>
      </c>
      <c r="D30583" s="4" t="s">
        <v>7</v>
      </c>
      <c r="E30583" s="4" t="s">
        <v>13</v>
      </c>
      <c r="F30583" s="4" t="s">
        <v>11</v>
      </c>
    </row>
    <row r="30584" spans="1:9">
      <c r="A30584" t="n">
        <v>297971</v>
      </c>
      <c r="B30584" s="51" t="n">
        <v>45</v>
      </c>
      <c r="C30584" s="7" t="n">
        <v>5</v>
      </c>
      <c r="D30584" s="7" t="n">
        <v>3</v>
      </c>
      <c r="E30584" s="7" t="n">
        <v>2.5</v>
      </c>
      <c r="F30584" s="7" t="n">
        <v>6000</v>
      </c>
    </row>
    <row r="30585" spans="1:9">
      <c r="A30585" t="s">
        <v>4</v>
      </c>
      <c r="B30585" s="4" t="s">
        <v>5</v>
      </c>
      <c r="C30585" s="4" t="s">
        <v>7</v>
      </c>
      <c r="D30585" s="4" t="s">
        <v>11</v>
      </c>
      <c r="E30585" s="4" t="s">
        <v>13</v>
      </c>
    </row>
    <row r="30586" spans="1:9">
      <c r="A30586" t="n">
        <v>297980</v>
      </c>
      <c r="B30586" s="23" t="n">
        <v>58</v>
      </c>
      <c r="C30586" s="7" t="n">
        <v>100</v>
      </c>
      <c r="D30586" s="7" t="n">
        <v>1000</v>
      </c>
      <c r="E30586" s="7" t="n">
        <v>1</v>
      </c>
    </row>
    <row r="30587" spans="1:9">
      <c r="A30587" t="s">
        <v>4</v>
      </c>
      <c r="B30587" s="4" t="s">
        <v>5</v>
      </c>
      <c r="C30587" s="4" t="s">
        <v>7</v>
      </c>
      <c r="D30587" s="4" t="s">
        <v>11</v>
      </c>
    </row>
    <row r="30588" spans="1:9">
      <c r="A30588" t="n">
        <v>297988</v>
      </c>
      <c r="B30588" s="23" t="n">
        <v>58</v>
      </c>
      <c r="C30588" s="7" t="n">
        <v>255</v>
      </c>
      <c r="D30588" s="7" t="n">
        <v>0</v>
      </c>
    </row>
    <row r="30589" spans="1:9">
      <c r="A30589" t="s">
        <v>4</v>
      </c>
      <c r="B30589" s="4" t="s">
        <v>5</v>
      </c>
      <c r="C30589" s="4" t="s">
        <v>8</v>
      </c>
      <c r="D30589" s="4" t="s">
        <v>8</v>
      </c>
    </row>
    <row r="30590" spans="1:9">
      <c r="A30590" t="n">
        <v>297992</v>
      </c>
      <c r="B30590" s="52" t="n">
        <v>70</v>
      </c>
      <c r="C30590" s="7" t="s">
        <v>718</v>
      </c>
      <c r="D30590" s="7" t="s">
        <v>109</v>
      </c>
    </row>
    <row r="30591" spans="1:9">
      <c r="A30591" t="s">
        <v>4</v>
      </c>
      <c r="B30591" s="4" t="s">
        <v>5</v>
      </c>
      <c r="C30591" s="4" t="s">
        <v>11</v>
      </c>
    </row>
    <row r="30592" spans="1:9">
      <c r="A30592" t="n">
        <v>298009</v>
      </c>
      <c r="B30592" s="29" t="n">
        <v>16</v>
      </c>
      <c r="C30592" s="7" t="n">
        <v>3000</v>
      </c>
    </row>
    <row r="30593" spans="1:9">
      <c r="A30593" t="s">
        <v>4</v>
      </c>
      <c r="B30593" s="4" t="s">
        <v>5</v>
      </c>
      <c r="C30593" s="4" t="s">
        <v>11</v>
      </c>
      <c r="D30593" s="4" t="s">
        <v>7</v>
      </c>
      <c r="E30593" s="4" t="s">
        <v>13</v>
      </c>
      <c r="F30593" s="4" t="s">
        <v>11</v>
      </c>
    </row>
    <row r="30594" spans="1:9">
      <c r="A30594" t="n">
        <v>298012</v>
      </c>
      <c r="B30594" s="56" t="n">
        <v>59</v>
      </c>
      <c r="C30594" s="7" t="n">
        <v>11</v>
      </c>
      <c r="D30594" s="7" t="n">
        <v>9</v>
      </c>
      <c r="E30594" s="7" t="n">
        <v>0.150000005960464</v>
      </c>
      <c r="F30594" s="7" t="n">
        <v>0</v>
      </c>
    </row>
    <row r="30595" spans="1:9">
      <c r="A30595" t="s">
        <v>4</v>
      </c>
      <c r="B30595" s="4" t="s">
        <v>5</v>
      </c>
      <c r="C30595" s="4" t="s">
        <v>11</v>
      </c>
      <c r="D30595" s="4" t="s">
        <v>13</v>
      </c>
      <c r="E30595" s="4" t="s">
        <v>13</v>
      </c>
      <c r="F30595" s="4" t="s">
        <v>13</v>
      </c>
      <c r="G30595" s="4" t="s">
        <v>11</v>
      </c>
      <c r="H30595" s="4" t="s">
        <v>11</v>
      </c>
    </row>
    <row r="30596" spans="1:9">
      <c r="A30596" t="n">
        <v>298022</v>
      </c>
      <c r="B30596" s="37" t="n">
        <v>60</v>
      </c>
      <c r="C30596" s="7" t="n">
        <v>11</v>
      </c>
      <c r="D30596" s="7" t="n">
        <v>-45</v>
      </c>
      <c r="E30596" s="7" t="n">
        <v>0</v>
      </c>
      <c r="F30596" s="7" t="n">
        <v>0</v>
      </c>
      <c r="G30596" s="7" t="n">
        <v>1000</v>
      </c>
      <c r="H30596" s="7" t="n">
        <v>0</v>
      </c>
    </row>
    <row r="30597" spans="1:9">
      <c r="A30597" t="s">
        <v>4</v>
      </c>
      <c r="B30597" s="4" t="s">
        <v>5</v>
      </c>
      <c r="C30597" s="4" t="s">
        <v>11</v>
      </c>
    </row>
    <row r="30598" spans="1:9">
      <c r="A30598" t="n">
        <v>298041</v>
      </c>
      <c r="B30598" s="29" t="n">
        <v>16</v>
      </c>
      <c r="C30598" s="7" t="n">
        <v>1000</v>
      </c>
    </row>
    <row r="30599" spans="1:9">
      <c r="A30599" t="s">
        <v>4</v>
      </c>
      <c r="B30599" s="4" t="s">
        <v>5</v>
      </c>
      <c r="C30599" s="4" t="s">
        <v>11</v>
      </c>
      <c r="D30599" s="4" t="s">
        <v>13</v>
      </c>
      <c r="E30599" s="4" t="s">
        <v>13</v>
      </c>
      <c r="F30599" s="4" t="s">
        <v>13</v>
      </c>
      <c r="G30599" s="4" t="s">
        <v>11</v>
      </c>
      <c r="H30599" s="4" t="s">
        <v>11</v>
      </c>
    </row>
    <row r="30600" spans="1:9">
      <c r="A30600" t="n">
        <v>298044</v>
      </c>
      <c r="B30600" s="37" t="n">
        <v>60</v>
      </c>
      <c r="C30600" s="7" t="n">
        <v>11</v>
      </c>
      <c r="D30600" s="7" t="n">
        <v>45</v>
      </c>
      <c r="E30600" s="7" t="n">
        <v>0</v>
      </c>
      <c r="F30600" s="7" t="n">
        <v>0</v>
      </c>
      <c r="G30600" s="7" t="n">
        <v>1000</v>
      </c>
      <c r="H30600" s="7" t="n">
        <v>0</v>
      </c>
    </row>
    <row r="30601" spans="1:9">
      <c r="A30601" t="s">
        <v>4</v>
      </c>
      <c r="B30601" s="4" t="s">
        <v>5</v>
      </c>
      <c r="C30601" s="4" t="s">
        <v>11</v>
      </c>
    </row>
    <row r="30602" spans="1:9">
      <c r="A30602" t="n">
        <v>298063</v>
      </c>
      <c r="B30602" s="29" t="n">
        <v>16</v>
      </c>
      <c r="C30602" s="7" t="n">
        <v>1000</v>
      </c>
    </row>
    <row r="30603" spans="1:9">
      <c r="A30603" t="s">
        <v>4</v>
      </c>
      <c r="B30603" s="4" t="s">
        <v>5</v>
      </c>
      <c r="C30603" s="4" t="s">
        <v>11</v>
      </c>
      <c r="D30603" s="4" t="s">
        <v>13</v>
      </c>
      <c r="E30603" s="4" t="s">
        <v>13</v>
      </c>
      <c r="F30603" s="4" t="s">
        <v>13</v>
      </c>
      <c r="G30603" s="4" t="s">
        <v>11</v>
      </c>
      <c r="H30603" s="4" t="s">
        <v>11</v>
      </c>
    </row>
    <row r="30604" spans="1:9">
      <c r="A30604" t="n">
        <v>298066</v>
      </c>
      <c r="B30604" s="37" t="n">
        <v>60</v>
      </c>
      <c r="C30604" s="7" t="n">
        <v>11</v>
      </c>
      <c r="D30604" s="7" t="n">
        <v>0</v>
      </c>
      <c r="E30604" s="7" t="n">
        <v>0</v>
      </c>
      <c r="F30604" s="7" t="n">
        <v>0</v>
      </c>
      <c r="G30604" s="7" t="n">
        <v>500</v>
      </c>
      <c r="H30604" s="7" t="n">
        <v>0</v>
      </c>
    </row>
    <row r="30605" spans="1:9">
      <c r="A30605" t="s">
        <v>4</v>
      </c>
      <c r="B30605" s="4" t="s">
        <v>5</v>
      </c>
      <c r="C30605" s="4" t="s">
        <v>11</v>
      </c>
    </row>
    <row r="30606" spans="1:9">
      <c r="A30606" t="n">
        <v>298085</v>
      </c>
      <c r="B30606" s="29" t="n">
        <v>16</v>
      </c>
      <c r="C30606" s="7" t="n">
        <v>1000</v>
      </c>
    </row>
    <row r="30607" spans="1:9">
      <c r="A30607" t="s">
        <v>4</v>
      </c>
      <c r="B30607" s="4" t="s">
        <v>5</v>
      </c>
      <c r="C30607" s="4" t="s">
        <v>7</v>
      </c>
      <c r="D30607" s="4" t="s">
        <v>11</v>
      </c>
    </row>
    <row r="30608" spans="1:9">
      <c r="A30608" t="n">
        <v>298088</v>
      </c>
      <c r="B30608" s="51" t="n">
        <v>45</v>
      </c>
      <c r="C30608" s="7" t="n">
        <v>7</v>
      </c>
      <c r="D30608" s="7" t="n">
        <v>255</v>
      </c>
    </row>
    <row r="30609" spans="1:8">
      <c r="A30609" t="s">
        <v>4</v>
      </c>
      <c r="B30609" s="4" t="s">
        <v>5</v>
      </c>
      <c r="C30609" s="4" t="s">
        <v>7</v>
      </c>
      <c r="D30609" s="4" t="s">
        <v>11</v>
      </c>
      <c r="E30609" s="4" t="s">
        <v>13</v>
      </c>
    </row>
    <row r="30610" spans="1:8">
      <c r="A30610" t="n">
        <v>298092</v>
      </c>
      <c r="B30610" s="23" t="n">
        <v>58</v>
      </c>
      <c r="C30610" s="7" t="n">
        <v>0</v>
      </c>
      <c r="D30610" s="7" t="n">
        <v>1000</v>
      </c>
      <c r="E30610" s="7" t="n">
        <v>1</v>
      </c>
    </row>
    <row r="30611" spans="1:8">
      <c r="A30611" t="s">
        <v>4</v>
      </c>
      <c r="B30611" s="4" t="s">
        <v>5</v>
      </c>
      <c r="C30611" s="4" t="s">
        <v>7</v>
      </c>
      <c r="D30611" s="4" t="s">
        <v>11</v>
      </c>
    </row>
    <row r="30612" spans="1:8">
      <c r="A30612" t="n">
        <v>298100</v>
      </c>
      <c r="B30612" s="23" t="n">
        <v>58</v>
      </c>
      <c r="C30612" s="7" t="n">
        <v>255</v>
      </c>
      <c r="D30612" s="7" t="n">
        <v>0</v>
      </c>
    </row>
    <row r="30613" spans="1:8">
      <c r="A30613" t="s">
        <v>4</v>
      </c>
      <c r="B30613" s="4" t="s">
        <v>5</v>
      </c>
      <c r="C30613" s="4" t="s">
        <v>11</v>
      </c>
      <c r="D30613" s="4" t="s">
        <v>11</v>
      </c>
      <c r="E30613" s="4" t="s">
        <v>11</v>
      </c>
    </row>
    <row r="30614" spans="1:8">
      <c r="A30614" t="n">
        <v>298104</v>
      </c>
      <c r="B30614" s="72" t="n">
        <v>61</v>
      </c>
      <c r="C30614" s="7" t="n">
        <v>0</v>
      </c>
      <c r="D30614" s="7" t="n">
        <v>65533</v>
      </c>
      <c r="E30614" s="7" t="n">
        <v>1000</v>
      </c>
    </row>
    <row r="30615" spans="1:8">
      <c r="A30615" t="s">
        <v>4</v>
      </c>
      <c r="B30615" s="4" t="s">
        <v>5</v>
      </c>
      <c r="C30615" s="4" t="s">
        <v>11</v>
      </c>
      <c r="D30615" s="4" t="s">
        <v>11</v>
      </c>
      <c r="E30615" s="4" t="s">
        <v>11</v>
      </c>
    </row>
    <row r="30616" spans="1:8">
      <c r="A30616" t="n">
        <v>298111</v>
      </c>
      <c r="B30616" s="72" t="n">
        <v>61</v>
      </c>
      <c r="C30616" s="7" t="n">
        <v>11</v>
      </c>
      <c r="D30616" s="7" t="n">
        <v>65533</v>
      </c>
      <c r="E30616" s="7" t="n">
        <v>1000</v>
      </c>
    </row>
    <row r="30617" spans="1:8">
      <c r="A30617" t="s">
        <v>4</v>
      </c>
      <c r="B30617" s="4" t="s">
        <v>5</v>
      </c>
      <c r="C30617" s="4" t="s">
        <v>11</v>
      </c>
      <c r="D30617" s="4" t="s">
        <v>13</v>
      </c>
      <c r="E30617" s="4" t="s">
        <v>13</v>
      </c>
      <c r="F30617" s="4" t="s">
        <v>13</v>
      </c>
      <c r="G30617" s="4" t="s">
        <v>13</v>
      </c>
    </row>
    <row r="30618" spans="1:8">
      <c r="A30618" t="n">
        <v>298118</v>
      </c>
      <c r="B30618" s="36" t="n">
        <v>46</v>
      </c>
      <c r="C30618" s="7" t="n">
        <v>0</v>
      </c>
      <c r="D30618" s="7" t="n">
        <v>-2.66000008583069</v>
      </c>
      <c r="E30618" s="7" t="n">
        <v>5.01000022888184</v>
      </c>
      <c r="F30618" s="7" t="n">
        <v>32.189998626709</v>
      </c>
      <c r="G30618" s="7" t="n">
        <v>90</v>
      </c>
    </row>
    <row r="30619" spans="1:8">
      <c r="A30619" t="s">
        <v>4</v>
      </c>
      <c r="B30619" s="4" t="s">
        <v>5</v>
      </c>
      <c r="C30619" s="4" t="s">
        <v>11</v>
      </c>
      <c r="D30619" s="4" t="s">
        <v>13</v>
      </c>
      <c r="E30619" s="4" t="s">
        <v>13</v>
      </c>
      <c r="F30619" s="4" t="s">
        <v>13</v>
      </c>
      <c r="G30619" s="4" t="s">
        <v>13</v>
      </c>
    </row>
    <row r="30620" spans="1:8">
      <c r="A30620" t="n">
        <v>298137</v>
      </c>
      <c r="B30620" s="36" t="n">
        <v>46</v>
      </c>
      <c r="C30620" s="7" t="n">
        <v>11</v>
      </c>
      <c r="D30620" s="7" t="n">
        <v>-3.16000008583069</v>
      </c>
      <c r="E30620" s="7" t="n">
        <v>5.01000022888184</v>
      </c>
      <c r="F30620" s="7" t="n">
        <v>31.7900009155273</v>
      </c>
      <c r="G30620" s="7" t="n">
        <v>90</v>
      </c>
    </row>
    <row r="30621" spans="1:8">
      <c r="A30621" t="s">
        <v>4</v>
      </c>
      <c r="B30621" s="4" t="s">
        <v>5</v>
      </c>
      <c r="C30621" s="4" t="s">
        <v>7</v>
      </c>
      <c r="D30621" s="4" t="s">
        <v>7</v>
      </c>
      <c r="E30621" s="4" t="s">
        <v>13</v>
      </c>
      <c r="F30621" s="4" t="s">
        <v>13</v>
      </c>
      <c r="G30621" s="4" t="s">
        <v>13</v>
      </c>
      <c r="H30621" s="4" t="s">
        <v>11</v>
      </c>
    </row>
    <row r="30622" spans="1:8">
      <c r="A30622" t="n">
        <v>298156</v>
      </c>
      <c r="B30622" s="51" t="n">
        <v>45</v>
      </c>
      <c r="C30622" s="7" t="n">
        <v>2</v>
      </c>
      <c r="D30622" s="7" t="n">
        <v>3</v>
      </c>
      <c r="E30622" s="7" t="n">
        <v>6.82000017166138</v>
      </c>
      <c r="F30622" s="7" t="n">
        <v>6.17999982833862</v>
      </c>
      <c r="G30622" s="7" t="n">
        <v>32.2799987792969</v>
      </c>
      <c r="H30622" s="7" t="n">
        <v>0</v>
      </c>
    </row>
    <row r="30623" spans="1:8">
      <c r="A30623" t="s">
        <v>4</v>
      </c>
      <c r="B30623" s="4" t="s">
        <v>5</v>
      </c>
      <c r="C30623" s="4" t="s">
        <v>7</v>
      </c>
      <c r="D30623" s="4" t="s">
        <v>7</v>
      </c>
      <c r="E30623" s="4" t="s">
        <v>13</v>
      </c>
      <c r="F30623" s="4" t="s">
        <v>13</v>
      </c>
      <c r="G30623" s="4" t="s">
        <v>13</v>
      </c>
      <c r="H30623" s="4" t="s">
        <v>11</v>
      </c>
      <c r="I30623" s="4" t="s">
        <v>7</v>
      </c>
    </row>
    <row r="30624" spans="1:8">
      <c r="A30624" t="n">
        <v>298173</v>
      </c>
      <c r="B30624" s="51" t="n">
        <v>45</v>
      </c>
      <c r="C30624" s="7" t="n">
        <v>4</v>
      </c>
      <c r="D30624" s="7" t="n">
        <v>3</v>
      </c>
      <c r="E30624" s="7" t="n">
        <v>358.239990234375</v>
      </c>
      <c r="F30624" s="7" t="n">
        <v>344.200012207031</v>
      </c>
      <c r="G30624" s="7" t="n">
        <v>0</v>
      </c>
      <c r="H30624" s="7" t="n">
        <v>0</v>
      </c>
      <c r="I30624" s="7" t="n">
        <v>0</v>
      </c>
    </row>
    <row r="30625" spans="1:9">
      <c r="A30625" t="s">
        <v>4</v>
      </c>
      <c r="B30625" s="4" t="s">
        <v>5</v>
      </c>
      <c r="C30625" s="4" t="s">
        <v>7</v>
      </c>
      <c r="D30625" s="4" t="s">
        <v>7</v>
      </c>
      <c r="E30625" s="4" t="s">
        <v>13</v>
      </c>
      <c r="F30625" s="4" t="s">
        <v>11</v>
      </c>
    </row>
    <row r="30626" spans="1:9">
      <c r="A30626" t="n">
        <v>298191</v>
      </c>
      <c r="B30626" s="51" t="n">
        <v>45</v>
      </c>
      <c r="C30626" s="7" t="n">
        <v>5</v>
      </c>
      <c r="D30626" s="7" t="n">
        <v>3</v>
      </c>
      <c r="E30626" s="7" t="n">
        <v>3.40000009536743</v>
      </c>
      <c r="F30626" s="7" t="n">
        <v>0</v>
      </c>
    </row>
    <row r="30627" spans="1:9">
      <c r="A30627" t="s">
        <v>4</v>
      </c>
      <c r="B30627" s="4" t="s">
        <v>5</v>
      </c>
      <c r="C30627" s="4" t="s">
        <v>7</v>
      </c>
      <c r="D30627" s="4" t="s">
        <v>7</v>
      </c>
      <c r="E30627" s="4" t="s">
        <v>13</v>
      </c>
      <c r="F30627" s="4" t="s">
        <v>11</v>
      </c>
    </row>
    <row r="30628" spans="1:9">
      <c r="A30628" t="n">
        <v>298200</v>
      </c>
      <c r="B30628" s="51" t="n">
        <v>45</v>
      </c>
      <c r="C30628" s="7" t="n">
        <v>11</v>
      </c>
      <c r="D30628" s="7" t="n">
        <v>3</v>
      </c>
      <c r="E30628" s="7" t="n">
        <v>40.2999992370605</v>
      </c>
      <c r="F30628" s="7" t="n">
        <v>0</v>
      </c>
    </row>
    <row r="30629" spans="1:9">
      <c r="A30629" t="s">
        <v>4</v>
      </c>
      <c r="B30629" s="4" t="s">
        <v>5</v>
      </c>
      <c r="C30629" s="4" t="s">
        <v>7</v>
      </c>
      <c r="D30629" s="4" t="s">
        <v>7</v>
      </c>
      <c r="E30629" s="4" t="s">
        <v>13</v>
      </c>
      <c r="F30629" s="4" t="s">
        <v>13</v>
      </c>
      <c r="G30629" s="4" t="s">
        <v>13</v>
      </c>
      <c r="H30629" s="4" t="s">
        <v>11</v>
      </c>
    </row>
    <row r="30630" spans="1:9">
      <c r="A30630" t="n">
        <v>298209</v>
      </c>
      <c r="B30630" s="51" t="n">
        <v>45</v>
      </c>
      <c r="C30630" s="7" t="n">
        <v>2</v>
      </c>
      <c r="D30630" s="7" t="n">
        <v>3</v>
      </c>
      <c r="E30630" s="7" t="n">
        <v>-2.55999994277954</v>
      </c>
      <c r="F30630" s="7" t="n">
        <v>6.17999982833862</v>
      </c>
      <c r="G30630" s="7" t="n">
        <v>32.1800003051758</v>
      </c>
      <c r="H30630" s="7" t="n">
        <v>6000</v>
      </c>
    </row>
    <row r="30631" spans="1:9">
      <c r="A30631" t="s">
        <v>4</v>
      </c>
      <c r="B30631" s="4" t="s">
        <v>5</v>
      </c>
      <c r="C30631" s="4" t="s">
        <v>7</v>
      </c>
      <c r="D30631" s="4" t="s">
        <v>7</v>
      </c>
      <c r="E30631" s="4" t="s">
        <v>13</v>
      </c>
      <c r="F30631" s="4" t="s">
        <v>13</v>
      </c>
      <c r="G30631" s="4" t="s">
        <v>13</v>
      </c>
      <c r="H30631" s="4" t="s">
        <v>11</v>
      </c>
      <c r="I30631" s="4" t="s">
        <v>7</v>
      </c>
    </row>
    <row r="30632" spans="1:9">
      <c r="A30632" t="n">
        <v>298226</v>
      </c>
      <c r="B30632" s="51" t="n">
        <v>45</v>
      </c>
      <c r="C30632" s="7" t="n">
        <v>4</v>
      </c>
      <c r="D30632" s="7" t="n">
        <v>3</v>
      </c>
      <c r="E30632" s="7" t="n">
        <v>12.2700004577637</v>
      </c>
      <c r="F30632" s="7" t="n">
        <v>75.7099990844727</v>
      </c>
      <c r="G30632" s="7" t="n">
        <v>0</v>
      </c>
      <c r="H30632" s="7" t="n">
        <v>6000</v>
      </c>
      <c r="I30632" s="7" t="n">
        <v>1</v>
      </c>
    </row>
    <row r="30633" spans="1:9">
      <c r="A30633" t="s">
        <v>4</v>
      </c>
      <c r="B30633" s="4" t="s">
        <v>5</v>
      </c>
      <c r="C30633" s="4" t="s">
        <v>7</v>
      </c>
      <c r="D30633" s="4" t="s">
        <v>7</v>
      </c>
      <c r="E30633" s="4" t="s">
        <v>13</v>
      </c>
      <c r="F30633" s="4" t="s">
        <v>11</v>
      </c>
    </row>
    <row r="30634" spans="1:9">
      <c r="A30634" t="n">
        <v>298244</v>
      </c>
      <c r="B30634" s="51" t="n">
        <v>45</v>
      </c>
      <c r="C30634" s="7" t="n">
        <v>5</v>
      </c>
      <c r="D30634" s="7" t="n">
        <v>3</v>
      </c>
      <c r="E30634" s="7" t="n">
        <v>2.70000004768372</v>
      </c>
      <c r="F30634" s="7" t="n">
        <v>6000</v>
      </c>
    </row>
    <row r="30635" spans="1:9">
      <c r="A30635" t="s">
        <v>4</v>
      </c>
      <c r="B30635" s="4" t="s">
        <v>5</v>
      </c>
      <c r="C30635" s="4" t="s">
        <v>7</v>
      </c>
      <c r="D30635" s="4" t="s">
        <v>11</v>
      </c>
      <c r="E30635" s="4" t="s">
        <v>13</v>
      </c>
    </row>
    <row r="30636" spans="1:9">
      <c r="A30636" t="n">
        <v>298253</v>
      </c>
      <c r="B30636" s="23" t="n">
        <v>58</v>
      </c>
      <c r="C30636" s="7" t="n">
        <v>100</v>
      </c>
      <c r="D30636" s="7" t="n">
        <v>1000</v>
      </c>
      <c r="E30636" s="7" t="n">
        <v>1</v>
      </c>
    </row>
    <row r="30637" spans="1:9">
      <c r="A30637" t="s">
        <v>4</v>
      </c>
      <c r="B30637" s="4" t="s">
        <v>5</v>
      </c>
      <c r="C30637" s="4" t="s">
        <v>7</v>
      </c>
      <c r="D30637" s="4" t="s">
        <v>11</v>
      </c>
    </row>
    <row r="30638" spans="1:9">
      <c r="A30638" t="n">
        <v>298261</v>
      </c>
      <c r="B30638" s="23" t="n">
        <v>58</v>
      </c>
      <c r="C30638" s="7" t="n">
        <v>255</v>
      </c>
      <c r="D30638" s="7" t="n">
        <v>0</v>
      </c>
    </row>
    <row r="30639" spans="1:9">
      <c r="A30639" t="s">
        <v>4</v>
      </c>
      <c r="B30639" s="4" t="s">
        <v>5</v>
      </c>
      <c r="C30639" s="4" t="s">
        <v>8</v>
      </c>
      <c r="D30639" s="4" t="s">
        <v>8</v>
      </c>
    </row>
    <row r="30640" spans="1:9">
      <c r="A30640" t="n">
        <v>298265</v>
      </c>
      <c r="B30640" s="52" t="n">
        <v>70</v>
      </c>
      <c r="C30640" s="7" t="s">
        <v>24</v>
      </c>
      <c r="D30640" s="7" t="s">
        <v>109</v>
      </c>
    </row>
    <row r="30641" spans="1:9">
      <c r="A30641" t="s">
        <v>4</v>
      </c>
      <c r="B30641" s="4" t="s">
        <v>5</v>
      </c>
      <c r="C30641" s="4" t="s">
        <v>11</v>
      </c>
    </row>
    <row r="30642" spans="1:9">
      <c r="A30642" t="n">
        <v>298282</v>
      </c>
      <c r="B30642" s="29" t="n">
        <v>16</v>
      </c>
      <c r="C30642" s="7" t="n">
        <v>4000</v>
      </c>
    </row>
    <row r="30643" spans="1:9">
      <c r="A30643" t="s">
        <v>4</v>
      </c>
      <c r="B30643" s="4" t="s">
        <v>5</v>
      </c>
      <c r="C30643" s="4" t="s">
        <v>11</v>
      </c>
      <c r="D30643" s="4" t="s">
        <v>7</v>
      </c>
      <c r="E30643" s="4" t="s">
        <v>13</v>
      </c>
      <c r="F30643" s="4" t="s">
        <v>11</v>
      </c>
    </row>
    <row r="30644" spans="1:9">
      <c r="A30644" t="n">
        <v>298285</v>
      </c>
      <c r="B30644" s="56" t="n">
        <v>59</v>
      </c>
      <c r="C30644" s="7" t="n">
        <v>0</v>
      </c>
      <c r="D30644" s="7" t="n">
        <v>9</v>
      </c>
      <c r="E30644" s="7" t="n">
        <v>0.150000005960464</v>
      </c>
      <c r="F30644" s="7" t="n">
        <v>0</v>
      </c>
    </row>
    <row r="30645" spans="1:9">
      <c r="A30645" t="s">
        <v>4</v>
      </c>
      <c r="B30645" s="4" t="s">
        <v>5</v>
      </c>
      <c r="C30645" s="4" t="s">
        <v>11</v>
      </c>
    </row>
    <row r="30646" spans="1:9">
      <c r="A30646" t="n">
        <v>298295</v>
      </c>
      <c r="B30646" s="29" t="n">
        <v>16</v>
      </c>
      <c r="C30646" s="7" t="n">
        <v>1800</v>
      </c>
    </row>
    <row r="30647" spans="1:9">
      <c r="A30647" t="s">
        <v>4</v>
      </c>
      <c r="B30647" s="4" t="s">
        <v>5</v>
      </c>
      <c r="C30647" s="4" t="s">
        <v>7</v>
      </c>
      <c r="D30647" s="4" t="s">
        <v>11</v>
      </c>
    </row>
    <row r="30648" spans="1:9">
      <c r="A30648" t="n">
        <v>298298</v>
      </c>
      <c r="B30648" s="51" t="n">
        <v>45</v>
      </c>
      <c r="C30648" s="7" t="n">
        <v>7</v>
      </c>
      <c r="D30648" s="7" t="n">
        <v>255</v>
      </c>
    </row>
    <row r="30649" spans="1:9">
      <c r="A30649" t="s">
        <v>4</v>
      </c>
      <c r="B30649" s="4" t="s">
        <v>5</v>
      </c>
      <c r="C30649" s="4" t="s">
        <v>7</v>
      </c>
      <c r="D30649" s="4" t="s">
        <v>11</v>
      </c>
      <c r="E30649" s="4" t="s">
        <v>13</v>
      </c>
    </row>
    <row r="30650" spans="1:9">
      <c r="A30650" t="n">
        <v>298302</v>
      </c>
      <c r="B30650" s="23" t="n">
        <v>58</v>
      </c>
      <c r="C30650" s="7" t="n">
        <v>0</v>
      </c>
      <c r="D30650" s="7" t="n">
        <v>1000</v>
      </c>
      <c r="E30650" s="7" t="n">
        <v>1</v>
      </c>
    </row>
    <row r="30651" spans="1:9">
      <c r="A30651" t="s">
        <v>4</v>
      </c>
      <c r="B30651" s="4" t="s">
        <v>5</v>
      </c>
      <c r="C30651" s="4" t="s">
        <v>7</v>
      </c>
      <c r="D30651" s="4" t="s">
        <v>11</v>
      </c>
    </row>
    <row r="30652" spans="1:9">
      <c r="A30652" t="n">
        <v>298310</v>
      </c>
      <c r="B30652" s="23" t="n">
        <v>58</v>
      </c>
      <c r="C30652" s="7" t="n">
        <v>255</v>
      </c>
      <c r="D30652" s="7" t="n">
        <v>0</v>
      </c>
    </row>
    <row r="30653" spans="1:9">
      <c r="A30653" t="s">
        <v>4</v>
      </c>
      <c r="B30653" s="4" t="s">
        <v>5</v>
      </c>
      <c r="C30653" s="4" t="s">
        <v>8</v>
      </c>
      <c r="D30653" s="4" t="s">
        <v>8</v>
      </c>
    </row>
    <row r="30654" spans="1:9">
      <c r="A30654" t="n">
        <v>298314</v>
      </c>
      <c r="B30654" s="52" t="n">
        <v>70</v>
      </c>
      <c r="C30654" s="7" t="s">
        <v>24</v>
      </c>
      <c r="D30654" s="7" t="s">
        <v>118</v>
      </c>
    </row>
    <row r="30655" spans="1:9">
      <c r="A30655" t="s">
        <v>4</v>
      </c>
      <c r="B30655" s="4" t="s">
        <v>5</v>
      </c>
      <c r="C30655" s="4" t="s">
        <v>11</v>
      </c>
      <c r="D30655" s="4" t="s">
        <v>13</v>
      </c>
      <c r="E30655" s="4" t="s">
        <v>13</v>
      </c>
      <c r="F30655" s="4" t="s">
        <v>13</v>
      </c>
      <c r="G30655" s="4" t="s">
        <v>13</v>
      </c>
    </row>
    <row r="30656" spans="1:9">
      <c r="A30656" t="n">
        <v>298330</v>
      </c>
      <c r="B30656" s="36" t="n">
        <v>46</v>
      </c>
      <c r="C30656" s="7" t="n">
        <v>0</v>
      </c>
      <c r="D30656" s="7" t="n">
        <v>-10.9899997711182</v>
      </c>
      <c r="E30656" s="7" t="n">
        <v>5.01000022888184</v>
      </c>
      <c r="F30656" s="7" t="n">
        <v>32.4300003051758</v>
      </c>
      <c r="G30656" s="7" t="n">
        <v>270</v>
      </c>
    </row>
    <row r="30657" spans="1:7">
      <c r="A30657" t="s">
        <v>4</v>
      </c>
      <c r="B30657" s="4" t="s">
        <v>5</v>
      </c>
      <c r="C30657" s="4" t="s">
        <v>11</v>
      </c>
      <c r="D30657" s="4" t="s">
        <v>13</v>
      </c>
      <c r="E30657" s="4" t="s">
        <v>13</v>
      </c>
      <c r="F30657" s="4" t="s">
        <v>13</v>
      </c>
      <c r="G30657" s="4" t="s">
        <v>13</v>
      </c>
    </row>
    <row r="30658" spans="1:7">
      <c r="A30658" t="n">
        <v>298349</v>
      </c>
      <c r="B30658" s="36" t="n">
        <v>46</v>
      </c>
      <c r="C30658" s="7" t="n">
        <v>11</v>
      </c>
      <c r="D30658" s="7" t="n">
        <v>-10.5500001907349</v>
      </c>
      <c r="E30658" s="7" t="n">
        <v>5.01000022888184</v>
      </c>
      <c r="F30658" s="7" t="n">
        <v>31.5499992370605</v>
      </c>
      <c r="G30658" s="7" t="n">
        <v>270</v>
      </c>
    </row>
    <row r="30659" spans="1:7">
      <c r="A30659" t="s">
        <v>4</v>
      </c>
      <c r="B30659" s="4" t="s">
        <v>5</v>
      </c>
      <c r="C30659" s="4" t="s">
        <v>7</v>
      </c>
      <c r="D30659" s="4" t="s">
        <v>7</v>
      </c>
      <c r="E30659" s="4" t="s">
        <v>13</v>
      </c>
      <c r="F30659" s="4" t="s">
        <v>13</v>
      </c>
      <c r="G30659" s="4" t="s">
        <v>13</v>
      </c>
      <c r="H30659" s="4" t="s">
        <v>11</v>
      </c>
    </row>
    <row r="30660" spans="1:7">
      <c r="A30660" t="n">
        <v>298368</v>
      </c>
      <c r="B30660" s="51" t="n">
        <v>45</v>
      </c>
      <c r="C30660" s="7" t="n">
        <v>2</v>
      </c>
      <c r="D30660" s="7" t="n">
        <v>3</v>
      </c>
      <c r="E30660" s="7" t="n">
        <v>-14.1199998855591</v>
      </c>
      <c r="F30660" s="7" t="n">
        <v>6.75</v>
      </c>
      <c r="G30660" s="7" t="n">
        <v>31.9300003051758</v>
      </c>
      <c r="H30660" s="7" t="n">
        <v>0</v>
      </c>
    </row>
    <row r="30661" spans="1:7">
      <c r="A30661" t="s">
        <v>4</v>
      </c>
      <c r="B30661" s="4" t="s">
        <v>5</v>
      </c>
      <c r="C30661" s="4" t="s">
        <v>7</v>
      </c>
      <c r="D30661" s="4" t="s">
        <v>7</v>
      </c>
      <c r="E30661" s="4" t="s">
        <v>13</v>
      </c>
      <c r="F30661" s="4" t="s">
        <v>13</v>
      </c>
      <c r="G30661" s="4" t="s">
        <v>13</v>
      </c>
      <c r="H30661" s="4" t="s">
        <v>11</v>
      </c>
      <c r="I30661" s="4" t="s">
        <v>7</v>
      </c>
    </row>
    <row r="30662" spans="1:7">
      <c r="A30662" t="n">
        <v>298385</v>
      </c>
      <c r="B30662" s="51" t="n">
        <v>45</v>
      </c>
      <c r="C30662" s="7" t="n">
        <v>4</v>
      </c>
      <c r="D30662" s="7" t="n">
        <v>3</v>
      </c>
      <c r="E30662" s="7" t="n">
        <v>7.63000011444092</v>
      </c>
      <c r="F30662" s="7" t="n">
        <v>90</v>
      </c>
      <c r="G30662" s="7" t="n">
        <v>0</v>
      </c>
      <c r="H30662" s="7" t="n">
        <v>0</v>
      </c>
      <c r="I30662" s="7" t="n">
        <v>0</v>
      </c>
    </row>
    <row r="30663" spans="1:7">
      <c r="A30663" t="s">
        <v>4</v>
      </c>
      <c r="B30663" s="4" t="s">
        <v>5</v>
      </c>
      <c r="C30663" s="4" t="s">
        <v>7</v>
      </c>
      <c r="D30663" s="4" t="s">
        <v>7</v>
      </c>
      <c r="E30663" s="4" t="s">
        <v>13</v>
      </c>
      <c r="F30663" s="4" t="s">
        <v>11</v>
      </c>
    </row>
    <row r="30664" spans="1:7">
      <c r="A30664" t="n">
        <v>298403</v>
      </c>
      <c r="B30664" s="51" t="n">
        <v>45</v>
      </c>
      <c r="C30664" s="7" t="n">
        <v>5</v>
      </c>
      <c r="D30664" s="7" t="n">
        <v>3</v>
      </c>
      <c r="E30664" s="7" t="n">
        <v>2.09999990463257</v>
      </c>
      <c r="F30664" s="7" t="n">
        <v>0</v>
      </c>
    </row>
    <row r="30665" spans="1:7">
      <c r="A30665" t="s">
        <v>4</v>
      </c>
      <c r="B30665" s="4" t="s">
        <v>5</v>
      </c>
      <c r="C30665" s="4" t="s">
        <v>7</v>
      </c>
      <c r="D30665" s="4" t="s">
        <v>7</v>
      </c>
      <c r="E30665" s="4" t="s">
        <v>13</v>
      </c>
      <c r="F30665" s="4" t="s">
        <v>11</v>
      </c>
    </row>
    <row r="30666" spans="1:7">
      <c r="A30666" t="n">
        <v>298412</v>
      </c>
      <c r="B30666" s="51" t="n">
        <v>45</v>
      </c>
      <c r="C30666" s="7" t="n">
        <v>11</v>
      </c>
      <c r="D30666" s="7" t="n">
        <v>3</v>
      </c>
      <c r="E30666" s="7" t="n">
        <v>40.2999992370605</v>
      </c>
      <c r="F30666" s="7" t="n">
        <v>0</v>
      </c>
    </row>
    <row r="30667" spans="1:7">
      <c r="A30667" t="s">
        <v>4</v>
      </c>
      <c r="B30667" s="4" t="s">
        <v>5</v>
      </c>
      <c r="C30667" s="4" t="s">
        <v>7</v>
      </c>
      <c r="D30667" s="4" t="s">
        <v>7</v>
      </c>
      <c r="E30667" s="4" t="s">
        <v>13</v>
      </c>
      <c r="F30667" s="4" t="s">
        <v>13</v>
      </c>
      <c r="G30667" s="4" t="s">
        <v>13</v>
      </c>
      <c r="H30667" s="4" t="s">
        <v>11</v>
      </c>
    </row>
    <row r="30668" spans="1:7">
      <c r="A30668" t="n">
        <v>298421</v>
      </c>
      <c r="B30668" s="51" t="n">
        <v>45</v>
      </c>
      <c r="C30668" s="7" t="n">
        <v>2</v>
      </c>
      <c r="D30668" s="7" t="n">
        <v>3</v>
      </c>
      <c r="E30668" s="7" t="n">
        <v>-9.10000038146973</v>
      </c>
      <c r="F30668" s="7" t="n">
        <v>6.75</v>
      </c>
      <c r="G30668" s="7" t="n">
        <v>31.9699993133545</v>
      </c>
      <c r="H30668" s="7" t="n">
        <v>6000</v>
      </c>
    </row>
    <row r="30669" spans="1:7">
      <c r="A30669" t="s">
        <v>4</v>
      </c>
      <c r="B30669" s="4" t="s">
        <v>5</v>
      </c>
      <c r="C30669" s="4" t="s">
        <v>7</v>
      </c>
      <c r="D30669" s="4" t="s">
        <v>7</v>
      </c>
      <c r="E30669" s="4" t="s">
        <v>13</v>
      </c>
      <c r="F30669" s="4" t="s">
        <v>13</v>
      </c>
      <c r="G30669" s="4" t="s">
        <v>13</v>
      </c>
      <c r="H30669" s="4" t="s">
        <v>11</v>
      </c>
      <c r="I30669" s="4" t="s">
        <v>7</v>
      </c>
    </row>
    <row r="30670" spans="1:7">
      <c r="A30670" t="n">
        <v>298438</v>
      </c>
      <c r="B30670" s="51" t="n">
        <v>45</v>
      </c>
      <c r="C30670" s="7" t="n">
        <v>4</v>
      </c>
      <c r="D30670" s="7" t="n">
        <v>3</v>
      </c>
      <c r="E30670" s="7" t="n">
        <v>0.0299999993294477</v>
      </c>
      <c r="F30670" s="7" t="n">
        <v>90</v>
      </c>
      <c r="G30670" s="7" t="n">
        <v>0</v>
      </c>
      <c r="H30670" s="7" t="n">
        <v>6000</v>
      </c>
      <c r="I30670" s="7" t="n">
        <v>0</v>
      </c>
    </row>
    <row r="30671" spans="1:7">
      <c r="A30671" t="s">
        <v>4</v>
      </c>
      <c r="B30671" s="4" t="s">
        <v>5</v>
      </c>
      <c r="C30671" s="4" t="s">
        <v>7</v>
      </c>
      <c r="D30671" s="4" t="s">
        <v>7</v>
      </c>
      <c r="E30671" s="4" t="s">
        <v>13</v>
      </c>
      <c r="F30671" s="4" t="s">
        <v>11</v>
      </c>
    </row>
    <row r="30672" spans="1:7">
      <c r="A30672" t="n">
        <v>298456</v>
      </c>
      <c r="B30672" s="51" t="n">
        <v>45</v>
      </c>
      <c r="C30672" s="7" t="n">
        <v>5</v>
      </c>
      <c r="D30672" s="7" t="n">
        <v>3</v>
      </c>
      <c r="E30672" s="7" t="n">
        <v>1.79999995231628</v>
      </c>
      <c r="F30672" s="7" t="n">
        <v>6000</v>
      </c>
    </row>
    <row r="30673" spans="1:9">
      <c r="A30673" t="s">
        <v>4</v>
      </c>
      <c r="B30673" s="4" t="s">
        <v>5</v>
      </c>
      <c r="C30673" s="4" t="s">
        <v>8</v>
      </c>
      <c r="D30673" s="4" t="s">
        <v>8</v>
      </c>
    </row>
    <row r="30674" spans="1:9">
      <c r="A30674" t="n">
        <v>298465</v>
      </c>
      <c r="B30674" s="52" t="n">
        <v>70</v>
      </c>
      <c r="C30674" s="7" t="s">
        <v>25</v>
      </c>
      <c r="D30674" s="7" t="s">
        <v>109</v>
      </c>
    </row>
    <row r="30675" spans="1:9">
      <c r="A30675" t="s">
        <v>4</v>
      </c>
      <c r="B30675" s="4" t="s">
        <v>5</v>
      </c>
      <c r="C30675" s="4" t="s">
        <v>7</v>
      </c>
      <c r="D30675" s="4" t="s">
        <v>11</v>
      </c>
      <c r="E30675" s="4" t="s">
        <v>13</v>
      </c>
    </row>
    <row r="30676" spans="1:9">
      <c r="A30676" t="n">
        <v>298482</v>
      </c>
      <c r="B30676" s="23" t="n">
        <v>58</v>
      </c>
      <c r="C30676" s="7" t="n">
        <v>100</v>
      </c>
      <c r="D30676" s="7" t="n">
        <v>1000</v>
      </c>
      <c r="E30676" s="7" t="n">
        <v>1</v>
      </c>
    </row>
    <row r="30677" spans="1:9">
      <c r="A30677" t="s">
        <v>4</v>
      </c>
      <c r="B30677" s="4" t="s">
        <v>5</v>
      </c>
      <c r="C30677" s="4" t="s">
        <v>7</v>
      </c>
      <c r="D30677" s="4" t="s">
        <v>11</v>
      </c>
    </row>
    <row r="30678" spans="1:9">
      <c r="A30678" t="n">
        <v>298490</v>
      </c>
      <c r="B30678" s="23" t="n">
        <v>58</v>
      </c>
      <c r="C30678" s="7" t="n">
        <v>255</v>
      </c>
      <c r="D30678" s="7" t="n">
        <v>0</v>
      </c>
    </row>
    <row r="30679" spans="1:9">
      <c r="A30679" t="s">
        <v>4</v>
      </c>
      <c r="B30679" s="4" t="s">
        <v>5</v>
      </c>
      <c r="C30679" s="4" t="s">
        <v>7</v>
      </c>
      <c r="D30679" s="4" t="s">
        <v>8</v>
      </c>
      <c r="E30679" s="4" t="s">
        <v>11</v>
      </c>
    </row>
    <row r="30680" spans="1:9">
      <c r="A30680" t="n">
        <v>298494</v>
      </c>
      <c r="B30680" s="15" t="n">
        <v>94</v>
      </c>
      <c r="C30680" s="7" t="n">
        <v>1</v>
      </c>
      <c r="D30680" s="7" t="s">
        <v>25</v>
      </c>
      <c r="E30680" s="7" t="n">
        <v>512</v>
      </c>
    </row>
    <row r="30681" spans="1:9">
      <c r="A30681" t="s">
        <v>4</v>
      </c>
      <c r="B30681" s="4" t="s">
        <v>5</v>
      </c>
      <c r="C30681" s="4" t="s">
        <v>11</v>
      </c>
    </row>
    <row r="30682" spans="1:9">
      <c r="A30682" t="n">
        <v>298508</v>
      </c>
      <c r="B30682" s="29" t="n">
        <v>16</v>
      </c>
      <c r="C30682" s="7" t="n">
        <v>4000</v>
      </c>
    </row>
    <row r="30683" spans="1:9">
      <c r="A30683" t="s">
        <v>4</v>
      </c>
      <c r="B30683" s="4" t="s">
        <v>5</v>
      </c>
      <c r="C30683" s="4" t="s">
        <v>11</v>
      </c>
      <c r="D30683" s="4" t="s">
        <v>7</v>
      </c>
      <c r="E30683" s="4" t="s">
        <v>13</v>
      </c>
      <c r="F30683" s="4" t="s">
        <v>11</v>
      </c>
    </row>
    <row r="30684" spans="1:9">
      <c r="A30684" t="n">
        <v>298511</v>
      </c>
      <c r="B30684" s="56" t="n">
        <v>59</v>
      </c>
      <c r="C30684" s="7" t="n">
        <v>0</v>
      </c>
      <c r="D30684" s="7" t="n">
        <v>9</v>
      </c>
      <c r="E30684" s="7" t="n">
        <v>0.150000005960464</v>
      </c>
      <c r="F30684" s="7" t="n">
        <v>0</v>
      </c>
    </row>
    <row r="30685" spans="1:9">
      <c r="A30685" t="s">
        <v>4</v>
      </c>
      <c r="B30685" s="4" t="s">
        <v>5</v>
      </c>
      <c r="C30685" s="4" t="s">
        <v>11</v>
      </c>
      <c r="D30685" s="4" t="s">
        <v>7</v>
      </c>
      <c r="E30685" s="4" t="s">
        <v>13</v>
      </c>
      <c r="F30685" s="4" t="s">
        <v>11</v>
      </c>
    </row>
    <row r="30686" spans="1:9">
      <c r="A30686" t="n">
        <v>298521</v>
      </c>
      <c r="B30686" s="56" t="n">
        <v>59</v>
      </c>
      <c r="C30686" s="7" t="n">
        <v>11</v>
      </c>
      <c r="D30686" s="7" t="n">
        <v>9</v>
      </c>
      <c r="E30686" s="7" t="n">
        <v>0.150000005960464</v>
      </c>
      <c r="F30686" s="7" t="n">
        <v>0</v>
      </c>
    </row>
    <row r="30687" spans="1:9">
      <c r="A30687" t="s">
        <v>4</v>
      </c>
      <c r="B30687" s="4" t="s">
        <v>5</v>
      </c>
      <c r="C30687" s="4" t="s">
        <v>11</v>
      </c>
    </row>
    <row r="30688" spans="1:9">
      <c r="A30688" t="n">
        <v>298531</v>
      </c>
      <c r="B30688" s="29" t="n">
        <v>16</v>
      </c>
      <c r="C30688" s="7" t="n">
        <v>1500</v>
      </c>
    </row>
    <row r="30689" spans="1:6">
      <c r="A30689" t="s">
        <v>4</v>
      </c>
      <c r="B30689" s="4" t="s">
        <v>5</v>
      </c>
      <c r="C30689" s="4" t="s">
        <v>7</v>
      </c>
      <c r="D30689" s="4" t="s">
        <v>11</v>
      </c>
    </row>
    <row r="30690" spans="1:6">
      <c r="A30690" t="n">
        <v>298534</v>
      </c>
      <c r="B30690" s="51" t="n">
        <v>45</v>
      </c>
      <c r="C30690" s="7" t="n">
        <v>7</v>
      </c>
      <c r="D30690" s="7" t="n">
        <v>255</v>
      </c>
    </row>
    <row r="30691" spans="1:6">
      <c r="A30691" t="s">
        <v>4</v>
      </c>
      <c r="B30691" s="4" t="s">
        <v>5</v>
      </c>
      <c r="C30691" s="4" t="s">
        <v>7</v>
      </c>
      <c r="D30691" s="4" t="s">
        <v>11</v>
      </c>
      <c r="E30691" s="4" t="s">
        <v>13</v>
      </c>
    </row>
    <row r="30692" spans="1:6">
      <c r="A30692" t="n">
        <v>298538</v>
      </c>
      <c r="B30692" s="23" t="n">
        <v>58</v>
      </c>
      <c r="C30692" s="7" t="n">
        <v>0</v>
      </c>
      <c r="D30692" s="7" t="n">
        <v>2000</v>
      </c>
      <c r="E30692" s="7" t="n">
        <v>1</v>
      </c>
    </row>
    <row r="30693" spans="1:6">
      <c r="A30693" t="s">
        <v>4</v>
      </c>
      <c r="B30693" s="4" t="s">
        <v>5</v>
      </c>
      <c r="C30693" s="4" t="s">
        <v>7</v>
      </c>
      <c r="D30693" s="4" t="s">
        <v>11</v>
      </c>
    </row>
    <row r="30694" spans="1:6">
      <c r="A30694" t="n">
        <v>298546</v>
      </c>
      <c r="B30694" s="23" t="n">
        <v>58</v>
      </c>
      <c r="C30694" s="7" t="n">
        <v>255</v>
      </c>
      <c r="D30694" s="7" t="n">
        <v>0</v>
      </c>
    </row>
    <row r="30695" spans="1:6">
      <c r="A30695" t="s">
        <v>4</v>
      </c>
      <c r="B30695" s="4" t="s">
        <v>5</v>
      </c>
      <c r="C30695" s="4" t="s">
        <v>7</v>
      </c>
      <c r="D30695" s="4" t="s">
        <v>7</v>
      </c>
      <c r="E30695" s="4" t="s">
        <v>13</v>
      </c>
      <c r="F30695" s="4" t="s">
        <v>13</v>
      </c>
      <c r="G30695" s="4" t="s">
        <v>13</v>
      </c>
      <c r="H30695" s="4" t="s">
        <v>11</v>
      </c>
    </row>
    <row r="30696" spans="1:6">
      <c r="A30696" t="n">
        <v>298550</v>
      </c>
      <c r="B30696" s="51" t="n">
        <v>45</v>
      </c>
      <c r="C30696" s="7" t="n">
        <v>2</v>
      </c>
      <c r="D30696" s="7" t="n">
        <v>3</v>
      </c>
      <c r="E30696" s="7" t="n">
        <v>-7.84000015258789</v>
      </c>
      <c r="F30696" s="7" t="n">
        <v>7.17000007629395</v>
      </c>
      <c r="G30696" s="7" t="n">
        <v>31.6599998474121</v>
      </c>
      <c r="H30696" s="7" t="n">
        <v>0</v>
      </c>
    </row>
    <row r="30697" spans="1:6">
      <c r="A30697" t="s">
        <v>4</v>
      </c>
      <c r="B30697" s="4" t="s">
        <v>5</v>
      </c>
      <c r="C30697" s="4" t="s">
        <v>7</v>
      </c>
      <c r="D30697" s="4" t="s">
        <v>7</v>
      </c>
      <c r="E30697" s="4" t="s">
        <v>13</v>
      </c>
      <c r="F30697" s="4" t="s">
        <v>13</v>
      </c>
      <c r="G30697" s="4" t="s">
        <v>13</v>
      </c>
      <c r="H30697" s="4" t="s">
        <v>11</v>
      </c>
      <c r="I30697" s="4" t="s">
        <v>7</v>
      </c>
    </row>
    <row r="30698" spans="1:6">
      <c r="A30698" t="n">
        <v>298567</v>
      </c>
      <c r="B30698" s="51" t="n">
        <v>45</v>
      </c>
      <c r="C30698" s="7" t="n">
        <v>4</v>
      </c>
      <c r="D30698" s="7" t="n">
        <v>3</v>
      </c>
      <c r="E30698" s="7" t="n">
        <v>9.01000022888184</v>
      </c>
      <c r="F30698" s="7" t="n">
        <v>55.7900009155273</v>
      </c>
      <c r="G30698" s="7" t="n">
        <v>0</v>
      </c>
      <c r="H30698" s="7" t="n">
        <v>0</v>
      </c>
      <c r="I30698" s="7" t="n">
        <v>0</v>
      </c>
    </row>
    <row r="30699" spans="1:6">
      <c r="A30699" t="s">
        <v>4</v>
      </c>
      <c r="B30699" s="4" t="s">
        <v>5</v>
      </c>
      <c r="C30699" s="4" t="s">
        <v>7</v>
      </c>
      <c r="D30699" s="4" t="s">
        <v>7</v>
      </c>
      <c r="E30699" s="4" t="s">
        <v>13</v>
      </c>
      <c r="F30699" s="4" t="s">
        <v>11</v>
      </c>
    </row>
    <row r="30700" spans="1:6">
      <c r="A30700" t="n">
        <v>298585</v>
      </c>
      <c r="B30700" s="51" t="n">
        <v>45</v>
      </c>
      <c r="C30700" s="7" t="n">
        <v>5</v>
      </c>
      <c r="D30700" s="7" t="n">
        <v>3</v>
      </c>
      <c r="E30700" s="7" t="n">
        <v>2.40000009536743</v>
      </c>
      <c r="F30700" s="7" t="n">
        <v>0</v>
      </c>
    </row>
    <row r="30701" spans="1:6">
      <c r="A30701" t="s">
        <v>4</v>
      </c>
      <c r="B30701" s="4" t="s">
        <v>5</v>
      </c>
      <c r="C30701" s="4" t="s">
        <v>7</v>
      </c>
      <c r="D30701" s="4" t="s">
        <v>7</v>
      </c>
      <c r="E30701" s="4" t="s">
        <v>13</v>
      </c>
      <c r="F30701" s="4" t="s">
        <v>11</v>
      </c>
    </row>
    <row r="30702" spans="1:6">
      <c r="A30702" t="n">
        <v>298594</v>
      </c>
      <c r="B30702" s="51" t="n">
        <v>45</v>
      </c>
      <c r="C30702" s="7" t="n">
        <v>11</v>
      </c>
      <c r="D30702" s="7" t="n">
        <v>3</v>
      </c>
      <c r="E30702" s="7" t="n">
        <v>40.2999992370605</v>
      </c>
      <c r="F30702" s="7" t="n">
        <v>0</v>
      </c>
    </row>
    <row r="30703" spans="1:6">
      <c r="A30703" t="s">
        <v>4</v>
      </c>
      <c r="B30703" s="4" t="s">
        <v>5</v>
      </c>
      <c r="C30703" s="4" t="s">
        <v>7</v>
      </c>
      <c r="D30703" s="4" t="s">
        <v>7</v>
      </c>
      <c r="E30703" s="4" t="s">
        <v>13</v>
      </c>
      <c r="F30703" s="4" t="s">
        <v>13</v>
      </c>
      <c r="G30703" s="4" t="s">
        <v>13</v>
      </c>
      <c r="H30703" s="4" t="s">
        <v>11</v>
      </c>
    </row>
    <row r="30704" spans="1:6">
      <c r="A30704" t="n">
        <v>298603</v>
      </c>
      <c r="B30704" s="51" t="n">
        <v>45</v>
      </c>
      <c r="C30704" s="7" t="n">
        <v>2</v>
      </c>
      <c r="D30704" s="7" t="n">
        <v>3</v>
      </c>
      <c r="E30704" s="7" t="n">
        <v>-6.8899998664856</v>
      </c>
      <c r="F30704" s="7" t="n">
        <v>6.26999998092651</v>
      </c>
      <c r="G30704" s="7" t="n">
        <v>30.0599994659424</v>
      </c>
      <c r="H30704" s="7" t="n">
        <v>6000</v>
      </c>
    </row>
    <row r="30705" spans="1:9">
      <c r="A30705" t="s">
        <v>4</v>
      </c>
      <c r="B30705" s="4" t="s">
        <v>5</v>
      </c>
      <c r="C30705" s="4" t="s">
        <v>7</v>
      </c>
      <c r="D30705" s="4" t="s">
        <v>7</v>
      </c>
      <c r="E30705" s="4" t="s">
        <v>13</v>
      </c>
      <c r="F30705" s="4" t="s">
        <v>13</v>
      </c>
      <c r="G30705" s="4" t="s">
        <v>13</v>
      </c>
      <c r="H30705" s="4" t="s">
        <v>11</v>
      </c>
      <c r="I30705" s="4" t="s">
        <v>7</v>
      </c>
    </row>
    <row r="30706" spans="1:9">
      <c r="A30706" t="n">
        <v>298620</v>
      </c>
      <c r="B30706" s="51" t="n">
        <v>45</v>
      </c>
      <c r="C30706" s="7" t="n">
        <v>4</v>
      </c>
      <c r="D30706" s="7" t="n">
        <v>3</v>
      </c>
      <c r="E30706" s="7" t="n">
        <v>6.73999977111816</v>
      </c>
      <c r="F30706" s="7" t="n">
        <v>13.6199998855591</v>
      </c>
      <c r="G30706" s="7" t="n">
        <v>0</v>
      </c>
      <c r="H30706" s="7" t="n">
        <v>6000</v>
      </c>
      <c r="I30706" s="7" t="n">
        <v>1</v>
      </c>
    </row>
    <row r="30707" spans="1:9">
      <c r="A30707" t="s">
        <v>4</v>
      </c>
      <c r="B30707" s="4" t="s">
        <v>5</v>
      </c>
      <c r="C30707" s="4" t="s">
        <v>11</v>
      </c>
      <c r="D30707" s="4" t="s">
        <v>13</v>
      </c>
      <c r="E30707" s="4" t="s">
        <v>13</v>
      </c>
      <c r="F30707" s="4" t="s">
        <v>13</v>
      </c>
      <c r="G30707" s="4" t="s">
        <v>13</v>
      </c>
    </row>
    <row r="30708" spans="1:9">
      <c r="A30708" t="n">
        <v>298638</v>
      </c>
      <c r="B30708" s="36" t="n">
        <v>46</v>
      </c>
      <c r="C30708" s="7" t="n">
        <v>0</v>
      </c>
      <c r="D30708" s="7" t="n">
        <v>-6.51000022888184</v>
      </c>
      <c r="E30708" s="7" t="n">
        <v>5</v>
      </c>
      <c r="F30708" s="7" t="n">
        <v>29.8999996185303</v>
      </c>
      <c r="G30708" s="7" t="n">
        <v>208</v>
      </c>
    </row>
    <row r="30709" spans="1:9">
      <c r="A30709" t="s">
        <v>4</v>
      </c>
      <c r="B30709" s="4" t="s">
        <v>5</v>
      </c>
      <c r="C30709" s="4" t="s">
        <v>11</v>
      </c>
      <c r="D30709" s="4" t="s">
        <v>13</v>
      </c>
      <c r="E30709" s="4" t="s">
        <v>13</v>
      </c>
      <c r="F30709" s="4" t="s">
        <v>13</v>
      </c>
      <c r="G30709" s="4" t="s">
        <v>13</v>
      </c>
    </row>
    <row r="30710" spans="1:9">
      <c r="A30710" t="n">
        <v>298657</v>
      </c>
      <c r="B30710" s="36" t="n">
        <v>46</v>
      </c>
      <c r="C30710" s="7" t="n">
        <v>11</v>
      </c>
      <c r="D30710" s="7" t="n">
        <v>-7.44999980926514</v>
      </c>
      <c r="E30710" s="7" t="n">
        <v>5</v>
      </c>
      <c r="F30710" s="7" t="n">
        <v>29.7999992370605</v>
      </c>
      <c r="G30710" s="7" t="n">
        <v>151.199996948242</v>
      </c>
    </row>
    <row r="30711" spans="1:9">
      <c r="A30711" t="s">
        <v>4</v>
      </c>
      <c r="B30711" s="4" t="s">
        <v>5</v>
      </c>
      <c r="C30711" s="4" t="s">
        <v>8</v>
      </c>
      <c r="D30711" s="4" t="s">
        <v>8</v>
      </c>
    </row>
    <row r="30712" spans="1:9">
      <c r="A30712" t="n">
        <v>298676</v>
      </c>
      <c r="B30712" s="52" t="n">
        <v>70</v>
      </c>
      <c r="C30712" s="7" t="s">
        <v>25</v>
      </c>
      <c r="D30712" s="7" t="s">
        <v>118</v>
      </c>
    </row>
    <row r="30713" spans="1:9">
      <c r="A30713" t="s">
        <v>4</v>
      </c>
      <c r="B30713" s="4" t="s">
        <v>5</v>
      </c>
      <c r="C30713" s="4" t="s">
        <v>11</v>
      </c>
      <c r="D30713" s="4" t="s">
        <v>11</v>
      </c>
      <c r="E30713" s="4" t="s">
        <v>11</v>
      </c>
    </row>
    <row r="30714" spans="1:9">
      <c r="A30714" t="n">
        <v>298692</v>
      </c>
      <c r="B30714" s="72" t="n">
        <v>61</v>
      </c>
      <c r="C30714" s="7" t="n">
        <v>0</v>
      </c>
      <c r="D30714" s="7" t="n">
        <v>11</v>
      </c>
      <c r="E30714" s="7" t="n">
        <v>0</v>
      </c>
    </row>
    <row r="30715" spans="1:9">
      <c r="A30715" t="s">
        <v>4</v>
      </c>
      <c r="B30715" s="4" t="s">
        <v>5</v>
      </c>
      <c r="C30715" s="4" t="s">
        <v>11</v>
      </c>
      <c r="D30715" s="4" t="s">
        <v>11</v>
      </c>
      <c r="E30715" s="4" t="s">
        <v>11</v>
      </c>
    </row>
    <row r="30716" spans="1:9">
      <c r="A30716" t="n">
        <v>298699</v>
      </c>
      <c r="B30716" s="72" t="n">
        <v>61</v>
      </c>
      <c r="C30716" s="7" t="n">
        <v>11</v>
      </c>
      <c r="D30716" s="7" t="n">
        <v>0</v>
      </c>
      <c r="E30716" s="7" t="n">
        <v>0</v>
      </c>
    </row>
    <row r="30717" spans="1:9">
      <c r="A30717" t="s">
        <v>4</v>
      </c>
      <c r="B30717" s="4" t="s">
        <v>5</v>
      </c>
      <c r="C30717" s="4" t="s">
        <v>7</v>
      </c>
      <c r="D30717" s="4" t="s">
        <v>11</v>
      </c>
      <c r="E30717" s="4" t="s">
        <v>13</v>
      </c>
    </row>
    <row r="30718" spans="1:9">
      <c r="A30718" t="n">
        <v>298706</v>
      </c>
      <c r="B30718" s="23" t="n">
        <v>58</v>
      </c>
      <c r="C30718" s="7" t="n">
        <v>100</v>
      </c>
      <c r="D30718" s="7" t="n">
        <v>1000</v>
      </c>
      <c r="E30718" s="7" t="n">
        <v>1</v>
      </c>
    </row>
    <row r="30719" spans="1:9">
      <c r="A30719" t="s">
        <v>4</v>
      </c>
      <c r="B30719" s="4" t="s">
        <v>5</v>
      </c>
      <c r="C30719" s="4" t="s">
        <v>7</v>
      </c>
      <c r="D30719" s="4" t="s">
        <v>11</v>
      </c>
    </row>
    <row r="30720" spans="1:9">
      <c r="A30720" t="n">
        <v>298714</v>
      </c>
      <c r="B30720" s="23" t="n">
        <v>58</v>
      </c>
      <c r="C30720" s="7" t="n">
        <v>255</v>
      </c>
      <c r="D30720" s="7" t="n">
        <v>0</v>
      </c>
    </row>
    <row r="30721" spans="1:9">
      <c r="A30721" t="s">
        <v>4</v>
      </c>
      <c r="B30721" s="4" t="s">
        <v>5</v>
      </c>
      <c r="C30721" s="4" t="s">
        <v>11</v>
      </c>
    </row>
    <row r="30722" spans="1:9">
      <c r="A30722" t="n">
        <v>298718</v>
      </c>
      <c r="B30722" s="29" t="n">
        <v>16</v>
      </c>
      <c r="C30722" s="7" t="n">
        <v>1000</v>
      </c>
    </row>
    <row r="30723" spans="1:9">
      <c r="A30723" t="s">
        <v>4</v>
      </c>
      <c r="B30723" s="4" t="s">
        <v>5</v>
      </c>
      <c r="C30723" s="4" t="s">
        <v>7</v>
      </c>
      <c r="D30723" s="4" t="s">
        <v>11</v>
      </c>
    </row>
    <row r="30724" spans="1:9">
      <c r="A30724" t="n">
        <v>298721</v>
      </c>
      <c r="B30724" s="51" t="n">
        <v>45</v>
      </c>
      <c r="C30724" s="7" t="n">
        <v>7</v>
      </c>
      <c r="D30724" s="7" t="n">
        <v>255</v>
      </c>
    </row>
    <row r="30725" spans="1:9">
      <c r="A30725" t="s">
        <v>4</v>
      </c>
      <c r="B30725" s="4" t="s">
        <v>5</v>
      </c>
      <c r="C30725" s="4" t="s">
        <v>7</v>
      </c>
      <c r="D30725" s="4" t="s">
        <v>11</v>
      </c>
      <c r="E30725" s="4" t="s">
        <v>13</v>
      </c>
    </row>
    <row r="30726" spans="1:9">
      <c r="A30726" t="n">
        <v>298725</v>
      </c>
      <c r="B30726" s="23" t="n">
        <v>58</v>
      </c>
      <c r="C30726" s="7" t="n">
        <v>101</v>
      </c>
      <c r="D30726" s="7" t="n">
        <v>500</v>
      </c>
      <c r="E30726" s="7" t="n">
        <v>1</v>
      </c>
    </row>
    <row r="30727" spans="1:9">
      <c r="A30727" t="s">
        <v>4</v>
      </c>
      <c r="B30727" s="4" t="s">
        <v>5</v>
      </c>
      <c r="C30727" s="4" t="s">
        <v>7</v>
      </c>
      <c r="D30727" s="4" t="s">
        <v>11</v>
      </c>
    </row>
    <row r="30728" spans="1:9">
      <c r="A30728" t="n">
        <v>298733</v>
      </c>
      <c r="B30728" s="23" t="n">
        <v>58</v>
      </c>
      <c r="C30728" s="7" t="n">
        <v>254</v>
      </c>
      <c r="D30728" s="7" t="n">
        <v>0</v>
      </c>
    </row>
    <row r="30729" spans="1:9">
      <c r="A30729" t="s">
        <v>4</v>
      </c>
      <c r="B30729" s="4" t="s">
        <v>5</v>
      </c>
      <c r="C30729" s="4" t="s">
        <v>7</v>
      </c>
      <c r="D30729" s="4" t="s">
        <v>11</v>
      </c>
      <c r="E30729" s="4" t="s">
        <v>8</v>
      </c>
      <c r="F30729" s="4" t="s">
        <v>8</v>
      </c>
      <c r="G30729" s="4" t="s">
        <v>8</v>
      </c>
      <c r="H30729" s="4" t="s">
        <v>8</v>
      </c>
    </row>
    <row r="30730" spans="1:9">
      <c r="A30730" t="n">
        <v>298737</v>
      </c>
      <c r="B30730" s="38" t="n">
        <v>51</v>
      </c>
      <c r="C30730" s="7" t="n">
        <v>3</v>
      </c>
      <c r="D30730" s="7" t="n">
        <v>11</v>
      </c>
      <c r="E30730" s="7" t="s">
        <v>79</v>
      </c>
      <c r="F30730" s="7" t="s">
        <v>79</v>
      </c>
      <c r="G30730" s="7" t="s">
        <v>78</v>
      </c>
      <c r="H30730" s="7" t="s">
        <v>79</v>
      </c>
    </row>
    <row r="30731" spans="1:9">
      <c r="A30731" t="s">
        <v>4</v>
      </c>
      <c r="B30731" s="4" t="s">
        <v>5</v>
      </c>
      <c r="C30731" s="4" t="s">
        <v>7</v>
      </c>
      <c r="D30731" s="4" t="s">
        <v>11</v>
      </c>
      <c r="E30731" s="4" t="s">
        <v>11</v>
      </c>
      <c r="F30731" s="4" t="s">
        <v>15</v>
      </c>
      <c r="G30731" s="4" t="s">
        <v>15</v>
      </c>
      <c r="H30731" s="4" t="s">
        <v>15</v>
      </c>
    </row>
    <row r="30732" spans="1:9">
      <c r="A30732" t="n">
        <v>298750</v>
      </c>
      <c r="B30732" s="77" t="n">
        <v>97</v>
      </c>
      <c r="C30732" s="7" t="n">
        <v>6</v>
      </c>
      <c r="D30732" s="7" t="n">
        <v>0</v>
      </c>
      <c r="E30732" s="7" t="n">
        <v>0</v>
      </c>
      <c r="F30732" s="7" t="n">
        <v>-1065143501</v>
      </c>
      <c r="G30732" s="7" t="n">
        <v>1101004800</v>
      </c>
      <c r="H30732" s="7" t="n">
        <v>1101004800</v>
      </c>
    </row>
    <row r="30733" spans="1:9">
      <c r="A30733" t="s">
        <v>4</v>
      </c>
      <c r="B30733" s="4" t="s">
        <v>5</v>
      </c>
      <c r="C30733" s="4" t="s">
        <v>7</v>
      </c>
      <c r="D30733" s="4" t="s">
        <v>7</v>
      </c>
      <c r="E30733" s="4" t="s">
        <v>13</v>
      </c>
      <c r="F30733" s="4" t="s">
        <v>13</v>
      </c>
      <c r="G30733" s="4" t="s">
        <v>13</v>
      </c>
      <c r="H30733" s="4" t="s">
        <v>11</v>
      </c>
    </row>
    <row r="30734" spans="1:9">
      <c r="A30734" t="n">
        <v>298768</v>
      </c>
      <c r="B30734" s="51" t="n">
        <v>45</v>
      </c>
      <c r="C30734" s="7" t="n">
        <v>2</v>
      </c>
      <c r="D30734" s="7" t="n">
        <v>3</v>
      </c>
      <c r="E30734" s="7" t="n">
        <v>-6.86999988555908</v>
      </c>
      <c r="F30734" s="7" t="n">
        <v>6.42999982833862</v>
      </c>
      <c r="G30734" s="7" t="n">
        <v>29.8400001525879</v>
      </c>
      <c r="H30734" s="7" t="n">
        <v>0</v>
      </c>
    </row>
    <row r="30735" spans="1:9">
      <c r="A30735" t="s">
        <v>4</v>
      </c>
      <c r="B30735" s="4" t="s">
        <v>5</v>
      </c>
      <c r="C30735" s="4" t="s">
        <v>7</v>
      </c>
      <c r="D30735" s="4" t="s">
        <v>7</v>
      </c>
      <c r="E30735" s="4" t="s">
        <v>13</v>
      </c>
      <c r="F30735" s="4" t="s">
        <v>13</v>
      </c>
      <c r="G30735" s="4" t="s">
        <v>13</v>
      </c>
      <c r="H30735" s="4" t="s">
        <v>11</v>
      </c>
      <c r="I30735" s="4" t="s">
        <v>7</v>
      </c>
    </row>
    <row r="30736" spans="1:9">
      <c r="A30736" t="n">
        <v>298785</v>
      </c>
      <c r="B30736" s="51" t="n">
        <v>45</v>
      </c>
      <c r="C30736" s="7" t="n">
        <v>4</v>
      </c>
      <c r="D30736" s="7" t="n">
        <v>3</v>
      </c>
      <c r="E30736" s="7" t="n">
        <v>13.3000001907349</v>
      </c>
      <c r="F30736" s="7" t="n">
        <v>135.5</v>
      </c>
      <c r="G30736" s="7" t="n">
        <v>0</v>
      </c>
      <c r="H30736" s="7" t="n">
        <v>0</v>
      </c>
      <c r="I30736" s="7" t="n">
        <v>0</v>
      </c>
    </row>
    <row r="30737" spans="1:9">
      <c r="A30737" t="s">
        <v>4</v>
      </c>
      <c r="B30737" s="4" t="s">
        <v>5</v>
      </c>
      <c r="C30737" s="4" t="s">
        <v>7</v>
      </c>
      <c r="D30737" s="4" t="s">
        <v>7</v>
      </c>
      <c r="E30737" s="4" t="s">
        <v>13</v>
      </c>
      <c r="F30737" s="4" t="s">
        <v>11</v>
      </c>
    </row>
    <row r="30738" spans="1:9">
      <c r="A30738" t="n">
        <v>298803</v>
      </c>
      <c r="B30738" s="51" t="n">
        <v>45</v>
      </c>
      <c r="C30738" s="7" t="n">
        <v>5</v>
      </c>
      <c r="D30738" s="7" t="n">
        <v>3</v>
      </c>
      <c r="E30738" s="7" t="n">
        <v>1.29999995231628</v>
      </c>
      <c r="F30738" s="7" t="n">
        <v>0</v>
      </c>
    </row>
    <row r="30739" spans="1:9">
      <c r="A30739" t="s">
        <v>4</v>
      </c>
      <c r="B30739" s="4" t="s">
        <v>5</v>
      </c>
      <c r="C30739" s="4" t="s">
        <v>7</v>
      </c>
      <c r="D30739" s="4" t="s">
        <v>7</v>
      </c>
      <c r="E30739" s="4" t="s">
        <v>13</v>
      </c>
      <c r="F30739" s="4" t="s">
        <v>11</v>
      </c>
    </row>
    <row r="30740" spans="1:9">
      <c r="A30740" t="n">
        <v>298812</v>
      </c>
      <c r="B30740" s="51" t="n">
        <v>45</v>
      </c>
      <c r="C30740" s="7" t="n">
        <v>11</v>
      </c>
      <c r="D30740" s="7" t="n">
        <v>3</v>
      </c>
      <c r="E30740" s="7" t="n">
        <v>40.2999992370605</v>
      </c>
      <c r="F30740" s="7" t="n">
        <v>0</v>
      </c>
    </row>
    <row r="30741" spans="1:9">
      <c r="A30741" t="s">
        <v>4</v>
      </c>
      <c r="B30741" s="4" t="s">
        <v>5</v>
      </c>
      <c r="C30741" s="4" t="s">
        <v>7</v>
      </c>
      <c r="D30741" s="4" t="s">
        <v>11</v>
      </c>
    </row>
    <row r="30742" spans="1:9">
      <c r="A30742" t="n">
        <v>298821</v>
      </c>
      <c r="B30742" s="23" t="n">
        <v>58</v>
      </c>
      <c r="C30742" s="7" t="n">
        <v>255</v>
      </c>
      <c r="D30742" s="7" t="n">
        <v>0</v>
      </c>
    </row>
    <row r="30743" spans="1:9">
      <c r="A30743" t="s">
        <v>4</v>
      </c>
      <c r="B30743" s="4" t="s">
        <v>5</v>
      </c>
      <c r="C30743" s="4" t="s">
        <v>7</v>
      </c>
      <c r="D30743" s="4" t="s">
        <v>11</v>
      </c>
      <c r="E30743" s="4" t="s">
        <v>8</v>
      </c>
    </row>
    <row r="30744" spans="1:9">
      <c r="A30744" t="n">
        <v>298825</v>
      </c>
      <c r="B30744" s="38" t="n">
        <v>51</v>
      </c>
      <c r="C30744" s="7" t="n">
        <v>4</v>
      </c>
      <c r="D30744" s="7" t="n">
        <v>11</v>
      </c>
      <c r="E30744" s="7" t="s">
        <v>658</v>
      </c>
    </row>
    <row r="30745" spans="1:9">
      <c r="A30745" t="s">
        <v>4</v>
      </c>
      <c r="B30745" s="4" t="s">
        <v>5</v>
      </c>
      <c r="C30745" s="4" t="s">
        <v>11</v>
      </c>
    </row>
    <row r="30746" spans="1:9">
      <c r="A30746" t="n">
        <v>298839</v>
      </c>
      <c r="B30746" s="29" t="n">
        <v>16</v>
      </c>
      <c r="C30746" s="7" t="n">
        <v>0</v>
      </c>
    </row>
    <row r="30747" spans="1:9">
      <c r="A30747" t="s">
        <v>4</v>
      </c>
      <c r="B30747" s="4" t="s">
        <v>5</v>
      </c>
      <c r="C30747" s="4" t="s">
        <v>11</v>
      </c>
      <c r="D30747" s="4" t="s">
        <v>7</v>
      </c>
      <c r="E30747" s="4" t="s">
        <v>15</v>
      </c>
      <c r="F30747" s="4" t="s">
        <v>55</v>
      </c>
      <c r="G30747" s="4" t="s">
        <v>7</v>
      </c>
      <c r="H30747" s="4" t="s">
        <v>7</v>
      </c>
      <c r="I30747" s="4" t="s">
        <v>7</v>
      </c>
      <c r="J30747" s="4" t="s">
        <v>15</v>
      </c>
      <c r="K30747" s="4" t="s">
        <v>55</v>
      </c>
      <c r="L30747" s="4" t="s">
        <v>7</v>
      </c>
      <c r="M30747" s="4" t="s">
        <v>7</v>
      </c>
    </row>
    <row r="30748" spans="1:9">
      <c r="A30748" t="n">
        <v>298842</v>
      </c>
      <c r="B30748" s="55" t="n">
        <v>26</v>
      </c>
      <c r="C30748" s="7" t="n">
        <v>11</v>
      </c>
      <c r="D30748" s="7" t="n">
        <v>17</v>
      </c>
      <c r="E30748" s="7" t="n">
        <v>63995</v>
      </c>
      <c r="F30748" s="7" t="s">
        <v>719</v>
      </c>
      <c r="G30748" s="7" t="n">
        <v>2</v>
      </c>
      <c r="H30748" s="7" t="n">
        <v>3</v>
      </c>
      <c r="I30748" s="7" t="n">
        <v>17</v>
      </c>
      <c r="J30748" s="7" t="n">
        <v>63996</v>
      </c>
      <c r="K30748" s="7" t="s">
        <v>720</v>
      </c>
      <c r="L30748" s="7" t="n">
        <v>2</v>
      </c>
      <c r="M30748" s="7" t="n">
        <v>0</v>
      </c>
    </row>
    <row r="30749" spans="1:9">
      <c r="A30749" t="s">
        <v>4</v>
      </c>
      <c r="B30749" s="4" t="s">
        <v>5</v>
      </c>
    </row>
    <row r="30750" spans="1:9">
      <c r="A30750" t="n">
        <v>299019</v>
      </c>
      <c r="B30750" s="27" t="n">
        <v>28</v>
      </c>
    </row>
    <row r="30751" spans="1:9">
      <c r="A30751" t="s">
        <v>4</v>
      </c>
      <c r="B30751" s="4" t="s">
        <v>5</v>
      </c>
      <c r="C30751" s="4" t="s">
        <v>7</v>
      </c>
      <c r="D30751" s="4" t="s">
        <v>11</v>
      </c>
      <c r="E30751" s="4" t="s">
        <v>8</v>
      </c>
    </row>
    <row r="30752" spans="1:9">
      <c r="A30752" t="n">
        <v>299020</v>
      </c>
      <c r="B30752" s="38" t="n">
        <v>51</v>
      </c>
      <c r="C30752" s="7" t="n">
        <v>4</v>
      </c>
      <c r="D30752" s="7" t="n">
        <v>0</v>
      </c>
      <c r="E30752" s="7" t="s">
        <v>147</v>
      </c>
    </row>
    <row r="30753" spans="1:13">
      <c r="A30753" t="s">
        <v>4</v>
      </c>
      <c r="B30753" s="4" t="s">
        <v>5</v>
      </c>
      <c r="C30753" s="4" t="s">
        <v>11</v>
      </c>
    </row>
    <row r="30754" spans="1:13">
      <c r="A30754" t="n">
        <v>299034</v>
      </c>
      <c r="B30754" s="29" t="n">
        <v>16</v>
      </c>
      <c r="C30754" s="7" t="n">
        <v>0</v>
      </c>
    </row>
    <row r="30755" spans="1:13">
      <c r="A30755" t="s">
        <v>4</v>
      </c>
      <c r="B30755" s="4" t="s">
        <v>5</v>
      </c>
      <c r="C30755" s="4" t="s">
        <v>11</v>
      </c>
      <c r="D30755" s="4" t="s">
        <v>7</v>
      </c>
      <c r="E30755" s="4" t="s">
        <v>15</v>
      </c>
      <c r="F30755" s="4" t="s">
        <v>55</v>
      </c>
      <c r="G30755" s="4" t="s">
        <v>7</v>
      </c>
      <c r="H30755" s="4" t="s">
        <v>7</v>
      </c>
    </row>
    <row r="30756" spans="1:13">
      <c r="A30756" t="n">
        <v>299037</v>
      </c>
      <c r="B30756" s="55" t="n">
        <v>26</v>
      </c>
      <c r="C30756" s="7" t="n">
        <v>0</v>
      </c>
      <c r="D30756" s="7" t="n">
        <v>17</v>
      </c>
      <c r="E30756" s="7" t="n">
        <v>63997</v>
      </c>
      <c r="F30756" s="7" t="s">
        <v>721</v>
      </c>
      <c r="G30756" s="7" t="n">
        <v>2</v>
      </c>
      <c r="H30756" s="7" t="n">
        <v>0</v>
      </c>
    </row>
    <row r="30757" spans="1:13">
      <c r="A30757" t="s">
        <v>4</v>
      </c>
      <c r="B30757" s="4" t="s">
        <v>5</v>
      </c>
    </row>
    <row r="30758" spans="1:13">
      <c r="A30758" t="n">
        <v>299132</v>
      </c>
      <c r="B30758" s="27" t="n">
        <v>28</v>
      </c>
    </row>
    <row r="30759" spans="1:13">
      <c r="A30759" t="s">
        <v>4</v>
      </c>
      <c r="B30759" s="4" t="s">
        <v>5</v>
      </c>
      <c r="C30759" s="4" t="s">
        <v>7</v>
      </c>
      <c r="D30759" s="4" t="s">
        <v>11</v>
      </c>
      <c r="E30759" s="4" t="s">
        <v>8</v>
      </c>
    </row>
    <row r="30760" spans="1:13">
      <c r="A30760" t="n">
        <v>299133</v>
      </c>
      <c r="B30760" s="38" t="n">
        <v>51</v>
      </c>
      <c r="C30760" s="7" t="n">
        <v>4</v>
      </c>
      <c r="D30760" s="7" t="n">
        <v>11</v>
      </c>
      <c r="E30760" s="7" t="s">
        <v>242</v>
      </c>
    </row>
    <row r="30761" spans="1:13">
      <c r="A30761" t="s">
        <v>4</v>
      </c>
      <c r="B30761" s="4" t="s">
        <v>5</v>
      </c>
      <c r="C30761" s="4" t="s">
        <v>11</v>
      </c>
    </row>
    <row r="30762" spans="1:13">
      <c r="A30762" t="n">
        <v>299147</v>
      </c>
      <c r="B30762" s="29" t="n">
        <v>16</v>
      </c>
      <c r="C30762" s="7" t="n">
        <v>0</v>
      </c>
    </row>
    <row r="30763" spans="1:13">
      <c r="A30763" t="s">
        <v>4</v>
      </c>
      <c r="B30763" s="4" t="s">
        <v>5</v>
      </c>
      <c r="C30763" s="4" t="s">
        <v>11</v>
      </c>
      <c r="D30763" s="4" t="s">
        <v>7</v>
      </c>
      <c r="E30763" s="4" t="s">
        <v>15</v>
      </c>
      <c r="F30763" s="4" t="s">
        <v>55</v>
      </c>
      <c r="G30763" s="4" t="s">
        <v>7</v>
      </c>
      <c r="H30763" s="4" t="s">
        <v>7</v>
      </c>
      <c r="I30763" s="4" t="s">
        <v>7</v>
      </c>
      <c r="J30763" s="4" t="s">
        <v>15</v>
      </c>
      <c r="K30763" s="4" t="s">
        <v>55</v>
      </c>
      <c r="L30763" s="4" t="s">
        <v>7</v>
      </c>
      <c r="M30763" s="4" t="s">
        <v>7</v>
      </c>
      <c r="N30763" s="4" t="s">
        <v>7</v>
      </c>
      <c r="O30763" s="4" t="s">
        <v>15</v>
      </c>
      <c r="P30763" s="4" t="s">
        <v>55</v>
      </c>
      <c r="Q30763" s="4" t="s">
        <v>7</v>
      </c>
      <c r="R30763" s="4" t="s">
        <v>7</v>
      </c>
    </row>
    <row r="30764" spans="1:13">
      <c r="A30764" t="n">
        <v>299150</v>
      </c>
      <c r="B30764" s="55" t="n">
        <v>26</v>
      </c>
      <c r="C30764" s="7" t="n">
        <v>11</v>
      </c>
      <c r="D30764" s="7" t="n">
        <v>17</v>
      </c>
      <c r="E30764" s="7" t="n">
        <v>63998</v>
      </c>
      <c r="F30764" s="7" t="s">
        <v>722</v>
      </c>
      <c r="G30764" s="7" t="n">
        <v>2</v>
      </c>
      <c r="H30764" s="7" t="n">
        <v>3</v>
      </c>
      <c r="I30764" s="7" t="n">
        <v>17</v>
      </c>
      <c r="J30764" s="7" t="n">
        <v>63999</v>
      </c>
      <c r="K30764" s="7" t="s">
        <v>723</v>
      </c>
      <c r="L30764" s="7" t="n">
        <v>2</v>
      </c>
      <c r="M30764" s="7" t="n">
        <v>3</v>
      </c>
      <c r="N30764" s="7" t="n">
        <v>17</v>
      </c>
      <c r="O30764" s="7" t="n">
        <v>64000</v>
      </c>
      <c r="P30764" s="7" t="s">
        <v>724</v>
      </c>
      <c r="Q30764" s="7" t="n">
        <v>2</v>
      </c>
      <c r="R30764" s="7" t="n">
        <v>0</v>
      </c>
    </row>
    <row r="30765" spans="1:13">
      <c r="A30765" t="s">
        <v>4</v>
      </c>
      <c r="B30765" s="4" t="s">
        <v>5</v>
      </c>
    </row>
    <row r="30766" spans="1:13">
      <c r="A30766" t="n">
        <v>299567</v>
      </c>
      <c r="B30766" s="27" t="n">
        <v>28</v>
      </c>
    </row>
    <row r="30767" spans="1:13">
      <c r="A30767" t="s">
        <v>4</v>
      </c>
      <c r="B30767" s="4" t="s">
        <v>5</v>
      </c>
      <c r="C30767" s="4" t="s">
        <v>7</v>
      </c>
      <c r="D30767" s="4" t="s">
        <v>11</v>
      </c>
      <c r="E30767" s="4" t="s">
        <v>8</v>
      </c>
    </row>
    <row r="30768" spans="1:13">
      <c r="A30768" t="n">
        <v>299568</v>
      </c>
      <c r="B30768" s="38" t="n">
        <v>51</v>
      </c>
      <c r="C30768" s="7" t="n">
        <v>4</v>
      </c>
      <c r="D30768" s="7" t="n">
        <v>0</v>
      </c>
      <c r="E30768" s="7" t="s">
        <v>242</v>
      </c>
    </row>
    <row r="30769" spans="1:18">
      <c r="A30769" t="s">
        <v>4</v>
      </c>
      <c r="B30769" s="4" t="s">
        <v>5</v>
      </c>
      <c r="C30769" s="4" t="s">
        <v>11</v>
      </c>
    </row>
    <row r="30770" spans="1:18">
      <c r="A30770" t="n">
        <v>299582</v>
      </c>
      <c r="B30770" s="29" t="n">
        <v>16</v>
      </c>
      <c r="C30770" s="7" t="n">
        <v>0</v>
      </c>
    </row>
    <row r="30771" spans="1:18">
      <c r="A30771" t="s">
        <v>4</v>
      </c>
      <c r="B30771" s="4" t="s">
        <v>5</v>
      </c>
      <c r="C30771" s="4" t="s">
        <v>11</v>
      </c>
      <c r="D30771" s="4" t="s">
        <v>7</v>
      </c>
      <c r="E30771" s="4" t="s">
        <v>15</v>
      </c>
      <c r="F30771" s="4" t="s">
        <v>55</v>
      </c>
      <c r="G30771" s="4" t="s">
        <v>7</v>
      </c>
      <c r="H30771" s="4" t="s">
        <v>7</v>
      </c>
      <c r="I30771" s="4" t="s">
        <v>7</v>
      </c>
      <c r="J30771" s="4" t="s">
        <v>15</v>
      </c>
      <c r="K30771" s="4" t="s">
        <v>55</v>
      </c>
      <c r="L30771" s="4" t="s">
        <v>7</v>
      </c>
      <c r="M30771" s="4" t="s">
        <v>7</v>
      </c>
      <c r="N30771" s="4" t="s">
        <v>7</v>
      </c>
      <c r="O30771" s="4" t="s">
        <v>15</v>
      </c>
      <c r="P30771" s="4" t="s">
        <v>55</v>
      </c>
      <c r="Q30771" s="4" t="s">
        <v>7</v>
      </c>
      <c r="R30771" s="4" t="s">
        <v>7</v>
      </c>
    </row>
    <row r="30772" spans="1:18">
      <c r="A30772" t="n">
        <v>299585</v>
      </c>
      <c r="B30772" s="55" t="n">
        <v>26</v>
      </c>
      <c r="C30772" s="7" t="n">
        <v>0</v>
      </c>
      <c r="D30772" s="7" t="n">
        <v>17</v>
      </c>
      <c r="E30772" s="7" t="n">
        <v>64001</v>
      </c>
      <c r="F30772" s="7" t="s">
        <v>725</v>
      </c>
      <c r="G30772" s="7" t="n">
        <v>2</v>
      </c>
      <c r="H30772" s="7" t="n">
        <v>3</v>
      </c>
      <c r="I30772" s="7" t="n">
        <v>17</v>
      </c>
      <c r="J30772" s="7" t="n">
        <v>64002</v>
      </c>
      <c r="K30772" s="7" t="s">
        <v>726</v>
      </c>
      <c r="L30772" s="7" t="n">
        <v>2</v>
      </c>
      <c r="M30772" s="7" t="n">
        <v>3</v>
      </c>
      <c r="N30772" s="7" t="n">
        <v>17</v>
      </c>
      <c r="O30772" s="7" t="n">
        <v>64003</v>
      </c>
      <c r="P30772" s="7" t="s">
        <v>727</v>
      </c>
      <c r="Q30772" s="7" t="n">
        <v>2</v>
      </c>
      <c r="R30772" s="7" t="n">
        <v>0</v>
      </c>
    </row>
    <row r="30773" spans="1:18">
      <c r="A30773" t="s">
        <v>4</v>
      </c>
      <c r="B30773" s="4" t="s">
        <v>5</v>
      </c>
    </row>
    <row r="30774" spans="1:18">
      <c r="A30774" t="n">
        <v>299955</v>
      </c>
      <c r="B30774" s="27" t="n">
        <v>28</v>
      </c>
    </row>
    <row r="30775" spans="1:18">
      <c r="A30775" t="s">
        <v>4</v>
      </c>
      <c r="B30775" s="4" t="s">
        <v>5</v>
      </c>
      <c r="C30775" s="4" t="s">
        <v>7</v>
      </c>
      <c r="D30775" s="4" t="s">
        <v>11</v>
      </c>
      <c r="E30775" s="4" t="s">
        <v>8</v>
      </c>
    </row>
    <row r="30776" spans="1:18">
      <c r="A30776" t="n">
        <v>299956</v>
      </c>
      <c r="B30776" s="38" t="n">
        <v>51</v>
      </c>
      <c r="C30776" s="7" t="n">
        <v>4</v>
      </c>
      <c r="D30776" s="7" t="n">
        <v>11</v>
      </c>
      <c r="E30776" s="7" t="s">
        <v>245</v>
      </c>
    </row>
    <row r="30777" spans="1:18">
      <c r="A30777" t="s">
        <v>4</v>
      </c>
      <c r="B30777" s="4" t="s">
        <v>5</v>
      </c>
      <c r="C30777" s="4" t="s">
        <v>11</v>
      </c>
    </row>
    <row r="30778" spans="1:18">
      <c r="A30778" t="n">
        <v>299970</v>
      </c>
      <c r="B30778" s="29" t="n">
        <v>16</v>
      </c>
      <c r="C30778" s="7" t="n">
        <v>0</v>
      </c>
    </row>
    <row r="30779" spans="1:18">
      <c r="A30779" t="s">
        <v>4</v>
      </c>
      <c r="B30779" s="4" t="s">
        <v>5</v>
      </c>
      <c r="C30779" s="4" t="s">
        <v>11</v>
      </c>
      <c r="D30779" s="4" t="s">
        <v>7</v>
      </c>
      <c r="E30779" s="4" t="s">
        <v>15</v>
      </c>
      <c r="F30779" s="4" t="s">
        <v>55</v>
      </c>
      <c r="G30779" s="4" t="s">
        <v>7</v>
      </c>
      <c r="H30779" s="4" t="s">
        <v>7</v>
      </c>
      <c r="I30779" s="4" t="s">
        <v>7</v>
      </c>
      <c r="J30779" s="4" t="s">
        <v>15</v>
      </c>
      <c r="K30779" s="4" t="s">
        <v>55</v>
      </c>
      <c r="L30779" s="4" t="s">
        <v>7</v>
      </c>
      <c r="M30779" s="4" t="s">
        <v>7</v>
      </c>
    </row>
    <row r="30780" spans="1:18">
      <c r="A30780" t="n">
        <v>299973</v>
      </c>
      <c r="B30780" s="55" t="n">
        <v>26</v>
      </c>
      <c r="C30780" s="7" t="n">
        <v>11</v>
      </c>
      <c r="D30780" s="7" t="n">
        <v>17</v>
      </c>
      <c r="E30780" s="7" t="n">
        <v>64004</v>
      </c>
      <c r="F30780" s="7" t="s">
        <v>728</v>
      </c>
      <c r="G30780" s="7" t="n">
        <v>2</v>
      </c>
      <c r="H30780" s="7" t="n">
        <v>3</v>
      </c>
      <c r="I30780" s="7" t="n">
        <v>17</v>
      </c>
      <c r="J30780" s="7" t="n">
        <v>64005</v>
      </c>
      <c r="K30780" s="7" t="s">
        <v>729</v>
      </c>
      <c r="L30780" s="7" t="n">
        <v>2</v>
      </c>
      <c r="M30780" s="7" t="n">
        <v>0</v>
      </c>
    </row>
    <row r="30781" spans="1:18">
      <c r="A30781" t="s">
        <v>4</v>
      </c>
      <c r="B30781" s="4" t="s">
        <v>5</v>
      </c>
    </row>
    <row r="30782" spans="1:18">
      <c r="A30782" t="n">
        <v>300094</v>
      </c>
      <c r="B30782" s="27" t="n">
        <v>28</v>
      </c>
    </row>
    <row r="30783" spans="1:18">
      <c r="A30783" t="s">
        <v>4</v>
      </c>
      <c r="B30783" s="4" t="s">
        <v>5</v>
      </c>
      <c r="C30783" s="4" t="s">
        <v>7</v>
      </c>
      <c r="D30783" s="4" t="s">
        <v>11</v>
      </c>
      <c r="E30783" s="4" t="s">
        <v>7</v>
      </c>
    </row>
    <row r="30784" spans="1:18">
      <c r="A30784" t="n">
        <v>300095</v>
      </c>
      <c r="B30784" s="13" t="n">
        <v>49</v>
      </c>
      <c r="C30784" s="7" t="n">
        <v>1</v>
      </c>
      <c r="D30784" s="7" t="n">
        <v>3000</v>
      </c>
      <c r="E30784" s="7" t="n">
        <v>0</v>
      </c>
    </row>
    <row r="30785" spans="1:18">
      <c r="A30785" t="s">
        <v>4</v>
      </c>
      <c r="B30785" s="4" t="s">
        <v>5</v>
      </c>
      <c r="C30785" s="4" t="s">
        <v>7</v>
      </c>
      <c r="D30785" s="4" t="s">
        <v>11</v>
      </c>
      <c r="E30785" s="4" t="s">
        <v>8</v>
      </c>
      <c r="F30785" s="4" t="s">
        <v>8</v>
      </c>
      <c r="G30785" s="4" t="s">
        <v>8</v>
      </c>
      <c r="H30785" s="4" t="s">
        <v>8</v>
      </c>
    </row>
    <row r="30786" spans="1:18">
      <c r="A30786" t="n">
        <v>300100</v>
      </c>
      <c r="B30786" s="38" t="n">
        <v>51</v>
      </c>
      <c r="C30786" s="7" t="n">
        <v>3</v>
      </c>
      <c r="D30786" s="7" t="n">
        <v>11</v>
      </c>
      <c r="E30786" s="7" t="s">
        <v>319</v>
      </c>
      <c r="F30786" s="7" t="s">
        <v>79</v>
      </c>
      <c r="G30786" s="7" t="s">
        <v>78</v>
      </c>
      <c r="H30786" s="7" t="s">
        <v>79</v>
      </c>
    </row>
    <row r="30787" spans="1:18">
      <c r="A30787" t="s">
        <v>4</v>
      </c>
      <c r="B30787" s="4" t="s">
        <v>5</v>
      </c>
      <c r="C30787" s="4" t="s">
        <v>11</v>
      </c>
      <c r="D30787" s="4" t="s">
        <v>7</v>
      </c>
      <c r="E30787" s="4" t="s">
        <v>13</v>
      </c>
      <c r="F30787" s="4" t="s">
        <v>11</v>
      </c>
    </row>
    <row r="30788" spans="1:18">
      <c r="A30788" t="n">
        <v>300113</v>
      </c>
      <c r="B30788" s="56" t="n">
        <v>59</v>
      </c>
      <c r="C30788" s="7" t="n">
        <v>11</v>
      </c>
      <c r="D30788" s="7" t="n">
        <v>9</v>
      </c>
      <c r="E30788" s="7" t="n">
        <v>0.150000005960464</v>
      </c>
      <c r="F30788" s="7" t="n">
        <v>0</v>
      </c>
    </row>
    <row r="30789" spans="1:18">
      <c r="A30789" t="s">
        <v>4</v>
      </c>
      <c r="B30789" s="4" t="s">
        <v>5</v>
      </c>
      <c r="C30789" s="4" t="s">
        <v>11</v>
      </c>
    </row>
    <row r="30790" spans="1:18">
      <c r="A30790" t="n">
        <v>300123</v>
      </c>
      <c r="B30790" s="29" t="n">
        <v>16</v>
      </c>
      <c r="C30790" s="7" t="n">
        <v>1800</v>
      </c>
    </row>
    <row r="30791" spans="1:18">
      <c r="A30791" t="s">
        <v>4</v>
      </c>
      <c r="B30791" s="4" t="s">
        <v>5</v>
      </c>
      <c r="C30791" s="4" t="s">
        <v>7</v>
      </c>
      <c r="D30791" s="4" t="s">
        <v>11</v>
      </c>
      <c r="E30791" s="4" t="s">
        <v>13</v>
      </c>
    </row>
    <row r="30792" spans="1:18">
      <c r="A30792" t="n">
        <v>300126</v>
      </c>
      <c r="B30792" s="23" t="n">
        <v>58</v>
      </c>
      <c r="C30792" s="7" t="n">
        <v>101</v>
      </c>
      <c r="D30792" s="7" t="n">
        <v>800</v>
      </c>
      <c r="E30792" s="7" t="n">
        <v>1</v>
      </c>
    </row>
    <row r="30793" spans="1:18">
      <c r="A30793" t="s">
        <v>4</v>
      </c>
      <c r="B30793" s="4" t="s">
        <v>5</v>
      </c>
      <c r="C30793" s="4" t="s">
        <v>7</v>
      </c>
      <c r="D30793" s="4" t="s">
        <v>11</v>
      </c>
    </row>
    <row r="30794" spans="1:18">
      <c r="A30794" t="n">
        <v>300134</v>
      </c>
      <c r="B30794" s="23" t="n">
        <v>58</v>
      </c>
      <c r="C30794" s="7" t="n">
        <v>254</v>
      </c>
      <c r="D30794" s="7" t="n">
        <v>0</v>
      </c>
    </row>
    <row r="30795" spans="1:18">
      <c r="A30795" t="s">
        <v>4</v>
      </c>
      <c r="B30795" s="4" t="s">
        <v>5</v>
      </c>
      <c r="C30795" s="4" t="s">
        <v>7</v>
      </c>
      <c r="D30795" s="4" t="s">
        <v>7</v>
      </c>
      <c r="E30795" s="4" t="s">
        <v>13</v>
      </c>
      <c r="F30795" s="4" t="s">
        <v>13</v>
      </c>
      <c r="G30795" s="4" t="s">
        <v>13</v>
      </c>
      <c r="H30795" s="4" t="s">
        <v>11</v>
      </c>
    </row>
    <row r="30796" spans="1:18">
      <c r="A30796" t="n">
        <v>300138</v>
      </c>
      <c r="B30796" s="51" t="n">
        <v>45</v>
      </c>
      <c r="C30796" s="7" t="n">
        <v>2</v>
      </c>
      <c r="D30796" s="7" t="n">
        <v>3</v>
      </c>
      <c r="E30796" s="7" t="n">
        <v>-7.36999988555908</v>
      </c>
      <c r="F30796" s="7" t="n">
        <v>6.46000003814697</v>
      </c>
      <c r="G30796" s="7" t="n">
        <v>29.8199996948242</v>
      </c>
      <c r="H30796" s="7" t="n">
        <v>0</v>
      </c>
    </row>
    <row r="30797" spans="1:18">
      <c r="A30797" t="s">
        <v>4</v>
      </c>
      <c r="B30797" s="4" t="s">
        <v>5</v>
      </c>
      <c r="C30797" s="4" t="s">
        <v>7</v>
      </c>
      <c r="D30797" s="4" t="s">
        <v>7</v>
      </c>
      <c r="E30797" s="4" t="s">
        <v>13</v>
      </c>
      <c r="F30797" s="4" t="s">
        <v>13</v>
      </c>
      <c r="G30797" s="4" t="s">
        <v>13</v>
      </c>
      <c r="H30797" s="4" t="s">
        <v>11</v>
      </c>
      <c r="I30797" s="4" t="s">
        <v>7</v>
      </c>
    </row>
    <row r="30798" spans="1:18">
      <c r="A30798" t="n">
        <v>300155</v>
      </c>
      <c r="B30798" s="51" t="n">
        <v>45</v>
      </c>
      <c r="C30798" s="7" t="n">
        <v>4</v>
      </c>
      <c r="D30798" s="7" t="n">
        <v>3</v>
      </c>
      <c r="E30798" s="7" t="n">
        <v>10.3299999237061</v>
      </c>
      <c r="F30798" s="7" t="n">
        <v>61.2000007629395</v>
      </c>
      <c r="G30798" s="7" t="n">
        <v>356</v>
      </c>
      <c r="H30798" s="7" t="n">
        <v>0</v>
      </c>
      <c r="I30798" s="7" t="n">
        <v>0</v>
      </c>
    </row>
    <row r="30799" spans="1:18">
      <c r="A30799" t="s">
        <v>4</v>
      </c>
      <c r="B30799" s="4" t="s">
        <v>5</v>
      </c>
      <c r="C30799" s="4" t="s">
        <v>7</v>
      </c>
      <c r="D30799" s="4" t="s">
        <v>7</v>
      </c>
      <c r="E30799" s="4" t="s">
        <v>13</v>
      </c>
      <c r="F30799" s="4" t="s">
        <v>11</v>
      </c>
    </row>
    <row r="30800" spans="1:18">
      <c r="A30800" t="n">
        <v>300173</v>
      </c>
      <c r="B30800" s="51" t="n">
        <v>45</v>
      </c>
      <c r="C30800" s="7" t="n">
        <v>5</v>
      </c>
      <c r="D30800" s="7" t="n">
        <v>3</v>
      </c>
      <c r="E30800" s="7" t="n">
        <v>0.800000011920929</v>
      </c>
      <c r="F30800" s="7" t="n">
        <v>0</v>
      </c>
    </row>
    <row r="30801" spans="1:9">
      <c r="A30801" t="s">
        <v>4</v>
      </c>
      <c r="B30801" s="4" t="s">
        <v>5</v>
      </c>
      <c r="C30801" s="4" t="s">
        <v>7</v>
      </c>
      <c r="D30801" s="4" t="s">
        <v>7</v>
      </c>
      <c r="E30801" s="4" t="s">
        <v>13</v>
      </c>
      <c r="F30801" s="4" t="s">
        <v>11</v>
      </c>
    </row>
    <row r="30802" spans="1:9">
      <c r="A30802" t="n">
        <v>300182</v>
      </c>
      <c r="B30802" s="51" t="n">
        <v>45</v>
      </c>
      <c r="C30802" s="7" t="n">
        <v>11</v>
      </c>
      <c r="D30802" s="7" t="n">
        <v>3</v>
      </c>
      <c r="E30802" s="7" t="n">
        <v>40.2999992370605</v>
      </c>
      <c r="F30802" s="7" t="n">
        <v>0</v>
      </c>
    </row>
    <row r="30803" spans="1:9">
      <c r="A30803" t="s">
        <v>4</v>
      </c>
      <c r="B30803" s="4" t="s">
        <v>5</v>
      </c>
      <c r="C30803" s="4" t="s">
        <v>7</v>
      </c>
    </row>
    <row r="30804" spans="1:9">
      <c r="A30804" t="n">
        <v>300191</v>
      </c>
      <c r="B30804" s="49" t="n">
        <v>116</v>
      </c>
      <c r="C30804" s="7" t="n">
        <v>0</v>
      </c>
    </row>
    <row r="30805" spans="1:9">
      <c r="A30805" t="s">
        <v>4</v>
      </c>
      <c r="B30805" s="4" t="s">
        <v>5</v>
      </c>
      <c r="C30805" s="4" t="s">
        <v>7</v>
      </c>
      <c r="D30805" s="4" t="s">
        <v>11</v>
      </c>
    </row>
    <row r="30806" spans="1:9">
      <c r="A30806" t="n">
        <v>300193</v>
      </c>
      <c r="B30806" s="49" t="n">
        <v>116</v>
      </c>
      <c r="C30806" s="7" t="n">
        <v>2</v>
      </c>
      <c r="D30806" s="7" t="n">
        <v>1</v>
      </c>
    </row>
    <row r="30807" spans="1:9">
      <c r="A30807" t="s">
        <v>4</v>
      </c>
      <c r="B30807" s="4" t="s">
        <v>5</v>
      </c>
      <c r="C30807" s="4" t="s">
        <v>7</v>
      </c>
      <c r="D30807" s="4" t="s">
        <v>15</v>
      </c>
    </row>
    <row r="30808" spans="1:9">
      <c r="A30808" t="n">
        <v>300197</v>
      </c>
      <c r="B30808" s="49" t="n">
        <v>116</v>
      </c>
      <c r="C30808" s="7" t="n">
        <v>5</v>
      </c>
      <c r="D30808" s="7" t="n">
        <v>1077936128</v>
      </c>
    </row>
    <row r="30809" spans="1:9">
      <c r="A30809" t="s">
        <v>4</v>
      </c>
      <c r="B30809" s="4" t="s">
        <v>5</v>
      </c>
      <c r="C30809" s="4" t="s">
        <v>7</v>
      </c>
      <c r="D30809" s="4" t="s">
        <v>11</v>
      </c>
    </row>
    <row r="30810" spans="1:9">
      <c r="A30810" t="n">
        <v>300203</v>
      </c>
      <c r="B30810" s="49" t="n">
        <v>116</v>
      </c>
      <c r="C30810" s="7" t="n">
        <v>6</v>
      </c>
      <c r="D30810" s="7" t="n">
        <v>1</v>
      </c>
    </row>
    <row r="30811" spans="1:9">
      <c r="A30811" t="s">
        <v>4</v>
      </c>
      <c r="B30811" s="4" t="s">
        <v>5</v>
      </c>
      <c r="C30811" s="4" t="s">
        <v>11</v>
      </c>
      <c r="D30811" s="4" t="s">
        <v>11</v>
      </c>
      <c r="E30811" s="4" t="s">
        <v>13</v>
      </c>
      <c r="F30811" s="4" t="s">
        <v>7</v>
      </c>
    </row>
    <row r="30812" spans="1:9">
      <c r="A30812" t="n">
        <v>300207</v>
      </c>
      <c r="B30812" s="73" t="n">
        <v>53</v>
      </c>
      <c r="C30812" s="7" t="n">
        <v>0</v>
      </c>
      <c r="D30812" s="7" t="n">
        <v>11</v>
      </c>
      <c r="E30812" s="7" t="n">
        <v>0</v>
      </c>
      <c r="F30812" s="7" t="n">
        <v>0</v>
      </c>
    </row>
    <row r="30813" spans="1:9">
      <c r="A30813" t="s">
        <v>4</v>
      </c>
      <c r="B30813" s="4" t="s">
        <v>5</v>
      </c>
      <c r="C30813" s="4" t="s">
        <v>7</v>
      </c>
      <c r="D30813" s="4" t="s">
        <v>11</v>
      </c>
    </row>
    <row r="30814" spans="1:9">
      <c r="A30814" t="n">
        <v>300217</v>
      </c>
      <c r="B30814" s="23" t="n">
        <v>58</v>
      </c>
      <c r="C30814" s="7" t="n">
        <v>255</v>
      </c>
      <c r="D30814" s="7" t="n">
        <v>0</v>
      </c>
    </row>
    <row r="30815" spans="1:9">
      <c r="A30815" t="s">
        <v>4</v>
      </c>
      <c r="B30815" s="4" t="s">
        <v>5</v>
      </c>
      <c r="C30815" s="4" t="s">
        <v>11</v>
      </c>
      <c r="D30815" s="4" t="s">
        <v>11</v>
      </c>
      <c r="E30815" s="4" t="s">
        <v>13</v>
      </c>
      <c r="F30815" s="4" t="s">
        <v>7</v>
      </c>
    </row>
    <row r="30816" spans="1:9">
      <c r="A30816" t="n">
        <v>300221</v>
      </c>
      <c r="B30816" s="73" t="n">
        <v>53</v>
      </c>
      <c r="C30816" s="7" t="n">
        <v>11</v>
      </c>
      <c r="D30816" s="7" t="n">
        <v>0</v>
      </c>
      <c r="E30816" s="7" t="n">
        <v>5</v>
      </c>
      <c r="F30816" s="7" t="n">
        <v>0</v>
      </c>
    </row>
    <row r="30817" spans="1:6">
      <c r="A30817" t="s">
        <v>4</v>
      </c>
      <c r="B30817" s="4" t="s">
        <v>5</v>
      </c>
      <c r="C30817" s="4" t="s">
        <v>11</v>
      </c>
    </row>
    <row r="30818" spans="1:6">
      <c r="A30818" t="n">
        <v>300231</v>
      </c>
      <c r="B30818" s="66" t="n">
        <v>54</v>
      </c>
      <c r="C30818" s="7" t="n">
        <v>11</v>
      </c>
    </row>
    <row r="30819" spans="1:6">
      <c r="A30819" t="s">
        <v>4</v>
      </c>
      <c r="B30819" s="4" t="s">
        <v>5</v>
      </c>
      <c r="C30819" s="4" t="s">
        <v>7</v>
      </c>
      <c r="D30819" s="4" t="s">
        <v>7</v>
      </c>
    </row>
    <row r="30820" spans="1:6">
      <c r="A30820" t="n">
        <v>300234</v>
      </c>
      <c r="B30820" s="13" t="n">
        <v>49</v>
      </c>
      <c r="C30820" s="7" t="n">
        <v>2</v>
      </c>
      <c r="D30820" s="7" t="n">
        <v>0</v>
      </c>
    </row>
    <row r="30821" spans="1:6">
      <c r="A30821" t="s">
        <v>4</v>
      </c>
      <c r="B30821" s="4" t="s">
        <v>5</v>
      </c>
      <c r="C30821" s="4" t="s">
        <v>7</v>
      </c>
      <c r="D30821" s="4" t="s">
        <v>11</v>
      </c>
      <c r="E30821" s="4" t="s">
        <v>15</v>
      </c>
      <c r="F30821" s="4" t="s">
        <v>11</v>
      </c>
      <c r="G30821" s="4" t="s">
        <v>15</v>
      </c>
      <c r="H30821" s="4" t="s">
        <v>7</v>
      </c>
    </row>
    <row r="30822" spans="1:6">
      <c r="A30822" t="n">
        <v>300237</v>
      </c>
      <c r="B30822" s="13" t="n">
        <v>49</v>
      </c>
      <c r="C30822" s="7" t="n">
        <v>0</v>
      </c>
      <c r="D30822" s="7" t="n">
        <v>551</v>
      </c>
      <c r="E30822" s="7" t="n">
        <v>1061997773</v>
      </c>
      <c r="F30822" s="7" t="n">
        <v>0</v>
      </c>
      <c r="G30822" s="7" t="n">
        <v>0</v>
      </c>
      <c r="H30822" s="7" t="n">
        <v>0</v>
      </c>
    </row>
    <row r="30823" spans="1:6">
      <c r="A30823" t="s">
        <v>4</v>
      </c>
      <c r="B30823" s="4" t="s">
        <v>5</v>
      </c>
      <c r="C30823" s="4" t="s">
        <v>7</v>
      </c>
      <c r="D30823" s="4" t="s">
        <v>11</v>
      </c>
    </row>
    <row r="30824" spans="1:6">
      <c r="A30824" t="n">
        <v>300252</v>
      </c>
      <c r="B30824" s="13" t="n">
        <v>49</v>
      </c>
      <c r="C30824" s="7" t="n">
        <v>6</v>
      </c>
      <c r="D30824" s="7" t="n">
        <v>551</v>
      </c>
    </row>
    <row r="30825" spans="1:6">
      <c r="A30825" t="s">
        <v>4</v>
      </c>
      <c r="B30825" s="4" t="s">
        <v>5</v>
      </c>
      <c r="C30825" s="4" t="s">
        <v>11</v>
      </c>
    </row>
    <row r="30826" spans="1:6">
      <c r="A30826" t="n">
        <v>300256</v>
      </c>
      <c r="B30826" s="29" t="n">
        <v>16</v>
      </c>
      <c r="C30826" s="7" t="n">
        <v>500</v>
      </c>
    </row>
    <row r="30827" spans="1:6">
      <c r="A30827" t="s">
        <v>4</v>
      </c>
      <c r="B30827" s="4" t="s">
        <v>5</v>
      </c>
      <c r="C30827" s="4" t="s">
        <v>7</v>
      </c>
      <c r="D30827" s="4" t="s">
        <v>11</v>
      </c>
      <c r="E30827" s="4" t="s">
        <v>8</v>
      </c>
    </row>
    <row r="30828" spans="1:6">
      <c r="A30828" t="n">
        <v>300259</v>
      </c>
      <c r="B30828" s="38" t="n">
        <v>51</v>
      </c>
      <c r="C30828" s="7" t="n">
        <v>4</v>
      </c>
      <c r="D30828" s="7" t="n">
        <v>11</v>
      </c>
      <c r="E30828" s="7" t="s">
        <v>709</v>
      </c>
    </row>
    <row r="30829" spans="1:6">
      <c r="A30829" t="s">
        <v>4</v>
      </c>
      <c r="B30829" s="4" t="s">
        <v>5</v>
      </c>
      <c r="C30829" s="4" t="s">
        <v>11</v>
      </c>
    </row>
    <row r="30830" spans="1:6">
      <c r="A30830" t="n">
        <v>300273</v>
      </c>
      <c r="B30830" s="29" t="n">
        <v>16</v>
      </c>
      <c r="C30830" s="7" t="n">
        <v>0</v>
      </c>
    </row>
    <row r="30831" spans="1:6">
      <c r="A30831" t="s">
        <v>4</v>
      </c>
      <c r="B30831" s="4" t="s">
        <v>5</v>
      </c>
      <c r="C30831" s="4" t="s">
        <v>11</v>
      </c>
      <c r="D30831" s="4" t="s">
        <v>7</v>
      </c>
      <c r="E30831" s="4" t="s">
        <v>15</v>
      </c>
      <c r="F30831" s="4" t="s">
        <v>55</v>
      </c>
      <c r="G30831" s="4" t="s">
        <v>7</v>
      </c>
      <c r="H30831" s="4" t="s">
        <v>7</v>
      </c>
      <c r="I30831" s="4" t="s">
        <v>7</v>
      </c>
      <c r="J30831" s="4" t="s">
        <v>15</v>
      </c>
      <c r="K30831" s="4" t="s">
        <v>55</v>
      </c>
      <c r="L30831" s="4" t="s">
        <v>7</v>
      </c>
      <c r="M30831" s="4" t="s">
        <v>7</v>
      </c>
    </row>
    <row r="30832" spans="1:6">
      <c r="A30832" t="n">
        <v>300276</v>
      </c>
      <c r="B30832" s="55" t="n">
        <v>26</v>
      </c>
      <c r="C30832" s="7" t="n">
        <v>11</v>
      </c>
      <c r="D30832" s="7" t="n">
        <v>17</v>
      </c>
      <c r="E30832" s="7" t="n">
        <v>10800</v>
      </c>
      <c r="F30832" s="7" t="s">
        <v>730</v>
      </c>
      <c r="G30832" s="7" t="n">
        <v>2</v>
      </c>
      <c r="H30832" s="7" t="n">
        <v>3</v>
      </c>
      <c r="I30832" s="7" t="n">
        <v>17</v>
      </c>
      <c r="J30832" s="7" t="n">
        <v>10801</v>
      </c>
      <c r="K30832" s="7" t="s">
        <v>731</v>
      </c>
      <c r="L30832" s="7" t="n">
        <v>2</v>
      </c>
      <c r="M30832" s="7" t="n">
        <v>0</v>
      </c>
    </row>
    <row r="30833" spans="1:13">
      <c r="A30833" t="s">
        <v>4</v>
      </c>
      <c r="B30833" s="4" t="s">
        <v>5</v>
      </c>
    </row>
    <row r="30834" spans="1:13">
      <c r="A30834" t="n">
        <v>300460</v>
      </c>
      <c r="B30834" s="27" t="n">
        <v>28</v>
      </c>
    </row>
    <row r="30835" spans="1:13">
      <c r="A30835" t="s">
        <v>4</v>
      </c>
      <c r="B30835" s="4" t="s">
        <v>5</v>
      </c>
      <c r="C30835" s="4" t="s">
        <v>11</v>
      </c>
      <c r="D30835" s="4" t="s">
        <v>7</v>
      </c>
    </row>
    <row r="30836" spans="1:13">
      <c r="A30836" t="n">
        <v>300461</v>
      </c>
      <c r="B30836" s="68" t="n">
        <v>89</v>
      </c>
      <c r="C30836" s="7" t="n">
        <v>65533</v>
      </c>
      <c r="D30836" s="7" t="n">
        <v>1</v>
      </c>
    </row>
    <row r="30837" spans="1:13">
      <c r="A30837" t="s">
        <v>4</v>
      </c>
      <c r="B30837" s="4" t="s">
        <v>5</v>
      </c>
      <c r="C30837" s="4" t="s">
        <v>7</v>
      </c>
      <c r="D30837" s="4" t="s">
        <v>13</v>
      </c>
      <c r="E30837" s="4" t="s">
        <v>11</v>
      </c>
      <c r="F30837" s="4" t="s">
        <v>7</v>
      </c>
    </row>
    <row r="30838" spans="1:13">
      <c r="A30838" t="n">
        <v>300465</v>
      </c>
      <c r="B30838" s="13" t="n">
        <v>49</v>
      </c>
      <c r="C30838" s="7" t="n">
        <v>3</v>
      </c>
      <c r="D30838" s="7" t="n">
        <v>0.600000023841858</v>
      </c>
      <c r="E30838" s="7" t="n">
        <v>500</v>
      </c>
      <c r="F30838" s="7" t="n">
        <v>0</v>
      </c>
    </row>
    <row r="30839" spans="1:13">
      <c r="A30839" t="s">
        <v>4</v>
      </c>
      <c r="B30839" s="4" t="s">
        <v>5</v>
      </c>
      <c r="C30839" s="4" t="s">
        <v>7</v>
      </c>
      <c r="D30839" s="4" t="s">
        <v>7</v>
      </c>
      <c r="E30839" s="4" t="s">
        <v>7</v>
      </c>
      <c r="F30839" s="4" t="s">
        <v>13</v>
      </c>
      <c r="G30839" s="4" t="s">
        <v>13</v>
      </c>
      <c r="H30839" s="4" t="s">
        <v>13</v>
      </c>
      <c r="I30839" s="4" t="s">
        <v>13</v>
      </c>
      <c r="J30839" s="4" t="s">
        <v>13</v>
      </c>
    </row>
    <row r="30840" spans="1:13">
      <c r="A30840" t="n">
        <v>300474</v>
      </c>
      <c r="B30840" s="25" t="n">
        <v>76</v>
      </c>
      <c r="C30840" s="7" t="n">
        <v>1</v>
      </c>
      <c r="D30840" s="7" t="n">
        <v>3</v>
      </c>
      <c r="E30840" s="7" t="n">
        <v>0</v>
      </c>
      <c r="F30840" s="7" t="n">
        <v>1</v>
      </c>
      <c r="G30840" s="7" t="n">
        <v>1</v>
      </c>
      <c r="H30840" s="7" t="n">
        <v>1</v>
      </c>
      <c r="I30840" s="7" t="n">
        <v>1</v>
      </c>
      <c r="J30840" s="7" t="n">
        <v>1000</v>
      </c>
    </row>
    <row r="30841" spans="1:13">
      <c r="A30841" t="s">
        <v>4</v>
      </c>
      <c r="B30841" s="4" t="s">
        <v>5</v>
      </c>
      <c r="C30841" s="4" t="s">
        <v>7</v>
      </c>
      <c r="D30841" s="4" t="s">
        <v>7</v>
      </c>
    </row>
    <row r="30842" spans="1:13">
      <c r="A30842" t="n">
        <v>300498</v>
      </c>
      <c r="B30842" s="26" t="n">
        <v>77</v>
      </c>
      <c r="C30842" s="7" t="n">
        <v>1</v>
      </c>
      <c r="D30842" s="7" t="n">
        <v>3</v>
      </c>
    </row>
    <row r="30843" spans="1:13">
      <c r="A30843" t="s">
        <v>4</v>
      </c>
      <c r="B30843" s="4" t="s">
        <v>5</v>
      </c>
      <c r="C30843" s="4" t="s">
        <v>11</v>
      </c>
    </row>
    <row r="30844" spans="1:13">
      <c r="A30844" t="n">
        <v>300501</v>
      </c>
      <c r="B30844" s="29" t="n">
        <v>16</v>
      </c>
      <c r="C30844" s="7" t="n">
        <v>2000</v>
      </c>
    </row>
    <row r="30845" spans="1:13">
      <c r="A30845" t="s">
        <v>4</v>
      </c>
      <c r="B30845" s="4" t="s">
        <v>5</v>
      </c>
      <c r="C30845" s="4" t="s">
        <v>7</v>
      </c>
      <c r="D30845" s="4" t="s">
        <v>13</v>
      </c>
      <c r="E30845" s="4" t="s">
        <v>11</v>
      </c>
      <c r="F30845" s="4" t="s">
        <v>7</v>
      </c>
    </row>
    <row r="30846" spans="1:13">
      <c r="A30846" t="n">
        <v>300504</v>
      </c>
      <c r="B30846" s="13" t="n">
        <v>49</v>
      </c>
      <c r="C30846" s="7" t="n">
        <v>3</v>
      </c>
      <c r="D30846" s="7" t="n">
        <v>0.800000011920929</v>
      </c>
      <c r="E30846" s="7" t="n">
        <v>1000</v>
      </c>
      <c r="F30846" s="7" t="n">
        <v>0</v>
      </c>
    </row>
    <row r="30847" spans="1:13">
      <c r="A30847" t="s">
        <v>4</v>
      </c>
      <c r="B30847" s="4" t="s">
        <v>5</v>
      </c>
      <c r="C30847" s="4" t="s">
        <v>7</v>
      </c>
      <c r="D30847" s="4" t="s">
        <v>7</v>
      </c>
      <c r="E30847" s="4" t="s">
        <v>7</v>
      </c>
      <c r="F30847" s="4" t="s">
        <v>13</v>
      </c>
      <c r="G30847" s="4" t="s">
        <v>13</v>
      </c>
      <c r="H30847" s="4" t="s">
        <v>13</v>
      </c>
      <c r="I30847" s="4" t="s">
        <v>13</v>
      </c>
      <c r="J30847" s="4" t="s">
        <v>13</v>
      </c>
    </row>
    <row r="30848" spans="1:13">
      <c r="A30848" t="n">
        <v>300513</v>
      </c>
      <c r="B30848" s="25" t="n">
        <v>76</v>
      </c>
      <c r="C30848" s="7" t="n">
        <v>1</v>
      </c>
      <c r="D30848" s="7" t="n">
        <v>3</v>
      </c>
      <c r="E30848" s="7" t="n">
        <v>0</v>
      </c>
      <c r="F30848" s="7" t="n">
        <v>1</v>
      </c>
      <c r="G30848" s="7" t="n">
        <v>1</v>
      </c>
      <c r="H30848" s="7" t="n">
        <v>1</v>
      </c>
      <c r="I30848" s="7" t="n">
        <v>0</v>
      </c>
      <c r="J30848" s="7" t="n">
        <v>1000</v>
      </c>
    </row>
    <row r="30849" spans="1:10">
      <c r="A30849" t="s">
        <v>4</v>
      </c>
      <c r="B30849" s="4" t="s">
        <v>5</v>
      </c>
      <c r="C30849" s="4" t="s">
        <v>7</v>
      </c>
      <c r="D30849" s="4" t="s">
        <v>7</v>
      </c>
    </row>
    <row r="30850" spans="1:10">
      <c r="A30850" t="n">
        <v>300537</v>
      </c>
      <c r="B30850" s="26" t="n">
        <v>77</v>
      </c>
      <c r="C30850" s="7" t="n">
        <v>1</v>
      </c>
      <c r="D30850" s="7" t="n">
        <v>3</v>
      </c>
    </row>
    <row r="30851" spans="1:10">
      <c r="A30851" t="s">
        <v>4</v>
      </c>
      <c r="B30851" s="4" t="s">
        <v>5</v>
      </c>
      <c r="C30851" s="4" t="s">
        <v>7</v>
      </c>
      <c r="D30851" s="4" t="s">
        <v>11</v>
      </c>
      <c r="E30851" s="4" t="s">
        <v>8</v>
      </c>
    </row>
    <row r="30852" spans="1:10">
      <c r="A30852" t="n">
        <v>300540</v>
      </c>
      <c r="B30852" s="38" t="n">
        <v>51</v>
      </c>
      <c r="C30852" s="7" t="n">
        <v>4</v>
      </c>
      <c r="D30852" s="7" t="n">
        <v>0</v>
      </c>
      <c r="E30852" s="7" t="s">
        <v>285</v>
      </c>
    </row>
    <row r="30853" spans="1:10">
      <c r="A30853" t="s">
        <v>4</v>
      </c>
      <c r="B30853" s="4" t="s">
        <v>5</v>
      </c>
      <c r="C30853" s="4" t="s">
        <v>11</v>
      </c>
    </row>
    <row r="30854" spans="1:10">
      <c r="A30854" t="n">
        <v>300553</v>
      </c>
      <c r="B30854" s="29" t="n">
        <v>16</v>
      </c>
      <c r="C30854" s="7" t="n">
        <v>0</v>
      </c>
    </row>
    <row r="30855" spans="1:10">
      <c r="A30855" t="s">
        <v>4</v>
      </c>
      <c r="B30855" s="4" t="s">
        <v>5</v>
      </c>
      <c r="C30855" s="4" t="s">
        <v>11</v>
      </c>
      <c r="D30855" s="4" t="s">
        <v>7</v>
      </c>
      <c r="E30855" s="4" t="s">
        <v>15</v>
      </c>
      <c r="F30855" s="4" t="s">
        <v>55</v>
      </c>
      <c r="G30855" s="4" t="s">
        <v>7</v>
      </c>
      <c r="H30855" s="4" t="s">
        <v>7</v>
      </c>
      <c r="I30855" s="4" t="s">
        <v>7</v>
      </c>
      <c r="J30855" s="4" t="s">
        <v>15</v>
      </c>
      <c r="K30855" s="4" t="s">
        <v>55</v>
      </c>
      <c r="L30855" s="4" t="s">
        <v>7</v>
      </c>
      <c r="M30855" s="4" t="s">
        <v>7</v>
      </c>
    </row>
    <row r="30856" spans="1:10">
      <c r="A30856" t="n">
        <v>300556</v>
      </c>
      <c r="B30856" s="55" t="n">
        <v>26</v>
      </c>
      <c r="C30856" s="7" t="n">
        <v>0</v>
      </c>
      <c r="D30856" s="7" t="n">
        <v>17</v>
      </c>
      <c r="E30856" s="7" t="n">
        <v>64006</v>
      </c>
      <c r="F30856" s="7" t="s">
        <v>732</v>
      </c>
      <c r="G30856" s="7" t="n">
        <v>2</v>
      </c>
      <c r="H30856" s="7" t="n">
        <v>3</v>
      </c>
      <c r="I30856" s="7" t="n">
        <v>17</v>
      </c>
      <c r="J30856" s="7" t="n">
        <v>64007</v>
      </c>
      <c r="K30856" s="7" t="s">
        <v>733</v>
      </c>
      <c r="L30856" s="7" t="n">
        <v>2</v>
      </c>
      <c r="M30856" s="7" t="n">
        <v>0</v>
      </c>
    </row>
    <row r="30857" spans="1:10">
      <c r="A30857" t="s">
        <v>4</v>
      </c>
      <c r="B30857" s="4" t="s">
        <v>5</v>
      </c>
    </row>
    <row r="30858" spans="1:10">
      <c r="A30858" t="n">
        <v>300771</v>
      </c>
      <c r="B30858" s="27" t="n">
        <v>28</v>
      </c>
    </row>
    <row r="30859" spans="1:10">
      <c r="A30859" t="s">
        <v>4</v>
      </c>
      <c r="B30859" s="4" t="s">
        <v>5</v>
      </c>
      <c r="C30859" s="4" t="s">
        <v>7</v>
      </c>
      <c r="D30859" s="4" t="s">
        <v>11</v>
      </c>
      <c r="E30859" s="4" t="s">
        <v>8</v>
      </c>
    </row>
    <row r="30860" spans="1:10">
      <c r="A30860" t="n">
        <v>300772</v>
      </c>
      <c r="B30860" s="38" t="n">
        <v>51</v>
      </c>
      <c r="C30860" s="7" t="n">
        <v>4</v>
      </c>
      <c r="D30860" s="7" t="n">
        <v>11</v>
      </c>
      <c r="E30860" s="7" t="s">
        <v>192</v>
      </c>
    </row>
    <row r="30861" spans="1:10">
      <c r="A30861" t="s">
        <v>4</v>
      </c>
      <c r="B30861" s="4" t="s">
        <v>5</v>
      </c>
      <c r="C30861" s="4" t="s">
        <v>11</v>
      </c>
    </row>
    <row r="30862" spans="1:10">
      <c r="A30862" t="n">
        <v>300785</v>
      </c>
      <c r="B30862" s="29" t="n">
        <v>16</v>
      </c>
      <c r="C30862" s="7" t="n">
        <v>0</v>
      </c>
    </row>
    <row r="30863" spans="1:10">
      <c r="A30863" t="s">
        <v>4</v>
      </c>
      <c r="B30863" s="4" t="s">
        <v>5</v>
      </c>
      <c r="C30863" s="4" t="s">
        <v>11</v>
      </c>
      <c r="D30863" s="4" t="s">
        <v>7</v>
      </c>
      <c r="E30863" s="4" t="s">
        <v>15</v>
      </c>
      <c r="F30863" s="4" t="s">
        <v>55</v>
      </c>
      <c r="G30863" s="4" t="s">
        <v>7</v>
      </c>
      <c r="H30863" s="4" t="s">
        <v>7</v>
      </c>
      <c r="I30863" s="4" t="s">
        <v>7</v>
      </c>
      <c r="J30863" s="4" t="s">
        <v>15</v>
      </c>
      <c r="K30863" s="4" t="s">
        <v>55</v>
      </c>
      <c r="L30863" s="4" t="s">
        <v>7</v>
      </c>
      <c r="M30863" s="4" t="s">
        <v>7</v>
      </c>
      <c r="N30863" s="4" t="s">
        <v>7</v>
      </c>
      <c r="O30863" s="4" t="s">
        <v>15</v>
      </c>
      <c r="P30863" s="4" t="s">
        <v>55</v>
      </c>
      <c r="Q30863" s="4" t="s">
        <v>7</v>
      </c>
      <c r="R30863" s="4" t="s">
        <v>7</v>
      </c>
      <c r="S30863" s="4" t="s">
        <v>7</v>
      </c>
      <c r="T30863" s="4" t="s">
        <v>15</v>
      </c>
      <c r="U30863" s="4" t="s">
        <v>55</v>
      </c>
      <c r="V30863" s="4" t="s">
        <v>7</v>
      </c>
      <c r="W30863" s="4" t="s">
        <v>7</v>
      </c>
    </row>
    <row r="30864" spans="1:10">
      <c r="A30864" t="n">
        <v>300788</v>
      </c>
      <c r="B30864" s="55" t="n">
        <v>26</v>
      </c>
      <c r="C30864" s="7" t="n">
        <v>11</v>
      </c>
      <c r="D30864" s="7" t="n">
        <v>17</v>
      </c>
      <c r="E30864" s="7" t="n">
        <v>10802</v>
      </c>
      <c r="F30864" s="7" t="s">
        <v>734</v>
      </c>
      <c r="G30864" s="7" t="n">
        <v>2</v>
      </c>
      <c r="H30864" s="7" t="n">
        <v>3</v>
      </c>
      <c r="I30864" s="7" t="n">
        <v>17</v>
      </c>
      <c r="J30864" s="7" t="n">
        <v>10803</v>
      </c>
      <c r="K30864" s="7" t="s">
        <v>735</v>
      </c>
      <c r="L30864" s="7" t="n">
        <v>2</v>
      </c>
      <c r="M30864" s="7" t="n">
        <v>3</v>
      </c>
      <c r="N30864" s="7" t="n">
        <v>17</v>
      </c>
      <c r="O30864" s="7" t="n">
        <v>10804</v>
      </c>
      <c r="P30864" s="7" t="s">
        <v>736</v>
      </c>
      <c r="Q30864" s="7" t="n">
        <v>2</v>
      </c>
      <c r="R30864" s="7" t="n">
        <v>3</v>
      </c>
      <c r="S30864" s="7" t="n">
        <v>17</v>
      </c>
      <c r="T30864" s="7" t="n">
        <v>10805</v>
      </c>
      <c r="U30864" s="7" t="s">
        <v>737</v>
      </c>
      <c r="V30864" s="7" t="n">
        <v>2</v>
      </c>
      <c r="W30864" s="7" t="n">
        <v>0</v>
      </c>
    </row>
    <row r="30865" spans="1:23">
      <c r="A30865" t="s">
        <v>4</v>
      </c>
      <c r="B30865" s="4" t="s">
        <v>5</v>
      </c>
    </row>
    <row r="30866" spans="1:23">
      <c r="A30866" t="n">
        <v>301212</v>
      </c>
      <c r="B30866" s="27" t="n">
        <v>28</v>
      </c>
    </row>
    <row r="30867" spans="1:23">
      <c r="A30867" t="s">
        <v>4</v>
      </c>
      <c r="B30867" s="4" t="s">
        <v>5</v>
      </c>
      <c r="C30867" s="4" t="s">
        <v>7</v>
      </c>
      <c r="D30867" s="4" t="s">
        <v>11</v>
      </c>
      <c r="E30867" s="4" t="s">
        <v>8</v>
      </c>
    </row>
    <row r="30868" spans="1:23">
      <c r="A30868" t="n">
        <v>301213</v>
      </c>
      <c r="B30868" s="38" t="n">
        <v>51</v>
      </c>
      <c r="C30868" s="7" t="n">
        <v>4</v>
      </c>
      <c r="D30868" s="7" t="n">
        <v>0</v>
      </c>
      <c r="E30868" s="7" t="s">
        <v>147</v>
      </c>
    </row>
    <row r="30869" spans="1:23">
      <c r="A30869" t="s">
        <v>4</v>
      </c>
      <c r="B30869" s="4" t="s">
        <v>5</v>
      </c>
      <c r="C30869" s="4" t="s">
        <v>11</v>
      </c>
    </row>
    <row r="30870" spans="1:23">
      <c r="A30870" t="n">
        <v>301227</v>
      </c>
      <c r="B30870" s="29" t="n">
        <v>16</v>
      </c>
      <c r="C30870" s="7" t="n">
        <v>500</v>
      </c>
    </row>
    <row r="30871" spans="1:23">
      <c r="A30871" t="s">
        <v>4</v>
      </c>
      <c r="B30871" s="4" t="s">
        <v>5</v>
      </c>
      <c r="C30871" s="4" t="s">
        <v>11</v>
      </c>
      <c r="D30871" s="4" t="s">
        <v>7</v>
      </c>
      <c r="E30871" s="4" t="s">
        <v>15</v>
      </c>
      <c r="F30871" s="4" t="s">
        <v>55</v>
      </c>
      <c r="G30871" s="4" t="s">
        <v>7</v>
      </c>
      <c r="H30871" s="4" t="s">
        <v>7</v>
      </c>
    </row>
    <row r="30872" spans="1:23">
      <c r="A30872" t="n">
        <v>301230</v>
      </c>
      <c r="B30872" s="55" t="n">
        <v>26</v>
      </c>
      <c r="C30872" s="7" t="n">
        <v>0</v>
      </c>
      <c r="D30872" s="7" t="n">
        <v>17</v>
      </c>
      <c r="E30872" s="7" t="n">
        <v>64008</v>
      </c>
      <c r="F30872" s="7" t="s">
        <v>738</v>
      </c>
      <c r="G30872" s="7" t="n">
        <v>2</v>
      </c>
      <c r="H30872" s="7" t="n">
        <v>0</v>
      </c>
    </row>
    <row r="30873" spans="1:23">
      <c r="A30873" t="s">
        <v>4</v>
      </c>
      <c r="B30873" s="4" t="s">
        <v>5</v>
      </c>
    </row>
    <row r="30874" spans="1:23">
      <c r="A30874" t="n">
        <v>301303</v>
      </c>
      <c r="B30874" s="27" t="n">
        <v>28</v>
      </c>
    </row>
    <row r="30875" spans="1:23">
      <c r="A30875" t="s">
        <v>4</v>
      </c>
      <c r="B30875" s="4" t="s">
        <v>5</v>
      </c>
      <c r="C30875" s="4" t="s">
        <v>11</v>
      </c>
      <c r="D30875" s="4" t="s">
        <v>7</v>
      </c>
      <c r="E30875" s="4" t="s">
        <v>8</v>
      </c>
      <c r="F30875" s="4" t="s">
        <v>13</v>
      </c>
      <c r="G30875" s="4" t="s">
        <v>13</v>
      </c>
      <c r="H30875" s="4" t="s">
        <v>13</v>
      </c>
    </row>
    <row r="30876" spans="1:23">
      <c r="A30876" t="n">
        <v>301304</v>
      </c>
      <c r="B30876" s="42" t="n">
        <v>48</v>
      </c>
      <c r="C30876" s="7" t="n">
        <v>11</v>
      </c>
      <c r="D30876" s="7" t="n">
        <v>0</v>
      </c>
      <c r="E30876" s="7" t="s">
        <v>391</v>
      </c>
      <c r="F30876" s="7" t="n">
        <v>-1</v>
      </c>
      <c r="G30876" s="7" t="n">
        <v>1</v>
      </c>
      <c r="H30876" s="7" t="n">
        <v>0</v>
      </c>
    </row>
    <row r="30877" spans="1:23">
      <c r="A30877" t="s">
        <v>4</v>
      </c>
      <c r="B30877" s="4" t="s">
        <v>5</v>
      </c>
      <c r="C30877" s="4" t="s">
        <v>11</v>
      </c>
    </row>
    <row r="30878" spans="1:23">
      <c r="A30878" t="n">
        <v>301334</v>
      </c>
      <c r="B30878" s="29" t="n">
        <v>16</v>
      </c>
      <c r="C30878" s="7" t="n">
        <v>500</v>
      </c>
    </row>
    <row r="30879" spans="1:23">
      <c r="A30879" t="s">
        <v>4</v>
      </c>
      <c r="B30879" s="4" t="s">
        <v>5</v>
      </c>
      <c r="C30879" s="4" t="s">
        <v>7</v>
      </c>
      <c r="D30879" s="4" t="s">
        <v>11</v>
      </c>
      <c r="E30879" s="4" t="s">
        <v>8</v>
      </c>
    </row>
    <row r="30880" spans="1:23">
      <c r="A30880" t="n">
        <v>301337</v>
      </c>
      <c r="B30880" s="38" t="n">
        <v>51</v>
      </c>
      <c r="C30880" s="7" t="n">
        <v>4</v>
      </c>
      <c r="D30880" s="7" t="n">
        <v>11</v>
      </c>
      <c r="E30880" s="7" t="s">
        <v>235</v>
      </c>
    </row>
    <row r="30881" spans="1:8">
      <c r="A30881" t="s">
        <v>4</v>
      </c>
      <c r="B30881" s="4" t="s">
        <v>5</v>
      </c>
      <c r="C30881" s="4" t="s">
        <v>11</v>
      </c>
    </row>
    <row r="30882" spans="1:8">
      <c r="A30882" t="n">
        <v>301351</v>
      </c>
      <c r="B30882" s="29" t="n">
        <v>16</v>
      </c>
      <c r="C30882" s="7" t="n">
        <v>0</v>
      </c>
    </row>
    <row r="30883" spans="1:8">
      <c r="A30883" t="s">
        <v>4</v>
      </c>
      <c r="B30883" s="4" t="s">
        <v>5</v>
      </c>
      <c r="C30883" s="4" t="s">
        <v>11</v>
      </c>
      <c r="D30883" s="4" t="s">
        <v>7</v>
      </c>
      <c r="E30883" s="4" t="s">
        <v>15</v>
      </c>
      <c r="F30883" s="4" t="s">
        <v>55</v>
      </c>
      <c r="G30883" s="4" t="s">
        <v>7</v>
      </c>
      <c r="H30883" s="4" t="s">
        <v>7</v>
      </c>
      <c r="I30883" s="4" t="s">
        <v>7</v>
      </c>
      <c r="J30883" s="4" t="s">
        <v>15</v>
      </c>
      <c r="K30883" s="4" t="s">
        <v>55</v>
      </c>
      <c r="L30883" s="4" t="s">
        <v>7</v>
      </c>
      <c r="M30883" s="4" t="s">
        <v>7</v>
      </c>
      <c r="N30883" s="4" t="s">
        <v>7</v>
      </c>
      <c r="O30883" s="4" t="s">
        <v>15</v>
      </c>
      <c r="P30883" s="4" t="s">
        <v>55</v>
      </c>
      <c r="Q30883" s="4" t="s">
        <v>7</v>
      </c>
      <c r="R30883" s="4" t="s">
        <v>7</v>
      </c>
      <c r="S30883" s="4" t="s">
        <v>7</v>
      </c>
      <c r="T30883" s="4" t="s">
        <v>15</v>
      </c>
      <c r="U30883" s="4" t="s">
        <v>55</v>
      </c>
      <c r="V30883" s="4" t="s">
        <v>7</v>
      </c>
      <c r="W30883" s="4" t="s">
        <v>7</v>
      </c>
      <c r="X30883" s="4" t="s">
        <v>7</v>
      </c>
      <c r="Y30883" s="4" t="s">
        <v>15</v>
      </c>
      <c r="Z30883" s="4" t="s">
        <v>55</v>
      </c>
      <c r="AA30883" s="4" t="s">
        <v>7</v>
      </c>
      <c r="AB30883" s="4" t="s">
        <v>7</v>
      </c>
    </row>
    <row r="30884" spans="1:8">
      <c r="A30884" t="n">
        <v>301354</v>
      </c>
      <c r="B30884" s="55" t="n">
        <v>26</v>
      </c>
      <c r="C30884" s="7" t="n">
        <v>11</v>
      </c>
      <c r="D30884" s="7" t="n">
        <v>17</v>
      </c>
      <c r="E30884" s="7" t="n">
        <v>10806</v>
      </c>
      <c r="F30884" s="7" t="s">
        <v>739</v>
      </c>
      <c r="G30884" s="7" t="n">
        <v>2</v>
      </c>
      <c r="H30884" s="7" t="n">
        <v>3</v>
      </c>
      <c r="I30884" s="7" t="n">
        <v>17</v>
      </c>
      <c r="J30884" s="7" t="n">
        <v>10807</v>
      </c>
      <c r="K30884" s="7" t="s">
        <v>740</v>
      </c>
      <c r="L30884" s="7" t="n">
        <v>2</v>
      </c>
      <c r="M30884" s="7" t="n">
        <v>3</v>
      </c>
      <c r="N30884" s="7" t="n">
        <v>17</v>
      </c>
      <c r="O30884" s="7" t="n">
        <v>10808</v>
      </c>
      <c r="P30884" s="7" t="s">
        <v>741</v>
      </c>
      <c r="Q30884" s="7" t="n">
        <v>2</v>
      </c>
      <c r="R30884" s="7" t="n">
        <v>3</v>
      </c>
      <c r="S30884" s="7" t="n">
        <v>17</v>
      </c>
      <c r="T30884" s="7" t="n">
        <v>10809</v>
      </c>
      <c r="U30884" s="7" t="s">
        <v>742</v>
      </c>
      <c r="V30884" s="7" t="n">
        <v>2</v>
      </c>
      <c r="W30884" s="7" t="n">
        <v>3</v>
      </c>
      <c r="X30884" s="7" t="n">
        <v>17</v>
      </c>
      <c r="Y30884" s="7" t="n">
        <v>10810</v>
      </c>
      <c r="Z30884" s="7" t="s">
        <v>743</v>
      </c>
      <c r="AA30884" s="7" t="n">
        <v>2</v>
      </c>
      <c r="AB30884" s="7" t="n">
        <v>0</v>
      </c>
    </row>
    <row r="30885" spans="1:8">
      <c r="A30885" t="s">
        <v>4</v>
      </c>
      <c r="B30885" s="4" t="s">
        <v>5</v>
      </c>
    </row>
    <row r="30886" spans="1:8">
      <c r="A30886" t="n">
        <v>301927</v>
      </c>
      <c r="B30886" s="27" t="n">
        <v>28</v>
      </c>
    </row>
    <row r="30887" spans="1:8">
      <c r="A30887" t="s">
        <v>4</v>
      </c>
      <c r="B30887" s="4" t="s">
        <v>5</v>
      </c>
      <c r="C30887" s="4" t="s">
        <v>7</v>
      </c>
      <c r="D30887" s="4" t="s">
        <v>11</v>
      </c>
      <c r="E30887" s="4" t="s">
        <v>8</v>
      </c>
    </row>
    <row r="30888" spans="1:8">
      <c r="A30888" t="n">
        <v>301928</v>
      </c>
      <c r="B30888" s="38" t="n">
        <v>51</v>
      </c>
      <c r="C30888" s="7" t="n">
        <v>4</v>
      </c>
      <c r="D30888" s="7" t="n">
        <v>0</v>
      </c>
      <c r="E30888" s="7" t="s">
        <v>179</v>
      </c>
    </row>
    <row r="30889" spans="1:8">
      <c r="A30889" t="s">
        <v>4</v>
      </c>
      <c r="B30889" s="4" t="s">
        <v>5</v>
      </c>
      <c r="C30889" s="4" t="s">
        <v>11</v>
      </c>
    </row>
    <row r="30890" spans="1:8">
      <c r="A30890" t="n">
        <v>301942</v>
      </c>
      <c r="B30890" s="29" t="n">
        <v>16</v>
      </c>
      <c r="C30890" s="7" t="n">
        <v>0</v>
      </c>
    </row>
    <row r="30891" spans="1:8">
      <c r="A30891" t="s">
        <v>4</v>
      </c>
      <c r="B30891" s="4" t="s">
        <v>5</v>
      </c>
      <c r="C30891" s="4" t="s">
        <v>11</v>
      </c>
      <c r="D30891" s="4" t="s">
        <v>7</v>
      </c>
      <c r="E30891" s="4" t="s">
        <v>15</v>
      </c>
      <c r="F30891" s="4" t="s">
        <v>55</v>
      </c>
      <c r="G30891" s="4" t="s">
        <v>7</v>
      </c>
      <c r="H30891" s="4" t="s">
        <v>7</v>
      </c>
      <c r="I30891" s="4" t="s">
        <v>7</v>
      </c>
      <c r="J30891" s="4" t="s">
        <v>15</v>
      </c>
      <c r="K30891" s="4" t="s">
        <v>55</v>
      </c>
      <c r="L30891" s="4" t="s">
        <v>7</v>
      </c>
      <c r="M30891" s="4" t="s">
        <v>7</v>
      </c>
      <c r="N30891" s="4" t="s">
        <v>7</v>
      </c>
      <c r="O30891" s="4" t="s">
        <v>15</v>
      </c>
      <c r="P30891" s="4" t="s">
        <v>55</v>
      </c>
      <c r="Q30891" s="4" t="s">
        <v>7</v>
      </c>
      <c r="R30891" s="4" t="s">
        <v>7</v>
      </c>
    </row>
    <row r="30892" spans="1:8">
      <c r="A30892" t="n">
        <v>301945</v>
      </c>
      <c r="B30892" s="55" t="n">
        <v>26</v>
      </c>
      <c r="C30892" s="7" t="n">
        <v>0</v>
      </c>
      <c r="D30892" s="7" t="n">
        <v>17</v>
      </c>
      <c r="E30892" s="7" t="n">
        <v>64009</v>
      </c>
      <c r="F30892" s="7" t="s">
        <v>744</v>
      </c>
      <c r="G30892" s="7" t="n">
        <v>2</v>
      </c>
      <c r="H30892" s="7" t="n">
        <v>3</v>
      </c>
      <c r="I30892" s="7" t="n">
        <v>17</v>
      </c>
      <c r="J30892" s="7" t="n">
        <v>64010</v>
      </c>
      <c r="K30892" s="7" t="s">
        <v>745</v>
      </c>
      <c r="L30892" s="7" t="n">
        <v>2</v>
      </c>
      <c r="M30892" s="7" t="n">
        <v>3</v>
      </c>
      <c r="N30892" s="7" t="n">
        <v>17</v>
      </c>
      <c r="O30892" s="7" t="n">
        <v>64011</v>
      </c>
      <c r="P30892" s="7" t="s">
        <v>746</v>
      </c>
      <c r="Q30892" s="7" t="n">
        <v>2</v>
      </c>
      <c r="R30892" s="7" t="n">
        <v>0</v>
      </c>
    </row>
    <row r="30893" spans="1:8">
      <c r="A30893" t="s">
        <v>4</v>
      </c>
      <c r="B30893" s="4" t="s">
        <v>5</v>
      </c>
    </row>
    <row r="30894" spans="1:8">
      <c r="A30894" t="n">
        <v>302203</v>
      </c>
      <c r="B30894" s="27" t="n">
        <v>28</v>
      </c>
    </row>
    <row r="30895" spans="1:8">
      <c r="A30895" t="s">
        <v>4</v>
      </c>
      <c r="B30895" s="4" t="s">
        <v>5</v>
      </c>
      <c r="C30895" s="4" t="s">
        <v>7</v>
      </c>
      <c r="D30895" s="4" t="s">
        <v>11</v>
      </c>
      <c r="E30895" s="4" t="s">
        <v>8</v>
      </c>
    </row>
    <row r="30896" spans="1:8">
      <c r="A30896" t="n">
        <v>302204</v>
      </c>
      <c r="B30896" s="38" t="n">
        <v>51</v>
      </c>
      <c r="C30896" s="7" t="n">
        <v>4</v>
      </c>
      <c r="D30896" s="7" t="n">
        <v>11</v>
      </c>
      <c r="E30896" s="7" t="s">
        <v>245</v>
      </c>
    </row>
    <row r="30897" spans="1:28">
      <c r="A30897" t="s">
        <v>4</v>
      </c>
      <c r="B30897" s="4" t="s">
        <v>5</v>
      </c>
      <c r="C30897" s="4" t="s">
        <v>11</v>
      </c>
    </row>
    <row r="30898" spans="1:28">
      <c r="A30898" t="n">
        <v>302218</v>
      </c>
      <c r="B30898" s="29" t="n">
        <v>16</v>
      </c>
      <c r="C30898" s="7" t="n">
        <v>0</v>
      </c>
    </row>
    <row r="30899" spans="1:28">
      <c r="A30899" t="s">
        <v>4</v>
      </c>
      <c r="B30899" s="4" t="s">
        <v>5</v>
      </c>
      <c r="C30899" s="4" t="s">
        <v>11</v>
      </c>
      <c r="D30899" s="4" t="s">
        <v>7</v>
      </c>
      <c r="E30899" s="4" t="s">
        <v>15</v>
      </c>
      <c r="F30899" s="4" t="s">
        <v>55</v>
      </c>
      <c r="G30899" s="4" t="s">
        <v>7</v>
      </c>
      <c r="H30899" s="4" t="s">
        <v>7</v>
      </c>
    </row>
    <row r="30900" spans="1:28">
      <c r="A30900" t="n">
        <v>302221</v>
      </c>
      <c r="B30900" s="55" t="n">
        <v>26</v>
      </c>
      <c r="C30900" s="7" t="n">
        <v>11</v>
      </c>
      <c r="D30900" s="7" t="n">
        <v>17</v>
      </c>
      <c r="E30900" s="7" t="n">
        <v>10811</v>
      </c>
      <c r="F30900" s="7" t="s">
        <v>747</v>
      </c>
      <c r="G30900" s="7" t="n">
        <v>2</v>
      </c>
      <c r="H30900" s="7" t="n">
        <v>0</v>
      </c>
    </row>
    <row r="30901" spans="1:28">
      <c r="A30901" t="s">
        <v>4</v>
      </c>
      <c r="B30901" s="4" t="s">
        <v>5</v>
      </c>
    </row>
    <row r="30902" spans="1:28">
      <c r="A30902" t="n">
        <v>302248</v>
      </c>
      <c r="B30902" s="27" t="n">
        <v>28</v>
      </c>
    </row>
    <row r="30903" spans="1:28">
      <c r="A30903" t="s">
        <v>4</v>
      </c>
      <c r="B30903" s="4" t="s">
        <v>5</v>
      </c>
      <c r="C30903" s="4" t="s">
        <v>11</v>
      </c>
      <c r="D30903" s="4" t="s">
        <v>7</v>
      </c>
    </row>
    <row r="30904" spans="1:28">
      <c r="A30904" t="n">
        <v>302249</v>
      </c>
      <c r="B30904" s="68" t="n">
        <v>89</v>
      </c>
      <c r="C30904" s="7" t="n">
        <v>65533</v>
      </c>
      <c r="D30904" s="7" t="n">
        <v>1</v>
      </c>
    </row>
    <row r="30905" spans="1:28">
      <c r="A30905" t="s">
        <v>4</v>
      </c>
      <c r="B30905" s="4" t="s">
        <v>5</v>
      </c>
      <c r="C30905" s="4" t="s">
        <v>7</v>
      </c>
      <c r="D30905" s="4" t="s">
        <v>11</v>
      </c>
      <c r="E30905" s="4" t="s">
        <v>13</v>
      </c>
    </row>
    <row r="30906" spans="1:28">
      <c r="A30906" t="n">
        <v>302253</v>
      </c>
      <c r="B30906" s="23" t="n">
        <v>58</v>
      </c>
      <c r="C30906" s="7" t="n">
        <v>101</v>
      </c>
      <c r="D30906" s="7" t="n">
        <v>500</v>
      </c>
      <c r="E30906" s="7" t="n">
        <v>1</v>
      </c>
    </row>
    <row r="30907" spans="1:28">
      <c r="A30907" t="s">
        <v>4</v>
      </c>
      <c r="B30907" s="4" t="s">
        <v>5</v>
      </c>
      <c r="C30907" s="4" t="s">
        <v>7</v>
      </c>
      <c r="D30907" s="4" t="s">
        <v>11</v>
      </c>
    </row>
    <row r="30908" spans="1:28">
      <c r="A30908" t="n">
        <v>302261</v>
      </c>
      <c r="B30908" s="23" t="n">
        <v>58</v>
      </c>
      <c r="C30908" s="7" t="n">
        <v>254</v>
      </c>
      <c r="D30908" s="7" t="n">
        <v>0</v>
      </c>
    </row>
    <row r="30909" spans="1:28">
      <c r="A30909" t="s">
        <v>4</v>
      </c>
      <c r="B30909" s="4" t="s">
        <v>5</v>
      </c>
      <c r="C30909" s="4" t="s">
        <v>7</v>
      </c>
      <c r="D30909" s="4" t="s">
        <v>7</v>
      </c>
      <c r="E30909" s="4" t="s">
        <v>13</v>
      </c>
      <c r="F30909" s="4" t="s">
        <v>13</v>
      </c>
      <c r="G30909" s="4" t="s">
        <v>13</v>
      </c>
      <c r="H30909" s="4" t="s">
        <v>11</v>
      </c>
    </row>
    <row r="30910" spans="1:28">
      <c r="A30910" t="n">
        <v>302265</v>
      </c>
      <c r="B30910" s="51" t="n">
        <v>45</v>
      </c>
      <c r="C30910" s="7" t="n">
        <v>2</v>
      </c>
      <c r="D30910" s="7" t="n">
        <v>3</v>
      </c>
      <c r="E30910" s="7" t="n">
        <v>-6.86999988555908</v>
      </c>
      <c r="F30910" s="7" t="n">
        <v>6.46000003814697</v>
      </c>
      <c r="G30910" s="7" t="n">
        <v>29.9200000762939</v>
      </c>
      <c r="H30910" s="7" t="n">
        <v>0</v>
      </c>
    </row>
    <row r="30911" spans="1:28">
      <c r="A30911" t="s">
        <v>4</v>
      </c>
      <c r="B30911" s="4" t="s">
        <v>5</v>
      </c>
      <c r="C30911" s="4" t="s">
        <v>7</v>
      </c>
      <c r="D30911" s="4" t="s">
        <v>7</v>
      </c>
      <c r="E30911" s="4" t="s">
        <v>13</v>
      </c>
      <c r="F30911" s="4" t="s">
        <v>13</v>
      </c>
      <c r="G30911" s="4" t="s">
        <v>13</v>
      </c>
      <c r="H30911" s="4" t="s">
        <v>11</v>
      </c>
      <c r="I30911" s="4" t="s">
        <v>7</v>
      </c>
    </row>
    <row r="30912" spans="1:28">
      <c r="A30912" t="n">
        <v>302282</v>
      </c>
      <c r="B30912" s="51" t="n">
        <v>45</v>
      </c>
      <c r="C30912" s="7" t="n">
        <v>4</v>
      </c>
      <c r="D30912" s="7" t="n">
        <v>3</v>
      </c>
      <c r="E30912" s="7" t="n">
        <v>9.21000003814697</v>
      </c>
      <c r="F30912" s="7" t="n">
        <v>50.6699981689453</v>
      </c>
      <c r="G30912" s="7" t="n">
        <v>8</v>
      </c>
      <c r="H30912" s="7" t="n">
        <v>0</v>
      </c>
      <c r="I30912" s="7" t="n">
        <v>0</v>
      </c>
    </row>
    <row r="30913" spans="1:9">
      <c r="A30913" t="s">
        <v>4</v>
      </c>
      <c r="B30913" s="4" t="s">
        <v>5</v>
      </c>
      <c r="C30913" s="4" t="s">
        <v>7</v>
      </c>
      <c r="D30913" s="4" t="s">
        <v>7</v>
      </c>
      <c r="E30913" s="4" t="s">
        <v>13</v>
      </c>
      <c r="F30913" s="4" t="s">
        <v>11</v>
      </c>
    </row>
    <row r="30914" spans="1:9">
      <c r="A30914" t="n">
        <v>302300</v>
      </c>
      <c r="B30914" s="51" t="n">
        <v>45</v>
      </c>
      <c r="C30914" s="7" t="n">
        <v>5</v>
      </c>
      <c r="D30914" s="7" t="n">
        <v>3</v>
      </c>
      <c r="E30914" s="7" t="n">
        <v>1.10000002384186</v>
      </c>
      <c r="F30914" s="7" t="n">
        <v>0</v>
      </c>
    </row>
    <row r="30915" spans="1:9">
      <c r="A30915" t="s">
        <v>4</v>
      </c>
      <c r="B30915" s="4" t="s">
        <v>5</v>
      </c>
      <c r="C30915" s="4" t="s">
        <v>7</v>
      </c>
      <c r="D30915" s="4" t="s">
        <v>7</v>
      </c>
      <c r="E30915" s="4" t="s">
        <v>13</v>
      </c>
      <c r="F30915" s="4" t="s">
        <v>11</v>
      </c>
    </row>
    <row r="30916" spans="1:9">
      <c r="A30916" t="n">
        <v>302309</v>
      </c>
      <c r="B30916" s="51" t="n">
        <v>45</v>
      </c>
      <c r="C30916" s="7" t="n">
        <v>11</v>
      </c>
      <c r="D30916" s="7" t="n">
        <v>3</v>
      </c>
      <c r="E30916" s="7" t="n">
        <v>40.2999992370605</v>
      </c>
      <c r="F30916" s="7" t="n">
        <v>0</v>
      </c>
    </row>
    <row r="30917" spans="1:9">
      <c r="A30917" t="s">
        <v>4</v>
      </c>
      <c r="B30917" s="4" t="s">
        <v>5</v>
      </c>
      <c r="C30917" s="4" t="s">
        <v>7</v>
      </c>
      <c r="D30917" s="4" t="s">
        <v>11</v>
      </c>
    </row>
    <row r="30918" spans="1:9">
      <c r="A30918" t="n">
        <v>302318</v>
      </c>
      <c r="B30918" s="23" t="n">
        <v>58</v>
      </c>
      <c r="C30918" s="7" t="n">
        <v>255</v>
      </c>
      <c r="D30918" s="7" t="n">
        <v>0</v>
      </c>
    </row>
    <row r="30919" spans="1:9">
      <c r="A30919" t="s">
        <v>4</v>
      </c>
      <c r="B30919" s="4" t="s">
        <v>5</v>
      </c>
      <c r="C30919" s="4" t="s">
        <v>7</v>
      </c>
      <c r="D30919" s="4" t="s">
        <v>11</v>
      </c>
      <c r="E30919" s="4" t="s">
        <v>8</v>
      </c>
    </row>
    <row r="30920" spans="1:9">
      <c r="A30920" t="n">
        <v>302322</v>
      </c>
      <c r="B30920" s="38" t="n">
        <v>51</v>
      </c>
      <c r="C30920" s="7" t="n">
        <v>4</v>
      </c>
      <c r="D30920" s="7" t="n">
        <v>0</v>
      </c>
      <c r="E30920" s="7" t="s">
        <v>162</v>
      </c>
    </row>
    <row r="30921" spans="1:9">
      <c r="A30921" t="s">
        <v>4</v>
      </c>
      <c r="B30921" s="4" t="s">
        <v>5</v>
      </c>
      <c r="C30921" s="4" t="s">
        <v>11</v>
      </c>
    </row>
    <row r="30922" spans="1:9">
      <c r="A30922" t="n">
        <v>302335</v>
      </c>
      <c r="B30922" s="29" t="n">
        <v>16</v>
      </c>
      <c r="C30922" s="7" t="n">
        <v>0</v>
      </c>
    </row>
    <row r="30923" spans="1:9">
      <c r="A30923" t="s">
        <v>4</v>
      </c>
      <c r="B30923" s="4" t="s">
        <v>5</v>
      </c>
      <c r="C30923" s="4" t="s">
        <v>11</v>
      </c>
      <c r="D30923" s="4" t="s">
        <v>7</v>
      </c>
      <c r="E30923" s="4" t="s">
        <v>15</v>
      </c>
      <c r="F30923" s="4" t="s">
        <v>55</v>
      </c>
      <c r="G30923" s="4" t="s">
        <v>7</v>
      </c>
      <c r="H30923" s="4" t="s">
        <v>7</v>
      </c>
      <c r="I30923" s="4" t="s">
        <v>7</v>
      </c>
      <c r="J30923" s="4" t="s">
        <v>15</v>
      </c>
      <c r="K30923" s="4" t="s">
        <v>55</v>
      </c>
      <c r="L30923" s="4" t="s">
        <v>7</v>
      </c>
      <c r="M30923" s="4" t="s">
        <v>7</v>
      </c>
      <c r="N30923" s="4" t="s">
        <v>7</v>
      </c>
      <c r="O30923" s="4" t="s">
        <v>15</v>
      </c>
      <c r="P30923" s="4" t="s">
        <v>55</v>
      </c>
      <c r="Q30923" s="4" t="s">
        <v>7</v>
      </c>
      <c r="R30923" s="4" t="s">
        <v>7</v>
      </c>
      <c r="S30923" s="4" t="s">
        <v>7</v>
      </c>
      <c r="T30923" s="4" t="s">
        <v>15</v>
      </c>
      <c r="U30923" s="4" t="s">
        <v>55</v>
      </c>
      <c r="V30923" s="4" t="s">
        <v>7</v>
      </c>
      <c r="W30923" s="4" t="s">
        <v>7</v>
      </c>
    </row>
    <row r="30924" spans="1:9">
      <c r="A30924" t="n">
        <v>302338</v>
      </c>
      <c r="B30924" s="55" t="n">
        <v>26</v>
      </c>
      <c r="C30924" s="7" t="n">
        <v>0</v>
      </c>
      <c r="D30924" s="7" t="n">
        <v>17</v>
      </c>
      <c r="E30924" s="7" t="n">
        <v>64012</v>
      </c>
      <c r="F30924" s="7" t="s">
        <v>748</v>
      </c>
      <c r="G30924" s="7" t="n">
        <v>2</v>
      </c>
      <c r="H30924" s="7" t="n">
        <v>3</v>
      </c>
      <c r="I30924" s="7" t="n">
        <v>17</v>
      </c>
      <c r="J30924" s="7" t="n">
        <v>64013</v>
      </c>
      <c r="K30924" s="7" t="s">
        <v>749</v>
      </c>
      <c r="L30924" s="7" t="n">
        <v>2</v>
      </c>
      <c r="M30924" s="7" t="n">
        <v>3</v>
      </c>
      <c r="N30924" s="7" t="n">
        <v>17</v>
      </c>
      <c r="O30924" s="7" t="n">
        <v>64014</v>
      </c>
      <c r="P30924" s="7" t="s">
        <v>750</v>
      </c>
      <c r="Q30924" s="7" t="n">
        <v>2</v>
      </c>
      <c r="R30924" s="7" t="n">
        <v>3</v>
      </c>
      <c r="S30924" s="7" t="n">
        <v>17</v>
      </c>
      <c r="T30924" s="7" t="n">
        <v>64015</v>
      </c>
      <c r="U30924" s="7" t="s">
        <v>751</v>
      </c>
      <c r="V30924" s="7" t="n">
        <v>2</v>
      </c>
      <c r="W30924" s="7" t="n">
        <v>0</v>
      </c>
    </row>
    <row r="30925" spans="1:9">
      <c r="A30925" t="s">
        <v>4</v>
      </c>
      <c r="B30925" s="4" t="s">
        <v>5</v>
      </c>
    </row>
    <row r="30926" spans="1:9">
      <c r="A30926" t="n">
        <v>302808</v>
      </c>
      <c r="B30926" s="27" t="n">
        <v>28</v>
      </c>
    </row>
    <row r="30927" spans="1:9">
      <c r="A30927" t="s">
        <v>4</v>
      </c>
      <c r="B30927" s="4" t="s">
        <v>5</v>
      </c>
      <c r="C30927" s="4" t="s">
        <v>7</v>
      </c>
      <c r="D30927" s="4" t="s">
        <v>11</v>
      </c>
      <c r="E30927" s="4" t="s">
        <v>8</v>
      </c>
    </row>
    <row r="30928" spans="1:9">
      <c r="A30928" t="n">
        <v>302809</v>
      </c>
      <c r="B30928" s="38" t="n">
        <v>51</v>
      </c>
      <c r="C30928" s="7" t="n">
        <v>4</v>
      </c>
      <c r="D30928" s="7" t="n">
        <v>11</v>
      </c>
      <c r="E30928" s="7" t="s">
        <v>206</v>
      </c>
    </row>
    <row r="30929" spans="1:23">
      <c r="A30929" t="s">
        <v>4</v>
      </c>
      <c r="B30929" s="4" t="s">
        <v>5</v>
      </c>
      <c r="C30929" s="4" t="s">
        <v>11</v>
      </c>
    </row>
    <row r="30930" spans="1:23">
      <c r="A30930" t="n">
        <v>302824</v>
      </c>
      <c r="B30930" s="29" t="n">
        <v>16</v>
      </c>
      <c r="C30930" s="7" t="n">
        <v>0</v>
      </c>
    </row>
    <row r="30931" spans="1:23">
      <c r="A30931" t="s">
        <v>4</v>
      </c>
      <c r="B30931" s="4" t="s">
        <v>5</v>
      </c>
      <c r="C30931" s="4" t="s">
        <v>11</v>
      </c>
      <c r="D30931" s="4" t="s">
        <v>7</v>
      </c>
      <c r="E30931" s="4" t="s">
        <v>15</v>
      </c>
      <c r="F30931" s="4" t="s">
        <v>55</v>
      </c>
      <c r="G30931" s="4" t="s">
        <v>7</v>
      </c>
      <c r="H30931" s="4" t="s">
        <v>7</v>
      </c>
    </row>
    <row r="30932" spans="1:23">
      <c r="A30932" t="n">
        <v>302827</v>
      </c>
      <c r="B30932" s="55" t="n">
        <v>26</v>
      </c>
      <c r="C30932" s="7" t="n">
        <v>11</v>
      </c>
      <c r="D30932" s="7" t="n">
        <v>17</v>
      </c>
      <c r="E30932" s="7" t="n">
        <v>10812</v>
      </c>
      <c r="F30932" s="7" t="s">
        <v>462</v>
      </c>
      <c r="G30932" s="7" t="n">
        <v>2</v>
      </c>
      <c r="H30932" s="7" t="n">
        <v>0</v>
      </c>
    </row>
    <row r="30933" spans="1:23">
      <c r="A30933" t="s">
        <v>4</v>
      </c>
      <c r="B30933" s="4" t="s">
        <v>5</v>
      </c>
    </row>
    <row r="30934" spans="1:23">
      <c r="A30934" t="n">
        <v>302846</v>
      </c>
      <c r="B30934" s="27" t="n">
        <v>28</v>
      </c>
    </row>
    <row r="30935" spans="1:23">
      <c r="A30935" t="s">
        <v>4</v>
      </c>
      <c r="B30935" s="4" t="s">
        <v>5</v>
      </c>
      <c r="C30935" s="4" t="s">
        <v>7</v>
      </c>
      <c r="D30935" s="4" t="s">
        <v>11</v>
      </c>
      <c r="E30935" s="4" t="s">
        <v>8</v>
      </c>
    </row>
    <row r="30936" spans="1:23">
      <c r="A30936" t="n">
        <v>302847</v>
      </c>
      <c r="B30936" s="38" t="n">
        <v>51</v>
      </c>
      <c r="C30936" s="7" t="n">
        <v>4</v>
      </c>
      <c r="D30936" s="7" t="n">
        <v>0</v>
      </c>
      <c r="E30936" s="7" t="s">
        <v>752</v>
      </c>
    </row>
    <row r="30937" spans="1:23">
      <c r="A30937" t="s">
        <v>4</v>
      </c>
      <c r="B30937" s="4" t="s">
        <v>5</v>
      </c>
      <c r="C30937" s="4" t="s">
        <v>11</v>
      </c>
    </row>
    <row r="30938" spans="1:23">
      <c r="A30938" t="n">
        <v>302861</v>
      </c>
      <c r="B30938" s="29" t="n">
        <v>16</v>
      </c>
      <c r="C30938" s="7" t="n">
        <v>0</v>
      </c>
    </row>
    <row r="30939" spans="1:23">
      <c r="A30939" t="s">
        <v>4</v>
      </c>
      <c r="B30939" s="4" t="s">
        <v>5</v>
      </c>
      <c r="C30939" s="4" t="s">
        <v>11</v>
      </c>
      <c r="D30939" s="4" t="s">
        <v>7</v>
      </c>
      <c r="E30939" s="4" t="s">
        <v>15</v>
      </c>
      <c r="F30939" s="4" t="s">
        <v>55</v>
      </c>
      <c r="G30939" s="4" t="s">
        <v>7</v>
      </c>
      <c r="H30939" s="4" t="s">
        <v>7</v>
      </c>
      <c r="I30939" s="4" t="s">
        <v>7</v>
      </c>
      <c r="J30939" s="4" t="s">
        <v>15</v>
      </c>
      <c r="K30939" s="4" t="s">
        <v>55</v>
      </c>
      <c r="L30939" s="4" t="s">
        <v>7</v>
      </c>
      <c r="M30939" s="4" t="s">
        <v>7</v>
      </c>
      <c r="N30939" s="4" t="s">
        <v>7</v>
      </c>
      <c r="O30939" s="4" t="s">
        <v>15</v>
      </c>
      <c r="P30939" s="4" t="s">
        <v>55</v>
      </c>
      <c r="Q30939" s="4" t="s">
        <v>7</v>
      </c>
      <c r="R30939" s="4" t="s">
        <v>7</v>
      </c>
      <c r="S30939" s="4" t="s">
        <v>7</v>
      </c>
      <c r="T30939" s="4" t="s">
        <v>15</v>
      </c>
      <c r="U30939" s="4" t="s">
        <v>55</v>
      </c>
      <c r="V30939" s="4" t="s">
        <v>7</v>
      </c>
      <c r="W30939" s="4" t="s">
        <v>7</v>
      </c>
    </row>
    <row r="30940" spans="1:23">
      <c r="A30940" t="n">
        <v>302864</v>
      </c>
      <c r="B30940" s="55" t="n">
        <v>26</v>
      </c>
      <c r="C30940" s="7" t="n">
        <v>0</v>
      </c>
      <c r="D30940" s="7" t="n">
        <v>17</v>
      </c>
      <c r="E30940" s="7" t="n">
        <v>64016</v>
      </c>
      <c r="F30940" s="7" t="s">
        <v>753</v>
      </c>
      <c r="G30940" s="7" t="n">
        <v>2</v>
      </c>
      <c r="H30940" s="7" t="n">
        <v>3</v>
      </c>
      <c r="I30940" s="7" t="n">
        <v>17</v>
      </c>
      <c r="J30940" s="7" t="n">
        <v>64017</v>
      </c>
      <c r="K30940" s="7" t="s">
        <v>754</v>
      </c>
      <c r="L30940" s="7" t="n">
        <v>2</v>
      </c>
      <c r="M30940" s="7" t="n">
        <v>3</v>
      </c>
      <c r="N30940" s="7" t="n">
        <v>17</v>
      </c>
      <c r="O30940" s="7" t="n">
        <v>64018</v>
      </c>
      <c r="P30940" s="7" t="s">
        <v>755</v>
      </c>
      <c r="Q30940" s="7" t="n">
        <v>2</v>
      </c>
      <c r="R30940" s="7" t="n">
        <v>3</v>
      </c>
      <c r="S30940" s="7" t="n">
        <v>17</v>
      </c>
      <c r="T30940" s="7" t="n">
        <v>64019</v>
      </c>
      <c r="U30940" s="7" t="s">
        <v>756</v>
      </c>
      <c r="V30940" s="7" t="n">
        <v>2</v>
      </c>
      <c r="W30940" s="7" t="n">
        <v>0</v>
      </c>
    </row>
    <row r="30941" spans="1:23">
      <c r="A30941" t="s">
        <v>4</v>
      </c>
      <c r="B30941" s="4" t="s">
        <v>5</v>
      </c>
    </row>
    <row r="30942" spans="1:23">
      <c r="A30942" t="n">
        <v>303224</v>
      </c>
      <c r="B30942" s="27" t="n">
        <v>28</v>
      </c>
    </row>
    <row r="30943" spans="1:23">
      <c r="A30943" t="s">
        <v>4</v>
      </c>
      <c r="B30943" s="4" t="s">
        <v>5</v>
      </c>
      <c r="C30943" s="4" t="s">
        <v>7</v>
      </c>
      <c r="D30943" s="4" t="s">
        <v>11</v>
      </c>
      <c r="E30943" s="4" t="s">
        <v>8</v>
      </c>
    </row>
    <row r="30944" spans="1:23">
      <c r="A30944" t="n">
        <v>303225</v>
      </c>
      <c r="B30944" s="38" t="n">
        <v>51</v>
      </c>
      <c r="C30944" s="7" t="n">
        <v>4</v>
      </c>
      <c r="D30944" s="7" t="n">
        <v>11</v>
      </c>
      <c r="E30944" s="7" t="s">
        <v>757</v>
      </c>
    </row>
    <row r="30945" spans="1:23">
      <c r="A30945" t="s">
        <v>4</v>
      </c>
      <c r="B30945" s="4" t="s">
        <v>5</v>
      </c>
      <c r="C30945" s="4" t="s">
        <v>11</v>
      </c>
    </row>
    <row r="30946" spans="1:23">
      <c r="A30946" t="n">
        <v>303244</v>
      </c>
      <c r="B30946" s="29" t="n">
        <v>16</v>
      </c>
      <c r="C30946" s="7" t="n">
        <v>0</v>
      </c>
    </row>
    <row r="30947" spans="1:23">
      <c r="A30947" t="s">
        <v>4</v>
      </c>
      <c r="B30947" s="4" t="s">
        <v>5</v>
      </c>
      <c r="C30947" s="4" t="s">
        <v>11</v>
      </c>
      <c r="D30947" s="4" t="s">
        <v>7</v>
      </c>
      <c r="E30947" s="4" t="s">
        <v>15</v>
      </c>
      <c r="F30947" s="4" t="s">
        <v>55</v>
      </c>
      <c r="G30947" s="4" t="s">
        <v>7</v>
      </c>
      <c r="H30947" s="4" t="s">
        <v>7</v>
      </c>
      <c r="I30947" s="4" t="s">
        <v>7</v>
      </c>
      <c r="J30947" s="4" t="s">
        <v>15</v>
      </c>
      <c r="K30947" s="4" t="s">
        <v>55</v>
      </c>
      <c r="L30947" s="4" t="s">
        <v>7</v>
      </c>
      <c r="M30947" s="4" t="s">
        <v>7</v>
      </c>
      <c r="N30947" s="4" t="s">
        <v>7</v>
      </c>
      <c r="O30947" s="4" t="s">
        <v>15</v>
      </c>
      <c r="P30947" s="4" t="s">
        <v>55</v>
      </c>
      <c r="Q30947" s="4" t="s">
        <v>7</v>
      </c>
      <c r="R30947" s="4" t="s">
        <v>7</v>
      </c>
    </row>
    <row r="30948" spans="1:23">
      <c r="A30948" t="n">
        <v>303247</v>
      </c>
      <c r="B30948" s="55" t="n">
        <v>26</v>
      </c>
      <c r="C30948" s="7" t="n">
        <v>11</v>
      </c>
      <c r="D30948" s="7" t="n">
        <v>17</v>
      </c>
      <c r="E30948" s="7" t="n">
        <v>10813</v>
      </c>
      <c r="F30948" s="7" t="s">
        <v>758</v>
      </c>
      <c r="G30948" s="7" t="n">
        <v>2</v>
      </c>
      <c r="H30948" s="7" t="n">
        <v>3</v>
      </c>
      <c r="I30948" s="7" t="n">
        <v>17</v>
      </c>
      <c r="J30948" s="7" t="n">
        <v>10814</v>
      </c>
      <c r="K30948" s="7" t="s">
        <v>759</v>
      </c>
      <c r="L30948" s="7" t="n">
        <v>2</v>
      </c>
      <c r="M30948" s="7" t="n">
        <v>3</v>
      </c>
      <c r="N30948" s="7" t="n">
        <v>17</v>
      </c>
      <c r="O30948" s="7" t="n">
        <v>10815</v>
      </c>
      <c r="P30948" s="7" t="s">
        <v>760</v>
      </c>
      <c r="Q30948" s="7" t="n">
        <v>2</v>
      </c>
      <c r="R30948" s="7" t="n">
        <v>0</v>
      </c>
    </row>
    <row r="30949" spans="1:23">
      <c r="A30949" t="s">
        <v>4</v>
      </c>
      <c r="B30949" s="4" t="s">
        <v>5</v>
      </c>
    </row>
    <row r="30950" spans="1:23">
      <c r="A30950" t="n">
        <v>303439</v>
      </c>
      <c r="B30950" s="27" t="n">
        <v>28</v>
      </c>
    </row>
    <row r="30951" spans="1:23">
      <c r="A30951" t="s">
        <v>4</v>
      </c>
      <c r="B30951" s="4" t="s">
        <v>5</v>
      </c>
      <c r="C30951" s="4" t="s">
        <v>11</v>
      </c>
      <c r="D30951" s="4" t="s">
        <v>7</v>
      </c>
      <c r="E30951" s="4" t="s">
        <v>8</v>
      </c>
      <c r="F30951" s="4" t="s">
        <v>13</v>
      </c>
      <c r="G30951" s="4" t="s">
        <v>13</v>
      </c>
      <c r="H30951" s="4" t="s">
        <v>13</v>
      </c>
    </row>
    <row r="30952" spans="1:23">
      <c r="A30952" t="n">
        <v>303440</v>
      </c>
      <c r="B30952" s="42" t="n">
        <v>48</v>
      </c>
      <c r="C30952" s="7" t="n">
        <v>11</v>
      </c>
      <c r="D30952" s="7" t="n">
        <v>0</v>
      </c>
      <c r="E30952" s="7" t="s">
        <v>230</v>
      </c>
      <c r="F30952" s="7" t="n">
        <v>-1</v>
      </c>
      <c r="G30952" s="7" t="n">
        <v>1</v>
      </c>
      <c r="H30952" s="7" t="n">
        <v>0</v>
      </c>
    </row>
    <row r="30953" spans="1:23">
      <c r="A30953" t="s">
        <v>4</v>
      </c>
      <c r="B30953" s="4" t="s">
        <v>5</v>
      </c>
      <c r="C30953" s="4" t="s">
        <v>11</v>
      </c>
    </row>
    <row r="30954" spans="1:23">
      <c r="A30954" t="n">
        <v>303471</v>
      </c>
      <c r="B30954" s="29" t="n">
        <v>16</v>
      </c>
      <c r="C30954" s="7" t="n">
        <v>500</v>
      </c>
    </row>
    <row r="30955" spans="1:23">
      <c r="A30955" t="s">
        <v>4</v>
      </c>
      <c r="B30955" s="4" t="s">
        <v>5</v>
      </c>
      <c r="C30955" s="4" t="s">
        <v>7</v>
      </c>
      <c r="D30955" s="4" t="s">
        <v>11</v>
      </c>
      <c r="E30955" s="4" t="s">
        <v>8</v>
      </c>
    </row>
    <row r="30956" spans="1:23">
      <c r="A30956" t="n">
        <v>303474</v>
      </c>
      <c r="B30956" s="38" t="n">
        <v>51</v>
      </c>
      <c r="C30956" s="7" t="n">
        <v>4</v>
      </c>
      <c r="D30956" s="7" t="n">
        <v>11</v>
      </c>
      <c r="E30956" s="7" t="s">
        <v>761</v>
      </c>
    </row>
    <row r="30957" spans="1:23">
      <c r="A30957" t="s">
        <v>4</v>
      </c>
      <c r="B30957" s="4" t="s">
        <v>5</v>
      </c>
      <c r="C30957" s="4" t="s">
        <v>11</v>
      </c>
    </row>
    <row r="30958" spans="1:23">
      <c r="A30958" t="n">
        <v>303493</v>
      </c>
      <c r="B30958" s="29" t="n">
        <v>16</v>
      </c>
      <c r="C30958" s="7" t="n">
        <v>0</v>
      </c>
    </row>
    <row r="30959" spans="1:23">
      <c r="A30959" t="s">
        <v>4</v>
      </c>
      <c r="B30959" s="4" t="s">
        <v>5</v>
      </c>
      <c r="C30959" s="4" t="s">
        <v>11</v>
      </c>
      <c r="D30959" s="4" t="s">
        <v>7</v>
      </c>
      <c r="E30959" s="4" t="s">
        <v>15</v>
      </c>
      <c r="F30959" s="4" t="s">
        <v>55</v>
      </c>
      <c r="G30959" s="4" t="s">
        <v>7</v>
      </c>
      <c r="H30959" s="4" t="s">
        <v>7</v>
      </c>
      <c r="I30959" s="4" t="s">
        <v>7</v>
      </c>
      <c r="J30959" s="4" t="s">
        <v>15</v>
      </c>
      <c r="K30959" s="4" t="s">
        <v>55</v>
      </c>
      <c r="L30959" s="4" t="s">
        <v>7</v>
      </c>
      <c r="M30959" s="4" t="s">
        <v>7</v>
      </c>
    </row>
    <row r="30960" spans="1:23">
      <c r="A30960" t="n">
        <v>303496</v>
      </c>
      <c r="B30960" s="55" t="n">
        <v>26</v>
      </c>
      <c r="C30960" s="7" t="n">
        <v>11</v>
      </c>
      <c r="D30960" s="7" t="n">
        <v>17</v>
      </c>
      <c r="E30960" s="7" t="n">
        <v>10816</v>
      </c>
      <c r="F30960" s="7" t="s">
        <v>762</v>
      </c>
      <c r="G30960" s="7" t="n">
        <v>2</v>
      </c>
      <c r="H30960" s="7" t="n">
        <v>3</v>
      </c>
      <c r="I30960" s="7" t="n">
        <v>17</v>
      </c>
      <c r="J30960" s="7" t="n">
        <v>10817</v>
      </c>
      <c r="K30960" s="7" t="s">
        <v>763</v>
      </c>
      <c r="L30960" s="7" t="n">
        <v>2</v>
      </c>
      <c r="M30960" s="7" t="n">
        <v>0</v>
      </c>
    </row>
    <row r="30961" spans="1:18">
      <c r="A30961" t="s">
        <v>4</v>
      </c>
      <c r="B30961" s="4" t="s">
        <v>5</v>
      </c>
    </row>
    <row r="30962" spans="1:18">
      <c r="A30962" t="n">
        <v>303672</v>
      </c>
      <c r="B30962" s="27" t="n">
        <v>28</v>
      </c>
    </row>
    <row r="30963" spans="1:18">
      <c r="A30963" t="s">
        <v>4</v>
      </c>
      <c r="B30963" s="4" t="s">
        <v>5</v>
      </c>
      <c r="C30963" s="4" t="s">
        <v>7</v>
      </c>
      <c r="D30963" s="4" t="s">
        <v>11</v>
      </c>
      <c r="E30963" s="4" t="s">
        <v>8</v>
      </c>
    </row>
    <row r="30964" spans="1:18">
      <c r="A30964" t="n">
        <v>303673</v>
      </c>
      <c r="B30964" s="38" t="n">
        <v>51</v>
      </c>
      <c r="C30964" s="7" t="n">
        <v>4</v>
      </c>
      <c r="D30964" s="7" t="n">
        <v>0</v>
      </c>
      <c r="E30964" s="7" t="s">
        <v>353</v>
      </c>
    </row>
    <row r="30965" spans="1:18">
      <c r="A30965" t="s">
        <v>4</v>
      </c>
      <c r="B30965" s="4" t="s">
        <v>5</v>
      </c>
      <c r="C30965" s="4" t="s">
        <v>11</v>
      </c>
    </row>
    <row r="30966" spans="1:18">
      <c r="A30966" t="n">
        <v>303692</v>
      </c>
      <c r="B30966" s="29" t="n">
        <v>16</v>
      </c>
      <c r="C30966" s="7" t="n">
        <v>0</v>
      </c>
    </row>
    <row r="30967" spans="1:18">
      <c r="A30967" t="s">
        <v>4</v>
      </c>
      <c r="B30967" s="4" t="s">
        <v>5</v>
      </c>
      <c r="C30967" s="4" t="s">
        <v>11</v>
      </c>
      <c r="D30967" s="4" t="s">
        <v>7</v>
      </c>
      <c r="E30967" s="4" t="s">
        <v>15</v>
      </c>
      <c r="F30967" s="4" t="s">
        <v>55</v>
      </c>
      <c r="G30967" s="4" t="s">
        <v>7</v>
      </c>
      <c r="H30967" s="4" t="s">
        <v>7</v>
      </c>
    </row>
    <row r="30968" spans="1:18">
      <c r="A30968" t="n">
        <v>303695</v>
      </c>
      <c r="B30968" s="55" t="n">
        <v>26</v>
      </c>
      <c r="C30968" s="7" t="n">
        <v>0</v>
      </c>
      <c r="D30968" s="7" t="n">
        <v>17</v>
      </c>
      <c r="E30968" s="7" t="n">
        <v>64020</v>
      </c>
      <c r="F30968" s="7" t="s">
        <v>764</v>
      </c>
      <c r="G30968" s="7" t="n">
        <v>2</v>
      </c>
      <c r="H30968" s="7" t="n">
        <v>0</v>
      </c>
    </row>
    <row r="30969" spans="1:18">
      <c r="A30969" t="s">
        <v>4</v>
      </c>
      <c r="B30969" s="4" t="s">
        <v>5</v>
      </c>
    </row>
    <row r="30970" spans="1:18">
      <c r="A30970" t="n">
        <v>303759</v>
      </c>
      <c r="B30970" s="27" t="n">
        <v>28</v>
      </c>
    </row>
    <row r="30971" spans="1:18">
      <c r="A30971" t="s">
        <v>4</v>
      </c>
      <c r="B30971" s="4" t="s">
        <v>5</v>
      </c>
      <c r="C30971" s="4" t="s">
        <v>11</v>
      </c>
      <c r="D30971" s="4" t="s">
        <v>7</v>
      </c>
      <c r="E30971" s="4" t="s">
        <v>13</v>
      </c>
      <c r="F30971" s="4" t="s">
        <v>11</v>
      </c>
    </row>
    <row r="30972" spans="1:18">
      <c r="A30972" t="n">
        <v>303760</v>
      </c>
      <c r="B30972" s="56" t="n">
        <v>59</v>
      </c>
      <c r="C30972" s="7" t="n">
        <v>0</v>
      </c>
      <c r="D30972" s="7" t="n">
        <v>9</v>
      </c>
      <c r="E30972" s="7" t="n">
        <v>0.150000005960464</v>
      </c>
      <c r="F30972" s="7" t="n">
        <v>0</v>
      </c>
    </row>
    <row r="30973" spans="1:18">
      <c r="A30973" t="s">
        <v>4</v>
      </c>
      <c r="B30973" s="4" t="s">
        <v>5</v>
      </c>
      <c r="C30973" s="4" t="s">
        <v>11</v>
      </c>
    </row>
    <row r="30974" spans="1:18">
      <c r="A30974" t="n">
        <v>303770</v>
      </c>
      <c r="B30974" s="29" t="n">
        <v>16</v>
      </c>
      <c r="C30974" s="7" t="n">
        <v>1800</v>
      </c>
    </row>
    <row r="30975" spans="1:18">
      <c r="A30975" t="s">
        <v>4</v>
      </c>
      <c r="B30975" s="4" t="s">
        <v>5</v>
      </c>
      <c r="C30975" s="4" t="s">
        <v>7</v>
      </c>
      <c r="D30975" s="4" t="s">
        <v>11</v>
      </c>
      <c r="E30975" s="4" t="s">
        <v>13</v>
      </c>
    </row>
    <row r="30976" spans="1:18">
      <c r="A30976" t="n">
        <v>303773</v>
      </c>
      <c r="B30976" s="23" t="n">
        <v>58</v>
      </c>
      <c r="C30976" s="7" t="n">
        <v>101</v>
      </c>
      <c r="D30976" s="7" t="n">
        <v>500</v>
      </c>
      <c r="E30976" s="7" t="n">
        <v>1</v>
      </c>
    </row>
    <row r="30977" spans="1:8">
      <c r="A30977" t="s">
        <v>4</v>
      </c>
      <c r="B30977" s="4" t="s">
        <v>5</v>
      </c>
      <c r="C30977" s="4" t="s">
        <v>7</v>
      </c>
      <c r="D30977" s="4" t="s">
        <v>11</v>
      </c>
    </row>
    <row r="30978" spans="1:8">
      <c r="A30978" t="n">
        <v>303781</v>
      </c>
      <c r="B30978" s="23" t="n">
        <v>58</v>
      </c>
      <c r="C30978" s="7" t="n">
        <v>254</v>
      </c>
      <c r="D30978" s="7" t="n">
        <v>0</v>
      </c>
    </row>
    <row r="30979" spans="1:8">
      <c r="A30979" t="s">
        <v>4</v>
      </c>
      <c r="B30979" s="4" t="s">
        <v>5</v>
      </c>
      <c r="C30979" s="4" t="s">
        <v>7</v>
      </c>
      <c r="D30979" s="4" t="s">
        <v>7</v>
      </c>
      <c r="E30979" s="4" t="s">
        <v>13</v>
      </c>
      <c r="F30979" s="4" t="s">
        <v>13</v>
      </c>
      <c r="G30979" s="4" t="s">
        <v>13</v>
      </c>
      <c r="H30979" s="4" t="s">
        <v>11</v>
      </c>
    </row>
    <row r="30980" spans="1:8">
      <c r="A30980" t="n">
        <v>303785</v>
      </c>
      <c r="B30980" s="51" t="n">
        <v>45</v>
      </c>
      <c r="C30980" s="7" t="n">
        <v>2</v>
      </c>
      <c r="D30980" s="7" t="n">
        <v>3</v>
      </c>
      <c r="E30980" s="7" t="n">
        <v>-6.63000011444092</v>
      </c>
      <c r="F30980" s="7" t="n">
        <v>6.44000005722046</v>
      </c>
      <c r="G30980" s="7" t="n">
        <v>29.8600006103516</v>
      </c>
      <c r="H30980" s="7" t="n">
        <v>0</v>
      </c>
    </row>
    <row r="30981" spans="1:8">
      <c r="A30981" t="s">
        <v>4</v>
      </c>
      <c r="B30981" s="4" t="s">
        <v>5</v>
      </c>
      <c r="C30981" s="4" t="s">
        <v>7</v>
      </c>
      <c r="D30981" s="4" t="s">
        <v>7</v>
      </c>
      <c r="E30981" s="4" t="s">
        <v>13</v>
      </c>
      <c r="F30981" s="4" t="s">
        <v>13</v>
      </c>
      <c r="G30981" s="4" t="s">
        <v>13</v>
      </c>
      <c r="H30981" s="4" t="s">
        <v>11</v>
      </c>
      <c r="I30981" s="4" t="s">
        <v>7</v>
      </c>
    </row>
    <row r="30982" spans="1:8">
      <c r="A30982" t="n">
        <v>303802</v>
      </c>
      <c r="B30982" s="51" t="n">
        <v>45</v>
      </c>
      <c r="C30982" s="7" t="n">
        <v>4</v>
      </c>
      <c r="D30982" s="7" t="n">
        <v>3</v>
      </c>
      <c r="E30982" s="7" t="n">
        <v>357</v>
      </c>
      <c r="F30982" s="7" t="n">
        <v>284.700012207031</v>
      </c>
      <c r="G30982" s="7" t="n">
        <v>4</v>
      </c>
      <c r="H30982" s="7" t="n">
        <v>0</v>
      </c>
      <c r="I30982" s="7" t="n">
        <v>0</v>
      </c>
    </row>
    <row r="30983" spans="1:8">
      <c r="A30983" t="s">
        <v>4</v>
      </c>
      <c r="B30983" s="4" t="s">
        <v>5</v>
      </c>
      <c r="C30983" s="4" t="s">
        <v>7</v>
      </c>
      <c r="D30983" s="4" t="s">
        <v>7</v>
      </c>
      <c r="E30983" s="4" t="s">
        <v>13</v>
      </c>
      <c r="F30983" s="4" t="s">
        <v>11</v>
      </c>
    </row>
    <row r="30984" spans="1:8">
      <c r="A30984" t="n">
        <v>303820</v>
      </c>
      <c r="B30984" s="51" t="n">
        <v>45</v>
      </c>
      <c r="C30984" s="7" t="n">
        <v>5</v>
      </c>
      <c r="D30984" s="7" t="n">
        <v>3</v>
      </c>
      <c r="E30984" s="7" t="n">
        <v>1</v>
      </c>
      <c r="F30984" s="7" t="n">
        <v>0</v>
      </c>
    </row>
    <row r="30985" spans="1:8">
      <c r="A30985" t="s">
        <v>4</v>
      </c>
      <c r="B30985" s="4" t="s">
        <v>5</v>
      </c>
      <c r="C30985" s="4" t="s">
        <v>7</v>
      </c>
      <c r="D30985" s="4" t="s">
        <v>7</v>
      </c>
      <c r="E30985" s="4" t="s">
        <v>13</v>
      </c>
      <c r="F30985" s="4" t="s">
        <v>11</v>
      </c>
    </row>
    <row r="30986" spans="1:8">
      <c r="A30986" t="n">
        <v>303829</v>
      </c>
      <c r="B30986" s="51" t="n">
        <v>45</v>
      </c>
      <c r="C30986" s="7" t="n">
        <v>11</v>
      </c>
      <c r="D30986" s="7" t="n">
        <v>3</v>
      </c>
      <c r="E30986" s="7" t="n">
        <v>40.2999992370605</v>
      </c>
      <c r="F30986" s="7" t="n">
        <v>0</v>
      </c>
    </row>
    <row r="30987" spans="1:8">
      <c r="A30987" t="s">
        <v>4</v>
      </c>
      <c r="B30987" s="4" t="s">
        <v>5</v>
      </c>
      <c r="C30987" s="4" t="s">
        <v>7</v>
      </c>
      <c r="D30987" s="4" t="s">
        <v>11</v>
      </c>
      <c r="E30987" s="4" t="s">
        <v>8</v>
      </c>
      <c r="F30987" s="4" t="s">
        <v>8</v>
      </c>
      <c r="G30987" s="4" t="s">
        <v>8</v>
      </c>
      <c r="H30987" s="4" t="s">
        <v>8</v>
      </c>
    </row>
    <row r="30988" spans="1:8">
      <c r="A30988" t="n">
        <v>303838</v>
      </c>
      <c r="B30988" s="38" t="n">
        <v>51</v>
      </c>
      <c r="C30988" s="7" t="n">
        <v>3</v>
      </c>
      <c r="D30988" s="7" t="n">
        <v>0</v>
      </c>
      <c r="E30988" s="7" t="s">
        <v>86</v>
      </c>
      <c r="F30988" s="7" t="s">
        <v>79</v>
      </c>
      <c r="G30988" s="7" t="s">
        <v>16</v>
      </c>
      <c r="H30988" s="7" t="s">
        <v>68</v>
      </c>
    </row>
    <row r="30989" spans="1:8">
      <c r="A30989" t="s">
        <v>4</v>
      </c>
      <c r="B30989" s="4" t="s">
        <v>5</v>
      </c>
      <c r="C30989" s="4" t="s">
        <v>7</v>
      </c>
      <c r="D30989" s="4" t="s">
        <v>11</v>
      </c>
    </row>
    <row r="30990" spans="1:8">
      <c r="A30990" t="n">
        <v>303849</v>
      </c>
      <c r="B30990" s="23" t="n">
        <v>58</v>
      </c>
      <c r="C30990" s="7" t="n">
        <v>255</v>
      </c>
      <c r="D30990" s="7" t="n">
        <v>0</v>
      </c>
    </row>
    <row r="30991" spans="1:8">
      <c r="A30991" t="s">
        <v>4</v>
      </c>
      <c r="B30991" s="4" t="s">
        <v>5</v>
      </c>
      <c r="C30991" s="4" t="s">
        <v>11</v>
      </c>
      <c r="D30991" s="4" t="s">
        <v>7</v>
      </c>
      <c r="E30991" s="4" t="s">
        <v>8</v>
      </c>
      <c r="F30991" s="4" t="s">
        <v>13</v>
      </c>
      <c r="G30991" s="4" t="s">
        <v>13</v>
      </c>
      <c r="H30991" s="4" t="s">
        <v>13</v>
      </c>
    </row>
    <row r="30992" spans="1:8">
      <c r="A30992" t="n">
        <v>303853</v>
      </c>
      <c r="B30992" s="42" t="n">
        <v>48</v>
      </c>
      <c r="C30992" s="7" t="n">
        <v>0</v>
      </c>
      <c r="D30992" s="7" t="n">
        <v>0</v>
      </c>
      <c r="E30992" s="7" t="s">
        <v>701</v>
      </c>
      <c r="F30992" s="7" t="n">
        <v>-1</v>
      </c>
      <c r="G30992" s="7" t="n">
        <v>1</v>
      </c>
      <c r="H30992" s="7" t="n">
        <v>0</v>
      </c>
    </row>
    <row r="30993" spans="1:9">
      <c r="A30993" t="s">
        <v>4</v>
      </c>
      <c r="B30993" s="4" t="s">
        <v>5</v>
      </c>
      <c r="C30993" s="4" t="s">
        <v>11</v>
      </c>
    </row>
    <row r="30994" spans="1:9">
      <c r="A30994" t="n">
        <v>303882</v>
      </c>
      <c r="B30994" s="29" t="n">
        <v>16</v>
      </c>
      <c r="C30994" s="7" t="n">
        <v>700</v>
      </c>
    </row>
    <row r="30995" spans="1:9">
      <c r="A30995" t="s">
        <v>4</v>
      </c>
      <c r="B30995" s="4" t="s">
        <v>5</v>
      </c>
      <c r="C30995" s="4" t="s">
        <v>7</v>
      </c>
      <c r="D30995" s="4" t="s">
        <v>11</v>
      </c>
      <c r="E30995" s="4" t="s">
        <v>8</v>
      </c>
      <c r="F30995" s="4" t="s">
        <v>8</v>
      </c>
      <c r="G30995" s="4" t="s">
        <v>8</v>
      </c>
      <c r="H30995" s="4" t="s">
        <v>8</v>
      </c>
    </row>
    <row r="30996" spans="1:9">
      <c r="A30996" t="n">
        <v>303885</v>
      </c>
      <c r="B30996" s="38" t="n">
        <v>51</v>
      </c>
      <c r="C30996" s="7" t="n">
        <v>3</v>
      </c>
      <c r="D30996" s="7" t="n">
        <v>0</v>
      </c>
      <c r="E30996" s="7" t="s">
        <v>86</v>
      </c>
      <c r="F30996" s="7" t="s">
        <v>79</v>
      </c>
      <c r="G30996" s="7" t="s">
        <v>16</v>
      </c>
      <c r="H30996" s="7" t="s">
        <v>79</v>
      </c>
    </row>
    <row r="30997" spans="1:9">
      <c r="A30997" t="s">
        <v>4</v>
      </c>
      <c r="B30997" s="4" t="s">
        <v>5</v>
      </c>
      <c r="C30997" s="4" t="s">
        <v>11</v>
      </c>
    </row>
    <row r="30998" spans="1:9">
      <c r="A30998" t="n">
        <v>303896</v>
      </c>
      <c r="B30998" s="29" t="n">
        <v>16</v>
      </c>
      <c r="C30998" s="7" t="n">
        <v>300</v>
      </c>
    </row>
    <row r="30999" spans="1:9">
      <c r="A30999" t="s">
        <v>4</v>
      </c>
      <c r="B30999" s="4" t="s">
        <v>5</v>
      </c>
      <c r="C30999" s="4" t="s">
        <v>7</v>
      </c>
      <c r="D30999" s="4" t="s">
        <v>11</v>
      </c>
      <c r="E30999" s="4" t="s">
        <v>8</v>
      </c>
    </row>
    <row r="31000" spans="1:9">
      <c r="A31000" t="n">
        <v>303899</v>
      </c>
      <c r="B31000" s="38" t="n">
        <v>51</v>
      </c>
      <c r="C31000" s="7" t="n">
        <v>4</v>
      </c>
      <c r="D31000" s="7" t="n">
        <v>0</v>
      </c>
      <c r="E31000" s="7" t="s">
        <v>765</v>
      </c>
    </row>
    <row r="31001" spans="1:9">
      <c r="A31001" t="s">
        <v>4</v>
      </c>
      <c r="B31001" s="4" t="s">
        <v>5</v>
      </c>
      <c r="C31001" s="4" t="s">
        <v>11</v>
      </c>
    </row>
    <row r="31002" spans="1:9">
      <c r="A31002" t="n">
        <v>303918</v>
      </c>
      <c r="B31002" s="29" t="n">
        <v>16</v>
      </c>
      <c r="C31002" s="7" t="n">
        <v>0</v>
      </c>
    </row>
    <row r="31003" spans="1:9">
      <c r="A31003" t="s">
        <v>4</v>
      </c>
      <c r="B31003" s="4" t="s">
        <v>5</v>
      </c>
      <c r="C31003" s="4" t="s">
        <v>11</v>
      </c>
      <c r="D31003" s="4" t="s">
        <v>7</v>
      </c>
      <c r="E31003" s="4" t="s">
        <v>15</v>
      </c>
      <c r="F31003" s="4" t="s">
        <v>55</v>
      </c>
      <c r="G31003" s="4" t="s">
        <v>7</v>
      </c>
      <c r="H31003" s="4" t="s">
        <v>7</v>
      </c>
      <c r="I31003" s="4" t="s">
        <v>7</v>
      </c>
      <c r="J31003" s="4" t="s">
        <v>15</v>
      </c>
      <c r="K31003" s="4" t="s">
        <v>55</v>
      </c>
      <c r="L31003" s="4" t="s">
        <v>7</v>
      </c>
      <c r="M31003" s="4" t="s">
        <v>7</v>
      </c>
    </row>
    <row r="31004" spans="1:9">
      <c r="A31004" t="n">
        <v>303921</v>
      </c>
      <c r="B31004" s="55" t="n">
        <v>26</v>
      </c>
      <c r="C31004" s="7" t="n">
        <v>0</v>
      </c>
      <c r="D31004" s="7" t="n">
        <v>17</v>
      </c>
      <c r="E31004" s="7" t="n">
        <v>64021</v>
      </c>
      <c r="F31004" s="7" t="s">
        <v>766</v>
      </c>
      <c r="G31004" s="7" t="n">
        <v>2</v>
      </c>
      <c r="H31004" s="7" t="n">
        <v>3</v>
      </c>
      <c r="I31004" s="7" t="n">
        <v>17</v>
      </c>
      <c r="J31004" s="7" t="n">
        <v>64022</v>
      </c>
      <c r="K31004" s="7" t="s">
        <v>767</v>
      </c>
      <c r="L31004" s="7" t="n">
        <v>2</v>
      </c>
      <c r="M31004" s="7" t="n">
        <v>0</v>
      </c>
    </row>
    <row r="31005" spans="1:9">
      <c r="A31005" t="s">
        <v>4</v>
      </c>
      <c r="B31005" s="4" t="s">
        <v>5</v>
      </c>
    </row>
    <row r="31006" spans="1:9">
      <c r="A31006" t="n">
        <v>304091</v>
      </c>
      <c r="B31006" s="27" t="n">
        <v>28</v>
      </c>
    </row>
    <row r="31007" spans="1:9">
      <c r="A31007" t="s">
        <v>4</v>
      </c>
      <c r="B31007" s="4" t="s">
        <v>5</v>
      </c>
      <c r="C31007" s="4" t="s">
        <v>11</v>
      </c>
      <c r="D31007" s="4" t="s">
        <v>7</v>
      </c>
    </row>
    <row r="31008" spans="1:9">
      <c r="A31008" t="n">
        <v>304092</v>
      </c>
      <c r="B31008" s="68" t="n">
        <v>89</v>
      </c>
      <c r="C31008" s="7" t="n">
        <v>65533</v>
      </c>
      <c r="D31008" s="7" t="n">
        <v>1</v>
      </c>
    </row>
    <row r="31009" spans="1:13">
      <c r="A31009" t="s">
        <v>4</v>
      </c>
      <c r="B31009" s="4" t="s">
        <v>5</v>
      </c>
      <c r="C31009" s="4" t="s">
        <v>7</v>
      </c>
      <c r="D31009" s="4" t="s">
        <v>11</v>
      </c>
      <c r="E31009" s="4" t="s">
        <v>13</v>
      </c>
    </row>
    <row r="31010" spans="1:13">
      <c r="A31010" t="n">
        <v>304096</v>
      </c>
      <c r="B31010" s="23" t="n">
        <v>58</v>
      </c>
      <c r="C31010" s="7" t="n">
        <v>101</v>
      </c>
      <c r="D31010" s="7" t="n">
        <v>500</v>
      </c>
      <c r="E31010" s="7" t="n">
        <v>1</v>
      </c>
    </row>
    <row r="31011" spans="1:13">
      <c r="A31011" t="s">
        <v>4</v>
      </c>
      <c r="B31011" s="4" t="s">
        <v>5</v>
      </c>
      <c r="C31011" s="4" t="s">
        <v>7</v>
      </c>
      <c r="D31011" s="4" t="s">
        <v>11</v>
      </c>
    </row>
    <row r="31012" spans="1:13">
      <c r="A31012" t="n">
        <v>304104</v>
      </c>
      <c r="B31012" s="23" t="n">
        <v>58</v>
      </c>
      <c r="C31012" s="7" t="n">
        <v>254</v>
      </c>
      <c r="D31012" s="7" t="n">
        <v>0</v>
      </c>
    </row>
    <row r="31013" spans="1:13">
      <c r="A31013" t="s">
        <v>4</v>
      </c>
      <c r="B31013" s="4" t="s">
        <v>5</v>
      </c>
      <c r="C31013" s="4" t="s">
        <v>7</v>
      </c>
      <c r="D31013" s="4" t="s">
        <v>7</v>
      </c>
      <c r="E31013" s="4" t="s">
        <v>13</v>
      </c>
      <c r="F31013" s="4" t="s">
        <v>13</v>
      </c>
      <c r="G31013" s="4" t="s">
        <v>13</v>
      </c>
      <c r="H31013" s="4" t="s">
        <v>11</v>
      </c>
    </row>
    <row r="31014" spans="1:13">
      <c r="A31014" t="n">
        <v>304108</v>
      </c>
      <c r="B31014" s="51" t="n">
        <v>45</v>
      </c>
      <c r="C31014" s="7" t="n">
        <v>2</v>
      </c>
      <c r="D31014" s="7" t="n">
        <v>3</v>
      </c>
      <c r="E31014" s="7" t="n">
        <v>-7.3600001335144</v>
      </c>
      <c r="F31014" s="7" t="n">
        <v>6.44999980926514</v>
      </c>
      <c r="G31014" s="7" t="n">
        <v>29.8199996948242</v>
      </c>
      <c r="H31014" s="7" t="n">
        <v>0</v>
      </c>
    </row>
    <row r="31015" spans="1:13">
      <c r="A31015" t="s">
        <v>4</v>
      </c>
      <c r="B31015" s="4" t="s">
        <v>5</v>
      </c>
      <c r="C31015" s="4" t="s">
        <v>7</v>
      </c>
      <c r="D31015" s="4" t="s">
        <v>7</v>
      </c>
      <c r="E31015" s="4" t="s">
        <v>13</v>
      </c>
      <c r="F31015" s="4" t="s">
        <v>13</v>
      </c>
      <c r="G31015" s="4" t="s">
        <v>13</v>
      </c>
      <c r="H31015" s="4" t="s">
        <v>11</v>
      </c>
      <c r="I31015" s="4" t="s">
        <v>7</v>
      </c>
    </row>
    <row r="31016" spans="1:13">
      <c r="A31016" t="n">
        <v>304125</v>
      </c>
      <c r="B31016" s="51" t="n">
        <v>45</v>
      </c>
      <c r="C31016" s="7" t="n">
        <v>4</v>
      </c>
      <c r="D31016" s="7" t="n">
        <v>3</v>
      </c>
      <c r="E31016" s="7" t="n">
        <v>8.11999988555908</v>
      </c>
      <c r="F31016" s="7" t="n">
        <v>60.310001373291</v>
      </c>
      <c r="G31016" s="7" t="n">
        <v>354</v>
      </c>
      <c r="H31016" s="7" t="n">
        <v>0</v>
      </c>
      <c r="I31016" s="7" t="n">
        <v>0</v>
      </c>
    </row>
    <row r="31017" spans="1:13">
      <c r="A31017" t="s">
        <v>4</v>
      </c>
      <c r="B31017" s="4" t="s">
        <v>5</v>
      </c>
      <c r="C31017" s="4" t="s">
        <v>7</v>
      </c>
      <c r="D31017" s="4" t="s">
        <v>7</v>
      </c>
      <c r="E31017" s="4" t="s">
        <v>13</v>
      </c>
      <c r="F31017" s="4" t="s">
        <v>11</v>
      </c>
    </row>
    <row r="31018" spans="1:13">
      <c r="A31018" t="n">
        <v>304143</v>
      </c>
      <c r="B31018" s="51" t="n">
        <v>45</v>
      </c>
      <c r="C31018" s="7" t="n">
        <v>5</v>
      </c>
      <c r="D31018" s="7" t="n">
        <v>3</v>
      </c>
      <c r="E31018" s="7" t="n">
        <v>0.800000011920929</v>
      </c>
      <c r="F31018" s="7" t="n">
        <v>0</v>
      </c>
    </row>
    <row r="31019" spans="1:13">
      <c r="A31019" t="s">
        <v>4</v>
      </c>
      <c r="B31019" s="4" t="s">
        <v>5</v>
      </c>
      <c r="C31019" s="4" t="s">
        <v>7</v>
      </c>
      <c r="D31019" s="4" t="s">
        <v>7</v>
      </c>
      <c r="E31019" s="4" t="s">
        <v>13</v>
      </c>
      <c r="F31019" s="4" t="s">
        <v>11</v>
      </c>
    </row>
    <row r="31020" spans="1:13">
      <c r="A31020" t="n">
        <v>304152</v>
      </c>
      <c r="B31020" s="51" t="n">
        <v>45</v>
      </c>
      <c r="C31020" s="7" t="n">
        <v>11</v>
      </c>
      <c r="D31020" s="7" t="n">
        <v>3</v>
      </c>
      <c r="E31020" s="7" t="n">
        <v>40.2999992370605</v>
      </c>
      <c r="F31020" s="7" t="n">
        <v>0</v>
      </c>
    </row>
    <row r="31021" spans="1:13">
      <c r="A31021" t="s">
        <v>4</v>
      </c>
      <c r="B31021" s="4" t="s">
        <v>5</v>
      </c>
      <c r="C31021" s="4" t="s">
        <v>7</v>
      </c>
      <c r="D31021" s="4" t="s">
        <v>11</v>
      </c>
      <c r="E31021" s="4" t="s">
        <v>8</v>
      </c>
      <c r="F31021" s="4" t="s">
        <v>8</v>
      </c>
      <c r="G31021" s="4" t="s">
        <v>8</v>
      </c>
      <c r="H31021" s="4" t="s">
        <v>8</v>
      </c>
    </row>
    <row r="31022" spans="1:13">
      <c r="A31022" t="n">
        <v>304161</v>
      </c>
      <c r="B31022" s="38" t="n">
        <v>51</v>
      </c>
      <c r="C31022" s="7" t="n">
        <v>3</v>
      </c>
      <c r="D31022" s="7" t="n">
        <v>0</v>
      </c>
      <c r="E31022" s="7" t="s">
        <v>154</v>
      </c>
      <c r="F31022" s="7" t="s">
        <v>155</v>
      </c>
      <c r="G31022" s="7" t="s">
        <v>78</v>
      </c>
      <c r="H31022" s="7" t="s">
        <v>79</v>
      </c>
    </row>
    <row r="31023" spans="1:13">
      <c r="A31023" t="s">
        <v>4</v>
      </c>
      <c r="B31023" s="4" t="s">
        <v>5</v>
      </c>
      <c r="C31023" s="4" t="s">
        <v>7</v>
      </c>
      <c r="D31023" s="4" t="s">
        <v>11</v>
      </c>
    </row>
    <row r="31024" spans="1:13">
      <c r="A31024" t="n">
        <v>304174</v>
      </c>
      <c r="B31024" s="23" t="n">
        <v>58</v>
      </c>
      <c r="C31024" s="7" t="n">
        <v>255</v>
      </c>
      <c r="D31024" s="7" t="n">
        <v>0</v>
      </c>
    </row>
    <row r="31025" spans="1:9">
      <c r="A31025" t="s">
        <v>4</v>
      </c>
      <c r="B31025" s="4" t="s">
        <v>5</v>
      </c>
      <c r="C31025" s="4" t="s">
        <v>7</v>
      </c>
      <c r="D31025" s="4" t="s">
        <v>11</v>
      </c>
      <c r="E31025" s="4" t="s">
        <v>8</v>
      </c>
    </row>
    <row r="31026" spans="1:9">
      <c r="A31026" t="n">
        <v>304178</v>
      </c>
      <c r="B31026" s="38" t="n">
        <v>51</v>
      </c>
      <c r="C31026" s="7" t="n">
        <v>4</v>
      </c>
      <c r="D31026" s="7" t="n">
        <v>11</v>
      </c>
      <c r="E31026" s="7" t="s">
        <v>461</v>
      </c>
    </row>
    <row r="31027" spans="1:9">
      <c r="A31027" t="s">
        <v>4</v>
      </c>
      <c r="B31027" s="4" t="s">
        <v>5</v>
      </c>
      <c r="C31027" s="4" t="s">
        <v>11</v>
      </c>
    </row>
    <row r="31028" spans="1:9">
      <c r="A31028" t="n">
        <v>304198</v>
      </c>
      <c r="B31028" s="29" t="n">
        <v>16</v>
      </c>
      <c r="C31028" s="7" t="n">
        <v>0</v>
      </c>
    </row>
    <row r="31029" spans="1:9">
      <c r="A31029" t="s">
        <v>4</v>
      </c>
      <c r="B31029" s="4" t="s">
        <v>5</v>
      </c>
      <c r="C31029" s="4" t="s">
        <v>11</v>
      </c>
      <c r="D31029" s="4" t="s">
        <v>7</v>
      </c>
      <c r="E31029" s="4" t="s">
        <v>15</v>
      </c>
      <c r="F31029" s="4" t="s">
        <v>55</v>
      </c>
      <c r="G31029" s="4" t="s">
        <v>7</v>
      </c>
      <c r="H31029" s="4" t="s">
        <v>7</v>
      </c>
      <c r="I31029" s="4" t="s">
        <v>7</v>
      </c>
      <c r="J31029" s="4" t="s">
        <v>15</v>
      </c>
      <c r="K31029" s="4" t="s">
        <v>55</v>
      </c>
      <c r="L31029" s="4" t="s">
        <v>7</v>
      </c>
      <c r="M31029" s="4" t="s">
        <v>7</v>
      </c>
    </row>
    <row r="31030" spans="1:9">
      <c r="A31030" t="n">
        <v>304201</v>
      </c>
      <c r="B31030" s="55" t="n">
        <v>26</v>
      </c>
      <c r="C31030" s="7" t="n">
        <v>11</v>
      </c>
      <c r="D31030" s="7" t="n">
        <v>17</v>
      </c>
      <c r="E31030" s="7" t="n">
        <v>10818</v>
      </c>
      <c r="F31030" s="7" t="s">
        <v>362</v>
      </c>
      <c r="G31030" s="7" t="n">
        <v>2</v>
      </c>
      <c r="H31030" s="7" t="n">
        <v>3</v>
      </c>
      <c r="I31030" s="7" t="n">
        <v>17</v>
      </c>
      <c r="J31030" s="7" t="n">
        <v>10819</v>
      </c>
      <c r="K31030" s="7" t="s">
        <v>768</v>
      </c>
      <c r="L31030" s="7" t="n">
        <v>2</v>
      </c>
      <c r="M31030" s="7" t="n">
        <v>0</v>
      </c>
    </row>
    <row r="31031" spans="1:9">
      <c r="A31031" t="s">
        <v>4</v>
      </c>
      <c r="B31031" s="4" t="s">
        <v>5</v>
      </c>
    </row>
    <row r="31032" spans="1:9">
      <c r="A31032" t="n">
        <v>304257</v>
      </c>
      <c r="B31032" s="27" t="n">
        <v>28</v>
      </c>
    </row>
    <row r="31033" spans="1:9">
      <c r="A31033" t="s">
        <v>4</v>
      </c>
      <c r="B31033" s="4" t="s">
        <v>5</v>
      </c>
      <c r="C31033" s="4" t="s">
        <v>7</v>
      </c>
      <c r="D31033" s="4" t="s">
        <v>11</v>
      </c>
      <c r="E31033" s="4" t="s">
        <v>8</v>
      </c>
      <c r="F31033" s="4" t="s">
        <v>8</v>
      </c>
      <c r="G31033" s="4" t="s">
        <v>8</v>
      </c>
      <c r="H31033" s="4" t="s">
        <v>8</v>
      </c>
    </row>
    <row r="31034" spans="1:9">
      <c r="A31034" t="n">
        <v>304258</v>
      </c>
      <c r="B31034" s="38" t="n">
        <v>51</v>
      </c>
      <c r="C31034" s="7" t="n">
        <v>3</v>
      </c>
      <c r="D31034" s="7" t="n">
        <v>11</v>
      </c>
      <c r="E31034" s="7" t="s">
        <v>769</v>
      </c>
      <c r="F31034" s="7" t="s">
        <v>218</v>
      </c>
      <c r="G31034" s="7" t="s">
        <v>16</v>
      </c>
      <c r="H31034" s="7" t="s">
        <v>68</v>
      </c>
    </row>
    <row r="31035" spans="1:9">
      <c r="A31035" t="s">
        <v>4</v>
      </c>
      <c r="B31035" s="4" t="s">
        <v>5</v>
      </c>
      <c r="C31035" s="4" t="s">
        <v>11</v>
      </c>
      <c r="D31035" s="4" t="s">
        <v>7</v>
      </c>
      <c r="E31035" s="4" t="s">
        <v>13</v>
      </c>
      <c r="F31035" s="4" t="s">
        <v>11</v>
      </c>
    </row>
    <row r="31036" spans="1:9">
      <c r="A31036" t="n">
        <v>304269</v>
      </c>
      <c r="B31036" s="56" t="n">
        <v>59</v>
      </c>
      <c r="C31036" s="7" t="n">
        <v>11</v>
      </c>
      <c r="D31036" s="7" t="n">
        <v>9</v>
      </c>
      <c r="E31036" s="7" t="n">
        <v>0.150000005960464</v>
      </c>
      <c r="F31036" s="7" t="n">
        <v>0</v>
      </c>
    </row>
    <row r="31037" spans="1:9">
      <c r="A31037" t="s">
        <v>4</v>
      </c>
      <c r="B31037" s="4" t="s">
        <v>5</v>
      </c>
      <c r="C31037" s="4" t="s">
        <v>11</v>
      </c>
      <c r="D31037" s="4" t="s">
        <v>7</v>
      </c>
      <c r="E31037" s="4" t="s">
        <v>8</v>
      </c>
      <c r="F31037" s="4" t="s">
        <v>13</v>
      </c>
      <c r="G31037" s="4" t="s">
        <v>13</v>
      </c>
      <c r="H31037" s="4" t="s">
        <v>13</v>
      </c>
    </row>
    <row r="31038" spans="1:9">
      <c r="A31038" t="n">
        <v>304279</v>
      </c>
      <c r="B31038" s="42" t="n">
        <v>48</v>
      </c>
      <c r="C31038" s="7" t="n">
        <v>11</v>
      </c>
      <c r="D31038" s="7" t="n">
        <v>0</v>
      </c>
      <c r="E31038" s="7" t="s">
        <v>703</v>
      </c>
      <c r="F31038" s="7" t="n">
        <v>-1</v>
      </c>
      <c r="G31038" s="7" t="n">
        <v>1</v>
      </c>
      <c r="H31038" s="7" t="n">
        <v>0</v>
      </c>
    </row>
    <row r="31039" spans="1:9">
      <c r="A31039" t="s">
        <v>4</v>
      </c>
      <c r="B31039" s="4" t="s">
        <v>5</v>
      </c>
      <c r="C31039" s="4" t="s">
        <v>11</v>
      </c>
    </row>
    <row r="31040" spans="1:9">
      <c r="A31040" t="n">
        <v>304305</v>
      </c>
      <c r="B31040" s="29" t="n">
        <v>16</v>
      </c>
      <c r="C31040" s="7" t="n">
        <v>2000</v>
      </c>
    </row>
    <row r="31041" spans="1:13">
      <c r="A31041" t="s">
        <v>4</v>
      </c>
      <c r="B31041" s="4" t="s">
        <v>5</v>
      </c>
      <c r="C31041" s="4" t="s">
        <v>7</v>
      </c>
      <c r="D31041" s="4" t="s">
        <v>11</v>
      </c>
      <c r="E31041" s="4" t="s">
        <v>8</v>
      </c>
    </row>
    <row r="31042" spans="1:13">
      <c r="A31042" t="n">
        <v>304308</v>
      </c>
      <c r="B31042" s="38" t="n">
        <v>51</v>
      </c>
      <c r="C31042" s="7" t="n">
        <v>4</v>
      </c>
      <c r="D31042" s="7" t="n">
        <v>11</v>
      </c>
      <c r="E31042" s="7" t="s">
        <v>770</v>
      </c>
    </row>
    <row r="31043" spans="1:13">
      <c r="A31043" t="s">
        <v>4</v>
      </c>
      <c r="B31043" s="4" t="s">
        <v>5</v>
      </c>
      <c r="C31043" s="4" t="s">
        <v>11</v>
      </c>
    </row>
    <row r="31044" spans="1:13">
      <c r="A31044" t="n">
        <v>304327</v>
      </c>
      <c r="B31044" s="29" t="n">
        <v>16</v>
      </c>
      <c r="C31044" s="7" t="n">
        <v>0</v>
      </c>
    </row>
    <row r="31045" spans="1:13">
      <c r="A31045" t="s">
        <v>4</v>
      </c>
      <c r="B31045" s="4" t="s">
        <v>5</v>
      </c>
      <c r="C31045" s="4" t="s">
        <v>11</v>
      </c>
      <c r="D31045" s="4" t="s">
        <v>7</v>
      </c>
      <c r="E31045" s="4" t="s">
        <v>15</v>
      </c>
      <c r="F31045" s="4" t="s">
        <v>55</v>
      </c>
      <c r="G31045" s="4" t="s">
        <v>7</v>
      </c>
      <c r="H31045" s="4" t="s">
        <v>7</v>
      </c>
      <c r="I31045" s="4" t="s">
        <v>7</v>
      </c>
      <c r="J31045" s="4" t="s">
        <v>15</v>
      </c>
      <c r="K31045" s="4" t="s">
        <v>55</v>
      </c>
      <c r="L31045" s="4" t="s">
        <v>7</v>
      </c>
      <c r="M31045" s="4" t="s">
        <v>7</v>
      </c>
    </row>
    <row r="31046" spans="1:13">
      <c r="A31046" t="n">
        <v>304330</v>
      </c>
      <c r="B31046" s="55" t="n">
        <v>26</v>
      </c>
      <c r="C31046" s="7" t="n">
        <v>11</v>
      </c>
      <c r="D31046" s="7" t="n">
        <v>17</v>
      </c>
      <c r="E31046" s="7" t="n">
        <v>10820</v>
      </c>
      <c r="F31046" s="7" t="s">
        <v>771</v>
      </c>
      <c r="G31046" s="7" t="n">
        <v>2</v>
      </c>
      <c r="H31046" s="7" t="n">
        <v>3</v>
      </c>
      <c r="I31046" s="7" t="n">
        <v>17</v>
      </c>
      <c r="J31046" s="7" t="n">
        <v>10821</v>
      </c>
      <c r="K31046" s="7" t="s">
        <v>772</v>
      </c>
      <c r="L31046" s="7" t="n">
        <v>2</v>
      </c>
      <c r="M31046" s="7" t="n">
        <v>0</v>
      </c>
    </row>
    <row r="31047" spans="1:13">
      <c r="A31047" t="s">
        <v>4</v>
      </c>
      <c r="B31047" s="4" t="s">
        <v>5</v>
      </c>
    </row>
    <row r="31048" spans="1:13">
      <c r="A31048" t="n">
        <v>304440</v>
      </c>
      <c r="B31048" s="27" t="n">
        <v>28</v>
      </c>
    </row>
    <row r="31049" spans="1:13">
      <c r="A31049" t="s">
        <v>4</v>
      </c>
      <c r="B31049" s="4" t="s">
        <v>5</v>
      </c>
      <c r="C31049" s="4" t="s">
        <v>7</v>
      </c>
      <c r="D31049" s="4" t="s">
        <v>11</v>
      </c>
      <c r="E31049" s="4" t="s">
        <v>8</v>
      </c>
    </row>
    <row r="31050" spans="1:13">
      <c r="A31050" t="n">
        <v>304441</v>
      </c>
      <c r="B31050" s="38" t="n">
        <v>51</v>
      </c>
      <c r="C31050" s="7" t="n">
        <v>4</v>
      </c>
      <c r="D31050" s="7" t="n">
        <v>0</v>
      </c>
      <c r="E31050" s="7" t="s">
        <v>773</v>
      </c>
    </row>
    <row r="31051" spans="1:13">
      <c r="A31051" t="s">
        <v>4</v>
      </c>
      <c r="B31051" s="4" t="s">
        <v>5</v>
      </c>
      <c r="C31051" s="4" t="s">
        <v>11</v>
      </c>
    </row>
    <row r="31052" spans="1:13">
      <c r="A31052" t="n">
        <v>304460</v>
      </c>
      <c r="B31052" s="29" t="n">
        <v>16</v>
      </c>
      <c r="C31052" s="7" t="n">
        <v>0</v>
      </c>
    </row>
    <row r="31053" spans="1:13">
      <c r="A31053" t="s">
        <v>4</v>
      </c>
      <c r="B31053" s="4" t="s">
        <v>5</v>
      </c>
      <c r="C31053" s="4" t="s">
        <v>11</v>
      </c>
      <c r="D31053" s="4" t="s">
        <v>7</v>
      </c>
      <c r="E31053" s="4" t="s">
        <v>15</v>
      </c>
      <c r="F31053" s="4" t="s">
        <v>55</v>
      </c>
      <c r="G31053" s="4" t="s">
        <v>7</v>
      </c>
      <c r="H31053" s="4" t="s">
        <v>7</v>
      </c>
    </row>
    <row r="31054" spans="1:13">
      <c r="A31054" t="n">
        <v>304463</v>
      </c>
      <c r="B31054" s="55" t="n">
        <v>26</v>
      </c>
      <c r="C31054" s="7" t="n">
        <v>0</v>
      </c>
      <c r="D31054" s="7" t="n">
        <v>17</v>
      </c>
      <c r="E31054" s="7" t="n">
        <v>64023</v>
      </c>
      <c r="F31054" s="7" t="s">
        <v>774</v>
      </c>
      <c r="G31054" s="7" t="n">
        <v>2</v>
      </c>
      <c r="H31054" s="7" t="n">
        <v>0</v>
      </c>
    </row>
    <row r="31055" spans="1:13">
      <c r="A31055" t="s">
        <v>4</v>
      </c>
      <c r="B31055" s="4" t="s">
        <v>5</v>
      </c>
    </row>
    <row r="31056" spans="1:13">
      <c r="A31056" t="n">
        <v>304486</v>
      </c>
      <c r="B31056" s="27" t="n">
        <v>28</v>
      </c>
    </row>
    <row r="31057" spans="1:13">
      <c r="A31057" t="s">
        <v>4</v>
      </c>
      <c r="B31057" s="4" t="s">
        <v>5</v>
      </c>
      <c r="C31057" s="4" t="s">
        <v>7</v>
      </c>
      <c r="D31057" s="4" t="s">
        <v>11</v>
      </c>
      <c r="E31057" s="4" t="s">
        <v>8</v>
      </c>
    </row>
    <row r="31058" spans="1:13">
      <c r="A31058" t="n">
        <v>304487</v>
      </c>
      <c r="B31058" s="38" t="n">
        <v>51</v>
      </c>
      <c r="C31058" s="7" t="n">
        <v>4</v>
      </c>
      <c r="D31058" s="7" t="n">
        <v>11</v>
      </c>
      <c r="E31058" s="7" t="s">
        <v>775</v>
      </c>
    </row>
    <row r="31059" spans="1:13">
      <c r="A31059" t="s">
        <v>4</v>
      </c>
      <c r="B31059" s="4" t="s">
        <v>5</v>
      </c>
      <c r="C31059" s="4" t="s">
        <v>11</v>
      </c>
    </row>
    <row r="31060" spans="1:13">
      <c r="A31060" t="n">
        <v>304501</v>
      </c>
      <c r="B31060" s="29" t="n">
        <v>16</v>
      </c>
      <c r="C31060" s="7" t="n">
        <v>0</v>
      </c>
    </row>
    <row r="31061" spans="1:13">
      <c r="A31061" t="s">
        <v>4</v>
      </c>
      <c r="B31061" s="4" t="s">
        <v>5</v>
      </c>
      <c r="C31061" s="4" t="s">
        <v>11</v>
      </c>
      <c r="D31061" s="4" t="s">
        <v>7</v>
      </c>
      <c r="E31061" s="4" t="s">
        <v>15</v>
      </c>
      <c r="F31061" s="4" t="s">
        <v>55</v>
      </c>
      <c r="G31061" s="4" t="s">
        <v>7</v>
      </c>
      <c r="H31061" s="4" t="s">
        <v>7</v>
      </c>
    </row>
    <row r="31062" spans="1:13">
      <c r="A31062" t="n">
        <v>304504</v>
      </c>
      <c r="B31062" s="55" t="n">
        <v>26</v>
      </c>
      <c r="C31062" s="7" t="n">
        <v>11</v>
      </c>
      <c r="D31062" s="7" t="n">
        <v>17</v>
      </c>
      <c r="E31062" s="7" t="n">
        <v>10822</v>
      </c>
      <c r="F31062" s="7" t="s">
        <v>776</v>
      </c>
      <c r="G31062" s="7" t="n">
        <v>2</v>
      </c>
      <c r="H31062" s="7" t="n">
        <v>0</v>
      </c>
    </row>
    <row r="31063" spans="1:13">
      <c r="A31063" t="s">
        <v>4</v>
      </c>
      <c r="B31063" s="4" t="s">
        <v>5</v>
      </c>
    </row>
    <row r="31064" spans="1:13">
      <c r="A31064" t="n">
        <v>304589</v>
      </c>
      <c r="B31064" s="27" t="n">
        <v>28</v>
      </c>
    </row>
    <row r="31065" spans="1:13">
      <c r="A31065" t="s">
        <v>4</v>
      </c>
      <c r="B31065" s="4" t="s">
        <v>5</v>
      </c>
      <c r="C31065" s="4" t="s">
        <v>7</v>
      </c>
      <c r="D31065" s="4" t="s">
        <v>11</v>
      </c>
      <c r="E31065" s="4" t="s">
        <v>8</v>
      </c>
    </row>
    <row r="31066" spans="1:13">
      <c r="A31066" t="n">
        <v>304590</v>
      </c>
      <c r="B31066" s="38" t="n">
        <v>51</v>
      </c>
      <c r="C31066" s="7" t="n">
        <v>4</v>
      </c>
      <c r="D31066" s="7" t="n">
        <v>0</v>
      </c>
      <c r="E31066" s="7" t="s">
        <v>470</v>
      </c>
    </row>
    <row r="31067" spans="1:13">
      <c r="A31067" t="s">
        <v>4</v>
      </c>
      <c r="B31067" s="4" t="s">
        <v>5</v>
      </c>
      <c r="C31067" s="4" t="s">
        <v>11</v>
      </c>
    </row>
    <row r="31068" spans="1:13">
      <c r="A31068" t="n">
        <v>304604</v>
      </c>
      <c r="B31068" s="29" t="n">
        <v>16</v>
      </c>
      <c r="C31068" s="7" t="n">
        <v>0</v>
      </c>
    </row>
    <row r="31069" spans="1:13">
      <c r="A31069" t="s">
        <v>4</v>
      </c>
      <c r="B31069" s="4" t="s">
        <v>5</v>
      </c>
      <c r="C31069" s="4" t="s">
        <v>11</v>
      </c>
      <c r="D31069" s="4" t="s">
        <v>7</v>
      </c>
      <c r="E31069" s="4" t="s">
        <v>15</v>
      </c>
      <c r="F31069" s="4" t="s">
        <v>55</v>
      </c>
      <c r="G31069" s="4" t="s">
        <v>7</v>
      </c>
      <c r="H31069" s="4" t="s">
        <v>7</v>
      </c>
    </row>
    <row r="31070" spans="1:13">
      <c r="A31070" t="n">
        <v>304607</v>
      </c>
      <c r="B31070" s="55" t="n">
        <v>26</v>
      </c>
      <c r="C31070" s="7" t="n">
        <v>0</v>
      </c>
      <c r="D31070" s="7" t="n">
        <v>17</v>
      </c>
      <c r="E31070" s="7" t="n">
        <v>64024</v>
      </c>
      <c r="F31070" s="7" t="s">
        <v>777</v>
      </c>
      <c r="G31070" s="7" t="n">
        <v>2</v>
      </c>
      <c r="H31070" s="7" t="n">
        <v>0</v>
      </c>
    </row>
    <row r="31071" spans="1:13">
      <c r="A31071" t="s">
        <v>4</v>
      </c>
      <c r="B31071" s="4" t="s">
        <v>5</v>
      </c>
    </row>
    <row r="31072" spans="1:13">
      <c r="A31072" t="n">
        <v>304642</v>
      </c>
      <c r="B31072" s="27" t="n">
        <v>28</v>
      </c>
    </row>
    <row r="31073" spans="1:8">
      <c r="A31073" t="s">
        <v>4</v>
      </c>
      <c r="B31073" s="4" t="s">
        <v>5</v>
      </c>
      <c r="C31073" s="4" t="s">
        <v>11</v>
      </c>
      <c r="D31073" s="4" t="s">
        <v>7</v>
      </c>
    </row>
    <row r="31074" spans="1:8">
      <c r="A31074" t="n">
        <v>304643</v>
      </c>
      <c r="B31074" s="68" t="n">
        <v>89</v>
      </c>
      <c r="C31074" s="7" t="n">
        <v>65533</v>
      </c>
      <c r="D31074" s="7" t="n">
        <v>1</v>
      </c>
    </row>
    <row r="31075" spans="1:8">
      <c r="A31075" t="s">
        <v>4</v>
      </c>
      <c r="B31075" s="4" t="s">
        <v>5</v>
      </c>
      <c r="C31075" s="4" t="s">
        <v>7</v>
      </c>
      <c r="D31075" s="4" t="s">
        <v>11</v>
      </c>
      <c r="E31075" s="4" t="s">
        <v>13</v>
      </c>
    </row>
    <row r="31076" spans="1:8">
      <c r="A31076" t="n">
        <v>304647</v>
      </c>
      <c r="B31076" s="23" t="n">
        <v>58</v>
      </c>
      <c r="C31076" s="7" t="n">
        <v>101</v>
      </c>
      <c r="D31076" s="7" t="n">
        <v>500</v>
      </c>
      <c r="E31076" s="7" t="n">
        <v>1</v>
      </c>
    </row>
    <row r="31077" spans="1:8">
      <c r="A31077" t="s">
        <v>4</v>
      </c>
      <c r="B31077" s="4" t="s">
        <v>5</v>
      </c>
      <c r="C31077" s="4" t="s">
        <v>7</v>
      </c>
      <c r="D31077" s="4" t="s">
        <v>11</v>
      </c>
    </row>
    <row r="31078" spans="1:8">
      <c r="A31078" t="n">
        <v>304655</v>
      </c>
      <c r="B31078" s="23" t="n">
        <v>58</v>
      </c>
      <c r="C31078" s="7" t="n">
        <v>254</v>
      </c>
      <c r="D31078" s="7" t="n">
        <v>0</v>
      </c>
    </row>
    <row r="31079" spans="1:8">
      <c r="A31079" t="s">
        <v>4</v>
      </c>
      <c r="B31079" s="4" t="s">
        <v>5</v>
      </c>
      <c r="C31079" s="4" t="s">
        <v>11</v>
      </c>
      <c r="D31079" s="4" t="s">
        <v>13</v>
      </c>
      <c r="E31079" s="4" t="s">
        <v>13</v>
      </c>
      <c r="F31079" s="4" t="s">
        <v>13</v>
      </c>
      <c r="G31079" s="4" t="s">
        <v>11</v>
      </c>
      <c r="H31079" s="4" t="s">
        <v>11</v>
      </c>
    </row>
    <row r="31080" spans="1:8">
      <c r="A31080" t="n">
        <v>304659</v>
      </c>
      <c r="B31080" s="37" t="n">
        <v>60</v>
      </c>
      <c r="C31080" s="7" t="n">
        <v>0</v>
      </c>
      <c r="D31080" s="7" t="n">
        <v>0</v>
      </c>
      <c r="E31080" s="7" t="n">
        <v>0</v>
      </c>
      <c r="F31080" s="7" t="n">
        <v>0</v>
      </c>
      <c r="G31080" s="7" t="n">
        <v>0</v>
      </c>
      <c r="H31080" s="7" t="n">
        <v>1</v>
      </c>
    </row>
    <row r="31081" spans="1:8">
      <c r="A31081" t="s">
        <v>4</v>
      </c>
      <c r="B31081" s="4" t="s">
        <v>5</v>
      </c>
      <c r="C31081" s="4" t="s">
        <v>11</v>
      </c>
      <c r="D31081" s="4" t="s">
        <v>13</v>
      </c>
      <c r="E31081" s="4" t="s">
        <v>13</v>
      </c>
      <c r="F31081" s="4" t="s">
        <v>13</v>
      </c>
      <c r="G31081" s="4" t="s">
        <v>11</v>
      </c>
      <c r="H31081" s="4" t="s">
        <v>11</v>
      </c>
    </row>
    <row r="31082" spans="1:8">
      <c r="A31082" t="n">
        <v>304678</v>
      </c>
      <c r="B31082" s="37" t="n">
        <v>60</v>
      </c>
      <c r="C31082" s="7" t="n">
        <v>0</v>
      </c>
      <c r="D31082" s="7" t="n">
        <v>0</v>
      </c>
      <c r="E31082" s="7" t="n">
        <v>0</v>
      </c>
      <c r="F31082" s="7" t="n">
        <v>0</v>
      </c>
      <c r="G31082" s="7" t="n">
        <v>0</v>
      </c>
      <c r="H31082" s="7" t="n">
        <v>0</v>
      </c>
    </row>
    <row r="31083" spans="1:8">
      <c r="A31083" t="s">
        <v>4</v>
      </c>
      <c r="B31083" s="4" t="s">
        <v>5</v>
      </c>
      <c r="C31083" s="4" t="s">
        <v>11</v>
      </c>
      <c r="D31083" s="4" t="s">
        <v>11</v>
      </c>
      <c r="E31083" s="4" t="s">
        <v>11</v>
      </c>
    </row>
    <row r="31084" spans="1:8">
      <c r="A31084" t="n">
        <v>304697</v>
      </c>
      <c r="B31084" s="72" t="n">
        <v>61</v>
      </c>
      <c r="C31084" s="7" t="n">
        <v>0</v>
      </c>
      <c r="D31084" s="7" t="n">
        <v>65533</v>
      </c>
      <c r="E31084" s="7" t="n">
        <v>0</v>
      </c>
    </row>
    <row r="31085" spans="1:8">
      <c r="A31085" t="s">
        <v>4</v>
      </c>
      <c r="B31085" s="4" t="s">
        <v>5</v>
      </c>
      <c r="C31085" s="4" t="s">
        <v>11</v>
      </c>
      <c r="D31085" s="4" t="s">
        <v>13</v>
      </c>
      <c r="E31085" s="4" t="s">
        <v>13</v>
      </c>
      <c r="F31085" s="4" t="s">
        <v>13</v>
      </c>
      <c r="G31085" s="4" t="s">
        <v>11</v>
      </c>
      <c r="H31085" s="4" t="s">
        <v>11</v>
      </c>
    </row>
    <row r="31086" spans="1:8">
      <c r="A31086" t="n">
        <v>304704</v>
      </c>
      <c r="B31086" s="37" t="n">
        <v>60</v>
      </c>
      <c r="C31086" s="7" t="n">
        <v>11</v>
      </c>
      <c r="D31086" s="7" t="n">
        <v>0</v>
      </c>
      <c r="E31086" s="7" t="n">
        <v>0</v>
      </c>
      <c r="F31086" s="7" t="n">
        <v>0</v>
      </c>
      <c r="G31086" s="7" t="n">
        <v>0</v>
      </c>
      <c r="H31086" s="7" t="n">
        <v>1</v>
      </c>
    </row>
    <row r="31087" spans="1:8">
      <c r="A31087" t="s">
        <v>4</v>
      </c>
      <c r="B31087" s="4" t="s">
        <v>5</v>
      </c>
      <c r="C31087" s="4" t="s">
        <v>11</v>
      </c>
      <c r="D31087" s="4" t="s">
        <v>13</v>
      </c>
      <c r="E31087" s="4" t="s">
        <v>13</v>
      </c>
      <c r="F31087" s="4" t="s">
        <v>13</v>
      </c>
      <c r="G31087" s="4" t="s">
        <v>11</v>
      </c>
      <c r="H31087" s="4" t="s">
        <v>11</v>
      </c>
    </row>
    <row r="31088" spans="1:8">
      <c r="A31088" t="n">
        <v>304723</v>
      </c>
      <c r="B31088" s="37" t="n">
        <v>60</v>
      </c>
      <c r="C31088" s="7" t="n">
        <v>11</v>
      </c>
      <c r="D31088" s="7" t="n">
        <v>0</v>
      </c>
      <c r="E31088" s="7" t="n">
        <v>0</v>
      </c>
      <c r="F31088" s="7" t="n">
        <v>0</v>
      </c>
      <c r="G31088" s="7" t="n">
        <v>0</v>
      </c>
      <c r="H31088" s="7" t="n">
        <v>0</v>
      </c>
    </row>
    <row r="31089" spans="1:8">
      <c r="A31089" t="s">
        <v>4</v>
      </c>
      <c r="B31089" s="4" t="s">
        <v>5</v>
      </c>
      <c r="C31089" s="4" t="s">
        <v>11</v>
      </c>
      <c r="D31089" s="4" t="s">
        <v>11</v>
      </c>
      <c r="E31089" s="4" t="s">
        <v>11</v>
      </c>
    </row>
    <row r="31090" spans="1:8">
      <c r="A31090" t="n">
        <v>304742</v>
      </c>
      <c r="B31090" s="72" t="n">
        <v>61</v>
      </c>
      <c r="C31090" s="7" t="n">
        <v>11</v>
      </c>
      <c r="D31090" s="7" t="n">
        <v>65533</v>
      </c>
      <c r="E31090" s="7" t="n">
        <v>0</v>
      </c>
    </row>
    <row r="31091" spans="1:8">
      <c r="A31091" t="s">
        <v>4</v>
      </c>
      <c r="B31091" s="4" t="s">
        <v>5</v>
      </c>
      <c r="C31091" s="4" t="s">
        <v>7</v>
      </c>
      <c r="D31091" s="4" t="s">
        <v>7</v>
      </c>
      <c r="E31091" s="4" t="s">
        <v>13</v>
      </c>
      <c r="F31091" s="4" t="s">
        <v>13</v>
      </c>
      <c r="G31091" s="4" t="s">
        <v>13</v>
      </c>
      <c r="H31091" s="4" t="s">
        <v>11</v>
      </c>
    </row>
    <row r="31092" spans="1:8">
      <c r="A31092" t="n">
        <v>304749</v>
      </c>
      <c r="B31092" s="51" t="n">
        <v>45</v>
      </c>
      <c r="C31092" s="7" t="n">
        <v>2</v>
      </c>
      <c r="D31092" s="7" t="n">
        <v>3</v>
      </c>
      <c r="E31092" s="7" t="n">
        <v>-6.88000011444092</v>
      </c>
      <c r="F31092" s="7" t="n">
        <v>6.40000009536743</v>
      </c>
      <c r="G31092" s="7" t="n">
        <v>29.7700004577637</v>
      </c>
      <c r="H31092" s="7" t="n">
        <v>0</v>
      </c>
    </row>
    <row r="31093" spans="1:8">
      <c r="A31093" t="s">
        <v>4</v>
      </c>
      <c r="B31093" s="4" t="s">
        <v>5</v>
      </c>
      <c r="C31093" s="4" t="s">
        <v>7</v>
      </c>
      <c r="D31093" s="4" t="s">
        <v>7</v>
      </c>
      <c r="E31093" s="4" t="s">
        <v>13</v>
      </c>
      <c r="F31093" s="4" t="s">
        <v>13</v>
      </c>
      <c r="G31093" s="4" t="s">
        <v>13</v>
      </c>
      <c r="H31093" s="4" t="s">
        <v>11</v>
      </c>
      <c r="I31093" s="4" t="s">
        <v>7</v>
      </c>
    </row>
    <row r="31094" spans="1:8">
      <c r="A31094" t="n">
        <v>304766</v>
      </c>
      <c r="B31094" s="51" t="n">
        <v>45</v>
      </c>
      <c r="C31094" s="7" t="n">
        <v>4</v>
      </c>
      <c r="D31094" s="7" t="n">
        <v>3</v>
      </c>
      <c r="E31094" s="7" t="n">
        <v>11.8400001525879</v>
      </c>
      <c r="F31094" s="7" t="n">
        <v>154.470001220703</v>
      </c>
      <c r="G31094" s="7" t="n">
        <v>354</v>
      </c>
      <c r="H31094" s="7" t="n">
        <v>0</v>
      </c>
      <c r="I31094" s="7" t="n">
        <v>0</v>
      </c>
    </row>
    <row r="31095" spans="1:8">
      <c r="A31095" t="s">
        <v>4</v>
      </c>
      <c r="B31095" s="4" t="s">
        <v>5</v>
      </c>
      <c r="C31095" s="4" t="s">
        <v>7</v>
      </c>
      <c r="D31095" s="4" t="s">
        <v>7</v>
      </c>
      <c r="E31095" s="4" t="s">
        <v>13</v>
      </c>
      <c r="F31095" s="4" t="s">
        <v>11</v>
      </c>
    </row>
    <row r="31096" spans="1:8">
      <c r="A31096" t="n">
        <v>304784</v>
      </c>
      <c r="B31096" s="51" t="n">
        <v>45</v>
      </c>
      <c r="C31096" s="7" t="n">
        <v>5</v>
      </c>
      <c r="D31096" s="7" t="n">
        <v>3</v>
      </c>
      <c r="E31096" s="7" t="n">
        <v>1</v>
      </c>
      <c r="F31096" s="7" t="n">
        <v>0</v>
      </c>
    </row>
    <row r="31097" spans="1:8">
      <c r="A31097" t="s">
        <v>4</v>
      </c>
      <c r="B31097" s="4" t="s">
        <v>5</v>
      </c>
      <c r="C31097" s="4" t="s">
        <v>7</v>
      </c>
      <c r="D31097" s="4" t="s">
        <v>7</v>
      </c>
      <c r="E31097" s="4" t="s">
        <v>13</v>
      </c>
      <c r="F31097" s="4" t="s">
        <v>11</v>
      </c>
    </row>
    <row r="31098" spans="1:8">
      <c r="A31098" t="n">
        <v>304793</v>
      </c>
      <c r="B31098" s="51" t="n">
        <v>45</v>
      </c>
      <c r="C31098" s="7" t="n">
        <v>11</v>
      </c>
      <c r="D31098" s="7" t="n">
        <v>3</v>
      </c>
      <c r="E31098" s="7" t="n">
        <v>40.2999992370605</v>
      </c>
      <c r="F31098" s="7" t="n">
        <v>0</v>
      </c>
    </row>
    <row r="31099" spans="1:8">
      <c r="A31099" t="s">
        <v>4</v>
      </c>
      <c r="B31099" s="4" t="s">
        <v>5</v>
      </c>
      <c r="C31099" s="4" t="s">
        <v>7</v>
      </c>
      <c r="D31099" s="4" t="s">
        <v>7</v>
      </c>
      <c r="E31099" s="4" t="s">
        <v>13</v>
      </c>
      <c r="F31099" s="4" t="s">
        <v>13</v>
      </c>
      <c r="G31099" s="4" t="s">
        <v>13</v>
      </c>
      <c r="H31099" s="4" t="s">
        <v>11</v>
      </c>
    </row>
    <row r="31100" spans="1:8">
      <c r="A31100" t="n">
        <v>304802</v>
      </c>
      <c r="B31100" s="51" t="n">
        <v>45</v>
      </c>
      <c r="C31100" s="7" t="n">
        <v>2</v>
      </c>
      <c r="D31100" s="7" t="n">
        <v>3</v>
      </c>
      <c r="E31100" s="7" t="n">
        <v>-6.55999994277954</v>
      </c>
      <c r="F31100" s="7" t="n">
        <v>6.48000001907349</v>
      </c>
      <c r="G31100" s="7" t="n">
        <v>30.0900001525879</v>
      </c>
      <c r="H31100" s="7" t="n">
        <v>3000</v>
      </c>
    </row>
    <row r="31101" spans="1:8">
      <c r="A31101" t="s">
        <v>4</v>
      </c>
      <c r="B31101" s="4" t="s">
        <v>5</v>
      </c>
      <c r="C31101" s="4" t="s">
        <v>7</v>
      </c>
      <c r="D31101" s="4" t="s">
        <v>7</v>
      </c>
      <c r="E31101" s="4" t="s">
        <v>13</v>
      </c>
      <c r="F31101" s="4" t="s">
        <v>13</v>
      </c>
      <c r="G31101" s="4" t="s">
        <v>13</v>
      </c>
      <c r="H31101" s="4" t="s">
        <v>11</v>
      </c>
      <c r="I31101" s="4" t="s">
        <v>7</v>
      </c>
    </row>
    <row r="31102" spans="1:8">
      <c r="A31102" t="n">
        <v>304819</v>
      </c>
      <c r="B31102" s="51" t="n">
        <v>45</v>
      </c>
      <c r="C31102" s="7" t="n">
        <v>4</v>
      </c>
      <c r="D31102" s="7" t="n">
        <v>3</v>
      </c>
      <c r="E31102" s="7" t="n">
        <v>6.5</v>
      </c>
      <c r="F31102" s="7" t="n">
        <v>219.229995727539</v>
      </c>
      <c r="G31102" s="7" t="n">
        <v>354</v>
      </c>
      <c r="H31102" s="7" t="n">
        <v>3000</v>
      </c>
      <c r="I31102" s="7" t="n">
        <v>1</v>
      </c>
    </row>
    <row r="31103" spans="1:8">
      <c r="A31103" t="s">
        <v>4</v>
      </c>
      <c r="B31103" s="4" t="s">
        <v>5</v>
      </c>
      <c r="C31103" s="4" t="s">
        <v>11</v>
      </c>
      <c r="D31103" s="4" t="s">
        <v>7</v>
      </c>
      <c r="E31103" s="4" t="s">
        <v>8</v>
      </c>
      <c r="F31103" s="4" t="s">
        <v>13</v>
      </c>
      <c r="G31103" s="4" t="s">
        <v>13</v>
      </c>
      <c r="H31103" s="4" t="s">
        <v>13</v>
      </c>
    </row>
    <row r="31104" spans="1:8">
      <c r="A31104" t="n">
        <v>304837</v>
      </c>
      <c r="B31104" s="42" t="n">
        <v>48</v>
      </c>
      <c r="C31104" s="7" t="n">
        <v>0</v>
      </c>
      <c r="D31104" s="7" t="n">
        <v>0</v>
      </c>
      <c r="E31104" s="7" t="s">
        <v>210</v>
      </c>
      <c r="F31104" s="7" t="n">
        <v>0</v>
      </c>
      <c r="G31104" s="7" t="n">
        <v>1</v>
      </c>
      <c r="H31104" s="7" t="n">
        <v>0</v>
      </c>
    </row>
    <row r="31105" spans="1:9">
      <c r="A31105" t="s">
        <v>4</v>
      </c>
      <c r="B31105" s="4" t="s">
        <v>5</v>
      </c>
      <c r="C31105" s="4" t="s">
        <v>11</v>
      </c>
      <c r="D31105" s="4" t="s">
        <v>7</v>
      </c>
      <c r="E31105" s="4" t="s">
        <v>8</v>
      </c>
      <c r="F31105" s="4" t="s">
        <v>13</v>
      </c>
      <c r="G31105" s="4" t="s">
        <v>13</v>
      </c>
      <c r="H31105" s="4" t="s">
        <v>13</v>
      </c>
    </row>
    <row r="31106" spans="1:9">
      <c r="A31106" t="n">
        <v>304862</v>
      </c>
      <c r="B31106" s="42" t="n">
        <v>48</v>
      </c>
      <c r="C31106" s="7" t="n">
        <v>11</v>
      </c>
      <c r="D31106" s="7" t="n">
        <v>0</v>
      </c>
      <c r="E31106" s="7" t="s">
        <v>210</v>
      </c>
      <c r="F31106" s="7" t="n">
        <v>0</v>
      </c>
      <c r="G31106" s="7" t="n">
        <v>1</v>
      </c>
      <c r="H31106" s="7" t="n">
        <v>0</v>
      </c>
    </row>
    <row r="31107" spans="1:9">
      <c r="A31107" t="s">
        <v>4</v>
      </c>
      <c r="B31107" s="4" t="s">
        <v>5</v>
      </c>
      <c r="C31107" s="4" t="s">
        <v>7</v>
      </c>
      <c r="D31107" s="4" t="s">
        <v>11</v>
      </c>
      <c r="E31107" s="4" t="s">
        <v>8</v>
      </c>
      <c r="F31107" s="4" t="s">
        <v>8</v>
      </c>
      <c r="G31107" s="4" t="s">
        <v>8</v>
      </c>
      <c r="H31107" s="4" t="s">
        <v>8</v>
      </c>
    </row>
    <row r="31108" spans="1:9">
      <c r="A31108" t="n">
        <v>304887</v>
      </c>
      <c r="B31108" s="38" t="n">
        <v>51</v>
      </c>
      <c r="C31108" s="7" t="n">
        <v>3</v>
      </c>
      <c r="D31108" s="7" t="n">
        <v>11</v>
      </c>
      <c r="E31108" s="7" t="s">
        <v>371</v>
      </c>
      <c r="F31108" s="7" t="s">
        <v>79</v>
      </c>
      <c r="G31108" s="7" t="s">
        <v>16</v>
      </c>
      <c r="H31108" s="7" t="s">
        <v>68</v>
      </c>
    </row>
    <row r="31109" spans="1:9">
      <c r="A31109" t="s">
        <v>4</v>
      </c>
      <c r="B31109" s="4" t="s">
        <v>5</v>
      </c>
      <c r="C31109" s="4" t="s">
        <v>7</v>
      </c>
      <c r="D31109" s="4" t="s">
        <v>11</v>
      </c>
    </row>
    <row r="31110" spans="1:9">
      <c r="A31110" t="n">
        <v>304898</v>
      </c>
      <c r="B31110" s="23" t="n">
        <v>58</v>
      </c>
      <c r="C31110" s="7" t="n">
        <v>255</v>
      </c>
      <c r="D31110" s="7" t="n">
        <v>0</v>
      </c>
    </row>
    <row r="31111" spans="1:9">
      <c r="A31111" t="s">
        <v>4</v>
      </c>
      <c r="B31111" s="4" t="s">
        <v>5</v>
      </c>
      <c r="C31111" s="4" t="s">
        <v>11</v>
      </c>
      <c r="D31111" s="4" t="s">
        <v>11</v>
      </c>
      <c r="E31111" s="4" t="s">
        <v>13</v>
      </c>
      <c r="F31111" s="4" t="s">
        <v>13</v>
      </c>
      <c r="G31111" s="4" t="s">
        <v>13</v>
      </c>
      <c r="H31111" s="4" t="s">
        <v>13</v>
      </c>
      <c r="I31111" s="4" t="s">
        <v>7</v>
      </c>
      <c r="J31111" s="4" t="s">
        <v>11</v>
      </c>
    </row>
    <row r="31112" spans="1:9">
      <c r="A31112" t="n">
        <v>304902</v>
      </c>
      <c r="B31112" s="53" t="n">
        <v>55</v>
      </c>
      <c r="C31112" s="7" t="n">
        <v>11</v>
      </c>
      <c r="D31112" s="7" t="n">
        <v>65533</v>
      </c>
      <c r="E31112" s="7" t="n">
        <v>-7.01999998092651</v>
      </c>
      <c r="F31112" s="7" t="n">
        <v>5</v>
      </c>
      <c r="G31112" s="7" t="n">
        <v>29.8400001525879</v>
      </c>
      <c r="H31112" s="7" t="n">
        <v>1.20000004768372</v>
      </c>
      <c r="I31112" s="7" t="n">
        <v>1</v>
      </c>
      <c r="J31112" s="7" t="n">
        <v>0</v>
      </c>
    </row>
    <row r="31113" spans="1:9">
      <c r="A31113" t="s">
        <v>4</v>
      </c>
      <c r="B31113" s="4" t="s">
        <v>5</v>
      </c>
      <c r="C31113" s="4" t="s">
        <v>11</v>
      </c>
      <c r="D31113" s="4" t="s">
        <v>7</v>
      </c>
    </row>
    <row r="31114" spans="1:9">
      <c r="A31114" t="n">
        <v>304926</v>
      </c>
      <c r="B31114" s="54" t="n">
        <v>56</v>
      </c>
      <c r="C31114" s="7" t="n">
        <v>11</v>
      </c>
      <c r="D31114" s="7" t="n">
        <v>0</v>
      </c>
    </row>
    <row r="31115" spans="1:9">
      <c r="A31115" t="s">
        <v>4</v>
      </c>
      <c r="B31115" s="4" t="s">
        <v>5</v>
      </c>
      <c r="C31115" s="4" t="s">
        <v>13</v>
      </c>
    </row>
    <row r="31116" spans="1:9">
      <c r="A31116" t="n">
        <v>304930</v>
      </c>
      <c r="B31116" s="80" t="n">
        <v>68</v>
      </c>
      <c r="C31116" s="7" t="n">
        <v>0.800000011920929</v>
      </c>
    </row>
    <row r="31117" spans="1:9">
      <c r="A31117" t="s">
        <v>4</v>
      </c>
      <c r="B31117" s="4" t="s">
        <v>5</v>
      </c>
      <c r="C31117" s="4" t="s">
        <v>11</v>
      </c>
      <c r="D31117" s="4" t="s">
        <v>7</v>
      </c>
      <c r="E31117" s="4" t="s">
        <v>8</v>
      </c>
      <c r="F31117" s="4" t="s">
        <v>13</v>
      </c>
      <c r="G31117" s="4" t="s">
        <v>13</v>
      </c>
      <c r="H31117" s="4" t="s">
        <v>13</v>
      </c>
    </row>
    <row r="31118" spans="1:9">
      <c r="A31118" t="n">
        <v>304935</v>
      </c>
      <c r="B31118" s="42" t="n">
        <v>48</v>
      </c>
      <c r="C31118" s="7" t="n">
        <v>11</v>
      </c>
      <c r="D31118" s="7" t="n">
        <v>0</v>
      </c>
      <c r="E31118" s="7" t="s">
        <v>702</v>
      </c>
      <c r="F31118" s="7" t="n">
        <v>-1</v>
      </c>
      <c r="G31118" s="7" t="n">
        <v>1</v>
      </c>
      <c r="H31118" s="7" t="n">
        <v>0</v>
      </c>
    </row>
    <row r="31119" spans="1:9">
      <c r="A31119" t="s">
        <v>4</v>
      </c>
      <c r="B31119" s="4" t="s">
        <v>5</v>
      </c>
      <c r="C31119" s="4" t="s">
        <v>11</v>
      </c>
    </row>
    <row r="31120" spans="1:9">
      <c r="A31120" t="n">
        <v>304962</v>
      </c>
      <c r="B31120" s="29" t="n">
        <v>16</v>
      </c>
      <c r="C31120" s="7" t="n">
        <v>200</v>
      </c>
    </row>
    <row r="31121" spans="1:10">
      <c r="A31121" t="s">
        <v>4</v>
      </c>
      <c r="B31121" s="4" t="s">
        <v>5</v>
      </c>
      <c r="C31121" s="4" t="s">
        <v>7</v>
      </c>
      <c r="D31121" s="4" t="s">
        <v>11</v>
      </c>
      <c r="E31121" s="4" t="s">
        <v>13</v>
      </c>
      <c r="F31121" s="4" t="s">
        <v>11</v>
      </c>
      <c r="G31121" s="4" t="s">
        <v>15</v>
      </c>
      <c r="H31121" s="4" t="s">
        <v>15</v>
      </c>
      <c r="I31121" s="4" t="s">
        <v>11</v>
      </c>
      <c r="J31121" s="4" t="s">
        <v>11</v>
      </c>
      <c r="K31121" s="4" t="s">
        <v>15</v>
      </c>
      <c r="L31121" s="4" t="s">
        <v>15</v>
      </c>
      <c r="M31121" s="4" t="s">
        <v>15</v>
      </c>
      <c r="N31121" s="4" t="s">
        <v>15</v>
      </c>
      <c r="O31121" s="4" t="s">
        <v>8</v>
      </c>
    </row>
    <row r="31122" spans="1:10">
      <c r="A31122" t="n">
        <v>304965</v>
      </c>
      <c r="B31122" s="57" t="n">
        <v>50</v>
      </c>
      <c r="C31122" s="7" t="n">
        <v>0</v>
      </c>
      <c r="D31122" s="7" t="n">
        <v>2000</v>
      </c>
      <c r="E31122" s="7" t="n">
        <v>0.300000011920929</v>
      </c>
      <c r="F31122" s="7" t="n">
        <v>100</v>
      </c>
      <c r="G31122" s="7" t="n">
        <v>0</v>
      </c>
      <c r="H31122" s="7" t="n">
        <v>0</v>
      </c>
      <c r="I31122" s="7" t="n">
        <v>0</v>
      </c>
      <c r="J31122" s="7" t="n">
        <v>65533</v>
      </c>
      <c r="K31122" s="7" t="n">
        <v>0</v>
      </c>
      <c r="L31122" s="7" t="n">
        <v>0</v>
      </c>
      <c r="M31122" s="7" t="n">
        <v>0</v>
      </c>
      <c r="N31122" s="7" t="n">
        <v>0</v>
      </c>
      <c r="O31122" s="7" t="s">
        <v>16</v>
      </c>
    </row>
    <row r="31123" spans="1:10">
      <c r="A31123" t="s">
        <v>4</v>
      </c>
      <c r="B31123" s="4" t="s">
        <v>5</v>
      </c>
      <c r="C31123" s="4" t="s">
        <v>11</v>
      </c>
    </row>
    <row r="31124" spans="1:10">
      <c r="A31124" t="n">
        <v>305004</v>
      </c>
      <c r="B31124" s="29" t="n">
        <v>16</v>
      </c>
      <c r="C31124" s="7" t="n">
        <v>1200</v>
      </c>
    </row>
    <row r="31125" spans="1:10">
      <c r="A31125" t="s">
        <v>4</v>
      </c>
      <c r="B31125" s="4" t="s">
        <v>5</v>
      </c>
      <c r="C31125" s="4" t="s">
        <v>7</v>
      </c>
      <c r="D31125" s="4" t="s">
        <v>11</v>
      </c>
      <c r="E31125" s="4" t="s">
        <v>8</v>
      </c>
      <c r="F31125" s="4" t="s">
        <v>8</v>
      </c>
      <c r="G31125" s="4" t="s">
        <v>8</v>
      </c>
      <c r="H31125" s="4" t="s">
        <v>8</v>
      </c>
    </row>
    <row r="31126" spans="1:10">
      <c r="A31126" t="n">
        <v>305007</v>
      </c>
      <c r="B31126" s="38" t="n">
        <v>51</v>
      </c>
      <c r="C31126" s="7" t="n">
        <v>3</v>
      </c>
      <c r="D31126" s="7" t="n">
        <v>11</v>
      </c>
      <c r="E31126" s="7" t="s">
        <v>319</v>
      </c>
      <c r="F31126" s="7" t="s">
        <v>155</v>
      </c>
      <c r="G31126" s="7" t="s">
        <v>16</v>
      </c>
      <c r="H31126" s="7" t="s">
        <v>68</v>
      </c>
    </row>
    <row r="31127" spans="1:10">
      <c r="A31127" t="s">
        <v>4</v>
      </c>
      <c r="B31127" s="4" t="s">
        <v>5</v>
      </c>
      <c r="C31127" s="4" t="s">
        <v>7</v>
      </c>
      <c r="D31127" s="4" t="s">
        <v>11</v>
      </c>
      <c r="E31127" s="4" t="s">
        <v>8</v>
      </c>
    </row>
    <row r="31128" spans="1:10">
      <c r="A31128" t="n">
        <v>305018</v>
      </c>
      <c r="B31128" s="38" t="n">
        <v>51</v>
      </c>
      <c r="C31128" s="7" t="n">
        <v>4</v>
      </c>
      <c r="D31128" s="7" t="n">
        <v>11</v>
      </c>
      <c r="E31128" s="7" t="s">
        <v>778</v>
      </c>
    </row>
    <row r="31129" spans="1:10">
      <c r="A31129" t="s">
        <v>4</v>
      </c>
      <c r="B31129" s="4" t="s">
        <v>5</v>
      </c>
      <c r="C31129" s="4" t="s">
        <v>11</v>
      </c>
    </row>
    <row r="31130" spans="1:10">
      <c r="A31130" t="n">
        <v>305038</v>
      </c>
      <c r="B31130" s="29" t="n">
        <v>16</v>
      </c>
      <c r="C31130" s="7" t="n">
        <v>0</v>
      </c>
    </row>
    <row r="31131" spans="1:10">
      <c r="A31131" t="s">
        <v>4</v>
      </c>
      <c r="B31131" s="4" t="s">
        <v>5</v>
      </c>
      <c r="C31131" s="4" t="s">
        <v>11</v>
      </c>
      <c r="D31131" s="4" t="s">
        <v>7</v>
      </c>
      <c r="E31131" s="4" t="s">
        <v>15</v>
      </c>
      <c r="F31131" s="4" t="s">
        <v>55</v>
      </c>
      <c r="G31131" s="4" t="s">
        <v>7</v>
      </c>
      <c r="H31131" s="4" t="s">
        <v>7</v>
      </c>
      <c r="I31131" s="4" t="s">
        <v>7</v>
      </c>
    </row>
    <row r="31132" spans="1:10">
      <c r="A31132" t="n">
        <v>305041</v>
      </c>
      <c r="B31132" s="55" t="n">
        <v>26</v>
      </c>
      <c r="C31132" s="7" t="n">
        <v>11</v>
      </c>
      <c r="D31132" s="7" t="n">
        <v>17</v>
      </c>
      <c r="E31132" s="7" t="n">
        <v>10823</v>
      </c>
      <c r="F31132" s="7" t="s">
        <v>779</v>
      </c>
      <c r="G31132" s="7" t="n">
        <v>8</v>
      </c>
      <c r="H31132" s="7" t="n">
        <v>2</v>
      </c>
      <c r="I31132" s="7" t="n">
        <v>0</v>
      </c>
    </row>
    <row r="31133" spans="1:10">
      <c r="A31133" t="s">
        <v>4</v>
      </c>
      <c r="B31133" s="4" t="s">
        <v>5</v>
      </c>
      <c r="C31133" s="4" t="s">
        <v>11</v>
      </c>
    </row>
    <row r="31134" spans="1:10">
      <c r="A31134" t="n">
        <v>305058</v>
      </c>
      <c r="B31134" s="29" t="n">
        <v>16</v>
      </c>
      <c r="C31134" s="7" t="n">
        <v>1</v>
      </c>
    </row>
    <row r="31135" spans="1:10">
      <c r="A31135" t="s">
        <v>4</v>
      </c>
      <c r="B31135" s="4" t="s">
        <v>5</v>
      </c>
      <c r="C31135" s="4" t="s">
        <v>7</v>
      </c>
      <c r="D31135" s="4" t="s">
        <v>11</v>
      </c>
    </row>
    <row r="31136" spans="1:10">
      <c r="A31136" t="n">
        <v>305061</v>
      </c>
      <c r="B31136" s="57" t="n">
        <v>50</v>
      </c>
      <c r="C31136" s="7" t="n">
        <v>52</v>
      </c>
      <c r="D31136" s="7" t="n">
        <v>10823</v>
      </c>
    </row>
    <row r="31137" spans="1:15">
      <c r="A31137" t="s">
        <v>4</v>
      </c>
      <c r="B31137" s="4" t="s">
        <v>5</v>
      </c>
      <c r="C31137" s="4" t="s">
        <v>11</v>
      </c>
      <c r="D31137" s="4" t="s">
        <v>7</v>
      </c>
    </row>
    <row r="31138" spans="1:15">
      <c r="A31138" t="n">
        <v>305065</v>
      </c>
      <c r="B31138" s="68" t="n">
        <v>89</v>
      </c>
      <c r="C31138" s="7" t="n">
        <v>65533</v>
      </c>
      <c r="D31138" s="7" t="n">
        <v>0</v>
      </c>
    </row>
    <row r="31139" spans="1:15">
      <c r="A31139" t="s">
        <v>4</v>
      </c>
      <c r="B31139" s="4" t="s">
        <v>5</v>
      </c>
      <c r="C31139" s="4" t="s">
        <v>7</v>
      </c>
      <c r="D31139" s="4" t="s">
        <v>11</v>
      </c>
      <c r="E31139" s="4" t="s">
        <v>8</v>
      </c>
      <c r="F31139" s="4" t="s">
        <v>8</v>
      </c>
      <c r="G31139" s="4" t="s">
        <v>8</v>
      </c>
      <c r="H31139" s="4" t="s">
        <v>8</v>
      </c>
    </row>
    <row r="31140" spans="1:15">
      <c r="A31140" t="n">
        <v>305069</v>
      </c>
      <c r="B31140" s="38" t="n">
        <v>51</v>
      </c>
      <c r="C31140" s="7" t="n">
        <v>3</v>
      </c>
      <c r="D31140" s="7" t="n">
        <v>11</v>
      </c>
      <c r="E31140" s="7" t="s">
        <v>232</v>
      </c>
      <c r="F31140" s="7" t="s">
        <v>99</v>
      </c>
      <c r="G31140" s="7" t="s">
        <v>16</v>
      </c>
      <c r="H31140" s="7" t="s">
        <v>68</v>
      </c>
    </row>
    <row r="31141" spans="1:15">
      <c r="A31141" t="s">
        <v>4</v>
      </c>
      <c r="B31141" s="4" t="s">
        <v>5</v>
      </c>
      <c r="C31141" s="4" t="s">
        <v>11</v>
      </c>
      <c r="D31141" s="4" t="s">
        <v>15</v>
      </c>
      <c r="E31141" s="4" t="s">
        <v>7</v>
      </c>
    </row>
    <row r="31142" spans="1:15">
      <c r="A31142" t="n">
        <v>305080</v>
      </c>
      <c r="B31142" s="78" t="n">
        <v>35</v>
      </c>
      <c r="C31142" s="7" t="n">
        <v>11</v>
      </c>
      <c r="D31142" s="7" t="n">
        <v>0</v>
      </c>
      <c r="E31142" s="7" t="n">
        <v>0</v>
      </c>
    </row>
    <row r="31143" spans="1:15">
      <c r="A31143" t="s">
        <v>4</v>
      </c>
      <c r="B31143" s="4" t="s">
        <v>5</v>
      </c>
      <c r="C31143" s="4" t="s">
        <v>13</v>
      </c>
    </row>
    <row r="31144" spans="1:15">
      <c r="A31144" t="n">
        <v>305088</v>
      </c>
      <c r="B31144" s="80" t="n">
        <v>68</v>
      </c>
      <c r="C31144" s="7" t="n">
        <v>1</v>
      </c>
    </row>
    <row r="31145" spans="1:15">
      <c r="A31145" t="s">
        <v>4</v>
      </c>
      <c r="B31145" s="4" t="s">
        <v>5</v>
      </c>
      <c r="C31145" s="4" t="s">
        <v>7</v>
      </c>
      <c r="D31145" s="4" t="s">
        <v>11</v>
      </c>
      <c r="E31145" s="4" t="s">
        <v>8</v>
      </c>
      <c r="F31145" s="4" t="s">
        <v>8</v>
      </c>
      <c r="G31145" s="4" t="s">
        <v>8</v>
      </c>
      <c r="H31145" s="4" t="s">
        <v>8</v>
      </c>
    </row>
    <row r="31146" spans="1:15">
      <c r="A31146" t="n">
        <v>305093</v>
      </c>
      <c r="B31146" s="38" t="n">
        <v>51</v>
      </c>
      <c r="C31146" s="7" t="n">
        <v>3</v>
      </c>
      <c r="D31146" s="7" t="n">
        <v>0</v>
      </c>
      <c r="E31146" s="7" t="s">
        <v>154</v>
      </c>
      <c r="F31146" s="7" t="s">
        <v>155</v>
      </c>
      <c r="G31146" s="7" t="s">
        <v>78</v>
      </c>
      <c r="H31146" s="7" t="s">
        <v>79</v>
      </c>
    </row>
    <row r="31147" spans="1:15">
      <c r="A31147" t="s">
        <v>4</v>
      </c>
      <c r="B31147" s="4" t="s">
        <v>5</v>
      </c>
      <c r="C31147" s="4" t="s">
        <v>11</v>
      </c>
      <c r="D31147" s="4" t="s">
        <v>7</v>
      </c>
      <c r="E31147" s="4" t="s">
        <v>13</v>
      </c>
      <c r="F31147" s="4" t="s">
        <v>11</v>
      </c>
    </row>
    <row r="31148" spans="1:15">
      <c r="A31148" t="n">
        <v>305106</v>
      </c>
      <c r="B31148" s="56" t="n">
        <v>59</v>
      </c>
      <c r="C31148" s="7" t="n">
        <v>0</v>
      </c>
      <c r="D31148" s="7" t="n">
        <v>1</v>
      </c>
      <c r="E31148" s="7" t="n">
        <v>0.150000005960464</v>
      </c>
      <c r="F31148" s="7" t="n">
        <v>0</v>
      </c>
    </row>
    <row r="31149" spans="1:15">
      <c r="A31149" t="s">
        <v>4</v>
      </c>
      <c r="B31149" s="4" t="s">
        <v>5</v>
      </c>
      <c r="C31149" s="4" t="s">
        <v>11</v>
      </c>
    </row>
    <row r="31150" spans="1:15">
      <c r="A31150" t="n">
        <v>305116</v>
      </c>
      <c r="B31150" s="29" t="n">
        <v>16</v>
      </c>
      <c r="C31150" s="7" t="n">
        <v>1500</v>
      </c>
    </row>
    <row r="31151" spans="1:15">
      <c r="A31151" t="s">
        <v>4</v>
      </c>
      <c r="B31151" s="4" t="s">
        <v>5</v>
      </c>
      <c r="C31151" s="4" t="s">
        <v>11</v>
      </c>
      <c r="D31151" s="4" t="s">
        <v>7</v>
      </c>
      <c r="E31151" s="4" t="s">
        <v>8</v>
      </c>
      <c r="F31151" s="4" t="s">
        <v>13</v>
      </c>
      <c r="G31151" s="4" t="s">
        <v>13</v>
      </c>
      <c r="H31151" s="4" t="s">
        <v>13</v>
      </c>
    </row>
    <row r="31152" spans="1:15">
      <c r="A31152" t="n">
        <v>305119</v>
      </c>
      <c r="B31152" s="42" t="n">
        <v>48</v>
      </c>
      <c r="C31152" s="7" t="n">
        <v>11</v>
      </c>
      <c r="D31152" s="7" t="n">
        <v>0</v>
      </c>
      <c r="E31152" s="7" t="s">
        <v>700</v>
      </c>
      <c r="F31152" s="7" t="n">
        <v>-1</v>
      </c>
      <c r="G31152" s="7" t="n">
        <v>1</v>
      </c>
      <c r="H31152" s="7" t="n">
        <v>0</v>
      </c>
    </row>
    <row r="31153" spans="1:8">
      <c r="A31153" t="s">
        <v>4</v>
      </c>
      <c r="B31153" s="4" t="s">
        <v>5</v>
      </c>
      <c r="C31153" s="4" t="s">
        <v>11</v>
      </c>
      <c r="D31153" s="4" t="s">
        <v>7</v>
      </c>
      <c r="E31153" s="4" t="s">
        <v>8</v>
      </c>
      <c r="F31153" s="4" t="s">
        <v>13</v>
      </c>
      <c r="G31153" s="4" t="s">
        <v>13</v>
      </c>
      <c r="H31153" s="4" t="s">
        <v>13</v>
      </c>
    </row>
    <row r="31154" spans="1:8">
      <c r="A31154" t="n">
        <v>305146</v>
      </c>
      <c r="B31154" s="42" t="n">
        <v>48</v>
      </c>
      <c r="C31154" s="7" t="n">
        <v>0</v>
      </c>
      <c r="D31154" s="7" t="n">
        <v>0</v>
      </c>
      <c r="E31154" s="7" t="s">
        <v>700</v>
      </c>
      <c r="F31154" s="7" t="n">
        <v>-1</v>
      </c>
      <c r="G31154" s="7" t="n">
        <v>1</v>
      </c>
      <c r="H31154" s="7" t="n">
        <v>0</v>
      </c>
    </row>
    <row r="31155" spans="1:8">
      <c r="A31155" t="s">
        <v>4</v>
      </c>
      <c r="B31155" s="4" t="s">
        <v>5</v>
      </c>
      <c r="C31155" s="4" t="s">
        <v>11</v>
      </c>
      <c r="D31155" s="4" t="s">
        <v>15</v>
      </c>
      <c r="E31155" s="4" t="s">
        <v>7</v>
      </c>
    </row>
    <row r="31156" spans="1:8">
      <c r="A31156" t="n">
        <v>305173</v>
      </c>
      <c r="B31156" s="78" t="n">
        <v>35</v>
      </c>
      <c r="C31156" s="7" t="n">
        <v>11</v>
      </c>
      <c r="D31156" s="7" t="n">
        <v>0</v>
      </c>
      <c r="E31156" s="7" t="n">
        <v>0</v>
      </c>
    </row>
    <row r="31157" spans="1:8">
      <c r="A31157" t="s">
        <v>4</v>
      </c>
      <c r="B31157" s="4" t="s">
        <v>5</v>
      </c>
      <c r="C31157" s="4" t="s">
        <v>7</v>
      </c>
      <c r="D31157" s="4" t="s">
        <v>11</v>
      </c>
      <c r="E31157" s="4" t="s">
        <v>8</v>
      </c>
    </row>
    <row r="31158" spans="1:8">
      <c r="A31158" t="n">
        <v>305181</v>
      </c>
      <c r="B31158" s="38" t="n">
        <v>51</v>
      </c>
      <c r="C31158" s="7" t="n">
        <v>4</v>
      </c>
      <c r="D31158" s="7" t="n">
        <v>0</v>
      </c>
      <c r="E31158" s="7" t="s">
        <v>757</v>
      </c>
    </row>
    <row r="31159" spans="1:8">
      <c r="A31159" t="s">
        <v>4</v>
      </c>
      <c r="B31159" s="4" t="s">
        <v>5</v>
      </c>
      <c r="C31159" s="4" t="s">
        <v>11</v>
      </c>
    </row>
    <row r="31160" spans="1:8">
      <c r="A31160" t="n">
        <v>305200</v>
      </c>
      <c r="B31160" s="29" t="n">
        <v>16</v>
      </c>
      <c r="C31160" s="7" t="n">
        <v>0</v>
      </c>
    </row>
    <row r="31161" spans="1:8">
      <c r="A31161" t="s">
        <v>4</v>
      </c>
      <c r="B31161" s="4" t="s">
        <v>5</v>
      </c>
      <c r="C31161" s="4" t="s">
        <v>11</v>
      </c>
      <c r="D31161" s="4" t="s">
        <v>7</v>
      </c>
      <c r="E31161" s="4" t="s">
        <v>15</v>
      </c>
      <c r="F31161" s="4" t="s">
        <v>55</v>
      </c>
      <c r="G31161" s="4" t="s">
        <v>7</v>
      </c>
      <c r="H31161" s="4" t="s">
        <v>7</v>
      </c>
    </row>
    <row r="31162" spans="1:8">
      <c r="A31162" t="n">
        <v>305203</v>
      </c>
      <c r="B31162" s="55" t="n">
        <v>26</v>
      </c>
      <c r="C31162" s="7" t="n">
        <v>0</v>
      </c>
      <c r="D31162" s="7" t="n">
        <v>17</v>
      </c>
      <c r="E31162" s="7" t="n">
        <v>65271</v>
      </c>
      <c r="F31162" s="7" t="s">
        <v>362</v>
      </c>
      <c r="G31162" s="7" t="n">
        <v>2</v>
      </c>
      <c r="H31162" s="7" t="n">
        <v>0</v>
      </c>
    </row>
    <row r="31163" spans="1:8">
      <c r="A31163" t="s">
        <v>4</v>
      </c>
      <c r="B31163" s="4" t="s">
        <v>5</v>
      </c>
    </row>
    <row r="31164" spans="1:8">
      <c r="A31164" t="n">
        <v>305217</v>
      </c>
      <c r="B31164" s="27" t="n">
        <v>28</v>
      </c>
    </row>
    <row r="31165" spans="1:8">
      <c r="A31165" t="s">
        <v>4</v>
      </c>
      <c r="B31165" s="4" t="s">
        <v>5</v>
      </c>
      <c r="C31165" s="4" t="s">
        <v>11</v>
      </c>
      <c r="D31165" s="4" t="s">
        <v>7</v>
      </c>
    </row>
    <row r="31166" spans="1:8">
      <c r="A31166" t="n">
        <v>305218</v>
      </c>
      <c r="B31166" s="68" t="n">
        <v>89</v>
      </c>
      <c r="C31166" s="7" t="n">
        <v>65533</v>
      </c>
      <c r="D31166" s="7" t="n">
        <v>1</v>
      </c>
    </row>
    <row r="31167" spans="1:8">
      <c r="A31167" t="s">
        <v>4</v>
      </c>
      <c r="B31167" s="4" t="s">
        <v>5</v>
      </c>
      <c r="C31167" s="4" t="s">
        <v>7</v>
      </c>
      <c r="D31167" s="4" t="s">
        <v>11</v>
      </c>
      <c r="E31167" s="4" t="s">
        <v>13</v>
      </c>
    </row>
    <row r="31168" spans="1:8">
      <c r="A31168" t="n">
        <v>305222</v>
      </c>
      <c r="B31168" s="23" t="n">
        <v>58</v>
      </c>
      <c r="C31168" s="7" t="n">
        <v>101</v>
      </c>
      <c r="D31168" s="7" t="n">
        <v>500</v>
      </c>
      <c r="E31168" s="7" t="n">
        <v>1</v>
      </c>
    </row>
    <row r="31169" spans="1:8">
      <c r="A31169" t="s">
        <v>4</v>
      </c>
      <c r="B31169" s="4" t="s">
        <v>5</v>
      </c>
      <c r="C31169" s="4" t="s">
        <v>7</v>
      </c>
      <c r="D31169" s="4" t="s">
        <v>11</v>
      </c>
    </row>
    <row r="31170" spans="1:8">
      <c r="A31170" t="n">
        <v>305230</v>
      </c>
      <c r="B31170" s="23" t="n">
        <v>58</v>
      </c>
      <c r="C31170" s="7" t="n">
        <v>254</v>
      </c>
      <c r="D31170" s="7" t="n">
        <v>0</v>
      </c>
    </row>
    <row r="31171" spans="1:8">
      <c r="A31171" t="s">
        <v>4</v>
      </c>
      <c r="B31171" s="4" t="s">
        <v>5</v>
      </c>
      <c r="C31171" s="4" t="s">
        <v>7</v>
      </c>
      <c r="D31171" s="4" t="s">
        <v>7</v>
      </c>
      <c r="E31171" s="4" t="s">
        <v>13</v>
      </c>
      <c r="F31171" s="4" t="s">
        <v>13</v>
      </c>
      <c r="G31171" s="4" t="s">
        <v>13</v>
      </c>
      <c r="H31171" s="4" t="s">
        <v>11</v>
      </c>
    </row>
    <row r="31172" spans="1:8">
      <c r="A31172" t="n">
        <v>305234</v>
      </c>
      <c r="B31172" s="51" t="n">
        <v>45</v>
      </c>
      <c r="C31172" s="7" t="n">
        <v>2</v>
      </c>
      <c r="D31172" s="7" t="n">
        <v>3</v>
      </c>
      <c r="E31172" s="7" t="n">
        <v>-6.69999980926514</v>
      </c>
      <c r="F31172" s="7" t="n">
        <v>6.46000003814697</v>
      </c>
      <c r="G31172" s="7" t="n">
        <v>30.2000007629395</v>
      </c>
      <c r="H31172" s="7" t="n">
        <v>0</v>
      </c>
    </row>
    <row r="31173" spans="1:8">
      <c r="A31173" t="s">
        <v>4</v>
      </c>
      <c r="B31173" s="4" t="s">
        <v>5</v>
      </c>
      <c r="C31173" s="4" t="s">
        <v>7</v>
      </c>
      <c r="D31173" s="4" t="s">
        <v>7</v>
      </c>
      <c r="E31173" s="4" t="s">
        <v>13</v>
      </c>
      <c r="F31173" s="4" t="s">
        <v>13</v>
      </c>
      <c r="G31173" s="4" t="s">
        <v>13</v>
      </c>
      <c r="H31173" s="4" t="s">
        <v>11</v>
      </c>
    </row>
    <row r="31174" spans="1:8">
      <c r="A31174" t="n">
        <v>305251</v>
      </c>
      <c r="B31174" s="51" t="n">
        <v>45</v>
      </c>
      <c r="C31174" s="7" t="n">
        <v>2</v>
      </c>
      <c r="D31174" s="7" t="n">
        <v>3</v>
      </c>
      <c r="E31174" s="7" t="n">
        <v>-6.69999980926514</v>
      </c>
      <c r="F31174" s="7" t="n">
        <v>6.46000003814697</v>
      </c>
      <c r="G31174" s="7" t="n">
        <v>30.2000007629395</v>
      </c>
      <c r="H31174" s="7" t="n">
        <v>0</v>
      </c>
    </row>
    <row r="31175" spans="1:8">
      <c r="A31175" t="s">
        <v>4</v>
      </c>
      <c r="B31175" s="4" t="s">
        <v>5</v>
      </c>
      <c r="C31175" s="4" t="s">
        <v>7</v>
      </c>
      <c r="D31175" s="4" t="s">
        <v>7</v>
      </c>
      <c r="E31175" s="4" t="s">
        <v>13</v>
      </c>
      <c r="F31175" s="4" t="s">
        <v>13</v>
      </c>
      <c r="G31175" s="4" t="s">
        <v>13</v>
      </c>
      <c r="H31175" s="4" t="s">
        <v>11</v>
      </c>
      <c r="I31175" s="4" t="s">
        <v>7</v>
      </c>
    </row>
    <row r="31176" spans="1:8">
      <c r="A31176" t="n">
        <v>305268</v>
      </c>
      <c r="B31176" s="51" t="n">
        <v>45</v>
      </c>
      <c r="C31176" s="7" t="n">
        <v>4</v>
      </c>
      <c r="D31176" s="7" t="n">
        <v>3</v>
      </c>
      <c r="E31176" s="7" t="n">
        <v>353.309997558594</v>
      </c>
      <c r="F31176" s="7" t="n">
        <v>173.699996948242</v>
      </c>
      <c r="G31176" s="7" t="n">
        <v>354</v>
      </c>
      <c r="H31176" s="7" t="n">
        <v>0</v>
      </c>
      <c r="I31176" s="7" t="n">
        <v>0</v>
      </c>
    </row>
    <row r="31177" spans="1:8">
      <c r="A31177" t="s">
        <v>4</v>
      </c>
      <c r="B31177" s="4" t="s">
        <v>5</v>
      </c>
      <c r="C31177" s="4" t="s">
        <v>7</v>
      </c>
      <c r="D31177" s="4" t="s">
        <v>7</v>
      </c>
      <c r="E31177" s="4" t="s">
        <v>13</v>
      </c>
      <c r="F31177" s="4" t="s">
        <v>11</v>
      </c>
    </row>
    <row r="31178" spans="1:8">
      <c r="A31178" t="n">
        <v>305286</v>
      </c>
      <c r="B31178" s="51" t="n">
        <v>45</v>
      </c>
      <c r="C31178" s="7" t="n">
        <v>5</v>
      </c>
      <c r="D31178" s="7" t="n">
        <v>3</v>
      </c>
      <c r="E31178" s="7" t="n">
        <v>0.800000011920929</v>
      </c>
      <c r="F31178" s="7" t="n">
        <v>0</v>
      </c>
    </row>
    <row r="31179" spans="1:8">
      <c r="A31179" t="s">
        <v>4</v>
      </c>
      <c r="B31179" s="4" t="s">
        <v>5</v>
      </c>
      <c r="C31179" s="4" t="s">
        <v>7</v>
      </c>
      <c r="D31179" s="4" t="s">
        <v>7</v>
      </c>
      <c r="E31179" s="4" t="s">
        <v>13</v>
      </c>
      <c r="F31179" s="4" t="s">
        <v>11</v>
      </c>
    </row>
    <row r="31180" spans="1:8">
      <c r="A31180" t="n">
        <v>305295</v>
      </c>
      <c r="B31180" s="51" t="n">
        <v>45</v>
      </c>
      <c r="C31180" s="7" t="n">
        <v>11</v>
      </c>
      <c r="D31180" s="7" t="n">
        <v>3</v>
      </c>
      <c r="E31180" s="7" t="n">
        <v>40.2999992370605</v>
      </c>
      <c r="F31180" s="7" t="n">
        <v>0</v>
      </c>
    </row>
    <row r="31181" spans="1:8">
      <c r="A31181" t="s">
        <v>4</v>
      </c>
      <c r="B31181" s="4" t="s">
        <v>5</v>
      </c>
      <c r="C31181" s="4" t="s">
        <v>7</v>
      </c>
      <c r="D31181" s="4" t="s">
        <v>7</v>
      </c>
      <c r="E31181" s="4" t="s">
        <v>13</v>
      </c>
      <c r="F31181" s="4" t="s">
        <v>13</v>
      </c>
      <c r="G31181" s="4" t="s">
        <v>13</v>
      </c>
      <c r="H31181" s="4" t="s">
        <v>11</v>
      </c>
      <c r="I31181" s="4" t="s">
        <v>7</v>
      </c>
    </row>
    <row r="31182" spans="1:8">
      <c r="A31182" t="n">
        <v>305304</v>
      </c>
      <c r="B31182" s="51" t="n">
        <v>45</v>
      </c>
      <c r="C31182" s="7" t="n">
        <v>4</v>
      </c>
      <c r="D31182" s="7" t="n">
        <v>3</v>
      </c>
      <c r="E31182" s="7" t="n">
        <v>5.61999988555908</v>
      </c>
      <c r="F31182" s="7" t="n">
        <v>159.740005493164</v>
      </c>
      <c r="G31182" s="7" t="n">
        <v>354</v>
      </c>
      <c r="H31182" s="7" t="n">
        <v>20000</v>
      </c>
      <c r="I31182" s="7" t="n">
        <v>1</v>
      </c>
    </row>
    <row r="31183" spans="1:8">
      <c r="A31183" t="s">
        <v>4</v>
      </c>
      <c r="B31183" s="4" t="s">
        <v>5</v>
      </c>
      <c r="C31183" s="4" t="s">
        <v>7</v>
      </c>
      <c r="D31183" s="4" t="s">
        <v>7</v>
      </c>
      <c r="E31183" s="4" t="s">
        <v>13</v>
      </c>
      <c r="F31183" s="4" t="s">
        <v>11</v>
      </c>
    </row>
    <row r="31184" spans="1:8">
      <c r="A31184" t="n">
        <v>305322</v>
      </c>
      <c r="B31184" s="51" t="n">
        <v>45</v>
      </c>
      <c r="C31184" s="7" t="n">
        <v>5</v>
      </c>
      <c r="D31184" s="7" t="n">
        <v>3</v>
      </c>
      <c r="E31184" s="7" t="n">
        <v>0.800000011920929</v>
      </c>
      <c r="F31184" s="7" t="n">
        <v>0</v>
      </c>
    </row>
    <row r="31185" spans="1:9">
      <c r="A31185" t="s">
        <v>4</v>
      </c>
      <c r="B31185" s="4" t="s">
        <v>5</v>
      </c>
      <c r="C31185" s="4" t="s">
        <v>7</v>
      </c>
      <c r="D31185" s="4" t="s">
        <v>7</v>
      </c>
      <c r="E31185" s="4" t="s">
        <v>13</v>
      </c>
      <c r="F31185" s="4" t="s">
        <v>11</v>
      </c>
    </row>
    <row r="31186" spans="1:9">
      <c r="A31186" t="n">
        <v>305331</v>
      </c>
      <c r="B31186" s="51" t="n">
        <v>45</v>
      </c>
      <c r="C31186" s="7" t="n">
        <v>11</v>
      </c>
      <c r="D31186" s="7" t="n">
        <v>3</v>
      </c>
      <c r="E31186" s="7" t="n">
        <v>40.2999992370605</v>
      </c>
      <c r="F31186" s="7" t="n">
        <v>0</v>
      </c>
    </row>
    <row r="31187" spans="1:9">
      <c r="A31187" t="s">
        <v>4</v>
      </c>
      <c r="B31187" s="4" t="s">
        <v>5</v>
      </c>
      <c r="C31187" s="4" t="s">
        <v>11</v>
      </c>
      <c r="D31187" s="4" t="s">
        <v>15</v>
      </c>
    </row>
    <row r="31188" spans="1:9">
      <c r="A31188" t="n">
        <v>305340</v>
      </c>
      <c r="B31188" s="39" t="n">
        <v>43</v>
      </c>
      <c r="C31188" s="7" t="n">
        <v>0</v>
      </c>
      <c r="D31188" s="7" t="n">
        <v>1</v>
      </c>
    </row>
    <row r="31189" spans="1:9">
      <c r="A31189" t="s">
        <v>4</v>
      </c>
      <c r="B31189" s="4" t="s">
        <v>5</v>
      </c>
      <c r="C31189" s="4" t="s">
        <v>11</v>
      </c>
      <c r="D31189" s="4" t="s">
        <v>15</v>
      </c>
    </row>
    <row r="31190" spans="1:9">
      <c r="A31190" t="n">
        <v>305347</v>
      </c>
      <c r="B31190" s="63" t="n">
        <v>44</v>
      </c>
      <c r="C31190" s="7" t="n">
        <v>0</v>
      </c>
      <c r="D31190" s="7" t="n">
        <v>1</v>
      </c>
    </row>
    <row r="31191" spans="1:9">
      <c r="A31191" t="s">
        <v>4</v>
      </c>
      <c r="B31191" s="4" t="s">
        <v>5</v>
      </c>
      <c r="C31191" s="4" t="s">
        <v>7</v>
      </c>
      <c r="D31191" s="4" t="s">
        <v>11</v>
      </c>
    </row>
    <row r="31192" spans="1:9">
      <c r="A31192" t="n">
        <v>305354</v>
      </c>
      <c r="B31192" s="23" t="n">
        <v>58</v>
      </c>
      <c r="C31192" s="7" t="n">
        <v>255</v>
      </c>
      <c r="D31192" s="7" t="n">
        <v>0</v>
      </c>
    </row>
    <row r="31193" spans="1:9">
      <c r="A31193" t="s">
        <v>4</v>
      </c>
      <c r="B31193" s="4" t="s">
        <v>5</v>
      </c>
      <c r="C31193" s="4" t="s">
        <v>7</v>
      </c>
      <c r="D31193" s="4" t="s">
        <v>11</v>
      </c>
      <c r="E31193" s="4" t="s">
        <v>8</v>
      </c>
    </row>
    <row r="31194" spans="1:9">
      <c r="A31194" t="n">
        <v>305358</v>
      </c>
      <c r="B31194" s="38" t="n">
        <v>51</v>
      </c>
      <c r="C31194" s="7" t="n">
        <v>4</v>
      </c>
      <c r="D31194" s="7" t="n">
        <v>11</v>
      </c>
      <c r="E31194" s="7" t="s">
        <v>293</v>
      </c>
    </row>
    <row r="31195" spans="1:9">
      <c r="A31195" t="s">
        <v>4</v>
      </c>
      <c r="B31195" s="4" t="s">
        <v>5</v>
      </c>
      <c r="C31195" s="4" t="s">
        <v>11</v>
      </c>
    </row>
    <row r="31196" spans="1:9">
      <c r="A31196" t="n">
        <v>305377</v>
      </c>
      <c r="B31196" s="29" t="n">
        <v>16</v>
      </c>
      <c r="C31196" s="7" t="n">
        <v>0</v>
      </c>
    </row>
    <row r="31197" spans="1:9">
      <c r="A31197" t="s">
        <v>4</v>
      </c>
      <c r="B31197" s="4" t="s">
        <v>5</v>
      </c>
      <c r="C31197" s="4" t="s">
        <v>11</v>
      </c>
      <c r="D31197" s="4" t="s">
        <v>7</v>
      </c>
      <c r="E31197" s="4" t="s">
        <v>15</v>
      </c>
      <c r="F31197" s="4" t="s">
        <v>55</v>
      </c>
      <c r="G31197" s="4" t="s">
        <v>7</v>
      </c>
      <c r="H31197" s="4" t="s">
        <v>7</v>
      </c>
      <c r="I31197" s="4" t="s">
        <v>7</v>
      </c>
      <c r="J31197" s="4" t="s">
        <v>15</v>
      </c>
      <c r="K31197" s="4" t="s">
        <v>55</v>
      </c>
      <c r="L31197" s="4" t="s">
        <v>7</v>
      </c>
      <c r="M31197" s="4" t="s">
        <v>7</v>
      </c>
      <c r="N31197" s="4" t="s">
        <v>7</v>
      </c>
      <c r="O31197" s="4" t="s">
        <v>15</v>
      </c>
      <c r="P31197" s="4" t="s">
        <v>55</v>
      </c>
      <c r="Q31197" s="4" t="s">
        <v>7</v>
      </c>
      <c r="R31197" s="4" t="s">
        <v>7</v>
      </c>
    </row>
    <row r="31198" spans="1:9">
      <c r="A31198" t="n">
        <v>305380</v>
      </c>
      <c r="B31198" s="55" t="n">
        <v>26</v>
      </c>
      <c r="C31198" s="7" t="n">
        <v>11</v>
      </c>
      <c r="D31198" s="7" t="n">
        <v>17</v>
      </c>
      <c r="E31198" s="7" t="n">
        <v>10824</v>
      </c>
      <c r="F31198" s="7" t="s">
        <v>780</v>
      </c>
      <c r="G31198" s="7" t="n">
        <v>2</v>
      </c>
      <c r="H31198" s="7" t="n">
        <v>3</v>
      </c>
      <c r="I31198" s="7" t="n">
        <v>17</v>
      </c>
      <c r="J31198" s="7" t="n">
        <v>10825</v>
      </c>
      <c r="K31198" s="7" t="s">
        <v>781</v>
      </c>
      <c r="L31198" s="7" t="n">
        <v>2</v>
      </c>
      <c r="M31198" s="7" t="n">
        <v>3</v>
      </c>
      <c r="N31198" s="7" t="n">
        <v>17</v>
      </c>
      <c r="O31198" s="7" t="n">
        <v>10826</v>
      </c>
      <c r="P31198" s="7" t="s">
        <v>782</v>
      </c>
      <c r="Q31198" s="7" t="n">
        <v>2</v>
      </c>
      <c r="R31198" s="7" t="n">
        <v>0</v>
      </c>
    </row>
    <row r="31199" spans="1:9">
      <c r="A31199" t="s">
        <v>4</v>
      </c>
      <c r="B31199" s="4" t="s">
        <v>5</v>
      </c>
    </row>
    <row r="31200" spans="1:9">
      <c r="A31200" t="n">
        <v>305661</v>
      </c>
      <c r="B31200" s="27" t="n">
        <v>28</v>
      </c>
    </row>
    <row r="31201" spans="1:18">
      <c r="A31201" t="s">
        <v>4</v>
      </c>
      <c r="B31201" s="4" t="s">
        <v>5</v>
      </c>
      <c r="C31201" s="4" t="s">
        <v>7</v>
      </c>
      <c r="D31201" s="4" t="s">
        <v>11</v>
      </c>
      <c r="E31201" s="4" t="s">
        <v>8</v>
      </c>
    </row>
    <row r="31202" spans="1:18">
      <c r="A31202" t="n">
        <v>305662</v>
      </c>
      <c r="B31202" s="38" t="n">
        <v>51</v>
      </c>
      <c r="C31202" s="7" t="n">
        <v>4</v>
      </c>
      <c r="D31202" s="7" t="n">
        <v>0</v>
      </c>
      <c r="E31202" s="7" t="s">
        <v>783</v>
      </c>
    </row>
    <row r="31203" spans="1:18">
      <c r="A31203" t="s">
        <v>4</v>
      </c>
      <c r="B31203" s="4" t="s">
        <v>5</v>
      </c>
      <c r="C31203" s="4" t="s">
        <v>11</v>
      </c>
    </row>
    <row r="31204" spans="1:18">
      <c r="A31204" t="n">
        <v>305680</v>
      </c>
      <c r="B31204" s="29" t="n">
        <v>16</v>
      </c>
      <c r="C31204" s="7" t="n">
        <v>0</v>
      </c>
    </row>
    <row r="31205" spans="1:18">
      <c r="A31205" t="s">
        <v>4</v>
      </c>
      <c r="B31205" s="4" t="s">
        <v>5</v>
      </c>
      <c r="C31205" s="4" t="s">
        <v>11</v>
      </c>
      <c r="D31205" s="4" t="s">
        <v>7</v>
      </c>
      <c r="E31205" s="4" t="s">
        <v>15</v>
      </c>
      <c r="F31205" s="4" t="s">
        <v>55</v>
      </c>
      <c r="G31205" s="4" t="s">
        <v>7</v>
      </c>
      <c r="H31205" s="4" t="s">
        <v>7</v>
      </c>
    </row>
    <row r="31206" spans="1:18">
      <c r="A31206" t="n">
        <v>305683</v>
      </c>
      <c r="B31206" s="55" t="n">
        <v>26</v>
      </c>
      <c r="C31206" s="7" t="n">
        <v>0</v>
      </c>
      <c r="D31206" s="7" t="n">
        <v>17</v>
      </c>
      <c r="E31206" s="7" t="n">
        <v>64025</v>
      </c>
      <c r="F31206" s="7" t="s">
        <v>784</v>
      </c>
      <c r="G31206" s="7" t="n">
        <v>2</v>
      </c>
      <c r="H31206" s="7" t="n">
        <v>0</v>
      </c>
    </row>
    <row r="31207" spans="1:18">
      <c r="A31207" t="s">
        <v>4</v>
      </c>
      <c r="B31207" s="4" t="s">
        <v>5</v>
      </c>
    </row>
    <row r="31208" spans="1:18">
      <c r="A31208" t="n">
        <v>305703</v>
      </c>
      <c r="B31208" s="27" t="n">
        <v>28</v>
      </c>
    </row>
    <row r="31209" spans="1:18">
      <c r="A31209" t="s">
        <v>4</v>
      </c>
      <c r="B31209" s="4" t="s">
        <v>5</v>
      </c>
      <c r="C31209" s="4" t="s">
        <v>11</v>
      </c>
    </row>
    <row r="31210" spans="1:18">
      <c r="A31210" t="n">
        <v>305704</v>
      </c>
      <c r="B31210" s="29" t="n">
        <v>16</v>
      </c>
      <c r="C31210" s="7" t="n">
        <v>1000</v>
      </c>
    </row>
    <row r="31211" spans="1:18">
      <c r="A31211" t="s">
        <v>4</v>
      </c>
      <c r="B31211" s="4" t="s">
        <v>5</v>
      </c>
      <c r="C31211" s="4" t="s">
        <v>7</v>
      </c>
      <c r="D31211" s="4" t="s">
        <v>13</v>
      </c>
      <c r="E31211" s="4" t="s">
        <v>11</v>
      </c>
      <c r="F31211" s="4" t="s">
        <v>7</v>
      </c>
    </row>
    <row r="31212" spans="1:18">
      <c r="A31212" t="n">
        <v>305707</v>
      </c>
      <c r="B31212" s="13" t="n">
        <v>49</v>
      </c>
      <c r="C31212" s="7" t="n">
        <v>3</v>
      </c>
      <c r="D31212" s="7" t="n">
        <v>1</v>
      </c>
      <c r="E31212" s="7" t="n">
        <v>1000</v>
      </c>
      <c r="F31212" s="7" t="n">
        <v>0</v>
      </c>
    </row>
    <row r="31213" spans="1:18">
      <c r="A31213" t="s">
        <v>4</v>
      </c>
      <c r="B31213" s="4" t="s">
        <v>5</v>
      </c>
      <c r="C31213" s="4" t="s">
        <v>7</v>
      </c>
      <c r="D31213" s="4" t="s">
        <v>11</v>
      </c>
      <c r="E31213" s="4" t="s">
        <v>13</v>
      </c>
    </row>
    <row r="31214" spans="1:18">
      <c r="A31214" t="n">
        <v>305716</v>
      </c>
      <c r="B31214" s="23" t="n">
        <v>58</v>
      </c>
      <c r="C31214" s="7" t="n">
        <v>101</v>
      </c>
      <c r="D31214" s="7" t="n">
        <v>1000</v>
      </c>
      <c r="E31214" s="7" t="n">
        <v>1</v>
      </c>
    </row>
    <row r="31215" spans="1:18">
      <c r="A31215" t="s">
        <v>4</v>
      </c>
      <c r="B31215" s="4" t="s">
        <v>5</v>
      </c>
      <c r="C31215" s="4" t="s">
        <v>7</v>
      </c>
      <c r="D31215" s="4" t="s">
        <v>11</v>
      </c>
    </row>
    <row r="31216" spans="1:18">
      <c r="A31216" t="n">
        <v>305724</v>
      </c>
      <c r="B31216" s="23" t="n">
        <v>58</v>
      </c>
      <c r="C31216" s="7" t="n">
        <v>254</v>
      </c>
      <c r="D31216" s="7" t="n">
        <v>0</v>
      </c>
    </row>
    <row r="31217" spans="1:8">
      <c r="A31217" t="s">
        <v>4</v>
      </c>
      <c r="B31217" s="4" t="s">
        <v>5</v>
      </c>
      <c r="C31217" s="4" t="s">
        <v>7</v>
      </c>
      <c r="D31217" s="4" t="s">
        <v>11</v>
      </c>
      <c r="E31217" s="4" t="s">
        <v>8</v>
      </c>
      <c r="F31217" s="4" t="s">
        <v>8</v>
      </c>
      <c r="G31217" s="4" t="s">
        <v>8</v>
      </c>
      <c r="H31217" s="4" t="s">
        <v>8</v>
      </c>
    </row>
    <row r="31218" spans="1:8">
      <c r="A31218" t="n">
        <v>305728</v>
      </c>
      <c r="B31218" s="38" t="n">
        <v>51</v>
      </c>
      <c r="C31218" s="7" t="n">
        <v>3</v>
      </c>
      <c r="D31218" s="7" t="n">
        <v>11</v>
      </c>
      <c r="E31218" s="7" t="s">
        <v>98</v>
      </c>
      <c r="F31218" s="7" t="s">
        <v>79</v>
      </c>
      <c r="G31218" s="7" t="s">
        <v>16</v>
      </c>
      <c r="H31218" s="7" t="s">
        <v>68</v>
      </c>
    </row>
    <row r="31219" spans="1:8">
      <c r="A31219" t="s">
        <v>4</v>
      </c>
      <c r="B31219" s="4" t="s">
        <v>5</v>
      </c>
      <c r="C31219" s="4" t="s">
        <v>11</v>
      </c>
      <c r="D31219" s="4" t="s">
        <v>7</v>
      </c>
      <c r="E31219" s="4" t="s">
        <v>8</v>
      </c>
      <c r="F31219" s="4" t="s">
        <v>13</v>
      </c>
      <c r="G31219" s="4" t="s">
        <v>13</v>
      </c>
      <c r="H31219" s="4" t="s">
        <v>13</v>
      </c>
    </row>
    <row r="31220" spans="1:8">
      <c r="A31220" t="n">
        <v>305739</v>
      </c>
      <c r="B31220" s="42" t="n">
        <v>48</v>
      </c>
      <c r="C31220" s="7" t="n">
        <v>0</v>
      </c>
      <c r="D31220" s="7" t="n">
        <v>0</v>
      </c>
      <c r="E31220" s="7" t="s">
        <v>583</v>
      </c>
      <c r="F31220" s="7" t="n">
        <v>0</v>
      </c>
      <c r="G31220" s="7" t="n">
        <v>1</v>
      </c>
      <c r="H31220" s="7" t="n">
        <v>0</v>
      </c>
    </row>
    <row r="31221" spans="1:8">
      <c r="A31221" t="s">
        <v>4</v>
      </c>
      <c r="B31221" s="4" t="s">
        <v>5</v>
      </c>
      <c r="C31221" s="4" t="s">
        <v>11</v>
      </c>
      <c r="D31221" s="4" t="s">
        <v>11</v>
      </c>
      <c r="E31221" s="4" t="s">
        <v>11</v>
      </c>
    </row>
    <row r="31222" spans="1:8">
      <c r="A31222" t="n">
        <v>305765</v>
      </c>
      <c r="B31222" s="72" t="n">
        <v>61</v>
      </c>
      <c r="C31222" s="7" t="n">
        <v>0</v>
      </c>
      <c r="D31222" s="7" t="n">
        <v>11</v>
      </c>
      <c r="E31222" s="7" t="n">
        <v>0</v>
      </c>
    </row>
    <row r="31223" spans="1:8">
      <c r="A31223" t="s">
        <v>4</v>
      </c>
      <c r="B31223" s="4" t="s">
        <v>5</v>
      </c>
      <c r="C31223" s="4" t="s">
        <v>7</v>
      </c>
    </row>
    <row r="31224" spans="1:8">
      <c r="A31224" t="n">
        <v>305772</v>
      </c>
      <c r="B31224" s="49" t="n">
        <v>116</v>
      </c>
      <c r="C31224" s="7" t="n">
        <v>0</v>
      </c>
    </row>
    <row r="31225" spans="1:8">
      <c r="A31225" t="s">
        <v>4</v>
      </c>
      <c r="B31225" s="4" t="s">
        <v>5</v>
      </c>
      <c r="C31225" s="4" t="s">
        <v>7</v>
      </c>
      <c r="D31225" s="4" t="s">
        <v>11</v>
      </c>
    </row>
    <row r="31226" spans="1:8">
      <c r="A31226" t="n">
        <v>305774</v>
      </c>
      <c r="B31226" s="49" t="n">
        <v>116</v>
      </c>
      <c r="C31226" s="7" t="n">
        <v>2</v>
      </c>
      <c r="D31226" s="7" t="n">
        <v>1</v>
      </c>
    </row>
    <row r="31227" spans="1:8">
      <c r="A31227" t="s">
        <v>4</v>
      </c>
      <c r="B31227" s="4" t="s">
        <v>5</v>
      </c>
      <c r="C31227" s="4" t="s">
        <v>7</v>
      </c>
      <c r="D31227" s="4" t="s">
        <v>15</v>
      </c>
    </row>
    <row r="31228" spans="1:8">
      <c r="A31228" t="n">
        <v>305778</v>
      </c>
      <c r="B31228" s="49" t="n">
        <v>116</v>
      </c>
      <c r="C31228" s="7" t="n">
        <v>5</v>
      </c>
      <c r="D31228" s="7" t="n">
        <v>1092616192</v>
      </c>
    </row>
    <row r="31229" spans="1:8">
      <c r="A31229" t="s">
        <v>4</v>
      </c>
      <c r="B31229" s="4" t="s">
        <v>5</v>
      </c>
      <c r="C31229" s="4" t="s">
        <v>7</v>
      </c>
      <c r="D31229" s="4" t="s">
        <v>11</v>
      </c>
    </row>
    <row r="31230" spans="1:8">
      <c r="A31230" t="n">
        <v>305784</v>
      </c>
      <c r="B31230" s="49" t="n">
        <v>116</v>
      </c>
      <c r="C31230" s="7" t="n">
        <v>6</v>
      </c>
      <c r="D31230" s="7" t="n">
        <v>1</v>
      </c>
    </row>
    <row r="31231" spans="1:8">
      <c r="A31231" t="s">
        <v>4</v>
      </c>
      <c r="B31231" s="4" t="s">
        <v>5</v>
      </c>
      <c r="C31231" s="4" t="s">
        <v>7</v>
      </c>
      <c r="D31231" s="4" t="s">
        <v>7</v>
      </c>
      <c r="E31231" s="4" t="s">
        <v>13</v>
      </c>
      <c r="F31231" s="4" t="s">
        <v>13</v>
      </c>
      <c r="G31231" s="4" t="s">
        <v>13</v>
      </c>
      <c r="H31231" s="4" t="s">
        <v>11</v>
      </c>
    </row>
    <row r="31232" spans="1:8">
      <c r="A31232" t="n">
        <v>305788</v>
      </c>
      <c r="B31232" s="51" t="n">
        <v>45</v>
      </c>
      <c r="C31232" s="7" t="n">
        <v>2</v>
      </c>
      <c r="D31232" s="7" t="n">
        <v>3</v>
      </c>
      <c r="E31232" s="7" t="n">
        <v>-6.67000007629395</v>
      </c>
      <c r="F31232" s="7" t="n">
        <v>6.42000007629395</v>
      </c>
      <c r="G31232" s="7" t="n">
        <v>29.8899993896484</v>
      </c>
      <c r="H31232" s="7" t="n">
        <v>0</v>
      </c>
    </row>
    <row r="31233" spans="1:8">
      <c r="A31233" t="s">
        <v>4</v>
      </c>
      <c r="B31233" s="4" t="s">
        <v>5</v>
      </c>
      <c r="C31233" s="4" t="s">
        <v>7</v>
      </c>
      <c r="D31233" s="4" t="s">
        <v>7</v>
      </c>
      <c r="E31233" s="4" t="s">
        <v>13</v>
      </c>
      <c r="F31233" s="4" t="s">
        <v>13</v>
      </c>
      <c r="G31233" s="4" t="s">
        <v>13</v>
      </c>
      <c r="H31233" s="4" t="s">
        <v>11</v>
      </c>
      <c r="I31233" s="4" t="s">
        <v>7</v>
      </c>
    </row>
    <row r="31234" spans="1:8">
      <c r="A31234" t="n">
        <v>305805</v>
      </c>
      <c r="B31234" s="51" t="n">
        <v>45</v>
      </c>
      <c r="C31234" s="7" t="n">
        <v>4</v>
      </c>
      <c r="D31234" s="7" t="n">
        <v>3</v>
      </c>
      <c r="E31234" s="7" t="n">
        <v>15.4700002670288</v>
      </c>
      <c r="F31234" s="7" t="n">
        <v>56.1100006103516</v>
      </c>
      <c r="G31234" s="7" t="n">
        <v>354</v>
      </c>
      <c r="H31234" s="7" t="n">
        <v>0</v>
      </c>
      <c r="I31234" s="7" t="n">
        <v>0</v>
      </c>
    </row>
    <row r="31235" spans="1:8">
      <c r="A31235" t="s">
        <v>4</v>
      </c>
      <c r="B31235" s="4" t="s">
        <v>5</v>
      </c>
      <c r="C31235" s="4" t="s">
        <v>7</v>
      </c>
      <c r="D31235" s="4" t="s">
        <v>7</v>
      </c>
      <c r="E31235" s="4" t="s">
        <v>13</v>
      </c>
      <c r="F31235" s="4" t="s">
        <v>11</v>
      </c>
    </row>
    <row r="31236" spans="1:8">
      <c r="A31236" t="n">
        <v>305823</v>
      </c>
      <c r="B31236" s="51" t="n">
        <v>45</v>
      </c>
      <c r="C31236" s="7" t="n">
        <v>5</v>
      </c>
      <c r="D31236" s="7" t="n">
        <v>3</v>
      </c>
      <c r="E31236" s="7" t="n">
        <v>1.5</v>
      </c>
      <c r="F31236" s="7" t="n">
        <v>0</v>
      </c>
    </row>
    <row r="31237" spans="1:8">
      <c r="A31237" t="s">
        <v>4</v>
      </c>
      <c r="B31237" s="4" t="s">
        <v>5</v>
      </c>
      <c r="C31237" s="4" t="s">
        <v>7</v>
      </c>
      <c r="D31237" s="4" t="s">
        <v>7</v>
      </c>
      <c r="E31237" s="4" t="s">
        <v>13</v>
      </c>
      <c r="F31237" s="4" t="s">
        <v>11</v>
      </c>
    </row>
    <row r="31238" spans="1:8">
      <c r="A31238" t="n">
        <v>305832</v>
      </c>
      <c r="B31238" s="51" t="n">
        <v>45</v>
      </c>
      <c r="C31238" s="7" t="n">
        <v>11</v>
      </c>
      <c r="D31238" s="7" t="n">
        <v>3</v>
      </c>
      <c r="E31238" s="7" t="n">
        <v>40.2999992370605</v>
      </c>
      <c r="F31238" s="7" t="n">
        <v>0</v>
      </c>
    </row>
    <row r="31239" spans="1:8">
      <c r="A31239" t="s">
        <v>4</v>
      </c>
      <c r="B31239" s="4" t="s">
        <v>5</v>
      </c>
      <c r="C31239" s="4" t="s">
        <v>7</v>
      </c>
      <c r="D31239" s="4" t="s">
        <v>7</v>
      </c>
      <c r="E31239" s="4" t="s">
        <v>13</v>
      </c>
      <c r="F31239" s="4" t="s">
        <v>13</v>
      </c>
      <c r="G31239" s="4" t="s">
        <v>13</v>
      </c>
      <c r="H31239" s="4" t="s">
        <v>11</v>
      </c>
    </row>
    <row r="31240" spans="1:8">
      <c r="A31240" t="n">
        <v>305841</v>
      </c>
      <c r="B31240" s="51" t="n">
        <v>45</v>
      </c>
      <c r="C31240" s="7" t="n">
        <v>2</v>
      </c>
      <c r="D31240" s="7" t="n">
        <v>3</v>
      </c>
      <c r="E31240" s="7" t="n">
        <v>-6.34000015258789</v>
      </c>
      <c r="F31240" s="7" t="n">
        <v>6.59000015258789</v>
      </c>
      <c r="G31240" s="7" t="n">
        <v>28.8899993896484</v>
      </c>
      <c r="H31240" s="7" t="n">
        <v>6000</v>
      </c>
    </row>
    <row r="31241" spans="1:8">
      <c r="A31241" t="s">
        <v>4</v>
      </c>
      <c r="B31241" s="4" t="s">
        <v>5</v>
      </c>
      <c r="C31241" s="4" t="s">
        <v>7</v>
      </c>
      <c r="D31241" s="4" t="s">
        <v>7</v>
      </c>
      <c r="E31241" s="4" t="s">
        <v>13</v>
      </c>
      <c r="F31241" s="4" t="s">
        <v>13</v>
      </c>
      <c r="G31241" s="4" t="s">
        <v>13</v>
      </c>
      <c r="H31241" s="4" t="s">
        <v>11</v>
      </c>
      <c r="I31241" s="4" t="s">
        <v>7</v>
      </c>
    </row>
    <row r="31242" spans="1:8">
      <c r="A31242" t="n">
        <v>305858</v>
      </c>
      <c r="B31242" s="51" t="n">
        <v>45</v>
      </c>
      <c r="C31242" s="7" t="n">
        <v>4</v>
      </c>
      <c r="D31242" s="7" t="n">
        <v>3</v>
      </c>
      <c r="E31242" s="7" t="n">
        <v>10.7700004577637</v>
      </c>
      <c r="F31242" s="7" t="n">
        <v>43.6100006103516</v>
      </c>
      <c r="G31242" s="7" t="n">
        <v>360</v>
      </c>
      <c r="H31242" s="7" t="n">
        <v>6000</v>
      </c>
      <c r="I31242" s="7" t="n">
        <v>1</v>
      </c>
    </row>
    <row r="31243" spans="1:8">
      <c r="A31243" t="s">
        <v>4</v>
      </c>
      <c r="B31243" s="4" t="s">
        <v>5</v>
      </c>
      <c r="C31243" s="4" t="s">
        <v>7</v>
      </c>
      <c r="D31243" s="4" t="s">
        <v>11</v>
      </c>
    </row>
    <row r="31244" spans="1:8">
      <c r="A31244" t="n">
        <v>305876</v>
      </c>
      <c r="B31244" s="23" t="n">
        <v>58</v>
      </c>
      <c r="C31244" s="7" t="n">
        <v>255</v>
      </c>
      <c r="D31244" s="7" t="n">
        <v>0</v>
      </c>
    </row>
    <row r="31245" spans="1:8">
      <c r="A31245" t="s">
        <v>4</v>
      </c>
      <c r="B31245" s="4" t="s">
        <v>5</v>
      </c>
      <c r="C31245" s="4" t="s">
        <v>7</v>
      </c>
      <c r="D31245" s="4" t="s">
        <v>11</v>
      </c>
    </row>
    <row r="31246" spans="1:8">
      <c r="A31246" t="n">
        <v>305880</v>
      </c>
      <c r="B31246" s="51" t="n">
        <v>45</v>
      </c>
      <c r="C31246" s="7" t="n">
        <v>7</v>
      </c>
      <c r="D31246" s="7" t="n">
        <v>255</v>
      </c>
    </row>
    <row r="31247" spans="1:8">
      <c r="A31247" t="s">
        <v>4</v>
      </c>
      <c r="B31247" s="4" t="s">
        <v>5</v>
      </c>
      <c r="C31247" s="4" t="s">
        <v>7</v>
      </c>
      <c r="D31247" s="4" t="s">
        <v>11</v>
      </c>
      <c r="E31247" s="4" t="s">
        <v>13</v>
      </c>
    </row>
    <row r="31248" spans="1:8">
      <c r="A31248" t="n">
        <v>305884</v>
      </c>
      <c r="B31248" s="23" t="n">
        <v>58</v>
      </c>
      <c r="C31248" s="7" t="n">
        <v>0</v>
      </c>
      <c r="D31248" s="7" t="n">
        <v>2000</v>
      </c>
      <c r="E31248" s="7" t="n">
        <v>1</v>
      </c>
    </row>
    <row r="31249" spans="1:9">
      <c r="A31249" t="s">
        <v>4</v>
      </c>
      <c r="B31249" s="4" t="s">
        <v>5</v>
      </c>
      <c r="C31249" s="4" t="s">
        <v>7</v>
      </c>
      <c r="D31249" s="4" t="s">
        <v>11</v>
      </c>
    </row>
    <row r="31250" spans="1:9">
      <c r="A31250" t="n">
        <v>305892</v>
      </c>
      <c r="B31250" s="23" t="n">
        <v>58</v>
      </c>
      <c r="C31250" s="7" t="n">
        <v>255</v>
      </c>
      <c r="D31250" s="7" t="n">
        <v>0</v>
      </c>
    </row>
    <row r="31251" spans="1:9">
      <c r="A31251" t="s">
        <v>4</v>
      </c>
      <c r="B31251" s="4" t="s">
        <v>5</v>
      </c>
      <c r="C31251" s="4" t="s">
        <v>7</v>
      </c>
      <c r="D31251" s="4" t="s">
        <v>11</v>
      </c>
      <c r="E31251" s="4" t="s">
        <v>11</v>
      </c>
      <c r="F31251" s="4" t="s">
        <v>15</v>
      </c>
    </row>
    <row r="31252" spans="1:9">
      <c r="A31252" t="n">
        <v>305896</v>
      </c>
      <c r="B31252" s="76" t="n">
        <v>84</v>
      </c>
      <c r="C31252" s="7" t="n">
        <v>1</v>
      </c>
      <c r="D31252" s="7" t="n">
        <v>0</v>
      </c>
      <c r="E31252" s="7" t="n">
        <v>0</v>
      </c>
      <c r="F31252" s="7" t="n">
        <v>0</v>
      </c>
    </row>
    <row r="31253" spans="1:9">
      <c r="A31253" t="s">
        <v>4</v>
      </c>
      <c r="B31253" s="4" t="s">
        <v>5</v>
      </c>
      <c r="C31253" s="4" t="s">
        <v>7</v>
      </c>
    </row>
    <row r="31254" spans="1:9">
      <c r="A31254" t="n">
        <v>305906</v>
      </c>
      <c r="B31254" s="28" t="n">
        <v>78</v>
      </c>
      <c r="C31254" s="7" t="n">
        <v>255</v>
      </c>
    </row>
    <row r="31255" spans="1:9">
      <c r="A31255" t="s">
        <v>4</v>
      </c>
      <c r="B31255" s="4" t="s">
        <v>5</v>
      </c>
      <c r="C31255" s="4" t="s">
        <v>7</v>
      </c>
      <c r="D31255" s="4" t="s">
        <v>11</v>
      </c>
      <c r="E31255" s="4" t="s">
        <v>7</v>
      </c>
    </row>
    <row r="31256" spans="1:9">
      <c r="A31256" t="n">
        <v>305908</v>
      </c>
      <c r="B31256" s="40" t="n">
        <v>36</v>
      </c>
      <c r="C31256" s="7" t="n">
        <v>9</v>
      </c>
      <c r="D31256" s="7" t="n">
        <v>0</v>
      </c>
      <c r="E31256" s="7" t="n">
        <v>0</v>
      </c>
    </row>
    <row r="31257" spans="1:9">
      <c r="A31257" t="s">
        <v>4</v>
      </c>
      <c r="B31257" s="4" t="s">
        <v>5</v>
      </c>
      <c r="C31257" s="4" t="s">
        <v>7</v>
      </c>
      <c r="D31257" s="4" t="s">
        <v>11</v>
      </c>
      <c r="E31257" s="4" t="s">
        <v>7</v>
      </c>
    </row>
    <row r="31258" spans="1:9">
      <c r="A31258" t="n">
        <v>305913</v>
      </c>
      <c r="B31258" s="40" t="n">
        <v>36</v>
      </c>
      <c r="C31258" s="7" t="n">
        <v>9</v>
      </c>
      <c r="D31258" s="7" t="n">
        <v>11</v>
      </c>
      <c r="E31258" s="7" t="n">
        <v>0</v>
      </c>
    </row>
    <row r="31259" spans="1:9">
      <c r="A31259" t="s">
        <v>4</v>
      </c>
      <c r="B31259" s="4" t="s">
        <v>5</v>
      </c>
      <c r="C31259" s="4" t="s">
        <v>7</v>
      </c>
      <c r="D31259" s="4" t="s">
        <v>11</v>
      </c>
      <c r="E31259" s="4" t="s">
        <v>11</v>
      </c>
      <c r="F31259" s="4" t="s">
        <v>15</v>
      </c>
      <c r="G31259" s="4" t="s">
        <v>15</v>
      </c>
      <c r="H31259" s="4" t="s">
        <v>15</v>
      </c>
    </row>
    <row r="31260" spans="1:9">
      <c r="A31260" t="n">
        <v>305918</v>
      </c>
      <c r="B31260" s="77" t="n">
        <v>97</v>
      </c>
      <c r="C31260" s="7" t="n">
        <v>7</v>
      </c>
      <c r="D31260" s="7" t="n">
        <v>0</v>
      </c>
      <c r="E31260" s="7" t="n">
        <v>0</v>
      </c>
      <c r="F31260" s="7" t="n">
        <v>0</v>
      </c>
      <c r="G31260" s="7" t="n">
        <v>0</v>
      </c>
      <c r="H31260" s="7" t="n">
        <v>0</v>
      </c>
    </row>
    <row r="31261" spans="1:9">
      <c r="A31261" t="s">
        <v>4</v>
      </c>
      <c r="B31261" s="4" t="s">
        <v>5</v>
      </c>
      <c r="C31261" s="4" t="s">
        <v>11</v>
      </c>
      <c r="D31261" s="4" t="s">
        <v>13</v>
      </c>
      <c r="E31261" s="4" t="s">
        <v>13</v>
      </c>
      <c r="F31261" s="4" t="s">
        <v>13</v>
      </c>
      <c r="G31261" s="4" t="s">
        <v>13</v>
      </c>
    </row>
    <row r="31262" spans="1:9">
      <c r="A31262" t="n">
        <v>305936</v>
      </c>
      <c r="B31262" s="36" t="n">
        <v>46</v>
      </c>
      <c r="C31262" s="7" t="n">
        <v>61456</v>
      </c>
      <c r="D31262" s="7" t="n">
        <v>0</v>
      </c>
      <c r="E31262" s="7" t="n">
        <v>0</v>
      </c>
      <c r="F31262" s="7" t="n">
        <v>0</v>
      </c>
      <c r="G31262" s="7" t="n">
        <v>0</v>
      </c>
    </row>
    <row r="31263" spans="1:9">
      <c r="A31263" t="s">
        <v>4</v>
      </c>
      <c r="B31263" s="4" t="s">
        <v>5</v>
      </c>
      <c r="C31263" s="4" t="s">
        <v>7</v>
      </c>
      <c r="D31263" s="4" t="s">
        <v>8</v>
      </c>
    </row>
    <row r="31264" spans="1:9">
      <c r="A31264" t="n">
        <v>305955</v>
      </c>
      <c r="B31264" s="6" t="n">
        <v>2</v>
      </c>
      <c r="C31264" s="7" t="n">
        <v>10</v>
      </c>
      <c r="D31264" s="7" t="s">
        <v>1834</v>
      </c>
    </row>
    <row r="31265" spans="1:8">
      <c r="A31265" t="s">
        <v>4</v>
      </c>
      <c r="B31265" s="4" t="s">
        <v>5</v>
      </c>
    </row>
    <row r="31266" spans="1:8">
      <c r="A31266" t="n">
        <v>305976</v>
      </c>
      <c r="B31266" s="5" t="n">
        <v>1</v>
      </c>
    </row>
    <row r="31267" spans="1:8" s="3" customFormat="1" customHeight="0">
      <c r="A31267" s="3" t="s">
        <v>2</v>
      </c>
      <c r="B31267" s="3" t="s">
        <v>1845</v>
      </c>
    </row>
    <row r="31268" spans="1:8">
      <c r="A31268" t="s">
        <v>4</v>
      </c>
      <c r="B31268" s="4" t="s">
        <v>5</v>
      </c>
      <c r="C31268" s="4" t="s">
        <v>7</v>
      </c>
      <c r="D31268" s="4" t="s">
        <v>7</v>
      </c>
      <c r="E31268" s="4" t="s">
        <v>7</v>
      </c>
      <c r="F31268" s="4" t="s">
        <v>7</v>
      </c>
    </row>
    <row r="31269" spans="1:8">
      <c r="A31269" t="n">
        <v>305980</v>
      </c>
      <c r="B31269" s="9" t="n">
        <v>14</v>
      </c>
      <c r="C31269" s="7" t="n">
        <v>2</v>
      </c>
      <c r="D31269" s="7" t="n">
        <v>0</v>
      </c>
      <c r="E31269" s="7" t="n">
        <v>0</v>
      </c>
      <c r="F31269" s="7" t="n">
        <v>0</v>
      </c>
    </row>
    <row r="31270" spans="1:8">
      <c r="A31270" t="s">
        <v>4</v>
      </c>
      <c r="B31270" s="4" t="s">
        <v>5</v>
      </c>
      <c r="C31270" s="4" t="s">
        <v>7</v>
      </c>
      <c r="D31270" s="20" t="s">
        <v>35</v>
      </c>
      <c r="E31270" s="4" t="s">
        <v>5</v>
      </c>
      <c r="F31270" s="4" t="s">
        <v>7</v>
      </c>
      <c r="G31270" s="4" t="s">
        <v>11</v>
      </c>
      <c r="H31270" s="20" t="s">
        <v>36</v>
      </c>
      <c r="I31270" s="4" t="s">
        <v>7</v>
      </c>
      <c r="J31270" s="4" t="s">
        <v>15</v>
      </c>
      <c r="K31270" s="4" t="s">
        <v>7</v>
      </c>
      <c r="L31270" s="4" t="s">
        <v>7</v>
      </c>
      <c r="M31270" s="20" t="s">
        <v>35</v>
      </c>
      <c r="N31270" s="4" t="s">
        <v>5</v>
      </c>
      <c r="O31270" s="4" t="s">
        <v>7</v>
      </c>
      <c r="P31270" s="4" t="s">
        <v>11</v>
      </c>
      <c r="Q31270" s="20" t="s">
        <v>36</v>
      </c>
      <c r="R31270" s="4" t="s">
        <v>7</v>
      </c>
      <c r="S31270" s="4" t="s">
        <v>15</v>
      </c>
      <c r="T31270" s="4" t="s">
        <v>7</v>
      </c>
      <c r="U31270" s="4" t="s">
        <v>7</v>
      </c>
      <c r="V31270" s="4" t="s">
        <v>7</v>
      </c>
      <c r="W31270" s="4" t="s">
        <v>12</v>
      </c>
    </row>
    <row r="31271" spans="1:8">
      <c r="A31271" t="n">
        <v>305985</v>
      </c>
      <c r="B31271" s="10" t="n">
        <v>5</v>
      </c>
      <c r="C31271" s="7" t="n">
        <v>28</v>
      </c>
      <c r="D31271" s="20" t="s">
        <v>3</v>
      </c>
      <c r="E31271" s="8" t="n">
        <v>162</v>
      </c>
      <c r="F31271" s="7" t="n">
        <v>3</v>
      </c>
      <c r="G31271" s="7" t="n">
        <v>36894</v>
      </c>
      <c r="H31271" s="20" t="s">
        <v>3</v>
      </c>
      <c r="I31271" s="7" t="n">
        <v>0</v>
      </c>
      <c r="J31271" s="7" t="n">
        <v>1</v>
      </c>
      <c r="K31271" s="7" t="n">
        <v>2</v>
      </c>
      <c r="L31271" s="7" t="n">
        <v>28</v>
      </c>
      <c r="M31271" s="20" t="s">
        <v>3</v>
      </c>
      <c r="N31271" s="8" t="n">
        <v>162</v>
      </c>
      <c r="O31271" s="7" t="n">
        <v>3</v>
      </c>
      <c r="P31271" s="7" t="n">
        <v>36894</v>
      </c>
      <c r="Q31271" s="20" t="s">
        <v>3</v>
      </c>
      <c r="R31271" s="7" t="n">
        <v>0</v>
      </c>
      <c r="S31271" s="7" t="n">
        <v>2</v>
      </c>
      <c r="T31271" s="7" t="n">
        <v>2</v>
      </c>
      <c r="U31271" s="7" t="n">
        <v>11</v>
      </c>
      <c r="V31271" s="7" t="n">
        <v>1</v>
      </c>
      <c r="W31271" s="11" t="n">
        <f t="normal" ca="1">A31275</f>
        <v>0</v>
      </c>
    </row>
    <row r="31272" spans="1:8">
      <c r="A31272" t="s">
        <v>4</v>
      </c>
      <c r="B31272" s="4" t="s">
        <v>5</v>
      </c>
      <c r="C31272" s="4" t="s">
        <v>7</v>
      </c>
      <c r="D31272" s="4" t="s">
        <v>11</v>
      </c>
      <c r="E31272" s="4" t="s">
        <v>13</v>
      </c>
    </row>
    <row r="31273" spans="1:8">
      <c r="A31273" t="n">
        <v>306014</v>
      </c>
      <c r="B31273" s="23" t="n">
        <v>58</v>
      </c>
      <c r="C31273" s="7" t="n">
        <v>0</v>
      </c>
      <c r="D31273" s="7" t="n">
        <v>0</v>
      </c>
      <c r="E31273" s="7" t="n">
        <v>1</v>
      </c>
    </row>
    <row r="31274" spans="1:8">
      <c r="A31274" t="s">
        <v>4</v>
      </c>
      <c r="B31274" s="4" t="s">
        <v>5</v>
      </c>
      <c r="C31274" s="4" t="s">
        <v>7</v>
      </c>
      <c r="D31274" s="20" t="s">
        <v>35</v>
      </c>
      <c r="E31274" s="4" t="s">
        <v>5</v>
      </c>
      <c r="F31274" s="4" t="s">
        <v>7</v>
      </c>
      <c r="G31274" s="4" t="s">
        <v>11</v>
      </c>
      <c r="H31274" s="20" t="s">
        <v>36</v>
      </c>
      <c r="I31274" s="4" t="s">
        <v>7</v>
      </c>
      <c r="J31274" s="4" t="s">
        <v>15</v>
      </c>
      <c r="K31274" s="4" t="s">
        <v>7</v>
      </c>
      <c r="L31274" s="4" t="s">
        <v>7</v>
      </c>
      <c r="M31274" s="20" t="s">
        <v>35</v>
      </c>
      <c r="N31274" s="4" t="s">
        <v>5</v>
      </c>
      <c r="O31274" s="4" t="s">
        <v>7</v>
      </c>
      <c r="P31274" s="4" t="s">
        <v>11</v>
      </c>
      <c r="Q31274" s="20" t="s">
        <v>36</v>
      </c>
      <c r="R31274" s="4" t="s">
        <v>7</v>
      </c>
      <c r="S31274" s="4" t="s">
        <v>15</v>
      </c>
      <c r="T31274" s="4" t="s">
        <v>7</v>
      </c>
      <c r="U31274" s="4" t="s">
        <v>7</v>
      </c>
      <c r="V31274" s="4" t="s">
        <v>7</v>
      </c>
      <c r="W31274" s="4" t="s">
        <v>12</v>
      </c>
    </row>
    <row r="31275" spans="1:8">
      <c r="A31275" t="n">
        <v>306022</v>
      </c>
      <c r="B31275" s="10" t="n">
        <v>5</v>
      </c>
      <c r="C31275" s="7" t="n">
        <v>28</v>
      </c>
      <c r="D31275" s="20" t="s">
        <v>3</v>
      </c>
      <c r="E31275" s="8" t="n">
        <v>162</v>
      </c>
      <c r="F31275" s="7" t="n">
        <v>3</v>
      </c>
      <c r="G31275" s="7" t="n">
        <v>36894</v>
      </c>
      <c r="H31275" s="20" t="s">
        <v>3</v>
      </c>
      <c r="I31275" s="7" t="n">
        <v>0</v>
      </c>
      <c r="J31275" s="7" t="n">
        <v>1</v>
      </c>
      <c r="K31275" s="7" t="n">
        <v>3</v>
      </c>
      <c r="L31275" s="7" t="n">
        <v>28</v>
      </c>
      <c r="M31275" s="20" t="s">
        <v>3</v>
      </c>
      <c r="N31275" s="8" t="n">
        <v>162</v>
      </c>
      <c r="O31275" s="7" t="n">
        <v>3</v>
      </c>
      <c r="P31275" s="7" t="n">
        <v>36894</v>
      </c>
      <c r="Q31275" s="20" t="s">
        <v>3</v>
      </c>
      <c r="R31275" s="7" t="n">
        <v>0</v>
      </c>
      <c r="S31275" s="7" t="n">
        <v>2</v>
      </c>
      <c r="T31275" s="7" t="n">
        <v>3</v>
      </c>
      <c r="U31275" s="7" t="n">
        <v>9</v>
      </c>
      <c r="V31275" s="7" t="n">
        <v>1</v>
      </c>
      <c r="W31275" s="11" t="n">
        <f t="normal" ca="1">A31285</f>
        <v>0</v>
      </c>
    </row>
    <row r="31276" spans="1:8">
      <c r="A31276" t="s">
        <v>4</v>
      </c>
      <c r="B31276" s="4" t="s">
        <v>5</v>
      </c>
      <c r="C31276" s="4" t="s">
        <v>7</v>
      </c>
      <c r="D31276" s="20" t="s">
        <v>35</v>
      </c>
      <c r="E31276" s="4" t="s">
        <v>5</v>
      </c>
      <c r="F31276" s="4" t="s">
        <v>11</v>
      </c>
      <c r="G31276" s="4" t="s">
        <v>7</v>
      </c>
      <c r="H31276" s="4" t="s">
        <v>7</v>
      </c>
      <c r="I31276" s="4" t="s">
        <v>8</v>
      </c>
      <c r="J31276" s="20" t="s">
        <v>36</v>
      </c>
      <c r="K31276" s="4" t="s">
        <v>7</v>
      </c>
      <c r="L31276" s="4" t="s">
        <v>7</v>
      </c>
      <c r="M31276" s="20" t="s">
        <v>35</v>
      </c>
      <c r="N31276" s="4" t="s">
        <v>5</v>
      </c>
      <c r="O31276" s="4" t="s">
        <v>7</v>
      </c>
      <c r="P31276" s="20" t="s">
        <v>36</v>
      </c>
      <c r="Q31276" s="4" t="s">
        <v>7</v>
      </c>
      <c r="R31276" s="4" t="s">
        <v>15</v>
      </c>
      <c r="S31276" s="4" t="s">
        <v>7</v>
      </c>
      <c r="T31276" s="4" t="s">
        <v>7</v>
      </c>
      <c r="U31276" s="4" t="s">
        <v>7</v>
      </c>
      <c r="V31276" s="20" t="s">
        <v>35</v>
      </c>
      <c r="W31276" s="4" t="s">
        <v>5</v>
      </c>
      <c r="X31276" s="4" t="s">
        <v>7</v>
      </c>
      <c r="Y31276" s="20" t="s">
        <v>36</v>
      </c>
      <c r="Z31276" s="4" t="s">
        <v>7</v>
      </c>
      <c r="AA31276" s="4" t="s">
        <v>15</v>
      </c>
      <c r="AB31276" s="4" t="s">
        <v>7</v>
      </c>
      <c r="AC31276" s="4" t="s">
        <v>7</v>
      </c>
      <c r="AD31276" s="4" t="s">
        <v>7</v>
      </c>
      <c r="AE31276" s="4" t="s">
        <v>12</v>
      </c>
    </row>
    <row r="31277" spans="1:8">
      <c r="A31277" t="n">
        <v>306051</v>
      </c>
      <c r="B31277" s="10" t="n">
        <v>5</v>
      </c>
      <c r="C31277" s="7" t="n">
        <v>28</v>
      </c>
      <c r="D31277" s="20" t="s">
        <v>3</v>
      </c>
      <c r="E31277" s="41" t="n">
        <v>47</v>
      </c>
      <c r="F31277" s="7" t="n">
        <v>61456</v>
      </c>
      <c r="G31277" s="7" t="n">
        <v>2</v>
      </c>
      <c r="H31277" s="7" t="n">
        <v>0</v>
      </c>
      <c r="I31277" s="7" t="s">
        <v>105</v>
      </c>
      <c r="J31277" s="20" t="s">
        <v>3</v>
      </c>
      <c r="K31277" s="7" t="n">
        <v>8</v>
      </c>
      <c r="L31277" s="7" t="n">
        <v>28</v>
      </c>
      <c r="M31277" s="20" t="s">
        <v>3</v>
      </c>
      <c r="N31277" s="45" t="n">
        <v>74</v>
      </c>
      <c r="O31277" s="7" t="n">
        <v>65</v>
      </c>
      <c r="P31277" s="20" t="s">
        <v>3</v>
      </c>
      <c r="Q31277" s="7" t="n">
        <v>0</v>
      </c>
      <c r="R31277" s="7" t="n">
        <v>1</v>
      </c>
      <c r="S31277" s="7" t="n">
        <v>3</v>
      </c>
      <c r="T31277" s="7" t="n">
        <v>9</v>
      </c>
      <c r="U31277" s="7" t="n">
        <v>28</v>
      </c>
      <c r="V31277" s="20" t="s">
        <v>3</v>
      </c>
      <c r="W31277" s="45" t="n">
        <v>74</v>
      </c>
      <c r="X31277" s="7" t="n">
        <v>65</v>
      </c>
      <c r="Y31277" s="20" t="s">
        <v>3</v>
      </c>
      <c r="Z31277" s="7" t="n">
        <v>0</v>
      </c>
      <c r="AA31277" s="7" t="n">
        <v>2</v>
      </c>
      <c r="AB31277" s="7" t="n">
        <v>3</v>
      </c>
      <c r="AC31277" s="7" t="n">
        <v>9</v>
      </c>
      <c r="AD31277" s="7" t="n">
        <v>1</v>
      </c>
      <c r="AE31277" s="11" t="n">
        <f t="normal" ca="1">A31281</f>
        <v>0</v>
      </c>
    </row>
    <row r="31278" spans="1:8">
      <c r="A31278" t="s">
        <v>4</v>
      </c>
      <c r="B31278" s="4" t="s">
        <v>5</v>
      </c>
      <c r="C31278" s="4" t="s">
        <v>11</v>
      </c>
      <c r="D31278" s="4" t="s">
        <v>7</v>
      </c>
      <c r="E31278" s="4" t="s">
        <v>7</v>
      </c>
      <c r="F31278" s="4" t="s">
        <v>8</v>
      </c>
    </row>
    <row r="31279" spans="1:8">
      <c r="A31279" t="n">
        <v>306099</v>
      </c>
      <c r="B31279" s="41" t="n">
        <v>47</v>
      </c>
      <c r="C31279" s="7" t="n">
        <v>61456</v>
      </c>
      <c r="D31279" s="7" t="n">
        <v>0</v>
      </c>
      <c r="E31279" s="7" t="n">
        <v>0</v>
      </c>
      <c r="F31279" s="7" t="s">
        <v>106</v>
      </c>
    </row>
    <row r="31280" spans="1:8">
      <c r="A31280" t="s">
        <v>4</v>
      </c>
      <c r="B31280" s="4" t="s">
        <v>5</v>
      </c>
      <c r="C31280" s="4" t="s">
        <v>7</v>
      </c>
      <c r="D31280" s="4" t="s">
        <v>11</v>
      </c>
      <c r="E31280" s="4" t="s">
        <v>13</v>
      </c>
    </row>
    <row r="31281" spans="1:31">
      <c r="A31281" t="n">
        <v>306112</v>
      </c>
      <c r="B31281" s="23" t="n">
        <v>58</v>
      </c>
      <c r="C31281" s="7" t="n">
        <v>0</v>
      </c>
      <c r="D31281" s="7" t="n">
        <v>300</v>
      </c>
      <c r="E31281" s="7" t="n">
        <v>1</v>
      </c>
    </row>
    <row r="31282" spans="1:31">
      <c r="A31282" t="s">
        <v>4</v>
      </c>
      <c r="B31282" s="4" t="s">
        <v>5</v>
      </c>
      <c r="C31282" s="4" t="s">
        <v>7</v>
      </c>
      <c r="D31282" s="4" t="s">
        <v>11</v>
      </c>
    </row>
    <row r="31283" spans="1:31">
      <c r="A31283" t="n">
        <v>306120</v>
      </c>
      <c r="B31283" s="23" t="n">
        <v>58</v>
      </c>
      <c r="C31283" s="7" t="n">
        <v>255</v>
      </c>
      <c r="D31283" s="7" t="n">
        <v>0</v>
      </c>
    </row>
    <row r="31284" spans="1:31">
      <c r="A31284" t="s">
        <v>4</v>
      </c>
      <c r="B31284" s="4" t="s">
        <v>5</v>
      </c>
      <c r="C31284" s="4" t="s">
        <v>7</v>
      </c>
      <c r="D31284" s="4" t="s">
        <v>7</v>
      </c>
      <c r="E31284" s="4" t="s">
        <v>7</v>
      </c>
      <c r="F31284" s="4" t="s">
        <v>7</v>
      </c>
    </row>
    <row r="31285" spans="1:31">
      <c r="A31285" t="n">
        <v>306124</v>
      </c>
      <c r="B31285" s="9" t="n">
        <v>14</v>
      </c>
      <c r="C31285" s="7" t="n">
        <v>0</v>
      </c>
      <c r="D31285" s="7" t="n">
        <v>0</v>
      </c>
      <c r="E31285" s="7" t="n">
        <v>0</v>
      </c>
      <c r="F31285" s="7" t="n">
        <v>64</v>
      </c>
    </row>
    <row r="31286" spans="1:31">
      <c r="A31286" t="s">
        <v>4</v>
      </c>
      <c r="B31286" s="4" t="s">
        <v>5</v>
      </c>
      <c r="C31286" s="4" t="s">
        <v>7</v>
      </c>
      <c r="D31286" s="4" t="s">
        <v>11</v>
      </c>
    </row>
    <row r="31287" spans="1:31">
      <c r="A31287" t="n">
        <v>306129</v>
      </c>
      <c r="B31287" s="22" t="n">
        <v>22</v>
      </c>
      <c r="C31287" s="7" t="n">
        <v>0</v>
      </c>
      <c r="D31287" s="7" t="n">
        <v>36894</v>
      </c>
    </row>
    <row r="31288" spans="1:31">
      <c r="A31288" t="s">
        <v>4</v>
      </c>
      <c r="B31288" s="4" t="s">
        <v>5</v>
      </c>
      <c r="C31288" s="4" t="s">
        <v>7</v>
      </c>
      <c r="D31288" s="4" t="s">
        <v>11</v>
      </c>
    </row>
    <row r="31289" spans="1:31">
      <c r="A31289" t="n">
        <v>306133</v>
      </c>
      <c r="B31289" s="23" t="n">
        <v>58</v>
      </c>
      <c r="C31289" s="7" t="n">
        <v>5</v>
      </c>
      <c r="D31289" s="7" t="n">
        <v>300</v>
      </c>
    </row>
    <row r="31290" spans="1:31">
      <c r="A31290" t="s">
        <v>4</v>
      </c>
      <c r="B31290" s="4" t="s">
        <v>5</v>
      </c>
      <c r="C31290" s="4" t="s">
        <v>13</v>
      </c>
      <c r="D31290" s="4" t="s">
        <v>11</v>
      </c>
    </row>
    <row r="31291" spans="1:31">
      <c r="A31291" t="n">
        <v>306137</v>
      </c>
      <c r="B31291" s="46" t="n">
        <v>103</v>
      </c>
      <c r="C31291" s="7" t="n">
        <v>0</v>
      </c>
      <c r="D31291" s="7" t="n">
        <v>300</v>
      </c>
    </row>
    <row r="31292" spans="1:31">
      <c r="A31292" t="s">
        <v>4</v>
      </c>
      <c r="B31292" s="4" t="s">
        <v>5</v>
      </c>
      <c r="C31292" s="4" t="s">
        <v>7</v>
      </c>
    </row>
    <row r="31293" spans="1:31">
      <c r="A31293" t="n">
        <v>306144</v>
      </c>
      <c r="B31293" s="47" t="n">
        <v>64</v>
      </c>
      <c r="C31293" s="7" t="n">
        <v>7</v>
      </c>
    </row>
    <row r="31294" spans="1:31">
      <c r="A31294" t="s">
        <v>4</v>
      </c>
      <c r="B31294" s="4" t="s">
        <v>5</v>
      </c>
      <c r="C31294" s="4" t="s">
        <v>7</v>
      </c>
      <c r="D31294" s="4" t="s">
        <v>11</v>
      </c>
    </row>
    <row r="31295" spans="1:31">
      <c r="A31295" t="n">
        <v>306146</v>
      </c>
      <c r="B31295" s="48" t="n">
        <v>72</v>
      </c>
      <c r="C31295" s="7" t="n">
        <v>5</v>
      </c>
      <c r="D31295" s="7" t="n">
        <v>0</v>
      </c>
    </row>
    <row r="31296" spans="1:31">
      <c r="A31296" t="s">
        <v>4</v>
      </c>
      <c r="B31296" s="4" t="s">
        <v>5</v>
      </c>
      <c r="C31296" s="4" t="s">
        <v>7</v>
      </c>
      <c r="D31296" s="20" t="s">
        <v>35</v>
      </c>
      <c r="E31296" s="4" t="s">
        <v>5</v>
      </c>
      <c r="F31296" s="4" t="s">
        <v>7</v>
      </c>
      <c r="G31296" s="4" t="s">
        <v>11</v>
      </c>
      <c r="H31296" s="20" t="s">
        <v>36</v>
      </c>
      <c r="I31296" s="4" t="s">
        <v>7</v>
      </c>
      <c r="J31296" s="4" t="s">
        <v>15</v>
      </c>
      <c r="K31296" s="4" t="s">
        <v>7</v>
      </c>
      <c r="L31296" s="4" t="s">
        <v>7</v>
      </c>
      <c r="M31296" s="4" t="s">
        <v>12</v>
      </c>
    </row>
    <row r="31297" spans="1:13">
      <c r="A31297" t="n">
        <v>306150</v>
      </c>
      <c r="B31297" s="10" t="n">
        <v>5</v>
      </c>
      <c r="C31297" s="7" t="n">
        <v>28</v>
      </c>
      <c r="D31297" s="20" t="s">
        <v>3</v>
      </c>
      <c r="E31297" s="8" t="n">
        <v>162</v>
      </c>
      <c r="F31297" s="7" t="n">
        <v>4</v>
      </c>
      <c r="G31297" s="7" t="n">
        <v>36894</v>
      </c>
      <c r="H31297" s="20" t="s">
        <v>3</v>
      </c>
      <c r="I31297" s="7" t="n">
        <v>0</v>
      </c>
      <c r="J31297" s="7" t="n">
        <v>1</v>
      </c>
      <c r="K31297" s="7" t="n">
        <v>2</v>
      </c>
      <c r="L31297" s="7" t="n">
        <v>1</v>
      </c>
      <c r="M31297" s="11" t="n">
        <f t="normal" ca="1">A31303</f>
        <v>0</v>
      </c>
    </row>
    <row r="31298" spans="1:13">
      <c r="A31298" t="s">
        <v>4</v>
      </c>
      <c r="B31298" s="4" t="s">
        <v>5</v>
      </c>
      <c r="C31298" s="4" t="s">
        <v>7</v>
      </c>
      <c r="D31298" s="4" t="s">
        <v>8</v>
      </c>
    </row>
    <row r="31299" spans="1:13">
      <c r="A31299" t="n">
        <v>306167</v>
      </c>
      <c r="B31299" s="6" t="n">
        <v>2</v>
      </c>
      <c r="C31299" s="7" t="n">
        <v>10</v>
      </c>
      <c r="D31299" s="7" t="s">
        <v>107</v>
      </c>
    </row>
    <row r="31300" spans="1:13">
      <c r="A31300" t="s">
        <v>4</v>
      </c>
      <c r="B31300" s="4" t="s">
        <v>5</v>
      </c>
      <c r="C31300" s="4" t="s">
        <v>11</v>
      </c>
    </row>
    <row r="31301" spans="1:13">
      <c r="A31301" t="n">
        <v>306184</v>
      </c>
      <c r="B31301" s="29" t="n">
        <v>16</v>
      </c>
      <c r="C31301" s="7" t="n">
        <v>0</v>
      </c>
    </row>
    <row r="31302" spans="1:13">
      <c r="A31302" t="s">
        <v>4</v>
      </c>
      <c r="B31302" s="4" t="s">
        <v>5</v>
      </c>
      <c r="C31302" s="4" t="s">
        <v>7</v>
      </c>
      <c r="D31302" s="4" t="s">
        <v>11</v>
      </c>
      <c r="E31302" s="4" t="s">
        <v>15</v>
      </c>
      <c r="F31302" s="4" t="s">
        <v>11</v>
      </c>
      <c r="G31302" s="4" t="s">
        <v>15</v>
      </c>
      <c r="H31302" s="4" t="s">
        <v>7</v>
      </c>
    </row>
    <row r="31303" spans="1:13">
      <c r="A31303" t="n">
        <v>306187</v>
      </c>
      <c r="B31303" s="13" t="n">
        <v>49</v>
      </c>
      <c r="C31303" s="7" t="n">
        <v>0</v>
      </c>
      <c r="D31303" s="7" t="n">
        <v>501</v>
      </c>
      <c r="E31303" s="7" t="n">
        <v>1065353216</v>
      </c>
      <c r="F31303" s="7" t="n">
        <v>0</v>
      </c>
      <c r="G31303" s="7" t="n">
        <v>0</v>
      </c>
      <c r="H31303" s="7" t="n">
        <v>0</v>
      </c>
    </row>
    <row r="31304" spans="1:13">
      <c r="A31304" t="s">
        <v>4</v>
      </c>
      <c r="B31304" s="4" t="s">
        <v>5</v>
      </c>
      <c r="C31304" s="4" t="s">
        <v>11</v>
      </c>
      <c r="D31304" s="4" t="s">
        <v>8</v>
      </c>
      <c r="E31304" s="4" t="s">
        <v>8</v>
      </c>
      <c r="F31304" s="4" t="s">
        <v>8</v>
      </c>
      <c r="G31304" s="4" t="s">
        <v>7</v>
      </c>
      <c r="H31304" s="4" t="s">
        <v>15</v>
      </c>
      <c r="I31304" s="4" t="s">
        <v>13</v>
      </c>
      <c r="J31304" s="4" t="s">
        <v>13</v>
      </c>
      <c r="K31304" s="4" t="s">
        <v>13</v>
      </c>
      <c r="L31304" s="4" t="s">
        <v>13</v>
      </c>
      <c r="M31304" s="4" t="s">
        <v>13</v>
      </c>
      <c r="N31304" s="4" t="s">
        <v>13</v>
      </c>
      <c r="O31304" s="4" t="s">
        <v>13</v>
      </c>
      <c r="P31304" s="4" t="s">
        <v>8</v>
      </c>
      <c r="Q31304" s="4" t="s">
        <v>8</v>
      </c>
      <c r="R31304" s="4" t="s">
        <v>15</v>
      </c>
      <c r="S31304" s="4" t="s">
        <v>7</v>
      </c>
      <c r="T31304" s="4" t="s">
        <v>15</v>
      </c>
      <c r="U31304" s="4" t="s">
        <v>15</v>
      </c>
      <c r="V31304" s="4" t="s">
        <v>11</v>
      </c>
    </row>
    <row r="31305" spans="1:13">
      <c r="A31305" t="n">
        <v>306202</v>
      </c>
      <c r="B31305" s="62" t="n">
        <v>19</v>
      </c>
      <c r="C31305" s="7" t="n">
        <v>11</v>
      </c>
      <c r="D31305" s="7" t="s">
        <v>228</v>
      </c>
      <c r="E31305" s="7" t="s">
        <v>229</v>
      </c>
      <c r="F31305" s="7" t="s">
        <v>16</v>
      </c>
      <c r="G31305" s="7" t="n">
        <v>0</v>
      </c>
      <c r="H31305" s="7" t="n">
        <v>1</v>
      </c>
      <c r="I31305" s="7" t="n">
        <v>0</v>
      </c>
      <c r="J31305" s="7" t="n">
        <v>0</v>
      </c>
      <c r="K31305" s="7" t="n">
        <v>0</v>
      </c>
      <c r="L31305" s="7" t="n">
        <v>0</v>
      </c>
      <c r="M31305" s="7" t="n">
        <v>1</v>
      </c>
      <c r="N31305" s="7" t="n">
        <v>1.60000002384186</v>
      </c>
      <c r="O31305" s="7" t="n">
        <v>0.0900000035762787</v>
      </c>
      <c r="P31305" s="7" t="s">
        <v>16</v>
      </c>
      <c r="Q31305" s="7" t="s">
        <v>16</v>
      </c>
      <c r="R31305" s="7" t="n">
        <v>-1</v>
      </c>
      <c r="S31305" s="7" t="n">
        <v>0</v>
      </c>
      <c r="T31305" s="7" t="n">
        <v>0</v>
      </c>
      <c r="U31305" s="7" t="n">
        <v>0</v>
      </c>
      <c r="V31305" s="7" t="n">
        <v>0</v>
      </c>
    </row>
    <row r="31306" spans="1:13">
      <c r="A31306" t="s">
        <v>4</v>
      </c>
      <c r="B31306" s="4" t="s">
        <v>5</v>
      </c>
      <c r="C31306" s="4" t="s">
        <v>11</v>
      </c>
      <c r="D31306" s="4" t="s">
        <v>7</v>
      </c>
      <c r="E31306" s="4" t="s">
        <v>7</v>
      </c>
      <c r="F31306" s="4" t="s">
        <v>8</v>
      </c>
    </row>
    <row r="31307" spans="1:13">
      <c r="A31307" t="n">
        <v>306281</v>
      </c>
      <c r="B31307" s="50" t="n">
        <v>20</v>
      </c>
      <c r="C31307" s="7" t="n">
        <v>0</v>
      </c>
      <c r="D31307" s="7" t="n">
        <v>3</v>
      </c>
      <c r="E31307" s="7" t="n">
        <v>10</v>
      </c>
      <c r="F31307" s="7" t="s">
        <v>108</v>
      </c>
    </row>
    <row r="31308" spans="1:13">
      <c r="A31308" t="s">
        <v>4</v>
      </c>
      <c r="B31308" s="4" t="s">
        <v>5</v>
      </c>
      <c r="C31308" s="4" t="s">
        <v>11</v>
      </c>
    </row>
    <row r="31309" spans="1:13">
      <c r="A31309" t="n">
        <v>306299</v>
      </c>
      <c r="B31309" s="29" t="n">
        <v>16</v>
      </c>
      <c r="C31309" s="7" t="n">
        <v>0</v>
      </c>
    </row>
    <row r="31310" spans="1:13">
      <c r="A31310" t="s">
        <v>4</v>
      </c>
      <c r="B31310" s="4" t="s">
        <v>5</v>
      </c>
      <c r="C31310" s="4" t="s">
        <v>11</v>
      </c>
      <c r="D31310" s="4" t="s">
        <v>7</v>
      </c>
      <c r="E31310" s="4" t="s">
        <v>7</v>
      </c>
      <c r="F31310" s="4" t="s">
        <v>8</v>
      </c>
    </row>
    <row r="31311" spans="1:13">
      <c r="A31311" t="n">
        <v>306302</v>
      </c>
      <c r="B31311" s="50" t="n">
        <v>20</v>
      </c>
      <c r="C31311" s="7" t="n">
        <v>11</v>
      </c>
      <c r="D31311" s="7" t="n">
        <v>3</v>
      </c>
      <c r="E31311" s="7" t="n">
        <v>10</v>
      </c>
      <c r="F31311" s="7" t="s">
        <v>108</v>
      </c>
    </row>
    <row r="31312" spans="1:13">
      <c r="A31312" t="s">
        <v>4</v>
      </c>
      <c r="B31312" s="4" t="s">
        <v>5</v>
      </c>
      <c r="C31312" s="4" t="s">
        <v>11</v>
      </c>
    </row>
    <row r="31313" spans="1:22">
      <c r="A31313" t="n">
        <v>306320</v>
      </c>
      <c r="B31313" s="29" t="n">
        <v>16</v>
      </c>
      <c r="C31313" s="7" t="n">
        <v>0</v>
      </c>
    </row>
    <row r="31314" spans="1:22">
      <c r="A31314" t="s">
        <v>4</v>
      </c>
      <c r="B31314" s="4" t="s">
        <v>5</v>
      </c>
      <c r="C31314" s="4" t="s">
        <v>7</v>
      </c>
      <c r="D31314" s="4" t="s">
        <v>11</v>
      </c>
      <c r="E31314" s="4" t="s">
        <v>7</v>
      </c>
      <c r="F31314" s="4" t="s">
        <v>8</v>
      </c>
      <c r="G31314" s="4" t="s">
        <v>8</v>
      </c>
      <c r="H31314" s="4" t="s">
        <v>8</v>
      </c>
      <c r="I31314" s="4" t="s">
        <v>8</v>
      </c>
      <c r="J31314" s="4" t="s">
        <v>8</v>
      </c>
      <c r="K31314" s="4" t="s">
        <v>8</v>
      </c>
      <c r="L31314" s="4" t="s">
        <v>8</v>
      </c>
      <c r="M31314" s="4" t="s">
        <v>8</v>
      </c>
      <c r="N31314" s="4" t="s">
        <v>8</v>
      </c>
      <c r="O31314" s="4" t="s">
        <v>8</v>
      </c>
      <c r="P31314" s="4" t="s">
        <v>8</v>
      </c>
      <c r="Q31314" s="4" t="s">
        <v>8</v>
      </c>
      <c r="R31314" s="4" t="s">
        <v>8</v>
      </c>
      <c r="S31314" s="4" t="s">
        <v>8</v>
      </c>
      <c r="T31314" s="4" t="s">
        <v>8</v>
      </c>
      <c r="U31314" s="4" t="s">
        <v>8</v>
      </c>
    </row>
    <row r="31315" spans="1:22">
      <c r="A31315" t="n">
        <v>306323</v>
      </c>
      <c r="B31315" s="40" t="n">
        <v>36</v>
      </c>
      <c r="C31315" s="7" t="n">
        <v>8</v>
      </c>
      <c r="D31315" s="7" t="n">
        <v>0</v>
      </c>
      <c r="E31315" s="7" t="n">
        <v>0</v>
      </c>
      <c r="F31315" s="7" t="s">
        <v>1752</v>
      </c>
      <c r="G31315" s="7" t="s">
        <v>1753</v>
      </c>
      <c r="H31315" s="7" t="s">
        <v>16</v>
      </c>
      <c r="I31315" s="7" t="s">
        <v>16</v>
      </c>
      <c r="J31315" s="7" t="s">
        <v>16</v>
      </c>
      <c r="K31315" s="7" t="s">
        <v>16</v>
      </c>
      <c r="L31315" s="7" t="s">
        <v>16</v>
      </c>
      <c r="M31315" s="7" t="s">
        <v>16</v>
      </c>
      <c r="N31315" s="7" t="s">
        <v>16</v>
      </c>
      <c r="O31315" s="7" t="s">
        <v>16</v>
      </c>
      <c r="P31315" s="7" t="s">
        <v>16</v>
      </c>
      <c r="Q31315" s="7" t="s">
        <v>16</v>
      </c>
      <c r="R31315" s="7" t="s">
        <v>16</v>
      </c>
      <c r="S31315" s="7" t="s">
        <v>16</v>
      </c>
      <c r="T31315" s="7" t="s">
        <v>16</v>
      </c>
      <c r="U31315" s="7" t="s">
        <v>16</v>
      </c>
    </row>
    <row r="31316" spans="1:22">
      <c r="A31316" t="s">
        <v>4</v>
      </c>
      <c r="B31316" s="4" t="s">
        <v>5</v>
      </c>
      <c r="C31316" s="4" t="s">
        <v>7</v>
      </c>
      <c r="D31316" s="4" t="s">
        <v>11</v>
      </c>
      <c r="E31316" s="4" t="s">
        <v>7</v>
      </c>
      <c r="F31316" s="4" t="s">
        <v>8</v>
      </c>
      <c r="G31316" s="4" t="s">
        <v>8</v>
      </c>
      <c r="H31316" s="4" t="s">
        <v>8</v>
      </c>
      <c r="I31316" s="4" t="s">
        <v>8</v>
      </c>
      <c r="J31316" s="4" t="s">
        <v>8</v>
      </c>
      <c r="K31316" s="4" t="s">
        <v>8</v>
      </c>
      <c r="L31316" s="4" t="s">
        <v>8</v>
      </c>
      <c r="M31316" s="4" t="s">
        <v>8</v>
      </c>
      <c r="N31316" s="4" t="s">
        <v>8</v>
      </c>
      <c r="O31316" s="4" t="s">
        <v>8</v>
      </c>
      <c r="P31316" s="4" t="s">
        <v>8</v>
      </c>
      <c r="Q31316" s="4" t="s">
        <v>8</v>
      </c>
      <c r="R31316" s="4" t="s">
        <v>8</v>
      </c>
      <c r="S31316" s="4" t="s">
        <v>8</v>
      </c>
      <c r="T31316" s="4" t="s">
        <v>8</v>
      </c>
      <c r="U31316" s="4" t="s">
        <v>8</v>
      </c>
    </row>
    <row r="31317" spans="1:22">
      <c r="A31317" t="n">
        <v>306362</v>
      </c>
      <c r="B31317" s="40" t="n">
        <v>36</v>
      </c>
      <c r="C31317" s="7" t="n">
        <v>8</v>
      </c>
      <c r="D31317" s="7" t="n">
        <v>11</v>
      </c>
      <c r="E31317" s="7" t="n">
        <v>0</v>
      </c>
      <c r="F31317" s="7" t="s">
        <v>231</v>
      </c>
      <c r="G31317" s="7" t="s">
        <v>89</v>
      </c>
      <c r="H31317" s="7" t="s">
        <v>1752</v>
      </c>
      <c r="I31317" s="7" t="s">
        <v>1753</v>
      </c>
      <c r="J31317" s="7" t="s">
        <v>1685</v>
      </c>
      <c r="K31317" s="7" t="s">
        <v>16</v>
      </c>
      <c r="L31317" s="7" t="s">
        <v>16</v>
      </c>
      <c r="M31317" s="7" t="s">
        <v>16</v>
      </c>
      <c r="N31317" s="7" t="s">
        <v>16</v>
      </c>
      <c r="O31317" s="7" t="s">
        <v>16</v>
      </c>
      <c r="P31317" s="7" t="s">
        <v>16</v>
      </c>
      <c r="Q31317" s="7" t="s">
        <v>16</v>
      </c>
      <c r="R31317" s="7" t="s">
        <v>16</v>
      </c>
      <c r="S31317" s="7" t="s">
        <v>16</v>
      </c>
      <c r="T31317" s="7" t="s">
        <v>16</v>
      </c>
      <c r="U31317" s="7" t="s">
        <v>16</v>
      </c>
    </row>
    <row r="31318" spans="1:22">
      <c r="A31318" t="s">
        <v>4</v>
      </c>
      <c r="B31318" s="4" t="s">
        <v>5</v>
      </c>
      <c r="C31318" s="4" t="s">
        <v>7</v>
      </c>
    </row>
    <row r="31319" spans="1:22">
      <c r="A31319" t="n">
        <v>306440</v>
      </c>
      <c r="B31319" s="49" t="n">
        <v>116</v>
      </c>
      <c r="C31319" s="7" t="n">
        <v>0</v>
      </c>
    </row>
    <row r="31320" spans="1:22">
      <c r="A31320" t="s">
        <v>4</v>
      </c>
      <c r="B31320" s="4" t="s">
        <v>5</v>
      </c>
      <c r="C31320" s="4" t="s">
        <v>7</v>
      </c>
      <c r="D31320" s="4" t="s">
        <v>11</v>
      </c>
    </row>
    <row r="31321" spans="1:22">
      <c r="A31321" t="n">
        <v>306442</v>
      </c>
      <c r="B31321" s="49" t="n">
        <v>116</v>
      </c>
      <c r="C31321" s="7" t="n">
        <v>2</v>
      </c>
      <c r="D31321" s="7" t="n">
        <v>1</v>
      </c>
    </row>
    <row r="31322" spans="1:22">
      <c r="A31322" t="s">
        <v>4</v>
      </c>
      <c r="B31322" s="4" t="s">
        <v>5</v>
      </c>
      <c r="C31322" s="4" t="s">
        <v>7</v>
      </c>
      <c r="D31322" s="4" t="s">
        <v>15</v>
      </c>
    </row>
    <row r="31323" spans="1:22">
      <c r="A31323" t="n">
        <v>306446</v>
      </c>
      <c r="B31323" s="49" t="n">
        <v>116</v>
      </c>
      <c r="C31323" s="7" t="n">
        <v>5</v>
      </c>
      <c r="D31323" s="7" t="n">
        <v>1088421888</v>
      </c>
    </row>
    <row r="31324" spans="1:22">
      <c r="A31324" t="s">
        <v>4</v>
      </c>
      <c r="B31324" s="4" t="s">
        <v>5</v>
      </c>
      <c r="C31324" s="4" t="s">
        <v>7</v>
      </c>
      <c r="D31324" s="4" t="s">
        <v>11</v>
      </c>
    </row>
    <row r="31325" spans="1:22">
      <c r="A31325" t="n">
        <v>306452</v>
      </c>
      <c r="B31325" s="49" t="n">
        <v>116</v>
      </c>
      <c r="C31325" s="7" t="n">
        <v>6</v>
      </c>
      <c r="D31325" s="7" t="n">
        <v>1</v>
      </c>
    </row>
    <row r="31326" spans="1:22">
      <c r="A31326" t="s">
        <v>4</v>
      </c>
      <c r="B31326" s="4" t="s">
        <v>5</v>
      </c>
      <c r="C31326" s="4" t="s">
        <v>11</v>
      </c>
      <c r="D31326" s="4" t="s">
        <v>13</v>
      </c>
      <c r="E31326" s="4" t="s">
        <v>13</v>
      </c>
      <c r="F31326" s="4" t="s">
        <v>13</v>
      </c>
      <c r="G31326" s="4" t="s">
        <v>13</v>
      </c>
    </row>
    <row r="31327" spans="1:22">
      <c r="A31327" t="n">
        <v>306456</v>
      </c>
      <c r="B31327" s="36" t="n">
        <v>46</v>
      </c>
      <c r="C31327" s="7" t="n">
        <v>0</v>
      </c>
      <c r="D31327" s="7" t="n">
        <v>1.10000002384186</v>
      </c>
      <c r="E31327" s="7" t="n">
        <v>10.0100002288818</v>
      </c>
      <c r="F31327" s="7" t="n">
        <v>30.3899993896484</v>
      </c>
      <c r="G31327" s="7" t="n">
        <v>131.899993896484</v>
      </c>
    </row>
    <row r="31328" spans="1:22">
      <c r="A31328" t="s">
        <v>4</v>
      </c>
      <c r="B31328" s="4" t="s">
        <v>5</v>
      </c>
      <c r="C31328" s="4" t="s">
        <v>11</v>
      </c>
      <c r="D31328" s="4" t="s">
        <v>13</v>
      </c>
      <c r="E31328" s="4" t="s">
        <v>13</v>
      </c>
      <c r="F31328" s="4" t="s">
        <v>13</v>
      </c>
      <c r="G31328" s="4" t="s">
        <v>13</v>
      </c>
    </row>
    <row r="31329" spans="1:21">
      <c r="A31329" t="n">
        <v>306475</v>
      </c>
      <c r="B31329" s="36" t="n">
        <v>46</v>
      </c>
      <c r="C31329" s="7" t="n">
        <v>11</v>
      </c>
      <c r="D31329" s="7" t="n">
        <v>1.9099999666214</v>
      </c>
      <c r="E31329" s="7" t="n">
        <v>10.0100002288818</v>
      </c>
      <c r="F31329" s="7" t="n">
        <v>29.5799999237061</v>
      </c>
      <c r="G31329" s="7" t="n">
        <v>180</v>
      </c>
    </row>
    <row r="31330" spans="1:21">
      <c r="A31330" t="s">
        <v>4</v>
      </c>
      <c r="B31330" s="4" t="s">
        <v>5</v>
      </c>
      <c r="C31330" s="4" t="s">
        <v>11</v>
      </c>
      <c r="D31330" s="4" t="s">
        <v>13</v>
      </c>
      <c r="E31330" s="4" t="s">
        <v>13</v>
      </c>
      <c r="F31330" s="4" t="s">
        <v>13</v>
      </c>
      <c r="G31330" s="4" t="s">
        <v>11</v>
      </c>
      <c r="H31330" s="4" t="s">
        <v>11</v>
      </c>
    </row>
    <row r="31331" spans="1:21">
      <c r="A31331" t="n">
        <v>306494</v>
      </c>
      <c r="B31331" s="37" t="n">
        <v>60</v>
      </c>
      <c r="C31331" s="7" t="n">
        <v>11</v>
      </c>
      <c r="D31331" s="7" t="n">
        <v>0</v>
      </c>
      <c r="E31331" s="7" t="n">
        <v>10</v>
      </c>
      <c r="F31331" s="7" t="n">
        <v>0</v>
      </c>
      <c r="G31331" s="7" t="n">
        <v>0</v>
      </c>
      <c r="H31331" s="7" t="n">
        <v>0</v>
      </c>
    </row>
    <row r="31332" spans="1:21">
      <c r="A31332" t="s">
        <v>4</v>
      </c>
      <c r="B31332" s="4" t="s">
        <v>5</v>
      </c>
      <c r="C31332" s="4" t="s">
        <v>11</v>
      </c>
      <c r="D31332" s="4" t="s">
        <v>11</v>
      </c>
      <c r="E31332" s="4" t="s">
        <v>11</v>
      </c>
    </row>
    <row r="31333" spans="1:21">
      <c r="A31333" t="n">
        <v>306513</v>
      </c>
      <c r="B31333" s="72" t="n">
        <v>61</v>
      </c>
      <c r="C31333" s="7" t="n">
        <v>0</v>
      </c>
      <c r="D31333" s="7" t="n">
        <v>11</v>
      </c>
      <c r="E31333" s="7" t="n">
        <v>1000</v>
      </c>
    </row>
    <row r="31334" spans="1:21">
      <c r="A31334" t="s">
        <v>4</v>
      </c>
      <c r="B31334" s="4" t="s">
        <v>5</v>
      </c>
      <c r="C31334" s="4" t="s">
        <v>7</v>
      </c>
      <c r="D31334" s="4" t="s">
        <v>7</v>
      </c>
      <c r="E31334" s="4" t="s">
        <v>13</v>
      </c>
      <c r="F31334" s="4" t="s">
        <v>13</v>
      </c>
      <c r="G31334" s="4" t="s">
        <v>13</v>
      </c>
      <c r="H31334" s="4" t="s">
        <v>11</v>
      </c>
    </row>
    <row r="31335" spans="1:21">
      <c r="A31335" t="n">
        <v>306520</v>
      </c>
      <c r="B31335" s="51" t="n">
        <v>45</v>
      </c>
      <c r="C31335" s="7" t="n">
        <v>2</v>
      </c>
      <c r="D31335" s="7" t="n">
        <v>3</v>
      </c>
      <c r="E31335" s="7" t="n">
        <v>1.28999996185303</v>
      </c>
      <c r="F31335" s="7" t="n">
        <v>11.4300003051758</v>
      </c>
      <c r="G31335" s="7" t="n">
        <v>30.1200008392334</v>
      </c>
      <c r="H31335" s="7" t="n">
        <v>0</v>
      </c>
    </row>
    <row r="31336" spans="1:21">
      <c r="A31336" t="s">
        <v>4</v>
      </c>
      <c r="B31336" s="4" t="s">
        <v>5</v>
      </c>
      <c r="C31336" s="4" t="s">
        <v>7</v>
      </c>
      <c r="D31336" s="4" t="s">
        <v>7</v>
      </c>
      <c r="E31336" s="4" t="s">
        <v>13</v>
      </c>
      <c r="F31336" s="4" t="s">
        <v>13</v>
      </c>
      <c r="G31336" s="4" t="s">
        <v>13</v>
      </c>
      <c r="H31336" s="4" t="s">
        <v>11</v>
      </c>
      <c r="I31336" s="4" t="s">
        <v>7</v>
      </c>
    </row>
    <row r="31337" spans="1:21">
      <c r="A31337" t="n">
        <v>306537</v>
      </c>
      <c r="B31337" s="51" t="n">
        <v>45</v>
      </c>
      <c r="C31337" s="7" t="n">
        <v>4</v>
      </c>
      <c r="D31337" s="7" t="n">
        <v>3</v>
      </c>
      <c r="E31337" s="7" t="n">
        <v>11.0100002288818</v>
      </c>
      <c r="F31337" s="7" t="n">
        <v>289.970001220703</v>
      </c>
      <c r="G31337" s="7" t="n">
        <v>0</v>
      </c>
      <c r="H31337" s="7" t="n">
        <v>0</v>
      </c>
      <c r="I31337" s="7" t="n">
        <v>0</v>
      </c>
    </row>
    <row r="31338" spans="1:21">
      <c r="A31338" t="s">
        <v>4</v>
      </c>
      <c r="B31338" s="4" t="s">
        <v>5</v>
      </c>
      <c r="C31338" s="4" t="s">
        <v>7</v>
      </c>
      <c r="D31338" s="4" t="s">
        <v>7</v>
      </c>
      <c r="E31338" s="4" t="s">
        <v>13</v>
      </c>
      <c r="F31338" s="4" t="s">
        <v>11</v>
      </c>
    </row>
    <row r="31339" spans="1:21">
      <c r="A31339" t="n">
        <v>306555</v>
      </c>
      <c r="B31339" s="51" t="n">
        <v>45</v>
      </c>
      <c r="C31339" s="7" t="n">
        <v>5</v>
      </c>
      <c r="D31339" s="7" t="n">
        <v>3</v>
      </c>
      <c r="E31339" s="7" t="n">
        <v>1.79999995231628</v>
      </c>
      <c r="F31339" s="7" t="n">
        <v>0</v>
      </c>
    </row>
    <row r="31340" spans="1:21">
      <c r="A31340" t="s">
        <v>4</v>
      </c>
      <c r="B31340" s="4" t="s">
        <v>5</v>
      </c>
      <c r="C31340" s="4" t="s">
        <v>7</v>
      </c>
      <c r="D31340" s="4" t="s">
        <v>7</v>
      </c>
      <c r="E31340" s="4" t="s">
        <v>13</v>
      </c>
      <c r="F31340" s="4" t="s">
        <v>11</v>
      </c>
    </row>
    <row r="31341" spans="1:21">
      <c r="A31341" t="n">
        <v>306564</v>
      </c>
      <c r="B31341" s="51" t="n">
        <v>45</v>
      </c>
      <c r="C31341" s="7" t="n">
        <v>11</v>
      </c>
      <c r="D31341" s="7" t="n">
        <v>3</v>
      </c>
      <c r="E31341" s="7" t="n">
        <v>34</v>
      </c>
      <c r="F31341" s="7" t="n">
        <v>0</v>
      </c>
    </row>
    <row r="31342" spans="1:21">
      <c r="A31342" t="s">
        <v>4</v>
      </c>
      <c r="B31342" s="4" t="s">
        <v>5</v>
      </c>
      <c r="C31342" s="4" t="s">
        <v>7</v>
      </c>
      <c r="D31342" s="4" t="s">
        <v>7</v>
      </c>
      <c r="E31342" s="4" t="s">
        <v>13</v>
      </c>
      <c r="F31342" s="4" t="s">
        <v>11</v>
      </c>
    </row>
    <row r="31343" spans="1:21">
      <c r="A31343" t="n">
        <v>306573</v>
      </c>
      <c r="B31343" s="51" t="n">
        <v>45</v>
      </c>
      <c r="C31343" s="7" t="n">
        <v>5</v>
      </c>
      <c r="D31343" s="7" t="n">
        <v>3</v>
      </c>
      <c r="E31343" s="7" t="n">
        <v>1.5</v>
      </c>
      <c r="F31343" s="7" t="n">
        <v>3000</v>
      </c>
    </row>
    <row r="31344" spans="1:21">
      <c r="A31344" t="s">
        <v>4</v>
      </c>
      <c r="B31344" s="4" t="s">
        <v>5</v>
      </c>
      <c r="C31344" s="4" t="s">
        <v>7</v>
      </c>
      <c r="D31344" s="4" t="s">
        <v>11</v>
      </c>
      <c r="E31344" s="4" t="s">
        <v>13</v>
      </c>
    </row>
    <row r="31345" spans="1:9">
      <c r="A31345" t="n">
        <v>306582</v>
      </c>
      <c r="B31345" s="23" t="n">
        <v>58</v>
      </c>
      <c r="C31345" s="7" t="n">
        <v>100</v>
      </c>
      <c r="D31345" s="7" t="n">
        <v>1000</v>
      </c>
      <c r="E31345" s="7" t="n">
        <v>1</v>
      </c>
    </row>
    <row r="31346" spans="1:9">
      <c r="A31346" t="s">
        <v>4</v>
      </c>
      <c r="B31346" s="4" t="s">
        <v>5</v>
      </c>
      <c r="C31346" s="4" t="s">
        <v>7</v>
      </c>
      <c r="D31346" s="4" t="s">
        <v>11</v>
      </c>
    </row>
    <row r="31347" spans="1:9">
      <c r="A31347" t="n">
        <v>306590</v>
      </c>
      <c r="B31347" s="23" t="n">
        <v>58</v>
      </c>
      <c r="C31347" s="7" t="n">
        <v>255</v>
      </c>
      <c r="D31347" s="7" t="n">
        <v>0</v>
      </c>
    </row>
    <row r="31348" spans="1:9">
      <c r="A31348" t="s">
        <v>4</v>
      </c>
      <c r="B31348" s="4" t="s">
        <v>5</v>
      </c>
      <c r="C31348" s="4" t="s">
        <v>11</v>
      </c>
    </row>
    <row r="31349" spans="1:9">
      <c r="A31349" t="n">
        <v>306594</v>
      </c>
      <c r="B31349" s="29" t="n">
        <v>16</v>
      </c>
      <c r="C31349" s="7" t="n">
        <v>1000</v>
      </c>
    </row>
    <row r="31350" spans="1:9">
      <c r="A31350" t="s">
        <v>4</v>
      </c>
      <c r="B31350" s="4" t="s">
        <v>5</v>
      </c>
      <c r="C31350" s="4" t="s">
        <v>7</v>
      </c>
      <c r="D31350" s="4" t="s">
        <v>11</v>
      </c>
      <c r="E31350" s="4" t="s">
        <v>8</v>
      </c>
    </row>
    <row r="31351" spans="1:9">
      <c r="A31351" t="n">
        <v>306597</v>
      </c>
      <c r="B31351" s="38" t="n">
        <v>51</v>
      </c>
      <c r="C31351" s="7" t="n">
        <v>4</v>
      </c>
      <c r="D31351" s="7" t="n">
        <v>11</v>
      </c>
      <c r="E31351" s="7" t="s">
        <v>1188</v>
      </c>
    </row>
    <row r="31352" spans="1:9">
      <c r="A31352" t="s">
        <v>4</v>
      </c>
      <c r="B31352" s="4" t="s">
        <v>5</v>
      </c>
      <c r="C31352" s="4" t="s">
        <v>11</v>
      </c>
    </row>
    <row r="31353" spans="1:9">
      <c r="A31353" t="n">
        <v>306612</v>
      </c>
      <c r="B31353" s="29" t="n">
        <v>16</v>
      </c>
      <c r="C31353" s="7" t="n">
        <v>0</v>
      </c>
    </row>
    <row r="31354" spans="1:9">
      <c r="A31354" t="s">
        <v>4</v>
      </c>
      <c r="B31354" s="4" t="s">
        <v>5</v>
      </c>
      <c r="C31354" s="4" t="s">
        <v>11</v>
      </c>
      <c r="D31354" s="4" t="s">
        <v>7</v>
      </c>
      <c r="E31354" s="4" t="s">
        <v>15</v>
      </c>
      <c r="F31354" s="4" t="s">
        <v>55</v>
      </c>
      <c r="G31354" s="4" t="s">
        <v>7</v>
      </c>
      <c r="H31354" s="4" t="s">
        <v>7</v>
      </c>
    </row>
    <row r="31355" spans="1:9">
      <c r="A31355" t="n">
        <v>306615</v>
      </c>
      <c r="B31355" s="55" t="n">
        <v>26</v>
      </c>
      <c r="C31355" s="7" t="n">
        <v>11</v>
      </c>
      <c r="D31355" s="7" t="n">
        <v>17</v>
      </c>
      <c r="E31355" s="7" t="n">
        <v>64748</v>
      </c>
      <c r="F31355" s="7" t="s">
        <v>446</v>
      </c>
      <c r="G31355" s="7" t="n">
        <v>2</v>
      </c>
      <c r="H31355" s="7" t="n">
        <v>0</v>
      </c>
    </row>
    <row r="31356" spans="1:9">
      <c r="A31356" t="s">
        <v>4</v>
      </c>
      <c r="B31356" s="4" t="s">
        <v>5</v>
      </c>
    </row>
    <row r="31357" spans="1:9">
      <c r="A31357" t="n">
        <v>306631</v>
      </c>
      <c r="B31357" s="27" t="n">
        <v>28</v>
      </c>
    </row>
    <row r="31358" spans="1:9">
      <c r="A31358" t="s">
        <v>4</v>
      </c>
      <c r="B31358" s="4" t="s">
        <v>5</v>
      </c>
      <c r="C31358" s="4" t="s">
        <v>7</v>
      </c>
      <c r="D31358" s="4" t="s">
        <v>11</v>
      </c>
      <c r="E31358" s="4" t="s">
        <v>8</v>
      </c>
    </row>
    <row r="31359" spans="1:9">
      <c r="A31359" t="n">
        <v>306632</v>
      </c>
      <c r="B31359" s="38" t="n">
        <v>51</v>
      </c>
      <c r="C31359" s="7" t="n">
        <v>4</v>
      </c>
      <c r="D31359" s="7" t="n">
        <v>0</v>
      </c>
      <c r="E31359" s="7" t="s">
        <v>137</v>
      </c>
    </row>
    <row r="31360" spans="1:9">
      <c r="A31360" t="s">
        <v>4</v>
      </c>
      <c r="B31360" s="4" t="s">
        <v>5</v>
      </c>
      <c r="C31360" s="4" t="s">
        <v>11</v>
      </c>
    </row>
    <row r="31361" spans="1:8">
      <c r="A31361" t="n">
        <v>306645</v>
      </c>
      <c r="B31361" s="29" t="n">
        <v>16</v>
      </c>
      <c r="C31361" s="7" t="n">
        <v>0</v>
      </c>
    </row>
    <row r="31362" spans="1:8">
      <c r="A31362" t="s">
        <v>4</v>
      </c>
      <c r="B31362" s="4" t="s">
        <v>5</v>
      </c>
      <c r="C31362" s="4" t="s">
        <v>11</v>
      </c>
      <c r="D31362" s="4" t="s">
        <v>7</v>
      </c>
      <c r="E31362" s="4" t="s">
        <v>15</v>
      </c>
      <c r="F31362" s="4" t="s">
        <v>55</v>
      </c>
      <c r="G31362" s="4" t="s">
        <v>7</v>
      </c>
      <c r="H31362" s="4" t="s">
        <v>7</v>
      </c>
    </row>
    <row r="31363" spans="1:8">
      <c r="A31363" t="n">
        <v>306648</v>
      </c>
      <c r="B31363" s="55" t="n">
        <v>26</v>
      </c>
      <c r="C31363" s="7" t="n">
        <v>0</v>
      </c>
      <c r="D31363" s="7" t="n">
        <v>17</v>
      </c>
      <c r="E31363" s="7" t="n">
        <v>64749</v>
      </c>
      <c r="F31363" s="7" t="s">
        <v>1754</v>
      </c>
      <c r="G31363" s="7" t="n">
        <v>2</v>
      </c>
      <c r="H31363" s="7" t="n">
        <v>0</v>
      </c>
    </row>
    <row r="31364" spans="1:8">
      <c r="A31364" t="s">
        <v>4</v>
      </c>
      <c r="B31364" s="4" t="s">
        <v>5</v>
      </c>
    </row>
    <row r="31365" spans="1:8">
      <c r="A31365" t="n">
        <v>306699</v>
      </c>
      <c r="B31365" s="27" t="n">
        <v>28</v>
      </c>
    </row>
    <row r="31366" spans="1:8">
      <c r="A31366" t="s">
        <v>4</v>
      </c>
      <c r="B31366" s="4" t="s">
        <v>5</v>
      </c>
      <c r="C31366" s="4" t="s">
        <v>7</v>
      </c>
      <c r="D31366" s="4" t="s">
        <v>11</v>
      </c>
      <c r="E31366" s="4" t="s">
        <v>11</v>
      </c>
      <c r="F31366" s="4" t="s">
        <v>7</v>
      </c>
    </row>
    <row r="31367" spans="1:8">
      <c r="A31367" t="n">
        <v>306700</v>
      </c>
      <c r="B31367" s="31" t="n">
        <v>25</v>
      </c>
      <c r="C31367" s="7" t="n">
        <v>1</v>
      </c>
      <c r="D31367" s="7" t="n">
        <v>65535</v>
      </c>
      <c r="E31367" s="7" t="n">
        <v>65535</v>
      </c>
      <c r="F31367" s="7" t="n">
        <v>0</v>
      </c>
    </row>
    <row r="31368" spans="1:8">
      <c r="A31368" t="s">
        <v>4</v>
      </c>
      <c r="B31368" s="4" t="s">
        <v>5</v>
      </c>
      <c r="C31368" s="4" t="s">
        <v>7</v>
      </c>
      <c r="D31368" s="4" t="s">
        <v>11</v>
      </c>
      <c r="E31368" s="4" t="s">
        <v>8</v>
      </c>
      <c r="F31368" s="4" t="s">
        <v>8</v>
      </c>
      <c r="G31368" s="4" t="s">
        <v>8</v>
      </c>
      <c r="H31368" s="4" t="s">
        <v>8</v>
      </c>
    </row>
    <row r="31369" spans="1:8">
      <c r="A31369" t="n">
        <v>306707</v>
      </c>
      <c r="B31369" s="38" t="n">
        <v>51</v>
      </c>
      <c r="C31369" s="7" t="n">
        <v>3</v>
      </c>
      <c r="D31369" s="7" t="n">
        <v>11</v>
      </c>
      <c r="E31369" s="7" t="s">
        <v>154</v>
      </c>
      <c r="F31369" s="7" t="s">
        <v>218</v>
      </c>
      <c r="G31369" s="7" t="s">
        <v>78</v>
      </c>
      <c r="H31369" s="7" t="s">
        <v>79</v>
      </c>
    </row>
    <row r="31370" spans="1:8">
      <c r="A31370" t="s">
        <v>4</v>
      </c>
      <c r="B31370" s="4" t="s">
        <v>5</v>
      </c>
      <c r="C31370" s="4" t="s">
        <v>11</v>
      </c>
      <c r="D31370" s="4" t="s">
        <v>7</v>
      </c>
      <c r="E31370" s="4" t="s">
        <v>13</v>
      </c>
      <c r="F31370" s="4" t="s">
        <v>11</v>
      </c>
    </row>
    <row r="31371" spans="1:8">
      <c r="A31371" t="n">
        <v>306720</v>
      </c>
      <c r="B31371" s="56" t="n">
        <v>59</v>
      </c>
      <c r="C31371" s="7" t="n">
        <v>11</v>
      </c>
      <c r="D31371" s="7" t="n">
        <v>13</v>
      </c>
      <c r="E31371" s="7" t="n">
        <v>0.150000005960464</v>
      </c>
      <c r="F31371" s="7" t="n">
        <v>0</v>
      </c>
    </row>
    <row r="31372" spans="1:8">
      <c r="A31372" t="s">
        <v>4</v>
      </c>
      <c r="B31372" s="4" t="s">
        <v>5</v>
      </c>
      <c r="C31372" s="4" t="s">
        <v>11</v>
      </c>
    </row>
    <row r="31373" spans="1:8">
      <c r="A31373" t="n">
        <v>306730</v>
      </c>
      <c r="B31373" s="29" t="n">
        <v>16</v>
      </c>
      <c r="C31373" s="7" t="n">
        <v>800</v>
      </c>
    </row>
    <row r="31374" spans="1:8">
      <c r="A31374" t="s">
        <v>4</v>
      </c>
      <c r="B31374" s="4" t="s">
        <v>5</v>
      </c>
      <c r="C31374" s="4" t="s">
        <v>11</v>
      </c>
      <c r="D31374" s="4" t="s">
        <v>13</v>
      </c>
      <c r="E31374" s="4" t="s">
        <v>13</v>
      </c>
      <c r="F31374" s="4" t="s">
        <v>13</v>
      </c>
      <c r="G31374" s="4" t="s">
        <v>11</v>
      </c>
      <c r="H31374" s="4" t="s">
        <v>11</v>
      </c>
    </row>
    <row r="31375" spans="1:8">
      <c r="A31375" t="n">
        <v>306733</v>
      </c>
      <c r="B31375" s="37" t="n">
        <v>60</v>
      </c>
      <c r="C31375" s="7" t="n">
        <v>11</v>
      </c>
      <c r="D31375" s="7" t="n">
        <v>0</v>
      </c>
      <c r="E31375" s="7" t="n">
        <v>0</v>
      </c>
      <c r="F31375" s="7" t="n">
        <v>0</v>
      </c>
      <c r="G31375" s="7" t="n">
        <v>800</v>
      </c>
      <c r="H31375" s="7" t="n">
        <v>0</v>
      </c>
    </row>
    <row r="31376" spans="1:8">
      <c r="A31376" t="s">
        <v>4</v>
      </c>
      <c r="B31376" s="4" t="s">
        <v>5</v>
      </c>
      <c r="C31376" s="4" t="s">
        <v>11</v>
      </c>
      <c r="D31376" s="4" t="s">
        <v>13</v>
      </c>
      <c r="E31376" s="4" t="s">
        <v>13</v>
      </c>
      <c r="F31376" s="4" t="s">
        <v>7</v>
      </c>
    </row>
    <row r="31377" spans="1:8">
      <c r="A31377" t="n">
        <v>306752</v>
      </c>
      <c r="B31377" s="65" t="n">
        <v>52</v>
      </c>
      <c r="C31377" s="7" t="n">
        <v>11</v>
      </c>
      <c r="D31377" s="7" t="n">
        <v>312</v>
      </c>
      <c r="E31377" s="7" t="n">
        <v>5</v>
      </c>
      <c r="F31377" s="7" t="n">
        <v>0</v>
      </c>
    </row>
    <row r="31378" spans="1:8">
      <c r="A31378" t="s">
        <v>4</v>
      </c>
      <c r="B31378" s="4" t="s">
        <v>5</v>
      </c>
      <c r="C31378" s="4" t="s">
        <v>11</v>
      </c>
    </row>
    <row r="31379" spans="1:8">
      <c r="A31379" t="n">
        <v>306764</v>
      </c>
      <c r="B31379" s="66" t="n">
        <v>54</v>
      </c>
      <c r="C31379" s="7" t="n">
        <v>11</v>
      </c>
    </row>
    <row r="31380" spans="1:8">
      <c r="A31380" t="s">
        <v>4</v>
      </c>
      <c r="B31380" s="4" t="s">
        <v>5</v>
      </c>
      <c r="C31380" s="4" t="s">
        <v>11</v>
      </c>
      <c r="D31380" s="4" t="s">
        <v>7</v>
      </c>
      <c r="E31380" s="4" t="s">
        <v>8</v>
      </c>
      <c r="F31380" s="4" t="s">
        <v>13</v>
      </c>
      <c r="G31380" s="4" t="s">
        <v>13</v>
      </c>
      <c r="H31380" s="4" t="s">
        <v>13</v>
      </c>
    </row>
    <row r="31381" spans="1:8">
      <c r="A31381" t="n">
        <v>306767</v>
      </c>
      <c r="B31381" s="42" t="n">
        <v>48</v>
      </c>
      <c r="C31381" s="7" t="n">
        <v>11</v>
      </c>
      <c r="D31381" s="7" t="n">
        <v>0</v>
      </c>
      <c r="E31381" s="7" t="s">
        <v>89</v>
      </c>
      <c r="F31381" s="7" t="n">
        <v>-1</v>
      </c>
      <c r="G31381" s="7" t="n">
        <v>1</v>
      </c>
      <c r="H31381" s="7" t="n">
        <v>5.60519385729927e-45</v>
      </c>
    </row>
    <row r="31382" spans="1:8">
      <c r="A31382" t="s">
        <v>4</v>
      </c>
      <c r="B31382" s="4" t="s">
        <v>5</v>
      </c>
      <c r="C31382" s="4" t="s">
        <v>7</v>
      </c>
      <c r="D31382" s="4" t="s">
        <v>11</v>
      </c>
      <c r="E31382" s="4" t="s">
        <v>8</v>
      </c>
    </row>
    <row r="31383" spans="1:8">
      <c r="A31383" t="n">
        <v>306795</v>
      </c>
      <c r="B31383" s="38" t="n">
        <v>51</v>
      </c>
      <c r="C31383" s="7" t="n">
        <v>4</v>
      </c>
      <c r="D31383" s="7" t="n">
        <v>11</v>
      </c>
      <c r="E31383" s="7" t="s">
        <v>313</v>
      </c>
    </row>
    <row r="31384" spans="1:8">
      <c r="A31384" t="s">
        <v>4</v>
      </c>
      <c r="B31384" s="4" t="s">
        <v>5</v>
      </c>
      <c r="C31384" s="4" t="s">
        <v>11</v>
      </c>
    </row>
    <row r="31385" spans="1:8">
      <c r="A31385" t="n">
        <v>306808</v>
      </c>
      <c r="B31385" s="29" t="n">
        <v>16</v>
      </c>
      <c r="C31385" s="7" t="n">
        <v>0</v>
      </c>
    </row>
    <row r="31386" spans="1:8">
      <c r="A31386" t="s">
        <v>4</v>
      </c>
      <c r="B31386" s="4" t="s">
        <v>5</v>
      </c>
      <c r="C31386" s="4" t="s">
        <v>11</v>
      </c>
      <c r="D31386" s="4" t="s">
        <v>7</v>
      </c>
      <c r="E31386" s="4" t="s">
        <v>15</v>
      </c>
      <c r="F31386" s="4" t="s">
        <v>55</v>
      </c>
      <c r="G31386" s="4" t="s">
        <v>7</v>
      </c>
      <c r="H31386" s="4" t="s">
        <v>7</v>
      </c>
      <c r="I31386" s="4" t="s">
        <v>7</v>
      </c>
      <c r="J31386" s="4" t="s">
        <v>15</v>
      </c>
      <c r="K31386" s="4" t="s">
        <v>55</v>
      </c>
      <c r="L31386" s="4" t="s">
        <v>7</v>
      </c>
      <c r="M31386" s="4" t="s">
        <v>7</v>
      </c>
    </row>
    <row r="31387" spans="1:8">
      <c r="A31387" t="n">
        <v>306811</v>
      </c>
      <c r="B31387" s="55" t="n">
        <v>26</v>
      </c>
      <c r="C31387" s="7" t="n">
        <v>11</v>
      </c>
      <c r="D31387" s="7" t="n">
        <v>17</v>
      </c>
      <c r="E31387" s="7" t="n">
        <v>64750</v>
      </c>
      <c r="F31387" s="7" t="s">
        <v>1755</v>
      </c>
      <c r="G31387" s="7" t="n">
        <v>2</v>
      </c>
      <c r="H31387" s="7" t="n">
        <v>3</v>
      </c>
      <c r="I31387" s="7" t="n">
        <v>17</v>
      </c>
      <c r="J31387" s="7" t="n">
        <v>64751</v>
      </c>
      <c r="K31387" s="7" t="s">
        <v>1756</v>
      </c>
      <c r="L31387" s="7" t="n">
        <v>2</v>
      </c>
      <c r="M31387" s="7" t="n">
        <v>0</v>
      </c>
    </row>
    <row r="31388" spans="1:8">
      <c r="A31388" t="s">
        <v>4</v>
      </c>
      <c r="B31388" s="4" t="s">
        <v>5</v>
      </c>
    </row>
    <row r="31389" spans="1:8">
      <c r="A31389" t="n">
        <v>306972</v>
      </c>
      <c r="B31389" s="27" t="n">
        <v>28</v>
      </c>
    </row>
    <row r="31390" spans="1:8">
      <c r="A31390" t="s">
        <v>4</v>
      </c>
      <c r="B31390" s="4" t="s">
        <v>5</v>
      </c>
      <c r="C31390" s="4" t="s">
        <v>7</v>
      </c>
      <c r="D31390" s="4" t="s">
        <v>11</v>
      </c>
      <c r="E31390" s="4" t="s">
        <v>8</v>
      </c>
    </row>
    <row r="31391" spans="1:8">
      <c r="A31391" t="n">
        <v>306973</v>
      </c>
      <c r="B31391" s="38" t="n">
        <v>51</v>
      </c>
      <c r="C31391" s="7" t="n">
        <v>4</v>
      </c>
      <c r="D31391" s="7" t="n">
        <v>0</v>
      </c>
      <c r="E31391" s="7" t="s">
        <v>242</v>
      </c>
    </row>
    <row r="31392" spans="1:8">
      <c r="A31392" t="s">
        <v>4</v>
      </c>
      <c r="B31392" s="4" t="s">
        <v>5</v>
      </c>
      <c r="C31392" s="4" t="s">
        <v>11</v>
      </c>
    </row>
    <row r="31393" spans="1:13">
      <c r="A31393" t="n">
        <v>306987</v>
      </c>
      <c r="B31393" s="29" t="n">
        <v>16</v>
      </c>
      <c r="C31393" s="7" t="n">
        <v>0</v>
      </c>
    </row>
    <row r="31394" spans="1:13">
      <c r="A31394" t="s">
        <v>4</v>
      </c>
      <c r="B31394" s="4" t="s">
        <v>5</v>
      </c>
      <c r="C31394" s="4" t="s">
        <v>11</v>
      </c>
      <c r="D31394" s="4" t="s">
        <v>7</v>
      </c>
      <c r="E31394" s="4" t="s">
        <v>15</v>
      </c>
      <c r="F31394" s="4" t="s">
        <v>55</v>
      </c>
      <c r="G31394" s="4" t="s">
        <v>7</v>
      </c>
      <c r="H31394" s="4" t="s">
        <v>7</v>
      </c>
      <c r="I31394" s="4" t="s">
        <v>7</v>
      </c>
      <c r="J31394" s="4" t="s">
        <v>15</v>
      </c>
      <c r="K31394" s="4" t="s">
        <v>55</v>
      </c>
      <c r="L31394" s="4" t="s">
        <v>7</v>
      </c>
      <c r="M31394" s="4" t="s">
        <v>7</v>
      </c>
      <c r="N31394" s="4" t="s">
        <v>7</v>
      </c>
      <c r="O31394" s="4" t="s">
        <v>15</v>
      </c>
      <c r="P31394" s="4" t="s">
        <v>55</v>
      </c>
      <c r="Q31394" s="4" t="s">
        <v>7</v>
      </c>
      <c r="R31394" s="4" t="s">
        <v>7</v>
      </c>
    </row>
    <row r="31395" spans="1:13">
      <c r="A31395" t="n">
        <v>306990</v>
      </c>
      <c r="B31395" s="55" t="n">
        <v>26</v>
      </c>
      <c r="C31395" s="7" t="n">
        <v>0</v>
      </c>
      <c r="D31395" s="7" t="n">
        <v>17</v>
      </c>
      <c r="E31395" s="7" t="n">
        <v>64752</v>
      </c>
      <c r="F31395" s="7" t="s">
        <v>1757</v>
      </c>
      <c r="G31395" s="7" t="n">
        <v>2</v>
      </c>
      <c r="H31395" s="7" t="n">
        <v>3</v>
      </c>
      <c r="I31395" s="7" t="n">
        <v>17</v>
      </c>
      <c r="J31395" s="7" t="n">
        <v>64753</v>
      </c>
      <c r="K31395" s="7" t="s">
        <v>1758</v>
      </c>
      <c r="L31395" s="7" t="n">
        <v>2</v>
      </c>
      <c r="M31395" s="7" t="n">
        <v>3</v>
      </c>
      <c r="N31395" s="7" t="n">
        <v>17</v>
      </c>
      <c r="O31395" s="7" t="n">
        <v>64754</v>
      </c>
      <c r="P31395" s="7" t="s">
        <v>1759</v>
      </c>
      <c r="Q31395" s="7" t="n">
        <v>2</v>
      </c>
      <c r="R31395" s="7" t="n">
        <v>0</v>
      </c>
    </row>
    <row r="31396" spans="1:13">
      <c r="A31396" t="s">
        <v>4</v>
      </c>
      <c r="B31396" s="4" t="s">
        <v>5</v>
      </c>
    </row>
    <row r="31397" spans="1:13">
      <c r="A31397" t="n">
        <v>307270</v>
      </c>
      <c r="B31397" s="27" t="n">
        <v>28</v>
      </c>
    </row>
    <row r="31398" spans="1:13">
      <c r="A31398" t="s">
        <v>4</v>
      </c>
      <c r="B31398" s="4" t="s">
        <v>5</v>
      </c>
      <c r="C31398" s="4" t="s">
        <v>7</v>
      </c>
      <c r="D31398" s="4" t="s">
        <v>11</v>
      </c>
      <c r="E31398" s="4" t="s">
        <v>11</v>
      </c>
      <c r="F31398" s="4" t="s">
        <v>7</v>
      </c>
    </row>
    <row r="31399" spans="1:13">
      <c r="A31399" t="n">
        <v>307271</v>
      </c>
      <c r="B31399" s="31" t="n">
        <v>25</v>
      </c>
      <c r="C31399" s="7" t="n">
        <v>1</v>
      </c>
      <c r="D31399" s="7" t="n">
        <v>65535</v>
      </c>
      <c r="E31399" s="7" t="n">
        <v>65535</v>
      </c>
      <c r="F31399" s="7" t="n">
        <v>0</v>
      </c>
    </row>
    <row r="31400" spans="1:13">
      <c r="A31400" t="s">
        <v>4</v>
      </c>
      <c r="B31400" s="4" t="s">
        <v>5</v>
      </c>
      <c r="C31400" s="4" t="s">
        <v>7</v>
      </c>
      <c r="D31400" s="4" t="s">
        <v>11</v>
      </c>
      <c r="E31400" s="4" t="s">
        <v>8</v>
      </c>
    </row>
    <row r="31401" spans="1:13">
      <c r="A31401" t="n">
        <v>307278</v>
      </c>
      <c r="B31401" s="38" t="n">
        <v>51</v>
      </c>
      <c r="C31401" s="7" t="n">
        <v>4</v>
      </c>
      <c r="D31401" s="7" t="n">
        <v>11</v>
      </c>
      <c r="E31401" s="7" t="s">
        <v>192</v>
      </c>
    </row>
    <row r="31402" spans="1:13">
      <c r="A31402" t="s">
        <v>4</v>
      </c>
      <c r="B31402" s="4" t="s">
        <v>5</v>
      </c>
      <c r="C31402" s="4" t="s">
        <v>11</v>
      </c>
    </row>
    <row r="31403" spans="1:13">
      <c r="A31403" t="n">
        <v>307291</v>
      </c>
      <c r="B31403" s="29" t="n">
        <v>16</v>
      </c>
      <c r="C31403" s="7" t="n">
        <v>0</v>
      </c>
    </row>
    <row r="31404" spans="1:13">
      <c r="A31404" t="s">
        <v>4</v>
      </c>
      <c r="B31404" s="4" t="s">
        <v>5</v>
      </c>
      <c r="C31404" s="4" t="s">
        <v>11</v>
      </c>
      <c r="D31404" s="4" t="s">
        <v>7</v>
      </c>
      <c r="E31404" s="4" t="s">
        <v>15</v>
      </c>
      <c r="F31404" s="4" t="s">
        <v>55</v>
      </c>
      <c r="G31404" s="4" t="s">
        <v>7</v>
      </c>
      <c r="H31404" s="4" t="s">
        <v>7</v>
      </c>
      <c r="I31404" s="4" t="s">
        <v>7</v>
      </c>
      <c r="J31404" s="4" t="s">
        <v>15</v>
      </c>
      <c r="K31404" s="4" t="s">
        <v>55</v>
      </c>
      <c r="L31404" s="4" t="s">
        <v>7</v>
      </c>
      <c r="M31404" s="4" t="s">
        <v>7</v>
      </c>
      <c r="N31404" s="4" t="s">
        <v>7</v>
      </c>
      <c r="O31404" s="4" t="s">
        <v>15</v>
      </c>
      <c r="P31404" s="4" t="s">
        <v>55</v>
      </c>
      <c r="Q31404" s="4" t="s">
        <v>7</v>
      </c>
      <c r="R31404" s="4" t="s">
        <v>7</v>
      </c>
    </row>
    <row r="31405" spans="1:13">
      <c r="A31405" t="n">
        <v>307294</v>
      </c>
      <c r="B31405" s="55" t="n">
        <v>26</v>
      </c>
      <c r="C31405" s="7" t="n">
        <v>11</v>
      </c>
      <c r="D31405" s="7" t="n">
        <v>17</v>
      </c>
      <c r="E31405" s="7" t="n">
        <v>64755</v>
      </c>
      <c r="F31405" s="7" t="s">
        <v>1760</v>
      </c>
      <c r="G31405" s="7" t="n">
        <v>2</v>
      </c>
      <c r="H31405" s="7" t="n">
        <v>3</v>
      </c>
      <c r="I31405" s="7" t="n">
        <v>17</v>
      </c>
      <c r="J31405" s="7" t="n">
        <v>64756</v>
      </c>
      <c r="K31405" s="7" t="s">
        <v>1761</v>
      </c>
      <c r="L31405" s="7" t="n">
        <v>2</v>
      </c>
      <c r="M31405" s="7" t="n">
        <v>3</v>
      </c>
      <c r="N31405" s="7" t="n">
        <v>17</v>
      </c>
      <c r="O31405" s="7" t="n">
        <v>64757</v>
      </c>
      <c r="P31405" s="7" t="s">
        <v>1762</v>
      </c>
      <c r="Q31405" s="7" t="n">
        <v>2</v>
      </c>
      <c r="R31405" s="7" t="n">
        <v>0</v>
      </c>
    </row>
    <row r="31406" spans="1:13">
      <c r="A31406" t="s">
        <v>4</v>
      </c>
      <c r="B31406" s="4" t="s">
        <v>5</v>
      </c>
    </row>
    <row r="31407" spans="1:13">
      <c r="A31407" t="n">
        <v>307530</v>
      </c>
      <c r="B31407" s="27" t="n">
        <v>28</v>
      </c>
    </row>
    <row r="31408" spans="1:13">
      <c r="A31408" t="s">
        <v>4</v>
      </c>
      <c r="B31408" s="4" t="s">
        <v>5</v>
      </c>
      <c r="C31408" s="4" t="s">
        <v>11</v>
      </c>
      <c r="D31408" s="4" t="s">
        <v>13</v>
      </c>
      <c r="E31408" s="4" t="s">
        <v>13</v>
      </c>
      <c r="F31408" s="4" t="s">
        <v>13</v>
      </c>
      <c r="G31408" s="4" t="s">
        <v>11</v>
      </c>
      <c r="H31408" s="4" t="s">
        <v>11</v>
      </c>
    </row>
    <row r="31409" spans="1:18">
      <c r="A31409" t="n">
        <v>307531</v>
      </c>
      <c r="B31409" s="37" t="n">
        <v>60</v>
      </c>
      <c r="C31409" s="7" t="n">
        <v>0</v>
      </c>
      <c r="D31409" s="7" t="n">
        <v>0</v>
      </c>
      <c r="E31409" s="7" t="n">
        <v>-10</v>
      </c>
      <c r="F31409" s="7" t="n">
        <v>0</v>
      </c>
      <c r="G31409" s="7" t="n">
        <v>1000</v>
      </c>
      <c r="H31409" s="7" t="n">
        <v>0</v>
      </c>
    </row>
    <row r="31410" spans="1:18">
      <c r="A31410" t="s">
        <v>4</v>
      </c>
      <c r="B31410" s="4" t="s">
        <v>5</v>
      </c>
      <c r="C31410" s="4" t="s">
        <v>7</v>
      </c>
      <c r="D31410" s="4" t="s">
        <v>11</v>
      </c>
      <c r="E31410" s="4" t="s">
        <v>8</v>
      </c>
    </row>
    <row r="31411" spans="1:18">
      <c r="A31411" t="n">
        <v>307550</v>
      </c>
      <c r="B31411" s="38" t="n">
        <v>51</v>
      </c>
      <c r="C31411" s="7" t="n">
        <v>4</v>
      </c>
      <c r="D31411" s="7" t="n">
        <v>0</v>
      </c>
      <c r="E31411" s="7" t="s">
        <v>1335</v>
      </c>
    </row>
    <row r="31412" spans="1:18">
      <c r="A31412" t="s">
        <v>4</v>
      </c>
      <c r="B31412" s="4" t="s">
        <v>5</v>
      </c>
      <c r="C31412" s="4" t="s">
        <v>11</v>
      </c>
    </row>
    <row r="31413" spans="1:18">
      <c r="A31413" t="n">
        <v>307564</v>
      </c>
      <c r="B31413" s="29" t="n">
        <v>16</v>
      </c>
      <c r="C31413" s="7" t="n">
        <v>0</v>
      </c>
    </row>
    <row r="31414" spans="1:18">
      <c r="A31414" t="s">
        <v>4</v>
      </c>
      <c r="B31414" s="4" t="s">
        <v>5</v>
      </c>
      <c r="C31414" s="4" t="s">
        <v>11</v>
      </c>
      <c r="D31414" s="4" t="s">
        <v>7</v>
      </c>
      <c r="E31414" s="4" t="s">
        <v>15</v>
      </c>
      <c r="F31414" s="4" t="s">
        <v>55</v>
      </c>
      <c r="G31414" s="4" t="s">
        <v>7</v>
      </c>
      <c r="H31414" s="4" t="s">
        <v>7</v>
      </c>
    </row>
    <row r="31415" spans="1:18">
      <c r="A31415" t="n">
        <v>307567</v>
      </c>
      <c r="B31415" s="55" t="n">
        <v>26</v>
      </c>
      <c r="C31415" s="7" t="n">
        <v>0</v>
      </c>
      <c r="D31415" s="7" t="n">
        <v>17</v>
      </c>
      <c r="E31415" s="7" t="n">
        <v>64268</v>
      </c>
      <c r="F31415" s="7" t="s">
        <v>1618</v>
      </c>
      <c r="G31415" s="7" t="n">
        <v>2</v>
      </c>
      <c r="H31415" s="7" t="n">
        <v>0</v>
      </c>
    </row>
    <row r="31416" spans="1:18">
      <c r="A31416" t="s">
        <v>4</v>
      </c>
      <c r="B31416" s="4" t="s">
        <v>5</v>
      </c>
    </row>
    <row r="31417" spans="1:18">
      <c r="A31417" t="n">
        <v>307586</v>
      </c>
      <c r="B31417" s="27" t="n">
        <v>28</v>
      </c>
    </row>
    <row r="31418" spans="1:18">
      <c r="A31418" t="s">
        <v>4</v>
      </c>
      <c r="B31418" s="4" t="s">
        <v>5</v>
      </c>
      <c r="C31418" s="4" t="s">
        <v>7</v>
      </c>
      <c r="D31418" s="4" t="s">
        <v>11</v>
      </c>
      <c r="E31418" s="4" t="s">
        <v>11</v>
      </c>
      <c r="F31418" s="4" t="s">
        <v>7</v>
      </c>
    </row>
    <row r="31419" spans="1:18">
      <c r="A31419" t="n">
        <v>307587</v>
      </c>
      <c r="B31419" s="31" t="n">
        <v>25</v>
      </c>
      <c r="C31419" s="7" t="n">
        <v>1</v>
      </c>
      <c r="D31419" s="7" t="n">
        <v>65535</v>
      </c>
      <c r="E31419" s="7" t="n">
        <v>65535</v>
      </c>
      <c r="F31419" s="7" t="n">
        <v>0</v>
      </c>
    </row>
    <row r="31420" spans="1:18">
      <c r="A31420" t="s">
        <v>4</v>
      </c>
      <c r="B31420" s="4" t="s">
        <v>5</v>
      </c>
      <c r="C31420" s="4" t="s">
        <v>7</v>
      </c>
      <c r="D31420" s="4" t="s">
        <v>11</v>
      </c>
      <c r="E31420" s="4" t="s">
        <v>8</v>
      </c>
      <c r="F31420" s="4" t="s">
        <v>8</v>
      </c>
      <c r="G31420" s="4" t="s">
        <v>8</v>
      </c>
      <c r="H31420" s="4" t="s">
        <v>8</v>
      </c>
    </row>
    <row r="31421" spans="1:18">
      <c r="A31421" t="n">
        <v>307594</v>
      </c>
      <c r="B31421" s="38" t="n">
        <v>51</v>
      </c>
      <c r="C31421" s="7" t="n">
        <v>3</v>
      </c>
      <c r="D31421" s="7" t="n">
        <v>11</v>
      </c>
      <c r="E31421" s="7" t="s">
        <v>154</v>
      </c>
      <c r="F31421" s="7" t="s">
        <v>218</v>
      </c>
      <c r="G31421" s="7" t="s">
        <v>78</v>
      </c>
      <c r="H31421" s="7" t="s">
        <v>79</v>
      </c>
    </row>
    <row r="31422" spans="1:18">
      <c r="A31422" t="s">
        <v>4</v>
      </c>
      <c r="B31422" s="4" t="s">
        <v>5</v>
      </c>
      <c r="C31422" s="4" t="s">
        <v>11</v>
      </c>
      <c r="D31422" s="4" t="s">
        <v>7</v>
      </c>
      <c r="E31422" s="4" t="s">
        <v>13</v>
      </c>
      <c r="F31422" s="4" t="s">
        <v>11</v>
      </c>
    </row>
    <row r="31423" spans="1:18">
      <c r="A31423" t="n">
        <v>307607</v>
      </c>
      <c r="B31423" s="56" t="n">
        <v>59</v>
      </c>
      <c r="C31423" s="7" t="n">
        <v>11</v>
      </c>
      <c r="D31423" s="7" t="n">
        <v>13</v>
      </c>
      <c r="E31423" s="7" t="n">
        <v>0.150000005960464</v>
      </c>
      <c r="F31423" s="7" t="n">
        <v>0</v>
      </c>
    </row>
    <row r="31424" spans="1:18">
      <c r="A31424" t="s">
        <v>4</v>
      </c>
      <c r="B31424" s="4" t="s">
        <v>5</v>
      </c>
      <c r="C31424" s="4" t="s">
        <v>11</v>
      </c>
    </row>
    <row r="31425" spans="1:8">
      <c r="A31425" t="n">
        <v>307617</v>
      </c>
      <c r="B31425" s="29" t="n">
        <v>16</v>
      </c>
      <c r="C31425" s="7" t="n">
        <v>1000</v>
      </c>
    </row>
    <row r="31426" spans="1:8">
      <c r="A31426" t="s">
        <v>4</v>
      </c>
      <c r="B31426" s="4" t="s">
        <v>5</v>
      </c>
      <c r="C31426" s="4" t="s">
        <v>7</v>
      </c>
      <c r="D31426" s="4" t="s">
        <v>11</v>
      </c>
      <c r="E31426" s="4" t="s">
        <v>8</v>
      </c>
    </row>
    <row r="31427" spans="1:8">
      <c r="A31427" t="n">
        <v>307620</v>
      </c>
      <c r="B31427" s="38" t="n">
        <v>51</v>
      </c>
      <c r="C31427" s="7" t="n">
        <v>4</v>
      </c>
      <c r="D31427" s="7" t="n">
        <v>11</v>
      </c>
      <c r="E31427" s="7" t="s">
        <v>192</v>
      </c>
    </row>
    <row r="31428" spans="1:8">
      <c r="A31428" t="s">
        <v>4</v>
      </c>
      <c r="B31428" s="4" t="s">
        <v>5</v>
      </c>
      <c r="C31428" s="4" t="s">
        <v>11</v>
      </c>
    </row>
    <row r="31429" spans="1:8">
      <c r="A31429" t="n">
        <v>307633</v>
      </c>
      <c r="B31429" s="29" t="n">
        <v>16</v>
      </c>
      <c r="C31429" s="7" t="n">
        <v>0</v>
      </c>
    </row>
    <row r="31430" spans="1:8">
      <c r="A31430" t="s">
        <v>4</v>
      </c>
      <c r="B31430" s="4" t="s">
        <v>5</v>
      </c>
      <c r="C31430" s="4" t="s">
        <v>11</v>
      </c>
      <c r="D31430" s="4" t="s">
        <v>7</v>
      </c>
      <c r="E31430" s="4" t="s">
        <v>15</v>
      </c>
      <c r="F31430" s="4" t="s">
        <v>55</v>
      </c>
      <c r="G31430" s="4" t="s">
        <v>7</v>
      </c>
      <c r="H31430" s="4" t="s">
        <v>7</v>
      </c>
      <c r="I31430" s="4" t="s">
        <v>7</v>
      </c>
      <c r="J31430" s="4" t="s">
        <v>15</v>
      </c>
      <c r="K31430" s="4" t="s">
        <v>55</v>
      </c>
      <c r="L31430" s="4" t="s">
        <v>7</v>
      </c>
      <c r="M31430" s="4" t="s">
        <v>7</v>
      </c>
      <c r="N31430" s="4" t="s">
        <v>7</v>
      </c>
      <c r="O31430" s="4" t="s">
        <v>15</v>
      </c>
      <c r="P31430" s="4" t="s">
        <v>55</v>
      </c>
      <c r="Q31430" s="4" t="s">
        <v>7</v>
      </c>
      <c r="R31430" s="4" t="s">
        <v>7</v>
      </c>
    </row>
    <row r="31431" spans="1:8">
      <c r="A31431" t="n">
        <v>307636</v>
      </c>
      <c r="B31431" s="55" t="n">
        <v>26</v>
      </c>
      <c r="C31431" s="7" t="n">
        <v>11</v>
      </c>
      <c r="D31431" s="7" t="n">
        <v>17</v>
      </c>
      <c r="E31431" s="7" t="n">
        <v>64758</v>
      </c>
      <c r="F31431" s="7" t="s">
        <v>1763</v>
      </c>
      <c r="G31431" s="7" t="n">
        <v>2</v>
      </c>
      <c r="H31431" s="7" t="n">
        <v>3</v>
      </c>
      <c r="I31431" s="7" t="n">
        <v>17</v>
      </c>
      <c r="J31431" s="7" t="n">
        <v>64759</v>
      </c>
      <c r="K31431" s="7" t="s">
        <v>1764</v>
      </c>
      <c r="L31431" s="7" t="n">
        <v>2</v>
      </c>
      <c r="M31431" s="7" t="n">
        <v>3</v>
      </c>
      <c r="N31431" s="7" t="n">
        <v>17</v>
      </c>
      <c r="O31431" s="7" t="n">
        <v>64760</v>
      </c>
      <c r="P31431" s="7" t="s">
        <v>1765</v>
      </c>
      <c r="Q31431" s="7" t="n">
        <v>2</v>
      </c>
      <c r="R31431" s="7" t="n">
        <v>0</v>
      </c>
    </row>
    <row r="31432" spans="1:8">
      <c r="A31432" t="s">
        <v>4</v>
      </c>
      <c r="B31432" s="4" t="s">
        <v>5</v>
      </c>
    </row>
    <row r="31433" spans="1:8">
      <c r="A31433" t="n">
        <v>307875</v>
      </c>
      <c r="B31433" s="27" t="n">
        <v>28</v>
      </c>
    </row>
    <row r="31434" spans="1:8">
      <c r="A31434" t="s">
        <v>4</v>
      </c>
      <c r="B31434" s="4" t="s">
        <v>5</v>
      </c>
      <c r="C31434" s="4" t="s">
        <v>11</v>
      </c>
      <c r="D31434" s="4" t="s">
        <v>13</v>
      </c>
      <c r="E31434" s="4" t="s">
        <v>13</v>
      </c>
      <c r="F31434" s="4" t="s">
        <v>13</v>
      </c>
      <c r="G31434" s="4" t="s">
        <v>11</v>
      </c>
      <c r="H31434" s="4" t="s">
        <v>11</v>
      </c>
    </row>
    <row r="31435" spans="1:8">
      <c r="A31435" t="n">
        <v>307876</v>
      </c>
      <c r="B31435" s="37" t="n">
        <v>60</v>
      </c>
      <c r="C31435" s="7" t="n">
        <v>0</v>
      </c>
      <c r="D31435" s="7" t="n">
        <v>0</v>
      </c>
      <c r="E31435" s="7" t="n">
        <v>0</v>
      </c>
      <c r="F31435" s="7" t="n">
        <v>0</v>
      </c>
      <c r="G31435" s="7" t="n">
        <v>1000</v>
      </c>
      <c r="H31435" s="7" t="n">
        <v>0</v>
      </c>
    </row>
    <row r="31436" spans="1:8">
      <c r="A31436" t="s">
        <v>4</v>
      </c>
      <c r="B31436" s="4" t="s">
        <v>5</v>
      </c>
      <c r="C31436" s="4" t="s">
        <v>7</v>
      </c>
      <c r="D31436" s="4" t="s">
        <v>11</v>
      </c>
      <c r="E31436" s="4" t="s">
        <v>8</v>
      </c>
    </row>
    <row r="31437" spans="1:8">
      <c r="A31437" t="n">
        <v>307895</v>
      </c>
      <c r="B31437" s="38" t="n">
        <v>51</v>
      </c>
      <c r="C31437" s="7" t="n">
        <v>4</v>
      </c>
      <c r="D31437" s="7" t="n">
        <v>0</v>
      </c>
      <c r="E31437" s="7" t="s">
        <v>173</v>
      </c>
    </row>
    <row r="31438" spans="1:8">
      <c r="A31438" t="s">
        <v>4</v>
      </c>
      <c r="B31438" s="4" t="s">
        <v>5</v>
      </c>
      <c r="C31438" s="4" t="s">
        <v>11</v>
      </c>
    </row>
    <row r="31439" spans="1:8">
      <c r="A31439" t="n">
        <v>307908</v>
      </c>
      <c r="B31439" s="29" t="n">
        <v>16</v>
      </c>
      <c r="C31439" s="7" t="n">
        <v>500</v>
      </c>
    </row>
    <row r="31440" spans="1:8">
      <c r="A31440" t="s">
        <v>4</v>
      </c>
      <c r="B31440" s="4" t="s">
        <v>5</v>
      </c>
      <c r="C31440" s="4" t="s">
        <v>11</v>
      </c>
      <c r="D31440" s="4" t="s">
        <v>7</v>
      </c>
      <c r="E31440" s="4" t="s">
        <v>15</v>
      </c>
      <c r="F31440" s="4" t="s">
        <v>55</v>
      </c>
      <c r="G31440" s="4" t="s">
        <v>7</v>
      </c>
      <c r="H31440" s="4" t="s">
        <v>7</v>
      </c>
      <c r="I31440" s="4" t="s">
        <v>7</v>
      </c>
      <c r="J31440" s="4" t="s">
        <v>15</v>
      </c>
      <c r="K31440" s="4" t="s">
        <v>55</v>
      </c>
      <c r="L31440" s="4" t="s">
        <v>7</v>
      </c>
      <c r="M31440" s="4" t="s">
        <v>7</v>
      </c>
    </row>
    <row r="31441" spans="1:18">
      <c r="A31441" t="n">
        <v>307911</v>
      </c>
      <c r="B31441" s="55" t="n">
        <v>26</v>
      </c>
      <c r="C31441" s="7" t="n">
        <v>0</v>
      </c>
      <c r="D31441" s="7" t="n">
        <v>17</v>
      </c>
      <c r="E31441" s="7" t="n">
        <v>64761</v>
      </c>
      <c r="F31441" s="7" t="s">
        <v>1766</v>
      </c>
      <c r="G31441" s="7" t="n">
        <v>2</v>
      </c>
      <c r="H31441" s="7" t="n">
        <v>3</v>
      </c>
      <c r="I31441" s="7" t="n">
        <v>17</v>
      </c>
      <c r="J31441" s="7" t="n">
        <v>64762</v>
      </c>
      <c r="K31441" s="7" t="s">
        <v>1767</v>
      </c>
      <c r="L31441" s="7" t="n">
        <v>2</v>
      </c>
      <c r="M31441" s="7" t="n">
        <v>0</v>
      </c>
    </row>
    <row r="31442" spans="1:18">
      <c r="A31442" t="s">
        <v>4</v>
      </c>
      <c r="B31442" s="4" t="s">
        <v>5</v>
      </c>
    </row>
    <row r="31443" spans="1:18">
      <c r="A31443" t="n">
        <v>308004</v>
      </c>
      <c r="B31443" s="27" t="n">
        <v>28</v>
      </c>
    </row>
    <row r="31444" spans="1:18">
      <c r="A31444" t="s">
        <v>4</v>
      </c>
      <c r="B31444" s="4" t="s">
        <v>5</v>
      </c>
      <c r="C31444" s="4" t="s">
        <v>7</v>
      </c>
      <c r="D31444" s="4" t="s">
        <v>11</v>
      </c>
      <c r="E31444" s="4" t="s">
        <v>11</v>
      </c>
      <c r="F31444" s="4" t="s">
        <v>7</v>
      </c>
    </row>
    <row r="31445" spans="1:18">
      <c r="A31445" t="n">
        <v>308005</v>
      </c>
      <c r="B31445" s="31" t="n">
        <v>25</v>
      </c>
      <c r="C31445" s="7" t="n">
        <v>1</v>
      </c>
      <c r="D31445" s="7" t="n">
        <v>65535</v>
      </c>
      <c r="E31445" s="7" t="n">
        <v>65535</v>
      </c>
      <c r="F31445" s="7" t="n">
        <v>0</v>
      </c>
    </row>
    <row r="31446" spans="1:18">
      <c r="A31446" t="s">
        <v>4</v>
      </c>
      <c r="B31446" s="4" t="s">
        <v>5</v>
      </c>
      <c r="C31446" s="4" t="s">
        <v>7</v>
      </c>
      <c r="D31446" s="4" t="s">
        <v>11</v>
      </c>
      <c r="E31446" s="4" t="s">
        <v>8</v>
      </c>
    </row>
    <row r="31447" spans="1:18">
      <c r="A31447" t="n">
        <v>308012</v>
      </c>
      <c r="B31447" s="38" t="n">
        <v>51</v>
      </c>
      <c r="C31447" s="7" t="n">
        <v>4</v>
      </c>
      <c r="D31447" s="7" t="n">
        <v>11</v>
      </c>
      <c r="E31447" s="7" t="s">
        <v>491</v>
      </c>
    </row>
    <row r="31448" spans="1:18">
      <c r="A31448" t="s">
        <v>4</v>
      </c>
      <c r="B31448" s="4" t="s">
        <v>5</v>
      </c>
      <c r="C31448" s="4" t="s">
        <v>11</v>
      </c>
    </row>
    <row r="31449" spans="1:18">
      <c r="A31449" t="n">
        <v>308026</v>
      </c>
      <c r="B31449" s="29" t="n">
        <v>16</v>
      </c>
      <c r="C31449" s="7" t="n">
        <v>0</v>
      </c>
    </row>
    <row r="31450" spans="1:18">
      <c r="A31450" t="s">
        <v>4</v>
      </c>
      <c r="B31450" s="4" t="s">
        <v>5</v>
      </c>
      <c r="C31450" s="4" t="s">
        <v>11</v>
      </c>
      <c r="D31450" s="4" t="s">
        <v>7</v>
      </c>
      <c r="E31450" s="4" t="s">
        <v>15</v>
      </c>
      <c r="F31450" s="4" t="s">
        <v>55</v>
      </c>
      <c r="G31450" s="4" t="s">
        <v>7</v>
      </c>
      <c r="H31450" s="4" t="s">
        <v>7</v>
      </c>
      <c r="I31450" s="4" t="s">
        <v>7</v>
      </c>
      <c r="J31450" s="4" t="s">
        <v>15</v>
      </c>
      <c r="K31450" s="4" t="s">
        <v>55</v>
      </c>
      <c r="L31450" s="4" t="s">
        <v>7</v>
      </c>
      <c r="M31450" s="4" t="s">
        <v>7</v>
      </c>
    </row>
    <row r="31451" spans="1:18">
      <c r="A31451" t="n">
        <v>308029</v>
      </c>
      <c r="B31451" s="55" t="n">
        <v>26</v>
      </c>
      <c r="C31451" s="7" t="n">
        <v>11</v>
      </c>
      <c r="D31451" s="7" t="n">
        <v>17</v>
      </c>
      <c r="E31451" s="7" t="n">
        <v>64763</v>
      </c>
      <c r="F31451" s="7" t="s">
        <v>1768</v>
      </c>
      <c r="G31451" s="7" t="n">
        <v>2</v>
      </c>
      <c r="H31451" s="7" t="n">
        <v>3</v>
      </c>
      <c r="I31451" s="7" t="n">
        <v>17</v>
      </c>
      <c r="J31451" s="7" t="n">
        <v>64764</v>
      </c>
      <c r="K31451" s="7" t="s">
        <v>1769</v>
      </c>
      <c r="L31451" s="7" t="n">
        <v>2</v>
      </c>
      <c r="M31451" s="7" t="n">
        <v>0</v>
      </c>
    </row>
    <row r="31452" spans="1:18">
      <c r="A31452" t="s">
        <v>4</v>
      </c>
      <c r="B31452" s="4" t="s">
        <v>5</v>
      </c>
    </row>
    <row r="31453" spans="1:18">
      <c r="A31453" t="n">
        <v>308308</v>
      </c>
      <c r="B31453" s="27" t="n">
        <v>28</v>
      </c>
    </row>
    <row r="31454" spans="1:18">
      <c r="A31454" t="s">
        <v>4</v>
      </c>
      <c r="B31454" s="4" t="s">
        <v>5</v>
      </c>
      <c r="C31454" s="4" t="s">
        <v>11</v>
      </c>
      <c r="D31454" s="4" t="s">
        <v>7</v>
      </c>
      <c r="E31454" s="4" t="s">
        <v>13</v>
      </c>
      <c r="F31454" s="4" t="s">
        <v>11</v>
      </c>
    </row>
    <row r="31455" spans="1:18">
      <c r="A31455" t="n">
        <v>308309</v>
      </c>
      <c r="B31455" s="56" t="n">
        <v>59</v>
      </c>
      <c r="C31455" s="7" t="n">
        <v>0</v>
      </c>
      <c r="D31455" s="7" t="n">
        <v>6</v>
      </c>
      <c r="E31455" s="7" t="n">
        <v>0</v>
      </c>
      <c r="F31455" s="7" t="n">
        <v>0</v>
      </c>
    </row>
    <row r="31456" spans="1:18">
      <c r="A31456" t="s">
        <v>4</v>
      </c>
      <c r="B31456" s="4" t="s">
        <v>5</v>
      </c>
      <c r="C31456" s="4" t="s">
        <v>11</v>
      </c>
    </row>
    <row r="31457" spans="1:13">
      <c r="A31457" t="n">
        <v>308319</v>
      </c>
      <c r="B31457" s="29" t="n">
        <v>16</v>
      </c>
      <c r="C31457" s="7" t="n">
        <v>1000</v>
      </c>
    </row>
    <row r="31458" spans="1:13">
      <c r="A31458" t="s">
        <v>4</v>
      </c>
      <c r="B31458" s="4" t="s">
        <v>5</v>
      </c>
      <c r="C31458" s="4" t="s">
        <v>7</v>
      </c>
      <c r="D31458" s="4" t="s">
        <v>11</v>
      </c>
      <c r="E31458" s="4" t="s">
        <v>8</v>
      </c>
    </row>
    <row r="31459" spans="1:13">
      <c r="A31459" t="n">
        <v>308322</v>
      </c>
      <c r="B31459" s="38" t="n">
        <v>51</v>
      </c>
      <c r="C31459" s="7" t="n">
        <v>4</v>
      </c>
      <c r="D31459" s="7" t="n">
        <v>0</v>
      </c>
      <c r="E31459" s="7" t="s">
        <v>775</v>
      </c>
    </row>
    <row r="31460" spans="1:13">
      <c r="A31460" t="s">
        <v>4</v>
      </c>
      <c r="B31460" s="4" t="s">
        <v>5</v>
      </c>
      <c r="C31460" s="4" t="s">
        <v>11</v>
      </c>
    </row>
    <row r="31461" spans="1:13">
      <c r="A31461" t="n">
        <v>308336</v>
      </c>
      <c r="B31461" s="29" t="n">
        <v>16</v>
      </c>
      <c r="C31461" s="7" t="n">
        <v>0</v>
      </c>
    </row>
    <row r="31462" spans="1:13">
      <c r="A31462" t="s">
        <v>4</v>
      </c>
      <c r="B31462" s="4" t="s">
        <v>5</v>
      </c>
      <c r="C31462" s="4" t="s">
        <v>11</v>
      </c>
      <c r="D31462" s="4" t="s">
        <v>7</v>
      </c>
      <c r="E31462" s="4" t="s">
        <v>15</v>
      </c>
      <c r="F31462" s="4" t="s">
        <v>55</v>
      </c>
      <c r="G31462" s="4" t="s">
        <v>7</v>
      </c>
      <c r="H31462" s="4" t="s">
        <v>7</v>
      </c>
    </row>
    <row r="31463" spans="1:13">
      <c r="A31463" t="n">
        <v>308339</v>
      </c>
      <c r="B31463" s="55" t="n">
        <v>26</v>
      </c>
      <c r="C31463" s="7" t="n">
        <v>0</v>
      </c>
      <c r="D31463" s="7" t="n">
        <v>17</v>
      </c>
      <c r="E31463" s="7" t="n">
        <v>64765</v>
      </c>
      <c r="F31463" s="7" t="s">
        <v>1770</v>
      </c>
      <c r="G31463" s="7" t="n">
        <v>2</v>
      </c>
      <c r="H31463" s="7" t="n">
        <v>0</v>
      </c>
    </row>
    <row r="31464" spans="1:13">
      <c r="A31464" t="s">
        <v>4</v>
      </c>
      <c r="B31464" s="4" t="s">
        <v>5</v>
      </c>
    </row>
    <row r="31465" spans="1:13">
      <c r="A31465" t="n">
        <v>308368</v>
      </c>
      <c r="B31465" s="27" t="n">
        <v>28</v>
      </c>
    </row>
    <row r="31466" spans="1:13">
      <c r="A31466" t="s">
        <v>4</v>
      </c>
      <c r="B31466" s="4" t="s">
        <v>5</v>
      </c>
      <c r="C31466" s="4" t="s">
        <v>11</v>
      </c>
      <c r="D31466" s="4" t="s">
        <v>7</v>
      </c>
    </row>
    <row r="31467" spans="1:13">
      <c r="A31467" t="n">
        <v>308369</v>
      </c>
      <c r="B31467" s="68" t="n">
        <v>89</v>
      </c>
      <c r="C31467" s="7" t="n">
        <v>65533</v>
      </c>
      <c r="D31467" s="7" t="n">
        <v>1</v>
      </c>
    </row>
    <row r="31468" spans="1:13">
      <c r="A31468" t="s">
        <v>4</v>
      </c>
      <c r="B31468" s="4" t="s">
        <v>5</v>
      </c>
      <c r="C31468" s="4" t="s">
        <v>7</v>
      </c>
      <c r="D31468" s="4" t="s">
        <v>11</v>
      </c>
      <c r="E31468" s="4" t="s">
        <v>11</v>
      </c>
      <c r="F31468" s="4" t="s">
        <v>7</v>
      </c>
    </row>
    <row r="31469" spans="1:13">
      <c r="A31469" t="n">
        <v>308373</v>
      </c>
      <c r="B31469" s="31" t="n">
        <v>25</v>
      </c>
      <c r="C31469" s="7" t="n">
        <v>1</v>
      </c>
      <c r="D31469" s="7" t="n">
        <v>65535</v>
      </c>
      <c r="E31469" s="7" t="n">
        <v>65535</v>
      </c>
      <c r="F31469" s="7" t="n">
        <v>0</v>
      </c>
    </row>
    <row r="31470" spans="1:13">
      <c r="A31470" t="s">
        <v>4</v>
      </c>
      <c r="B31470" s="4" t="s">
        <v>5</v>
      </c>
      <c r="C31470" s="4" t="s">
        <v>11</v>
      </c>
    </row>
    <row r="31471" spans="1:13">
      <c r="A31471" t="n">
        <v>308380</v>
      </c>
      <c r="B31471" s="29" t="n">
        <v>16</v>
      </c>
      <c r="C31471" s="7" t="n">
        <v>300</v>
      </c>
    </row>
    <row r="31472" spans="1:13">
      <c r="A31472" t="s">
        <v>4</v>
      </c>
      <c r="B31472" s="4" t="s">
        <v>5</v>
      </c>
      <c r="C31472" s="4" t="s">
        <v>7</v>
      </c>
      <c r="D31472" s="4" t="s">
        <v>11</v>
      </c>
      <c r="E31472" s="4" t="s">
        <v>8</v>
      </c>
      <c r="F31472" s="4" t="s">
        <v>8</v>
      </c>
      <c r="G31472" s="4" t="s">
        <v>8</v>
      </c>
      <c r="H31472" s="4" t="s">
        <v>8</v>
      </c>
    </row>
    <row r="31473" spans="1:8">
      <c r="A31473" t="n">
        <v>308383</v>
      </c>
      <c r="B31473" s="38" t="n">
        <v>51</v>
      </c>
      <c r="C31473" s="7" t="n">
        <v>3</v>
      </c>
      <c r="D31473" s="7" t="n">
        <v>11</v>
      </c>
      <c r="E31473" s="7" t="s">
        <v>86</v>
      </c>
      <c r="F31473" s="7" t="s">
        <v>79</v>
      </c>
      <c r="G31473" s="7" t="s">
        <v>78</v>
      </c>
      <c r="H31473" s="7" t="s">
        <v>79</v>
      </c>
    </row>
    <row r="31474" spans="1:8">
      <c r="A31474" t="s">
        <v>4</v>
      </c>
      <c r="B31474" s="4" t="s">
        <v>5</v>
      </c>
      <c r="C31474" s="4" t="s">
        <v>7</v>
      </c>
      <c r="D31474" s="4" t="s">
        <v>11</v>
      </c>
      <c r="E31474" s="4" t="s">
        <v>8</v>
      </c>
      <c r="F31474" s="4" t="s">
        <v>8</v>
      </c>
      <c r="G31474" s="4" t="s">
        <v>8</v>
      </c>
      <c r="H31474" s="4" t="s">
        <v>8</v>
      </c>
    </row>
    <row r="31475" spans="1:8">
      <c r="A31475" t="n">
        <v>308396</v>
      </c>
      <c r="B31475" s="38" t="n">
        <v>51</v>
      </c>
      <c r="C31475" s="7" t="n">
        <v>3</v>
      </c>
      <c r="D31475" s="7" t="n">
        <v>11</v>
      </c>
      <c r="E31475" s="7" t="s">
        <v>232</v>
      </c>
      <c r="F31475" s="7" t="s">
        <v>99</v>
      </c>
      <c r="G31475" s="7" t="s">
        <v>78</v>
      </c>
      <c r="H31475" s="7" t="s">
        <v>79</v>
      </c>
    </row>
    <row r="31476" spans="1:8">
      <c r="A31476" t="s">
        <v>4</v>
      </c>
      <c r="B31476" s="4" t="s">
        <v>5</v>
      </c>
      <c r="C31476" s="4" t="s">
        <v>11</v>
      </c>
      <c r="D31476" s="4" t="s">
        <v>11</v>
      </c>
      <c r="E31476" s="4" t="s">
        <v>13</v>
      </c>
      <c r="F31476" s="4" t="s">
        <v>13</v>
      </c>
      <c r="G31476" s="4" t="s">
        <v>13</v>
      </c>
      <c r="H31476" s="4" t="s">
        <v>13</v>
      </c>
      <c r="I31476" s="4" t="s">
        <v>7</v>
      </c>
      <c r="J31476" s="4" t="s">
        <v>11</v>
      </c>
    </row>
    <row r="31477" spans="1:8">
      <c r="A31477" t="n">
        <v>308409</v>
      </c>
      <c r="B31477" s="53" t="n">
        <v>55</v>
      </c>
      <c r="C31477" s="7" t="n">
        <v>11</v>
      </c>
      <c r="D31477" s="7" t="n">
        <v>65533</v>
      </c>
      <c r="E31477" s="7" t="n">
        <v>1.27999997138977</v>
      </c>
      <c r="F31477" s="7" t="n">
        <v>10.0100002288818</v>
      </c>
      <c r="G31477" s="7" t="n">
        <v>30.2199993133545</v>
      </c>
      <c r="H31477" s="7" t="n">
        <v>0.5</v>
      </c>
      <c r="I31477" s="7" t="n">
        <v>1</v>
      </c>
      <c r="J31477" s="7" t="n">
        <v>0</v>
      </c>
    </row>
    <row r="31478" spans="1:8">
      <c r="A31478" t="s">
        <v>4</v>
      </c>
      <c r="B31478" s="4" t="s">
        <v>5</v>
      </c>
      <c r="C31478" s="4" t="s">
        <v>11</v>
      </c>
    </row>
    <row r="31479" spans="1:8">
      <c r="A31479" t="n">
        <v>308433</v>
      </c>
      <c r="B31479" s="29" t="n">
        <v>16</v>
      </c>
      <c r="C31479" s="7" t="n">
        <v>1000</v>
      </c>
    </row>
    <row r="31480" spans="1:8">
      <c r="A31480" t="s">
        <v>4</v>
      </c>
      <c r="B31480" s="4" t="s">
        <v>5</v>
      </c>
      <c r="C31480" s="4" t="s">
        <v>7</v>
      </c>
      <c r="D31480" s="4" t="s">
        <v>11</v>
      </c>
      <c r="E31480" s="4" t="s">
        <v>13</v>
      </c>
    </row>
    <row r="31481" spans="1:8">
      <c r="A31481" t="n">
        <v>308436</v>
      </c>
      <c r="B31481" s="23" t="n">
        <v>58</v>
      </c>
      <c r="C31481" s="7" t="n">
        <v>101</v>
      </c>
      <c r="D31481" s="7" t="n">
        <v>800</v>
      </c>
      <c r="E31481" s="7" t="n">
        <v>1</v>
      </c>
    </row>
    <row r="31482" spans="1:8">
      <c r="A31482" t="s">
        <v>4</v>
      </c>
      <c r="B31482" s="4" t="s">
        <v>5</v>
      </c>
      <c r="C31482" s="4" t="s">
        <v>7</v>
      </c>
      <c r="D31482" s="4" t="s">
        <v>11</v>
      </c>
    </row>
    <row r="31483" spans="1:8">
      <c r="A31483" t="n">
        <v>308444</v>
      </c>
      <c r="B31483" s="23" t="n">
        <v>58</v>
      </c>
      <c r="C31483" s="7" t="n">
        <v>254</v>
      </c>
      <c r="D31483" s="7" t="n">
        <v>0</v>
      </c>
    </row>
    <row r="31484" spans="1:8">
      <c r="A31484" t="s">
        <v>4</v>
      </c>
      <c r="B31484" s="4" t="s">
        <v>5</v>
      </c>
      <c r="C31484" s="4" t="s">
        <v>11</v>
      </c>
      <c r="D31484" s="4" t="s">
        <v>7</v>
      </c>
    </row>
    <row r="31485" spans="1:8">
      <c r="A31485" t="n">
        <v>308448</v>
      </c>
      <c r="B31485" s="54" t="n">
        <v>56</v>
      </c>
      <c r="C31485" s="7" t="n">
        <v>11</v>
      </c>
      <c r="D31485" s="7" t="n">
        <v>1</v>
      </c>
    </row>
    <row r="31486" spans="1:8">
      <c r="A31486" t="s">
        <v>4</v>
      </c>
      <c r="B31486" s="4" t="s">
        <v>5</v>
      </c>
      <c r="C31486" s="4" t="s">
        <v>11</v>
      </c>
      <c r="D31486" s="4" t="s">
        <v>13</v>
      </c>
      <c r="E31486" s="4" t="s">
        <v>13</v>
      </c>
      <c r="F31486" s="4" t="s">
        <v>13</v>
      </c>
      <c r="G31486" s="4" t="s">
        <v>13</v>
      </c>
    </row>
    <row r="31487" spans="1:8">
      <c r="A31487" t="n">
        <v>308452</v>
      </c>
      <c r="B31487" s="36" t="n">
        <v>46</v>
      </c>
      <c r="C31487" s="7" t="n">
        <v>11</v>
      </c>
      <c r="D31487" s="7" t="n">
        <v>1.25</v>
      </c>
      <c r="E31487" s="7" t="n">
        <v>10.0100002288818</v>
      </c>
      <c r="F31487" s="7" t="n">
        <v>30.1900005340576</v>
      </c>
      <c r="G31487" s="7" t="n">
        <v>306.299987792969</v>
      </c>
    </row>
    <row r="31488" spans="1:8">
      <c r="A31488" t="s">
        <v>4</v>
      </c>
      <c r="B31488" s="4" t="s">
        <v>5</v>
      </c>
      <c r="C31488" s="4" t="s">
        <v>11</v>
      </c>
      <c r="D31488" s="4" t="s">
        <v>11</v>
      </c>
      <c r="E31488" s="4" t="s">
        <v>11</v>
      </c>
    </row>
    <row r="31489" spans="1:10">
      <c r="A31489" t="n">
        <v>308471</v>
      </c>
      <c r="B31489" s="72" t="n">
        <v>61</v>
      </c>
      <c r="C31489" s="7" t="n">
        <v>11</v>
      </c>
      <c r="D31489" s="7" t="n">
        <v>65533</v>
      </c>
      <c r="E31489" s="7" t="n">
        <v>0</v>
      </c>
    </row>
    <row r="31490" spans="1:10">
      <c r="A31490" t="s">
        <v>4</v>
      </c>
      <c r="B31490" s="4" t="s">
        <v>5</v>
      </c>
      <c r="C31490" s="4" t="s">
        <v>11</v>
      </c>
      <c r="D31490" s="4" t="s">
        <v>11</v>
      </c>
      <c r="E31490" s="4" t="s">
        <v>11</v>
      </c>
    </row>
    <row r="31491" spans="1:10">
      <c r="A31491" t="n">
        <v>308478</v>
      </c>
      <c r="B31491" s="72" t="n">
        <v>61</v>
      </c>
      <c r="C31491" s="7" t="n">
        <v>0</v>
      </c>
      <c r="D31491" s="7" t="n">
        <v>65533</v>
      </c>
      <c r="E31491" s="7" t="n">
        <v>0</v>
      </c>
    </row>
    <row r="31492" spans="1:10">
      <c r="A31492" t="s">
        <v>4</v>
      </c>
      <c r="B31492" s="4" t="s">
        <v>5</v>
      </c>
      <c r="C31492" s="4" t="s">
        <v>11</v>
      </c>
      <c r="D31492" s="4" t="s">
        <v>13</v>
      </c>
      <c r="E31492" s="4" t="s">
        <v>13</v>
      </c>
      <c r="F31492" s="4" t="s">
        <v>13</v>
      </c>
      <c r="G31492" s="4" t="s">
        <v>11</v>
      </c>
      <c r="H31492" s="4" t="s">
        <v>11</v>
      </c>
    </row>
    <row r="31493" spans="1:10">
      <c r="A31493" t="n">
        <v>308485</v>
      </c>
      <c r="B31493" s="37" t="n">
        <v>60</v>
      </c>
      <c r="C31493" s="7" t="n">
        <v>11</v>
      </c>
      <c r="D31493" s="7" t="n">
        <v>0</v>
      </c>
      <c r="E31493" s="7" t="n">
        <v>0</v>
      </c>
      <c r="F31493" s="7" t="n">
        <v>0</v>
      </c>
      <c r="G31493" s="7" t="n">
        <v>0</v>
      </c>
      <c r="H31493" s="7" t="n">
        <v>0</v>
      </c>
    </row>
    <row r="31494" spans="1:10">
      <c r="A31494" t="s">
        <v>4</v>
      </c>
      <c r="B31494" s="4" t="s">
        <v>5</v>
      </c>
      <c r="C31494" s="4" t="s">
        <v>11</v>
      </c>
      <c r="D31494" s="4" t="s">
        <v>13</v>
      </c>
      <c r="E31494" s="4" t="s">
        <v>13</v>
      </c>
      <c r="F31494" s="4" t="s">
        <v>13</v>
      </c>
      <c r="G31494" s="4" t="s">
        <v>11</v>
      </c>
      <c r="H31494" s="4" t="s">
        <v>11</v>
      </c>
    </row>
    <row r="31495" spans="1:10">
      <c r="A31495" t="n">
        <v>308504</v>
      </c>
      <c r="B31495" s="37" t="n">
        <v>60</v>
      </c>
      <c r="C31495" s="7" t="n">
        <v>0</v>
      </c>
      <c r="D31495" s="7" t="n">
        <v>0</v>
      </c>
      <c r="E31495" s="7" t="n">
        <v>0</v>
      </c>
      <c r="F31495" s="7" t="n">
        <v>0</v>
      </c>
      <c r="G31495" s="7" t="n">
        <v>0</v>
      </c>
      <c r="H31495" s="7" t="n">
        <v>0</v>
      </c>
    </row>
    <row r="31496" spans="1:10">
      <c r="A31496" t="s">
        <v>4</v>
      </c>
      <c r="B31496" s="4" t="s">
        <v>5</v>
      </c>
      <c r="C31496" s="4" t="s">
        <v>7</v>
      </c>
      <c r="D31496" s="4" t="s">
        <v>7</v>
      </c>
      <c r="E31496" s="4" t="s">
        <v>13</v>
      </c>
      <c r="F31496" s="4" t="s">
        <v>13</v>
      </c>
      <c r="G31496" s="4" t="s">
        <v>13</v>
      </c>
      <c r="H31496" s="4" t="s">
        <v>11</v>
      </c>
    </row>
    <row r="31497" spans="1:10">
      <c r="A31497" t="n">
        <v>308523</v>
      </c>
      <c r="B31497" s="51" t="n">
        <v>45</v>
      </c>
      <c r="C31497" s="7" t="n">
        <v>2</v>
      </c>
      <c r="D31497" s="7" t="n">
        <v>3</v>
      </c>
      <c r="E31497" s="7" t="n">
        <v>1.07000005245209</v>
      </c>
      <c r="F31497" s="7" t="n">
        <v>11.3900003433228</v>
      </c>
      <c r="G31497" s="7" t="n">
        <v>30.3199996948242</v>
      </c>
      <c r="H31497" s="7" t="n">
        <v>0</v>
      </c>
    </row>
    <row r="31498" spans="1:10">
      <c r="A31498" t="s">
        <v>4</v>
      </c>
      <c r="B31498" s="4" t="s">
        <v>5</v>
      </c>
      <c r="C31498" s="4" t="s">
        <v>7</v>
      </c>
      <c r="D31498" s="4" t="s">
        <v>7</v>
      </c>
      <c r="E31498" s="4" t="s">
        <v>13</v>
      </c>
      <c r="F31498" s="4" t="s">
        <v>13</v>
      </c>
      <c r="G31498" s="4" t="s">
        <v>13</v>
      </c>
      <c r="H31498" s="4" t="s">
        <v>11</v>
      </c>
      <c r="I31498" s="4" t="s">
        <v>7</v>
      </c>
    </row>
    <row r="31499" spans="1:10">
      <c r="A31499" t="n">
        <v>308540</v>
      </c>
      <c r="B31499" s="51" t="n">
        <v>45</v>
      </c>
      <c r="C31499" s="7" t="n">
        <v>4</v>
      </c>
      <c r="D31499" s="7" t="n">
        <v>3</v>
      </c>
      <c r="E31499" s="7" t="n">
        <v>1.37000000476837</v>
      </c>
      <c r="F31499" s="7" t="n">
        <v>143.259994506836</v>
      </c>
      <c r="G31499" s="7" t="n">
        <v>354</v>
      </c>
      <c r="H31499" s="7" t="n">
        <v>0</v>
      </c>
      <c r="I31499" s="7" t="n">
        <v>0</v>
      </c>
    </row>
    <row r="31500" spans="1:10">
      <c r="A31500" t="s">
        <v>4</v>
      </c>
      <c r="B31500" s="4" t="s">
        <v>5</v>
      </c>
      <c r="C31500" s="4" t="s">
        <v>7</v>
      </c>
      <c r="D31500" s="4" t="s">
        <v>7</v>
      </c>
      <c r="E31500" s="4" t="s">
        <v>13</v>
      </c>
      <c r="F31500" s="4" t="s">
        <v>11</v>
      </c>
    </row>
    <row r="31501" spans="1:10">
      <c r="A31501" t="n">
        <v>308558</v>
      </c>
      <c r="B31501" s="51" t="n">
        <v>45</v>
      </c>
      <c r="C31501" s="7" t="n">
        <v>5</v>
      </c>
      <c r="D31501" s="7" t="n">
        <v>3</v>
      </c>
      <c r="E31501" s="7" t="n">
        <v>1.20000004768372</v>
      </c>
      <c r="F31501" s="7" t="n">
        <v>0</v>
      </c>
    </row>
    <row r="31502" spans="1:10">
      <c r="A31502" t="s">
        <v>4</v>
      </c>
      <c r="B31502" s="4" t="s">
        <v>5</v>
      </c>
      <c r="C31502" s="4" t="s">
        <v>11</v>
      </c>
      <c r="D31502" s="4" t="s">
        <v>7</v>
      </c>
      <c r="E31502" s="4" t="s">
        <v>8</v>
      </c>
      <c r="F31502" s="4" t="s">
        <v>13</v>
      </c>
      <c r="G31502" s="4" t="s">
        <v>13</v>
      </c>
      <c r="H31502" s="4" t="s">
        <v>13</v>
      </c>
    </row>
    <row r="31503" spans="1:10">
      <c r="A31503" t="n">
        <v>308567</v>
      </c>
      <c r="B31503" s="42" t="n">
        <v>48</v>
      </c>
      <c r="C31503" s="7" t="n">
        <v>11</v>
      </c>
      <c r="D31503" s="7" t="n">
        <v>0</v>
      </c>
      <c r="E31503" s="7" t="s">
        <v>1752</v>
      </c>
      <c r="F31503" s="7" t="n">
        <v>-1</v>
      </c>
      <c r="G31503" s="7" t="n">
        <v>1</v>
      </c>
      <c r="H31503" s="7" t="n">
        <v>0</v>
      </c>
    </row>
    <row r="31504" spans="1:10">
      <c r="A31504" t="s">
        <v>4</v>
      </c>
      <c r="B31504" s="4" t="s">
        <v>5</v>
      </c>
      <c r="C31504" s="4" t="s">
        <v>11</v>
      </c>
      <c r="D31504" s="4" t="s">
        <v>7</v>
      </c>
      <c r="E31504" s="4" t="s">
        <v>8</v>
      </c>
      <c r="F31504" s="4" t="s">
        <v>13</v>
      </c>
      <c r="G31504" s="4" t="s">
        <v>13</v>
      </c>
      <c r="H31504" s="4" t="s">
        <v>13</v>
      </c>
    </row>
    <row r="31505" spans="1:9">
      <c r="A31505" t="n">
        <v>308593</v>
      </c>
      <c r="B31505" s="42" t="n">
        <v>48</v>
      </c>
      <c r="C31505" s="7" t="n">
        <v>0</v>
      </c>
      <c r="D31505" s="7" t="n">
        <v>0</v>
      </c>
      <c r="E31505" s="7" t="s">
        <v>1752</v>
      </c>
      <c r="F31505" s="7" t="n">
        <v>-1</v>
      </c>
      <c r="G31505" s="7" t="n">
        <v>1</v>
      </c>
      <c r="H31505" s="7" t="n">
        <v>0</v>
      </c>
    </row>
    <row r="31506" spans="1:9">
      <c r="A31506" t="s">
        <v>4</v>
      </c>
      <c r="B31506" s="4" t="s">
        <v>5</v>
      </c>
      <c r="C31506" s="4" t="s">
        <v>7</v>
      </c>
      <c r="D31506" s="4" t="s">
        <v>11</v>
      </c>
      <c r="E31506" s="4" t="s">
        <v>8</v>
      </c>
      <c r="F31506" s="4" t="s">
        <v>8</v>
      </c>
      <c r="G31506" s="4" t="s">
        <v>8</v>
      </c>
      <c r="H31506" s="4" t="s">
        <v>8</v>
      </c>
    </row>
    <row r="31507" spans="1:9">
      <c r="A31507" t="n">
        <v>308619</v>
      </c>
      <c r="B31507" s="38" t="n">
        <v>51</v>
      </c>
      <c r="C31507" s="7" t="n">
        <v>3</v>
      </c>
      <c r="D31507" s="7" t="n">
        <v>11</v>
      </c>
      <c r="E31507" s="7" t="s">
        <v>319</v>
      </c>
      <c r="F31507" s="7" t="s">
        <v>232</v>
      </c>
      <c r="G31507" s="7" t="s">
        <v>78</v>
      </c>
      <c r="H31507" s="7" t="s">
        <v>79</v>
      </c>
    </row>
    <row r="31508" spans="1:9">
      <c r="A31508" t="s">
        <v>4</v>
      </c>
      <c r="B31508" s="4" t="s">
        <v>5</v>
      </c>
      <c r="C31508" s="4" t="s">
        <v>7</v>
      </c>
      <c r="D31508" s="4" t="s">
        <v>11</v>
      </c>
      <c r="E31508" s="4" t="s">
        <v>13</v>
      </c>
      <c r="F31508" s="4" t="s">
        <v>11</v>
      </c>
      <c r="G31508" s="4" t="s">
        <v>15</v>
      </c>
      <c r="H31508" s="4" t="s">
        <v>15</v>
      </c>
      <c r="I31508" s="4" t="s">
        <v>11</v>
      </c>
      <c r="J31508" s="4" t="s">
        <v>11</v>
      </c>
      <c r="K31508" s="4" t="s">
        <v>15</v>
      </c>
      <c r="L31508" s="4" t="s">
        <v>15</v>
      </c>
      <c r="M31508" s="4" t="s">
        <v>15</v>
      </c>
      <c r="N31508" s="4" t="s">
        <v>15</v>
      </c>
      <c r="O31508" s="4" t="s">
        <v>8</v>
      </c>
    </row>
    <row r="31509" spans="1:9">
      <c r="A31509" t="n">
        <v>308632</v>
      </c>
      <c r="B31509" s="57" t="n">
        <v>50</v>
      </c>
      <c r="C31509" s="7" t="n">
        <v>0</v>
      </c>
      <c r="D31509" s="7" t="n">
        <v>2004</v>
      </c>
      <c r="E31509" s="7" t="n">
        <v>0.699999988079071</v>
      </c>
      <c r="F31509" s="7" t="n">
        <v>100</v>
      </c>
      <c r="G31509" s="7" t="n">
        <v>0</v>
      </c>
      <c r="H31509" s="7" t="n">
        <v>1065353216</v>
      </c>
      <c r="I31509" s="7" t="n">
        <v>0</v>
      </c>
      <c r="J31509" s="7" t="n">
        <v>65533</v>
      </c>
      <c r="K31509" s="7" t="n">
        <v>0</v>
      </c>
      <c r="L31509" s="7" t="n">
        <v>0</v>
      </c>
      <c r="M31509" s="7" t="n">
        <v>0</v>
      </c>
      <c r="N31509" s="7" t="n">
        <v>0</v>
      </c>
      <c r="O31509" s="7" t="s">
        <v>16</v>
      </c>
    </row>
    <row r="31510" spans="1:9">
      <c r="A31510" t="s">
        <v>4</v>
      </c>
      <c r="B31510" s="4" t="s">
        <v>5</v>
      </c>
      <c r="C31510" s="4" t="s">
        <v>7</v>
      </c>
      <c r="D31510" s="4" t="s">
        <v>7</v>
      </c>
      <c r="E31510" s="4" t="s">
        <v>13</v>
      </c>
      <c r="F31510" s="4" t="s">
        <v>13</v>
      </c>
      <c r="G31510" s="4" t="s">
        <v>13</v>
      </c>
      <c r="H31510" s="4" t="s">
        <v>11</v>
      </c>
    </row>
    <row r="31511" spans="1:9">
      <c r="A31511" t="n">
        <v>308671</v>
      </c>
      <c r="B31511" s="51" t="n">
        <v>45</v>
      </c>
      <c r="C31511" s="7" t="n">
        <v>2</v>
      </c>
      <c r="D31511" s="7" t="n">
        <v>3</v>
      </c>
      <c r="E31511" s="7" t="n">
        <v>1.07000005245209</v>
      </c>
      <c r="F31511" s="7" t="n">
        <v>11.4399995803833</v>
      </c>
      <c r="G31511" s="7" t="n">
        <v>30.3199996948242</v>
      </c>
      <c r="H31511" s="7" t="n">
        <v>3500</v>
      </c>
    </row>
    <row r="31512" spans="1:9">
      <c r="A31512" t="s">
        <v>4</v>
      </c>
      <c r="B31512" s="4" t="s">
        <v>5</v>
      </c>
      <c r="C31512" s="4" t="s">
        <v>7</v>
      </c>
      <c r="D31512" s="4" t="s">
        <v>7</v>
      </c>
      <c r="E31512" s="4" t="s">
        <v>13</v>
      </c>
      <c r="F31512" s="4" t="s">
        <v>13</v>
      </c>
      <c r="G31512" s="4" t="s">
        <v>13</v>
      </c>
      <c r="H31512" s="4" t="s">
        <v>11</v>
      </c>
      <c r="I31512" s="4" t="s">
        <v>7</v>
      </c>
    </row>
    <row r="31513" spans="1:9">
      <c r="A31513" t="n">
        <v>308688</v>
      </c>
      <c r="B31513" s="51" t="n">
        <v>45</v>
      </c>
      <c r="C31513" s="7" t="n">
        <v>4</v>
      </c>
      <c r="D31513" s="7" t="n">
        <v>3</v>
      </c>
      <c r="E31513" s="7" t="n">
        <v>9.25</v>
      </c>
      <c r="F31513" s="7" t="n">
        <v>284.279998779297</v>
      </c>
      <c r="G31513" s="7" t="n">
        <v>354</v>
      </c>
      <c r="H31513" s="7" t="n">
        <v>3500</v>
      </c>
      <c r="I31513" s="7" t="n">
        <v>0</v>
      </c>
    </row>
    <row r="31514" spans="1:9">
      <c r="A31514" t="s">
        <v>4</v>
      </c>
      <c r="B31514" s="4" t="s">
        <v>5</v>
      </c>
      <c r="C31514" s="4" t="s">
        <v>7</v>
      </c>
      <c r="D31514" s="4" t="s">
        <v>7</v>
      </c>
      <c r="E31514" s="4" t="s">
        <v>13</v>
      </c>
      <c r="F31514" s="4" t="s">
        <v>11</v>
      </c>
    </row>
    <row r="31515" spans="1:9">
      <c r="A31515" t="n">
        <v>308706</v>
      </c>
      <c r="B31515" s="51" t="n">
        <v>45</v>
      </c>
      <c r="C31515" s="7" t="n">
        <v>5</v>
      </c>
      <c r="D31515" s="7" t="n">
        <v>3</v>
      </c>
      <c r="E31515" s="7" t="n">
        <v>0.899999976158142</v>
      </c>
      <c r="F31515" s="7" t="n">
        <v>3500</v>
      </c>
    </row>
    <row r="31516" spans="1:9">
      <c r="A31516" t="s">
        <v>4</v>
      </c>
      <c r="B31516" s="4" t="s">
        <v>5</v>
      </c>
      <c r="C31516" s="4" t="s">
        <v>11</v>
      </c>
    </row>
    <row r="31517" spans="1:9">
      <c r="A31517" t="n">
        <v>308715</v>
      </c>
      <c r="B31517" s="29" t="n">
        <v>16</v>
      </c>
      <c r="C31517" s="7" t="n">
        <v>300</v>
      </c>
    </row>
    <row r="31518" spans="1:9">
      <c r="A31518" t="s">
        <v>4</v>
      </c>
      <c r="B31518" s="4" t="s">
        <v>5</v>
      </c>
      <c r="C31518" s="4" t="s">
        <v>7</v>
      </c>
      <c r="D31518" s="4" t="s">
        <v>11</v>
      </c>
      <c r="E31518" s="4" t="s">
        <v>8</v>
      </c>
      <c r="F31518" s="4" t="s">
        <v>8</v>
      </c>
      <c r="G31518" s="4" t="s">
        <v>8</v>
      </c>
      <c r="H31518" s="4" t="s">
        <v>8</v>
      </c>
    </row>
    <row r="31519" spans="1:9">
      <c r="A31519" t="n">
        <v>308718</v>
      </c>
      <c r="B31519" s="38" t="n">
        <v>51</v>
      </c>
      <c r="C31519" s="7" t="n">
        <v>3</v>
      </c>
      <c r="D31519" s="7" t="n">
        <v>0</v>
      </c>
      <c r="E31519" s="7" t="s">
        <v>154</v>
      </c>
      <c r="F31519" s="7" t="s">
        <v>218</v>
      </c>
      <c r="G31519" s="7" t="s">
        <v>78</v>
      </c>
      <c r="H31519" s="7" t="s">
        <v>79</v>
      </c>
    </row>
    <row r="31520" spans="1:9">
      <c r="A31520" t="s">
        <v>4</v>
      </c>
      <c r="B31520" s="4" t="s">
        <v>5</v>
      </c>
      <c r="C31520" s="4" t="s">
        <v>11</v>
      </c>
    </row>
    <row r="31521" spans="1:15">
      <c r="A31521" t="n">
        <v>308731</v>
      </c>
      <c r="B31521" s="29" t="n">
        <v>16</v>
      </c>
      <c r="C31521" s="7" t="n">
        <v>3500</v>
      </c>
    </row>
    <row r="31522" spans="1:15">
      <c r="A31522" t="s">
        <v>4</v>
      </c>
      <c r="B31522" s="4" t="s">
        <v>5</v>
      </c>
      <c r="C31522" s="4" t="s">
        <v>11</v>
      </c>
      <c r="D31522" s="4" t="s">
        <v>7</v>
      </c>
      <c r="E31522" s="4" t="s">
        <v>13</v>
      </c>
      <c r="F31522" s="4" t="s">
        <v>11</v>
      </c>
    </row>
    <row r="31523" spans="1:15">
      <c r="A31523" t="n">
        <v>308734</v>
      </c>
      <c r="B31523" s="56" t="n">
        <v>59</v>
      </c>
      <c r="C31523" s="7" t="n">
        <v>0</v>
      </c>
      <c r="D31523" s="7" t="n">
        <v>1</v>
      </c>
      <c r="E31523" s="7" t="n">
        <v>0.100000001490116</v>
      </c>
      <c r="F31523" s="7" t="n">
        <v>4</v>
      </c>
    </row>
    <row r="31524" spans="1:15">
      <c r="A31524" t="s">
        <v>4</v>
      </c>
      <c r="B31524" s="4" t="s">
        <v>5</v>
      </c>
      <c r="C31524" s="4" t="s">
        <v>7</v>
      </c>
      <c r="D31524" s="4" t="s">
        <v>13</v>
      </c>
      <c r="E31524" s="4" t="s">
        <v>13</v>
      </c>
      <c r="F31524" s="4" t="s">
        <v>13</v>
      </c>
    </row>
    <row r="31525" spans="1:15">
      <c r="A31525" t="n">
        <v>308744</v>
      </c>
      <c r="B31525" s="51" t="n">
        <v>45</v>
      </c>
      <c r="C31525" s="7" t="n">
        <v>9</v>
      </c>
      <c r="D31525" s="7" t="n">
        <v>0.0199999995529652</v>
      </c>
      <c r="E31525" s="7" t="n">
        <v>0.0199999995529652</v>
      </c>
      <c r="F31525" s="7" t="n">
        <v>0.25</v>
      </c>
    </row>
    <row r="31526" spans="1:15">
      <c r="A31526" t="s">
        <v>4</v>
      </c>
      <c r="B31526" s="4" t="s">
        <v>5</v>
      </c>
      <c r="C31526" s="4" t="s">
        <v>7</v>
      </c>
      <c r="D31526" s="4" t="s">
        <v>11</v>
      </c>
      <c r="E31526" s="4" t="s">
        <v>8</v>
      </c>
    </row>
    <row r="31527" spans="1:15">
      <c r="A31527" t="n">
        <v>308758</v>
      </c>
      <c r="B31527" s="38" t="n">
        <v>51</v>
      </c>
      <c r="C31527" s="7" t="n">
        <v>4</v>
      </c>
      <c r="D31527" s="7" t="n">
        <v>0</v>
      </c>
      <c r="E31527" s="7" t="s">
        <v>1248</v>
      </c>
    </row>
    <row r="31528" spans="1:15">
      <c r="A31528" t="s">
        <v>4</v>
      </c>
      <c r="B31528" s="4" t="s">
        <v>5</v>
      </c>
      <c r="C31528" s="4" t="s">
        <v>11</v>
      </c>
    </row>
    <row r="31529" spans="1:15">
      <c r="A31529" t="n">
        <v>308772</v>
      </c>
      <c r="B31529" s="29" t="n">
        <v>16</v>
      </c>
      <c r="C31529" s="7" t="n">
        <v>0</v>
      </c>
    </row>
    <row r="31530" spans="1:15">
      <c r="A31530" t="s">
        <v>4</v>
      </c>
      <c r="B31530" s="4" t="s">
        <v>5</v>
      </c>
      <c r="C31530" s="4" t="s">
        <v>11</v>
      </c>
      <c r="D31530" s="4" t="s">
        <v>7</v>
      </c>
      <c r="E31530" s="4" t="s">
        <v>15</v>
      </c>
      <c r="F31530" s="4" t="s">
        <v>55</v>
      </c>
      <c r="G31530" s="4" t="s">
        <v>7</v>
      </c>
      <c r="H31530" s="4" t="s">
        <v>7</v>
      </c>
    </row>
    <row r="31531" spans="1:15">
      <c r="A31531" t="n">
        <v>308775</v>
      </c>
      <c r="B31531" s="55" t="n">
        <v>26</v>
      </c>
      <c r="C31531" s="7" t="n">
        <v>0</v>
      </c>
      <c r="D31531" s="7" t="n">
        <v>17</v>
      </c>
      <c r="E31531" s="7" t="n">
        <v>64774</v>
      </c>
      <c r="F31531" s="7" t="s">
        <v>1779</v>
      </c>
      <c r="G31531" s="7" t="n">
        <v>2</v>
      </c>
      <c r="H31531" s="7" t="n">
        <v>0</v>
      </c>
    </row>
    <row r="31532" spans="1:15">
      <c r="A31532" t="s">
        <v>4</v>
      </c>
      <c r="B31532" s="4" t="s">
        <v>5</v>
      </c>
    </row>
    <row r="31533" spans="1:15">
      <c r="A31533" t="n">
        <v>308810</v>
      </c>
      <c r="B31533" s="27" t="n">
        <v>28</v>
      </c>
    </row>
    <row r="31534" spans="1:15">
      <c r="A31534" t="s">
        <v>4</v>
      </c>
      <c r="B31534" s="4" t="s">
        <v>5</v>
      </c>
      <c r="C31534" s="4" t="s">
        <v>7</v>
      </c>
      <c r="D31534" s="4" t="s">
        <v>11</v>
      </c>
      <c r="E31534" s="4" t="s">
        <v>11</v>
      </c>
      <c r="F31534" s="4" t="s">
        <v>7</v>
      </c>
    </row>
    <row r="31535" spans="1:15">
      <c r="A31535" t="n">
        <v>308811</v>
      </c>
      <c r="B31535" s="31" t="n">
        <v>25</v>
      </c>
      <c r="C31535" s="7" t="n">
        <v>1</v>
      </c>
      <c r="D31535" s="7" t="n">
        <v>65535</v>
      </c>
      <c r="E31535" s="7" t="n">
        <v>65535</v>
      </c>
      <c r="F31535" s="7" t="n">
        <v>0</v>
      </c>
    </row>
    <row r="31536" spans="1:15">
      <c r="A31536" t="s">
        <v>4</v>
      </c>
      <c r="B31536" s="4" t="s">
        <v>5</v>
      </c>
      <c r="C31536" s="4" t="s">
        <v>11</v>
      </c>
      <c r="D31536" s="4" t="s">
        <v>13</v>
      </c>
      <c r="E31536" s="4" t="s">
        <v>13</v>
      </c>
      <c r="F31536" s="4" t="s">
        <v>13</v>
      </c>
      <c r="G31536" s="4" t="s">
        <v>11</v>
      </c>
      <c r="H31536" s="4" t="s">
        <v>11</v>
      </c>
    </row>
    <row r="31537" spans="1:8">
      <c r="A31537" t="n">
        <v>308818</v>
      </c>
      <c r="B31537" s="37" t="n">
        <v>60</v>
      </c>
      <c r="C31537" s="7" t="n">
        <v>11</v>
      </c>
      <c r="D31537" s="7" t="n">
        <v>15</v>
      </c>
      <c r="E31537" s="7" t="n">
        <v>15</v>
      </c>
      <c r="F31537" s="7" t="n">
        <v>0</v>
      </c>
      <c r="G31537" s="7" t="n">
        <v>800</v>
      </c>
      <c r="H31537" s="7" t="n">
        <v>0</v>
      </c>
    </row>
    <row r="31538" spans="1:8">
      <c r="A31538" t="s">
        <v>4</v>
      </c>
      <c r="B31538" s="4" t="s">
        <v>5</v>
      </c>
      <c r="C31538" s="4" t="s">
        <v>7</v>
      </c>
      <c r="D31538" s="4" t="s">
        <v>11</v>
      </c>
      <c r="E31538" s="4" t="s">
        <v>8</v>
      </c>
    </row>
    <row r="31539" spans="1:8">
      <c r="A31539" t="n">
        <v>308837</v>
      </c>
      <c r="B31539" s="38" t="n">
        <v>51</v>
      </c>
      <c r="C31539" s="7" t="n">
        <v>4</v>
      </c>
      <c r="D31539" s="7" t="n">
        <v>11</v>
      </c>
      <c r="E31539" s="7" t="s">
        <v>1780</v>
      </c>
    </row>
    <row r="31540" spans="1:8">
      <c r="A31540" t="s">
        <v>4</v>
      </c>
      <c r="B31540" s="4" t="s">
        <v>5</v>
      </c>
      <c r="C31540" s="4" t="s">
        <v>11</v>
      </c>
    </row>
    <row r="31541" spans="1:8">
      <c r="A31541" t="n">
        <v>308851</v>
      </c>
      <c r="B31541" s="29" t="n">
        <v>16</v>
      </c>
      <c r="C31541" s="7" t="n">
        <v>0</v>
      </c>
    </row>
    <row r="31542" spans="1:8">
      <c r="A31542" t="s">
        <v>4</v>
      </c>
      <c r="B31542" s="4" t="s">
        <v>5</v>
      </c>
      <c r="C31542" s="4" t="s">
        <v>11</v>
      </c>
      <c r="D31542" s="4" t="s">
        <v>7</v>
      </c>
      <c r="E31542" s="4" t="s">
        <v>15</v>
      </c>
      <c r="F31542" s="4" t="s">
        <v>55</v>
      </c>
      <c r="G31542" s="4" t="s">
        <v>7</v>
      </c>
      <c r="H31542" s="4" t="s">
        <v>7</v>
      </c>
      <c r="I31542" s="4" t="s">
        <v>7</v>
      </c>
      <c r="J31542" s="4" t="s">
        <v>15</v>
      </c>
      <c r="K31542" s="4" t="s">
        <v>55</v>
      </c>
      <c r="L31542" s="4" t="s">
        <v>7</v>
      </c>
      <c r="M31542" s="4" t="s">
        <v>7</v>
      </c>
      <c r="N31542" s="4" t="s">
        <v>7</v>
      </c>
      <c r="O31542" s="4" t="s">
        <v>15</v>
      </c>
      <c r="P31542" s="4" t="s">
        <v>55</v>
      </c>
      <c r="Q31542" s="4" t="s">
        <v>7</v>
      </c>
      <c r="R31542" s="4" t="s">
        <v>7</v>
      </c>
      <c r="S31542" s="4" t="s">
        <v>7</v>
      </c>
      <c r="T31542" s="4" t="s">
        <v>15</v>
      </c>
      <c r="U31542" s="4" t="s">
        <v>55</v>
      </c>
      <c r="V31542" s="4" t="s">
        <v>7</v>
      </c>
      <c r="W31542" s="4" t="s">
        <v>7</v>
      </c>
    </row>
    <row r="31543" spans="1:8">
      <c r="A31543" t="n">
        <v>308854</v>
      </c>
      <c r="B31543" s="55" t="n">
        <v>26</v>
      </c>
      <c r="C31543" s="7" t="n">
        <v>11</v>
      </c>
      <c r="D31543" s="7" t="n">
        <v>17</v>
      </c>
      <c r="E31543" s="7" t="n">
        <v>64775</v>
      </c>
      <c r="F31543" s="7" t="s">
        <v>1781</v>
      </c>
      <c r="G31543" s="7" t="n">
        <v>2</v>
      </c>
      <c r="H31543" s="7" t="n">
        <v>3</v>
      </c>
      <c r="I31543" s="7" t="n">
        <v>17</v>
      </c>
      <c r="J31543" s="7" t="n">
        <v>64776</v>
      </c>
      <c r="K31543" s="7" t="s">
        <v>1782</v>
      </c>
      <c r="L31543" s="7" t="n">
        <v>2</v>
      </c>
      <c r="M31543" s="7" t="n">
        <v>3</v>
      </c>
      <c r="N31543" s="7" t="n">
        <v>17</v>
      </c>
      <c r="O31543" s="7" t="n">
        <v>64777</v>
      </c>
      <c r="P31543" s="7" t="s">
        <v>1783</v>
      </c>
      <c r="Q31543" s="7" t="n">
        <v>2</v>
      </c>
      <c r="R31543" s="7" t="n">
        <v>3</v>
      </c>
      <c r="S31543" s="7" t="n">
        <v>17</v>
      </c>
      <c r="T31543" s="7" t="n">
        <v>64778</v>
      </c>
      <c r="U31543" s="7" t="s">
        <v>1784</v>
      </c>
      <c r="V31543" s="7" t="n">
        <v>2</v>
      </c>
      <c r="W31543" s="7" t="n">
        <v>0</v>
      </c>
    </row>
    <row r="31544" spans="1:8">
      <c r="A31544" t="s">
        <v>4</v>
      </c>
      <c r="B31544" s="4" t="s">
        <v>5</v>
      </c>
    </row>
    <row r="31545" spans="1:8">
      <c r="A31545" t="n">
        <v>309217</v>
      </c>
      <c r="B31545" s="27" t="n">
        <v>28</v>
      </c>
    </row>
    <row r="31546" spans="1:8">
      <c r="A31546" t="s">
        <v>4</v>
      </c>
      <c r="B31546" s="4" t="s">
        <v>5</v>
      </c>
      <c r="C31546" s="4" t="s">
        <v>7</v>
      </c>
      <c r="D31546" s="4" t="s">
        <v>11</v>
      </c>
      <c r="E31546" s="4" t="s">
        <v>8</v>
      </c>
    </row>
    <row r="31547" spans="1:8">
      <c r="A31547" t="n">
        <v>309218</v>
      </c>
      <c r="B31547" s="38" t="n">
        <v>51</v>
      </c>
      <c r="C31547" s="7" t="n">
        <v>4</v>
      </c>
      <c r="D31547" s="7" t="n">
        <v>0</v>
      </c>
      <c r="E31547" s="7" t="s">
        <v>304</v>
      </c>
    </row>
    <row r="31548" spans="1:8">
      <c r="A31548" t="s">
        <v>4</v>
      </c>
      <c r="B31548" s="4" t="s">
        <v>5</v>
      </c>
      <c r="C31548" s="4" t="s">
        <v>11</v>
      </c>
    </row>
    <row r="31549" spans="1:8">
      <c r="A31549" t="n">
        <v>309231</v>
      </c>
      <c r="B31549" s="29" t="n">
        <v>16</v>
      </c>
      <c r="C31549" s="7" t="n">
        <v>0</v>
      </c>
    </row>
    <row r="31550" spans="1:8">
      <c r="A31550" t="s">
        <v>4</v>
      </c>
      <c r="B31550" s="4" t="s">
        <v>5</v>
      </c>
      <c r="C31550" s="4" t="s">
        <v>11</v>
      </c>
      <c r="D31550" s="4" t="s">
        <v>7</v>
      </c>
      <c r="E31550" s="4" t="s">
        <v>15</v>
      </c>
      <c r="F31550" s="4" t="s">
        <v>55</v>
      </c>
      <c r="G31550" s="4" t="s">
        <v>7</v>
      </c>
      <c r="H31550" s="4" t="s">
        <v>7</v>
      </c>
    </row>
    <row r="31551" spans="1:8">
      <c r="A31551" t="n">
        <v>309234</v>
      </c>
      <c r="B31551" s="55" t="n">
        <v>26</v>
      </c>
      <c r="C31551" s="7" t="n">
        <v>0</v>
      </c>
      <c r="D31551" s="7" t="n">
        <v>17</v>
      </c>
      <c r="E31551" s="7" t="n">
        <v>64779</v>
      </c>
      <c r="F31551" s="7" t="s">
        <v>1785</v>
      </c>
      <c r="G31551" s="7" t="n">
        <v>2</v>
      </c>
      <c r="H31551" s="7" t="n">
        <v>0</v>
      </c>
    </row>
    <row r="31552" spans="1:8">
      <c r="A31552" t="s">
        <v>4</v>
      </c>
      <c r="B31552" s="4" t="s">
        <v>5</v>
      </c>
    </row>
    <row r="31553" spans="1:23">
      <c r="A31553" t="n">
        <v>309256</v>
      </c>
      <c r="B31553" s="27" t="n">
        <v>28</v>
      </c>
    </row>
    <row r="31554" spans="1:23">
      <c r="A31554" t="s">
        <v>4</v>
      </c>
      <c r="B31554" s="4" t="s">
        <v>5</v>
      </c>
      <c r="C31554" s="4" t="s">
        <v>11</v>
      </c>
      <c r="D31554" s="4" t="s">
        <v>7</v>
      </c>
    </row>
    <row r="31555" spans="1:23">
      <c r="A31555" t="n">
        <v>309257</v>
      </c>
      <c r="B31555" s="68" t="n">
        <v>89</v>
      </c>
      <c r="C31555" s="7" t="n">
        <v>65533</v>
      </c>
      <c r="D31555" s="7" t="n">
        <v>1</v>
      </c>
    </row>
    <row r="31556" spans="1:23">
      <c r="A31556" t="s">
        <v>4</v>
      </c>
      <c r="B31556" s="4" t="s">
        <v>5</v>
      </c>
      <c r="C31556" s="4" t="s">
        <v>7</v>
      </c>
      <c r="D31556" s="4" t="s">
        <v>11</v>
      </c>
      <c r="E31556" s="4" t="s">
        <v>11</v>
      </c>
      <c r="F31556" s="4" t="s">
        <v>7</v>
      </c>
    </row>
    <row r="31557" spans="1:23">
      <c r="A31557" t="n">
        <v>309261</v>
      </c>
      <c r="B31557" s="31" t="n">
        <v>25</v>
      </c>
      <c r="C31557" s="7" t="n">
        <v>1</v>
      </c>
      <c r="D31557" s="7" t="n">
        <v>65535</v>
      </c>
      <c r="E31557" s="7" t="n">
        <v>65535</v>
      </c>
      <c r="F31557" s="7" t="n">
        <v>0</v>
      </c>
    </row>
    <row r="31558" spans="1:23">
      <c r="A31558" t="s">
        <v>4</v>
      </c>
      <c r="B31558" s="4" t="s">
        <v>5</v>
      </c>
      <c r="C31558" s="4" t="s">
        <v>7</v>
      </c>
      <c r="D31558" s="4" t="s">
        <v>11</v>
      </c>
      <c r="E31558" s="4" t="s">
        <v>13</v>
      </c>
    </row>
    <row r="31559" spans="1:23">
      <c r="A31559" t="n">
        <v>309268</v>
      </c>
      <c r="B31559" s="23" t="n">
        <v>58</v>
      </c>
      <c r="C31559" s="7" t="n">
        <v>101</v>
      </c>
      <c r="D31559" s="7" t="n">
        <v>800</v>
      </c>
      <c r="E31559" s="7" t="n">
        <v>1</v>
      </c>
    </row>
    <row r="31560" spans="1:23">
      <c r="A31560" t="s">
        <v>4</v>
      </c>
      <c r="B31560" s="4" t="s">
        <v>5</v>
      </c>
      <c r="C31560" s="4" t="s">
        <v>7</v>
      </c>
      <c r="D31560" s="4" t="s">
        <v>11</v>
      </c>
    </row>
    <row r="31561" spans="1:23">
      <c r="A31561" t="n">
        <v>309276</v>
      </c>
      <c r="B31561" s="23" t="n">
        <v>58</v>
      </c>
      <c r="C31561" s="7" t="n">
        <v>254</v>
      </c>
      <c r="D31561" s="7" t="n">
        <v>0</v>
      </c>
    </row>
    <row r="31562" spans="1:23">
      <c r="A31562" t="s">
        <v>4</v>
      </c>
      <c r="B31562" s="4" t="s">
        <v>5</v>
      </c>
      <c r="C31562" s="4" t="s">
        <v>7</v>
      </c>
      <c r="D31562" s="4" t="s">
        <v>7</v>
      </c>
      <c r="E31562" s="4" t="s">
        <v>13</v>
      </c>
      <c r="F31562" s="4" t="s">
        <v>13</v>
      </c>
      <c r="G31562" s="4" t="s">
        <v>13</v>
      </c>
      <c r="H31562" s="4" t="s">
        <v>11</v>
      </c>
    </row>
    <row r="31563" spans="1:23">
      <c r="A31563" t="n">
        <v>309280</v>
      </c>
      <c r="B31563" s="51" t="n">
        <v>45</v>
      </c>
      <c r="C31563" s="7" t="n">
        <v>2</v>
      </c>
      <c r="D31563" s="7" t="n">
        <v>3</v>
      </c>
      <c r="E31563" s="7" t="n">
        <v>1.08000004291534</v>
      </c>
      <c r="F31563" s="7" t="n">
        <v>11.460000038147</v>
      </c>
      <c r="G31563" s="7" t="n">
        <v>30.3500003814697</v>
      </c>
      <c r="H31563" s="7" t="n">
        <v>0</v>
      </c>
    </row>
    <row r="31564" spans="1:23">
      <c r="A31564" t="s">
        <v>4</v>
      </c>
      <c r="B31564" s="4" t="s">
        <v>5</v>
      </c>
      <c r="C31564" s="4" t="s">
        <v>7</v>
      </c>
      <c r="D31564" s="4" t="s">
        <v>7</v>
      </c>
      <c r="E31564" s="4" t="s">
        <v>13</v>
      </c>
      <c r="F31564" s="4" t="s">
        <v>11</v>
      </c>
    </row>
    <row r="31565" spans="1:23">
      <c r="A31565" t="n">
        <v>309297</v>
      </c>
      <c r="B31565" s="51" t="n">
        <v>45</v>
      </c>
      <c r="C31565" s="7" t="n">
        <v>11</v>
      </c>
      <c r="D31565" s="7" t="n">
        <v>3</v>
      </c>
      <c r="E31565" s="7" t="n">
        <v>34</v>
      </c>
      <c r="F31565" s="7" t="n">
        <v>0</v>
      </c>
    </row>
    <row r="31566" spans="1:23">
      <c r="A31566" t="s">
        <v>4</v>
      </c>
      <c r="B31566" s="4" t="s">
        <v>5</v>
      </c>
      <c r="C31566" s="4" t="s">
        <v>7</v>
      </c>
      <c r="D31566" s="4" t="s">
        <v>7</v>
      </c>
      <c r="E31566" s="4" t="s">
        <v>13</v>
      </c>
      <c r="F31566" s="4" t="s">
        <v>11</v>
      </c>
    </row>
    <row r="31567" spans="1:23">
      <c r="A31567" t="n">
        <v>309306</v>
      </c>
      <c r="B31567" s="51" t="n">
        <v>45</v>
      </c>
      <c r="C31567" s="7" t="n">
        <v>5</v>
      </c>
      <c r="D31567" s="7" t="n">
        <v>3</v>
      </c>
      <c r="E31567" s="7" t="n">
        <v>1.25</v>
      </c>
      <c r="F31567" s="7" t="n">
        <v>0</v>
      </c>
    </row>
    <row r="31568" spans="1:23">
      <c r="A31568" t="s">
        <v>4</v>
      </c>
      <c r="B31568" s="4" t="s">
        <v>5</v>
      </c>
      <c r="C31568" s="4" t="s">
        <v>7</v>
      </c>
      <c r="D31568" s="4" t="s">
        <v>7</v>
      </c>
      <c r="E31568" s="4" t="s">
        <v>13</v>
      </c>
      <c r="F31568" s="4" t="s">
        <v>11</v>
      </c>
    </row>
    <row r="31569" spans="1:8">
      <c r="A31569" t="n">
        <v>309315</v>
      </c>
      <c r="B31569" s="51" t="n">
        <v>45</v>
      </c>
      <c r="C31569" s="7" t="n">
        <v>5</v>
      </c>
      <c r="D31569" s="7" t="n">
        <v>3</v>
      </c>
      <c r="E31569" s="7" t="n">
        <v>1.10000002384186</v>
      </c>
      <c r="F31569" s="7" t="n">
        <v>3000</v>
      </c>
    </row>
    <row r="31570" spans="1:8">
      <c r="A31570" t="s">
        <v>4</v>
      </c>
      <c r="B31570" s="4" t="s">
        <v>5</v>
      </c>
      <c r="C31570" s="4" t="s">
        <v>7</v>
      </c>
      <c r="D31570" s="4" t="s">
        <v>7</v>
      </c>
      <c r="E31570" s="4" t="s">
        <v>13</v>
      </c>
      <c r="F31570" s="4" t="s">
        <v>13</v>
      </c>
      <c r="G31570" s="4" t="s">
        <v>13</v>
      </c>
      <c r="H31570" s="4" t="s">
        <v>11</v>
      </c>
      <c r="I31570" s="4" t="s">
        <v>7</v>
      </c>
    </row>
    <row r="31571" spans="1:8">
      <c r="A31571" t="n">
        <v>309324</v>
      </c>
      <c r="B31571" s="51" t="n">
        <v>45</v>
      </c>
      <c r="C31571" s="7" t="n">
        <v>4</v>
      </c>
      <c r="D31571" s="7" t="n">
        <v>3</v>
      </c>
      <c r="E31571" s="7" t="n">
        <v>1.57000005245209</v>
      </c>
      <c r="F31571" s="7" t="n">
        <v>104.459999084473</v>
      </c>
      <c r="G31571" s="7" t="n">
        <v>352</v>
      </c>
      <c r="H31571" s="7" t="n">
        <v>0</v>
      </c>
      <c r="I31571" s="7" t="n">
        <v>0</v>
      </c>
    </row>
    <row r="31572" spans="1:8">
      <c r="A31572" t="s">
        <v>4</v>
      </c>
      <c r="B31572" s="4" t="s">
        <v>5</v>
      </c>
      <c r="C31572" s="4" t="s">
        <v>7</v>
      </c>
      <c r="D31572" s="4" t="s">
        <v>7</v>
      </c>
      <c r="E31572" s="4" t="s">
        <v>13</v>
      </c>
      <c r="F31572" s="4" t="s">
        <v>13</v>
      </c>
      <c r="G31572" s="4" t="s">
        <v>13</v>
      </c>
      <c r="H31572" s="4" t="s">
        <v>11</v>
      </c>
      <c r="I31572" s="4" t="s">
        <v>7</v>
      </c>
    </row>
    <row r="31573" spans="1:8">
      <c r="A31573" t="n">
        <v>309342</v>
      </c>
      <c r="B31573" s="51" t="n">
        <v>45</v>
      </c>
      <c r="C31573" s="7" t="n">
        <v>4</v>
      </c>
      <c r="D31573" s="7" t="n">
        <v>3</v>
      </c>
      <c r="E31573" s="7" t="n">
        <v>0.479999989271164</v>
      </c>
      <c r="F31573" s="7" t="n">
        <v>135.970001220703</v>
      </c>
      <c r="G31573" s="7" t="n">
        <v>352</v>
      </c>
      <c r="H31573" s="7" t="n">
        <v>3000</v>
      </c>
      <c r="I31573" s="7" t="n">
        <v>0</v>
      </c>
    </row>
    <row r="31574" spans="1:8">
      <c r="A31574" t="s">
        <v>4</v>
      </c>
      <c r="B31574" s="4" t="s">
        <v>5</v>
      </c>
      <c r="C31574" s="4" t="s">
        <v>11</v>
      </c>
      <c r="D31574" s="4" t="s">
        <v>7</v>
      </c>
      <c r="E31574" s="4" t="s">
        <v>8</v>
      </c>
      <c r="F31574" s="4" t="s">
        <v>13</v>
      </c>
      <c r="G31574" s="4" t="s">
        <v>13</v>
      </c>
      <c r="H31574" s="4" t="s">
        <v>13</v>
      </c>
    </row>
    <row r="31575" spans="1:8">
      <c r="A31575" t="n">
        <v>309360</v>
      </c>
      <c r="B31575" s="42" t="n">
        <v>48</v>
      </c>
      <c r="C31575" s="7" t="n">
        <v>11</v>
      </c>
      <c r="D31575" s="7" t="n">
        <v>0</v>
      </c>
      <c r="E31575" s="7" t="s">
        <v>1753</v>
      </c>
      <c r="F31575" s="7" t="n">
        <v>0</v>
      </c>
      <c r="G31575" s="7" t="n">
        <v>1</v>
      </c>
      <c r="H31575" s="7" t="n">
        <v>0</v>
      </c>
    </row>
    <row r="31576" spans="1:8">
      <c r="A31576" t="s">
        <v>4</v>
      </c>
      <c r="B31576" s="4" t="s">
        <v>5</v>
      </c>
      <c r="C31576" s="4" t="s">
        <v>11</v>
      </c>
      <c r="D31576" s="4" t="s">
        <v>7</v>
      </c>
      <c r="E31576" s="4" t="s">
        <v>8</v>
      </c>
      <c r="F31576" s="4" t="s">
        <v>13</v>
      </c>
      <c r="G31576" s="4" t="s">
        <v>13</v>
      </c>
      <c r="H31576" s="4" t="s">
        <v>13</v>
      </c>
    </row>
    <row r="31577" spans="1:8">
      <c r="A31577" t="n">
        <v>309386</v>
      </c>
      <c r="B31577" s="42" t="n">
        <v>48</v>
      </c>
      <c r="C31577" s="7" t="n">
        <v>0</v>
      </c>
      <c r="D31577" s="7" t="n">
        <v>0</v>
      </c>
      <c r="E31577" s="7" t="s">
        <v>1753</v>
      </c>
      <c r="F31577" s="7" t="n">
        <v>0</v>
      </c>
      <c r="G31577" s="7" t="n">
        <v>1</v>
      </c>
      <c r="H31577" s="7" t="n">
        <v>0</v>
      </c>
    </row>
    <row r="31578" spans="1:8">
      <c r="A31578" t="s">
        <v>4</v>
      </c>
      <c r="B31578" s="4" t="s">
        <v>5</v>
      </c>
      <c r="C31578" s="4" t="s">
        <v>11</v>
      </c>
      <c r="D31578" s="4" t="s">
        <v>13</v>
      </c>
      <c r="E31578" s="4" t="s">
        <v>13</v>
      </c>
      <c r="F31578" s="4" t="s">
        <v>13</v>
      </c>
      <c r="G31578" s="4" t="s">
        <v>13</v>
      </c>
    </row>
    <row r="31579" spans="1:8">
      <c r="A31579" t="n">
        <v>309412</v>
      </c>
      <c r="B31579" s="36" t="n">
        <v>46</v>
      </c>
      <c r="C31579" s="7" t="n">
        <v>0</v>
      </c>
      <c r="D31579" s="7" t="n">
        <v>1.03999996185303</v>
      </c>
      <c r="E31579" s="7" t="n">
        <v>10.0100002288818</v>
      </c>
      <c r="F31579" s="7" t="n">
        <v>30.3600006103516</v>
      </c>
      <c r="G31579" s="7" t="n">
        <v>131.899993896484</v>
      </c>
    </row>
    <row r="31580" spans="1:8">
      <c r="A31580" t="s">
        <v>4</v>
      </c>
      <c r="B31580" s="4" t="s">
        <v>5</v>
      </c>
      <c r="C31580" s="4" t="s">
        <v>11</v>
      </c>
      <c r="D31580" s="4" t="s">
        <v>13</v>
      </c>
      <c r="E31580" s="4" t="s">
        <v>13</v>
      </c>
      <c r="F31580" s="4" t="s">
        <v>13</v>
      </c>
      <c r="G31580" s="4" t="s">
        <v>13</v>
      </c>
    </row>
    <row r="31581" spans="1:8">
      <c r="A31581" t="n">
        <v>309431</v>
      </c>
      <c r="B31581" s="36" t="n">
        <v>46</v>
      </c>
      <c r="C31581" s="7" t="n">
        <v>11</v>
      </c>
      <c r="D31581" s="7" t="n">
        <v>1.24000000953674</v>
      </c>
      <c r="E31581" s="7" t="n">
        <v>10.0100002288818</v>
      </c>
      <c r="F31581" s="7" t="n">
        <v>30.2000007629395</v>
      </c>
      <c r="G31581" s="7" t="n">
        <v>306.299987792969</v>
      </c>
    </row>
    <row r="31582" spans="1:8">
      <c r="A31582" t="s">
        <v>4</v>
      </c>
      <c r="B31582" s="4" t="s">
        <v>5</v>
      </c>
      <c r="C31582" s="4" t="s">
        <v>7</v>
      </c>
      <c r="D31582" s="4" t="s">
        <v>11</v>
      </c>
      <c r="E31582" s="4" t="s">
        <v>8</v>
      </c>
      <c r="F31582" s="4" t="s">
        <v>8</v>
      </c>
      <c r="G31582" s="4" t="s">
        <v>8</v>
      </c>
      <c r="H31582" s="4" t="s">
        <v>8</v>
      </c>
    </row>
    <row r="31583" spans="1:8">
      <c r="A31583" t="n">
        <v>309450</v>
      </c>
      <c r="B31583" s="38" t="n">
        <v>51</v>
      </c>
      <c r="C31583" s="7" t="n">
        <v>3</v>
      </c>
      <c r="D31583" s="7" t="n">
        <v>11</v>
      </c>
      <c r="E31583" s="7" t="s">
        <v>154</v>
      </c>
      <c r="F31583" s="7" t="s">
        <v>155</v>
      </c>
      <c r="G31583" s="7" t="s">
        <v>78</v>
      </c>
      <c r="H31583" s="7" t="s">
        <v>79</v>
      </c>
    </row>
    <row r="31584" spans="1:8">
      <c r="A31584" t="s">
        <v>4</v>
      </c>
      <c r="B31584" s="4" t="s">
        <v>5</v>
      </c>
      <c r="C31584" s="4" t="s">
        <v>7</v>
      </c>
      <c r="D31584" s="4" t="s">
        <v>11</v>
      </c>
      <c r="E31584" s="4" t="s">
        <v>8</v>
      </c>
      <c r="F31584" s="4" t="s">
        <v>8</v>
      </c>
      <c r="G31584" s="4" t="s">
        <v>8</v>
      </c>
      <c r="H31584" s="4" t="s">
        <v>8</v>
      </c>
    </row>
    <row r="31585" spans="1:9">
      <c r="A31585" t="n">
        <v>309463</v>
      </c>
      <c r="B31585" s="38" t="n">
        <v>51</v>
      </c>
      <c r="C31585" s="7" t="n">
        <v>3</v>
      </c>
      <c r="D31585" s="7" t="n">
        <v>0</v>
      </c>
      <c r="E31585" s="7" t="s">
        <v>319</v>
      </c>
      <c r="F31585" s="7" t="s">
        <v>232</v>
      </c>
      <c r="G31585" s="7" t="s">
        <v>78</v>
      </c>
      <c r="H31585" s="7" t="s">
        <v>79</v>
      </c>
    </row>
    <row r="31586" spans="1:9">
      <c r="A31586" t="s">
        <v>4</v>
      </c>
      <c r="B31586" s="4" t="s">
        <v>5</v>
      </c>
      <c r="C31586" s="4" t="s">
        <v>7</v>
      </c>
      <c r="D31586" s="4" t="s">
        <v>11</v>
      </c>
      <c r="E31586" s="4" t="s">
        <v>13</v>
      </c>
      <c r="F31586" s="4" t="s">
        <v>11</v>
      </c>
      <c r="G31586" s="4" t="s">
        <v>15</v>
      </c>
      <c r="H31586" s="4" t="s">
        <v>15</v>
      </c>
      <c r="I31586" s="4" t="s">
        <v>11</v>
      </c>
      <c r="J31586" s="4" t="s">
        <v>11</v>
      </c>
      <c r="K31586" s="4" t="s">
        <v>15</v>
      </c>
      <c r="L31586" s="4" t="s">
        <v>15</v>
      </c>
      <c r="M31586" s="4" t="s">
        <v>15</v>
      </c>
      <c r="N31586" s="4" t="s">
        <v>15</v>
      </c>
      <c r="O31586" s="4" t="s">
        <v>8</v>
      </c>
    </row>
    <row r="31587" spans="1:9">
      <c r="A31587" t="n">
        <v>309476</v>
      </c>
      <c r="B31587" s="57" t="n">
        <v>50</v>
      </c>
      <c r="C31587" s="7" t="n">
        <v>0</v>
      </c>
      <c r="D31587" s="7" t="n">
        <v>2004</v>
      </c>
      <c r="E31587" s="7" t="n">
        <v>0.5</v>
      </c>
      <c r="F31587" s="7" t="n">
        <v>200</v>
      </c>
      <c r="G31587" s="7" t="n">
        <v>0</v>
      </c>
      <c r="H31587" s="7" t="n">
        <v>1065353216</v>
      </c>
      <c r="I31587" s="7" t="n">
        <v>0</v>
      </c>
      <c r="J31587" s="7" t="n">
        <v>65533</v>
      </c>
      <c r="K31587" s="7" t="n">
        <v>0</v>
      </c>
      <c r="L31587" s="7" t="n">
        <v>0</v>
      </c>
      <c r="M31587" s="7" t="n">
        <v>0</v>
      </c>
      <c r="N31587" s="7" t="n">
        <v>0</v>
      </c>
      <c r="O31587" s="7" t="s">
        <v>16</v>
      </c>
    </row>
    <row r="31588" spans="1:9">
      <c r="A31588" t="s">
        <v>4</v>
      </c>
      <c r="B31588" s="4" t="s">
        <v>5</v>
      </c>
      <c r="C31588" s="4" t="s">
        <v>11</v>
      </c>
    </row>
    <row r="31589" spans="1:9">
      <c r="A31589" t="n">
        <v>309515</v>
      </c>
      <c r="B31589" s="29" t="n">
        <v>16</v>
      </c>
      <c r="C31589" s="7" t="n">
        <v>3500</v>
      </c>
    </row>
    <row r="31590" spans="1:9">
      <c r="A31590" t="s">
        <v>4</v>
      </c>
      <c r="B31590" s="4" t="s">
        <v>5</v>
      </c>
      <c r="C31590" s="4" t="s">
        <v>7</v>
      </c>
      <c r="D31590" s="4" t="s">
        <v>11</v>
      </c>
      <c r="E31590" s="4" t="s">
        <v>13</v>
      </c>
    </row>
    <row r="31591" spans="1:9">
      <c r="A31591" t="n">
        <v>309518</v>
      </c>
      <c r="B31591" s="23" t="n">
        <v>58</v>
      </c>
      <c r="C31591" s="7" t="n">
        <v>101</v>
      </c>
      <c r="D31591" s="7" t="n">
        <v>600</v>
      </c>
      <c r="E31591" s="7" t="n">
        <v>1</v>
      </c>
    </row>
    <row r="31592" spans="1:9">
      <c r="A31592" t="s">
        <v>4</v>
      </c>
      <c r="B31592" s="4" t="s">
        <v>5</v>
      </c>
      <c r="C31592" s="4" t="s">
        <v>7</v>
      </c>
      <c r="D31592" s="4" t="s">
        <v>11</v>
      </c>
    </row>
    <row r="31593" spans="1:9">
      <c r="A31593" t="n">
        <v>309526</v>
      </c>
      <c r="B31593" s="23" t="n">
        <v>58</v>
      </c>
      <c r="C31593" s="7" t="n">
        <v>254</v>
      </c>
      <c r="D31593" s="7" t="n">
        <v>0</v>
      </c>
    </row>
    <row r="31594" spans="1:9">
      <c r="A31594" t="s">
        <v>4</v>
      </c>
      <c r="B31594" s="4" t="s">
        <v>5</v>
      </c>
      <c r="C31594" s="4" t="s">
        <v>7</v>
      </c>
      <c r="D31594" s="4" t="s">
        <v>7</v>
      </c>
      <c r="E31594" s="4" t="s">
        <v>13</v>
      </c>
      <c r="F31594" s="4" t="s">
        <v>13</v>
      </c>
      <c r="G31594" s="4" t="s">
        <v>13</v>
      </c>
      <c r="H31594" s="4" t="s">
        <v>11</v>
      </c>
    </row>
    <row r="31595" spans="1:9">
      <c r="A31595" t="n">
        <v>309530</v>
      </c>
      <c r="B31595" s="51" t="n">
        <v>45</v>
      </c>
      <c r="C31595" s="7" t="n">
        <v>2</v>
      </c>
      <c r="D31595" s="7" t="n">
        <v>3</v>
      </c>
      <c r="E31595" s="7" t="n">
        <v>1.0900000333786</v>
      </c>
      <c r="F31595" s="7" t="n">
        <v>11.4899997711182</v>
      </c>
      <c r="G31595" s="7" t="n">
        <v>30.2999992370605</v>
      </c>
      <c r="H31595" s="7" t="n">
        <v>0</v>
      </c>
    </row>
    <row r="31596" spans="1:9">
      <c r="A31596" t="s">
        <v>4</v>
      </c>
      <c r="B31596" s="4" t="s">
        <v>5</v>
      </c>
      <c r="C31596" s="4" t="s">
        <v>7</v>
      </c>
      <c r="D31596" s="4" t="s">
        <v>7</v>
      </c>
      <c r="E31596" s="4" t="s">
        <v>13</v>
      </c>
      <c r="F31596" s="4" t="s">
        <v>13</v>
      </c>
      <c r="G31596" s="4" t="s">
        <v>13</v>
      </c>
      <c r="H31596" s="4" t="s">
        <v>11</v>
      </c>
      <c r="I31596" s="4" t="s">
        <v>7</v>
      </c>
    </row>
    <row r="31597" spans="1:9">
      <c r="A31597" t="n">
        <v>309547</v>
      </c>
      <c r="B31597" s="51" t="n">
        <v>45</v>
      </c>
      <c r="C31597" s="7" t="n">
        <v>4</v>
      </c>
      <c r="D31597" s="7" t="n">
        <v>3</v>
      </c>
      <c r="E31597" s="7" t="n">
        <v>14.25</v>
      </c>
      <c r="F31597" s="7" t="n">
        <v>305.839996337891</v>
      </c>
      <c r="G31597" s="7" t="n">
        <v>8</v>
      </c>
      <c r="H31597" s="7" t="n">
        <v>0</v>
      </c>
      <c r="I31597" s="7" t="n">
        <v>0</v>
      </c>
    </row>
    <row r="31598" spans="1:9">
      <c r="A31598" t="s">
        <v>4</v>
      </c>
      <c r="B31598" s="4" t="s">
        <v>5</v>
      </c>
      <c r="C31598" s="4" t="s">
        <v>7</v>
      </c>
      <c r="D31598" s="4" t="s">
        <v>7</v>
      </c>
      <c r="E31598" s="4" t="s">
        <v>13</v>
      </c>
      <c r="F31598" s="4" t="s">
        <v>11</v>
      </c>
    </row>
    <row r="31599" spans="1:9">
      <c r="A31599" t="n">
        <v>309565</v>
      </c>
      <c r="B31599" s="51" t="n">
        <v>45</v>
      </c>
      <c r="C31599" s="7" t="n">
        <v>5</v>
      </c>
      <c r="D31599" s="7" t="n">
        <v>3</v>
      </c>
      <c r="E31599" s="7" t="n">
        <v>1</v>
      </c>
      <c r="F31599" s="7" t="n">
        <v>0</v>
      </c>
    </row>
    <row r="31600" spans="1:9">
      <c r="A31600" t="s">
        <v>4</v>
      </c>
      <c r="B31600" s="4" t="s">
        <v>5</v>
      </c>
      <c r="C31600" s="4" t="s">
        <v>7</v>
      </c>
      <c r="D31600" s="4" t="s">
        <v>7</v>
      </c>
      <c r="E31600" s="4" t="s">
        <v>13</v>
      </c>
      <c r="F31600" s="4" t="s">
        <v>11</v>
      </c>
    </row>
    <row r="31601" spans="1:15">
      <c r="A31601" t="n">
        <v>309574</v>
      </c>
      <c r="B31601" s="51" t="n">
        <v>45</v>
      </c>
      <c r="C31601" s="7" t="n">
        <v>11</v>
      </c>
      <c r="D31601" s="7" t="n">
        <v>3</v>
      </c>
      <c r="E31601" s="7" t="n">
        <v>34</v>
      </c>
      <c r="F31601" s="7" t="n">
        <v>0</v>
      </c>
    </row>
    <row r="31602" spans="1:15">
      <c r="A31602" t="s">
        <v>4</v>
      </c>
      <c r="B31602" s="4" t="s">
        <v>5</v>
      </c>
      <c r="C31602" s="4" t="s">
        <v>7</v>
      </c>
      <c r="D31602" s="4" t="s">
        <v>7</v>
      </c>
      <c r="E31602" s="4" t="s">
        <v>13</v>
      </c>
      <c r="F31602" s="4" t="s">
        <v>13</v>
      </c>
      <c r="G31602" s="4" t="s">
        <v>13</v>
      </c>
      <c r="H31602" s="4" t="s">
        <v>11</v>
      </c>
      <c r="I31602" s="4" t="s">
        <v>7</v>
      </c>
    </row>
    <row r="31603" spans="1:15">
      <c r="A31603" t="n">
        <v>309583</v>
      </c>
      <c r="B31603" s="51" t="n">
        <v>45</v>
      </c>
      <c r="C31603" s="7" t="n">
        <v>4</v>
      </c>
      <c r="D31603" s="7" t="n">
        <v>3</v>
      </c>
      <c r="E31603" s="7" t="n">
        <v>3.25999999046326</v>
      </c>
      <c r="F31603" s="7" t="n">
        <v>260.25</v>
      </c>
      <c r="G31603" s="7" t="n">
        <v>8</v>
      </c>
      <c r="H31603" s="7" t="n">
        <v>60000</v>
      </c>
      <c r="I31603" s="7" t="n">
        <v>0</v>
      </c>
    </row>
    <row r="31604" spans="1:15">
      <c r="A31604" t="s">
        <v>4</v>
      </c>
      <c r="B31604" s="4" t="s">
        <v>5</v>
      </c>
      <c r="C31604" s="4" t="s">
        <v>11</v>
      </c>
    </row>
    <row r="31605" spans="1:15">
      <c r="A31605" t="n">
        <v>309601</v>
      </c>
      <c r="B31605" s="29" t="n">
        <v>16</v>
      </c>
      <c r="C31605" s="7" t="n">
        <v>200</v>
      </c>
    </row>
    <row r="31606" spans="1:15">
      <c r="A31606" t="s">
        <v>4</v>
      </c>
      <c r="B31606" s="4" t="s">
        <v>5</v>
      </c>
      <c r="C31606" s="4" t="s">
        <v>7</v>
      </c>
      <c r="D31606" s="4" t="s">
        <v>11</v>
      </c>
      <c r="E31606" s="4" t="s">
        <v>8</v>
      </c>
      <c r="F31606" s="4" t="s">
        <v>8</v>
      </c>
      <c r="G31606" s="4" t="s">
        <v>8</v>
      </c>
      <c r="H31606" s="4" t="s">
        <v>8</v>
      </c>
    </row>
    <row r="31607" spans="1:15">
      <c r="A31607" t="n">
        <v>309604</v>
      </c>
      <c r="B31607" s="38" t="n">
        <v>51</v>
      </c>
      <c r="C31607" s="7" t="n">
        <v>3</v>
      </c>
      <c r="D31607" s="7" t="n">
        <v>11</v>
      </c>
      <c r="E31607" s="7" t="s">
        <v>154</v>
      </c>
      <c r="F31607" s="7" t="s">
        <v>155</v>
      </c>
      <c r="G31607" s="7" t="s">
        <v>67</v>
      </c>
      <c r="H31607" s="7" t="s">
        <v>68</v>
      </c>
    </row>
    <row r="31608" spans="1:15">
      <c r="A31608" t="s">
        <v>4</v>
      </c>
      <c r="B31608" s="4" t="s">
        <v>5</v>
      </c>
      <c r="C31608" s="4" t="s">
        <v>11</v>
      </c>
      <c r="D31608" s="4" t="s">
        <v>7</v>
      </c>
      <c r="E31608" s="4" t="s">
        <v>13</v>
      </c>
      <c r="F31608" s="4" t="s">
        <v>11</v>
      </c>
    </row>
    <row r="31609" spans="1:15">
      <c r="A31609" t="n">
        <v>309616</v>
      </c>
      <c r="B31609" s="56" t="n">
        <v>59</v>
      </c>
      <c r="C31609" s="7" t="n">
        <v>11</v>
      </c>
      <c r="D31609" s="7" t="n">
        <v>1</v>
      </c>
      <c r="E31609" s="7" t="n">
        <v>0.150000005960464</v>
      </c>
      <c r="F31609" s="7" t="n">
        <v>0</v>
      </c>
    </row>
    <row r="31610" spans="1:15">
      <c r="A31610" t="s">
        <v>4</v>
      </c>
      <c r="B31610" s="4" t="s">
        <v>5</v>
      </c>
      <c r="C31610" s="4" t="s">
        <v>11</v>
      </c>
    </row>
    <row r="31611" spans="1:15">
      <c r="A31611" t="n">
        <v>309626</v>
      </c>
      <c r="B31611" s="29" t="n">
        <v>16</v>
      </c>
      <c r="C31611" s="7" t="n">
        <v>1000</v>
      </c>
    </row>
    <row r="31612" spans="1:15">
      <c r="A31612" t="s">
        <v>4</v>
      </c>
      <c r="B31612" s="4" t="s">
        <v>5</v>
      </c>
      <c r="C31612" s="4" t="s">
        <v>7</v>
      </c>
      <c r="D31612" s="4" t="s">
        <v>11</v>
      </c>
      <c r="E31612" s="4" t="s">
        <v>8</v>
      </c>
      <c r="F31612" s="4" t="s">
        <v>8</v>
      </c>
      <c r="G31612" s="4" t="s">
        <v>8</v>
      </c>
      <c r="H31612" s="4" t="s">
        <v>8</v>
      </c>
    </row>
    <row r="31613" spans="1:15">
      <c r="A31613" t="n">
        <v>309629</v>
      </c>
      <c r="B31613" s="38" t="n">
        <v>51</v>
      </c>
      <c r="C31613" s="7" t="n">
        <v>3</v>
      </c>
      <c r="D31613" s="7" t="n">
        <v>11</v>
      </c>
      <c r="E31613" s="7" t="s">
        <v>99</v>
      </c>
      <c r="F31613" s="7" t="s">
        <v>218</v>
      </c>
      <c r="G31613" s="7" t="s">
        <v>67</v>
      </c>
      <c r="H31613" s="7" t="s">
        <v>68</v>
      </c>
    </row>
    <row r="31614" spans="1:15">
      <c r="A31614" t="s">
        <v>4</v>
      </c>
      <c r="B31614" s="4" t="s">
        <v>5</v>
      </c>
      <c r="C31614" s="4" t="s">
        <v>11</v>
      </c>
      <c r="D31614" s="4" t="s">
        <v>7</v>
      </c>
      <c r="E31614" s="4" t="s">
        <v>13</v>
      </c>
      <c r="F31614" s="4" t="s">
        <v>11</v>
      </c>
    </row>
    <row r="31615" spans="1:15">
      <c r="A31615" t="n">
        <v>309641</v>
      </c>
      <c r="B31615" s="56" t="n">
        <v>59</v>
      </c>
      <c r="C31615" s="7" t="n">
        <v>11</v>
      </c>
      <c r="D31615" s="7" t="n">
        <v>15</v>
      </c>
      <c r="E31615" s="7" t="n">
        <v>0.150000005960464</v>
      </c>
      <c r="F31615" s="7" t="n">
        <v>0</v>
      </c>
    </row>
    <row r="31616" spans="1:15">
      <c r="A31616" t="s">
        <v>4</v>
      </c>
      <c r="B31616" s="4" t="s">
        <v>5</v>
      </c>
      <c r="C31616" s="4" t="s">
        <v>11</v>
      </c>
      <c r="D31616" s="4" t="s">
        <v>13</v>
      </c>
      <c r="E31616" s="4" t="s">
        <v>13</v>
      </c>
      <c r="F31616" s="4" t="s">
        <v>13</v>
      </c>
      <c r="G31616" s="4" t="s">
        <v>11</v>
      </c>
      <c r="H31616" s="4" t="s">
        <v>11</v>
      </c>
    </row>
    <row r="31617" spans="1:9">
      <c r="A31617" t="n">
        <v>309651</v>
      </c>
      <c r="B31617" s="37" t="n">
        <v>60</v>
      </c>
      <c r="C31617" s="7" t="n">
        <v>11</v>
      </c>
      <c r="D31617" s="7" t="n">
        <v>25</v>
      </c>
      <c r="E31617" s="7" t="n">
        <v>25</v>
      </c>
      <c r="F31617" s="7" t="n">
        <v>0</v>
      </c>
      <c r="G31617" s="7" t="n">
        <v>800</v>
      </c>
      <c r="H31617" s="7" t="n">
        <v>0</v>
      </c>
    </row>
    <row r="31618" spans="1:9">
      <c r="A31618" t="s">
        <v>4</v>
      </c>
      <c r="B31618" s="4" t="s">
        <v>5</v>
      </c>
      <c r="C31618" s="4" t="s">
        <v>11</v>
      </c>
    </row>
    <row r="31619" spans="1:9">
      <c r="A31619" t="n">
        <v>309670</v>
      </c>
      <c r="B31619" s="29" t="n">
        <v>16</v>
      </c>
      <c r="C31619" s="7" t="n">
        <v>1000</v>
      </c>
    </row>
    <row r="31620" spans="1:9">
      <c r="A31620" t="s">
        <v>4</v>
      </c>
      <c r="B31620" s="4" t="s">
        <v>5</v>
      </c>
      <c r="C31620" s="4" t="s">
        <v>7</v>
      </c>
      <c r="D31620" s="4" t="s">
        <v>11</v>
      </c>
      <c r="E31620" s="4" t="s">
        <v>8</v>
      </c>
    </row>
    <row r="31621" spans="1:9">
      <c r="A31621" t="n">
        <v>309673</v>
      </c>
      <c r="B31621" s="38" t="n">
        <v>51</v>
      </c>
      <c r="C31621" s="7" t="n">
        <v>4</v>
      </c>
      <c r="D31621" s="7" t="n">
        <v>11</v>
      </c>
      <c r="E31621" s="7" t="s">
        <v>1786</v>
      </c>
    </row>
    <row r="31622" spans="1:9">
      <c r="A31622" t="s">
        <v>4</v>
      </c>
      <c r="B31622" s="4" t="s">
        <v>5</v>
      </c>
      <c r="C31622" s="4" t="s">
        <v>11</v>
      </c>
    </row>
    <row r="31623" spans="1:9">
      <c r="A31623" t="n">
        <v>309692</v>
      </c>
      <c r="B31623" s="29" t="n">
        <v>16</v>
      </c>
      <c r="C31623" s="7" t="n">
        <v>0</v>
      </c>
    </row>
    <row r="31624" spans="1:9">
      <c r="A31624" t="s">
        <v>4</v>
      </c>
      <c r="B31624" s="4" t="s">
        <v>5</v>
      </c>
      <c r="C31624" s="4" t="s">
        <v>11</v>
      </c>
      <c r="D31624" s="4" t="s">
        <v>7</v>
      </c>
      <c r="E31624" s="4" t="s">
        <v>15</v>
      </c>
      <c r="F31624" s="4" t="s">
        <v>55</v>
      </c>
      <c r="G31624" s="4" t="s">
        <v>7</v>
      </c>
      <c r="H31624" s="4" t="s">
        <v>7</v>
      </c>
      <c r="I31624" s="4" t="s">
        <v>7</v>
      </c>
      <c r="J31624" s="4" t="s">
        <v>15</v>
      </c>
      <c r="K31624" s="4" t="s">
        <v>55</v>
      </c>
      <c r="L31624" s="4" t="s">
        <v>7</v>
      </c>
      <c r="M31624" s="4" t="s">
        <v>7</v>
      </c>
    </row>
    <row r="31625" spans="1:9">
      <c r="A31625" t="n">
        <v>309695</v>
      </c>
      <c r="B31625" s="55" t="n">
        <v>26</v>
      </c>
      <c r="C31625" s="7" t="n">
        <v>11</v>
      </c>
      <c r="D31625" s="7" t="n">
        <v>17</v>
      </c>
      <c r="E31625" s="7" t="n">
        <v>64780</v>
      </c>
      <c r="F31625" s="7" t="s">
        <v>1787</v>
      </c>
      <c r="G31625" s="7" t="n">
        <v>2</v>
      </c>
      <c r="H31625" s="7" t="n">
        <v>3</v>
      </c>
      <c r="I31625" s="7" t="n">
        <v>17</v>
      </c>
      <c r="J31625" s="7" t="n">
        <v>64781</v>
      </c>
      <c r="K31625" s="7" t="s">
        <v>1788</v>
      </c>
      <c r="L31625" s="7" t="n">
        <v>2</v>
      </c>
      <c r="M31625" s="7" t="n">
        <v>0</v>
      </c>
    </row>
    <row r="31626" spans="1:9">
      <c r="A31626" t="s">
        <v>4</v>
      </c>
      <c r="B31626" s="4" t="s">
        <v>5</v>
      </c>
    </row>
    <row r="31627" spans="1:9">
      <c r="A31627" t="n">
        <v>309846</v>
      </c>
      <c r="B31627" s="27" t="n">
        <v>28</v>
      </c>
    </row>
    <row r="31628" spans="1:9">
      <c r="A31628" t="s">
        <v>4</v>
      </c>
      <c r="B31628" s="4" t="s">
        <v>5</v>
      </c>
      <c r="C31628" s="4" t="s">
        <v>7</v>
      </c>
      <c r="D31628" s="4" t="s">
        <v>11</v>
      </c>
      <c r="E31628" s="4" t="s">
        <v>8</v>
      </c>
    </row>
    <row r="31629" spans="1:9">
      <c r="A31629" t="n">
        <v>309847</v>
      </c>
      <c r="B31629" s="38" t="n">
        <v>51</v>
      </c>
      <c r="C31629" s="7" t="n">
        <v>4</v>
      </c>
      <c r="D31629" s="7" t="n">
        <v>0</v>
      </c>
      <c r="E31629" s="7" t="s">
        <v>1248</v>
      </c>
    </row>
    <row r="31630" spans="1:9">
      <c r="A31630" t="s">
        <v>4</v>
      </c>
      <c r="B31630" s="4" t="s">
        <v>5</v>
      </c>
      <c r="C31630" s="4" t="s">
        <v>11</v>
      </c>
    </row>
    <row r="31631" spans="1:9">
      <c r="A31631" t="n">
        <v>309861</v>
      </c>
      <c r="B31631" s="29" t="n">
        <v>16</v>
      </c>
      <c r="C31631" s="7" t="n">
        <v>0</v>
      </c>
    </row>
    <row r="31632" spans="1:9">
      <c r="A31632" t="s">
        <v>4</v>
      </c>
      <c r="B31632" s="4" t="s">
        <v>5</v>
      </c>
      <c r="C31632" s="4" t="s">
        <v>11</v>
      </c>
      <c r="D31632" s="4" t="s">
        <v>7</v>
      </c>
      <c r="E31632" s="4" t="s">
        <v>15</v>
      </c>
      <c r="F31632" s="4" t="s">
        <v>55</v>
      </c>
      <c r="G31632" s="4" t="s">
        <v>7</v>
      </c>
      <c r="H31632" s="4" t="s">
        <v>7</v>
      </c>
      <c r="I31632" s="4" t="s">
        <v>7</v>
      </c>
      <c r="J31632" s="4" t="s">
        <v>15</v>
      </c>
      <c r="K31632" s="4" t="s">
        <v>55</v>
      </c>
      <c r="L31632" s="4" t="s">
        <v>7</v>
      </c>
      <c r="M31632" s="4" t="s">
        <v>7</v>
      </c>
      <c r="N31632" s="4" t="s">
        <v>7</v>
      </c>
      <c r="O31632" s="4" t="s">
        <v>15</v>
      </c>
      <c r="P31632" s="4" t="s">
        <v>55</v>
      </c>
      <c r="Q31632" s="4" t="s">
        <v>7</v>
      </c>
      <c r="R31632" s="4" t="s">
        <v>7</v>
      </c>
    </row>
    <row r="31633" spans="1:18">
      <c r="A31633" t="n">
        <v>309864</v>
      </c>
      <c r="B31633" s="55" t="n">
        <v>26</v>
      </c>
      <c r="C31633" s="7" t="n">
        <v>0</v>
      </c>
      <c r="D31633" s="7" t="n">
        <v>17</v>
      </c>
      <c r="E31633" s="7" t="n">
        <v>64782</v>
      </c>
      <c r="F31633" s="7" t="s">
        <v>1789</v>
      </c>
      <c r="G31633" s="7" t="n">
        <v>2</v>
      </c>
      <c r="H31633" s="7" t="n">
        <v>3</v>
      </c>
      <c r="I31633" s="7" t="n">
        <v>17</v>
      </c>
      <c r="J31633" s="7" t="n">
        <v>64783</v>
      </c>
      <c r="K31633" s="7" t="s">
        <v>1790</v>
      </c>
      <c r="L31633" s="7" t="n">
        <v>2</v>
      </c>
      <c r="M31633" s="7" t="n">
        <v>3</v>
      </c>
      <c r="N31633" s="7" t="n">
        <v>17</v>
      </c>
      <c r="O31633" s="7" t="n">
        <v>64784</v>
      </c>
      <c r="P31633" s="7" t="s">
        <v>1791</v>
      </c>
      <c r="Q31633" s="7" t="n">
        <v>2</v>
      </c>
      <c r="R31633" s="7" t="n">
        <v>0</v>
      </c>
    </row>
    <row r="31634" spans="1:18">
      <c r="A31634" t="s">
        <v>4</v>
      </c>
      <c r="B31634" s="4" t="s">
        <v>5</v>
      </c>
    </row>
    <row r="31635" spans="1:18">
      <c r="A31635" t="n">
        <v>310100</v>
      </c>
      <c r="B31635" s="27" t="n">
        <v>28</v>
      </c>
    </row>
    <row r="31636" spans="1:18">
      <c r="A31636" t="s">
        <v>4</v>
      </c>
      <c r="B31636" s="4" t="s">
        <v>5</v>
      </c>
      <c r="C31636" s="4" t="s">
        <v>7</v>
      </c>
      <c r="D31636" s="4" t="s">
        <v>11</v>
      </c>
      <c r="E31636" s="4" t="s">
        <v>11</v>
      </c>
      <c r="F31636" s="4" t="s">
        <v>7</v>
      </c>
    </row>
    <row r="31637" spans="1:18">
      <c r="A31637" t="n">
        <v>310101</v>
      </c>
      <c r="B31637" s="31" t="n">
        <v>25</v>
      </c>
      <c r="C31637" s="7" t="n">
        <v>1</v>
      </c>
      <c r="D31637" s="7" t="n">
        <v>65535</v>
      </c>
      <c r="E31637" s="7" t="n">
        <v>65535</v>
      </c>
      <c r="F31637" s="7" t="n">
        <v>0</v>
      </c>
    </row>
    <row r="31638" spans="1:18">
      <c r="A31638" t="s">
        <v>4</v>
      </c>
      <c r="B31638" s="4" t="s">
        <v>5</v>
      </c>
      <c r="C31638" s="4" t="s">
        <v>11</v>
      </c>
      <c r="D31638" s="4" t="s">
        <v>7</v>
      </c>
      <c r="E31638" s="4" t="s">
        <v>13</v>
      </c>
      <c r="F31638" s="4" t="s">
        <v>11</v>
      </c>
    </row>
    <row r="31639" spans="1:18">
      <c r="A31639" t="n">
        <v>310108</v>
      </c>
      <c r="B31639" s="56" t="n">
        <v>59</v>
      </c>
      <c r="C31639" s="7" t="n">
        <v>11</v>
      </c>
      <c r="D31639" s="7" t="n">
        <v>255</v>
      </c>
      <c r="E31639" s="7" t="n">
        <v>0</v>
      </c>
      <c r="F31639" s="7" t="n">
        <v>0</v>
      </c>
    </row>
    <row r="31640" spans="1:18">
      <c r="A31640" t="s">
        <v>4</v>
      </c>
      <c r="B31640" s="4" t="s">
        <v>5</v>
      </c>
      <c r="C31640" s="4" t="s">
        <v>7</v>
      </c>
      <c r="D31640" s="4" t="s">
        <v>11</v>
      </c>
      <c r="E31640" s="4" t="s">
        <v>8</v>
      </c>
      <c r="F31640" s="4" t="s">
        <v>8</v>
      </c>
      <c r="G31640" s="4" t="s">
        <v>8</v>
      </c>
      <c r="H31640" s="4" t="s">
        <v>8</v>
      </c>
    </row>
    <row r="31641" spans="1:18">
      <c r="A31641" t="n">
        <v>310118</v>
      </c>
      <c r="B31641" s="38" t="n">
        <v>51</v>
      </c>
      <c r="C31641" s="7" t="n">
        <v>3</v>
      </c>
      <c r="D31641" s="7" t="n">
        <v>11</v>
      </c>
      <c r="E31641" s="7" t="s">
        <v>99</v>
      </c>
      <c r="F31641" s="7" t="s">
        <v>218</v>
      </c>
      <c r="G31641" s="7" t="s">
        <v>16</v>
      </c>
      <c r="H31641" s="7" t="s">
        <v>68</v>
      </c>
    </row>
    <row r="31642" spans="1:18">
      <c r="A31642" t="s">
        <v>4</v>
      </c>
      <c r="B31642" s="4" t="s">
        <v>5</v>
      </c>
      <c r="C31642" s="4" t="s">
        <v>11</v>
      </c>
      <c r="D31642" s="4" t="s">
        <v>13</v>
      </c>
      <c r="E31642" s="4" t="s">
        <v>13</v>
      </c>
      <c r="F31642" s="4" t="s">
        <v>13</v>
      </c>
      <c r="G31642" s="4" t="s">
        <v>11</v>
      </c>
      <c r="H31642" s="4" t="s">
        <v>11</v>
      </c>
    </row>
    <row r="31643" spans="1:18">
      <c r="A31643" t="n">
        <v>310129</v>
      </c>
      <c r="B31643" s="37" t="n">
        <v>60</v>
      </c>
      <c r="C31643" s="7" t="n">
        <v>11</v>
      </c>
      <c r="D31643" s="7" t="n">
        <v>20</v>
      </c>
      <c r="E31643" s="7" t="n">
        <v>20</v>
      </c>
      <c r="F31643" s="7" t="n">
        <v>0</v>
      </c>
      <c r="G31643" s="7" t="n">
        <v>800</v>
      </c>
      <c r="H31643" s="7" t="n">
        <v>0</v>
      </c>
    </row>
    <row r="31644" spans="1:18">
      <c r="A31644" t="s">
        <v>4</v>
      </c>
      <c r="B31644" s="4" t="s">
        <v>5</v>
      </c>
      <c r="C31644" s="4" t="s">
        <v>11</v>
      </c>
    </row>
    <row r="31645" spans="1:18">
      <c r="A31645" t="n">
        <v>310148</v>
      </c>
      <c r="B31645" s="29" t="n">
        <v>16</v>
      </c>
      <c r="C31645" s="7" t="n">
        <v>500</v>
      </c>
    </row>
    <row r="31646" spans="1:18">
      <c r="A31646" t="s">
        <v>4</v>
      </c>
      <c r="B31646" s="4" t="s">
        <v>5</v>
      </c>
      <c r="C31646" s="4" t="s">
        <v>7</v>
      </c>
      <c r="D31646" s="4" t="s">
        <v>11</v>
      </c>
      <c r="E31646" s="4" t="s">
        <v>8</v>
      </c>
    </row>
    <row r="31647" spans="1:18">
      <c r="A31647" t="n">
        <v>310151</v>
      </c>
      <c r="B31647" s="38" t="n">
        <v>51</v>
      </c>
      <c r="C31647" s="7" t="n">
        <v>4</v>
      </c>
      <c r="D31647" s="7" t="n">
        <v>11</v>
      </c>
      <c r="E31647" s="7" t="s">
        <v>1786</v>
      </c>
    </row>
    <row r="31648" spans="1:18">
      <c r="A31648" t="s">
        <v>4</v>
      </c>
      <c r="B31648" s="4" t="s">
        <v>5</v>
      </c>
      <c r="C31648" s="4" t="s">
        <v>11</v>
      </c>
    </row>
    <row r="31649" spans="1:18">
      <c r="A31649" t="n">
        <v>310170</v>
      </c>
      <c r="B31649" s="29" t="n">
        <v>16</v>
      </c>
      <c r="C31649" s="7" t="n">
        <v>0</v>
      </c>
    </row>
    <row r="31650" spans="1:18">
      <c r="A31650" t="s">
        <v>4</v>
      </c>
      <c r="B31650" s="4" t="s">
        <v>5</v>
      </c>
      <c r="C31650" s="4" t="s">
        <v>11</v>
      </c>
      <c r="D31650" s="4" t="s">
        <v>7</v>
      </c>
      <c r="E31650" s="4" t="s">
        <v>15</v>
      </c>
      <c r="F31650" s="4" t="s">
        <v>55</v>
      </c>
      <c r="G31650" s="4" t="s">
        <v>7</v>
      </c>
      <c r="H31650" s="4" t="s">
        <v>7</v>
      </c>
    </row>
    <row r="31651" spans="1:18">
      <c r="A31651" t="n">
        <v>310173</v>
      </c>
      <c r="B31651" s="55" t="n">
        <v>26</v>
      </c>
      <c r="C31651" s="7" t="n">
        <v>11</v>
      </c>
      <c r="D31651" s="7" t="n">
        <v>17</v>
      </c>
      <c r="E31651" s="7" t="n">
        <v>64785</v>
      </c>
      <c r="F31651" s="7" t="s">
        <v>1792</v>
      </c>
      <c r="G31651" s="7" t="n">
        <v>2</v>
      </c>
      <c r="H31651" s="7" t="n">
        <v>0</v>
      </c>
    </row>
    <row r="31652" spans="1:18">
      <c r="A31652" t="s">
        <v>4</v>
      </c>
      <c r="B31652" s="4" t="s">
        <v>5</v>
      </c>
    </row>
    <row r="31653" spans="1:18">
      <c r="A31653" t="n">
        <v>310218</v>
      </c>
      <c r="B31653" s="27" t="n">
        <v>28</v>
      </c>
    </row>
    <row r="31654" spans="1:18">
      <c r="A31654" t="s">
        <v>4</v>
      </c>
      <c r="B31654" s="4" t="s">
        <v>5</v>
      </c>
      <c r="C31654" s="4" t="s">
        <v>7</v>
      </c>
      <c r="D31654" s="4" t="s">
        <v>11</v>
      </c>
      <c r="E31654" s="4" t="s">
        <v>8</v>
      </c>
      <c r="F31654" s="4" t="s">
        <v>8</v>
      </c>
      <c r="G31654" s="4" t="s">
        <v>8</v>
      </c>
      <c r="H31654" s="4" t="s">
        <v>8</v>
      </c>
    </row>
    <row r="31655" spans="1:18">
      <c r="A31655" t="n">
        <v>310219</v>
      </c>
      <c r="B31655" s="38" t="n">
        <v>51</v>
      </c>
      <c r="C31655" s="7" t="n">
        <v>3</v>
      </c>
      <c r="D31655" s="7" t="n">
        <v>11</v>
      </c>
      <c r="E31655" s="7" t="s">
        <v>319</v>
      </c>
      <c r="F31655" s="7" t="s">
        <v>218</v>
      </c>
      <c r="G31655" s="7" t="s">
        <v>67</v>
      </c>
      <c r="H31655" s="7" t="s">
        <v>68</v>
      </c>
    </row>
    <row r="31656" spans="1:18">
      <c r="A31656" t="s">
        <v>4</v>
      </c>
      <c r="B31656" s="4" t="s">
        <v>5</v>
      </c>
      <c r="C31656" s="4" t="s">
        <v>11</v>
      </c>
    </row>
    <row r="31657" spans="1:18">
      <c r="A31657" t="n">
        <v>310231</v>
      </c>
      <c r="B31657" s="29" t="n">
        <v>16</v>
      </c>
      <c r="C31657" s="7" t="n">
        <v>1300</v>
      </c>
    </row>
    <row r="31658" spans="1:18">
      <c r="A31658" t="s">
        <v>4</v>
      </c>
      <c r="B31658" s="4" t="s">
        <v>5</v>
      </c>
      <c r="C31658" s="4" t="s">
        <v>11</v>
      </c>
      <c r="D31658" s="4" t="s">
        <v>13</v>
      </c>
      <c r="E31658" s="4" t="s">
        <v>13</v>
      </c>
      <c r="F31658" s="4" t="s">
        <v>13</v>
      </c>
      <c r="G31658" s="4" t="s">
        <v>11</v>
      </c>
      <c r="H31658" s="4" t="s">
        <v>11</v>
      </c>
    </row>
    <row r="31659" spans="1:18">
      <c r="A31659" t="n">
        <v>310234</v>
      </c>
      <c r="B31659" s="37" t="n">
        <v>60</v>
      </c>
      <c r="C31659" s="7" t="n">
        <v>11</v>
      </c>
      <c r="D31659" s="7" t="n">
        <v>20</v>
      </c>
      <c r="E31659" s="7" t="n">
        <v>10</v>
      </c>
      <c r="F31659" s="7" t="n">
        <v>0</v>
      </c>
      <c r="G31659" s="7" t="n">
        <v>800</v>
      </c>
      <c r="H31659" s="7" t="n">
        <v>0</v>
      </c>
    </row>
    <row r="31660" spans="1:18">
      <c r="A31660" t="s">
        <v>4</v>
      </c>
      <c r="B31660" s="4" t="s">
        <v>5</v>
      </c>
      <c r="C31660" s="4" t="s">
        <v>11</v>
      </c>
    </row>
    <row r="31661" spans="1:18">
      <c r="A31661" t="n">
        <v>310253</v>
      </c>
      <c r="B31661" s="29" t="n">
        <v>16</v>
      </c>
      <c r="C31661" s="7" t="n">
        <v>500</v>
      </c>
    </row>
    <row r="31662" spans="1:18">
      <c r="A31662" t="s">
        <v>4</v>
      </c>
      <c r="B31662" s="4" t="s">
        <v>5</v>
      </c>
      <c r="C31662" s="4" t="s">
        <v>7</v>
      </c>
      <c r="D31662" s="4" t="s">
        <v>11</v>
      </c>
      <c r="E31662" s="4" t="s">
        <v>8</v>
      </c>
    </row>
    <row r="31663" spans="1:18">
      <c r="A31663" t="n">
        <v>310256</v>
      </c>
      <c r="B31663" s="38" t="n">
        <v>51</v>
      </c>
      <c r="C31663" s="7" t="n">
        <v>4</v>
      </c>
      <c r="D31663" s="7" t="n">
        <v>11</v>
      </c>
      <c r="E31663" s="7" t="s">
        <v>1793</v>
      </c>
    </row>
    <row r="31664" spans="1:18">
      <c r="A31664" t="s">
        <v>4</v>
      </c>
      <c r="B31664" s="4" t="s">
        <v>5</v>
      </c>
      <c r="C31664" s="4" t="s">
        <v>11</v>
      </c>
    </row>
    <row r="31665" spans="1:8">
      <c r="A31665" t="n">
        <v>310275</v>
      </c>
      <c r="B31665" s="29" t="n">
        <v>16</v>
      </c>
      <c r="C31665" s="7" t="n">
        <v>0</v>
      </c>
    </row>
    <row r="31666" spans="1:8">
      <c r="A31666" t="s">
        <v>4</v>
      </c>
      <c r="B31666" s="4" t="s">
        <v>5</v>
      </c>
      <c r="C31666" s="4" t="s">
        <v>11</v>
      </c>
      <c r="D31666" s="4" t="s">
        <v>7</v>
      </c>
      <c r="E31666" s="4" t="s">
        <v>15</v>
      </c>
      <c r="F31666" s="4" t="s">
        <v>55</v>
      </c>
      <c r="G31666" s="4" t="s">
        <v>7</v>
      </c>
      <c r="H31666" s="4" t="s">
        <v>7</v>
      </c>
    </row>
    <row r="31667" spans="1:8">
      <c r="A31667" t="n">
        <v>310278</v>
      </c>
      <c r="B31667" s="55" t="n">
        <v>26</v>
      </c>
      <c r="C31667" s="7" t="n">
        <v>11</v>
      </c>
      <c r="D31667" s="7" t="n">
        <v>17</v>
      </c>
      <c r="E31667" s="7" t="n">
        <v>64786</v>
      </c>
      <c r="F31667" s="7" t="s">
        <v>1794</v>
      </c>
      <c r="G31667" s="7" t="n">
        <v>2</v>
      </c>
      <c r="H31667" s="7" t="n">
        <v>0</v>
      </c>
    </row>
    <row r="31668" spans="1:8">
      <c r="A31668" t="s">
        <v>4</v>
      </c>
      <c r="B31668" s="4" t="s">
        <v>5</v>
      </c>
    </row>
    <row r="31669" spans="1:8">
      <c r="A31669" t="n">
        <v>310351</v>
      </c>
      <c r="B31669" s="27" t="n">
        <v>28</v>
      </c>
    </row>
    <row r="31670" spans="1:8">
      <c r="A31670" t="s">
        <v>4</v>
      </c>
      <c r="B31670" s="4" t="s">
        <v>5</v>
      </c>
      <c r="C31670" s="4" t="s">
        <v>11</v>
      </c>
      <c r="D31670" s="4" t="s">
        <v>7</v>
      </c>
    </row>
    <row r="31671" spans="1:8">
      <c r="A31671" t="n">
        <v>310352</v>
      </c>
      <c r="B31671" s="68" t="n">
        <v>89</v>
      </c>
      <c r="C31671" s="7" t="n">
        <v>65533</v>
      </c>
      <c r="D31671" s="7" t="n">
        <v>1</v>
      </c>
    </row>
    <row r="31672" spans="1:8">
      <c r="A31672" t="s">
        <v>4</v>
      </c>
      <c r="B31672" s="4" t="s">
        <v>5</v>
      </c>
      <c r="C31672" s="4" t="s">
        <v>7</v>
      </c>
      <c r="D31672" s="4" t="s">
        <v>11</v>
      </c>
      <c r="E31672" s="4" t="s">
        <v>13</v>
      </c>
    </row>
    <row r="31673" spans="1:8">
      <c r="A31673" t="n">
        <v>310356</v>
      </c>
      <c r="B31673" s="23" t="n">
        <v>58</v>
      </c>
      <c r="C31673" s="7" t="n">
        <v>0</v>
      </c>
      <c r="D31673" s="7" t="n">
        <v>2000</v>
      </c>
      <c r="E31673" s="7" t="n">
        <v>1</v>
      </c>
    </row>
    <row r="31674" spans="1:8">
      <c r="A31674" t="s">
        <v>4</v>
      </c>
      <c r="B31674" s="4" t="s">
        <v>5</v>
      </c>
      <c r="C31674" s="4" t="s">
        <v>7</v>
      </c>
      <c r="D31674" s="4" t="s">
        <v>11</v>
      </c>
    </row>
    <row r="31675" spans="1:8">
      <c r="A31675" t="n">
        <v>310364</v>
      </c>
      <c r="B31675" s="23" t="n">
        <v>58</v>
      </c>
      <c r="C31675" s="7" t="n">
        <v>255</v>
      </c>
      <c r="D31675" s="7" t="n">
        <v>0</v>
      </c>
    </row>
    <row r="31676" spans="1:8">
      <c r="A31676" t="s">
        <v>4</v>
      </c>
      <c r="B31676" s="4" t="s">
        <v>5</v>
      </c>
      <c r="C31676" s="4" t="s">
        <v>11</v>
      </c>
    </row>
    <row r="31677" spans="1:8">
      <c r="A31677" t="n">
        <v>310368</v>
      </c>
      <c r="B31677" s="29" t="n">
        <v>16</v>
      </c>
      <c r="C31677" s="7" t="n">
        <v>1000</v>
      </c>
    </row>
    <row r="31678" spans="1:8">
      <c r="A31678" t="s">
        <v>4</v>
      </c>
      <c r="B31678" s="4" t="s">
        <v>5</v>
      </c>
      <c r="C31678" s="4" t="s">
        <v>7</v>
      </c>
    </row>
    <row r="31679" spans="1:8">
      <c r="A31679" t="n">
        <v>310371</v>
      </c>
      <c r="B31679" s="51" t="n">
        <v>45</v>
      </c>
      <c r="C31679" s="7" t="n">
        <v>0</v>
      </c>
    </row>
    <row r="31680" spans="1:8">
      <c r="A31680" t="s">
        <v>4</v>
      </c>
      <c r="B31680" s="4" t="s">
        <v>5</v>
      </c>
      <c r="C31680" s="4" t="s">
        <v>7</v>
      </c>
      <c r="D31680" s="4" t="s">
        <v>11</v>
      </c>
      <c r="E31680" s="4" t="s">
        <v>7</v>
      </c>
    </row>
    <row r="31681" spans="1:8">
      <c r="A31681" t="n">
        <v>310373</v>
      </c>
      <c r="B31681" s="40" t="n">
        <v>36</v>
      </c>
      <c r="C31681" s="7" t="n">
        <v>9</v>
      </c>
      <c r="D31681" s="7" t="n">
        <v>0</v>
      </c>
      <c r="E31681" s="7" t="n">
        <v>0</v>
      </c>
    </row>
    <row r="31682" spans="1:8">
      <c r="A31682" t="s">
        <v>4</v>
      </c>
      <c r="B31682" s="4" t="s">
        <v>5</v>
      </c>
      <c r="C31682" s="4" t="s">
        <v>7</v>
      </c>
      <c r="D31682" s="4" t="s">
        <v>11</v>
      </c>
      <c r="E31682" s="4" t="s">
        <v>7</v>
      </c>
    </row>
    <row r="31683" spans="1:8">
      <c r="A31683" t="n">
        <v>310378</v>
      </c>
      <c r="B31683" s="40" t="n">
        <v>36</v>
      </c>
      <c r="C31683" s="7" t="n">
        <v>9</v>
      </c>
      <c r="D31683" s="7" t="n">
        <v>11</v>
      </c>
      <c r="E31683" s="7" t="n">
        <v>0</v>
      </c>
    </row>
    <row r="31684" spans="1:8">
      <c r="A31684" t="s">
        <v>4</v>
      </c>
      <c r="B31684" s="4" t="s">
        <v>5</v>
      </c>
      <c r="C31684" s="4" t="s">
        <v>11</v>
      </c>
      <c r="D31684" s="4" t="s">
        <v>13</v>
      </c>
      <c r="E31684" s="4" t="s">
        <v>13</v>
      </c>
      <c r="F31684" s="4" t="s">
        <v>13</v>
      </c>
      <c r="G31684" s="4" t="s">
        <v>13</v>
      </c>
    </row>
    <row r="31685" spans="1:8">
      <c r="A31685" t="n">
        <v>310383</v>
      </c>
      <c r="B31685" s="36" t="n">
        <v>46</v>
      </c>
      <c r="C31685" s="7" t="n">
        <v>61456</v>
      </c>
      <c r="D31685" s="7" t="n">
        <v>1.32000005245209</v>
      </c>
      <c r="E31685" s="7" t="n">
        <v>10.0100002288818</v>
      </c>
      <c r="F31685" s="7" t="n">
        <v>30.5900001525879</v>
      </c>
      <c r="G31685" s="7" t="n">
        <v>298.899993896484</v>
      </c>
    </row>
    <row r="31686" spans="1:8">
      <c r="A31686" t="s">
        <v>4</v>
      </c>
      <c r="B31686" s="4" t="s">
        <v>5</v>
      </c>
      <c r="C31686" s="4" t="s">
        <v>7</v>
      </c>
      <c r="D31686" s="4" t="s">
        <v>7</v>
      </c>
      <c r="E31686" s="4" t="s">
        <v>13</v>
      </c>
      <c r="F31686" s="4" t="s">
        <v>13</v>
      </c>
      <c r="G31686" s="4" t="s">
        <v>13</v>
      </c>
      <c r="H31686" s="4" t="s">
        <v>11</v>
      </c>
      <c r="I31686" s="4" t="s">
        <v>7</v>
      </c>
    </row>
    <row r="31687" spans="1:8">
      <c r="A31687" t="n">
        <v>310402</v>
      </c>
      <c r="B31687" s="51" t="n">
        <v>45</v>
      </c>
      <c r="C31687" s="7" t="n">
        <v>4</v>
      </c>
      <c r="D31687" s="7" t="n">
        <v>3</v>
      </c>
      <c r="E31687" s="7" t="n">
        <v>7</v>
      </c>
      <c r="F31687" s="7" t="n">
        <v>282.329986572266</v>
      </c>
      <c r="G31687" s="7" t="n">
        <v>0</v>
      </c>
      <c r="H31687" s="7" t="n">
        <v>0</v>
      </c>
      <c r="I31687" s="7" t="n">
        <v>0</v>
      </c>
    </row>
    <row r="31688" spans="1:8">
      <c r="A31688" t="s">
        <v>4</v>
      </c>
      <c r="B31688" s="4" t="s">
        <v>5</v>
      </c>
      <c r="C31688" s="4" t="s">
        <v>7</v>
      </c>
      <c r="D31688" s="4" t="s">
        <v>8</v>
      </c>
    </row>
    <row r="31689" spans="1:8">
      <c r="A31689" t="n">
        <v>310420</v>
      </c>
      <c r="B31689" s="6" t="n">
        <v>2</v>
      </c>
      <c r="C31689" s="7" t="n">
        <v>10</v>
      </c>
      <c r="D31689" s="7" t="s">
        <v>1834</v>
      </c>
    </row>
    <row r="31690" spans="1:8">
      <c r="A31690" t="s">
        <v>4</v>
      </c>
      <c r="B31690" s="4" t="s">
        <v>5</v>
      </c>
    </row>
    <row r="31691" spans="1:8">
      <c r="A31691" t="n">
        <v>310441</v>
      </c>
      <c r="B31691" s="5" t="n">
        <v>1</v>
      </c>
    </row>
    <row r="31692" spans="1:8" s="3" customFormat="1" customHeight="0">
      <c r="A31692" s="3" t="s">
        <v>2</v>
      </c>
      <c r="B31692" s="3" t="s">
        <v>1846</v>
      </c>
    </row>
    <row r="31693" spans="1:8">
      <c r="A31693" t="s">
        <v>4</v>
      </c>
      <c r="B31693" s="4" t="s">
        <v>5</v>
      </c>
      <c r="C31693" s="4" t="s">
        <v>7</v>
      </c>
      <c r="D31693" s="4" t="s">
        <v>7</v>
      </c>
      <c r="E31693" s="4" t="s">
        <v>7</v>
      </c>
      <c r="F31693" s="4" t="s">
        <v>7</v>
      </c>
    </row>
    <row r="31694" spans="1:8">
      <c r="A31694" t="n">
        <v>310444</v>
      </c>
      <c r="B31694" s="9" t="n">
        <v>14</v>
      </c>
      <c r="C31694" s="7" t="n">
        <v>2</v>
      </c>
      <c r="D31694" s="7" t="n">
        <v>0</v>
      </c>
      <c r="E31694" s="7" t="n">
        <v>0</v>
      </c>
      <c r="F31694" s="7" t="n">
        <v>0</v>
      </c>
    </row>
    <row r="31695" spans="1:8">
      <c r="A31695" t="s">
        <v>4</v>
      </c>
      <c r="B31695" s="4" t="s">
        <v>5</v>
      </c>
      <c r="C31695" s="4" t="s">
        <v>7</v>
      </c>
      <c r="D31695" s="20" t="s">
        <v>35</v>
      </c>
      <c r="E31695" s="4" t="s">
        <v>5</v>
      </c>
      <c r="F31695" s="4" t="s">
        <v>7</v>
      </c>
      <c r="G31695" s="4" t="s">
        <v>11</v>
      </c>
      <c r="H31695" s="20" t="s">
        <v>36</v>
      </c>
      <c r="I31695" s="4" t="s">
        <v>7</v>
      </c>
      <c r="J31695" s="4" t="s">
        <v>15</v>
      </c>
      <c r="K31695" s="4" t="s">
        <v>7</v>
      </c>
      <c r="L31695" s="4" t="s">
        <v>7</v>
      </c>
      <c r="M31695" s="20" t="s">
        <v>35</v>
      </c>
      <c r="N31695" s="4" t="s">
        <v>5</v>
      </c>
      <c r="O31695" s="4" t="s">
        <v>7</v>
      </c>
      <c r="P31695" s="4" t="s">
        <v>11</v>
      </c>
      <c r="Q31695" s="20" t="s">
        <v>36</v>
      </c>
      <c r="R31695" s="4" t="s">
        <v>7</v>
      </c>
      <c r="S31695" s="4" t="s">
        <v>15</v>
      </c>
      <c r="T31695" s="4" t="s">
        <v>7</v>
      </c>
      <c r="U31695" s="4" t="s">
        <v>7</v>
      </c>
      <c r="V31695" s="4" t="s">
        <v>7</v>
      </c>
      <c r="W31695" s="4" t="s">
        <v>12</v>
      </c>
    </row>
    <row r="31696" spans="1:8">
      <c r="A31696" t="n">
        <v>310449</v>
      </c>
      <c r="B31696" s="10" t="n">
        <v>5</v>
      </c>
      <c r="C31696" s="7" t="n">
        <v>28</v>
      </c>
      <c r="D31696" s="20" t="s">
        <v>3</v>
      </c>
      <c r="E31696" s="8" t="n">
        <v>162</v>
      </c>
      <c r="F31696" s="7" t="n">
        <v>3</v>
      </c>
      <c r="G31696" s="7" t="n">
        <v>36895</v>
      </c>
      <c r="H31696" s="20" t="s">
        <v>3</v>
      </c>
      <c r="I31696" s="7" t="n">
        <v>0</v>
      </c>
      <c r="J31696" s="7" t="n">
        <v>1</v>
      </c>
      <c r="K31696" s="7" t="n">
        <v>2</v>
      </c>
      <c r="L31696" s="7" t="n">
        <v>28</v>
      </c>
      <c r="M31696" s="20" t="s">
        <v>3</v>
      </c>
      <c r="N31696" s="8" t="n">
        <v>162</v>
      </c>
      <c r="O31696" s="7" t="n">
        <v>3</v>
      </c>
      <c r="P31696" s="7" t="n">
        <v>36895</v>
      </c>
      <c r="Q31696" s="20" t="s">
        <v>3</v>
      </c>
      <c r="R31696" s="7" t="n">
        <v>0</v>
      </c>
      <c r="S31696" s="7" t="n">
        <v>2</v>
      </c>
      <c r="T31696" s="7" t="n">
        <v>2</v>
      </c>
      <c r="U31696" s="7" t="n">
        <v>11</v>
      </c>
      <c r="V31696" s="7" t="n">
        <v>1</v>
      </c>
      <c r="W31696" s="11" t="n">
        <f t="normal" ca="1">A31700</f>
        <v>0</v>
      </c>
    </row>
    <row r="31697" spans="1:23">
      <c r="A31697" t="s">
        <v>4</v>
      </c>
      <c r="B31697" s="4" t="s">
        <v>5</v>
      </c>
      <c r="C31697" s="4" t="s">
        <v>7</v>
      </c>
      <c r="D31697" s="4" t="s">
        <v>11</v>
      </c>
      <c r="E31697" s="4" t="s">
        <v>13</v>
      </c>
    </row>
    <row r="31698" spans="1:23">
      <c r="A31698" t="n">
        <v>310478</v>
      </c>
      <c r="B31698" s="23" t="n">
        <v>58</v>
      </c>
      <c r="C31698" s="7" t="n">
        <v>0</v>
      </c>
      <c r="D31698" s="7" t="n">
        <v>0</v>
      </c>
      <c r="E31698" s="7" t="n">
        <v>1</v>
      </c>
    </row>
    <row r="31699" spans="1:23">
      <c r="A31699" t="s">
        <v>4</v>
      </c>
      <c r="B31699" s="4" t="s">
        <v>5</v>
      </c>
      <c r="C31699" s="4" t="s">
        <v>7</v>
      </c>
      <c r="D31699" s="20" t="s">
        <v>35</v>
      </c>
      <c r="E31699" s="4" t="s">
        <v>5</v>
      </c>
      <c r="F31699" s="4" t="s">
        <v>7</v>
      </c>
      <c r="G31699" s="4" t="s">
        <v>11</v>
      </c>
      <c r="H31699" s="20" t="s">
        <v>36</v>
      </c>
      <c r="I31699" s="4" t="s">
        <v>7</v>
      </c>
      <c r="J31699" s="4" t="s">
        <v>15</v>
      </c>
      <c r="K31699" s="4" t="s">
        <v>7</v>
      </c>
      <c r="L31699" s="4" t="s">
        <v>7</v>
      </c>
      <c r="M31699" s="20" t="s">
        <v>35</v>
      </c>
      <c r="N31699" s="4" t="s">
        <v>5</v>
      </c>
      <c r="O31699" s="4" t="s">
        <v>7</v>
      </c>
      <c r="P31699" s="4" t="s">
        <v>11</v>
      </c>
      <c r="Q31699" s="20" t="s">
        <v>36</v>
      </c>
      <c r="R31699" s="4" t="s">
        <v>7</v>
      </c>
      <c r="S31699" s="4" t="s">
        <v>15</v>
      </c>
      <c r="T31699" s="4" t="s">
        <v>7</v>
      </c>
      <c r="U31699" s="4" t="s">
        <v>7</v>
      </c>
      <c r="V31699" s="4" t="s">
        <v>7</v>
      </c>
      <c r="W31699" s="4" t="s">
        <v>12</v>
      </c>
    </row>
    <row r="31700" spans="1:23">
      <c r="A31700" t="n">
        <v>310486</v>
      </c>
      <c r="B31700" s="10" t="n">
        <v>5</v>
      </c>
      <c r="C31700" s="7" t="n">
        <v>28</v>
      </c>
      <c r="D31700" s="20" t="s">
        <v>3</v>
      </c>
      <c r="E31700" s="8" t="n">
        <v>162</v>
      </c>
      <c r="F31700" s="7" t="n">
        <v>3</v>
      </c>
      <c r="G31700" s="7" t="n">
        <v>36895</v>
      </c>
      <c r="H31700" s="20" t="s">
        <v>3</v>
      </c>
      <c r="I31700" s="7" t="n">
        <v>0</v>
      </c>
      <c r="J31700" s="7" t="n">
        <v>1</v>
      </c>
      <c r="K31700" s="7" t="n">
        <v>3</v>
      </c>
      <c r="L31700" s="7" t="n">
        <v>28</v>
      </c>
      <c r="M31700" s="20" t="s">
        <v>3</v>
      </c>
      <c r="N31700" s="8" t="n">
        <v>162</v>
      </c>
      <c r="O31700" s="7" t="n">
        <v>3</v>
      </c>
      <c r="P31700" s="7" t="n">
        <v>36895</v>
      </c>
      <c r="Q31700" s="20" t="s">
        <v>3</v>
      </c>
      <c r="R31700" s="7" t="n">
        <v>0</v>
      </c>
      <c r="S31700" s="7" t="n">
        <v>2</v>
      </c>
      <c r="T31700" s="7" t="n">
        <v>3</v>
      </c>
      <c r="U31700" s="7" t="n">
        <v>9</v>
      </c>
      <c r="V31700" s="7" t="n">
        <v>1</v>
      </c>
      <c r="W31700" s="11" t="n">
        <f t="normal" ca="1">A31710</f>
        <v>0</v>
      </c>
    </row>
    <row r="31701" spans="1:23">
      <c r="A31701" t="s">
        <v>4</v>
      </c>
      <c r="B31701" s="4" t="s">
        <v>5</v>
      </c>
      <c r="C31701" s="4" t="s">
        <v>7</v>
      </c>
      <c r="D31701" s="20" t="s">
        <v>35</v>
      </c>
      <c r="E31701" s="4" t="s">
        <v>5</v>
      </c>
      <c r="F31701" s="4" t="s">
        <v>11</v>
      </c>
      <c r="G31701" s="4" t="s">
        <v>7</v>
      </c>
      <c r="H31701" s="4" t="s">
        <v>7</v>
      </c>
      <c r="I31701" s="4" t="s">
        <v>8</v>
      </c>
      <c r="J31701" s="20" t="s">
        <v>36</v>
      </c>
      <c r="K31701" s="4" t="s">
        <v>7</v>
      </c>
      <c r="L31701" s="4" t="s">
        <v>7</v>
      </c>
      <c r="M31701" s="20" t="s">
        <v>35</v>
      </c>
      <c r="N31701" s="4" t="s">
        <v>5</v>
      </c>
      <c r="O31701" s="4" t="s">
        <v>7</v>
      </c>
      <c r="P31701" s="20" t="s">
        <v>36</v>
      </c>
      <c r="Q31701" s="4" t="s">
        <v>7</v>
      </c>
      <c r="R31701" s="4" t="s">
        <v>15</v>
      </c>
      <c r="S31701" s="4" t="s">
        <v>7</v>
      </c>
      <c r="T31701" s="4" t="s">
        <v>7</v>
      </c>
      <c r="U31701" s="4" t="s">
        <v>7</v>
      </c>
      <c r="V31701" s="20" t="s">
        <v>35</v>
      </c>
      <c r="W31701" s="4" t="s">
        <v>5</v>
      </c>
      <c r="X31701" s="4" t="s">
        <v>7</v>
      </c>
      <c r="Y31701" s="20" t="s">
        <v>36</v>
      </c>
      <c r="Z31701" s="4" t="s">
        <v>7</v>
      </c>
      <c r="AA31701" s="4" t="s">
        <v>15</v>
      </c>
      <c r="AB31701" s="4" t="s">
        <v>7</v>
      </c>
      <c r="AC31701" s="4" t="s">
        <v>7</v>
      </c>
      <c r="AD31701" s="4" t="s">
        <v>7</v>
      </c>
      <c r="AE31701" s="4" t="s">
        <v>12</v>
      </c>
    </row>
    <row r="31702" spans="1:23">
      <c r="A31702" t="n">
        <v>310515</v>
      </c>
      <c r="B31702" s="10" t="n">
        <v>5</v>
      </c>
      <c r="C31702" s="7" t="n">
        <v>28</v>
      </c>
      <c r="D31702" s="20" t="s">
        <v>3</v>
      </c>
      <c r="E31702" s="41" t="n">
        <v>47</v>
      </c>
      <c r="F31702" s="7" t="n">
        <v>61456</v>
      </c>
      <c r="G31702" s="7" t="n">
        <v>2</v>
      </c>
      <c r="H31702" s="7" t="n">
        <v>0</v>
      </c>
      <c r="I31702" s="7" t="s">
        <v>105</v>
      </c>
      <c r="J31702" s="20" t="s">
        <v>3</v>
      </c>
      <c r="K31702" s="7" t="n">
        <v>8</v>
      </c>
      <c r="L31702" s="7" t="n">
        <v>28</v>
      </c>
      <c r="M31702" s="20" t="s">
        <v>3</v>
      </c>
      <c r="N31702" s="45" t="n">
        <v>74</v>
      </c>
      <c r="O31702" s="7" t="n">
        <v>65</v>
      </c>
      <c r="P31702" s="20" t="s">
        <v>3</v>
      </c>
      <c r="Q31702" s="7" t="n">
        <v>0</v>
      </c>
      <c r="R31702" s="7" t="n">
        <v>1</v>
      </c>
      <c r="S31702" s="7" t="n">
        <v>3</v>
      </c>
      <c r="T31702" s="7" t="n">
        <v>9</v>
      </c>
      <c r="U31702" s="7" t="n">
        <v>28</v>
      </c>
      <c r="V31702" s="20" t="s">
        <v>3</v>
      </c>
      <c r="W31702" s="45" t="n">
        <v>74</v>
      </c>
      <c r="X31702" s="7" t="n">
        <v>65</v>
      </c>
      <c r="Y31702" s="20" t="s">
        <v>3</v>
      </c>
      <c r="Z31702" s="7" t="n">
        <v>0</v>
      </c>
      <c r="AA31702" s="7" t="n">
        <v>2</v>
      </c>
      <c r="AB31702" s="7" t="n">
        <v>3</v>
      </c>
      <c r="AC31702" s="7" t="n">
        <v>9</v>
      </c>
      <c r="AD31702" s="7" t="n">
        <v>1</v>
      </c>
      <c r="AE31702" s="11" t="n">
        <f t="normal" ca="1">A31706</f>
        <v>0</v>
      </c>
    </row>
    <row r="31703" spans="1:23">
      <c r="A31703" t="s">
        <v>4</v>
      </c>
      <c r="B31703" s="4" t="s">
        <v>5</v>
      </c>
      <c r="C31703" s="4" t="s">
        <v>11</v>
      </c>
      <c r="D31703" s="4" t="s">
        <v>7</v>
      </c>
      <c r="E31703" s="4" t="s">
        <v>7</v>
      </c>
      <c r="F31703" s="4" t="s">
        <v>8</v>
      </c>
    </row>
    <row r="31704" spans="1:23">
      <c r="A31704" t="n">
        <v>310563</v>
      </c>
      <c r="B31704" s="41" t="n">
        <v>47</v>
      </c>
      <c r="C31704" s="7" t="n">
        <v>61456</v>
      </c>
      <c r="D31704" s="7" t="n">
        <v>0</v>
      </c>
      <c r="E31704" s="7" t="n">
        <v>0</v>
      </c>
      <c r="F31704" s="7" t="s">
        <v>106</v>
      </c>
    </row>
    <row r="31705" spans="1:23">
      <c r="A31705" t="s">
        <v>4</v>
      </c>
      <c r="B31705" s="4" t="s">
        <v>5</v>
      </c>
      <c r="C31705" s="4" t="s">
        <v>7</v>
      </c>
      <c r="D31705" s="4" t="s">
        <v>11</v>
      </c>
      <c r="E31705" s="4" t="s">
        <v>13</v>
      </c>
    </row>
    <row r="31706" spans="1:23">
      <c r="A31706" t="n">
        <v>310576</v>
      </c>
      <c r="B31706" s="23" t="n">
        <v>58</v>
      </c>
      <c r="C31706" s="7" t="n">
        <v>0</v>
      </c>
      <c r="D31706" s="7" t="n">
        <v>300</v>
      </c>
      <c r="E31706" s="7" t="n">
        <v>1</v>
      </c>
    </row>
    <row r="31707" spans="1:23">
      <c r="A31707" t="s">
        <v>4</v>
      </c>
      <c r="B31707" s="4" t="s">
        <v>5</v>
      </c>
      <c r="C31707" s="4" t="s">
        <v>7</v>
      </c>
      <c r="D31707" s="4" t="s">
        <v>11</v>
      </c>
    </row>
    <row r="31708" spans="1:23">
      <c r="A31708" t="n">
        <v>310584</v>
      </c>
      <c r="B31708" s="23" t="n">
        <v>58</v>
      </c>
      <c r="C31708" s="7" t="n">
        <v>255</v>
      </c>
      <c r="D31708" s="7" t="n">
        <v>0</v>
      </c>
    </row>
    <row r="31709" spans="1:23">
      <c r="A31709" t="s">
        <v>4</v>
      </c>
      <c r="B31709" s="4" t="s">
        <v>5</v>
      </c>
      <c r="C31709" s="4" t="s">
        <v>7</v>
      </c>
      <c r="D31709" s="4" t="s">
        <v>7</v>
      </c>
      <c r="E31709" s="4" t="s">
        <v>7</v>
      </c>
      <c r="F31709" s="4" t="s">
        <v>7</v>
      </c>
    </row>
    <row r="31710" spans="1:23">
      <c r="A31710" t="n">
        <v>310588</v>
      </c>
      <c r="B31710" s="9" t="n">
        <v>14</v>
      </c>
      <c r="C31710" s="7" t="n">
        <v>0</v>
      </c>
      <c r="D31710" s="7" t="n">
        <v>0</v>
      </c>
      <c r="E31710" s="7" t="n">
        <v>0</v>
      </c>
      <c r="F31710" s="7" t="n">
        <v>64</v>
      </c>
    </row>
    <row r="31711" spans="1:23">
      <c r="A31711" t="s">
        <v>4</v>
      </c>
      <c r="B31711" s="4" t="s">
        <v>5</v>
      </c>
      <c r="C31711" s="4" t="s">
        <v>7</v>
      </c>
      <c r="D31711" s="4" t="s">
        <v>11</v>
      </c>
    </row>
    <row r="31712" spans="1:23">
      <c r="A31712" t="n">
        <v>310593</v>
      </c>
      <c r="B31712" s="22" t="n">
        <v>22</v>
      </c>
      <c r="C31712" s="7" t="n">
        <v>0</v>
      </c>
      <c r="D31712" s="7" t="n">
        <v>36895</v>
      </c>
    </row>
    <row r="31713" spans="1:31">
      <c r="A31713" t="s">
        <v>4</v>
      </c>
      <c r="B31713" s="4" t="s">
        <v>5</v>
      </c>
      <c r="C31713" s="4" t="s">
        <v>7</v>
      </c>
      <c r="D31713" s="4" t="s">
        <v>11</v>
      </c>
    </row>
    <row r="31714" spans="1:31">
      <c r="A31714" t="n">
        <v>310597</v>
      </c>
      <c r="B31714" s="23" t="n">
        <v>58</v>
      </c>
      <c r="C31714" s="7" t="n">
        <v>5</v>
      </c>
      <c r="D31714" s="7" t="n">
        <v>300</v>
      </c>
    </row>
    <row r="31715" spans="1:31">
      <c r="A31715" t="s">
        <v>4</v>
      </c>
      <c r="B31715" s="4" t="s">
        <v>5</v>
      </c>
      <c r="C31715" s="4" t="s">
        <v>13</v>
      </c>
      <c r="D31715" s="4" t="s">
        <v>11</v>
      </c>
    </row>
    <row r="31716" spans="1:31">
      <c r="A31716" t="n">
        <v>310601</v>
      </c>
      <c r="B31716" s="46" t="n">
        <v>103</v>
      </c>
      <c r="C31716" s="7" t="n">
        <v>0</v>
      </c>
      <c r="D31716" s="7" t="n">
        <v>300</v>
      </c>
    </row>
    <row r="31717" spans="1:31">
      <c r="A31717" t="s">
        <v>4</v>
      </c>
      <c r="B31717" s="4" t="s">
        <v>5</v>
      </c>
      <c r="C31717" s="4" t="s">
        <v>7</v>
      </c>
    </row>
    <row r="31718" spans="1:31">
      <c r="A31718" t="n">
        <v>310608</v>
      </c>
      <c r="B31718" s="47" t="n">
        <v>64</v>
      </c>
      <c r="C31718" s="7" t="n">
        <v>7</v>
      </c>
    </row>
    <row r="31719" spans="1:31">
      <c r="A31719" t="s">
        <v>4</v>
      </c>
      <c r="B31719" s="4" t="s">
        <v>5</v>
      </c>
      <c r="C31719" s="4" t="s">
        <v>7</v>
      </c>
      <c r="D31719" s="4" t="s">
        <v>11</v>
      </c>
    </row>
    <row r="31720" spans="1:31">
      <c r="A31720" t="n">
        <v>310610</v>
      </c>
      <c r="B31720" s="48" t="n">
        <v>72</v>
      </c>
      <c r="C31720" s="7" t="n">
        <v>5</v>
      </c>
      <c r="D31720" s="7" t="n">
        <v>0</v>
      </c>
    </row>
    <row r="31721" spans="1:31">
      <c r="A31721" t="s">
        <v>4</v>
      </c>
      <c r="B31721" s="4" t="s">
        <v>5</v>
      </c>
      <c r="C31721" s="4" t="s">
        <v>7</v>
      </c>
      <c r="D31721" s="20" t="s">
        <v>35</v>
      </c>
      <c r="E31721" s="4" t="s">
        <v>5</v>
      </c>
      <c r="F31721" s="4" t="s">
        <v>7</v>
      </c>
      <c r="G31721" s="4" t="s">
        <v>11</v>
      </c>
      <c r="H31721" s="20" t="s">
        <v>36</v>
      </c>
      <c r="I31721" s="4" t="s">
        <v>7</v>
      </c>
      <c r="J31721" s="4" t="s">
        <v>15</v>
      </c>
      <c r="K31721" s="4" t="s">
        <v>7</v>
      </c>
      <c r="L31721" s="4" t="s">
        <v>7</v>
      </c>
      <c r="M31721" s="4" t="s">
        <v>12</v>
      </c>
    </row>
    <row r="31722" spans="1:31">
      <c r="A31722" t="n">
        <v>310614</v>
      </c>
      <c r="B31722" s="10" t="n">
        <v>5</v>
      </c>
      <c r="C31722" s="7" t="n">
        <v>28</v>
      </c>
      <c r="D31722" s="20" t="s">
        <v>3</v>
      </c>
      <c r="E31722" s="8" t="n">
        <v>162</v>
      </c>
      <c r="F31722" s="7" t="n">
        <v>4</v>
      </c>
      <c r="G31722" s="7" t="n">
        <v>36895</v>
      </c>
      <c r="H31722" s="20" t="s">
        <v>3</v>
      </c>
      <c r="I31722" s="7" t="n">
        <v>0</v>
      </c>
      <c r="J31722" s="7" t="n">
        <v>1</v>
      </c>
      <c r="K31722" s="7" t="n">
        <v>2</v>
      </c>
      <c r="L31722" s="7" t="n">
        <v>1</v>
      </c>
      <c r="M31722" s="11" t="n">
        <f t="normal" ca="1">A31728</f>
        <v>0</v>
      </c>
    </row>
    <row r="31723" spans="1:31">
      <c r="A31723" t="s">
        <v>4</v>
      </c>
      <c r="B31723" s="4" t="s">
        <v>5</v>
      </c>
      <c r="C31723" s="4" t="s">
        <v>7</v>
      </c>
      <c r="D31723" s="4" t="s">
        <v>8</v>
      </c>
    </row>
    <row r="31724" spans="1:31">
      <c r="A31724" t="n">
        <v>310631</v>
      </c>
      <c r="B31724" s="6" t="n">
        <v>2</v>
      </c>
      <c r="C31724" s="7" t="n">
        <v>10</v>
      </c>
      <c r="D31724" s="7" t="s">
        <v>107</v>
      </c>
    </row>
    <row r="31725" spans="1:31">
      <c r="A31725" t="s">
        <v>4</v>
      </c>
      <c r="B31725" s="4" t="s">
        <v>5</v>
      </c>
      <c r="C31725" s="4" t="s">
        <v>11</v>
      </c>
    </row>
    <row r="31726" spans="1:31">
      <c r="A31726" t="n">
        <v>310648</v>
      </c>
      <c r="B31726" s="29" t="n">
        <v>16</v>
      </c>
      <c r="C31726" s="7" t="n">
        <v>0</v>
      </c>
    </row>
    <row r="31727" spans="1:31">
      <c r="A31727" t="s">
        <v>4</v>
      </c>
      <c r="B31727" s="4" t="s">
        <v>5</v>
      </c>
      <c r="C31727" s="4" t="s">
        <v>7</v>
      </c>
      <c r="D31727" s="4" t="s">
        <v>11</v>
      </c>
      <c r="E31727" s="4" t="s">
        <v>11</v>
      </c>
      <c r="F31727" s="4" t="s">
        <v>11</v>
      </c>
      <c r="G31727" s="4" t="s">
        <v>11</v>
      </c>
      <c r="H31727" s="4" t="s">
        <v>11</v>
      </c>
      <c r="I31727" s="4" t="s">
        <v>11</v>
      </c>
      <c r="J31727" s="4" t="s">
        <v>11</v>
      </c>
      <c r="K31727" s="4" t="s">
        <v>11</v>
      </c>
      <c r="L31727" s="4" t="s">
        <v>11</v>
      </c>
      <c r="M31727" s="4" t="s">
        <v>11</v>
      </c>
      <c r="N31727" s="4" t="s">
        <v>15</v>
      </c>
      <c r="O31727" s="4" t="s">
        <v>15</v>
      </c>
      <c r="P31727" s="4" t="s">
        <v>15</v>
      </c>
      <c r="Q31727" s="4" t="s">
        <v>15</v>
      </c>
      <c r="R31727" s="4" t="s">
        <v>7</v>
      </c>
      <c r="S31727" s="4" t="s">
        <v>8</v>
      </c>
    </row>
    <row r="31728" spans="1:31">
      <c r="A31728" t="n">
        <v>310651</v>
      </c>
      <c r="B31728" s="24" t="n">
        <v>75</v>
      </c>
      <c r="C31728" s="7" t="n">
        <v>0</v>
      </c>
      <c r="D31728" s="7" t="n">
        <v>484</v>
      </c>
      <c r="E31728" s="7" t="n">
        <v>328</v>
      </c>
      <c r="F31728" s="7" t="n">
        <v>996</v>
      </c>
      <c r="G31728" s="7" t="n">
        <v>392</v>
      </c>
      <c r="H31728" s="7" t="n">
        <v>0</v>
      </c>
      <c r="I31728" s="7" t="n">
        <v>0</v>
      </c>
      <c r="J31728" s="7" t="n">
        <v>0</v>
      </c>
      <c r="K31728" s="7" t="n">
        <v>448</v>
      </c>
      <c r="L31728" s="7" t="n">
        <v>512</v>
      </c>
      <c r="M31728" s="7" t="n">
        <v>512</v>
      </c>
      <c r="N31728" s="7" t="n">
        <v>1065353216</v>
      </c>
      <c r="O31728" s="7" t="n">
        <v>1065353216</v>
      </c>
      <c r="P31728" s="7" t="n">
        <v>1065353216</v>
      </c>
      <c r="Q31728" s="7" t="n">
        <v>0</v>
      </c>
      <c r="R31728" s="7" t="n">
        <v>0</v>
      </c>
      <c r="S31728" s="7" t="s">
        <v>271</v>
      </c>
    </row>
    <row r="31729" spans="1:19">
      <c r="A31729" t="s">
        <v>4</v>
      </c>
      <c r="B31729" s="4" t="s">
        <v>5</v>
      </c>
      <c r="C31729" s="4" t="s">
        <v>7</v>
      </c>
      <c r="D31729" s="4" t="s">
        <v>11</v>
      </c>
      <c r="E31729" s="4" t="s">
        <v>11</v>
      </c>
      <c r="F31729" s="4" t="s">
        <v>11</v>
      </c>
      <c r="G31729" s="4" t="s">
        <v>11</v>
      </c>
      <c r="H31729" s="4" t="s">
        <v>11</v>
      </c>
      <c r="I31729" s="4" t="s">
        <v>11</v>
      </c>
      <c r="J31729" s="4" t="s">
        <v>11</v>
      </c>
      <c r="K31729" s="4" t="s">
        <v>11</v>
      </c>
      <c r="L31729" s="4" t="s">
        <v>11</v>
      </c>
      <c r="M31729" s="4" t="s">
        <v>11</v>
      </c>
      <c r="N31729" s="4" t="s">
        <v>15</v>
      </c>
      <c r="O31729" s="4" t="s">
        <v>15</v>
      </c>
      <c r="P31729" s="4" t="s">
        <v>15</v>
      </c>
      <c r="Q31729" s="4" t="s">
        <v>15</v>
      </c>
      <c r="R31729" s="4" t="s">
        <v>7</v>
      </c>
      <c r="S31729" s="4" t="s">
        <v>8</v>
      </c>
    </row>
    <row r="31730" spans="1:19">
      <c r="A31730" t="n">
        <v>310700</v>
      </c>
      <c r="B31730" s="24" t="n">
        <v>75</v>
      </c>
      <c r="C31730" s="7" t="n">
        <v>1</v>
      </c>
      <c r="D31730" s="7" t="n">
        <v>0</v>
      </c>
      <c r="E31730" s="7" t="n">
        <v>0</v>
      </c>
      <c r="F31730" s="7" t="n">
        <v>1024</v>
      </c>
      <c r="G31730" s="7" t="n">
        <v>720</v>
      </c>
      <c r="H31730" s="7" t="n">
        <v>0</v>
      </c>
      <c r="I31730" s="7" t="n">
        <v>0</v>
      </c>
      <c r="J31730" s="7" t="n">
        <v>0</v>
      </c>
      <c r="K31730" s="7" t="n">
        <v>0</v>
      </c>
      <c r="L31730" s="7" t="n">
        <v>1024</v>
      </c>
      <c r="M31730" s="7" t="n">
        <v>720</v>
      </c>
      <c r="N31730" s="7" t="n">
        <v>1065353216</v>
      </c>
      <c r="O31730" s="7" t="n">
        <v>1065353216</v>
      </c>
      <c r="P31730" s="7" t="n">
        <v>1065353216</v>
      </c>
      <c r="Q31730" s="7" t="n">
        <v>0</v>
      </c>
      <c r="R31730" s="7" t="n">
        <v>0</v>
      </c>
      <c r="S31730" s="7" t="s">
        <v>786</v>
      </c>
    </row>
    <row r="31731" spans="1:19">
      <c r="A31731" t="s">
        <v>4</v>
      </c>
      <c r="B31731" s="4" t="s">
        <v>5</v>
      </c>
      <c r="C31731" s="4" t="s">
        <v>7</v>
      </c>
      <c r="D31731" s="4" t="s">
        <v>7</v>
      </c>
      <c r="E31731" s="4" t="s">
        <v>7</v>
      </c>
      <c r="F31731" s="4" t="s">
        <v>13</v>
      </c>
      <c r="G31731" s="4" t="s">
        <v>13</v>
      </c>
      <c r="H31731" s="4" t="s">
        <v>13</v>
      </c>
      <c r="I31731" s="4" t="s">
        <v>13</v>
      </c>
      <c r="J31731" s="4" t="s">
        <v>13</v>
      </c>
    </row>
    <row r="31732" spans="1:19">
      <c r="A31732" t="n">
        <v>310749</v>
      </c>
      <c r="B31732" s="25" t="n">
        <v>76</v>
      </c>
      <c r="C31732" s="7" t="n">
        <v>1</v>
      </c>
      <c r="D31732" s="7" t="n">
        <v>9</v>
      </c>
      <c r="E31732" s="7" t="n">
        <v>2</v>
      </c>
      <c r="F31732" s="7" t="n">
        <v>0</v>
      </c>
      <c r="G31732" s="7" t="n">
        <v>0</v>
      </c>
      <c r="H31732" s="7" t="n">
        <v>0</v>
      </c>
      <c r="I31732" s="7" t="n">
        <v>0</v>
      </c>
      <c r="J31732" s="7" t="n">
        <v>0</v>
      </c>
    </row>
    <row r="31733" spans="1:19">
      <c r="A31733" t="s">
        <v>4</v>
      </c>
      <c r="B31733" s="4" t="s">
        <v>5</v>
      </c>
      <c r="C31733" s="4" t="s">
        <v>11</v>
      </c>
      <c r="D31733" s="4" t="s">
        <v>8</v>
      </c>
      <c r="E31733" s="4" t="s">
        <v>8</v>
      </c>
      <c r="F31733" s="4" t="s">
        <v>8</v>
      </c>
      <c r="G31733" s="4" t="s">
        <v>7</v>
      </c>
      <c r="H31733" s="4" t="s">
        <v>15</v>
      </c>
      <c r="I31733" s="4" t="s">
        <v>13</v>
      </c>
      <c r="J31733" s="4" t="s">
        <v>13</v>
      </c>
      <c r="K31733" s="4" t="s">
        <v>13</v>
      </c>
      <c r="L31733" s="4" t="s">
        <v>13</v>
      </c>
      <c r="M31733" s="4" t="s">
        <v>13</v>
      </c>
      <c r="N31733" s="4" t="s">
        <v>13</v>
      </c>
      <c r="O31733" s="4" t="s">
        <v>13</v>
      </c>
      <c r="P31733" s="4" t="s">
        <v>8</v>
      </c>
      <c r="Q31733" s="4" t="s">
        <v>8</v>
      </c>
      <c r="R31733" s="4" t="s">
        <v>15</v>
      </c>
      <c r="S31733" s="4" t="s">
        <v>7</v>
      </c>
      <c r="T31733" s="4" t="s">
        <v>15</v>
      </c>
      <c r="U31733" s="4" t="s">
        <v>15</v>
      </c>
      <c r="V31733" s="4" t="s">
        <v>11</v>
      </c>
    </row>
    <row r="31734" spans="1:19">
      <c r="A31734" t="n">
        <v>310773</v>
      </c>
      <c r="B31734" s="62" t="n">
        <v>19</v>
      </c>
      <c r="C31734" s="7" t="n">
        <v>13</v>
      </c>
      <c r="D31734" s="7" t="s">
        <v>787</v>
      </c>
      <c r="E31734" s="7" t="s">
        <v>788</v>
      </c>
      <c r="F31734" s="7" t="s">
        <v>16</v>
      </c>
      <c r="G31734" s="7" t="n">
        <v>0</v>
      </c>
      <c r="H31734" s="7" t="n">
        <v>1</v>
      </c>
      <c r="I31734" s="7" t="n">
        <v>0</v>
      </c>
      <c r="J31734" s="7" t="n">
        <v>0</v>
      </c>
      <c r="K31734" s="7" t="n">
        <v>0</v>
      </c>
      <c r="L31734" s="7" t="n">
        <v>0</v>
      </c>
      <c r="M31734" s="7" t="n">
        <v>1</v>
      </c>
      <c r="N31734" s="7" t="n">
        <v>1.60000002384186</v>
      </c>
      <c r="O31734" s="7" t="n">
        <v>0.0900000035762787</v>
      </c>
      <c r="P31734" s="7" t="s">
        <v>16</v>
      </c>
      <c r="Q31734" s="7" t="s">
        <v>16</v>
      </c>
      <c r="R31734" s="7" t="n">
        <v>-1</v>
      </c>
      <c r="S31734" s="7" t="n">
        <v>0</v>
      </c>
      <c r="T31734" s="7" t="n">
        <v>0</v>
      </c>
      <c r="U31734" s="7" t="n">
        <v>0</v>
      </c>
      <c r="V31734" s="7" t="n">
        <v>0</v>
      </c>
    </row>
    <row r="31735" spans="1:19">
      <c r="A31735" t="s">
        <v>4</v>
      </c>
      <c r="B31735" s="4" t="s">
        <v>5</v>
      </c>
      <c r="C31735" s="4" t="s">
        <v>11</v>
      </c>
      <c r="D31735" s="4" t="s">
        <v>7</v>
      </c>
      <c r="E31735" s="4" t="s">
        <v>7</v>
      </c>
      <c r="F31735" s="4" t="s">
        <v>8</v>
      </c>
    </row>
    <row r="31736" spans="1:19">
      <c r="A31736" t="n">
        <v>310856</v>
      </c>
      <c r="B31736" s="50" t="n">
        <v>20</v>
      </c>
      <c r="C31736" s="7" t="n">
        <v>0</v>
      </c>
      <c r="D31736" s="7" t="n">
        <v>3</v>
      </c>
      <c r="E31736" s="7" t="n">
        <v>10</v>
      </c>
      <c r="F31736" s="7" t="s">
        <v>108</v>
      </c>
    </row>
    <row r="31737" spans="1:19">
      <c r="A31737" t="s">
        <v>4</v>
      </c>
      <c r="B31737" s="4" t="s">
        <v>5</v>
      </c>
      <c r="C31737" s="4" t="s">
        <v>11</v>
      </c>
    </row>
    <row r="31738" spans="1:19">
      <c r="A31738" t="n">
        <v>310874</v>
      </c>
      <c r="B31738" s="29" t="n">
        <v>16</v>
      </c>
      <c r="C31738" s="7" t="n">
        <v>0</v>
      </c>
    </row>
    <row r="31739" spans="1:19">
      <c r="A31739" t="s">
        <v>4</v>
      </c>
      <c r="B31739" s="4" t="s">
        <v>5</v>
      </c>
      <c r="C31739" s="4" t="s">
        <v>11</v>
      </c>
      <c r="D31739" s="4" t="s">
        <v>7</v>
      </c>
      <c r="E31739" s="4" t="s">
        <v>7</v>
      </c>
      <c r="F31739" s="4" t="s">
        <v>8</v>
      </c>
    </row>
    <row r="31740" spans="1:19">
      <c r="A31740" t="n">
        <v>310877</v>
      </c>
      <c r="B31740" s="50" t="n">
        <v>20</v>
      </c>
      <c r="C31740" s="7" t="n">
        <v>13</v>
      </c>
      <c r="D31740" s="7" t="n">
        <v>3</v>
      </c>
      <c r="E31740" s="7" t="n">
        <v>10</v>
      </c>
      <c r="F31740" s="7" t="s">
        <v>108</v>
      </c>
    </row>
    <row r="31741" spans="1:19">
      <c r="A31741" t="s">
        <v>4</v>
      </c>
      <c r="B31741" s="4" t="s">
        <v>5</v>
      </c>
      <c r="C31741" s="4" t="s">
        <v>11</v>
      </c>
    </row>
    <row r="31742" spans="1:19">
      <c r="A31742" t="n">
        <v>310895</v>
      </c>
      <c r="B31742" s="29" t="n">
        <v>16</v>
      </c>
      <c r="C31742" s="7" t="n">
        <v>0</v>
      </c>
    </row>
    <row r="31743" spans="1:19">
      <c r="A31743" t="s">
        <v>4</v>
      </c>
      <c r="B31743" s="4" t="s">
        <v>5</v>
      </c>
      <c r="C31743" s="4" t="s">
        <v>11</v>
      </c>
      <c r="D31743" s="4" t="s">
        <v>15</v>
      </c>
    </row>
    <row r="31744" spans="1:19">
      <c r="A31744" t="n">
        <v>310898</v>
      </c>
      <c r="B31744" s="39" t="n">
        <v>43</v>
      </c>
      <c r="C31744" s="7" t="n">
        <v>13</v>
      </c>
      <c r="D31744" s="7" t="n">
        <v>1</v>
      </c>
    </row>
    <row r="31745" spans="1:22">
      <c r="A31745" t="s">
        <v>4</v>
      </c>
      <c r="B31745" s="4" t="s">
        <v>5</v>
      </c>
      <c r="C31745" s="4" t="s">
        <v>7</v>
      </c>
    </row>
    <row r="31746" spans="1:22">
      <c r="A31746" t="n">
        <v>310905</v>
      </c>
      <c r="B31746" s="49" t="n">
        <v>116</v>
      </c>
      <c r="C31746" s="7" t="n">
        <v>0</v>
      </c>
    </row>
    <row r="31747" spans="1:22">
      <c r="A31747" t="s">
        <v>4</v>
      </c>
      <c r="B31747" s="4" t="s">
        <v>5</v>
      </c>
      <c r="C31747" s="4" t="s">
        <v>7</v>
      </c>
      <c r="D31747" s="4" t="s">
        <v>11</v>
      </c>
    </row>
    <row r="31748" spans="1:22">
      <c r="A31748" t="n">
        <v>310907</v>
      </c>
      <c r="B31748" s="49" t="n">
        <v>116</v>
      </c>
      <c r="C31748" s="7" t="n">
        <v>2</v>
      </c>
      <c r="D31748" s="7" t="n">
        <v>1</v>
      </c>
    </row>
    <row r="31749" spans="1:22">
      <c r="A31749" t="s">
        <v>4</v>
      </c>
      <c r="B31749" s="4" t="s">
        <v>5</v>
      </c>
      <c r="C31749" s="4" t="s">
        <v>7</v>
      </c>
      <c r="D31749" s="4" t="s">
        <v>15</v>
      </c>
    </row>
    <row r="31750" spans="1:22">
      <c r="A31750" t="n">
        <v>310911</v>
      </c>
      <c r="B31750" s="49" t="n">
        <v>116</v>
      </c>
      <c r="C31750" s="7" t="n">
        <v>5</v>
      </c>
      <c r="D31750" s="7" t="n">
        <v>1106247680</v>
      </c>
    </row>
    <row r="31751" spans="1:22">
      <c r="A31751" t="s">
        <v>4</v>
      </c>
      <c r="B31751" s="4" t="s">
        <v>5</v>
      </c>
      <c r="C31751" s="4" t="s">
        <v>7</v>
      </c>
      <c r="D31751" s="4" t="s">
        <v>11</v>
      </c>
    </row>
    <row r="31752" spans="1:22">
      <c r="A31752" t="n">
        <v>310917</v>
      </c>
      <c r="B31752" s="49" t="n">
        <v>116</v>
      </c>
      <c r="C31752" s="7" t="n">
        <v>6</v>
      </c>
      <c r="D31752" s="7" t="n">
        <v>1</v>
      </c>
    </row>
    <row r="31753" spans="1:22">
      <c r="A31753" t="s">
        <v>4</v>
      </c>
      <c r="B31753" s="4" t="s">
        <v>5</v>
      </c>
      <c r="C31753" s="4" t="s">
        <v>7</v>
      </c>
      <c r="D31753" s="4" t="s">
        <v>11</v>
      </c>
      <c r="E31753" s="4" t="s">
        <v>11</v>
      </c>
      <c r="F31753" s="4" t="s">
        <v>15</v>
      </c>
    </row>
    <row r="31754" spans="1:22">
      <c r="A31754" t="n">
        <v>310921</v>
      </c>
      <c r="B31754" s="76" t="n">
        <v>84</v>
      </c>
      <c r="C31754" s="7" t="n">
        <v>0</v>
      </c>
      <c r="D31754" s="7" t="n">
        <v>0</v>
      </c>
      <c r="E31754" s="7" t="n">
        <v>0</v>
      </c>
      <c r="F31754" s="7" t="n">
        <v>1045220557</v>
      </c>
    </row>
    <row r="31755" spans="1:22">
      <c r="A31755" t="s">
        <v>4</v>
      </c>
      <c r="B31755" s="4" t="s">
        <v>5</v>
      </c>
      <c r="C31755" s="4" t="s">
        <v>11</v>
      </c>
      <c r="D31755" s="4" t="s">
        <v>13</v>
      </c>
      <c r="E31755" s="4" t="s">
        <v>13</v>
      </c>
      <c r="F31755" s="4" t="s">
        <v>13</v>
      </c>
      <c r="G31755" s="4" t="s">
        <v>13</v>
      </c>
    </row>
    <row r="31756" spans="1:22">
      <c r="A31756" t="n">
        <v>310931</v>
      </c>
      <c r="B31756" s="36" t="n">
        <v>46</v>
      </c>
      <c r="C31756" s="7" t="n">
        <v>13</v>
      </c>
      <c r="D31756" s="7" t="n">
        <v>7.6100001335144</v>
      </c>
      <c r="E31756" s="7" t="n">
        <v>0</v>
      </c>
      <c r="F31756" s="7" t="n">
        <v>46.0200004577637</v>
      </c>
      <c r="G31756" s="7" t="n">
        <v>272.200012207031</v>
      </c>
    </row>
    <row r="31757" spans="1:22">
      <c r="A31757" t="s">
        <v>4</v>
      </c>
      <c r="B31757" s="4" t="s">
        <v>5</v>
      </c>
      <c r="C31757" s="4" t="s">
        <v>11</v>
      </c>
      <c r="D31757" s="4" t="s">
        <v>13</v>
      </c>
      <c r="E31757" s="4" t="s">
        <v>13</v>
      </c>
      <c r="F31757" s="4" t="s">
        <v>13</v>
      </c>
      <c r="G31757" s="4" t="s">
        <v>13</v>
      </c>
    </row>
    <row r="31758" spans="1:22">
      <c r="A31758" t="n">
        <v>310950</v>
      </c>
      <c r="B31758" s="36" t="n">
        <v>46</v>
      </c>
      <c r="C31758" s="7" t="n">
        <v>0</v>
      </c>
      <c r="D31758" s="7" t="n">
        <v>4.78000020980835</v>
      </c>
      <c r="E31758" s="7" t="n">
        <v>0</v>
      </c>
      <c r="F31758" s="7" t="n">
        <v>45.3300018310547</v>
      </c>
      <c r="G31758" s="7" t="n">
        <v>-102.300003051758</v>
      </c>
    </row>
    <row r="31759" spans="1:22">
      <c r="A31759" t="s">
        <v>4</v>
      </c>
      <c r="B31759" s="4" t="s">
        <v>5</v>
      </c>
      <c r="C31759" s="4" t="s">
        <v>11</v>
      </c>
      <c r="D31759" s="4" t="s">
        <v>7</v>
      </c>
      <c r="E31759" s="4" t="s">
        <v>8</v>
      </c>
      <c r="F31759" s="4" t="s">
        <v>13</v>
      </c>
      <c r="G31759" s="4" t="s">
        <v>13</v>
      </c>
      <c r="H31759" s="4" t="s">
        <v>13</v>
      </c>
    </row>
    <row r="31760" spans="1:22">
      <c r="A31760" t="n">
        <v>310969</v>
      </c>
      <c r="B31760" s="42" t="n">
        <v>48</v>
      </c>
      <c r="C31760" s="7" t="n">
        <v>0</v>
      </c>
      <c r="D31760" s="7" t="n">
        <v>0</v>
      </c>
      <c r="E31760" s="7" t="s">
        <v>275</v>
      </c>
      <c r="F31760" s="7" t="n">
        <v>0</v>
      </c>
      <c r="G31760" s="7" t="n">
        <v>1</v>
      </c>
      <c r="H31760" s="7" t="n">
        <v>0</v>
      </c>
    </row>
    <row r="31761" spans="1:8">
      <c r="A31761" t="s">
        <v>4</v>
      </c>
      <c r="B31761" s="4" t="s">
        <v>5</v>
      </c>
      <c r="C31761" s="4" t="s">
        <v>7</v>
      </c>
      <c r="D31761" s="4" t="s">
        <v>11</v>
      </c>
      <c r="E31761" s="4" t="s">
        <v>8</v>
      </c>
      <c r="F31761" s="4" t="s">
        <v>8</v>
      </c>
      <c r="G31761" s="4" t="s">
        <v>8</v>
      </c>
      <c r="H31761" s="4" t="s">
        <v>8</v>
      </c>
    </row>
    <row r="31762" spans="1:8">
      <c r="A31762" t="n">
        <v>310994</v>
      </c>
      <c r="B31762" s="38" t="n">
        <v>51</v>
      </c>
      <c r="C31762" s="7" t="n">
        <v>3</v>
      </c>
      <c r="D31762" s="7" t="n">
        <v>0</v>
      </c>
      <c r="E31762" s="7" t="s">
        <v>101</v>
      </c>
      <c r="F31762" s="7" t="s">
        <v>99</v>
      </c>
      <c r="G31762" s="7" t="s">
        <v>78</v>
      </c>
      <c r="H31762" s="7" t="s">
        <v>79</v>
      </c>
    </row>
    <row r="31763" spans="1:8">
      <c r="A31763" t="s">
        <v>4</v>
      </c>
      <c r="B31763" s="4" t="s">
        <v>5</v>
      </c>
      <c r="C31763" s="4" t="s">
        <v>7</v>
      </c>
      <c r="D31763" s="4" t="s">
        <v>11</v>
      </c>
      <c r="E31763" s="4" t="s">
        <v>8</v>
      </c>
      <c r="F31763" s="4" t="s">
        <v>8</v>
      </c>
      <c r="G31763" s="4" t="s">
        <v>8</v>
      </c>
      <c r="H31763" s="4" t="s">
        <v>8</v>
      </c>
    </row>
    <row r="31764" spans="1:8">
      <c r="A31764" t="n">
        <v>311015</v>
      </c>
      <c r="B31764" s="38" t="n">
        <v>51</v>
      </c>
      <c r="C31764" s="7" t="n">
        <v>3</v>
      </c>
      <c r="D31764" s="7" t="n">
        <v>13</v>
      </c>
      <c r="E31764" s="7" t="s">
        <v>101</v>
      </c>
      <c r="F31764" s="7" t="s">
        <v>79</v>
      </c>
      <c r="G31764" s="7" t="s">
        <v>78</v>
      </c>
      <c r="H31764" s="7" t="s">
        <v>79</v>
      </c>
    </row>
    <row r="31765" spans="1:8">
      <c r="A31765" t="s">
        <v>4</v>
      </c>
      <c r="B31765" s="4" t="s">
        <v>5</v>
      </c>
      <c r="C31765" s="4" t="s">
        <v>7</v>
      </c>
      <c r="D31765" s="4" t="s">
        <v>11</v>
      </c>
      <c r="E31765" s="4" t="s">
        <v>7</v>
      </c>
      <c r="F31765" s="4" t="s">
        <v>8</v>
      </c>
      <c r="G31765" s="4" t="s">
        <v>8</v>
      </c>
      <c r="H31765" s="4" t="s">
        <v>8</v>
      </c>
      <c r="I31765" s="4" t="s">
        <v>8</v>
      </c>
      <c r="J31765" s="4" t="s">
        <v>8</v>
      </c>
      <c r="K31765" s="4" t="s">
        <v>8</v>
      </c>
      <c r="L31765" s="4" t="s">
        <v>8</v>
      </c>
      <c r="M31765" s="4" t="s">
        <v>8</v>
      </c>
      <c r="N31765" s="4" t="s">
        <v>8</v>
      </c>
      <c r="O31765" s="4" t="s">
        <v>8</v>
      </c>
      <c r="P31765" s="4" t="s">
        <v>8</v>
      </c>
      <c r="Q31765" s="4" t="s">
        <v>8</v>
      </c>
      <c r="R31765" s="4" t="s">
        <v>8</v>
      </c>
      <c r="S31765" s="4" t="s">
        <v>8</v>
      </c>
      <c r="T31765" s="4" t="s">
        <v>8</v>
      </c>
      <c r="U31765" s="4" t="s">
        <v>8</v>
      </c>
    </row>
    <row r="31766" spans="1:8">
      <c r="A31766" t="n">
        <v>311036</v>
      </c>
      <c r="B31766" s="40" t="n">
        <v>36</v>
      </c>
      <c r="C31766" s="7" t="n">
        <v>8</v>
      </c>
      <c r="D31766" s="7" t="n">
        <v>0</v>
      </c>
      <c r="E31766" s="7" t="n">
        <v>0</v>
      </c>
      <c r="F31766" s="7" t="s">
        <v>789</v>
      </c>
      <c r="G31766" s="7" t="s">
        <v>16</v>
      </c>
      <c r="H31766" s="7" t="s">
        <v>16</v>
      </c>
      <c r="I31766" s="7" t="s">
        <v>16</v>
      </c>
      <c r="J31766" s="7" t="s">
        <v>16</v>
      </c>
      <c r="K31766" s="7" t="s">
        <v>16</v>
      </c>
      <c r="L31766" s="7" t="s">
        <v>16</v>
      </c>
      <c r="M31766" s="7" t="s">
        <v>16</v>
      </c>
      <c r="N31766" s="7" t="s">
        <v>16</v>
      </c>
      <c r="O31766" s="7" t="s">
        <v>16</v>
      </c>
      <c r="P31766" s="7" t="s">
        <v>16</v>
      </c>
      <c r="Q31766" s="7" t="s">
        <v>16</v>
      </c>
      <c r="R31766" s="7" t="s">
        <v>16</v>
      </c>
      <c r="S31766" s="7" t="s">
        <v>16</v>
      </c>
      <c r="T31766" s="7" t="s">
        <v>16</v>
      </c>
      <c r="U31766" s="7" t="s">
        <v>16</v>
      </c>
    </row>
    <row r="31767" spans="1:8">
      <c r="A31767" t="s">
        <v>4</v>
      </c>
      <c r="B31767" s="4" t="s">
        <v>5</v>
      </c>
      <c r="C31767" s="4" t="s">
        <v>7</v>
      </c>
      <c r="D31767" s="4" t="s">
        <v>11</v>
      </c>
      <c r="E31767" s="4" t="s">
        <v>7</v>
      </c>
      <c r="F31767" s="4" t="s">
        <v>8</v>
      </c>
      <c r="G31767" s="4" t="s">
        <v>8</v>
      </c>
      <c r="H31767" s="4" t="s">
        <v>8</v>
      </c>
      <c r="I31767" s="4" t="s">
        <v>8</v>
      </c>
      <c r="J31767" s="4" t="s">
        <v>8</v>
      </c>
      <c r="K31767" s="4" t="s">
        <v>8</v>
      </c>
      <c r="L31767" s="4" t="s">
        <v>8</v>
      </c>
      <c r="M31767" s="4" t="s">
        <v>8</v>
      </c>
      <c r="N31767" s="4" t="s">
        <v>8</v>
      </c>
      <c r="O31767" s="4" t="s">
        <v>8</v>
      </c>
      <c r="P31767" s="4" t="s">
        <v>8</v>
      </c>
      <c r="Q31767" s="4" t="s">
        <v>8</v>
      </c>
      <c r="R31767" s="4" t="s">
        <v>8</v>
      </c>
      <c r="S31767" s="4" t="s">
        <v>8</v>
      </c>
      <c r="T31767" s="4" t="s">
        <v>8</v>
      </c>
      <c r="U31767" s="4" t="s">
        <v>8</v>
      </c>
    </row>
    <row r="31768" spans="1:8">
      <c r="A31768" t="n">
        <v>311066</v>
      </c>
      <c r="B31768" s="40" t="n">
        <v>36</v>
      </c>
      <c r="C31768" s="7" t="n">
        <v>8</v>
      </c>
      <c r="D31768" s="7" t="n">
        <v>13</v>
      </c>
      <c r="E31768" s="7" t="n">
        <v>0</v>
      </c>
      <c r="F31768" s="7" t="s">
        <v>789</v>
      </c>
      <c r="G31768" s="7" t="s">
        <v>480</v>
      </c>
      <c r="H31768" s="7" t="s">
        <v>91</v>
      </c>
      <c r="I31768" s="7" t="s">
        <v>392</v>
      </c>
      <c r="J31768" s="7" t="s">
        <v>16</v>
      </c>
      <c r="K31768" s="7" t="s">
        <v>16</v>
      </c>
      <c r="L31768" s="7" t="s">
        <v>16</v>
      </c>
      <c r="M31768" s="7" t="s">
        <v>16</v>
      </c>
      <c r="N31768" s="7" t="s">
        <v>16</v>
      </c>
      <c r="O31768" s="7" t="s">
        <v>16</v>
      </c>
      <c r="P31768" s="7" t="s">
        <v>16</v>
      </c>
      <c r="Q31768" s="7" t="s">
        <v>16</v>
      </c>
      <c r="R31768" s="7" t="s">
        <v>16</v>
      </c>
      <c r="S31768" s="7" t="s">
        <v>16</v>
      </c>
      <c r="T31768" s="7" t="s">
        <v>16</v>
      </c>
      <c r="U31768" s="7" t="s">
        <v>16</v>
      </c>
    </row>
    <row r="31769" spans="1:8">
      <c r="A31769" t="s">
        <v>4</v>
      </c>
      <c r="B31769" s="4" t="s">
        <v>5</v>
      </c>
      <c r="C31769" s="4" t="s">
        <v>7</v>
      </c>
      <c r="D31769" s="4" t="s">
        <v>7</v>
      </c>
      <c r="E31769" s="4" t="s">
        <v>13</v>
      </c>
      <c r="F31769" s="4" t="s">
        <v>13</v>
      </c>
      <c r="G31769" s="4" t="s">
        <v>13</v>
      </c>
      <c r="H31769" s="4" t="s">
        <v>11</v>
      </c>
    </row>
    <row r="31770" spans="1:8">
      <c r="A31770" t="n">
        <v>311134</v>
      </c>
      <c r="B31770" s="51" t="n">
        <v>45</v>
      </c>
      <c r="C31770" s="7" t="n">
        <v>2</v>
      </c>
      <c r="D31770" s="7" t="n">
        <v>3</v>
      </c>
      <c r="E31770" s="7" t="n">
        <v>-3</v>
      </c>
      <c r="F31770" s="7" t="n">
        <v>2.89000010490417</v>
      </c>
      <c r="G31770" s="7" t="n">
        <v>41.3699989318848</v>
      </c>
      <c r="H31770" s="7" t="n">
        <v>0</v>
      </c>
    </row>
    <row r="31771" spans="1:8">
      <c r="A31771" t="s">
        <v>4</v>
      </c>
      <c r="B31771" s="4" t="s">
        <v>5</v>
      </c>
      <c r="C31771" s="4" t="s">
        <v>7</v>
      </c>
      <c r="D31771" s="4" t="s">
        <v>7</v>
      </c>
      <c r="E31771" s="4" t="s">
        <v>13</v>
      </c>
      <c r="F31771" s="4" t="s">
        <v>13</v>
      </c>
      <c r="G31771" s="4" t="s">
        <v>13</v>
      </c>
      <c r="H31771" s="4" t="s">
        <v>11</v>
      </c>
      <c r="I31771" s="4" t="s">
        <v>7</v>
      </c>
    </row>
    <row r="31772" spans="1:8">
      <c r="A31772" t="n">
        <v>311151</v>
      </c>
      <c r="B31772" s="51" t="n">
        <v>45</v>
      </c>
      <c r="C31772" s="7" t="n">
        <v>4</v>
      </c>
      <c r="D31772" s="7" t="n">
        <v>3</v>
      </c>
      <c r="E31772" s="7" t="n">
        <v>0.649999976158142</v>
      </c>
      <c r="F31772" s="7" t="n">
        <v>105.529998779297</v>
      </c>
      <c r="G31772" s="7" t="n">
        <v>0</v>
      </c>
      <c r="H31772" s="7" t="n">
        <v>0</v>
      </c>
      <c r="I31772" s="7" t="n">
        <v>0</v>
      </c>
    </row>
    <row r="31773" spans="1:8">
      <c r="A31773" t="s">
        <v>4</v>
      </c>
      <c r="B31773" s="4" t="s">
        <v>5</v>
      </c>
      <c r="C31773" s="4" t="s">
        <v>7</v>
      </c>
      <c r="D31773" s="4" t="s">
        <v>7</v>
      </c>
      <c r="E31773" s="4" t="s">
        <v>13</v>
      </c>
      <c r="F31773" s="4" t="s">
        <v>11</v>
      </c>
    </row>
    <row r="31774" spans="1:8">
      <c r="A31774" t="n">
        <v>311169</v>
      </c>
      <c r="B31774" s="51" t="n">
        <v>45</v>
      </c>
      <c r="C31774" s="7" t="n">
        <v>5</v>
      </c>
      <c r="D31774" s="7" t="n">
        <v>3</v>
      </c>
      <c r="E31774" s="7" t="n">
        <v>2.40000009536743</v>
      </c>
      <c r="F31774" s="7" t="n">
        <v>0</v>
      </c>
    </row>
    <row r="31775" spans="1:8">
      <c r="A31775" t="s">
        <v>4</v>
      </c>
      <c r="B31775" s="4" t="s">
        <v>5</v>
      </c>
      <c r="C31775" s="4" t="s">
        <v>7</v>
      </c>
      <c r="D31775" s="4" t="s">
        <v>7</v>
      </c>
      <c r="E31775" s="4" t="s">
        <v>13</v>
      </c>
      <c r="F31775" s="4" t="s">
        <v>11</v>
      </c>
    </row>
    <row r="31776" spans="1:8">
      <c r="A31776" t="n">
        <v>311178</v>
      </c>
      <c r="B31776" s="51" t="n">
        <v>45</v>
      </c>
      <c r="C31776" s="7" t="n">
        <v>11</v>
      </c>
      <c r="D31776" s="7" t="n">
        <v>3</v>
      </c>
      <c r="E31776" s="7" t="n">
        <v>33.4000015258789</v>
      </c>
      <c r="F31776" s="7" t="n">
        <v>0</v>
      </c>
    </row>
    <row r="31777" spans="1:21">
      <c r="A31777" t="s">
        <v>4</v>
      </c>
      <c r="B31777" s="4" t="s">
        <v>5</v>
      </c>
      <c r="C31777" s="4" t="s">
        <v>11</v>
      </c>
      <c r="D31777" s="4" t="s">
        <v>13</v>
      </c>
      <c r="E31777" s="4" t="s">
        <v>13</v>
      </c>
      <c r="F31777" s="4" t="s">
        <v>13</v>
      </c>
      <c r="G31777" s="4" t="s">
        <v>11</v>
      </c>
      <c r="H31777" s="4" t="s">
        <v>11</v>
      </c>
    </row>
    <row r="31778" spans="1:21">
      <c r="A31778" t="n">
        <v>311187</v>
      </c>
      <c r="B31778" s="37" t="n">
        <v>60</v>
      </c>
      <c r="C31778" s="7" t="n">
        <v>0</v>
      </c>
      <c r="D31778" s="7" t="n">
        <v>0</v>
      </c>
      <c r="E31778" s="7" t="n">
        <v>20</v>
      </c>
      <c r="F31778" s="7" t="n">
        <v>0</v>
      </c>
      <c r="G31778" s="7" t="n">
        <v>0</v>
      </c>
      <c r="H31778" s="7" t="n">
        <v>0</v>
      </c>
    </row>
    <row r="31779" spans="1:21">
      <c r="A31779" t="s">
        <v>4</v>
      </c>
      <c r="B31779" s="4" t="s">
        <v>5</v>
      </c>
      <c r="C31779" s="4" t="s">
        <v>7</v>
      </c>
      <c r="D31779" s="4" t="s">
        <v>7</v>
      </c>
      <c r="E31779" s="4" t="s">
        <v>7</v>
      </c>
      <c r="F31779" s="4" t="s">
        <v>13</v>
      </c>
      <c r="G31779" s="4" t="s">
        <v>13</v>
      </c>
      <c r="H31779" s="4" t="s">
        <v>13</v>
      </c>
      <c r="I31779" s="4" t="s">
        <v>13</v>
      </c>
      <c r="J31779" s="4" t="s">
        <v>13</v>
      </c>
    </row>
    <row r="31780" spans="1:21">
      <c r="A31780" t="n">
        <v>311206</v>
      </c>
      <c r="B31780" s="25" t="n">
        <v>76</v>
      </c>
      <c r="C31780" s="7" t="n">
        <v>0</v>
      </c>
      <c r="D31780" s="7" t="n">
        <v>3</v>
      </c>
      <c r="E31780" s="7" t="n">
        <v>2</v>
      </c>
      <c r="F31780" s="7" t="n">
        <v>1</v>
      </c>
      <c r="G31780" s="7" t="n">
        <v>1</v>
      </c>
      <c r="H31780" s="7" t="n">
        <v>1</v>
      </c>
      <c r="I31780" s="7" t="n">
        <v>1</v>
      </c>
      <c r="J31780" s="7" t="n">
        <v>2000</v>
      </c>
    </row>
    <row r="31781" spans="1:21">
      <c r="A31781" t="s">
        <v>4</v>
      </c>
      <c r="B31781" s="4" t="s">
        <v>5</v>
      </c>
      <c r="C31781" s="4" t="s">
        <v>7</v>
      </c>
      <c r="D31781" s="4" t="s">
        <v>7</v>
      </c>
      <c r="E31781" s="4" t="s">
        <v>7</v>
      </c>
      <c r="F31781" s="4" t="s">
        <v>13</v>
      </c>
      <c r="G31781" s="4" t="s">
        <v>13</v>
      </c>
      <c r="H31781" s="4" t="s">
        <v>13</v>
      </c>
      <c r="I31781" s="4" t="s">
        <v>13</v>
      </c>
      <c r="J31781" s="4" t="s">
        <v>13</v>
      </c>
    </row>
    <row r="31782" spans="1:21">
      <c r="A31782" t="n">
        <v>311230</v>
      </c>
      <c r="B31782" s="25" t="n">
        <v>76</v>
      </c>
      <c r="C31782" s="7" t="n">
        <v>0</v>
      </c>
      <c r="D31782" s="7" t="n">
        <v>0</v>
      </c>
      <c r="E31782" s="7" t="n">
        <v>2</v>
      </c>
      <c r="F31782" s="7" t="n">
        <v>64</v>
      </c>
      <c r="G31782" s="7" t="n">
        <v>0</v>
      </c>
      <c r="H31782" s="7" t="n">
        <v>2000</v>
      </c>
      <c r="I31782" s="7" t="n">
        <v>0</v>
      </c>
      <c r="J31782" s="7" t="n">
        <v>0</v>
      </c>
    </row>
    <row r="31783" spans="1:21">
      <c r="A31783" t="s">
        <v>4</v>
      </c>
      <c r="B31783" s="4" t="s">
        <v>5</v>
      </c>
      <c r="C31783" s="4" t="s">
        <v>7</v>
      </c>
      <c r="D31783" s="4" t="s">
        <v>7</v>
      </c>
    </row>
    <row r="31784" spans="1:21">
      <c r="A31784" t="n">
        <v>311254</v>
      </c>
      <c r="B31784" s="26" t="n">
        <v>77</v>
      </c>
      <c r="C31784" s="7" t="n">
        <v>0</v>
      </c>
      <c r="D31784" s="7" t="n">
        <v>3</v>
      </c>
    </row>
    <row r="31785" spans="1:21">
      <c r="A31785" t="s">
        <v>4</v>
      </c>
      <c r="B31785" s="4" t="s">
        <v>5</v>
      </c>
      <c r="C31785" s="4" t="s">
        <v>7</v>
      </c>
      <c r="D31785" s="4" t="s">
        <v>7</v>
      </c>
    </row>
    <row r="31786" spans="1:21">
      <c r="A31786" t="n">
        <v>311257</v>
      </c>
      <c r="B31786" s="26" t="n">
        <v>77</v>
      </c>
      <c r="C31786" s="7" t="n">
        <v>0</v>
      </c>
      <c r="D31786" s="7" t="n">
        <v>0</v>
      </c>
    </row>
    <row r="31787" spans="1:21">
      <c r="A31787" t="s">
        <v>4</v>
      </c>
      <c r="B31787" s="4" t="s">
        <v>5</v>
      </c>
      <c r="C31787" s="4" t="s">
        <v>11</v>
      </c>
    </row>
    <row r="31788" spans="1:21">
      <c r="A31788" t="n">
        <v>311260</v>
      </c>
      <c r="B31788" s="29" t="n">
        <v>16</v>
      </c>
      <c r="C31788" s="7" t="n">
        <v>2000</v>
      </c>
    </row>
    <row r="31789" spans="1:21">
      <c r="A31789" t="s">
        <v>4</v>
      </c>
      <c r="B31789" s="4" t="s">
        <v>5</v>
      </c>
      <c r="C31789" s="4" t="s">
        <v>7</v>
      </c>
      <c r="D31789" s="4" t="s">
        <v>11</v>
      </c>
      <c r="E31789" s="4" t="s">
        <v>15</v>
      </c>
      <c r="F31789" s="4" t="s">
        <v>11</v>
      </c>
      <c r="G31789" s="4" t="s">
        <v>15</v>
      </c>
      <c r="H31789" s="4" t="s">
        <v>7</v>
      </c>
    </row>
    <row r="31790" spans="1:21">
      <c r="A31790" t="n">
        <v>311263</v>
      </c>
      <c r="B31790" s="13" t="n">
        <v>49</v>
      </c>
      <c r="C31790" s="7" t="n">
        <v>0</v>
      </c>
      <c r="D31790" s="7" t="n">
        <v>514</v>
      </c>
      <c r="E31790" s="7" t="n">
        <v>1065353216</v>
      </c>
      <c r="F31790" s="7" t="n">
        <v>0</v>
      </c>
      <c r="G31790" s="7" t="n">
        <v>0</v>
      </c>
      <c r="H31790" s="7" t="n">
        <v>0</v>
      </c>
    </row>
    <row r="31791" spans="1:21">
      <c r="A31791" t="s">
        <v>4</v>
      </c>
      <c r="B31791" s="4" t="s">
        <v>5</v>
      </c>
      <c r="C31791" s="4" t="s">
        <v>7</v>
      </c>
      <c r="D31791" s="4" t="s">
        <v>7</v>
      </c>
      <c r="E31791" s="4" t="s">
        <v>7</v>
      </c>
      <c r="F31791" s="4" t="s">
        <v>13</v>
      </c>
      <c r="G31791" s="4" t="s">
        <v>13</v>
      </c>
      <c r="H31791" s="4" t="s">
        <v>13</v>
      </c>
      <c r="I31791" s="4" t="s">
        <v>13</v>
      </c>
      <c r="J31791" s="4" t="s">
        <v>13</v>
      </c>
    </row>
    <row r="31792" spans="1:21">
      <c r="A31792" t="n">
        <v>311278</v>
      </c>
      <c r="B31792" s="25" t="n">
        <v>76</v>
      </c>
      <c r="C31792" s="7" t="n">
        <v>0</v>
      </c>
      <c r="D31792" s="7" t="n">
        <v>3</v>
      </c>
      <c r="E31792" s="7" t="n">
        <v>1</v>
      </c>
      <c r="F31792" s="7" t="n">
        <v>1</v>
      </c>
      <c r="G31792" s="7" t="n">
        <v>1</v>
      </c>
      <c r="H31792" s="7" t="n">
        <v>1</v>
      </c>
      <c r="I31792" s="7" t="n">
        <v>0</v>
      </c>
      <c r="J31792" s="7" t="n">
        <v>2000</v>
      </c>
    </row>
    <row r="31793" spans="1:10">
      <c r="A31793" t="s">
        <v>4</v>
      </c>
      <c r="B31793" s="4" t="s">
        <v>5</v>
      </c>
      <c r="C31793" s="4" t="s">
        <v>7</v>
      </c>
      <c r="D31793" s="4" t="s">
        <v>7</v>
      </c>
      <c r="E31793" s="4" t="s">
        <v>7</v>
      </c>
      <c r="F31793" s="4" t="s">
        <v>13</v>
      </c>
      <c r="G31793" s="4" t="s">
        <v>13</v>
      </c>
      <c r="H31793" s="4" t="s">
        <v>13</v>
      </c>
      <c r="I31793" s="4" t="s">
        <v>13</v>
      </c>
      <c r="J31793" s="4" t="s">
        <v>13</v>
      </c>
    </row>
    <row r="31794" spans="1:10">
      <c r="A31794" t="n">
        <v>311302</v>
      </c>
      <c r="B31794" s="25" t="n">
        <v>76</v>
      </c>
      <c r="C31794" s="7" t="n">
        <v>0</v>
      </c>
      <c r="D31794" s="7" t="n">
        <v>0</v>
      </c>
      <c r="E31794" s="7" t="n">
        <v>1</v>
      </c>
      <c r="F31794" s="7" t="n">
        <v>128</v>
      </c>
      <c r="G31794" s="7" t="n">
        <v>0</v>
      </c>
      <c r="H31794" s="7" t="n">
        <v>2000</v>
      </c>
      <c r="I31794" s="7" t="n">
        <v>0</v>
      </c>
      <c r="J31794" s="7" t="n">
        <v>0</v>
      </c>
    </row>
    <row r="31795" spans="1:10">
      <c r="A31795" t="s">
        <v>4</v>
      </c>
      <c r="B31795" s="4" t="s">
        <v>5</v>
      </c>
      <c r="C31795" s="4" t="s">
        <v>7</v>
      </c>
      <c r="D31795" s="4" t="s">
        <v>7</v>
      </c>
    </row>
    <row r="31796" spans="1:10">
      <c r="A31796" t="n">
        <v>311326</v>
      </c>
      <c r="B31796" s="26" t="n">
        <v>77</v>
      </c>
      <c r="C31796" s="7" t="n">
        <v>0</v>
      </c>
      <c r="D31796" s="7" t="n">
        <v>3</v>
      </c>
    </row>
    <row r="31797" spans="1:10">
      <c r="A31797" t="s">
        <v>4</v>
      </c>
      <c r="B31797" s="4" t="s">
        <v>5</v>
      </c>
      <c r="C31797" s="4" t="s">
        <v>7</v>
      </c>
      <c r="D31797" s="4" t="s">
        <v>7</v>
      </c>
    </row>
    <row r="31798" spans="1:10">
      <c r="A31798" t="n">
        <v>311329</v>
      </c>
      <c r="B31798" s="26" t="n">
        <v>77</v>
      </c>
      <c r="C31798" s="7" t="n">
        <v>0</v>
      </c>
      <c r="D31798" s="7" t="n">
        <v>0</v>
      </c>
    </row>
    <row r="31799" spans="1:10">
      <c r="A31799" t="s">
        <v>4</v>
      </c>
      <c r="B31799" s="4" t="s">
        <v>5</v>
      </c>
      <c r="C31799" s="4" t="s">
        <v>7</v>
      </c>
      <c r="D31799" s="4" t="s">
        <v>7</v>
      </c>
      <c r="E31799" s="4" t="s">
        <v>13</v>
      </c>
      <c r="F31799" s="4" t="s">
        <v>13</v>
      </c>
      <c r="G31799" s="4" t="s">
        <v>13</v>
      </c>
      <c r="H31799" s="4" t="s">
        <v>11</v>
      </c>
    </row>
    <row r="31800" spans="1:10">
      <c r="A31800" t="n">
        <v>311332</v>
      </c>
      <c r="B31800" s="51" t="n">
        <v>45</v>
      </c>
      <c r="C31800" s="7" t="n">
        <v>2</v>
      </c>
      <c r="D31800" s="7" t="n">
        <v>3</v>
      </c>
      <c r="E31800" s="7" t="n">
        <v>5.23999977111816</v>
      </c>
      <c r="F31800" s="7" t="n">
        <v>2.15000009536743</v>
      </c>
      <c r="G31800" s="7" t="n">
        <v>43.8600006103516</v>
      </c>
      <c r="H31800" s="7" t="n">
        <v>8000</v>
      </c>
    </row>
    <row r="31801" spans="1:10">
      <c r="A31801" t="s">
        <v>4</v>
      </c>
      <c r="B31801" s="4" t="s">
        <v>5</v>
      </c>
      <c r="C31801" s="4" t="s">
        <v>7</v>
      </c>
      <c r="D31801" s="4" t="s">
        <v>7</v>
      </c>
      <c r="E31801" s="4" t="s">
        <v>13</v>
      </c>
      <c r="F31801" s="4" t="s">
        <v>13</v>
      </c>
      <c r="G31801" s="4" t="s">
        <v>13</v>
      </c>
      <c r="H31801" s="4" t="s">
        <v>11</v>
      </c>
      <c r="I31801" s="4" t="s">
        <v>7</v>
      </c>
    </row>
    <row r="31802" spans="1:10">
      <c r="A31802" t="n">
        <v>311349</v>
      </c>
      <c r="B31802" s="51" t="n">
        <v>45</v>
      </c>
      <c r="C31802" s="7" t="n">
        <v>4</v>
      </c>
      <c r="D31802" s="7" t="n">
        <v>3</v>
      </c>
      <c r="E31802" s="7" t="n">
        <v>12.4799995422363</v>
      </c>
      <c r="F31802" s="7" t="n">
        <v>144.25</v>
      </c>
      <c r="G31802" s="7" t="n">
        <v>0</v>
      </c>
      <c r="H31802" s="7" t="n">
        <v>8000</v>
      </c>
      <c r="I31802" s="7" t="n">
        <v>0</v>
      </c>
    </row>
    <row r="31803" spans="1:10">
      <c r="A31803" t="s">
        <v>4</v>
      </c>
      <c r="B31803" s="4" t="s">
        <v>5</v>
      </c>
      <c r="C31803" s="4" t="s">
        <v>7</v>
      </c>
      <c r="D31803" s="4" t="s">
        <v>7</v>
      </c>
      <c r="E31803" s="4" t="s">
        <v>13</v>
      </c>
      <c r="F31803" s="4" t="s">
        <v>11</v>
      </c>
    </row>
    <row r="31804" spans="1:10">
      <c r="A31804" t="n">
        <v>311367</v>
      </c>
      <c r="B31804" s="51" t="n">
        <v>45</v>
      </c>
      <c r="C31804" s="7" t="n">
        <v>5</v>
      </c>
      <c r="D31804" s="7" t="n">
        <v>3</v>
      </c>
      <c r="E31804" s="7" t="n">
        <v>2.40000009536743</v>
      </c>
      <c r="F31804" s="7" t="n">
        <v>8000</v>
      </c>
    </row>
    <row r="31805" spans="1:10">
      <c r="A31805" t="s">
        <v>4</v>
      </c>
      <c r="B31805" s="4" t="s">
        <v>5</v>
      </c>
      <c r="C31805" s="4" t="s">
        <v>7</v>
      </c>
      <c r="D31805" s="4" t="s">
        <v>7</v>
      </c>
      <c r="E31805" s="4" t="s">
        <v>13</v>
      </c>
      <c r="F31805" s="4" t="s">
        <v>11</v>
      </c>
    </row>
    <row r="31806" spans="1:10">
      <c r="A31806" t="n">
        <v>311376</v>
      </c>
      <c r="B31806" s="51" t="n">
        <v>45</v>
      </c>
      <c r="C31806" s="7" t="n">
        <v>11</v>
      </c>
      <c r="D31806" s="7" t="n">
        <v>3</v>
      </c>
      <c r="E31806" s="7" t="n">
        <v>33.4000015258789</v>
      </c>
      <c r="F31806" s="7" t="n">
        <v>8000</v>
      </c>
    </row>
    <row r="31807" spans="1:10">
      <c r="A31807" t="s">
        <v>4</v>
      </c>
      <c r="B31807" s="4" t="s">
        <v>5</v>
      </c>
      <c r="C31807" s="4" t="s">
        <v>7</v>
      </c>
      <c r="D31807" s="4" t="s">
        <v>11</v>
      </c>
      <c r="E31807" s="4" t="s">
        <v>13</v>
      </c>
    </row>
    <row r="31808" spans="1:10">
      <c r="A31808" t="n">
        <v>311385</v>
      </c>
      <c r="B31808" s="23" t="n">
        <v>58</v>
      </c>
      <c r="C31808" s="7" t="n">
        <v>100</v>
      </c>
      <c r="D31808" s="7" t="n">
        <v>1000</v>
      </c>
      <c r="E31808" s="7" t="n">
        <v>1</v>
      </c>
    </row>
    <row r="31809" spans="1:10">
      <c r="A31809" t="s">
        <v>4</v>
      </c>
      <c r="B31809" s="4" t="s">
        <v>5</v>
      </c>
      <c r="C31809" s="4" t="s">
        <v>7</v>
      </c>
      <c r="D31809" s="4" t="s">
        <v>11</v>
      </c>
    </row>
    <row r="31810" spans="1:10">
      <c r="A31810" t="n">
        <v>311393</v>
      </c>
      <c r="B31810" s="23" t="n">
        <v>58</v>
      </c>
      <c r="C31810" s="7" t="n">
        <v>255</v>
      </c>
      <c r="D31810" s="7" t="n">
        <v>0</v>
      </c>
    </row>
    <row r="31811" spans="1:10">
      <c r="A31811" t="s">
        <v>4</v>
      </c>
      <c r="B31811" s="4" t="s">
        <v>5</v>
      </c>
      <c r="C31811" s="4" t="s">
        <v>7</v>
      </c>
      <c r="D31811" s="4" t="s">
        <v>11</v>
      </c>
    </row>
    <row r="31812" spans="1:10">
      <c r="A31812" t="n">
        <v>311397</v>
      </c>
      <c r="B31812" s="51" t="n">
        <v>45</v>
      </c>
      <c r="C31812" s="7" t="n">
        <v>7</v>
      </c>
      <c r="D31812" s="7" t="n">
        <v>255</v>
      </c>
    </row>
    <row r="31813" spans="1:10">
      <c r="A31813" t="s">
        <v>4</v>
      </c>
      <c r="B31813" s="4" t="s">
        <v>5</v>
      </c>
      <c r="C31813" s="4" t="s">
        <v>7</v>
      </c>
      <c r="D31813" s="4" t="s">
        <v>11</v>
      </c>
      <c r="E31813" s="4" t="s">
        <v>13</v>
      </c>
    </row>
    <row r="31814" spans="1:10">
      <c r="A31814" t="n">
        <v>311401</v>
      </c>
      <c r="B31814" s="23" t="n">
        <v>58</v>
      </c>
      <c r="C31814" s="7" t="n">
        <v>101</v>
      </c>
      <c r="D31814" s="7" t="n">
        <v>800</v>
      </c>
      <c r="E31814" s="7" t="n">
        <v>1</v>
      </c>
    </row>
    <row r="31815" spans="1:10">
      <c r="A31815" t="s">
        <v>4</v>
      </c>
      <c r="B31815" s="4" t="s">
        <v>5</v>
      </c>
      <c r="C31815" s="4" t="s">
        <v>7</v>
      </c>
      <c r="D31815" s="4" t="s">
        <v>11</v>
      </c>
    </row>
    <row r="31816" spans="1:10">
      <c r="A31816" t="n">
        <v>311409</v>
      </c>
      <c r="B31816" s="23" t="n">
        <v>58</v>
      </c>
      <c r="C31816" s="7" t="n">
        <v>254</v>
      </c>
      <c r="D31816" s="7" t="n">
        <v>0</v>
      </c>
    </row>
    <row r="31817" spans="1:10">
      <c r="A31817" t="s">
        <v>4</v>
      </c>
      <c r="B31817" s="4" t="s">
        <v>5</v>
      </c>
      <c r="C31817" s="4" t="s">
        <v>7</v>
      </c>
      <c r="D31817" s="4" t="s">
        <v>7</v>
      </c>
      <c r="E31817" s="4" t="s">
        <v>13</v>
      </c>
      <c r="F31817" s="4" t="s">
        <v>13</v>
      </c>
      <c r="G31817" s="4" t="s">
        <v>13</v>
      </c>
      <c r="H31817" s="4" t="s">
        <v>11</v>
      </c>
    </row>
    <row r="31818" spans="1:10">
      <c r="A31818" t="n">
        <v>311413</v>
      </c>
      <c r="B31818" s="51" t="n">
        <v>45</v>
      </c>
      <c r="C31818" s="7" t="n">
        <v>2</v>
      </c>
      <c r="D31818" s="7" t="n">
        <v>3</v>
      </c>
      <c r="E31818" s="7" t="n">
        <v>4.26999998092651</v>
      </c>
      <c r="F31818" s="7" t="n">
        <v>2.44000005722046</v>
      </c>
      <c r="G31818" s="7" t="n">
        <v>44.1500015258789</v>
      </c>
      <c r="H31818" s="7" t="n">
        <v>0</v>
      </c>
    </row>
    <row r="31819" spans="1:10">
      <c r="A31819" t="s">
        <v>4</v>
      </c>
      <c r="B31819" s="4" t="s">
        <v>5</v>
      </c>
      <c r="C31819" s="4" t="s">
        <v>7</v>
      </c>
      <c r="D31819" s="4" t="s">
        <v>7</v>
      </c>
      <c r="E31819" s="4" t="s">
        <v>13</v>
      </c>
      <c r="F31819" s="4" t="s">
        <v>13</v>
      </c>
      <c r="G31819" s="4" t="s">
        <v>13</v>
      </c>
      <c r="H31819" s="4" t="s">
        <v>11</v>
      </c>
      <c r="I31819" s="4" t="s">
        <v>7</v>
      </c>
    </row>
    <row r="31820" spans="1:10">
      <c r="A31820" t="n">
        <v>311430</v>
      </c>
      <c r="B31820" s="51" t="n">
        <v>45</v>
      </c>
      <c r="C31820" s="7" t="n">
        <v>4</v>
      </c>
      <c r="D31820" s="7" t="n">
        <v>3</v>
      </c>
      <c r="E31820" s="7" t="n">
        <v>357.880004882813</v>
      </c>
      <c r="F31820" s="7" t="n">
        <v>321.779998779297</v>
      </c>
      <c r="G31820" s="7" t="n">
        <v>0</v>
      </c>
      <c r="H31820" s="7" t="n">
        <v>0</v>
      </c>
      <c r="I31820" s="7" t="n">
        <v>0</v>
      </c>
    </row>
    <row r="31821" spans="1:10">
      <c r="A31821" t="s">
        <v>4</v>
      </c>
      <c r="B31821" s="4" t="s">
        <v>5</v>
      </c>
      <c r="C31821" s="4" t="s">
        <v>7</v>
      </c>
      <c r="D31821" s="4" t="s">
        <v>7</v>
      </c>
      <c r="E31821" s="4" t="s">
        <v>13</v>
      </c>
      <c r="F31821" s="4" t="s">
        <v>11</v>
      </c>
    </row>
    <row r="31822" spans="1:10">
      <c r="A31822" t="n">
        <v>311448</v>
      </c>
      <c r="B31822" s="51" t="n">
        <v>45</v>
      </c>
      <c r="C31822" s="7" t="n">
        <v>5</v>
      </c>
      <c r="D31822" s="7" t="n">
        <v>3</v>
      </c>
      <c r="E31822" s="7" t="n">
        <v>2.40000009536743</v>
      </c>
      <c r="F31822" s="7" t="n">
        <v>0</v>
      </c>
    </row>
    <row r="31823" spans="1:10">
      <c r="A31823" t="s">
        <v>4</v>
      </c>
      <c r="B31823" s="4" t="s">
        <v>5</v>
      </c>
      <c r="C31823" s="4" t="s">
        <v>7</v>
      </c>
      <c r="D31823" s="4" t="s">
        <v>7</v>
      </c>
      <c r="E31823" s="4" t="s">
        <v>13</v>
      </c>
      <c r="F31823" s="4" t="s">
        <v>11</v>
      </c>
    </row>
    <row r="31824" spans="1:10">
      <c r="A31824" t="n">
        <v>311457</v>
      </c>
      <c r="B31824" s="51" t="n">
        <v>45</v>
      </c>
      <c r="C31824" s="7" t="n">
        <v>11</v>
      </c>
      <c r="D31824" s="7" t="n">
        <v>3</v>
      </c>
      <c r="E31824" s="7" t="n">
        <v>33.4000015258789</v>
      </c>
      <c r="F31824" s="7" t="n">
        <v>0</v>
      </c>
    </row>
    <row r="31825" spans="1:9">
      <c r="A31825" t="s">
        <v>4</v>
      </c>
      <c r="B31825" s="4" t="s">
        <v>5</v>
      </c>
      <c r="C31825" s="4" t="s">
        <v>7</v>
      </c>
      <c r="D31825" s="4" t="s">
        <v>7</v>
      </c>
      <c r="E31825" s="4" t="s">
        <v>13</v>
      </c>
      <c r="F31825" s="4" t="s">
        <v>13</v>
      </c>
      <c r="G31825" s="4" t="s">
        <v>13</v>
      </c>
      <c r="H31825" s="4" t="s">
        <v>11</v>
      </c>
    </row>
    <row r="31826" spans="1:9">
      <c r="A31826" t="n">
        <v>311466</v>
      </c>
      <c r="B31826" s="51" t="n">
        <v>45</v>
      </c>
      <c r="C31826" s="7" t="n">
        <v>2</v>
      </c>
      <c r="D31826" s="7" t="n">
        <v>3</v>
      </c>
      <c r="E31826" s="7" t="n">
        <v>4.76999998092651</v>
      </c>
      <c r="F31826" s="7" t="n">
        <v>1.45000004768372</v>
      </c>
      <c r="G31826" s="7" t="n">
        <v>45.2599983215332</v>
      </c>
      <c r="H31826" s="7" t="n">
        <v>8000</v>
      </c>
    </row>
    <row r="31827" spans="1:9">
      <c r="A31827" t="s">
        <v>4</v>
      </c>
      <c r="B31827" s="4" t="s">
        <v>5</v>
      </c>
      <c r="C31827" s="4" t="s">
        <v>7</v>
      </c>
      <c r="D31827" s="4" t="s">
        <v>7</v>
      </c>
      <c r="E31827" s="4" t="s">
        <v>13</v>
      </c>
      <c r="F31827" s="4" t="s">
        <v>13</v>
      </c>
      <c r="G31827" s="4" t="s">
        <v>13</v>
      </c>
      <c r="H31827" s="4" t="s">
        <v>11</v>
      </c>
      <c r="I31827" s="4" t="s">
        <v>7</v>
      </c>
    </row>
    <row r="31828" spans="1:9">
      <c r="A31828" t="n">
        <v>311483</v>
      </c>
      <c r="B31828" s="51" t="n">
        <v>45</v>
      </c>
      <c r="C31828" s="7" t="n">
        <v>4</v>
      </c>
      <c r="D31828" s="7" t="n">
        <v>3</v>
      </c>
      <c r="E31828" s="7" t="n">
        <v>358.660003662109</v>
      </c>
      <c r="F31828" s="7" t="n">
        <v>283.079986572266</v>
      </c>
      <c r="G31828" s="7" t="n">
        <v>0</v>
      </c>
      <c r="H31828" s="7" t="n">
        <v>8000</v>
      </c>
      <c r="I31828" s="7" t="n">
        <v>0</v>
      </c>
    </row>
    <row r="31829" spans="1:9">
      <c r="A31829" t="s">
        <v>4</v>
      </c>
      <c r="B31829" s="4" t="s">
        <v>5</v>
      </c>
      <c r="C31829" s="4" t="s">
        <v>7</v>
      </c>
      <c r="D31829" s="4" t="s">
        <v>7</v>
      </c>
      <c r="E31829" s="4" t="s">
        <v>13</v>
      </c>
      <c r="F31829" s="4" t="s">
        <v>11</v>
      </c>
    </row>
    <row r="31830" spans="1:9">
      <c r="A31830" t="n">
        <v>311501</v>
      </c>
      <c r="B31830" s="51" t="n">
        <v>45</v>
      </c>
      <c r="C31830" s="7" t="n">
        <v>5</v>
      </c>
      <c r="D31830" s="7" t="n">
        <v>3</v>
      </c>
      <c r="E31830" s="7" t="n">
        <v>2</v>
      </c>
      <c r="F31830" s="7" t="n">
        <v>8000</v>
      </c>
    </row>
    <row r="31831" spans="1:9">
      <c r="A31831" t="s">
        <v>4</v>
      </c>
      <c r="B31831" s="4" t="s">
        <v>5</v>
      </c>
      <c r="C31831" s="4" t="s">
        <v>7</v>
      </c>
      <c r="D31831" s="4" t="s">
        <v>11</v>
      </c>
    </row>
    <row r="31832" spans="1:9">
      <c r="A31832" t="n">
        <v>311510</v>
      </c>
      <c r="B31832" s="23" t="n">
        <v>58</v>
      </c>
      <c r="C31832" s="7" t="n">
        <v>255</v>
      </c>
      <c r="D31832" s="7" t="n">
        <v>0</v>
      </c>
    </row>
    <row r="31833" spans="1:9">
      <c r="A31833" t="s">
        <v>4</v>
      </c>
      <c r="B31833" s="4" t="s">
        <v>5</v>
      </c>
      <c r="C31833" s="4" t="s">
        <v>7</v>
      </c>
      <c r="D31833" s="4" t="s">
        <v>11</v>
      </c>
    </row>
    <row r="31834" spans="1:9">
      <c r="A31834" t="n">
        <v>311514</v>
      </c>
      <c r="B31834" s="51" t="n">
        <v>45</v>
      </c>
      <c r="C31834" s="7" t="n">
        <v>7</v>
      </c>
      <c r="D31834" s="7" t="n">
        <v>255</v>
      </c>
    </row>
    <row r="31835" spans="1:9">
      <c r="A31835" t="s">
        <v>4</v>
      </c>
      <c r="B31835" s="4" t="s">
        <v>5</v>
      </c>
      <c r="C31835" s="4" t="s">
        <v>7</v>
      </c>
      <c r="D31835" s="4" t="s">
        <v>11</v>
      </c>
      <c r="E31835" s="4" t="s">
        <v>13</v>
      </c>
    </row>
    <row r="31836" spans="1:9">
      <c r="A31836" t="n">
        <v>311518</v>
      </c>
      <c r="B31836" s="23" t="n">
        <v>58</v>
      </c>
      <c r="C31836" s="7" t="n">
        <v>101</v>
      </c>
      <c r="D31836" s="7" t="n">
        <v>800</v>
      </c>
      <c r="E31836" s="7" t="n">
        <v>1</v>
      </c>
    </row>
    <row r="31837" spans="1:9">
      <c r="A31837" t="s">
        <v>4</v>
      </c>
      <c r="B31837" s="4" t="s">
        <v>5</v>
      </c>
      <c r="C31837" s="4" t="s">
        <v>7</v>
      </c>
      <c r="D31837" s="4" t="s">
        <v>11</v>
      </c>
    </row>
    <row r="31838" spans="1:9">
      <c r="A31838" t="n">
        <v>311526</v>
      </c>
      <c r="B31838" s="23" t="n">
        <v>58</v>
      </c>
      <c r="C31838" s="7" t="n">
        <v>254</v>
      </c>
      <c r="D31838" s="7" t="n">
        <v>0</v>
      </c>
    </row>
    <row r="31839" spans="1:9">
      <c r="A31839" t="s">
        <v>4</v>
      </c>
      <c r="B31839" s="4" t="s">
        <v>5</v>
      </c>
      <c r="C31839" s="4" t="s">
        <v>7</v>
      </c>
      <c r="D31839" s="4" t="s">
        <v>7</v>
      </c>
      <c r="E31839" s="4" t="s">
        <v>13</v>
      </c>
      <c r="F31839" s="4" t="s">
        <v>13</v>
      </c>
      <c r="G31839" s="4" t="s">
        <v>13</v>
      </c>
      <c r="H31839" s="4" t="s">
        <v>11</v>
      </c>
    </row>
    <row r="31840" spans="1:9">
      <c r="A31840" t="n">
        <v>311530</v>
      </c>
      <c r="B31840" s="51" t="n">
        <v>45</v>
      </c>
      <c r="C31840" s="7" t="n">
        <v>2</v>
      </c>
      <c r="D31840" s="7" t="n">
        <v>3</v>
      </c>
      <c r="E31840" s="7" t="n">
        <v>4.73999977111816</v>
      </c>
      <c r="F31840" s="7" t="n">
        <v>1.37000000476837</v>
      </c>
      <c r="G31840" s="7" t="n">
        <v>45.310001373291</v>
      </c>
      <c r="H31840" s="7" t="n">
        <v>0</v>
      </c>
    </row>
    <row r="31841" spans="1:9">
      <c r="A31841" t="s">
        <v>4</v>
      </c>
      <c r="B31841" s="4" t="s">
        <v>5</v>
      </c>
      <c r="C31841" s="4" t="s">
        <v>7</v>
      </c>
      <c r="D31841" s="4" t="s">
        <v>7</v>
      </c>
      <c r="E31841" s="4" t="s">
        <v>13</v>
      </c>
      <c r="F31841" s="4" t="s">
        <v>13</v>
      </c>
      <c r="G31841" s="4" t="s">
        <v>13</v>
      </c>
      <c r="H31841" s="4" t="s">
        <v>11</v>
      </c>
      <c r="I31841" s="4" t="s">
        <v>7</v>
      </c>
    </row>
    <row r="31842" spans="1:9">
      <c r="A31842" t="n">
        <v>311547</v>
      </c>
      <c r="B31842" s="51" t="n">
        <v>45</v>
      </c>
      <c r="C31842" s="7" t="n">
        <v>4</v>
      </c>
      <c r="D31842" s="7" t="n">
        <v>3</v>
      </c>
      <c r="E31842" s="7" t="n">
        <v>4.3899998664856</v>
      </c>
      <c r="F31842" s="7" t="n">
        <v>107.779998779297</v>
      </c>
      <c r="G31842" s="7" t="n">
        <v>0</v>
      </c>
      <c r="H31842" s="7" t="n">
        <v>0</v>
      </c>
      <c r="I31842" s="7" t="n">
        <v>0</v>
      </c>
    </row>
    <row r="31843" spans="1:9">
      <c r="A31843" t="s">
        <v>4</v>
      </c>
      <c r="B31843" s="4" t="s">
        <v>5</v>
      </c>
      <c r="C31843" s="4" t="s">
        <v>7</v>
      </c>
      <c r="D31843" s="4" t="s">
        <v>7</v>
      </c>
      <c r="E31843" s="4" t="s">
        <v>13</v>
      </c>
      <c r="F31843" s="4" t="s">
        <v>11</v>
      </c>
    </row>
    <row r="31844" spans="1:9">
      <c r="A31844" t="n">
        <v>311565</v>
      </c>
      <c r="B31844" s="51" t="n">
        <v>45</v>
      </c>
      <c r="C31844" s="7" t="n">
        <v>5</v>
      </c>
      <c r="D31844" s="7" t="n">
        <v>3</v>
      </c>
      <c r="E31844" s="7" t="n">
        <v>2</v>
      </c>
      <c r="F31844" s="7" t="n">
        <v>0</v>
      </c>
    </row>
    <row r="31845" spans="1:9">
      <c r="A31845" t="s">
        <v>4</v>
      </c>
      <c r="B31845" s="4" t="s">
        <v>5</v>
      </c>
      <c r="C31845" s="4" t="s">
        <v>7</v>
      </c>
      <c r="D31845" s="4" t="s">
        <v>7</v>
      </c>
      <c r="E31845" s="4" t="s">
        <v>13</v>
      </c>
      <c r="F31845" s="4" t="s">
        <v>11</v>
      </c>
    </row>
    <row r="31846" spans="1:9">
      <c r="A31846" t="n">
        <v>311574</v>
      </c>
      <c r="B31846" s="51" t="n">
        <v>45</v>
      </c>
      <c r="C31846" s="7" t="n">
        <v>11</v>
      </c>
      <c r="D31846" s="7" t="n">
        <v>3</v>
      </c>
      <c r="E31846" s="7" t="n">
        <v>33.4000015258789</v>
      </c>
      <c r="F31846" s="7" t="n">
        <v>0</v>
      </c>
    </row>
    <row r="31847" spans="1:9">
      <c r="A31847" t="s">
        <v>4</v>
      </c>
      <c r="B31847" s="4" t="s">
        <v>5</v>
      </c>
      <c r="C31847" s="4" t="s">
        <v>11</v>
      </c>
      <c r="D31847" s="4" t="s">
        <v>15</v>
      </c>
    </row>
    <row r="31848" spans="1:9">
      <c r="A31848" t="n">
        <v>311583</v>
      </c>
      <c r="B31848" s="63" t="n">
        <v>44</v>
      </c>
      <c r="C31848" s="7" t="n">
        <v>13</v>
      </c>
      <c r="D31848" s="7" t="n">
        <v>1</v>
      </c>
    </row>
    <row r="31849" spans="1:9">
      <c r="A31849" t="s">
        <v>4</v>
      </c>
      <c r="B31849" s="4" t="s">
        <v>5</v>
      </c>
      <c r="C31849" s="4" t="s">
        <v>7</v>
      </c>
      <c r="D31849" s="4" t="s">
        <v>11</v>
      </c>
    </row>
    <row r="31850" spans="1:9">
      <c r="A31850" t="n">
        <v>311590</v>
      </c>
      <c r="B31850" s="23" t="n">
        <v>58</v>
      </c>
      <c r="C31850" s="7" t="n">
        <v>255</v>
      </c>
      <c r="D31850" s="7" t="n">
        <v>0</v>
      </c>
    </row>
    <row r="31851" spans="1:9">
      <c r="A31851" t="s">
        <v>4</v>
      </c>
      <c r="B31851" s="4" t="s">
        <v>5</v>
      </c>
      <c r="C31851" s="4" t="s">
        <v>8</v>
      </c>
      <c r="D31851" s="4" t="s">
        <v>8</v>
      </c>
    </row>
    <row r="31852" spans="1:9">
      <c r="A31852" t="n">
        <v>311594</v>
      </c>
      <c r="B31852" s="52" t="n">
        <v>70</v>
      </c>
      <c r="C31852" s="7" t="s">
        <v>279</v>
      </c>
      <c r="D31852" s="7" t="s">
        <v>280</v>
      </c>
    </row>
    <row r="31853" spans="1:9">
      <c r="A31853" t="s">
        <v>4</v>
      </c>
      <c r="B31853" s="4" t="s">
        <v>5</v>
      </c>
      <c r="C31853" s="4" t="s">
        <v>11</v>
      </c>
    </row>
    <row r="31854" spans="1:9">
      <c r="A31854" t="n">
        <v>311611</v>
      </c>
      <c r="B31854" s="29" t="n">
        <v>16</v>
      </c>
      <c r="C31854" s="7" t="n">
        <v>1000</v>
      </c>
    </row>
    <row r="31855" spans="1:9">
      <c r="A31855" t="s">
        <v>4</v>
      </c>
      <c r="B31855" s="4" t="s">
        <v>5</v>
      </c>
      <c r="C31855" s="4" t="s">
        <v>7</v>
      </c>
      <c r="D31855" s="4" t="s">
        <v>11</v>
      </c>
      <c r="E31855" s="4" t="s">
        <v>11</v>
      </c>
      <c r="F31855" s="4" t="s">
        <v>7</v>
      </c>
    </row>
    <row r="31856" spans="1:9">
      <c r="A31856" t="n">
        <v>311614</v>
      </c>
      <c r="B31856" s="31" t="n">
        <v>25</v>
      </c>
      <c r="C31856" s="7" t="n">
        <v>1</v>
      </c>
      <c r="D31856" s="7" t="n">
        <v>100</v>
      </c>
      <c r="E31856" s="7" t="n">
        <v>500</v>
      </c>
      <c r="F31856" s="7" t="n">
        <v>5</v>
      </c>
    </row>
    <row r="31857" spans="1:9">
      <c r="A31857" t="s">
        <v>4</v>
      </c>
      <c r="B31857" s="4" t="s">
        <v>5</v>
      </c>
      <c r="C31857" s="4" t="s">
        <v>8</v>
      </c>
      <c r="D31857" s="4" t="s">
        <v>11</v>
      </c>
    </row>
    <row r="31858" spans="1:9">
      <c r="A31858" t="n">
        <v>311621</v>
      </c>
      <c r="B31858" s="67" t="n">
        <v>29</v>
      </c>
      <c r="C31858" s="7" t="s">
        <v>281</v>
      </c>
      <c r="D31858" s="7" t="n">
        <v>65533</v>
      </c>
    </row>
    <row r="31859" spans="1:9">
      <c r="A31859" t="s">
        <v>4</v>
      </c>
      <c r="B31859" s="4" t="s">
        <v>5</v>
      </c>
      <c r="C31859" s="4" t="s">
        <v>7</v>
      </c>
      <c r="D31859" s="4" t="s">
        <v>11</v>
      </c>
      <c r="E31859" s="4" t="s">
        <v>8</v>
      </c>
    </row>
    <row r="31860" spans="1:9">
      <c r="A31860" t="n">
        <v>311630</v>
      </c>
      <c r="B31860" s="38" t="n">
        <v>51</v>
      </c>
      <c r="C31860" s="7" t="n">
        <v>4</v>
      </c>
      <c r="D31860" s="7" t="n">
        <v>13</v>
      </c>
      <c r="E31860" s="7" t="s">
        <v>16</v>
      </c>
    </row>
    <row r="31861" spans="1:9">
      <c r="A31861" t="s">
        <v>4</v>
      </c>
      <c r="B31861" s="4" t="s">
        <v>5</v>
      </c>
      <c r="C31861" s="4" t="s">
        <v>11</v>
      </c>
    </row>
    <row r="31862" spans="1:9">
      <c r="A31862" t="n">
        <v>311635</v>
      </c>
      <c r="B31862" s="29" t="n">
        <v>16</v>
      </c>
      <c r="C31862" s="7" t="n">
        <v>0</v>
      </c>
    </row>
    <row r="31863" spans="1:9">
      <c r="A31863" t="s">
        <v>4</v>
      </c>
      <c r="B31863" s="4" t="s">
        <v>5</v>
      </c>
      <c r="C31863" s="4" t="s">
        <v>11</v>
      </c>
      <c r="D31863" s="4" t="s">
        <v>7</v>
      </c>
      <c r="E31863" s="4" t="s">
        <v>15</v>
      </c>
      <c r="F31863" s="4" t="s">
        <v>55</v>
      </c>
      <c r="G31863" s="4" t="s">
        <v>7</v>
      </c>
      <c r="H31863" s="4" t="s">
        <v>7</v>
      </c>
    </row>
    <row r="31864" spans="1:9">
      <c r="A31864" t="n">
        <v>311638</v>
      </c>
      <c r="B31864" s="55" t="n">
        <v>26</v>
      </c>
      <c r="C31864" s="7" t="n">
        <v>13</v>
      </c>
      <c r="D31864" s="7" t="n">
        <v>17</v>
      </c>
      <c r="E31864" s="7" t="n">
        <v>64026</v>
      </c>
      <c r="F31864" s="7" t="s">
        <v>790</v>
      </c>
      <c r="G31864" s="7" t="n">
        <v>2</v>
      </c>
      <c r="H31864" s="7" t="n">
        <v>0</v>
      </c>
    </row>
    <row r="31865" spans="1:9">
      <c r="A31865" t="s">
        <v>4</v>
      </c>
      <c r="B31865" s="4" t="s">
        <v>5</v>
      </c>
    </row>
    <row r="31866" spans="1:9">
      <c r="A31866" t="n">
        <v>311693</v>
      </c>
      <c r="B31866" s="27" t="n">
        <v>28</v>
      </c>
    </row>
    <row r="31867" spans="1:9">
      <c r="A31867" t="s">
        <v>4</v>
      </c>
      <c r="B31867" s="4" t="s">
        <v>5</v>
      </c>
      <c r="C31867" s="4" t="s">
        <v>11</v>
      </c>
      <c r="D31867" s="4" t="s">
        <v>7</v>
      </c>
    </row>
    <row r="31868" spans="1:9">
      <c r="A31868" t="n">
        <v>311694</v>
      </c>
      <c r="B31868" s="68" t="n">
        <v>89</v>
      </c>
      <c r="C31868" s="7" t="n">
        <v>65533</v>
      </c>
      <c r="D31868" s="7" t="n">
        <v>1</v>
      </c>
    </row>
    <row r="31869" spans="1:9">
      <c r="A31869" t="s">
        <v>4</v>
      </c>
      <c r="B31869" s="4" t="s">
        <v>5</v>
      </c>
      <c r="C31869" s="4" t="s">
        <v>7</v>
      </c>
      <c r="D31869" s="4" t="s">
        <v>11</v>
      </c>
      <c r="E31869" s="4" t="s">
        <v>11</v>
      </c>
      <c r="F31869" s="4" t="s">
        <v>7</v>
      </c>
    </row>
    <row r="31870" spans="1:9">
      <c r="A31870" t="n">
        <v>311698</v>
      </c>
      <c r="B31870" s="31" t="n">
        <v>25</v>
      </c>
      <c r="C31870" s="7" t="n">
        <v>1</v>
      </c>
      <c r="D31870" s="7" t="n">
        <v>65535</v>
      </c>
      <c r="E31870" s="7" t="n">
        <v>65535</v>
      </c>
      <c r="F31870" s="7" t="n">
        <v>0</v>
      </c>
    </row>
    <row r="31871" spans="1:9">
      <c r="A31871" t="s">
        <v>4</v>
      </c>
      <c r="B31871" s="4" t="s">
        <v>5</v>
      </c>
      <c r="C31871" s="4" t="s">
        <v>8</v>
      </c>
      <c r="D31871" s="4" t="s">
        <v>11</v>
      </c>
    </row>
    <row r="31872" spans="1:9">
      <c r="A31872" t="n">
        <v>311705</v>
      </c>
      <c r="B31872" s="67" t="n">
        <v>29</v>
      </c>
      <c r="C31872" s="7" t="s">
        <v>16</v>
      </c>
      <c r="D31872" s="7" t="n">
        <v>65533</v>
      </c>
    </row>
    <row r="31873" spans="1:8">
      <c r="A31873" t="s">
        <v>4</v>
      </c>
      <c r="B31873" s="4" t="s">
        <v>5</v>
      </c>
      <c r="C31873" s="4" t="s">
        <v>11</v>
      </c>
      <c r="D31873" s="4" t="s">
        <v>7</v>
      </c>
      <c r="E31873" s="4" t="s">
        <v>13</v>
      </c>
      <c r="F31873" s="4" t="s">
        <v>11</v>
      </c>
    </row>
    <row r="31874" spans="1:8">
      <c r="A31874" t="n">
        <v>311709</v>
      </c>
      <c r="B31874" s="56" t="n">
        <v>59</v>
      </c>
      <c r="C31874" s="7" t="n">
        <v>0</v>
      </c>
      <c r="D31874" s="7" t="n">
        <v>13</v>
      </c>
      <c r="E31874" s="7" t="n">
        <v>0.150000005960464</v>
      </c>
      <c r="F31874" s="7" t="n">
        <v>0</v>
      </c>
    </row>
    <row r="31875" spans="1:8">
      <c r="A31875" t="s">
        <v>4</v>
      </c>
      <c r="B31875" s="4" t="s">
        <v>5</v>
      </c>
      <c r="C31875" s="4" t="s">
        <v>11</v>
      </c>
    </row>
    <row r="31876" spans="1:8">
      <c r="A31876" t="n">
        <v>311719</v>
      </c>
      <c r="B31876" s="29" t="n">
        <v>16</v>
      </c>
      <c r="C31876" s="7" t="n">
        <v>1000</v>
      </c>
    </row>
    <row r="31877" spans="1:8">
      <c r="A31877" t="s">
        <v>4</v>
      </c>
      <c r="B31877" s="4" t="s">
        <v>5</v>
      </c>
      <c r="C31877" s="4" t="s">
        <v>11</v>
      </c>
      <c r="D31877" s="4" t="s">
        <v>13</v>
      </c>
      <c r="E31877" s="4" t="s">
        <v>13</v>
      </c>
      <c r="F31877" s="4" t="s">
        <v>13</v>
      </c>
      <c r="G31877" s="4" t="s">
        <v>11</v>
      </c>
      <c r="H31877" s="4" t="s">
        <v>11</v>
      </c>
    </row>
    <row r="31878" spans="1:8">
      <c r="A31878" t="n">
        <v>311722</v>
      </c>
      <c r="B31878" s="37" t="n">
        <v>60</v>
      </c>
      <c r="C31878" s="7" t="n">
        <v>0</v>
      </c>
      <c r="D31878" s="7" t="n">
        <v>0</v>
      </c>
      <c r="E31878" s="7" t="n">
        <v>0</v>
      </c>
      <c r="F31878" s="7" t="n">
        <v>0</v>
      </c>
      <c r="G31878" s="7" t="n">
        <v>1000</v>
      </c>
      <c r="H31878" s="7" t="n">
        <v>0</v>
      </c>
    </row>
    <row r="31879" spans="1:8">
      <c r="A31879" t="s">
        <v>4</v>
      </c>
      <c r="B31879" s="4" t="s">
        <v>5</v>
      </c>
      <c r="C31879" s="4" t="s">
        <v>11</v>
      </c>
      <c r="D31879" s="4" t="s">
        <v>11</v>
      </c>
      <c r="E31879" s="4" t="s">
        <v>11</v>
      </c>
    </row>
    <row r="31880" spans="1:8">
      <c r="A31880" t="n">
        <v>311741</v>
      </c>
      <c r="B31880" s="72" t="n">
        <v>61</v>
      </c>
      <c r="C31880" s="7" t="n">
        <v>0</v>
      </c>
      <c r="D31880" s="7" t="n">
        <v>13</v>
      </c>
      <c r="E31880" s="7" t="n">
        <v>1000</v>
      </c>
    </row>
    <row r="31881" spans="1:8">
      <c r="A31881" t="s">
        <v>4</v>
      </c>
      <c r="B31881" s="4" t="s">
        <v>5</v>
      </c>
      <c r="C31881" s="4" t="s">
        <v>11</v>
      </c>
      <c r="D31881" s="4" t="s">
        <v>11</v>
      </c>
      <c r="E31881" s="4" t="s">
        <v>11</v>
      </c>
    </row>
    <row r="31882" spans="1:8">
      <c r="A31882" t="n">
        <v>311748</v>
      </c>
      <c r="B31882" s="72" t="n">
        <v>61</v>
      </c>
      <c r="C31882" s="7" t="n">
        <v>13</v>
      </c>
      <c r="D31882" s="7" t="n">
        <v>0</v>
      </c>
      <c r="E31882" s="7" t="n">
        <v>1000</v>
      </c>
    </row>
    <row r="31883" spans="1:8">
      <c r="A31883" t="s">
        <v>4</v>
      </c>
      <c r="B31883" s="4" t="s">
        <v>5</v>
      </c>
      <c r="C31883" s="4" t="s">
        <v>11</v>
      </c>
      <c r="D31883" s="4" t="s">
        <v>13</v>
      </c>
      <c r="E31883" s="4" t="s">
        <v>13</v>
      </c>
      <c r="F31883" s="4" t="s">
        <v>7</v>
      </c>
    </row>
    <row r="31884" spans="1:8">
      <c r="A31884" t="n">
        <v>311755</v>
      </c>
      <c r="B31884" s="65" t="n">
        <v>52</v>
      </c>
      <c r="C31884" s="7" t="n">
        <v>0</v>
      </c>
      <c r="D31884" s="7" t="n">
        <v>332.399993896484</v>
      </c>
      <c r="E31884" s="7" t="n">
        <v>5</v>
      </c>
      <c r="F31884" s="7" t="n">
        <v>0</v>
      </c>
    </row>
    <row r="31885" spans="1:8">
      <c r="A31885" t="s">
        <v>4</v>
      </c>
      <c r="B31885" s="4" t="s">
        <v>5</v>
      </c>
      <c r="C31885" s="4" t="s">
        <v>11</v>
      </c>
    </row>
    <row r="31886" spans="1:8">
      <c r="A31886" t="n">
        <v>311767</v>
      </c>
      <c r="B31886" s="66" t="n">
        <v>54</v>
      </c>
      <c r="C31886" s="7" t="n">
        <v>0</v>
      </c>
    </row>
    <row r="31887" spans="1:8">
      <c r="A31887" t="s">
        <v>4</v>
      </c>
      <c r="B31887" s="4" t="s">
        <v>5</v>
      </c>
      <c r="C31887" s="4" t="s">
        <v>7</v>
      </c>
      <c r="D31887" s="4" t="s">
        <v>11</v>
      </c>
      <c r="E31887" s="4" t="s">
        <v>13</v>
      </c>
    </row>
    <row r="31888" spans="1:8">
      <c r="A31888" t="n">
        <v>311770</v>
      </c>
      <c r="B31888" s="23" t="n">
        <v>58</v>
      </c>
      <c r="C31888" s="7" t="n">
        <v>101</v>
      </c>
      <c r="D31888" s="7" t="n">
        <v>500</v>
      </c>
      <c r="E31888" s="7" t="n">
        <v>1</v>
      </c>
    </row>
    <row r="31889" spans="1:8">
      <c r="A31889" t="s">
        <v>4</v>
      </c>
      <c r="B31889" s="4" t="s">
        <v>5</v>
      </c>
      <c r="C31889" s="4" t="s">
        <v>7</v>
      </c>
      <c r="D31889" s="4" t="s">
        <v>11</v>
      </c>
    </row>
    <row r="31890" spans="1:8">
      <c r="A31890" t="n">
        <v>311778</v>
      </c>
      <c r="B31890" s="23" t="n">
        <v>58</v>
      </c>
      <c r="C31890" s="7" t="n">
        <v>254</v>
      </c>
      <c r="D31890" s="7" t="n">
        <v>0</v>
      </c>
    </row>
    <row r="31891" spans="1:8">
      <c r="A31891" t="s">
        <v>4</v>
      </c>
      <c r="B31891" s="4" t="s">
        <v>5</v>
      </c>
      <c r="C31891" s="4" t="s">
        <v>7</v>
      </c>
      <c r="D31891" s="4" t="s">
        <v>7</v>
      </c>
      <c r="E31891" s="4" t="s">
        <v>13</v>
      </c>
      <c r="F31891" s="4" t="s">
        <v>13</v>
      </c>
      <c r="G31891" s="4" t="s">
        <v>13</v>
      </c>
      <c r="H31891" s="4" t="s">
        <v>11</v>
      </c>
    </row>
    <row r="31892" spans="1:8">
      <c r="A31892" t="n">
        <v>311782</v>
      </c>
      <c r="B31892" s="51" t="n">
        <v>45</v>
      </c>
      <c r="C31892" s="7" t="n">
        <v>2</v>
      </c>
      <c r="D31892" s="7" t="n">
        <v>3</v>
      </c>
      <c r="E31892" s="7" t="n">
        <v>4.92999982833862</v>
      </c>
      <c r="F31892" s="7" t="n">
        <v>1.46000003814697</v>
      </c>
      <c r="G31892" s="7" t="n">
        <v>45.6699981689453</v>
      </c>
      <c r="H31892" s="7" t="n">
        <v>0</v>
      </c>
    </row>
    <row r="31893" spans="1:8">
      <c r="A31893" t="s">
        <v>4</v>
      </c>
      <c r="B31893" s="4" t="s">
        <v>5</v>
      </c>
      <c r="C31893" s="4" t="s">
        <v>7</v>
      </c>
      <c r="D31893" s="4" t="s">
        <v>7</v>
      </c>
      <c r="E31893" s="4" t="s">
        <v>13</v>
      </c>
      <c r="F31893" s="4" t="s">
        <v>13</v>
      </c>
      <c r="G31893" s="4" t="s">
        <v>13</v>
      </c>
      <c r="H31893" s="4" t="s">
        <v>11</v>
      </c>
      <c r="I31893" s="4" t="s">
        <v>7</v>
      </c>
    </row>
    <row r="31894" spans="1:8">
      <c r="A31894" t="n">
        <v>311799</v>
      </c>
      <c r="B31894" s="51" t="n">
        <v>45</v>
      </c>
      <c r="C31894" s="7" t="n">
        <v>4</v>
      </c>
      <c r="D31894" s="7" t="n">
        <v>3</v>
      </c>
      <c r="E31894" s="7" t="n">
        <v>5.69000005722046</v>
      </c>
      <c r="F31894" s="7" t="n">
        <v>260.239990234375</v>
      </c>
      <c r="G31894" s="7" t="n">
        <v>0</v>
      </c>
      <c r="H31894" s="7" t="n">
        <v>0</v>
      </c>
      <c r="I31894" s="7" t="n">
        <v>0</v>
      </c>
    </row>
    <row r="31895" spans="1:8">
      <c r="A31895" t="s">
        <v>4</v>
      </c>
      <c r="B31895" s="4" t="s">
        <v>5</v>
      </c>
      <c r="C31895" s="4" t="s">
        <v>7</v>
      </c>
      <c r="D31895" s="4" t="s">
        <v>7</v>
      </c>
      <c r="E31895" s="4" t="s">
        <v>13</v>
      </c>
      <c r="F31895" s="4" t="s">
        <v>11</v>
      </c>
    </row>
    <row r="31896" spans="1:8">
      <c r="A31896" t="n">
        <v>311817</v>
      </c>
      <c r="B31896" s="51" t="n">
        <v>45</v>
      </c>
      <c r="C31896" s="7" t="n">
        <v>5</v>
      </c>
      <c r="D31896" s="7" t="n">
        <v>3</v>
      </c>
      <c r="E31896" s="7" t="n">
        <v>1.70000004768372</v>
      </c>
      <c r="F31896" s="7" t="n">
        <v>0</v>
      </c>
    </row>
    <row r="31897" spans="1:8">
      <c r="A31897" t="s">
        <v>4</v>
      </c>
      <c r="B31897" s="4" t="s">
        <v>5</v>
      </c>
      <c r="C31897" s="4" t="s">
        <v>7</v>
      </c>
      <c r="D31897" s="4" t="s">
        <v>7</v>
      </c>
      <c r="E31897" s="4" t="s">
        <v>13</v>
      </c>
      <c r="F31897" s="4" t="s">
        <v>11</v>
      </c>
    </row>
    <row r="31898" spans="1:8">
      <c r="A31898" t="n">
        <v>311826</v>
      </c>
      <c r="B31898" s="51" t="n">
        <v>45</v>
      </c>
      <c r="C31898" s="7" t="n">
        <v>11</v>
      </c>
      <c r="D31898" s="7" t="n">
        <v>3</v>
      </c>
      <c r="E31898" s="7" t="n">
        <v>34</v>
      </c>
      <c r="F31898" s="7" t="n">
        <v>0</v>
      </c>
    </row>
    <row r="31899" spans="1:8">
      <c r="A31899" t="s">
        <v>4</v>
      </c>
      <c r="B31899" s="4" t="s">
        <v>5</v>
      </c>
      <c r="C31899" s="4" t="s">
        <v>7</v>
      </c>
      <c r="D31899" s="4" t="s">
        <v>7</v>
      </c>
      <c r="E31899" s="4" t="s">
        <v>13</v>
      </c>
      <c r="F31899" s="4" t="s">
        <v>13</v>
      </c>
      <c r="G31899" s="4" t="s">
        <v>13</v>
      </c>
      <c r="H31899" s="4" t="s">
        <v>11</v>
      </c>
    </row>
    <row r="31900" spans="1:8">
      <c r="A31900" t="n">
        <v>311835</v>
      </c>
      <c r="B31900" s="51" t="n">
        <v>45</v>
      </c>
      <c r="C31900" s="7" t="n">
        <v>2</v>
      </c>
      <c r="D31900" s="7" t="n">
        <v>3</v>
      </c>
      <c r="E31900" s="7" t="n">
        <v>4.84999990463257</v>
      </c>
      <c r="F31900" s="7" t="n">
        <v>1.4099999666214</v>
      </c>
      <c r="G31900" s="7" t="n">
        <v>45.7999992370605</v>
      </c>
      <c r="H31900" s="7" t="n">
        <v>5500</v>
      </c>
    </row>
    <row r="31901" spans="1:8">
      <c r="A31901" t="s">
        <v>4</v>
      </c>
      <c r="B31901" s="4" t="s">
        <v>5</v>
      </c>
      <c r="C31901" s="4" t="s">
        <v>7</v>
      </c>
      <c r="D31901" s="4" t="s">
        <v>7</v>
      </c>
      <c r="E31901" s="4" t="s">
        <v>13</v>
      </c>
      <c r="F31901" s="4" t="s">
        <v>13</v>
      </c>
      <c r="G31901" s="4" t="s">
        <v>13</v>
      </c>
      <c r="H31901" s="4" t="s">
        <v>11</v>
      </c>
      <c r="I31901" s="4" t="s">
        <v>7</v>
      </c>
    </row>
    <row r="31902" spans="1:8">
      <c r="A31902" t="n">
        <v>311852</v>
      </c>
      <c r="B31902" s="51" t="n">
        <v>45</v>
      </c>
      <c r="C31902" s="7" t="n">
        <v>4</v>
      </c>
      <c r="D31902" s="7" t="n">
        <v>3</v>
      </c>
      <c r="E31902" s="7" t="n">
        <v>5.46999979019165</v>
      </c>
      <c r="F31902" s="7" t="n">
        <v>232.490005493164</v>
      </c>
      <c r="G31902" s="7" t="n">
        <v>0</v>
      </c>
      <c r="H31902" s="7" t="n">
        <v>5500</v>
      </c>
      <c r="I31902" s="7" t="n">
        <v>0</v>
      </c>
    </row>
    <row r="31903" spans="1:8">
      <c r="A31903" t="s">
        <v>4</v>
      </c>
      <c r="B31903" s="4" t="s">
        <v>5</v>
      </c>
      <c r="C31903" s="4" t="s">
        <v>11</v>
      </c>
      <c r="D31903" s="4" t="s">
        <v>7</v>
      </c>
      <c r="E31903" s="4" t="s">
        <v>7</v>
      </c>
      <c r="F31903" s="4" t="s">
        <v>8</v>
      </c>
    </row>
    <row r="31904" spans="1:8">
      <c r="A31904" t="n">
        <v>311870</v>
      </c>
      <c r="B31904" s="50" t="n">
        <v>20</v>
      </c>
      <c r="C31904" s="7" t="n">
        <v>13</v>
      </c>
      <c r="D31904" s="7" t="n">
        <v>2</v>
      </c>
      <c r="E31904" s="7" t="n">
        <v>11</v>
      </c>
      <c r="F31904" s="7" t="s">
        <v>283</v>
      </c>
    </row>
    <row r="31905" spans="1:9">
      <c r="A31905" t="s">
        <v>4</v>
      </c>
      <c r="B31905" s="4" t="s">
        <v>5</v>
      </c>
      <c r="C31905" s="4" t="s">
        <v>7</v>
      </c>
    </row>
    <row r="31906" spans="1:9">
      <c r="A31906" t="n">
        <v>311897</v>
      </c>
      <c r="B31906" s="49" t="n">
        <v>116</v>
      </c>
      <c r="C31906" s="7" t="n">
        <v>0</v>
      </c>
    </row>
    <row r="31907" spans="1:9">
      <c r="A31907" t="s">
        <v>4</v>
      </c>
      <c r="B31907" s="4" t="s">
        <v>5</v>
      </c>
      <c r="C31907" s="4" t="s">
        <v>7</v>
      </c>
      <c r="D31907" s="4" t="s">
        <v>11</v>
      </c>
    </row>
    <row r="31908" spans="1:9">
      <c r="A31908" t="n">
        <v>311899</v>
      </c>
      <c r="B31908" s="49" t="n">
        <v>116</v>
      </c>
      <c r="C31908" s="7" t="n">
        <v>2</v>
      </c>
      <c r="D31908" s="7" t="n">
        <v>1</v>
      </c>
    </row>
    <row r="31909" spans="1:9">
      <c r="A31909" t="s">
        <v>4</v>
      </c>
      <c r="B31909" s="4" t="s">
        <v>5</v>
      </c>
      <c r="C31909" s="4" t="s">
        <v>7</v>
      </c>
      <c r="D31909" s="4" t="s">
        <v>15</v>
      </c>
    </row>
    <row r="31910" spans="1:9">
      <c r="A31910" t="n">
        <v>311903</v>
      </c>
      <c r="B31910" s="49" t="n">
        <v>116</v>
      </c>
      <c r="C31910" s="7" t="n">
        <v>5</v>
      </c>
      <c r="D31910" s="7" t="n">
        <v>1084227584</v>
      </c>
    </row>
    <row r="31911" spans="1:9">
      <c r="A31911" t="s">
        <v>4</v>
      </c>
      <c r="B31911" s="4" t="s">
        <v>5</v>
      </c>
      <c r="C31911" s="4" t="s">
        <v>7</v>
      </c>
      <c r="D31911" s="4" t="s">
        <v>11</v>
      </c>
    </row>
    <row r="31912" spans="1:9">
      <c r="A31912" t="n">
        <v>311909</v>
      </c>
      <c r="B31912" s="49" t="n">
        <v>116</v>
      </c>
      <c r="C31912" s="7" t="n">
        <v>6</v>
      </c>
      <c r="D31912" s="7" t="n">
        <v>1</v>
      </c>
    </row>
    <row r="31913" spans="1:9">
      <c r="A31913" t="s">
        <v>4</v>
      </c>
      <c r="B31913" s="4" t="s">
        <v>5</v>
      </c>
      <c r="C31913" s="4" t="s">
        <v>7</v>
      </c>
      <c r="D31913" s="4" t="s">
        <v>11</v>
      </c>
    </row>
    <row r="31914" spans="1:9">
      <c r="A31914" t="n">
        <v>311913</v>
      </c>
      <c r="B31914" s="23" t="n">
        <v>58</v>
      </c>
      <c r="C31914" s="7" t="n">
        <v>255</v>
      </c>
      <c r="D31914" s="7" t="n">
        <v>0</v>
      </c>
    </row>
    <row r="31915" spans="1:9">
      <c r="A31915" t="s">
        <v>4</v>
      </c>
      <c r="B31915" s="4" t="s">
        <v>5</v>
      </c>
      <c r="C31915" s="4" t="s">
        <v>11</v>
      </c>
    </row>
    <row r="31916" spans="1:9">
      <c r="A31916" t="n">
        <v>311917</v>
      </c>
      <c r="B31916" s="29" t="n">
        <v>16</v>
      </c>
      <c r="C31916" s="7" t="n">
        <v>800</v>
      </c>
    </row>
    <row r="31917" spans="1:9">
      <c r="A31917" t="s">
        <v>4</v>
      </c>
      <c r="B31917" s="4" t="s">
        <v>5</v>
      </c>
      <c r="C31917" s="4" t="s">
        <v>8</v>
      </c>
      <c r="D31917" s="4" t="s">
        <v>8</v>
      </c>
    </row>
    <row r="31918" spans="1:9">
      <c r="A31918" t="n">
        <v>311920</v>
      </c>
      <c r="B31918" s="52" t="n">
        <v>70</v>
      </c>
      <c r="C31918" s="7" t="s">
        <v>279</v>
      </c>
      <c r="D31918" s="7" t="s">
        <v>284</v>
      </c>
    </row>
    <row r="31919" spans="1:9">
      <c r="A31919" t="s">
        <v>4</v>
      </c>
      <c r="B31919" s="4" t="s">
        <v>5</v>
      </c>
      <c r="C31919" s="4" t="s">
        <v>7</v>
      </c>
      <c r="D31919" s="4" t="s">
        <v>11</v>
      </c>
    </row>
    <row r="31920" spans="1:9">
      <c r="A31920" t="n">
        <v>311938</v>
      </c>
      <c r="B31920" s="51" t="n">
        <v>45</v>
      </c>
      <c r="C31920" s="7" t="n">
        <v>7</v>
      </c>
      <c r="D31920" s="7" t="n">
        <v>255</v>
      </c>
    </row>
    <row r="31921" spans="1:4">
      <c r="A31921" t="s">
        <v>4</v>
      </c>
      <c r="B31921" s="4" t="s">
        <v>5</v>
      </c>
      <c r="C31921" s="4" t="s">
        <v>7</v>
      </c>
      <c r="D31921" s="4" t="s">
        <v>11</v>
      </c>
      <c r="E31921" s="4" t="s">
        <v>8</v>
      </c>
    </row>
    <row r="31922" spans="1:4">
      <c r="A31922" t="n">
        <v>311942</v>
      </c>
      <c r="B31922" s="38" t="n">
        <v>51</v>
      </c>
      <c r="C31922" s="7" t="n">
        <v>4</v>
      </c>
      <c r="D31922" s="7" t="n">
        <v>0</v>
      </c>
      <c r="E31922" s="7" t="s">
        <v>179</v>
      </c>
    </row>
    <row r="31923" spans="1:4">
      <c r="A31923" t="s">
        <v>4</v>
      </c>
      <c r="B31923" s="4" t="s">
        <v>5</v>
      </c>
      <c r="C31923" s="4" t="s">
        <v>11</v>
      </c>
    </row>
    <row r="31924" spans="1:4">
      <c r="A31924" t="n">
        <v>311956</v>
      </c>
      <c r="B31924" s="29" t="n">
        <v>16</v>
      </c>
      <c r="C31924" s="7" t="n">
        <v>0</v>
      </c>
    </row>
    <row r="31925" spans="1:4">
      <c r="A31925" t="s">
        <v>4</v>
      </c>
      <c r="B31925" s="4" t="s">
        <v>5</v>
      </c>
      <c r="C31925" s="4" t="s">
        <v>11</v>
      </c>
      <c r="D31925" s="4" t="s">
        <v>7</v>
      </c>
      <c r="E31925" s="4" t="s">
        <v>15</v>
      </c>
      <c r="F31925" s="4" t="s">
        <v>55</v>
      </c>
      <c r="G31925" s="4" t="s">
        <v>7</v>
      </c>
      <c r="H31925" s="4" t="s">
        <v>7</v>
      </c>
      <c r="I31925" s="4" t="s">
        <v>7</v>
      </c>
      <c r="J31925" s="4" t="s">
        <v>15</v>
      </c>
      <c r="K31925" s="4" t="s">
        <v>55</v>
      </c>
      <c r="L31925" s="4" t="s">
        <v>7</v>
      </c>
      <c r="M31925" s="4" t="s">
        <v>7</v>
      </c>
    </row>
    <row r="31926" spans="1:4">
      <c r="A31926" t="n">
        <v>311959</v>
      </c>
      <c r="B31926" s="55" t="n">
        <v>26</v>
      </c>
      <c r="C31926" s="7" t="n">
        <v>0</v>
      </c>
      <c r="D31926" s="7" t="n">
        <v>17</v>
      </c>
      <c r="E31926" s="7" t="n">
        <v>64027</v>
      </c>
      <c r="F31926" s="7" t="s">
        <v>791</v>
      </c>
      <c r="G31926" s="7" t="n">
        <v>2</v>
      </c>
      <c r="H31926" s="7" t="n">
        <v>3</v>
      </c>
      <c r="I31926" s="7" t="n">
        <v>17</v>
      </c>
      <c r="J31926" s="7" t="n">
        <v>64028</v>
      </c>
      <c r="K31926" s="7" t="s">
        <v>792</v>
      </c>
      <c r="L31926" s="7" t="n">
        <v>2</v>
      </c>
      <c r="M31926" s="7" t="n">
        <v>0</v>
      </c>
    </row>
    <row r="31927" spans="1:4">
      <c r="A31927" t="s">
        <v>4</v>
      </c>
      <c r="B31927" s="4" t="s">
        <v>5</v>
      </c>
    </row>
    <row r="31928" spans="1:4">
      <c r="A31928" t="n">
        <v>312047</v>
      </c>
      <c r="B31928" s="27" t="n">
        <v>28</v>
      </c>
    </row>
    <row r="31929" spans="1:4">
      <c r="A31929" t="s">
        <v>4</v>
      </c>
      <c r="B31929" s="4" t="s">
        <v>5</v>
      </c>
      <c r="C31929" s="4" t="s">
        <v>7</v>
      </c>
      <c r="D31929" s="4" t="s">
        <v>11</v>
      </c>
      <c r="E31929" s="4" t="s">
        <v>13</v>
      </c>
    </row>
    <row r="31930" spans="1:4">
      <c r="A31930" t="n">
        <v>312048</v>
      </c>
      <c r="B31930" s="23" t="n">
        <v>58</v>
      </c>
      <c r="C31930" s="7" t="n">
        <v>101</v>
      </c>
      <c r="D31930" s="7" t="n">
        <v>500</v>
      </c>
      <c r="E31930" s="7" t="n">
        <v>1</v>
      </c>
    </row>
    <row r="31931" spans="1:4">
      <c r="A31931" t="s">
        <v>4</v>
      </c>
      <c r="B31931" s="4" t="s">
        <v>5</v>
      </c>
      <c r="C31931" s="4" t="s">
        <v>7</v>
      </c>
      <c r="D31931" s="4" t="s">
        <v>11</v>
      </c>
    </row>
    <row r="31932" spans="1:4">
      <c r="A31932" t="n">
        <v>312056</v>
      </c>
      <c r="B31932" s="23" t="n">
        <v>58</v>
      </c>
      <c r="C31932" s="7" t="n">
        <v>254</v>
      </c>
      <c r="D31932" s="7" t="n">
        <v>0</v>
      </c>
    </row>
    <row r="31933" spans="1:4">
      <c r="A31933" t="s">
        <v>4</v>
      </c>
      <c r="B31933" s="4" t="s">
        <v>5</v>
      </c>
      <c r="C31933" s="4" t="s">
        <v>7</v>
      </c>
      <c r="D31933" s="4" t="s">
        <v>7</v>
      </c>
      <c r="E31933" s="4" t="s">
        <v>13</v>
      </c>
      <c r="F31933" s="4" t="s">
        <v>13</v>
      </c>
      <c r="G31933" s="4" t="s">
        <v>13</v>
      </c>
      <c r="H31933" s="4" t="s">
        <v>11</v>
      </c>
    </row>
    <row r="31934" spans="1:4">
      <c r="A31934" t="n">
        <v>312060</v>
      </c>
      <c r="B31934" s="51" t="n">
        <v>45</v>
      </c>
      <c r="C31934" s="7" t="n">
        <v>2</v>
      </c>
      <c r="D31934" s="7" t="n">
        <v>3</v>
      </c>
      <c r="E31934" s="7" t="n">
        <v>4.96999979019165</v>
      </c>
      <c r="F31934" s="7" t="n">
        <v>1.29999995231628</v>
      </c>
      <c r="G31934" s="7" t="n">
        <v>46.3800010681152</v>
      </c>
      <c r="H31934" s="7" t="n">
        <v>0</v>
      </c>
    </row>
    <row r="31935" spans="1:4">
      <c r="A31935" t="s">
        <v>4</v>
      </c>
      <c r="B31935" s="4" t="s">
        <v>5</v>
      </c>
      <c r="C31935" s="4" t="s">
        <v>7</v>
      </c>
      <c r="D31935" s="4" t="s">
        <v>7</v>
      </c>
      <c r="E31935" s="4" t="s">
        <v>13</v>
      </c>
      <c r="F31935" s="4" t="s">
        <v>13</v>
      </c>
      <c r="G31935" s="4" t="s">
        <v>13</v>
      </c>
      <c r="H31935" s="4" t="s">
        <v>11</v>
      </c>
      <c r="I31935" s="4" t="s">
        <v>7</v>
      </c>
    </row>
    <row r="31936" spans="1:4">
      <c r="A31936" t="n">
        <v>312077</v>
      </c>
      <c r="B31936" s="51" t="n">
        <v>45</v>
      </c>
      <c r="C31936" s="7" t="n">
        <v>4</v>
      </c>
      <c r="D31936" s="7" t="n">
        <v>3</v>
      </c>
      <c r="E31936" s="7" t="n">
        <v>8.30000019073486</v>
      </c>
      <c r="F31936" s="7" t="n">
        <v>213.210006713867</v>
      </c>
      <c r="G31936" s="7" t="n">
        <v>0</v>
      </c>
      <c r="H31936" s="7" t="n">
        <v>0</v>
      </c>
      <c r="I31936" s="7" t="n">
        <v>0</v>
      </c>
    </row>
    <row r="31937" spans="1:13">
      <c r="A31937" t="s">
        <v>4</v>
      </c>
      <c r="B31937" s="4" t="s">
        <v>5</v>
      </c>
      <c r="C31937" s="4" t="s">
        <v>7</v>
      </c>
      <c r="D31937" s="4" t="s">
        <v>7</v>
      </c>
      <c r="E31937" s="4" t="s">
        <v>13</v>
      </c>
      <c r="F31937" s="4" t="s">
        <v>11</v>
      </c>
    </row>
    <row r="31938" spans="1:13">
      <c r="A31938" t="n">
        <v>312095</v>
      </c>
      <c r="B31938" s="51" t="n">
        <v>45</v>
      </c>
      <c r="C31938" s="7" t="n">
        <v>5</v>
      </c>
      <c r="D31938" s="7" t="n">
        <v>3</v>
      </c>
      <c r="E31938" s="7" t="n">
        <v>1</v>
      </c>
      <c r="F31938" s="7" t="n">
        <v>0</v>
      </c>
    </row>
    <row r="31939" spans="1:13">
      <c r="A31939" t="s">
        <v>4</v>
      </c>
      <c r="B31939" s="4" t="s">
        <v>5</v>
      </c>
      <c r="C31939" s="4" t="s">
        <v>7</v>
      </c>
      <c r="D31939" s="4" t="s">
        <v>7</v>
      </c>
      <c r="E31939" s="4" t="s">
        <v>13</v>
      </c>
      <c r="F31939" s="4" t="s">
        <v>11</v>
      </c>
    </row>
    <row r="31940" spans="1:13">
      <c r="A31940" t="n">
        <v>312104</v>
      </c>
      <c r="B31940" s="51" t="n">
        <v>45</v>
      </c>
      <c r="C31940" s="7" t="n">
        <v>11</v>
      </c>
      <c r="D31940" s="7" t="n">
        <v>3</v>
      </c>
      <c r="E31940" s="7" t="n">
        <v>34</v>
      </c>
      <c r="F31940" s="7" t="n">
        <v>0</v>
      </c>
    </row>
    <row r="31941" spans="1:13">
      <c r="A31941" t="s">
        <v>4</v>
      </c>
      <c r="B31941" s="4" t="s">
        <v>5</v>
      </c>
      <c r="C31941" s="4" t="s">
        <v>11</v>
      </c>
      <c r="D31941" s="4" t="s">
        <v>7</v>
      </c>
      <c r="E31941" s="4" t="s">
        <v>8</v>
      </c>
      <c r="F31941" s="4" t="s">
        <v>13</v>
      </c>
      <c r="G31941" s="4" t="s">
        <v>13</v>
      </c>
      <c r="H31941" s="4" t="s">
        <v>13</v>
      </c>
    </row>
    <row r="31942" spans="1:13">
      <c r="A31942" t="n">
        <v>312113</v>
      </c>
      <c r="B31942" s="42" t="n">
        <v>48</v>
      </c>
      <c r="C31942" s="7" t="n">
        <v>13</v>
      </c>
      <c r="D31942" s="7" t="n">
        <v>0</v>
      </c>
      <c r="E31942" s="7" t="s">
        <v>480</v>
      </c>
      <c r="F31942" s="7" t="n">
        <v>-1</v>
      </c>
      <c r="G31942" s="7" t="n">
        <v>1</v>
      </c>
      <c r="H31942" s="7" t="n">
        <v>0</v>
      </c>
    </row>
    <row r="31943" spans="1:13">
      <c r="A31943" t="s">
        <v>4</v>
      </c>
      <c r="B31943" s="4" t="s">
        <v>5</v>
      </c>
      <c r="C31943" s="4" t="s">
        <v>7</v>
      </c>
      <c r="D31943" s="4" t="s">
        <v>11</v>
      </c>
    </row>
    <row r="31944" spans="1:13">
      <c r="A31944" t="n">
        <v>312143</v>
      </c>
      <c r="B31944" s="23" t="n">
        <v>58</v>
      </c>
      <c r="C31944" s="7" t="n">
        <v>255</v>
      </c>
      <c r="D31944" s="7" t="n">
        <v>0</v>
      </c>
    </row>
    <row r="31945" spans="1:13">
      <c r="A31945" t="s">
        <v>4</v>
      </c>
      <c r="B31945" s="4" t="s">
        <v>5</v>
      </c>
      <c r="C31945" s="4" t="s">
        <v>7</v>
      </c>
      <c r="D31945" s="4" t="s">
        <v>11</v>
      </c>
      <c r="E31945" s="4" t="s">
        <v>8</v>
      </c>
    </row>
    <row r="31946" spans="1:13">
      <c r="A31946" t="n">
        <v>312147</v>
      </c>
      <c r="B31946" s="38" t="n">
        <v>51</v>
      </c>
      <c r="C31946" s="7" t="n">
        <v>4</v>
      </c>
      <c r="D31946" s="7" t="n">
        <v>13</v>
      </c>
      <c r="E31946" s="7" t="s">
        <v>242</v>
      </c>
    </row>
    <row r="31947" spans="1:13">
      <c r="A31947" t="s">
        <v>4</v>
      </c>
      <c r="B31947" s="4" t="s">
        <v>5</v>
      </c>
      <c r="C31947" s="4" t="s">
        <v>11</v>
      </c>
    </row>
    <row r="31948" spans="1:13">
      <c r="A31948" t="n">
        <v>312161</v>
      </c>
      <c r="B31948" s="29" t="n">
        <v>16</v>
      </c>
      <c r="C31948" s="7" t="n">
        <v>0</v>
      </c>
    </row>
    <row r="31949" spans="1:13">
      <c r="A31949" t="s">
        <v>4</v>
      </c>
      <c r="B31949" s="4" t="s">
        <v>5</v>
      </c>
      <c r="C31949" s="4" t="s">
        <v>11</v>
      </c>
      <c r="D31949" s="4" t="s">
        <v>7</v>
      </c>
      <c r="E31949" s="4" t="s">
        <v>15</v>
      </c>
      <c r="F31949" s="4" t="s">
        <v>55</v>
      </c>
      <c r="G31949" s="4" t="s">
        <v>7</v>
      </c>
      <c r="H31949" s="4" t="s">
        <v>7</v>
      </c>
      <c r="I31949" s="4" t="s">
        <v>7</v>
      </c>
      <c r="J31949" s="4" t="s">
        <v>15</v>
      </c>
      <c r="K31949" s="4" t="s">
        <v>55</v>
      </c>
      <c r="L31949" s="4" t="s">
        <v>7</v>
      </c>
      <c r="M31949" s="4" t="s">
        <v>7</v>
      </c>
    </row>
    <row r="31950" spans="1:13">
      <c r="A31950" t="n">
        <v>312164</v>
      </c>
      <c r="B31950" s="55" t="n">
        <v>26</v>
      </c>
      <c r="C31950" s="7" t="n">
        <v>13</v>
      </c>
      <c r="D31950" s="7" t="n">
        <v>17</v>
      </c>
      <c r="E31950" s="7" t="n">
        <v>64029</v>
      </c>
      <c r="F31950" s="7" t="s">
        <v>793</v>
      </c>
      <c r="G31950" s="7" t="n">
        <v>2</v>
      </c>
      <c r="H31950" s="7" t="n">
        <v>3</v>
      </c>
      <c r="I31950" s="7" t="n">
        <v>17</v>
      </c>
      <c r="J31950" s="7" t="n">
        <v>64030</v>
      </c>
      <c r="K31950" s="7" t="s">
        <v>794</v>
      </c>
      <c r="L31950" s="7" t="n">
        <v>2</v>
      </c>
      <c r="M31950" s="7" t="n">
        <v>0</v>
      </c>
    </row>
    <row r="31951" spans="1:13">
      <c r="A31951" t="s">
        <v>4</v>
      </c>
      <c r="B31951" s="4" t="s">
        <v>5</v>
      </c>
    </row>
    <row r="31952" spans="1:13">
      <c r="A31952" t="n">
        <v>312401</v>
      </c>
      <c r="B31952" s="27" t="n">
        <v>28</v>
      </c>
    </row>
    <row r="31953" spans="1:13">
      <c r="A31953" t="s">
        <v>4</v>
      </c>
      <c r="B31953" s="4" t="s">
        <v>5</v>
      </c>
      <c r="C31953" s="4" t="s">
        <v>7</v>
      </c>
      <c r="D31953" s="4" t="s">
        <v>11</v>
      </c>
      <c r="E31953" s="4" t="s">
        <v>8</v>
      </c>
    </row>
    <row r="31954" spans="1:13">
      <c r="A31954" t="n">
        <v>312402</v>
      </c>
      <c r="B31954" s="38" t="n">
        <v>51</v>
      </c>
      <c r="C31954" s="7" t="n">
        <v>4</v>
      </c>
      <c r="D31954" s="7" t="n">
        <v>0</v>
      </c>
      <c r="E31954" s="7" t="s">
        <v>173</v>
      </c>
    </row>
    <row r="31955" spans="1:13">
      <c r="A31955" t="s">
        <v>4</v>
      </c>
      <c r="B31955" s="4" t="s">
        <v>5</v>
      </c>
      <c r="C31955" s="4" t="s">
        <v>11</v>
      </c>
    </row>
    <row r="31956" spans="1:13">
      <c r="A31956" t="n">
        <v>312415</v>
      </c>
      <c r="B31956" s="29" t="n">
        <v>16</v>
      </c>
      <c r="C31956" s="7" t="n">
        <v>0</v>
      </c>
    </row>
    <row r="31957" spans="1:13">
      <c r="A31957" t="s">
        <v>4</v>
      </c>
      <c r="B31957" s="4" t="s">
        <v>5</v>
      </c>
      <c r="C31957" s="4" t="s">
        <v>11</v>
      </c>
      <c r="D31957" s="4" t="s">
        <v>7</v>
      </c>
      <c r="E31957" s="4" t="s">
        <v>15</v>
      </c>
      <c r="F31957" s="4" t="s">
        <v>55</v>
      </c>
      <c r="G31957" s="4" t="s">
        <v>7</v>
      </c>
      <c r="H31957" s="4" t="s">
        <v>7</v>
      </c>
    </row>
    <row r="31958" spans="1:13">
      <c r="A31958" t="n">
        <v>312418</v>
      </c>
      <c r="B31958" s="55" t="n">
        <v>26</v>
      </c>
      <c r="C31958" s="7" t="n">
        <v>0</v>
      </c>
      <c r="D31958" s="7" t="n">
        <v>17</v>
      </c>
      <c r="E31958" s="7" t="n">
        <v>64031</v>
      </c>
      <c r="F31958" s="7" t="s">
        <v>795</v>
      </c>
      <c r="G31958" s="7" t="n">
        <v>2</v>
      </c>
      <c r="H31958" s="7" t="n">
        <v>0</v>
      </c>
    </row>
    <row r="31959" spans="1:13">
      <c r="A31959" t="s">
        <v>4</v>
      </c>
      <c r="B31959" s="4" t="s">
        <v>5</v>
      </c>
    </row>
    <row r="31960" spans="1:13">
      <c r="A31960" t="n">
        <v>312493</v>
      </c>
      <c r="B31960" s="27" t="n">
        <v>28</v>
      </c>
    </row>
    <row r="31961" spans="1:13">
      <c r="A31961" t="s">
        <v>4</v>
      </c>
      <c r="B31961" s="4" t="s">
        <v>5</v>
      </c>
      <c r="C31961" s="4" t="s">
        <v>7</v>
      </c>
      <c r="D31961" s="4" t="s">
        <v>11</v>
      </c>
      <c r="E31961" s="4" t="s">
        <v>8</v>
      </c>
      <c r="F31961" s="4" t="s">
        <v>8</v>
      </c>
      <c r="G31961" s="4" t="s">
        <v>8</v>
      </c>
      <c r="H31961" s="4" t="s">
        <v>8</v>
      </c>
    </row>
    <row r="31962" spans="1:13">
      <c r="A31962" t="n">
        <v>312494</v>
      </c>
      <c r="B31962" s="38" t="n">
        <v>51</v>
      </c>
      <c r="C31962" s="7" t="n">
        <v>3</v>
      </c>
      <c r="D31962" s="7" t="n">
        <v>13</v>
      </c>
      <c r="E31962" s="7" t="s">
        <v>295</v>
      </c>
      <c r="F31962" s="7" t="s">
        <v>79</v>
      </c>
      <c r="G31962" s="7" t="s">
        <v>78</v>
      </c>
      <c r="H31962" s="7" t="s">
        <v>79</v>
      </c>
    </row>
    <row r="31963" spans="1:13">
      <c r="A31963" t="s">
        <v>4</v>
      </c>
      <c r="B31963" s="4" t="s">
        <v>5</v>
      </c>
      <c r="C31963" s="4" t="s">
        <v>11</v>
      </c>
      <c r="D31963" s="4" t="s">
        <v>13</v>
      </c>
      <c r="E31963" s="4" t="s">
        <v>13</v>
      </c>
      <c r="F31963" s="4" t="s">
        <v>13</v>
      </c>
      <c r="G31963" s="4" t="s">
        <v>11</v>
      </c>
      <c r="H31963" s="4" t="s">
        <v>11</v>
      </c>
    </row>
    <row r="31964" spans="1:13">
      <c r="A31964" t="n">
        <v>312507</v>
      </c>
      <c r="B31964" s="37" t="n">
        <v>60</v>
      </c>
      <c r="C31964" s="7" t="n">
        <v>13</v>
      </c>
      <c r="D31964" s="7" t="n">
        <v>-45</v>
      </c>
      <c r="E31964" s="7" t="n">
        <v>0</v>
      </c>
      <c r="F31964" s="7" t="n">
        <v>0</v>
      </c>
      <c r="G31964" s="7" t="n">
        <v>1000</v>
      </c>
      <c r="H31964" s="7" t="n">
        <v>0</v>
      </c>
    </row>
    <row r="31965" spans="1:13">
      <c r="A31965" t="s">
        <v>4</v>
      </c>
      <c r="B31965" s="4" t="s">
        <v>5</v>
      </c>
      <c r="C31965" s="4" t="s">
        <v>11</v>
      </c>
    </row>
    <row r="31966" spans="1:13">
      <c r="A31966" t="n">
        <v>312526</v>
      </c>
      <c r="B31966" s="29" t="n">
        <v>16</v>
      </c>
      <c r="C31966" s="7" t="n">
        <v>1000</v>
      </c>
    </row>
    <row r="31967" spans="1:13">
      <c r="A31967" t="s">
        <v>4</v>
      </c>
      <c r="B31967" s="4" t="s">
        <v>5</v>
      </c>
      <c r="C31967" s="4" t="s">
        <v>7</v>
      </c>
      <c r="D31967" s="4" t="s">
        <v>11</v>
      </c>
      <c r="E31967" s="4" t="s">
        <v>8</v>
      </c>
      <c r="F31967" s="4" t="s">
        <v>8</v>
      </c>
      <c r="G31967" s="4" t="s">
        <v>8</v>
      </c>
      <c r="H31967" s="4" t="s">
        <v>8</v>
      </c>
    </row>
    <row r="31968" spans="1:13">
      <c r="A31968" t="n">
        <v>312529</v>
      </c>
      <c r="B31968" s="38" t="n">
        <v>51</v>
      </c>
      <c r="C31968" s="7" t="n">
        <v>3</v>
      </c>
      <c r="D31968" s="7" t="n">
        <v>13</v>
      </c>
      <c r="E31968" s="7" t="s">
        <v>296</v>
      </c>
      <c r="F31968" s="7" t="s">
        <v>79</v>
      </c>
      <c r="G31968" s="7" t="s">
        <v>78</v>
      </c>
      <c r="H31968" s="7" t="s">
        <v>79</v>
      </c>
    </row>
    <row r="31969" spans="1:8">
      <c r="A31969" t="s">
        <v>4</v>
      </c>
      <c r="B31969" s="4" t="s">
        <v>5</v>
      </c>
      <c r="C31969" s="4" t="s">
        <v>11</v>
      </c>
      <c r="D31969" s="4" t="s">
        <v>13</v>
      </c>
      <c r="E31969" s="4" t="s">
        <v>13</v>
      </c>
      <c r="F31969" s="4" t="s">
        <v>13</v>
      </c>
      <c r="G31969" s="4" t="s">
        <v>11</v>
      </c>
      <c r="H31969" s="4" t="s">
        <v>11</v>
      </c>
    </row>
    <row r="31970" spans="1:8">
      <c r="A31970" t="n">
        <v>312543</v>
      </c>
      <c r="B31970" s="37" t="n">
        <v>60</v>
      </c>
      <c r="C31970" s="7" t="n">
        <v>13</v>
      </c>
      <c r="D31970" s="7" t="n">
        <v>45</v>
      </c>
      <c r="E31970" s="7" t="n">
        <v>0</v>
      </c>
      <c r="F31970" s="7" t="n">
        <v>0</v>
      </c>
      <c r="G31970" s="7" t="n">
        <v>1000</v>
      </c>
      <c r="H31970" s="7" t="n">
        <v>0</v>
      </c>
    </row>
    <row r="31971" spans="1:8">
      <c r="A31971" t="s">
        <v>4</v>
      </c>
      <c r="B31971" s="4" t="s">
        <v>5</v>
      </c>
      <c r="C31971" s="4" t="s">
        <v>11</v>
      </c>
    </row>
    <row r="31972" spans="1:8">
      <c r="A31972" t="n">
        <v>312562</v>
      </c>
      <c r="B31972" s="29" t="n">
        <v>16</v>
      </c>
      <c r="C31972" s="7" t="n">
        <v>1200</v>
      </c>
    </row>
    <row r="31973" spans="1:8">
      <c r="A31973" t="s">
        <v>4</v>
      </c>
      <c r="B31973" s="4" t="s">
        <v>5</v>
      </c>
      <c r="C31973" s="4" t="s">
        <v>7</v>
      </c>
      <c r="D31973" s="4" t="s">
        <v>11</v>
      </c>
      <c r="E31973" s="4" t="s">
        <v>8</v>
      </c>
      <c r="F31973" s="4" t="s">
        <v>8</v>
      </c>
      <c r="G31973" s="4" t="s">
        <v>8</v>
      </c>
      <c r="H31973" s="4" t="s">
        <v>8</v>
      </c>
    </row>
    <row r="31974" spans="1:8">
      <c r="A31974" t="n">
        <v>312565</v>
      </c>
      <c r="B31974" s="38" t="n">
        <v>51</v>
      </c>
      <c r="C31974" s="7" t="n">
        <v>3</v>
      </c>
      <c r="D31974" s="7" t="n">
        <v>13</v>
      </c>
      <c r="E31974" s="7" t="s">
        <v>86</v>
      </c>
      <c r="F31974" s="7" t="s">
        <v>79</v>
      </c>
      <c r="G31974" s="7" t="s">
        <v>78</v>
      </c>
      <c r="H31974" s="7" t="s">
        <v>79</v>
      </c>
    </row>
    <row r="31975" spans="1:8">
      <c r="A31975" t="s">
        <v>4</v>
      </c>
      <c r="B31975" s="4" t="s">
        <v>5</v>
      </c>
      <c r="C31975" s="4" t="s">
        <v>11</v>
      </c>
      <c r="D31975" s="4" t="s">
        <v>13</v>
      </c>
      <c r="E31975" s="4" t="s">
        <v>13</v>
      </c>
      <c r="F31975" s="4" t="s">
        <v>13</v>
      </c>
      <c r="G31975" s="4" t="s">
        <v>11</v>
      </c>
      <c r="H31975" s="4" t="s">
        <v>11</v>
      </c>
    </row>
    <row r="31976" spans="1:8">
      <c r="A31976" t="n">
        <v>312578</v>
      </c>
      <c r="B31976" s="37" t="n">
        <v>60</v>
      </c>
      <c r="C31976" s="7" t="n">
        <v>13</v>
      </c>
      <c r="D31976" s="7" t="n">
        <v>0</v>
      </c>
      <c r="E31976" s="7" t="n">
        <v>0</v>
      </c>
      <c r="F31976" s="7" t="n">
        <v>0</v>
      </c>
      <c r="G31976" s="7" t="n">
        <v>1000</v>
      </c>
      <c r="H31976" s="7" t="n">
        <v>0</v>
      </c>
    </row>
    <row r="31977" spans="1:8">
      <c r="A31977" t="s">
        <v>4</v>
      </c>
      <c r="B31977" s="4" t="s">
        <v>5</v>
      </c>
      <c r="C31977" s="4" t="s">
        <v>11</v>
      </c>
    </row>
    <row r="31978" spans="1:8">
      <c r="A31978" t="n">
        <v>312597</v>
      </c>
      <c r="B31978" s="29" t="n">
        <v>16</v>
      </c>
      <c r="C31978" s="7" t="n">
        <v>1000</v>
      </c>
    </row>
    <row r="31979" spans="1:8">
      <c r="A31979" t="s">
        <v>4</v>
      </c>
      <c r="B31979" s="4" t="s">
        <v>5</v>
      </c>
      <c r="C31979" s="4" t="s">
        <v>7</v>
      </c>
      <c r="D31979" s="4" t="s">
        <v>11</v>
      </c>
      <c r="E31979" s="4" t="s">
        <v>8</v>
      </c>
    </row>
    <row r="31980" spans="1:8">
      <c r="A31980" t="n">
        <v>312600</v>
      </c>
      <c r="B31980" s="38" t="n">
        <v>51</v>
      </c>
      <c r="C31980" s="7" t="n">
        <v>4</v>
      </c>
      <c r="D31980" s="7" t="n">
        <v>13</v>
      </c>
      <c r="E31980" s="7" t="s">
        <v>242</v>
      </c>
    </row>
    <row r="31981" spans="1:8">
      <c r="A31981" t="s">
        <v>4</v>
      </c>
      <c r="B31981" s="4" t="s">
        <v>5</v>
      </c>
      <c r="C31981" s="4" t="s">
        <v>11</v>
      </c>
    </row>
    <row r="31982" spans="1:8">
      <c r="A31982" t="n">
        <v>312614</v>
      </c>
      <c r="B31982" s="29" t="n">
        <v>16</v>
      </c>
      <c r="C31982" s="7" t="n">
        <v>0</v>
      </c>
    </row>
    <row r="31983" spans="1:8">
      <c r="A31983" t="s">
        <v>4</v>
      </c>
      <c r="B31983" s="4" t="s">
        <v>5</v>
      </c>
      <c r="C31983" s="4" t="s">
        <v>11</v>
      </c>
      <c r="D31983" s="4" t="s">
        <v>7</v>
      </c>
      <c r="E31983" s="4" t="s">
        <v>15</v>
      </c>
      <c r="F31983" s="4" t="s">
        <v>55</v>
      </c>
      <c r="G31983" s="4" t="s">
        <v>7</v>
      </c>
      <c r="H31983" s="4" t="s">
        <v>7</v>
      </c>
      <c r="I31983" s="4" t="s">
        <v>7</v>
      </c>
      <c r="J31983" s="4" t="s">
        <v>15</v>
      </c>
      <c r="K31983" s="4" t="s">
        <v>55</v>
      </c>
      <c r="L31983" s="4" t="s">
        <v>7</v>
      </c>
      <c r="M31983" s="4" t="s">
        <v>7</v>
      </c>
    </row>
    <row r="31984" spans="1:8">
      <c r="A31984" t="n">
        <v>312617</v>
      </c>
      <c r="B31984" s="55" t="n">
        <v>26</v>
      </c>
      <c r="C31984" s="7" t="n">
        <v>13</v>
      </c>
      <c r="D31984" s="7" t="n">
        <v>17</v>
      </c>
      <c r="E31984" s="7" t="n">
        <v>64032</v>
      </c>
      <c r="F31984" s="7" t="s">
        <v>796</v>
      </c>
      <c r="G31984" s="7" t="n">
        <v>2</v>
      </c>
      <c r="H31984" s="7" t="n">
        <v>3</v>
      </c>
      <c r="I31984" s="7" t="n">
        <v>17</v>
      </c>
      <c r="J31984" s="7" t="n">
        <v>64033</v>
      </c>
      <c r="K31984" s="7" t="s">
        <v>797</v>
      </c>
      <c r="L31984" s="7" t="n">
        <v>2</v>
      </c>
      <c r="M31984" s="7" t="n">
        <v>0</v>
      </c>
    </row>
    <row r="31985" spans="1:13">
      <c r="A31985" t="s">
        <v>4</v>
      </c>
      <c r="B31985" s="4" t="s">
        <v>5</v>
      </c>
    </row>
    <row r="31986" spans="1:13">
      <c r="A31986" t="n">
        <v>312785</v>
      </c>
      <c r="B31986" s="27" t="n">
        <v>28</v>
      </c>
    </row>
    <row r="31987" spans="1:13">
      <c r="A31987" t="s">
        <v>4</v>
      </c>
      <c r="B31987" s="4" t="s">
        <v>5</v>
      </c>
      <c r="C31987" s="4" t="s">
        <v>7</v>
      </c>
      <c r="D31987" s="4" t="s">
        <v>11</v>
      </c>
      <c r="E31987" s="4" t="s">
        <v>8</v>
      </c>
    </row>
    <row r="31988" spans="1:13">
      <c r="A31988" t="n">
        <v>312786</v>
      </c>
      <c r="B31988" s="38" t="n">
        <v>51</v>
      </c>
      <c r="C31988" s="7" t="n">
        <v>4</v>
      </c>
      <c r="D31988" s="7" t="n">
        <v>0</v>
      </c>
      <c r="E31988" s="7" t="s">
        <v>167</v>
      </c>
    </row>
    <row r="31989" spans="1:13">
      <c r="A31989" t="s">
        <v>4</v>
      </c>
      <c r="B31989" s="4" t="s">
        <v>5</v>
      </c>
      <c r="C31989" s="4" t="s">
        <v>11</v>
      </c>
    </row>
    <row r="31990" spans="1:13">
      <c r="A31990" t="n">
        <v>312800</v>
      </c>
      <c r="B31990" s="29" t="n">
        <v>16</v>
      </c>
      <c r="C31990" s="7" t="n">
        <v>0</v>
      </c>
    </row>
    <row r="31991" spans="1:13">
      <c r="A31991" t="s">
        <v>4</v>
      </c>
      <c r="B31991" s="4" t="s">
        <v>5</v>
      </c>
      <c r="C31991" s="4" t="s">
        <v>11</v>
      </c>
      <c r="D31991" s="4" t="s">
        <v>7</v>
      </c>
      <c r="E31991" s="4" t="s">
        <v>15</v>
      </c>
      <c r="F31991" s="4" t="s">
        <v>55</v>
      </c>
      <c r="G31991" s="4" t="s">
        <v>7</v>
      </c>
      <c r="H31991" s="4" t="s">
        <v>7</v>
      </c>
      <c r="I31991" s="4" t="s">
        <v>7</v>
      </c>
      <c r="J31991" s="4" t="s">
        <v>15</v>
      </c>
      <c r="K31991" s="4" t="s">
        <v>55</v>
      </c>
      <c r="L31991" s="4" t="s">
        <v>7</v>
      </c>
      <c r="M31991" s="4" t="s">
        <v>7</v>
      </c>
      <c r="N31991" s="4" t="s">
        <v>7</v>
      </c>
      <c r="O31991" s="4" t="s">
        <v>15</v>
      </c>
      <c r="P31991" s="4" t="s">
        <v>55</v>
      </c>
      <c r="Q31991" s="4" t="s">
        <v>7</v>
      </c>
      <c r="R31991" s="4" t="s">
        <v>7</v>
      </c>
    </row>
    <row r="31992" spans="1:13">
      <c r="A31992" t="n">
        <v>312803</v>
      </c>
      <c r="B31992" s="55" t="n">
        <v>26</v>
      </c>
      <c r="C31992" s="7" t="n">
        <v>0</v>
      </c>
      <c r="D31992" s="7" t="n">
        <v>17</v>
      </c>
      <c r="E31992" s="7" t="n">
        <v>64034</v>
      </c>
      <c r="F31992" s="7" t="s">
        <v>798</v>
      </c>
      <c r="G31992" s="7" t="n">
        <v>2</v>
      </c>
      <c r="H31992" s="7" t="n">
        <v>3</v>
      </c>
      <c r="I31992" s="7" t="n">
        <v>17</v>
      </c>
      <c r="J31992" s="7" t="n">
        <v>64035</v>
      </c>
      <c r="K31992" s="7" t="s">
        <v>799</v>
      </c>
      <c r="L31992" s="7" t="n">
        <v>2</v>
      </c>
      <c r="M31992" s="7" t="n">
        <v>3</v>
      </c>
      <c r="N31992" s="7" t="n">
        <v>17</v>
      </c>
      <c r="O31992" s="7" t="n">
        <v>63780</v>
      </c>
      <c r="P31992" s="7" t="s">
        <v>301</v>
      </c>
      <c r="Q31992" s="7" t="n">
        <v>2</v>
      </c>
      <c r="R31992" s="7" t="n">
        <v>0</v>
      </c>
    </row>
    <row r="31993" spans="1:13">
      <c r="A31993" t="s">
        <v>4</v>
      </c>
      <c r="B31993" s="4" t="s">
        <v>5</v>
      </c>
    </row>
    <row r="31994" spans="1:13">
      <c r="A31994" t="n">
        <v>313050</v>
      </c>
      <c r="B31994" s="27" t="n">
        <v>28</v>
      </c>
    </row>
    <row r="31995" spans="1:13">
      <c r="A31995" t="s">
        <v>4</v>
      </c>
      <c r="B31995" s="4" t="s">
        <v>5</v>
      </c>
      <c r="C31995" s="4" t="s">
        <v>7</v>
      </c>
      <c r="D31995" s="4" t="s">
        <v>11</v>
      </c>
      <c r="E31995" s="4" t="s">
        <v>8</v>
      </c>
    </row>
    <row r="31996" spans="1:13">
      <c r="A31996" t="n">
        <v>313051</v>
      </c>
      <c r="B31996" s="38" t="n">
        <v>51</v>
      </c>
      <c r="C31996" s="7" t="n">
        <v>4</v>
      </c>
      <c r="D31996" s="7" t="n">
        <v>13</v>
      </c>
      <c r="E31996" s="7" t="s">
        <v>238</v>
      </c>
    </row>
    <row r="31997" spans="1:13">
      <c r="A31997" t="s">
        <v>4</v>
      </c>
      <c r="B31997" s="4" t="s">
        <v>5</v>
      </c>
      <c r="C31997" s="4" t="s">
        <v>11</v>
      </c>
    </row>
    <row r="31998" spans="1:13">
      <c r="A31998" t="n">
        <v>313065</v>
      </c>
      <c r="B31998" s="29" t="n">
        <v>16</v>
      </c>
      <c r="C31998" s="7" t="n">
        <v>0</v>
      </c>
    </row>
    <row r="31999" spans="1:13">
      <c r="A31999" t="s">
        <v>4</v>
      </c>
      <c r="B31999" s="4" t="s">
        <v>5</v>
      </c>
      <c r="C31999" s="4" t="s">
        <v>11</v>
      </c>
      <c r="D31999" s="4" t="s">
        <v>7</v>
      </c>
      <c r="E31999" s="4" t="s">
        <v>15</v>
      </c>
      <c r="F31999" s="4" t="s">
        <v>55</v>
      </c>
      <c r="G31999" s="4" t="s">
        <v>7</v>
      </c>
      <c r="H31999" s="4" t="s">
        <v>7</v>
      </c>
    </row>
    <row r="32000" spans="1:13">
      <c r="A32000" t="n">
        <v>313068</v>
      </c>
      <c r="B32000" s="55" t="n">
        <v>26</v>
      </c>
      <c r="C32000" s="7" t="n">
        <v>13</v>
      </c>
      <c r="D32000" s="7" t="n">
        <v>17</v>
      </c>
      <c r="E32000" s="7" t="n">
        <v>64036</v>
      </c>
      <c r="F32000" s="7" t="s">
        <v>800</v>
      </c>
      <c r="G32000" s="7" t="n">
        <v>2</v>
      </c>
      <c r="H32000" s="7" t="n">
        <v>0</v>
      </c>
    </row>
    <row r="32001" spans="1:18">
      <c r="A32001" t="s">
        <v>4</v>
      </c>
      <c r="B32001" s="4" t="s">
        <v>5</v>
      </c>
    </row>
    <row r="32002" spans="1:18">
      <c r="A32002" t="n">
        <v>313094</v>
      </c>
      <c r="B32002" s="27" t="n">
        <v>28</v>
      </c>
    </row>
    <row r="32003" spans="1:18">
      <c r="A32003" t="s">
        <v>4</v>
      </c>
      <c r="B32003" s="4" t="s">
        <v>5</v>
      </c>
      <c r="C32003" s="4" t="s">
        <v>11</v>
      </c>
      <c r="D32003" s="4" t="s">
        <v>7</v>
      </c>
    </row>
    <row r="32004" spans="1:18">
      <c r="A32004" t="n">
        <v>313095</v>
      </c>
      <c r="B32004" s="68" t="n">
        <v>89</v>
      </c>
      <c r="C32004" s="7" t="n">
        <v>65533</v>
      </c>
      <c r="D32004" s="7" t="n">
        <v>1</v>
      </c>
    </row>
    <row r="32005" spans="1:18">
      <c r="A32005" t="s">
        <v>4</v>
      </c>
      <c r="B32005" s="4" t="s">
        <v>5</v>
      </c>
      <c r="C32005" s="4" t="s">
        <v>7</v>
      </c>
      <c r="D32005" s="4" t="s">
        <v>11</v>
      </c>
      <c r="E32005" s="4" t="s">
        <v>13</v>
      </c>
    </row>
    <row r="32006" spans="1:18">
      <c r="A32006" t="n">
        <v>313099</v>
      </c>
      <c r="B32006" s="23" t="n">
        <v>58</v>
      </c>
      <c r="C32006" s="7" t="n">
        <v>101</v>
      </c>
      <c r="D32006" s="7" t="n">
        <v>500</v>
      </c>
      <c r="E32006" s="7" t="n">
        <v>1</v>
      </c>
    </row>
    <row r="32007" spans="1:18">
      <c r="A32007" t="s">
        <v>4</v>
      </c>
      <c r="B32007" s="4" t="s">
        <v>5</v>
      </c>
      <c r="C32007" s="4" t="s">
        <v>7</v>
      </c>
      <c r="D32007" s="4" t="s">
        <v>11</v>
      </c>
    </row>
    <row r="32008" spans="1:18">
      <c r="A32008" t="n">
        <v>313107</v>
      </c>
      <c r="B32008" s="23" t="n">
        <v>58</v>
      </c>
      <c r="C32008" s="7" t="n">
        <v>254</v>
      </c>
      <c r="D32008" s="7" t="n">
        <v>0</v>
      </c>
    </row>
    <row r="32009" spans="1:18">
      <c r="A32009" t="s">
        <v>4</v>
      </c>
      <c r="B32009" s="4" t="s">
        <v>5</v>
      </c>
      <c r="C32009" s="4" t="s">
        <v>7</v>
      </c>
      <c r="D32009" s="4" t="s">
        <v>11</v>
      </c>
      <c r="E32009" s="4" t="s">
        <v>8</v>
      </c>
      <c r="F32009" s="4" t="s">
        <v>8</v>
      </c>
      <c r="G32009" s="4" t="s">
        <v>8</v>
      </c>
      <c r="H32009" s="4" t="s">
        <v>8</v>
      </c>
    </row>
    <row r="32010" spans="1:18">
      <c r="A32010" t="n">
        <v>313111</v>
      </c>
      <c r="B32010" s="38" t="n">
        <v>51</v>
      </c>
      <c r="C32010" s="7" t="n">
        <v>3</v>
      </c>
      <c r="D32010" s="7" t="n">
        <v>0</v>
      </c>
      <c r="E32010" s="7" t="s">
        <v>65</v>
      </c>
      <c r="F32010" s="7" t="s">
        <v>99</v>
      </c>
      <c r="G32010" s="7" t="s">
        <v>78</v>
      </c>
      <c r="H32010" s="7" t="s">
        <v>79</v>
      </c>
    </row>
    <row r="32011" spans="1:18">
      <c r="A32011" t="s">
        <v>4</v>
      </c>
      <c r="B32011" s="4" t="s">
        <v>5</v>
      </c>
      <c r="C32011" s="4" t="s">
        <v>7</v>
      </c>
      <c r="D32011" s="4" t="s">
        <v>11</v>
      </c>
      <c r="E32011" s="4" t="s">
        <v>8</v>
      </c>
      <c r="F32011" s="4" t="s">
        <v>8</v>
      </c>
      <c r="G32011" s="4" t="s">
        <v>8</v>
      </c>
      <c r="H32011" s="4" t="s">
        <v>8</v>
      </c>
    </row>
    <row r="32012" spans="1:18">
      <c r="A32012" t="n">
        <v>313132</v>
      </c>
      <c r="B32012" s="38" t="n">
        <v>51</v>
      </c>
      <c r="C32012" s="7" t="n">
        <v>3</v>
      </c>
      <c r="D32012" s="7" t="n">
        <v>13</v>
      </c>
      <c r="E32012" s="7" t="s">
        <v>101</v>
      </c>
      <c r="F32012" s="7" t="s">
        <v>79</v>
      </c>
      <c r="G32012" s="7" t="s">
        <v>78</v>
      </c>
      <c r="H32012" s="7" t="s">
        <v>79</v>
      </c>
    </row>
    <row r="32013" spans="1:18">
      <c r="A32013" t="s">
        <v>4</v>
      </c>
      <c r="B32013" s="4" t="s">
        <v>5</v>
      </c>
      <c r="C32013" s="4" t="s">
        <v>11</v>
      </c>
      <c r="D32013" s="4" t="s">
        <v>11</v>
      </c>
      <c r="E32013" s="4" t="s">
        <v>11</v>
      </c>
    </row>
    <row r="32014" spans="1:18">
      <c r="A32014" t="n">
        <v>313153</v>
      </c>
      <c r="B32014" s="72" t="n">
        <v>61</v>
      </c>
      <c r="C32014" s="7" t="n">
        <v>0</v>
      </c>
      <c r="D32014" s="7" t="n">
        <v>65533</v>
      </c>
      <c r="E32014" s="7" t="n">
        <v>0</v>
      </c>
    </row>
    <row r="32015" spans="1:18">
      <c r="A32015" t="s">
        <v>4</v>
      </c>
      <c r="B32015" s="4" t="s">
        <v>5</v>
      </c>
      <c r="C32015" s="4" t="s">
        <v>11</v>
      </c>
      <c r="D32015" s="4" t="s">
        <v>11</v>
      </c>
      <c r="E32015" s="4" t="s">
        <v>11</v>
      </c>
    </row>
    <row r="32016" spans="1:18">
      <c r="A32016" t="n">
        <v>313160</v>
      </c>
      <c r="B32016" s="72" t="n">
        <v>61</v>
      </c>
      <c r="C32016" s="7" t="n">
        <v>13</v>
      </c>
      <c r="D32016" s="7" t="n">
        <v>65533</v>
      </c>
      <c r="E32016" s="7" t="n">
        <v>0</v>
      </c>
    </row>
    <row r="32017" spans="1:8">
      <c r="A32017" t="s">
        <v>4</v>
      </c>
      <c r="B32017" s="4" t="s">
        <v>5</v>
      </c>
      <c r="C32017" s="4" t="s">
        <v>7</v>
      </c>
    </row>
    <row r="32018" spans="1:8">
      <c r="A32018" t="n">
        <v>313167</v>
      </c>
      <c r="B32018" s="49" t="n">
        <v>116</v>
      </c>
      <c r="C32018" s="7" t="n">
        <v>0</v>
      </c>
    </row>
    <row r="32019" spans="1:8">
      <c r="A32019" t="s">
        <v>4</v>
      </c>
      <c r="B32019" s="4" t="s">
        <v>5</v>
      </c>
      <c r="C32019" s="4" t="s">
        <v>7</v>
      </c>
      <c r="D32019" s="4" t="s">
        <v>11</v>
      </c>
    </row>
    <row r="32020" spans="1:8">
      <c r="A32020" t="n">
        <v>313169</v>
      </c>
      <c r="B32020" s="49" t="n">
        <v>116</v>
      </c>
      <c r="C32020" s="7" t="n">
        <v>2</v>
      </c>
      <c r="D32020" s="7" t="n">
        <v>1</v>
      </c>
    </row>
    <row r="32021" spans="1:8">
      <c r="A32021" t="s">
        <v>4</v>
      </c>
      <c r="B32021" s="4" t="s">
        <v>5</v>
      </c>
      <c r="C32021" s="4" t="s">
        <v>7</v>
      </c>
      <c r="D32021" s="4" t="s">
        <v>15</v>
      </c>
    </row>
    <row r="32022" spans="1:8">
      <c r="A32022" t="n">
        <v>313173</v>
      </c>
      <c r="B32022" s="49" t="n">
        <v>116</v>
      </c>
      <c r="C32022" s="7" t="n">
        <v>5</v>
      </c>
      <c r="D32022" s="7" t="n">
        <v>1106247680</v>
      </c>
    </row>
    <row r="32023" spans="1:8">
      <c r="A32023" t="s">
        <v>4</v>
      </c>
      <c r="B32023" s="4" t="s">
        <v>5</v>
      </c>
      <c r="C32023" s="4" t="s">
        <v>7</v>
      </c>
      <c r="D32023" s="4" t="s">
        <v>11</v>
      </c>
    </row>
    <row r="32024" spans="1:8">
      <c r="A32024" t="n">
        <v>313179</v>
      </c>
      <c r="B32024" s="49" t="n">
        <v>116</v>
      </c>
      <c r="C32024" s="7" t="n">
        <v>6</v>
      </c>
      <c r="D32024" s="7" t="n">
        <v>1</v>
      </c>
    </row>
    <row r="32025" spans="1:8">
      <c r="A32025" t="s">
        <v>4</v>
      </c>
      <c r="B32025" s="4" t="s">
        <v>5</v>
      </c>
      <c r="C32025" s="4" t="s">
        <v>7</v>
      </c>
      <c r="D32025" s="4" t="s">
        <v>7</v>
      </c>
      <c r="E32025" s="4" t="s">
        <v>13</v>
      </c>
      <c r="F32025" s="4" t="s">
        <v>13</v>
      </c>
      <c r="G32025" s="4" t="s">
        <v>13</v>
      </c>
      <c r="H32025" s="4" t="s">
        <v>11</v>
      </c>
    </row>
    <row r="32026" spans="1:8">
      <c r="A32026" t="n">
        <v>313183</v>
      </c>
      <c r="B32026" s="51" t="n">
        <v>45</v>
      </c>
      <c r="C32026" s="7" t="n">
        <v>2</v>
      </c>
      <c r="D32026" s="7" t="n">
        <v>3</v>
      </c>
      <c r="E32026" s="7" t="n">
        <v>4.53000020980835</v>
      </c>
      <c r="F32026" s="7" t="n">
        <v>1.30999994277954</v>
      </c>
      <c r="G32026" s="7" t="n">
        <v>46.2700004577637</v>
      </c>
      <c r="H32026" s="7" t="n">
        <v>0</v>
      </c>
    </row>
    <row r="32027" spans="1:8">
      <c r="A32027" t="s">
        <v>4</v>
      </c>
      <c r="B32027" s="4" t="s">
        <v>5</v>
      </c>
      <c r="C32027" s="4" t="s">
        <v>7</v>
      </c>
      <c r="D32027" s="4" t="s">
        <v>7</v>
      </c>
      <c r="E32027" s="4" t="s">
        <v>13</v>
      </c>
      <c r="F32027" s="4" t="s">
        <v>13</v>
      </c>
      <c r="G32027" s="4" t="s">
        <v>13</v>
      </c>
      <c r="H32027" s="4" t="s">
        <v>11</v>
      </c>
      <c r="I32027" s="4" t="s">
        <v>7</v>
      </c>
    </row>
    <row r="32028" spans="1:8">
      <c r="A32028" t="n">
        <v>313200</v>
      </c>
      <c r="B32028" s="51" t="n">
        <v>45</v>
      </c>
      <c r="C32028" s="7" t="n">
        <v>4</v>
      </c>
      <c r="D32028" s="7" t="n">
        <v>3</v>
      </c>
      <c r="E32028" s="7" t="n">
        <v>12.8699998855591</v>
      </c>
      <c r="F32028" s="7" t="n">
        <v>80.0199966430664</v>
      </c>
      <c r="G32028" s="7" t="n">
        <v>0</v>
      </c>
      <c r="H32028" s="7" t="n">
        <v>0</v>
      </c>
      <c r="I32028" s="7" t="n">
        <v>0</v>
      </c>
    </row>
    <row r="32029" spans="1:8">
      <c r="A32029" t="s">
        <v>4</v>
      </c>
      <c r="B32029" s="4" t="s">
        <v>5</v>
      </c>
      <c r="C32029" s="4" t="s">
        <v>7</v>
      </c>
      <c r="D32029" s="4" t="s">
        <v>7</v>
      </c>
      <c r="E32029" s="4" t="s">
        <v>13</v>
      </c>
      <c r="F32029" s="4" t="s">
        <v>11</v>
      </c>
    </row>
    <row r="32030" spans="1:8">
      <c r="A32030" t="n">
        <v>313218</v>
      </c>
      <c r="B32030" s="51" t="n">
        <v>45</v>
      </c>
      <c r="C32030" s="7" t="n">
        <v>5</v>
      </c>
      <c r="D32030" s="7" t="n">
        <v>3</v>
      </c>
      <c r="E32030" s="7" t="n">
        <v>3</v>
      </c>
      <c r="F32030" s="7" t="n">
        <v>0</v>
      </c>
    </row>
    <row r="32031" spans="1:8">
      <c r="A32031" t="s">
        <v>4</v>
      </c>
      <c r="B32031" s="4" t="s">
        <v>5</v>
      </c>
      <c r="C32031" s="4" t="s">
        <v>7</v>
      </c>
      <c r="D32031" s="4" t="s">
        <v>7</v>
      </c>
      <c r="E32031" s="4" t="s">
        <v>13</v>
      </c>
      <c r="F32031" s="4" t="s">
        <v>11</v>
      </c>
    </row>
    <row r="32032" spans="1:8">
      <c r="A32032" t="n">
        <v>313227</v>
      </c>
      <c r="B32032" s="51" t="n">
        <v>45</v>
      </c>
      <c r="C32032" s="7" t="n">
        <v>11</v>
      </c>
      <c r="D32032" s="7" t="n">
        <v>3</v>
      </c>
      <c r="E32032" s="7" t="n">
        <v>34</v>
      </c>
      <c r="F32032" s="7" t="n">
        <v>0</v>
      </c>
    </row>
    <row r="32033" spans="1:9">
      <c r="A32033" t="s">
        <v>4</v>
      </c>
      <c r="B32033" s="4" t="s">
        <v>5</v>
      </c>
      <c r="C32033" s="4" t="s">
        <v>7</v>
      </c>
      <c r="D32033" s="4" t="s">
        <v>7</v>
      </c>
      <c r="E32033" s="4" t="s">
        <v>13</v>
      </c>
      <c r="F32033" s="4" t="s">
        <v>13</v>
      </c>
      <c r="G32033" s="4" t="s">
        <v>13</v>
      </c>
      <c r="H32033" s="4" t="s">
        <v>11</v>
      </c>
    </row>
    <row r="32034" spans="1:9">
      <c r="A32034" t="n">
        <v>313236</v>
      </c>
      <c r="B32034" s="51" t="n">
        <v>45</v>
      </c>
      <c r="C32034" s="7" t="n">
        <v>2</v>
      </c>
      <c r="D32034" s="7" t="n">
        <v>3</v>
      </c>
      <c r="E32034" s="7" t="n">
        <v>4.53000020980835</v>
      </c>
      <c r="F32034" s="7" t="n">
        <v>2.30999994277954</v>
      </c>
      <c r="G32034" s="7" t="n">
        <v>46.2700004577637</v>
      </c>
      <c r="H32034" s="7" t="n">
        <v>5000</v>
      </c>
    </row>
    <row r="32035" spans="1:9">
      <c r="A32035" t="s">
        <v>4</v>
      </c>
      <c r="B32035" s="4" t="s">
        <v>5</v>
      </c>
      <c r="C32035" s="4" t="s">
        <v>7</v>
      </c>
      <c r="D32035" s="4" t="s">
        <v>11</v>
      </c>
    </row>
    <row r="32036" spans="1:9">
      <c r="A32036" t="n">
        <v>313253</v>
      </c>
      <c r="B32036" s="23" t="n">
        <v>58</v>
      </c>
      <c r="C32036" s="7" t="n">
        <v>255</v>
      </c>
      <c r="D32036" s="7" t="n">
        <v>0</v>
      </c>
    </row>
    <row r="32037" spans="1:9">
      <c r="A32037" t="s">
        <v>4</v>
      </c>
      <c r="B32037" s="4" t="s">
        <v>5</v>
      </c>
      <c r="C32037" s="4" t="s">
        <v>11</v>
      </c>
      <c r="D32037" s="4" t="s">
        <v>13</v>
      </c>
      <c r="E32037" s="4" t="s">
        <v>13</v>
      </c>
      <c r="F32037" s="4" t="s">
        <v>7</v>
      </c>
    </row>
    <row r="32038" spans="1:9">
      <c r="A32038" t="n">
        <v>313257</v>
      </c>
      <c r="B32038" s="65" t="n">
        <v>52</v>
      </c>
      <c r="C32038" s="7" t="n">
        <v>0</v>
      </c>
      <c r="D32038" s="7" t="n">
        <v>255</v>
      </c>
      <c r="E32038" s="7" t="n">
        <v>5</v>
      </c>
      <c r="F32038" s="7" t="n">
        <v>0</v>
      </c>
    </row>
    <row r="32039" spans="1:9">
      <c r="A32039" t="s">
        <v>4</v>
      </c>
      <c r="B32039" s="4" t="s">
        <v>5</v>
      </c>
      <c r="C32039" s="4" t="s">
        <v>11</v>
      </c>
    </row>
    <row r="32040" spans="1:9">
      <c r="A32040" t="n">
        <v>313269</v>
      </c>
      <c r="B32040" s="29" t="n">
        <v>16</v>
      </c>
      <c r="C32040" s="7" t="n">
        <v>100</v>
      </c>
    </row>
    <row r="32041" spans="1:9">
      <c r="A32041" t="s">
        <v>4</v>
      </c>
      <c r="B32041" s="4" t="s">
        <v>5</v>
      </c>
      <c r="C32041" s="4" t="s">
        <v>11</v>
      </c>
      <c r="D32041" s="4" t="s">
        <v>13</v>
      </c>
      <c r="E32041" s="4" t="s">
        <v>13</v>
      </c>
      <c r="F32041" s="4" t="s">
        <v>7</v>
      </c>
    </row>
    <row r="32042" spans="1:9">
      <c r="A32042" t="n">
        <v>313272</v>
      </c>
      <c r="B32042" s="65" t="n">
        <v>52</v>
      </c>
      <c r="C32042" s="7" t="n">
        <v>13</v>
      </c>
      <c r="D32042" s="7" t="n">
        <v>255</v>
      </c>
      <c r="E32042" s="7" t="n">
        <v>5</v>
      </c>
      <c r="F32042" s="7" t="n">
        <v>0</v>
      </c>
    </row>
    <row r="32043" spans="1:9">
      <c r="A32043" t="s">
        <v>4</v>
      </c>
      <c r="B32043" s="4" t="s">
        <v>5</v>
      </c>
      <c r="C32043" s="4" t="s">
        <v>11</v>
      </c>
    </row>
    <row r="32044" spans="1:9">
      <c r="A32044" t="n">
        <v>313284</v>
      </c>
      <c r="B32044" s="66" t="n">
        <v>54</v>
      </c>
      <c r="C32044" s="7" t="n">
        <v>0</v>
      </c>
    </row>
    <row r="32045" spans="1:9">
      <c r="A32045" t="s">
        <v>4</v>
      </c>
      <c r="B32045" s="4" t="s">
        <v>5</v>
      </c>
      <c r="C32045" s="4" t="s">
        <v>11</v>
      </c>
      <c r="D32045" s="4" t="s">
        <v>11</v>
      </c>
      <c r="E32045" s="4" t="s">
        <v>13</v>
      </c>
      <c r="F32045" s="4" t="s">
        <v>13</v>
      </c>
      <c r="G32045" s="4" t="s">
        <v>13</v>
      </c>
      <c r="H32045" s="4" t="s">
        <v>13</v>
      </c>
      <c r="I32045" s="4" t="s">
        <v>7</v>
      </c>
      <c r="J32045" s="4" t="s">
        <v>11</v>
      </c>
    </row>
    <row r="32046" spans="1:9">
      <c r="A32046" t="n">
        <v>313287</v>
      </c>
      <c r="B32046" s="53" t="n">
        <v>55</v>
      </c>
      <c r="C32046" s="7" t="n">
        <v>0</v>
      </c>
      <c r="D32046" s="7" t="n">
        <v>65024</v>
      </c>
      <c r="E32046" s="7" t="n">
        <v>0</v>
      </c>
      <c r="F32046" s="7" t="n">
        <v>0</v>
      </c>
      <c r="G32046" s="7" t="n">
        <v>6</v>
      </c>
      <c r="H32046" s="7" t="n">
        <v>1.20000004768372</v>
      </c>
      <c r="I32046" s="7" t="n">
        <v>1</v>
      </c>
      <c r="J32046" s="7" t="n">
        <v>0</v>
      </c>
    </row>
    <row r="32047" spans="1:9">
      <c r="A32047" t="s">
        <v>4</v>
      </c>
      <c r="B32047" s="4" t="s">
        <v>5</v>
      </c>
      <c r="C32047" s="4" t="s">
        <v>11</v>
      </c>
    </row>
    <row r="32048" spans="1:9">
      <c r="A32048" t="n">
        <v>313311</v>
      </c>
      <c r="B32048" s="66" t="n">
        <v>54</v>
      </c>
      <c r="C32048" s="7" t="n">
        <v>13</v>
      </c>
    </row>
    <row r="32049" spans="1:10">
      <c r="A32049" t="s">
        <v>4</v>
      </c>
      <c r="B32049" s="4" t="s">
        <v>5</v>
      </c>
      <c r="C32049" s="4" t="s">
        <v>11</v>
      </c>
    </row>
    <row r="32050" spans="1:10">
      <c r="A32050" t="n">
        <v>313314</v>
      </c>
      <c r="B32050" s="29" t="n">
        <v>16</v>
      </c>
      <c r="C32050" s="7" t="n">
        <v>200</v>
      </c>
    </row>
    <row r="32051" spans="1:10">
      <c r="A32051" t="s">
        <v>4</v>
      </c>
      <c r="B32051" s="4" t="s">
        <v>5</v>
      </c>
      <c r="C32051" s="4" t="s">
        <v>11</v>
      </c>
      <c r="D32051" s="4" t="s">
        <v>11</v>
      </c>
      <c r="E32051" s="4" t="s">
        <v>13</v>
      </c>
      <c r="F32051" s="4" t="s">
        <v>13</v>
      </c>
      <c r="G32051" s="4" t="s">
        <v>13</v>
      </c>
      <c r="H32051" s="4" t="s">
        <v>13</v>
      </c>
      <c r="I32051" s="4" t="s">
        <v>7</v>
      </c>
      <c r="J32051" s="4" t="s">
        <v>11</v>
      </c>
    </row>
    <row r="32052" spans="1:10">
      <c r="A32052" t="n">
        <v>313317</v>
      </c>
      <c r="B32052" s="53" t="n">
        <v>55</v>
      </c>
      <c r="C32052" s="7" t="n">
        <v>13</v>
      </c>
      <c r="D32052" s="7" t="n">
        <v>65024</v>
      </c>
      <c r="E32052" s="7" t="n">
        <v>0</v>
      </c>
      <c r="F32052" s="7" t="n">
        <v>0</v>
      </c>
      <c r="G32052" s="7" t="n">
        <v>6</v>
      </c>
      <c r="H32052" s="7" t="n">
        <v>1.20000004768372</v>
      </c>
      <c r="I32052" s="7" t="n">
        <v>1</v>
      </c>
      <c r="J32052" s="7" t="n">
        <v>0</v>
      </c>
    </row>
    <row r="32053" spans="1:10">
      <c r="A32053" t="s">
        <v>4</v>
      </c>
      <c r="B32053" s="4" t="s">
        <v>5</v>
      </c>
      <c r="C32053" s="4" t="s">
        <v>11</v>
      </c>
    </row>
    <row r="32054" spans="1:10">
      <c r="A32054" t="n">
        <v>313341</v>
      </c>
      <c r="B32054" s="29" t="n">
        <v>16</v>
      </c>
      <c r="C32054" s="7" t="n">
        <v>2000</v>
      </c>
    </row>
    <row r="32055" spans="1:10">
      <c r="A32055" t="s">
        <v>4</v>
      </c>
      <c r="B32055" s="4" t="s">
        <v>5</v>
      </c>
      <c r="C32055" s="4" t="s">
        <v>7</v>
      </c>
      <c r="D32055" s="4" t="s">
        <v>11</v>
      </c>
      <c r="E32055" s="4" t="s">
        <v>13</v>
      </c>
    </row>
    <row r="32056" spans="1:10">
      <c r="A32056" t="n">
        <v>313344</v>
      </c>
      <c r="B32056" s="23" t="n">
        <v>58</v>
      </c>
      <c r="C32056" s="7" t="n">
        <v>0</v>
      </c>
      <c r="D32056" s="7" t="n">
        <v>1000</v>
      </c>
      <c r="E32056" s="7" t="n">
        <v>1</v>
      </c>
    </row>
    <row r="32057" spans="1:10">
      <c r="A32057" t="s">
        <v>4</v>
      </c>
      <c r="B32057" s="4" t="s">
        <v>5</v>
      </c>
      <c r="C32057" s="4" t="s">
        <v>7</v>
      </c>
      <c r="D32057" s="4" t="s">
        <v>11</v>
      </c>
    </row>
    <row r="32058" spans="1:10">
      <c r="A32058" t="n">
        <v>313352</v>
      </c>
      <c r="B32058" s="23" t="n">
        <v>58</v>
      </c>
      <c r="C32058" s="7" t="n">
        <v>255</v>
      </c>
      <c r="D32058" s="7" t="n">
        <v>0</v>
      </c>
    </row>
    <row r="32059" spans="1:10">
      <c r="A32059" t="s">
        <v>4</v>
      </c>
      <c r="B32059" s="4" t="s">
        <v>5</v>
      </c>
      <c r="C32059" s="4" t="s">
        <v>11</v>
      </c>
      <c r="D32059" s="4" t="s">
        <v>7</v>
      </c>
    </row>
    <row r="32060" spans="1:10">
      <c r="A32060" t="n">
        <v>313356</v>
      </c>
      <c r="B32060" s="54" t="n">
        <v>56</v>
      </c>
      <c r="C32060" s="7" t="n">
        <v>0</v>
      </c>
      <c r="D32060" s="7" t="n">
        <v>1</v>
      </c>
    </row>
    <row r="32061" spans="1:10">
      <c r="A32061" t="s">
        <v>4</v>
      </c>
      <c r="B32061" s="4" t="s">
        <v>5</v>
      </c>
      <c r="C32061" s="4" t="s">
        <v>11</v>
      </c>
      <c r="D32061" s="4" t="s">
        <v>7</v>
      </c>
    </row>
    <row r="32062" spans="1:10">
      <c r="A32062" t="n">
        <v>313360</v>
      </c>
      <c r="B32062" s="54" t="n">
        <v>56</v>
      </c>
      <c r="C32062" s="7" t="n">
        <v>13</v>
      </c>
      <c r="D32062" s="7" t="n">
        <v>1</v>
      </c>
    </row>
    <row r="32063" spans="1:10">
      <c r="A32063" t="s">
        <v>4</v>
      </c>
      <c r="B32063" s="4" t="s">
        <v>5</v>
      </c>
      <c r="C32063" s="4" t="s">
        <v>11</v>
      </c>
      <c r="D32063" s="4" t="s">
        <v>13</v>
      </c>
      <c r="E32063" s="4" t="s">
        <v>13</v>
      </c>
      <c r="F32063" s="4" t="s">
        <v>13</v>
      </c>
      <c r="G32063" s="4" t="s">
        <v>13</v>
      </c>
    </row>
    <row r="32064" spans="1:10">
      <c r="A32064" t="n">
        <v>313364</v>
      </c>
      <c r="B32064" s="36" t="n">
        <v>46</v>
      </c>
      <c r="C32064" s="7" t="n">
        <v>0</v>
      </c>
      <c r="D32064" s="7" t="n">
        <v>-7.67000007629395</v>
      </c>
      <c r="E32064" s="7" t="n">
        <v>5</v>
      </c>
      <c r="F32064" s="7" t="n">
        <v>41.2599983215332</v>
      </c>
      <c r="G32064" s="7" t="n">
        <v>18.7000007629395</v>
      </c>
    </row>
    <row r="32065" spans="1:10">
      <c r="A32065" t="s">
        <v>4</v>
      </c>
      <c r="B32065" s="4" t="s">
        <v>5</v>
      </c>
      <c r="C32065" s="4" t="s">
        <v>11</v>
      </c>
      <c r="D32065" s="4" t="s">
        <v>13</v>
      </c>
      <c r="E32065" s="4" t="s">
        <v>13</v>
      </c>
      <c r="F32065" s="4" t="s">
        <v>13</v>
      </c>
      <c r="G32065" s="4" t="s">
        <v>13</v>
      </c>
    </row>
    <row r="32066" spans="1:10">
      <c r="A32066" t="n">
        <v>313383</v>
      </c>
      <c r="B32066" s="36" t="n">
        <v>46</v>
      </c>
      <c r="C32066" s="7" t="n">
        <v>13</v>
      </c>
      <c r="D32066" s="7" t="n">
        <v>-7.15000009536743</v>
      </c>
      <c r="E32066" s="7" t="n">
        <v>5</v>
      </c>
      <c r="F32066" s="7" t="n">
        <v>42.0099983215332</v>
      </c>
      <c r="G32066" s="7" t="n">
        <v>4.30000019073486</v>
      </c>
    </row>
    <row r="32067" spans="1:10">
      <c r="A32067" t="s">
        <v>4</v>
      </c>
      <c r="B32067" s="4" t="s">
        <v>5</v>
      </c>
      <c r="C32067" s="4" t="s">
        <v>11</v>
      </c>
      <c r="D32067" s="4" t="s">
        <v>11</v>
      </c>
      <c r="E32067" s="4" t="s">
        <v>11</v>
      </c>
    </row>
    <row r="32068" spans="1:10">
      <c r="A32068" t="n">
        <v>313402</v>
      </c>
      <c r="B32068" s="72" t="n">
        <v>61</v>
      </c>
      <c r="C32068" s="7" t="n">
        <v>0</v>
      </c>
      <c r="D32068" s="7" t="n">
        <v>65533</v>
      </c>
      <c r="E32068" s="7" t="n">
        <v>0</v>
      </c>
    </row>
    <row r="32069" spans="1:10">
      <c r="A32069" t="s">
        <v>4</v>
      </c>
      <c r="B32069" s="4" t="s">
        <v>5</v>
      </c>
      <c r="C32069" s="4" t="s">
        <v>11</v>
      </c>
      <c r="D32069" s="4" t="s">
        <v>11</v>
      </c>
      <c r="E32069" s="4" t="s">
        <v>11</v>
      </c>
    </row>
    <row r="32070" spans="1:10">
      <c r="A32070" t="n">
        <v>313409</v>
      </c>
      <c r="B32070" s="72" t="n">
        <v>61</v>
      </c>
      <c r="C32070" s="7" t="n">
        <v>13</v>
      </c>
      <c r="D32070" s="7" t="n">
        <v>65533</v>
      </c>
      <c r="E32070" s="7" t="n">
        <v>0</v>
      </c>
    </row>
    <row r="32071" spans="1:10">
      <c r="A32071" t="s">
        <v>4</v>
      </c>
      <c r="B32071" s="4" t="s">
        <v>5</v>
      </c>
      <c r="C32071" s="4" t="s">
        <v>7</v>
      </c>
      <c r="D32071" s="4" t="s">
        <v>7</v>
      </c>
      <c r="E32071" s="4" t="s">
        <v>13</v>
      </c>
      <c r="F32071" s="4" t="s">
        <v>13</v>
      </c>
      <c r="G32071" s="4" t="s">
        <v>13</v>
      </c>
      <c r="H32071" s="4" t="s">
        <v>11</v>
      </c>
    </row>
    <row r="32072" spans="1:10">
      <c r="A32072" t="n">
        <v>313416</v>
      </c>
      <c r="B32072" s="51" t="n">
        <v>45</v>
      </c>
      <c r="C32072" s="7" t="n">
        <v>2</v>
      </c>
      <c r="D32072" s="7" t="n">
        <v>3</v>
      </c>
      <c r="E32072" s="7" t="n">
        <v>-6.92000007629395</v>
      </c>
      <c r="F32072" s="7" t="n">
        <v>6.55000019073486</v>
      </c>
      <c r="G32072" s="7" t="n">
        <v>46.4099998474121</v>
      </c>
      <c r="H32072" s="7" t="n">
        <v>0</v>
      </c>
    </row>
    <row r="32073" spans="1:10">
      <c r="A32073" t="s">
        <v>4</v>
      </c>
      <c r="B32073" s="4" t="s">
        <v>5</v>
      </c>
      <c r="C32073" s="4" t="s">
        <v>7</v>
      </c>
      <c r="D32073" s="4" t="s">
        <v>7</v>
      </c>
      <c r="E32073" s="4" t="s">
        <v>13</v>
      </c>
      <c r="F32073" s="4" t="s">
        <v>13</v>
      </c>
      <c r="G32073" s="4" t="s">
        <v>13</v>
      </c>
      <c r="H32073" s="4" t="s">
        <v>11</v>
      </c>
      <c r="I32073" s="4" t="s">
        <v>7</v>
      </c>
    </row>
    <row r="32074" spans="1:10">
      <c r="A32074" t="n">
        <v>313433</v>
      </c>
      <c r="B32074" s="51" t="n">
        <v>45</v>
      </c>
      <c r="C32074" s="7" t="n">
        <v>4</v>
      </c>
      <c r="D32074" s="7" t="n">
        <v>3</v>
      </c>
      <c r="E32074" s="7" t="n">
        <v>6.15000009536743</v>
      </c>
      <c r="F32074" s="7" t="n">
        <v>341.170013427734</v>
      </c>
      <c r="G32074" s="7" t="n">
        <v>0</v>
      </c>
      <c r="H32074" s="7" t="n">
        <v>0</v>
      </c>
      <c r="I32074" s="7" t="n">
        <v>0</v>
      </c>
    </row>
    <row r="32075" spans="1:10">
      <c r="A32075" t="s">
        <v>4</v>
      </c>
      <c r="B32075" s="4" t="s">
        <v>5</v>
      </c>
      <c r="C32075" s="4" t="s">
        <v>7</v>
      </c>
      <c r="D32075" s="4" t="s">
        <v>7</v>
      </c>
      <c r="E32075" s="4" t="s">
        <v>13</v>
      </c>
      <c r="F32075" s="4" t="s">
        <v>11</v>
      </c>
    </row>
    <row r="32076" spans="1:10">
      <c r="A32076" t="n">
        <v>313451</v>
      </c>
      <c r="B32076" s="51" t="n">
        <v>45</v>
      </c>
      <c r="C32076" s="7" t="n">
        <v>5</v>
      </c>
      <c r="D32076" s="7" t="n">
        <v>3</v>
      </c>
      <c r="E32076" s="7" t="n">
        <v>7.19999980926514</v>
      </c>
      <c r="F32076" s="7" t="n">
        <v>0</v>
      </c>
    </row>
    <row r="32077" spans="1:10">
      <c r="A32077" t="s">
        <v>4</v>
      </c>
      <c r="B32077" s="4" t="s">
        <v>5</v>
      </c>
      <c r="C32077" s="4" t="s">
        <v>7</v>
      </c>
      <c r="D32077" s="4" t="s">
        <v>7</v>
      </c>
      <c r="E32077" s="4" t="s">
        <v>13</v>
      </c>
      <c r="F32077" s="4" t="s">
        <v>11</v>
      </c>
    </row>
    <row r="32078" spans="1:10">
      <c r="A32078" t="n">
        <v>313460</v>
      </c>
      <c r="B32078" s="51" t="n">
        <v>45</v>
      </c>
      <c r="C32078" s="7" t="n">
        <v>11</v>
      </c>
      <c r="D32078" s="7" t="n">
        <v>3</v>
      </c>
      <c r="E32078" s="7" t="n">
        <v>34</v>
      </c>
      <c r="F32078" s="7" t="n">
        <v>0</v>
      </c>
    </row>
    <row r="32079" spans="1:10">
      <c r="A32079" t="s">
        <v>4</v>
      </c>
      <c r="B32079" s="4" t="s">
        <v>5</v>
      </c>
      <c r="C32079" s="4" t="s">
        <v>7</v>
      </c>
      <c r="D32079" s="4" t="s">
        <v>7</v>
      </c>
      <c r="E32079" s="4" t="s">
        <v>13</v>
      </c>
      <c r="F32079" s="4" t="s">
        <v>13</v>
      </c>
      <c r="G32079" s="4" t="s">
        <v>13</v>
      </c>
      <c r="H32079" s="4" t="s">
        <v>11</v>
      </c>
    </row>
    <row r="32080" spans="1:10">
      <c r="A32080" t="n">
        <v>313469</v>
      </c>
      <c r="B32080" s="51" t="n">
        <v>45</v>
      </c>
      <c r="C32080" s="7" t="n">
        <v>2</v>
      </c>
      <c r="D32080" s="7" t="n">
        <v>3</v>
      </c>
      <c r="E32080" s="7" t="n">
        <v>-7.32999992370605</v>
      </c>
      <c r="F32080" s="7" t="n">
        <v>6.19000005722046</v>
      </c>
      <c r="G32080" s="7" t="n">
        <v>41.7200012207031</v>
      </c>
      <c r="H32080" s="7" t="n">
        <v>6000</v>
      </c>
    </row>
    <row r="32081" spans="1:9">
      <c r="A32081" t="s">
        <v>4</v>
      </c>
      <c r="B32081" s="4" t="s">
        <v>5</v>
      </c>
      <c r="C32081" s="4" t="s">
        <v>7</v>
      </c>
      <c r="D32081" s="4" t="s">
        <v>7</v>
      </c>
      <c r="E32081" s="4" t="s">
        <v>13</v>
      </c>
      <c r="F32081" s="4" t="s">
        <v>13</v>
      </c>
      <c r="G32081" s="4" t="s">
        <v>13</v>
      </c>
      <c r="H32081" s="4" t="s">
        <v>11</v>
      </c>
      <c r="I32081" s="4" t="s">
        <v>7</v>
      </c>
    </row>
    <row r="32082" spans="1:9">
      <c r="A32082" t="n">
        <v>313486</v>
      </c>
      <c r="B32082" s="51" t="n">
        <v>45</v>
      </c>
      <c r="C32082" s="7" t="n">
        <v>4</v>
      </c>
      <c r="D32082" s="7" t="n">
        <v>3</v>
      </c>
      <c r="E32082" s="7" t="n">
        <v>359.339996337891</v>
      </c>
      <c r="F32082" s="7" t="n">
        <v>350.609985351563</v>
      </c>
      <c r="G32082" s="7" t="n">
        <v>0</v>
      </c>
      <c r="H32082" s="7" t="n">
        <v>6000</v>
      </c>
      <c r="I32082" s="7" t="n">
        <v>1</v>
      </c>
    </row>
    <row r="32083" spans="1:9">
      <c r="A32083" t="s">
        <v>4</v>
      </c>
      <c r="B32083" s="4" t="s">
        <v>5</v>
      </c>
      <c r="C32083" s="4" t="s">
        <v>7</v>
      </c>
      <c r="D32083" s="4" t="s">
        <v>7</v>
      </c>
      <c r="E32083" s="4" t="s">
        <v>13</v>
      </c>
      <c r="F32083" s="4" t="s">
        <v>11</v>
      </c>
    </row>
    <row r="32084" spans="1:9">
      <c r="A32084" t="n">
        <v>313504</v>
      </c>
      <c r="B32084" s="51" t="n">
        <v>45</v>
      </c>
      <c r="C32084" s="7" t="n">
        <v>5</v>
      </c>
      <c r="D32084" s="7" t="n">
        <v>3</v>
      </c>
      <c r="E32084" s="7" t="n">
        <v>3.79999995231628</v>
      </c>
      <c r="F32084" s="7" t="n">
        <v>6000</v>
      </c>
    </row>
    <row r="32085" spans="1:9">
      <c r="A32085" t="s">
        <v>4</v>
      </c>
      <c r="B32085" s="4" t="s">
        <v>5</v>
      </c>
      <c r="C32085" s="4" t="s">
        <v>7</v>
      </c>
      <c r="D32085" s="4" t="s">
        <v>11</v>
      </c>
      <c r="E32085" s="4" t="s">
        <v>13</v>
      </c>
    </row>
    <row r="32086" spans="1:9">
      <c r="A32086" t="n">
        <v>313513</v>
      </c>
      <c r="B32086" s="23" t="n">
        <v>58</v>
      </c>
      <c r="C32086" s="7" t="n">
        <v>100</v>
      </c>
      <c r="D32086" s="7" t="n">
        <v>1000</v>
      </c>
      <c r="E32086" s="7" t="n">
        <v>1</v>
      </c>
    </row>
    <row r="32087" spans="1:9">
      <c r="A32087" t="s">
        <v>4</v>
      </c>
      <c r="B32087" s="4" t="s">
        <v>5</v>
      </c>
      <c r="C32087" s="4" t="s">
        <v>7</v>
      </c>
      <c r="D32087" s="4" t="s">
        <v>11</v>
      </c>
    </row>
    <row r="32088" spans="1:9">
      <c r="A32088" t="n">
        <v>313521</v>
      </c>
      <c r="B32088" s="23" t="n">
        <v>58</v>
      </c>
      <c r="C32088" s="7" t="n">
        <v>255</v>
      </c>
      <c r="D32088" s="7" t="n">
        <v>0</v>
      </c>
    </row>
    <row r="32089" spans="1:9">
      <c r="A32089" t="s">
        <v>4</v>
      </c>
      <c r="B32089" s="4" t="s">
        <v>5</v>
      </c>
      <c r="C32089" s="4" t="s">
        <v>11</v>
      </c>
    </row>
    <row r="32090" spans="1:9">
      <c r="A32090" t="n">
        <v>313525</v>
      </c>
      <c r="B32090" s="29" t="n">
        <v>16</v>
      </c>
      <c r="C32090" s="7" t="n">
        <v>1500</v>
      </c>
    </row>
    <row r="32091" spans="1:9">
      <c r="A32091" t="s">
        <v>4</v>
      </c>
      <c r="B32091" s="4" t="s">
        <v>5</v>
      </c>
      <c r="C32091" s="4" t="s">
        <v>11</v>
      </c>
      <c r="D32091" s="4" t="s">
        <v>7</v>
      </c>
      <c r="E32091" s="4" t="s">
        <v>13</v>
      </c>
      <c r="F32091" s="4" t="s">
        <v>11</v>
      </c>
    </row>
    <row r="32092" spans="1:9">
      <c r="A32092" t="n">
        <v>313528</v>
      </c>
      <c r="B32092" s="56" t="n">
        <v>59</v>
      </c>
      <c r="C32092" s="7" t="n">
        <v>13</v>
      </c>
      <c r="D32092" s="7" t="n">
        <v>9</v>
      </c>
      <c r="E32092" s="7" t="n">
        <v>0.150000005960464</v>
      </c>
      <c r="F32092" s="7" t="n">
        <v>0</v>
      </c>
    </row>
    <row r="32093" spans="1:9">
      <c r="A32093" t="s">
        <v>4</v>
      </c>
      <c r="B32093" s="4" t="s">
        <v>5</v>
      </c>
      <c r="C32093" s="4" t="s">
        <v>11</v>
      </c>
      <c r="D32093" s="4" t="s">
        <v>13</v>
      </c>
      <c r="E32093" s="4" t="s">
        <v>13</v>
      </c>
      <c r="F32093" s="4" t="s">
        <v>13</v>
      </c>
      <c r="G32093" s="4" t="s">
        <v>11</v>
      </c>
      <c r="H32093" s="4" t="s">
        <v>11</v>
      </c>
    </row>
    <row r="32094" spans="1:9">
      <c r="A32094" t="n">
        <v>313538</v>
      </c>
      <c r="B32094" s="37" t="n">
        <v>60</v>
      </c>
      <c r="C32094" s="7" t="n">
        <v>13</v>
      </c>
      <c r="D32094" s="7" t="n">
        <v>-45</v>
      </c>
      <c r="E32094" s="7" t="n">
        <v>0</v>
      </c>
      <c r="F32094" s="7" t="n">
        <v>0</v>
      </c>
      <c r="G32094" s="7" t="n">
        <v>1000</v>
      </c>
      <c r="H32094" s="7" t="n">
        <v>0</v>
      </c>
    </row>
    <row r="32095" spans="1:9">
      <c r="A32095" t="s">
        <v>4</v>
      </c>
      <c r="B32095" s="4" t="s">
        <v>5</v>
      </c>
      <c r="C32095" s="4" t="s">
        <v>11</v>
      </c>
    </row>
    <row r="32096" spans="1:9">
      <c r="A32096" t="n">
        <v>313557</v>
      </c>
      <c r="B32096" s="29" t="n">
        <v>16</v>
      </c>
      <c r="C32096" s="7" t="n">
        <v>1000</v>
      </c>
    </row>
    <row r="32097" spans="1:9">
      <c r="A32097" t="s">
        <v>4</v>
      </c>
      <c r="B32097" s="4" t="s">
        <v>5</v>
      </c>
      <c r="C32097" s="4" t="s">
        <v>11</v>
      </c>
      <c r="D32097" s="4" t="s">
        <v>13</v>
      </c>
      <c r="E32097" s="4" t="s">
        <v>13</v>
      </c>
      <c r="F32097" s="4" t="s">
        <v>13</v>
      </c>
      <c r="G32097" s="4" t="s">
        <v>11</v>
      </c>
      <c r="H32097" s="4" t="s">
        <v>11</v>
      </c>
    </row>
    <row r="32098" spans="1:9">
      <c r="A32098" t="n">
        <v>313560</v>
      </c>
      <c r="B32098" s="37" t="n">
        <v>60</v>
      </c>
      <c r="C32098" s="7" t="n">
        <v>13</v>
      </c>
      <c r="D32098" s="7" t="n">
        <v>45</v>
      </c>
      <c r="E32098" s="7" t="n">
        <v>0</v>
      </c>
      <c r="F32098" s="7" t="n">
        <v>0</v>
      </c>
      <c r="G32098" s="7" t="n">
        <v>1000</v>
      </c>
      <c r="H32098" s="7" t="n">
        <v>0</v>
      </c>
    </row>
    <row r="32099" spans="1:9">
      <c r="A32099" t="s">
        <v>4</v>
      </c>
      <c r="B32099" s="4" t="s">
        <v>5</v>
      </c>
      <c r="C32099" s="4" t="s">
        <v>11</v>
      </c>
    </row>
    <row r="32100" spans="1:9">
      <c r="A32100" t="n">
        <v>313579</v>
      </c>
      <c r="B32100" s="29" t="n">
        <v>16</v>
      </c>
      <c r="C32100" s="7" t="n">
        <v>1000</v>
      </c>
    </row>
    <row r="32101" spans="1:9">
      <c r="A32101" t="s">
        <v>4</v>
      </c>
      <c r="B32101" s="4" t="s">
        <v>5</v>
      </c>
      <c r="C32101" s="4" t="s">
        <v>11</v>
      </c>
      <c r="D32101" s="4" t="s">
        <v>13</v>
      </c>
      <c r="E32101" s="4" t="s">
        <v>13</v>
      </c>
      <c r="F32101" s="4" t="s">
        <v>13</v>
      </c>
      <c r="G32101" s="4" t="s">
        <v>11</v>
      </c>
      <c r="H32101" s="4" t="s">
        <v>11</v>
      </c>
    </row>
    <row r="32102" spans="1:9">
      <c r="A32102" t="n">
        <v>313582</v>
      </c>
      <c r="B32102" s="37" t="n">
        <v>60</v>
      </c>
      <c r="C32102" s="7" t="n">
        <v>13</v>
      </c>
      <c r="D32102" s="7" t="n">
        <v>0</v>
      </c>
      <c r="E32102" s="7" t="n">
        <v>0</v>
      </c>
      <c r="F32102" s="7" t="n">
        <v>0</v>
      </c>
      <c r="G32102" s="7" t="n">
        <v>500</v>
      </c>
      <c r="H32102" s="7" t="n">
        <v>0</v>
      </c>
    </row>
    <row r="32103" spans="1:9">
      <c r="A32103" t="s">
        <v>4</v>
      </c>
      <c r="B32103" s="4" t="s">
        <v>5</v>
      </c>
      <c r="C32103" s="4" t="s">
        <v>11</v>
      </c>
    </row>
    <row r="32104" spans="1:9">
      <c r="A32104" t="n">
        <v>313601</v>
      </c>
      <c r="B32104" s="29" t="n">
        <v>16</v>
      </c>
      <c r="C32104" s="7" t="n">
        <v>1000</v>
      </c>
    </row>
    <row r="32105" spans="1:9">
      <c r="A32105" t="s">
        <v>4</v>
      </c>
      <c r="B32105" s="4" t="s">
        <v>5</v>
      </c>
      <c r="C32105" s="4" t="s">
        <v>7</v>
      </c>
      <c r="D32105" s="4" t="s">
        <v>11</v>
      </c>
    </row>
    <row r="32106" spans="1:9">
      <c r="A32106" t="n">
        <v>313604</v>
      </c>
      <c r="B32106" s="51" t="n">
        <v>45</v>
      </c>
      <c r="C32106" s="7" t="n">
        <v>7</v>
      </c>
      <c r="D32106" s="7" t="n">
        <v>255</v>
      </c>
    </row>
    <row r="32107" spans="1:9">
      <c r="A32107" t="s">
        <v>4</v>
      </c>
      <c r="B32107" s="4" t="s">
        <v>5</v>
      </c>
      <c r="C32107" s="4" t="s">
        <v>7</v>
      </c>
      <c r="D32107" s="4" t="s">
        <v>11</v>
      </c>
      <c r="E32107" s="4" t="s">
        <v>13</v>
      </c>
    </row>
    <row r="32108" spans="1:9">
      <c r="A32108" t="n">
        <v>313608</v>
      </c>
      <c r="B32108" s="23" t="n">
        <v>58</v>
      </c>
      <c r="C32108" s="7" t="n">
        <v>0</v>
      </c>
      <c r="D32108" s="7" t="n">
        <v>1000</v>
      </c>
      <c r="E32108" s="7" t="n">
        <v>1</v>
      </c>
    </row>
    <row r="32109" spans="1:9">
      <c r="A32109" t="s">
        <v>4</v>
      </c>
      <c r="B32109" s="4" t="s">
        <v>5</v>
      </c>
      <c r="C32109" s="4" t="s">
        <v>7</v>
      </c>
      <c r="D32109" s="4" t="s">
        <v>11</v>
      </c>
    </row>
    <row r="32110" spans="1:9">
      <c r="A32110" t="n">
        <v>313616</v>
      </c>
      <c r="B32110" s="23" t="n">
        <v>58</v>
      </c>
      <c r="C32110" s="7" t="n">
        <v>255</v>
      </c>
      <c r="D32110" s="7" t="n">
        <v>0</v>
      </c>
    </row>
    <row r="32111" spans="1:9">
      <c r="A32111" t="s">
        <v>4</v>
      </c>
      <c r="B32111" s="4" t="s">
        <v>5</v>
      </c>
      <c r="C32111" s="4" t="s">
        <v>11</v>
      </c>
      <c r="D32111" s="4" t="s">
        <v>11</v>
      </c>
      <c r="E32111" s="4" t="s">
        <v>11</v>
      </c>
    </row>
    <row r="32112" spans="1:9">
      <c r="A32112" t="n">
        <v>313620</v>
      </c>
      <c r="B32112" s="72" t="n">
        <v>61</v>
      </c>
      <c r="C32112" s="7" t="n">
        <v>0</v>
      </c>
      <c r="D32112" s="7" t="n">
        <v>65533</v>
      </c>
      <c r="E32112" s="7" t="n">
        <v>1000</v>
      </c>
    </row>
    <row r="32113" spans="1:8">
      <c r="A32113" t="s">
        <v>4</v>
      </c>
      <c r="B32113" s="4" t="s">
        <v>5</v>
      </c>
      <c r="C32113" s="4" t="s">
        <v>11</v>
      </c>
      <c r="D32113" s="4" t="s">
        <v>11</v>
      </c>
      <c r="E32113" s="4" t="s">
        <v>11</v>
      </c>
    </row>
    <row r="32114" spans="1:8">
      <c r="A32114" t="n">
        <v>313627</v>
      </c>
      <c r="B32114" s="72" t="n">
        <v>61</v>
      </c>
      <c r="C32114" s="7" t="n">
        <v>13</v>
      </c>
      <c r="D32114" s="7" t="n">
        <v>65533</v>
      </c>
      <c r="E32114" s="7" t="n">
        <v>1000</v>
      </c>
    </row>
    <row r="32115" spans="1:8">
      <c r="A32115" t="s">
        <v>4</v>
      </c>
      <c r="B32115" s="4" t="s">
        <v>5</v>
      </c>
      <c r="C32115" s="4" t="s">
        <v>11</v>
      </c>
      <c r="D32115" s="4" t="s">
        <v>13</v>
      </c>
      <c r="E32115" s="4" t="s">
        <v>13</v>
      </c>
      <c r="F32115" s="4" t="s">
        <v>13</v>
      </c>
      <c r="G32115" s="4" t="s">
        <v>13</v>
      </c>
    </row>
    <row r="32116" spans="1:8">
      <c r="A32116" t="n">
        <v>313634</v>
      </c>
      <c r="B32116" s="36" t="n">
        <v>46</v>
      </c>
      <c r="C32116" s="7" t="n">
        <v>0</v>
      </c>
      <c r="D32116" s="7" t="n">
        <v>-2.66000008583069</v>
      </c>
      <c r="E32116" s="7" t="n">
        <v>5.01000022888184</v>
      </c>
      <c r="F32116" s="7" t="n">
        <v>32.189998626709</v>
      </c>
      <c r="G32116" s="7" t="n">
        <v>90</v>
      </c>
    </row>
    <row r="32117" spans="1:8">
      <c r="A32117" t="s">
        <v>4</v>
      </c>
      <c r="B32117" s="4" t="s">
        <v>5</v>
      </c>
      <c r="C32117" s="4" t="s">
        <v>11</v>
      </c>
      <c r="D32117" s="4" t="s">
        <v>13</v>
      </c>
      <c r="E32117" s="4" t="s">
        <v>13</v>
      </c>
      <c r="F32117" s="4" t="s">
        <v>13</v>
      </c>
      <c r="G32117" s="4" t="s">
        <v>13</v>
      </c>
    </row>
    <row r="32118" spans="1:8">
      <c r="A32118" t="n">
        <v>313653</v>
      </c>
      <c r="B32118" s="36" t="n">
        <v>46</v>
      </c>
      <c r="C32118" s="7" t="n">
        <v>13</v>
      </c>
      <c r="D32118" s="7" t="n">
        <v>-3.16000008583069</v>
      </c>
      <c r="E32118" s="7" t="n">
        <v>5.01000022888184</v>
      </c>
      <c r="F32118" s="7" t="n">
        <v>31.7900009155273</v>
      </c>
      <c r="G32118" s="7" t="n">
        <v>90</v>
      </c>
    </row>
    <row r="32119" spans="1:8">
      <c r="A32119" t="s">
        <v>4</v>
      </c>
      <c r="B32119" s="4" t="s">
        <v>5</v>
      </c>
      <c r="C32119" s="4" t="s">
        <v>7</v>
      </c>
      <c r="D32119" s="4" t="s">
        <v>7</v>
      </c>
      <c r="E32119" s="4" t="s">
        <v>13</v>
      </c>
      <c r="F32119" s="4" t="s">
        <v>13</v>
      </c>
      <c r="G32119" s="4" t="s">
        <v>13</v>
      </c>
      <c r="H32119" s="4" t="s">
        <v>11</v>
      </c>
    </row>
    <row r="32120" spans="1:8">
      <c r="A32120" t="n">
        <v>313672</v>
      </c>
      <c r="B32120" s="51" t="n">
        <v>45</v>
      </c>
      <c r="C32120" s="7" t="n">
        <v>2</v>
      </c>
      <c r="D32120" s="7" t="n">
        <v>3</v>
      </c>
      <c r="E32120" s="7" t="n">
        <v>6.82000017166138</v>
      </c>
      <c r="F32120" s="7" t="n">
        <v>6.17999982833862</v>
      </c>
      <c r="G32120" s="7" t="n">
        <v>32.2799987792969</v>
      </c>
      <c r="H32120" s="7" t="n">
        <v>0</v>
      </c>
    </row>
    <row r="32121" spans="1:8">
      <c r="A32121" t="s">
        <v>4</v>
      </c>
      <c r="B32121" s="4" t="s">
        <v>5</v>
      </c>
      <c r="C32121" s="4" t="s">
        <v>7</v>
      </c>
      <c r="D32121" s="4" t="s">
        <v>7</v>
      </c>
      <c r="E32121" s="4" t="s">
        <v>13</v>
      </c>
      <c r="F32121" s="4" t="s">
        <v>13</v>
      </c>
      <c r="G32121" s="4" t="s">
        <v>13</v>
      </c>
      <c r="H32121" s="4" t="s">
        <v>11</v>
      </c>
      <c r="I32121" s="4" t="s">
        <v>7</v>
      </c>
    </row>
    <row r="32122" spans="1:8">
      <c r="A32122" t="n">
        <v>313689</v>
      </c>
      <c r="B32122" s="51" t="n">
        <v>45</v>
      </c>
      <c r="C32122" s="7" t="n">
        <v>4</v>
      </c>
      <c r="D32122" s="7" t="n">
        <v>3</v>
      </c>
      <c r="E32122" s="7" t="n">
        <v>358.239990234375</v>
      </c>
      <c r="F32122" s="7" t="n">
        <v>344.200012207031</v>
      </c>
      <c r="G32122" s="7" t="n">
        <v>0</v>
      </c>
      <c r="H32122" s="7" t="n">
        <v>0</v>
      </c>
      <c r="I32122" s="7" t="n">
        <v>0</v>
      </c>
    </row>
    <row r="32123" spans="1:8">
      <c r="A32123" t="s">
        <v>4</v>
      </c>
      <c r="B32123" s="4" t="s">
        <v>5</v>
      </c>
      <c r="C32123" s="4" t="s">
        <v>7</v>
      </c>
      <c r="D32123" s="4" t="s">
        <v>7</v>
      </c>
      <c r="E32123" s="4" t="s">
        <v>13</v>
      </c>
      <c r="F32123" s="4" t="s">
        <v>11</v>
      </c>
    </row>
    <row r="32124" spans="1:8">
      <c r="A32124" t="n">
        <v>313707</v>
      </c>
      <c r="B32124" s="51" t="n">
        <v>45</v>
      </c>
      <c r="C32124" s="7" t="n">
        <v>5</v>
      </c>
      <c r="D32124" s="7" t="n">
        <v>3</v>
      </c>
      <c r="E32124" s="7" t="n">
        <v>3.40000009536743</v>
      </c>
      <c r="F32124" s="7" t="n">
        <v>0</v>
      </c>
    </row>
    <row r="32125" spans="1:8">
      <c r="A32125" t="s">
        <v>4</v>
      </c>
      <c r="B32125" s="4" t="s">
        <v>5</v>
      </c>
      <c r="C32125" s="4" t="s">
        <v>7</v>
      </c>
      <c r="D32125" s="4" t="s">
        <v>7</v>
      </c>
      <c r="E32125" s="4" t="s">
        <v>13</v>
      </c>
      <c r="F32125" s="4" t="s">
        <v>11</v>
      </c>
    </row>
    <row r="32126" spans="1:8">
      <c r="A32126" t="n">
        <v>313716</v>
      </c>
      <c r="B32126" s="51" t="n">
        <v>45</v>
      </c>
      <c r="C32126" s="7" t="n">
        <v>11</v>
      </c>
      <c r="D32126" s="7" t="n">
        <v>3</v>
      </c>
      <c r="E32126" s="7" t="n">
        <v>40.2999992370605</v>
      </c>
      <c r="F32126" s="7" t="n">
        <v>0</v>
      </c>
    </row>
    <row r="32127" spans="1:8">
      <c r="A32127" t="s">
        <v>4</v>
      </c>
      <c r="B32127" s="4" t="s">
        <v>5</v>
      </c>
      <c r="C32127" s="4" t="s">
        <v>7</v>
      </c>
      <c r="D32127" s="4" t="s">
        <v>7</v>
      </c>
      <c r="E32127" s="4" t="s">
        <v>13</v>
      </c>
      <c r="F32127" s="4" t="s">
        <v>13</v>
      </c>
      <c r="G32127" s="4" t="s">
        <v>13</v>
      </c>
      <c r="H32127" s="4" t="s">
        <v>11</v>
      </c>
    </row>
    <row r="32128" spans="1:8">
      <c r="A32128" t="n">
        <v>313725</v>
      </c>
      <c r="B32128" s="51" t="n">
        <v>45</v>
      </c>
      <c r="C32128" s="7" t="n">
        <v>2</v>
      </c>
      <c r="D32128" s="7" t="n">
        <v>3</v>
      </c>
      <c r="E32128" s="7" t="n">
        <v>-2.55999994277954</v>
      </c>
      <c r="F32128" s="7" t="n">
        <v>6.17999982833862</v>
      </c>
      <c r="G32128" s="7" t="n">
        <v>32.1800003051758</v>
      </c>
      <c r="H32128" s="7" t="n">
        <v>6000</v>
      </c>
    </row>
    <row r="32129" spans="1:9">
      <c r="A32129" t="s">
        <v>4</v>
      </c>
      <c r="B32129" s="4" t="s">
        <v>5</v>
      </c>
      <c r="C32129" s="4" t="s">
        <v>7</v>
      </c>
      <c r="D32129" s="4" t="s">
        <v>7</v>
      </c>
      <c r="E32129" s="4" t="s">
        <v>13</v>
      </c>
      <c r="F32129" s="4" t="s">
        <v>13</v>
      </c>
      <c r="G32129" s="4" t="s">
        <v>13</v>
      </c>
      <c r="H32129" s="4" t="s">
        <v>11</v>
      </c>
      <c r="I32129" s="4" t="s">
        <v>7</v>
      </c>
    </row>
    <row r="32130" spans="1:9">
      <c r="A32130" t="n">
        <v>313742</v>
      </c>
      <c r="B32130" s="51" t="n">
        <v>45</v>
      </c>
      <c r="C32130" s="7" t="n">
        <v>4</v>
      </c>
      <c r="D32130" s="7" t="n">
        <v>3</v>
      </c>
      <c r="E32130" s="7" t="n">
        <v>12.2700004577637</v>
      </c>
      <c r="F32130" s="7" t="n">
        <v>75.7099990844727</v>
      </c>
      <c r="G32130" s="7" t="n">
        <v>0</v>
      </c>
      <c r="H32130" s="7" t="n">
        <v>6000</v>
      </c>
      <c r="I32130" s="7" t="n">
        <v>1</v>
      </c>
    </row>
    <row r="32131" spans="1:9">
      <c r="A32131" t="s">
        <v>4</v>
      </c>
      <c r="B32131" s="4" t="s">
        <v>5</v>
      </c>
      <c r="C32131" s="4" t="s">
        <v>7</v>
      </c>
      <c r="D32131" s="4" t="s">
        <v>7</v>
      </c>
      <c r="E32131" s="4" t="s">
        <v>13</v>
      </c>
      <c r="F32131" s="4" t="s">
        <v>11</v>
      </c>
    </row>
    <row r="32132" spans="1:9">
      <c r="A32132" t="n">
        <v>313760</v>
      </c>
      <c r="B32132" s="51" t="n">
        <v>45</v>
      </c>
      <c r="C32132" s="7" t="n">
        <v>5</v>
      </c>
      <c r="D32132" s="7" t="n">
        <v>3</v>
      </c>
      <c r="E32132" s="7" t="n">
        <v>2.70000004768372</v>
      </c>
      <c r="F32132" s="7" t="n">
        <v>6000</v>
      </c>
    </row>
    <row r="32133" spans="1:9">
      <c r="A32133" t="s">
        <v>4</v>
      </c>
      <c r="B32133" s="4" t="s">
        <v>5</v>
      </c>
      <c r="C32133" s="4" t="s">
        <v>7</v>
      </c>
      <c r="D32133" s="4" t="s">
        <v>11</v>
      </c>
      <c r="E32133" s="4" t="s">
        <v>13</v>
      </c>
    </row>
    <row r="32134" spans="1:9">
      <c r="A32134" t="n">
        <v>313769</v>
      </c>
      <c r="B32134" s="23" t="n">
        <v>58</v>
      </c>
      <c r="C32134" s="7" t="n">
        <v>100</v>
      </c>
      <c r="D32134" s="7" t="n">
        <v>1000</v>
      </c>
      <c r="E32134" s="7" t="n">
        <v>1</v>
      </c>
    </row>
    <row r="32135" spans="1:9">
      <c r="A32135" t="s">
        <v>4</v>
      </c>
      <c r="B32135" s="4" t="s">
        <v>5</v>
      </c>
      <c r="C32135" s="4" t="s">
        <v>7</v>
      </c>
      <c r="D32135" s="4" t="s">
        <v>11</v>
      </c>
    </row>
    <row r="32136" spans="1:9">
      <c r="A32136" t="n">
        <v>313777</v>
      </c>
      <c r="B32136" s="23" t="n">
        <v>58</v>
      </c>
      <c r="C32136" s="7" t="n">
        <v>255</v>
      </c>
      <c r="D32136" s="7" t="n">
        <v>0</v>
      </c>
    </row>
    <row r="32137" spans="1:9">
      <c r="A32137" t="s">
        <v>4</v>
      </c>
      <c r="B32137" s="4" t="s">
        <v>5</v>
      </c>
      <c r="C32137" s="4" t="s">
        <v>8</v>
      </c>
      <c r="D32137" s="4" t="s">
        <v>8</v>
      </c>
    </row>
    <row r="32138" spans="1:9">
      <c r="A32138" t="n">
        <v>313781</v>
      </c>
      <c r="B32138" s="52" t="n">
        <v>70</v>
      </c>
      <c r="C32138" s="7" t="s">
        <v>24</v>
      </c>
      <c r="D32138" s="7" t="s">
        <v>109</v>
      </c>
    </row>
    <row r="32139" spans="1:9">
      <c r="A32139" t="s">
        <v>4</v>
      </c>
      <c r="B32139" s="4" t="s">
        <v>5</v>
      </c>
      <c r="C32139" s="4" t="s">
        <v>11</v>
      </c>
    </row>
    <row r="32140" spans="1:9">
      <c r="A32140" t="n">
        <v>313798</v>
      </c>
      <c r="B32140" s="29" t="n">
        <v>16</v>
      </c>
      <c r="C32140" s="7" t="n">
        <v>4000</v>
      </c>
    </row>
    <row r="32141" spans="1:9">
      <c r="A32141" t="s">
        <v>4</v>
      </c>
      <c r="B32141" s="4" t="s">
        <v>5</v>
      </c>
      <c r="C32141" s="4" t="s">
        <v>11</v>
      </c>
      <c r="D32141" s="4" t="s">
        <v>7</v>
      </c>
      <c r="E32141" s="4" t="s">
        <v>13</v>
      </c>
      <c r="F32141" s="4" t="s">
        <v>11</v>
      </c>
    </row>
    <row r="32142" spans="1:9">
      <c r="A32142" t="n">
        <v>313801</v>
      </c>
      <c r="B32142" s="56" t="n">
        <v>59</v>
      </c>
      <c r="C32142" s="7" t="n">
        <v>0</v>
      </c>
      <c r="D32142" s="7" t="n">
        <v>9</v>
      </c>
      <c r="E32142" s="7" t="n">
        <v>0.150000005960464</v>
      </c>
      <c r="F32142" s="7" t="n">
        <v>0</v>
      </c>
    </row>
    <row r="32143" spans="1:9">
      <c r="A32143" t="s">
        <v>4</v>
      </c>
      <c r="B32143" s="4" t="s">
        <v>5</v>
      </c>
      <c r="C32143" s="4" t="s">
        <v>11</v>
      </c>
    </row>
    <row r="32144" spans="1:9">
      <c r="A32144" t="n">
        <v>313811</v>
      </c>
      <c r="B32144" s="29" t="n">
        <v>16</v>
      </c>
      <c r="C32144" s="7" t="n">
        <v>1800</v>
      </c>
    </row>
    <row r="32145" spans="1:9">
      <c r="A32145" t="s">
        <v>4</v>
      </c>
      <c r="B32145" s="4" t="s">
        <v>5</v>
      </c>
      <c r="C32145" s="4" t="s">
        <v>7</v>
      </c>
      <c r="D32145" s="4" t="s">
        <v>11</v>
      </c>
    </row>
    <row r="32146" spans="1:9">
      <c r="A32146" t="n">
        <v>313814</v>
      </c>
      <c r="B32146" s="51" t="n">
        <v>45</v>
      </c>
      <c r="C32146" s="7" t="n">
        <v>7</v>
      </c>
      <c r="D32146" s="7" t="n">
        <v>255</v>
      </c>
    </row>
    <row r="32147" spans="1:9">
      <c r="A32147" t="s">
        <v>4</v>
      </c>
      <c r="B32147" s="4" t="s">
        <v>5</v>
      </c>
      <c r="C32147" s="4" t="s">
        <v>7</v>
      </c>
      <c r="D32147" s="4" t="s">
        <v>11</v>
      </c>
      <c r="E32147" s="4" t="s">
        <v>13</v>
      </c>
    </row>
    <row r="32148" spans="1:9">
      <c r="A32148" t="n">
        <v>313818</v>
      </c>
      <c r="B32148" s="23" t="n">
        <v>58</v>
      </c>
      <c r="C32148" s="7" t="n">
        <v>0</v>
      </c>
      <c r="D32148" s="7" t="n">
        <v>1000</v>
      </c>
      <c r="E32148" s="7" t="n">
        <v>1</v>
      </c>
    </row>
    <row r="32149" spans="1:9">
      <c r="A32149" t="s">
        <v>4</v>
      </c>
      <c r="B32149" s="4" t="s">
        <v>5</v>
      </c>
      <c r="C32149" s="4" t="s">
        <v>7</v>
      </c>
      <c r="D32149" s="4" t="s">
        <v>11</v>
      </c>
    </row>
    <row r="32150" spans="1:9">
      <c r="A32150" t="n">
        <v>313826</v>
      </c>
      <c r="B32150" s="23" t="n">
        <v>58</v>
      </c>
      <c r="C32150" s="7" t="n">
        <v>255</v>
      </c>
      <c r="D32150" s="7" t="n">
        <v>0</v>
      </c>
    </row>
    <row r="32151" spans="1:9">
      <c r="A32151" t="s">
        <v>4</v>
      </c>
      <c r="B32151" s="4" t="s">
        <v>5</v>
      </c>
      <c r="C32151" s="4" t="s">
        <v>8</v>
      </c>
      <c r="D32151" s="4" t="s">
        <v>8</v>
      </c>
    </row>
    <row r="32152" spans="1:9">
      <c r="A32152" t="n">
        <v>313830</v>
      </c>
      <c r="B32152" s="52" t="n">
        <v>70</v>
      </c>
      <c r="C32152" s="7" t="s">
        <v>24</v>
      </c>
      <c r="D32152" s="7" t="s">
        <v>118</v>
      </c>
    </row>
    <row r="32153" spans="1:9">
      <c r="A32153" t="s">
        <v>4</v>
      </c>
      <c r="B32153" s="4" t="s">
        <v>5</v>
      </c>
      <c r="C32153" s="4" t="s">
        <v>11</v>
      </c>
      <c r="D32153" s="4" t="s">
        <v>13</v>
      </c>
      <c r="E32153" s="4" t="s">
        <v>13</v>
      </c>
      <c r="F32153" s="4" t="s">
        <v>13</v>
      </c>
      <c r="G32153" s="4" t="s">
        <v>13</v>
      </c>
    </row>
    <row r="32154" spans="1:9">
      <c r="A32154" t="n">
        <v>313846</v>
      </c>
      <c r="B32154" s="36" t="n">
        <v>46</v>
      </c>
      <c r="C32154" s="7" t="n">
        <v>0</v>
      </c>
      <c r="D32154" s="7" t="n">
        <v>-10.9899997711182</v>
      </c>
      <c r="E32154" s="7" t="n">
        <v>5.01000022888184</v>
      </c>
      <c r="F32154" s="7" t="n">
        <v>32.4300003051758</v>
      </c>
      <c r="G32154" s="7" t="n">
        <v>270</v>
      </c>
    </row>
    <row r="32155" spans="1:9">
      <c r="A32155" t="s">
        <v>4</v>
      </c>
      <c r="B32155" s="4" t="s">
        <v>5</v>
      </c>
      <c r="C32155" s="4" t="s">
        <v>11</v>
      </c>
      <c r="D32155" s="4" t="s">
        <v>13</v>
      </c>
      <c r="E32155" s="4" t="s">
        <v>13</v>
      </c>
      <c r="F32155" s="4" t="s">
        <v>13</v>
      </c>
      <c r="G32155" s="4" t="s">
        <v>13</v>
      </c>
    </row>
    <row r="32156" spans="1:9">
      <c r="A32156" t="n">
        <v>313865</v>
      </c>
      <c r="B32156" s="36" t="n">
        <v>46</v>
      </c>
      <c r="C32156" s="7" t="n">
        <v>13</v>
      </c>
      <c r="D32156" s="7" t="n">
        <v>-10.5500001907349</v>
      </c>
      <c r="E32156" s="7" t="n">
        <v>5.01000022888184</v>
      </c>
      <c r="F32156" s="7" t="n">
        <v>31.5499992370605</v>
      </c>
      <c r="G32156" s="7" t="n">
        <v>270</v>
      </c>
    </row>
    <row r="32157" spans="1:9">
      <c r="A32157" t="s">
        <v>4</v>
      </c>
      <c r="B32157" s="4" t="s">
        <v>5</v>
      </c>
      <c r="C32157" s="4" t="s">
        <v>7</v>
      </c>
      <c r="D32157" s="4" t="s">
        <v>7</v>
      </c>
      <c r="E32157" s="4" t="s">
        <v>13</v>
      </c>
      <c r="F32157" s="4" t="s">
        <v>13</v>
      </c>
      <c r="G32157" s="4" t="s">
        <v>13</v>
      </c>
      <c r="H32157" s="4" t="s">
        <v>11</v>
      </c>
    </row>
    <row r="32158" spans="1:9">
      <c r="A32158" t="n">
        <v>313884</v>
      </c>
      <c r="B32158" s="51" t="n">
        <v>45</v>
      </c>
      <c r="C32158" s="7" t="n">
        <v>2</v>
      </c>
      <c r="D32158" s="7" t="n">
        <v>3</v>
      </c>
      <c r="E32158" s="7" t="n">
        <v>-14.1199998855591</v>
      </c>
      <c r="F32158" s="7" t="n">
        <v>6.75</v>
      </c>
      <c r="G32158" s="7" t="n">
        <v>31.9300003051758</v>
      </c>
      <c r="H32158" s="7" t="n">
        <v>0</v>
      </c>
    </row>
    <row r="32159" spans="1:9">
      <c r="A32159" t="s">
        <v>4</v>
      </c>
      <c r="B32159" s="4" t="s">
        <v>5</v>
      </c>
      <c r="C32159" s="4" t="s">
        <v>7</v>
      </c>
      <c r="D32159" s="4" t="s">
        <v>7</v>
      </c>
      <c r="E32159" s="4" t="s">
        <v>13</v>
      </c>
      <c r="F32159" s="4" t="s">
        <v>13</v>
      </c>
      <c r="G32159" s="4" t="s">
        <v>13</v>
      </c>
      <c r="H32159" s="4" t="s">
        <v>11</v>
      </c>
      <c r="I32159" s="4" t="s">
        <v>7</v>
      </c>
    </row>
    <row r="32160" spans="1:9">
      <c r="A32160" t="n">
        <v>313901</v>
      </c>
      <c r="B32160" s="51" t="n">
        <v>45</v>
      </c>
      <c r="C32160" s="7" t="n">
        <v>4</v>
      </c>
      <c r="D32160" s="7" t="n">
        <v>3</v>
      </c>
      <c r="E32160" s="7" t="n">
        <v>7.63000011444092</v>
      </c>
      <c r="F32160" s="7" t="n">
        <v>90</v>
      </c>
      <c r="G32160" s="7" t="n">
        <v>0</v>
      </c>
      <c r="H32160" s="7" t="n">
        <v>0</v>
      </c>
      <c r="I32160" s="7" t="n">
        <v>0</v>
      </c>
    </row>
    <row r="32161" spans="1:9">
      <c r="A32161" t="s">
        <v>4</v>
      </c>
      <c r="B32161" s="4" t="s">
        <v>5</v>
      </c>
      <c r="C32161" s="4" t="s">
        <v>7</v>
      </c>
      <c r="D32161" s="4" t="s">
        <v>7</v>
      </c>
      <c r="E32161" s="4" t="s">
        <v>13</v>
      </c>
      <c r="F32161" s="4" t="s">
        <v>11</v>
      </c>
    </row>
    <row r="32162" spans="1:9">
      <c r="A32162" t="n">
        <v>313919</v>
      </c>
      <c r="B32162" s="51" t="n">
        <v>45</v>
      </c>
      <c r="C32162" s="7" t="n">
        <v>5</v>
      </c>
      <c r="D32162" s="7" t="n">
        <v>3</v>
      </c>
      <c r="E32162" s="7" t="n">
        <v>2.09999990463257</v>
      </c>
      <c r="F32162" s="7" t="n">
        <v>0</v>
      </c>
    </row>
    <row r="32163" spans="1:9">
      <c r="A32163" t="s">
        <v>4</v>
      </c>
      <c r="B32163" s="4" t="s">
        <v>5</v>
      </c>
      <c r="C32163" s="4" t="s">
        <v>7</v>
      </c>
      <c r="D32163" s="4" t="s">
        <v>7</v>
      </c>
      <c r="E32163" s="4" t="s">
        <v>13</v>
      </c>
      <c r="F32163" s="4" t="s">
        <v>11</v>
      </c>
    </row>
    <row r="32164" spans="1:9">
      <c r="A32164" t="n">
        <v>313928</v>
      </c>
      <c r="B32164" s="51" t="n">
        <v>45</v>
      </c>
      <c r="C32164" s="7" t="n">
        <v>11</v>
      </c>
      <c r="D32164" s="7" t="n">
        <v>3</v>
      </c>
      <c r="E32164" s="7" t="n">
        <v>40.2999992370605</v>
      </c>
      <c r="F32164" s="7" t="n">
        <v>0</v>
      </c>
    </row>
    <row r="32165" spans="1:9">
      <c r="A32165" t="s">
        <v>4</v>
      </c>
      <c r="B32165" s="4" t="s">
        <v>5</v>
      </c>
      <c r="C32165" s="4" t="s">
        <v>7</v>
      </c>
      <c r="D32165" s="4" t="s">
        <v>7</v>
      </c>
      <c r="E32165" s="4" t="s">
        <v>13</v>
      </c>
      <c r="F32165" s="4" t="s">
        <v>13</v>
      </c>
      <c r="G32165" s="4" t="s">
        <v>13</v>
      </c>
      <c r="H32165" s="4" t="s">
        <v>11</v>
      </c>
    </row>
    <row r="32166" spans="1:9">
      <c r="A32166" t="n">
        <v>313937</v>
      </c>
      <c r="B32166" s="51" t="n">
        <v>45</v>
      </c>
      <c r="C32166" s="7" t="n">
        <v>2</v>
      </c>
      <c r="D32166" s="7" t="n">
        <v>3</v>
      </c>
      <c r="E32166" s="7" t="n">
        <v>-9.10000038146973</v>
      </c>
      <c r="F32166" s="7" t="n">
        <v>6.75</v>
      </c>
      <c r="G32166" s="7" t="n">
        <v>31.9699993133545</v>
      </c>
      <c r="H32166" s="7" t="n">
        <v>6000</v>
      </c>
    </row>
    <row r="32167" spans="1:9">
      <c r="A32167" t="s">
        <v>4</v>
      </c>
      <c r="B32167" s="4" t="s">
        <v>5</v>
      </c>
      <c r="C32167" s="4" t="s">
        <v>7</v>
      </c>
      <c r="D32167" s="4" t="s">
        <v>7</v>
      </c>
      <c r="E32167" s="4" t="s">
        <v>13</v>
      </c>
      <c r="F32167" s="4" t="s">
        <v>13</v>
      </c>
      <c r="G32167" s="4" t="s">
        <v>13</v>
      </c>
      <c r="H32167" s="4" t="s">
        <v>11</v>
      </c>
      <c r="I32167" s="4" t="s">
        <v>7</v>
      </c>
    </row>
    <row r="32168" spans="1:9">
      <c r="A32168" t="n">
        <v>313954</v>
      </c>
      <c r="B32168" s="51" t="n">
        <v>45</v>
      </c>
      <c r="C32168" s="7" t="n">
        <v>4</v>
      </c>
      <c r="D32168" s="7" t="n">
        <v>3</v>
      </c>
      <c r="E32168" s="7" t="n">
        <v>0.0299999993294477</v>
      </c>
      <c r="F32168" s="7" t="n">
        <v>90</v>
      </c>
      <c r="G32168" s="7" t="n">
        <v>0</v>
      </c>
      <c r="H32168" s="7" t="n">
        <v>6000</v>
      </c>
      <c r="I32168" s="7" t="n">
        <v>0</v>
      </c>
    </row>
    <row r="32169" spans="1:9">
      <c r="A32169" t="s">
        <v>4</v>
      </c>
      <c r="B32169" s="4" t="s">
        <v>5</v>
      </c>
      <c r="C32169" s="4" t="s">
        <v>7</v>
      </c>
      <c r="D32169" s="4" t="s">
        <v>7</v>
      </c>
      <c r="E32169" s="4" t="s">
        <v>13</v>
      </c>
      <c r="F32169" s="4" t="s">
        <v>11</v>
      </c>
    </row>
    <row r="32170" spans="1:9">
      <c r="A32170" t="n">
        <v>313972</v>
      </c>
      <c r="B32170" s="51" t="n">
        <v>45</v>
      </c>
      <c r="C32170" s="7" t="n">
        <v>5</v>
      </c>
      <c r="D32170" s="7" t="n">
        <v>3</v>
      </c>
      <c r="E32170" s="7" t="n">
        <v>1.79999995231628</v>
      </c>
      <c r="F32170" s="7" t="n">
        <v>6000</v>
      </c>
    </row>
    <row r="32171" spans="1:9">
      <c r="A32171" t="s">
        <v>4</v>
      </c>
      <c r="B32171" s="4" t="s">
        <v>5</v>
      </c>
      <c r="C32171" s="4" t="s">
        <v>8</v>
      </c>
      <c r="D32171" s="4" t="s">
        <v>8</v>
      </c>
    </row>
    <row r="32172" spans="1:9">
      <c r="A32172" t="n">
        <v>313981</v>
      </c>
      <c r="B32172" s="52" t="n">
        <v>70</v>
      </c>
      <c r="C32172" s="7" t="s">
        <v>25</v>
      </c>
      <c r="D32172" s="7" t="s">
        <v>109</v>
      </c>
    </row>
    <row r="32173" spans="1:9">
      <c r="A32173" t="s">
        <v>4</v>
      </c>
      <c r="B32173" s="4" t="s">
        <v>5</v>
      </c>
      <c r="C32173" s="4" t="s">
        <v>7</v>
      </c>
      <c r="D32173" s="4" t="s">
        <v>11</v>
      </c>
      <c r="E32173" s="4" t="s">
        <v>13</v>
      </c>
    </row>
    <row r="32174" spans="1:9">
      <c r="A32174" t="n">
        <v>313998</v>
      </c>
      <c r="B32174" s="23" t="n">
        <v>58</v>
      </c>
      <c r="C32174" s="7" t="n">
        <v>100</v>
      </c>
      <c r="D32174" s="7" t="n">
        <v>1000</v>
      </c>
      <c r="E32174" s="7" t="n">
        <v>1</v>
      </c>
    </row>
    <row r="32175" spans="1:9">
      <c r="A32175" t="s">
        <v>4</v>
      </c>
      <c r="B32175" s="4" t="s">
        <v>5</v>
      </c>
      <c r="C32175" s="4" t="s">
        <v>7</v>
      </c>
      <c r="D32175" s="4" t="s">
        <v>11</v>
      </c>
    </row>
    <row r="32176" spans="1:9">
      <c r="A32176" t="n">
        <v>314006</v>
      </c>
      <c r="B32176" s="23" t="n">
        <v>58</v>
      </c>
      <c r="C32176" s="7" t="n">
        <v>255</v>
      </c>
      <c r="D32176" s="7" t="n">
        <v>0</v>
      </c>
    </row>
    <row r="32177" spans="1:9">
      <c r="A32177" t="s">
        <v>4</v>
      </c>
      <c r="B32177" s="4" t="s">
        <v>5</v>
      </c>
      <c r="C32177" s="4" t="s">
        <v>7</v>
      </c>
      <c r="D32177" s="4" t="s">
        <v>8</v>
      </c>
      <c r="E32177" s="4" t="s">
        <v>11</v>
      </c>
    </row>
    <row r="32178" spans="1:9">
      <c r="A32178" t="n">
        <v>314010</v>
      </c>
      <c r="B32178" s="15" t="n">
        <v>94</v>
      </c>
      <c r="C32178" s="7" t="n">
        <v>1</v>
      </c>
      <c r="D32178" s="7" t="s">
        <v>25</v>
      </c>
      <c r="E32178" s="7" t="n">
        <v>512</v>
      </c>
    </row>
    <row r="32179" spans="1:9">
      <c r="A32179" t="s">
        <v>4</v>
      </c>
      <c r="B32179" s="4" t="s">
        <v>5</v>
      </c>
      <c r="C32179" s="4" t="s">
        <v>11</v>
      </c>
    </row>
    <row r="32180" spans="1:9">
      <c r="A32180" t="n">
        <v>314024</v>
      </c>
      <c r="B32180" s="29" t="n">
        <v>16</v>
      </c>
      <c r="C32180" s="7" t="n">
        <v>4000</v>
      </c>
    </row>
    <row r="32181" spans="1:9">
      <c r="A32181" t="s">
        <v>4</v>
      </c>
      <c r="B32181" s="4" t="s">
        <v>5</v>
      </c>
      <c r="C32181" s="4" t="s">
        <v>11</v>
      </c>
      <c r="D32181" s="4" t="s">
        <v>7</v>
      </c>
      <c r="E32181" s="4" t="s">
        <v>13</v>
      </c>
      <c r="F32181" s="4" t="s">
        <v>11</v>
      </c>
    </row>
    <row r="32182" spans="1:9">
      <c r="A32182" t="n">
        <v>314027</v>
      </c>
      <c r="B32182" s="56" t="n">
        <v>59</v>
      </c>
      <c r="C32182" s="7" t="n">
        <v>0</v>
      </c>
      <c r="D32182" s="7" t="n">
        <v>9</v>
      </c>
      <c r="E32182" s="7" t="n">
        <v>0.150000005960464</v>
      </c>
      <c r="F32182" s="7" t="n">
        <v>0</v>
      </c>
    </row>
    <row r="32183" spans="1:9">
      <c r="A32183" t="s">
        <v>4</v>
      </c>
      <c r="B32183" s="4" t="s">
        <v>5</v>
      </c>
      <c r="C32183" s="4" t="s">
        <v>11</v>
      </c>
      <c r="D32183" s="4" t="s">
        <v>7</v>
      </c>
      <c r="E32183" s="4" t="s">
        <v>13</v>
      </c>
      <c r="F32183" s="4" t="s">
        <v>11</v>
      </c>
    </row>
    <row r="32184" spans="1:9">
      <c r="A32184" t="n">
        <v>314037</v>
      </c>
      <c r="B32184" s="56" t="n">
        <v>59</v>
      </c>
      <c r="C32184" s="7" t="n">
        <v>13</v>
      </c>
      <c r="D32184" s="7" t="n">
        <v>9</v>
      </c>
      <c r="E32184" s="7" t="n">
        <v>0.150000005960464</v>
      </c>
      <c r="F32184" s="7" t="n">
        <v>0</v>
      </c>
    </row>
    <row r="32185" spans="1:9">
      <c r="A32185" t="s">
        <v>4</v>
      </c>
      <c r="B32185" s="4" t="s">
        <v>5</v>
      </c>
      <c r="C32185" s="4" t="s">
        <v>11</v>
      </c>
    </row>
    <row r="32186" spans="1:9">
      <c r="A32186" t="n">
        <v>314047</v>
      </c>
      <c r="B32186" s="29" t="n">
        <v>16</v>
      </c>
      <c r="C32186" s="7" t="n">
        <v>1500</v>
      </c>
    </row>
    <row r="32187" spans="1:9">
      <c r="A32187" t="s">
        <v>4</v>
      </c>
      <c r="B32187" s="4" t="s">
        <v>5</v>
      </c>
      <c r="C32187" s="4" t="s">
        <v>7</v>
      </c>
      <c r="D32187" s="4" t="s">
        <v>11</v>
      </c>
    </row>
    <row r="32188" spans="1:9">
      <c r="A32188" t="n">
        <v>314050</v>
      </c>
      <c r="B32188" s="51" t="n">
        <v>45</v>
      </c>
      <c r="C32188" s="7" t="n">
        <v>7</v>
      </c>
      <c r="D32188" s="7" t="n">
        <v>255</v>
      </c>
    </row>
    <row r="32189" spans="1:9">
      <c r="A32189" t="s">
        <v>4</v>
      </c>
      <c r="B32189" s="4" t="s">
        <v>5</v>
      </c>
      <c r="C32189" s="4" t="s">
        <v>7</v>
      </c>
      <c r="D32189" s="4" t="s">
        <v>11</v>
      </c>
      <c r="E32189" s="4" t="s">
        <v>13</v>
      </c>
    </row>
    <row r="32190" spans="1:9">
      <c r="A32190" t="n">
        <v>314054</v>
      </c>
      <c r="B32190" s="23" t="n">
        <v>58</v>
      </c>
      <c r="C32190" s="7" t="n">
        <v>0</v>
      </c>
      <c r="D32190" s="7" t="n">
        <v>2000</v>
      </c>
      <c r="E32190" s="7" t="n">
        <v>1</v>
      </c>
    </row>
    <row r="32191" spans="1:9">
      <c r="A32191" t="s">
        <v>4</v>
      </c>
      <c r="B32191" s="4" t="s">
        <v>5</v>
      </c>
      <c r="C32191" s="4" t="s">
        <v>7</v>
      </c>
      <c r="D32191" s="4" t="s">
        <v>11</v>
      </c>
    </row>
    <row r="32192" spans="1:9">
      <c r="A32192" t="n">
        <v>314062</v>
      </c>
      <c r="B32192" s="23" t="n">
        <v>58</v>
      </c>
      <c r="C32192" s="7" t="n">
        <v>255</v>
      </c>
      <c r="D32192" s="7" t="n">
        <v>0</v>
      </c>
    </row>
    <row r="32193" spans="1:6">
      <c r="A32193" t="s">
        <v>4</v>
      </c>
      <c r="B32193" s="4" t="s">
        <v>5</v>
      </c>
      <c r="C32193" s="4" t="s">
        <v>7</v>
      </c>
      <c r="D32193" s="4" t="s">
        <v>7</v>
      </c>
      <c r="E32193" s="4" t="s">
        <v>13</v>
      </c>
      <c r="F32193" s="4" t="s">
        <v>13</v>
      </c>
      <c r="G32193" s="4" t="s">
        <v>13</v>
      </c>
      <c r="H32193" s="4" t="s">
        <v>11</v>
      </c>
    </row>
    <row r="32194" spans="1:6">
      <c r="A32194" t="n">
        <v>314066</v>
      </c>
      <c r="B32194" s="51" t="n">
        <v>45</v>
      </c>
      <c r="C32194" s="7" t="n">
        <v>2</v>
      </c>
      <c r="D32194" s="7" t="n">
        <v>3</v>
      </c>
      <c r="E32194" s="7" t="n">
        <v>-7.84000015258789</v>
      </c>
      <c r="F32194" s="7" t="n">
        <v>7.17000007629395</v>
      </c>
      <c r="G32194" s="7" t="n">
        <v>31.6599998474121</v>
      </c>
      <c r="H32194" s="7" t="n">
        <v>0</v>
      </c>
    </row>
    <row r="32195" spans="1:6">
      <c r="A32195" t="s">
        <v>4</v>
      </c>
      <c r="B32195" s="4" t="s">
        <v>5</v>
      </c>
      <c r="C32195" s="4" t="s">
        <v>7</v>
      </c>
      <c r="D32195" s="4" t="s">
        <v>7</v>
      </c>
      <c r="E32195" s="4" t="s">
        <v>13</v>
      </c>
      <c r="F32195" s="4" t="s">
        <v>13</v>
      </c>
      <c r="G32195" s="4" t="s">
        <v>13</v>
      </c>
      <c r="H32195" s="4" t="s">
        <v>11</v>
      </c>
      <c r="I32195" s="4" t="s">
        <v>7</v>
      </c>
    </row>
    <row r="32196" spans="1:6">
      <c r="A32196" t="n">
        <v>314083</v>
      </c>
      <c r="B32196" s="51" t="n">
        <v>45</v>
      </c>
      <c r="C32196" s="7" t="n">
        <v>4</v>
      </c>
      <c r="D32196" s="7" t="n">
        <v>3</v>
      </c>
      <c r="E32196" s="7" t="n">
        <v>9.01000022888184</v>
      </c>
      <c r="F32196" s="7" t="n">
        <v>55.7900009155273</v>
      </c>
      <c r="G32196" s="7" t="n">
        <v>0</v>
      </c>
      <c r="H32196" s="7" t="n">
        <v>0</v>
      </c>
      <c r="I32196" s="7" t="n">
        <v>0</v>
      </c>
    </row>
    <row r="32197" spans="1:6">
      <c r="A32197" t="s">
        <v>4</v>
      </c>
      <c r="B32197" s="4" t="s">
        <v>5</v>
      </c>
      <c r="C32197" s="4" t="s">
        <v>7</v>
      </c>
      <c r="D32197" s="4" t="s">
        <v>7</v>
      </c>
      <c r="E32197" s="4" t="s">
        <v>13</v>
      </c>
      <c r="F32197" s="4" t="s">
        <v>11</v>
      </c>
    </row>
    <row r="32198" spans="1:6">
      <c r="A32198" t="n">
        <v>314101</v>
      </c>
      <c r="B32198" s="51" t="n">
        <v>45</v>
      </c>
      <c r="C32198" s="7" t="n">
        <v>5</v>
      </c>
      <c r="D32198" s="7" t="n">
        <v>3</v>
      </c>
      <c r="E32198" s="7" t="n">
        <v>2.40000009536743</v>
      </c>
      <c r="F32198" s="7" t="n">
        <v>0</v>
      </c>
    </row>
    <row r="32199" spans="1:6">
      <c r="A32199" t="s">
        <v>4</v>
      </c>
      <c r="B32199" s="4" t="s">
        <v>5</v>
      </c>
      <c r="C32199" s="4" t="s">
        <v>7</v>
      </c>
      <c r="D32199" s="4" t="s">
        <v>7</v>
      </c>
      <c r="E32199" s="4" t="s">
        <v>13</v>
      </c>
      <c r="F32199" s="4" t="s">
        <v>11</v>
      </c>
    </row>
    <row r="32200" spans="1:6">
      <c r="A32200" t="n">
        <v>314110</v>
      </c>
      <c r="B32200" s="51" t="n">
        <v>45</v>
      </c>
      <c r="C32200" s="7" t="n">
        <v>11</v>
      </c>
      <c r="D32200" s="7" t="n">
        <v>3</v>
      </c>
      <c r="E32200" s="7" t="n">
        <v>40.2999992370605</v>
      </c>
      <c r="F32200" s="7" t="n">
        <v>0</v>
      </c>
    </row>
    <row r="32201" spans="1:6">
      <c r="A32201" t="s">
        <v>4</v>
      </c>
      <c r="B32201" s="4" t="s">
        <v>5</v>
      </c>
      <c r="C32201" s="4" t="s">
        <v>7</v>
      </c>
      <c r="D32201" s="4" t="s">
        <v>7</v>
      </c>
      <c r="E32201" s="4" t="s">
        <v>13</v>
      </c>
      <c r="F32201" s="4" t="s">
        <v>13</v>
      </c>
      <c r="G32201" s="4" t="s">
        <v>13</v>
      </c>
      <c r="H32201" s="4" t="s">
        <v>11</v>
      </c>
    </row>
    <row r="32202" spans="1:6">
      <c r="A32202" t="n">
        <v>314119</v>
      </c>
      <c r="B32202" s="51" t="n">
        <v>45</v>
      </c>
      <c r="C32202" s="7" t="n">
        <v>2</v>
      </c>
      <c r="D32202" s="7" t="n">
        <v>3</v>
      </c>
      <c r="E32202" s="7" t="n">
        <v>-6.8899998664856</v>
      </c>
      <c r="F32202" s="7" t="n">
        <v>6.26999998092651</v>
      </c>
      <c r="G32202" s="7" t="n">
        <v>30.0599994659424</v>
      </c>
      <c r="H32202" s="7" t="n">
        <v>6000</v>
      </c>
    </row>
    <row r="32203" spans="1:6">
      <c r="A32203" t="s">
        <v>4</v>
      </c>
      <c r="B32203" s="4" t="s">
        <v>5</v>
      </c>
      <c r="C32203" s="4" t="s">
        <v>7</v>
      </c>
      <c r="D32203" s="4" t="s">
        <v>7</v>
      </c>
      <c r="E32203" s="4" t="s">
        <v>13</v>
      </c>
      <c r="F32203" s="4" t="s">
        <v>13</v>
      </c>
      <c r="G32203" s="4" t="s">
        <v>13</v>
      </c>
      <c r="H32203" s="4" t="s">
        <v>11</v>
      </c>
      <c r="I32203" s="4" t="s">
        <v>7</v>
      </c>
    </row>
    <row r="32204" spans="1:6">
      <c r="A32204" t="n">
        <v>314136</v>
      </c>
      <c r="B32204" s="51" t="n">
        <v>45</v>
      </c>
      <c r="C32204" s="7" t="n">
        <v>4</v>
      </c>
      <c r="D32204" s="7" t="n">
        <v>3</v>
      </c>
      <c r="E32204" s="7" t="n">
        <v>6.73999977111816</v>
      </c>
      <c r="F32204" s="7" t="n">
        <v>13.6199998855591</v>
      </c>
      <c r="G32204" s="7" t="n">
        <v>0</v>
      </c>
      <c r="H32204" s="7" t="n">
        <v>6000</v>
      </c>
      <c r="I32204" s="7" t="n">
        <v>1</v>
      </c>
    </row>
    <row r="32205" spans="1:6">
      <c r="A32205" t="s">
        <v>4</v>
      </c>
      <c r="B32205" s="4" t="s">
        <v>5</v>
      </c>
      <c r="C32205" s="4" t="s">
        <v>11</v>
      </c>
      <c r="D32205" s="4" t="s">
        <v>13</v>
      </c>
      <c r="E32205" s="4" t="s">
        <v>13</v>
      </c>
      <c r="F32205" s="4" t="s">
        <v>13</v>
      </c>
      <c r="G32205" s="4" t="s">
        <v>13</v>
      </c>
    </row>
    <row r="32206" spans="1:6">
      <c r="A32206" t="n">
        <v>314154</v>
      </c>
      <c r="B32206" s="36" t="n">
        <v>46</v>
      </c>
      <c r="C32206" s="7" t="n">
        <v>0</v>
      </c>
      <c r="D32206" s="7" t="n">
        <v>-6.51000022888184</v>
      </c>
      <c r="E32206" s="7" t="n">
        <v>5</v>
      </c>
      <c r="F32206" s="7" t="n">
        <v>29.8999996185303</v>
      </c>
      <c r="G32206" s="7" t="n">
        <v>208</v>
      </c>
    </row>
    <row r="32207" spans="1:6">
      <c r="A32207" t="s">
        <v>4</v>
      </c>
      <c r="B32207" s="4" t="s">
        <v>5</v>
      </c>
      <c r="C32207" s="4" t="s">
        <v>11</v>
      </c>
      <c r="D32207" s="4" t="s">
        <v>13</v>
      </c>
      <c r="E32207" s="4" t="s">
        <v>13</v>
      </c>
      <c r="F32207" s="4" t="s">
        <v>13</v>
      </c>
      <c r="G32207" s="4" t="s">
        <v>13</v>
      </c>
    </row>
    <row r="32208" spans="1:6">
      <c r="A32208" t="n">
        <v>314173</v>
      </c>
      <c r="B32208" s="36" t="n">
        <v>46</v>
      </c>
      <c r="C32208" s="7" t="n">
        <v>13</v>
      </c>
      <c r="D32208" s="7" t="n">
        <v>-7.44999980926514</v>
      </c>
      <c r="E32208" s="7" t="n">
        <v>5</v>
      </c>
      <c r="F32208" s="7" t="n">
        <v>29.7999992370605</v>
      </c>
      <c r="G32208" s="7" t="n">
        <v>151.199996948242</v>
      </c>
    </row>
    <row r="32209" spans="1:9">
      <c r="A32209" t="s">
        <v>4</v>
      </c>
      <c r="B32209" s="4" t="s">
        <v>5</v>
      </c>
      <c r="C32209" s="4" t="s">
        <v>8</v>
      </c>
      <c r="D32209" s="4" t="s">
        <v>8</v>
      </c>
    </row>
    <row r="32210" spans="1:9">
      <c r="A32210" t="n">
        <v>314192</v>
      </c>
      <c r="B32210" s="52" t="n">
        <v>70</v>
      </c>
      <c r="C32210" s="7" t="s">
        <v>25</v>
      </c>
      <c r="D32210" s="7" t="s">
        <v>118</v>
      </c>
    </row>
    <row r="32211" spans="1:9">
      <c r="A32211" t="s">
        <v>4</v>
      </c>
      <c r="B32211" s="4" t="s">
        <v>5</v>
      </c>
      <c r="C32211" s="4" t="s">
        <v>11</v>
      </c>
      <c r="D32211" s="4" t="s">
        <v>11</v>
      </c>
      <c r="E32211" s="4" t="s">
        <v>11</v>
      </c>
    </row>
    <row r="32212" spans="1:9">
      <c r="A32212" t="n">
        <v>314208</v>
      </c>
      <c r="B32212" s="72" t="n">
        <v>61</v>
      </c>
      <c r="C32212" s="7" t="n">
        <v>13</v>
      </c>
      <c r="D32212" s="7" t="n">
        <v>0</v>
      </c>
      <c r="E32212" s="7" t="n">
        <v>0</v>
      </c>
    </row>
    <row r="32213" spans="1:9">
      <c r="A32213" t="s">
        <v>4</v>
      </c>
      <c r="B32213" s="4" t="s">
        <v>5</v>
      </c>
      <c r="C32213" s="4" t="s">
        <v>11</v>
      </c>
      <c r="D32213" s="4" t="s">
        <v>11</v>
      </c>
      <c r="E32213" s="4" t="s">
        <v>11</v>
      </c>
    </row>
    <row r="32214" spans="1:9">
      <c r="A32214" t="n">
        <v>314215</v>
      </c>
      <c r="B32214" s="72" t="n">
        <v>61</v>
      </c>
      <c r="C32214" s="7" t="n">
        <v>0</v>
      </c>
      <c r="D32214" s="7" t="n">
        <v>13</v>
      </c>
      <c r="E32214" s="7" t="n">
        <v>0</v>
      </c>
    </row>
    <row r="32215" spans="1:9">
      <c r="A32215" t="s">
        <v>4</v>
      </c>
      <c r="B32215" s="4" t="s">
        <v>5</v>
      </c>
      <c r="C32215" s="4" t="s">
        <v>7</v>
      </c>
      <c r="D32215" s="4" t="s">
        <v>11</v>
      </c>
      <c r="E32215" s="4" t="s">
        <v>13</v>
      </c>
    </row>
    <row r="32216" spans="1:9">
      <c r="A32216" t="n">
        <v>314222</v>
      </c>
      <c r="B32216" s="23" t="n">
        <v>58</v>
      </c>
      <c r="C32216" s="7" t="n">
        <v>100</v>
      </c>
      <c r="D32216" s="7" t="n">
        <v>1000</v>
      </c>
      <c r="E32216" s="7" t="n">
        <v>1</v>
      </c>
    </row>
    <row r="32217" spans="1:9">
      <c r="A32217" t="s">
        <v>4</v>
      </c>
      <c r="B32217" s="4" t="s">
        <v>5</v>
      </c>
      <c r="C32217" s="4" t="s">
        <v>7</v>
      </c>
      <c r="D32217" s="4" t="s">
        <v>11</v>
      </c>
    </row>
    <row r="32218" spans="1:9">
      <c r="A32218" t="n">
        <v>314230</v>
      </c>
      <c r="B32218" s="23" t="n">
        <v>58</v>
      </c>
      <c r="C32218" s="7" t="n">
        <v>255</v>
      </c>
      <c r="D32218" s="7" t="n">
        <v>0</v>
      </c>
    </row>
    <row r="32219" spans="1:9">
      <c r="A32219" t="s">
        <v>4</v>
      </c>
      <c r="B32219" s="4" t="s">
        <v>5</v>
      </c>
      <c r="C32219" s="4" t="s">
        <v>11</v>
      </c>
    </row>
    <row r="32220" spans="1:9">
      <c r="A32220" t="n">
        <v>314234</v>
      </c>
      <c r="B32220" s="29" t="n">
        <v>16</v>
      </c>
      <c r="C32220" s="7" t="n">
        <v>1000</v>
      </c>
    </row>
    <row r="32221" spans="1:9">
      <c r="A32221" t="s">
        <v>4</v>
      </c>
      <c r="B32221" s="4" t="s">
        <v>5</v>
      </c>
      <c r="C32221" s="4" t="s">
        <v>7</v>
      </c>
      <c r="D32221" s="4" t="s">
        <v>11</v>
      </c>
    </row>
    <row r="32222" spans="1:9">
      <c r="A32222" t="n">
        <v>314237</v>
      </c>
      <c r="B32222" s="51" t="n">
        <v>45</v>
      </c>
      <c r="C32222" s="7" t="n">
        <v>7</v>
      </c>
      <c r="D32222" s="7" t="n">
        <v>255</v>
      </c>
    </row>
    <row r="32223" spans="1:9">
      <c r="A32223" t="s">
        <v>4</v>
      </c>
      <c r="B32223" s="4" t="s">
        <v>5</v>
      </c>
      <c r="C32223" s="4" t="s">
        <v>7</v>
      </c>
      <c r="D32223" s="4" t="s">
        <v>11</v>
      </c>
      <c r="E32223" s="4" t="s">
        <v>13</v>
      </c>
    </row>
    <row r="32224" spans="1:9">
      <c r="A32224" t="n">
        <v>314241</v>
      </c>
      <c r="B32224" s="23" t="n">
        <v>58</v>
      </c>
      <c r="C32224" s="7" t="n">
        <v>101</v>
      </c>
      <c r="D32224" s="7" t="n">
        <v>500</v>
      </c>
      <c r="E32224" s="7" t="n">
        <v>1</v>
      </c>
    </row>
    <row r="32225" spans="1:5">
      <c r="A32225" t="s">
        <v>4</v>
      </c>
      <c r="B32225" s="4" t="s">
        <v>5</v>
      </c>
      <c r="C32225" s="4" t="s">
        <v>7</v>
      </c>
      <c r="D32225" s="4" t="s">
        <v>11</v>
      </c>
    </row>
    <row r="32226" spans="1:5">
      <c r="A32226" t="n">
        <v>314249</v>
      </c>
      <c r="B32226" s="23" t="n">
        <v>58</v>
      </c>
      <c r="C32226" s="7" t="n">
        <v>254</v>
      </c>
      <c r="D32226" s="7" t="n">
        <v>0</v>
      </c>
    </row>
    <row r="32227" spans="1:5">
      <c r="A32227" t="s">
        <v>4</v>
      </c>
      <c r="B32227" s="4" t="s">
        <v>5</v>
      </c>
      <c r="C32227" s="4" t="s">
        <v>7</v>
      </c>
      <c r="D32227" s="4" t="s">
        <v>11</v>
      </c>
      <c r="E32227" s="4" t="s">
        <v>8</v>
      </c>
      <c r="F32227" s="4" t="s">
        <v>8</v>
      </c>
      <c r="G32227" s="4" t="s">
        <v>8</v>
      </c>
      <c r="H32227" s="4" t="s">
        <v>8</v>
      </c>
    </row>
    <row r="32228" spans="1:5">
      <c r="A32228" t="n">
        <v>314253</v>
      </c>
      <c r="B32228" s="38" t="n">
        <v>51</v>
      </c>
      <c r="C32228" s="7" t="n">
        <v>3</v>
      </c>
      <c r="D32228" s="7" t="n">
        <v>13</v>
      </c>
      <c r="E32228" s="7" t="s">
        <v>79</v>
      </c>
      <c r="F32228" s="7" t="s">
        <v>79</v>
      </c>
      <c r="G32228" s="7" t="s">
        <v>78</v>
      </c>
      <c r="H32228" s="7" t="s">
        <v>79</v>
      </c>
    </row>
    <row r="32229" spans="1:5">
      <c r="A32229" t="s">
        <v>4</v>
      </c>
      <c r="B32229" s="4" t="s">
        <v>5</v>
      </c>
      <c r="C32229" s="4" t="s">
        <v>7</v>
      </c>
      <c r="D32229" s="4" t="s">
        <v>11</v>
      </c>
      <c r="E32229" s="4" t="s">
        <v>11</v>
      </c>
      <c r="F32229" s="4" t="s">
        <v>15</v>
      </c>
      <c r="G32229" s="4" t="s">
        <v>15</v>
      </c>
      <c r="H32229" s="4" t="s">
        <v>15</v>
      </c>
    </row>
    <row r="32230" spans="1:5">
      <c r="A32230" t="n">
        <v>314266</v>
      </c>
      <c r="B32230" s="77" t="n">
        <v>97</v>
      </c>
      <c r="C32230" s="7" t="n">
        <v>6</v>
      </c>
      <c r="D32230" s="7" t="n">
        <v>0</v>
      </c>
      <c r="E32230" s="7" t="n">
        <v>0</v>
      </c>
      <c r="F32230" s="7" t="n">
        <v>-1065143501</v>
      </c>
      <c r="G32230" s="7" t="n">
        <v>1101004800</v>
      </c>
      <c r="H32230" s="7" t="n">
        <v>1101004800</v>
      </c>
    </row>
    <row r="32231" spans="1:5">
      <c r="A32231" t="s">
        <v>4</v>
      </c>
      <c r="B32231" s="4" t="s">
        <v>5</v>
      </c>
      <c r="C32231" s="4" t="s">
        <v>7</v>
      </c>
      <c r="D32231" s="4" t="s">
        <v>7</v>
      </c>
      <c r="E32231" s="4" t="s">
        <v>13</v>
      </c>
      <c r="F32231" s="4" t="s">
        <v>13</v>
      </c>
      <c r="G32231" s="4" t="s">
        <v>13</v>
      </c>
      <c r="H32231" s="4" t="s">
        <v>11</v>
      </c>
    </row>
    <row r="32232" spans="1:5">
      <c r="A32232" t="n">
        <v>314284</v>
      </c>
      <c r="B32232" s="51" t="n">
        <v>45</v>
      </c>
      <c r="C32232" s="7" t="n">
        <v>2</v>
      </c>
      <c r="D32232" s="7" t="n">
        <v>3</v>
      </c>
      <c r="E32232" s="7" t="n">
        <v>-6.82000017166138</v>
      </c>
      <c r="F32232" s="7" t="n">
        <v>6.3600001335144</v>
      </c>
      <c r="G32232" s="7" t="n">
        <v>29.8899993896484</v>
      </c>
      <c r="H32232" s="7" t="n">
        <v>0</v>
      </c>
    </row>
    <row r="32233" spans="1:5">
      <c r="A32233" t="s">
        <v>4</v>
      </c>
      <c r="B32233" s="4" t="s">
        <v>5</v>
      </c>
      <c r="C32233" s="4" t="s">
        <v>7</v>
      </c>
      <c r="D32233" s="4" t="s">
        <v>7</v>
      </c>
      <c r="E32233" s="4" t="s">
        <v>13</v>
      </c>
      <c r="F32233" s="4" t="s">
        <v>13</v>
      </c>
      <c r="G32233" s="4" t="s">
        <v>13</v>
      </c>
      <c r="H32233" s="4" t="s">
        <v>11</v>
      </c>
      <c r="I32233" s="4" t="s">
        <v>7</v>
      </c>
    </row>
    <row r="32234" spans="1:5">
      <c r="A32234" t="n">
        <v>314301</v>
      </c>
      <c r="B32234" s="51" t="n">
        <v>45</v>
      </c>
      <c r="C32234" s="7" t="n">
        <v>4</v>
      </c>
      <c r="D32234" s="7" t="n">
        <v>3</v>
      </c>
      <c r="E32234" s="7" t="n">
        <v>18.2999992370605</v>
      </c>
      <c r="F32234" s="7" t="n">
        <v>135.5</v>
      </c>
      <c r="G32234" s="7" t="n">
        <v>0</v>
      </c>
      <c r="H32234" s="7" t="n">
        <v>0</v>
      </c>
      <c r="I32234" s="7" t="n">
        <v>0</v>
      </c>
    </row>
    <row r="32235" spans="1:5">
      <c r="A32235" t="s">
        <v>4</v>
      </c>
      <c r="B32235" s="4" t="s">
        <v>5</v>
      </c>
      <c r="C32235" s="4" t="s">
        <v>7</v>
      </c>
      <c r="D32235" s="4" t="s">
        <v>7</v>
      </c>
      <c r="E32235" s="4" t="s">
        <v>13</v>
      </c>
      <c r="F32235" s="4" t="s">
        <v>11</v>
      </c>
    </row>
    <row r="32236" spans="1:5">
      <c r="A32236" t="n">
        <v>314319</v>
      </c>
      <c r="B32236" s="51" t="n">
        <v>45</v>
      </c>
      <c r="C32236" s="7" t="n">
        <v>5</v>
      </c>
      <c r="D32236" s="7" t="n">
        <v>3</v>
      </c>
      <c r="E32236" s="7" t="n">
        <v>1.29999995231628</v>
      </c>
      <c r="F32236" s="7" t="n">
        <v>0</v>
      </c>
    </row>
    <row r="32237" spans="1:5">
      <c r="A32237" t="s">
        <v>4</v>
      </c>
      <c r="B32237" s="4" t="s">
        <v>5</v>
      </c>
      <c r="C32237" s="4" t="s">
        <v>7</v>
      </c>
      <c r="D32237" s="4" t="s">
        <v>7</v>
      </c>
      <c r="E32237" s="4" t="s">
        <v>13</v>
      </c>
      <c r="F32237" s="4" t="s">
        <v>11</v>
      </c>
    </row>
    <row r="32238" spans="1:5">
      <c r="A32238" t="n">
        <v>314328</v>
      </c>
      <c r="B32238" s="51" t="n">
        <v>45</v>
      </c>
      <c r="C32238" s="7" t="n">
        <v>11</v>
      </c>
      <c r="D32238" s="7" t="n">
        <v>3</v>
      </c>
      <c r="E32238" s="7" t="n">
        <v>40.2999992370605</v>
      </c>
      <c r="F32238" s="7" t="n">
        <v>0</v>
      </c>
    </row>
    <row r="32239" spans="1:5">
      <c r="A32239" t="s">
        <v>4</v>
      </c>
      <c r="B32239" s="4" t="s">
        <v>5</v>
      </c>
      <c r="C32239" s="4" t="s">
        <v>7</v>
      </c>
      <c r="D32239" s="4" t="s">
        <v>11</v>
      </c>
    </row>
    <row r="32240" spans="1:5">
      <c r="A32240" t="n">
        <v>314337</v>
      </c>
      <c r="B32240" s="23" t="n">
        <v>58</v>
      </c>
      <c r="C32240" s="7" t="n">
        <v>255</v>
      </c>
      <c r="D32240" s="7" t="n">
        <v>0</v>
      </c>
    </row>
    <row r="32241" spans="1:9">
      <c r="A32241" t="s">
        <v>4</v>
      </c>
      <c r="B32241" s="4" t="s">
        <v>5</v>
      </c>
      <c r="C32241" s="4" t="s">
        <v>7</v>
      </c>
      <c r="D32241" s="4" t="s">
        <v>11</v>
      </c>
      <c r="E32241" s="4" t="s">
        <v>8</v>
      </c>
    </row>
    <row r="32242" spans="1:9">
      <c r="A32242" t="n">
        <v>314341</v>
      </c>
      <c r="B32242" s="38" t="n">
        <v>51</v>
      </c>
      <c r="C32242" s="7" t="n">
        <v>4</v>
      </c>
      <c r="D32242" s="7" t="n">
        <v>13</v>
      </c>
      <c r="E32242" s="7" t="s">
        <v>235</v>
      </c>
    </row>
    <row r="32243" spans="1:9">
      <c r="A32243" t="s">
        <v>4</v>
      </c>
      <c r="B32243" s="4" t="s">
        <v>5</v>
      </c>
      <c r="C32243" s="4" t="s">
        <v>11</v>
      </c>
    </row>
    <row r="32244" spans="1:9">
      <c r="A32244" t="n">
        <v>314355</v>
      </c>
      <c r="B32244" s="29" t="n">
        <v>16</v>
      </c>
      <c r="C32244" s="7" t="n">
        <v>0</v>
      </c>
    </row>
    <row r="32245" spans="1:9">
      <c r="A32245" t="s">
        <v>4</v>
      </c>
      <c r="B32245" s="4" t="s">
        <v>5</v>
      </c>
      <c r="C32245" s="4" t="s">
        <v>11</v>
      </c>
      <c r="D32245" s="4" t="s">
        <v>7</v>
      </c>
      <c r="E32245" s="4" t="s">
        <v>15</v>
      </c>
      <c r="F32245" s="4" t="s">
        <v>55</v>
      </c>
      <c r="G32245" s="4" t="s">
        <v>7</v>
      </c>
      <c r="H32245" s="4" t="s">
        <v>7</v>
      </c>
      <c r="I32245" s="4" t="s">
        <v>7</v>
      </c>
      <c r="J32245" s="4" t="s">
        <v>15</v>
      </c>
      <c r="K32245" s="4" t="s">
        <v>55</v>
      </c>
      <c r="L32245" s="4" t="s">
        <v>7</v>
      </c>
      <c r="M32245" s="4" t="s">
        <v>7</v>
      </c>
      <c r="N32245" s="4" t="s">
        <v>7</v>
      </c>
      <c r="O32245" s="4" t="s">
        <v>15</v>
      </c>
      <c r="P32245" s="4" t="s">
        <v>55</v>
      </c>
      <c r="Q32245" s="4" t="s">
        <v>7</v>
      </c>
      <c r="R32245" s="4" t="s">
        <v>7</v>
      </c>
    </row>
    <row r="32246" spans="1:9">
      <c r="A32246" t="n">
        <v>314358</v>
      </c>
      <c r="B32246" s="55" t="n">
        <v>26</v>
      </c>
      <c r="C32246" s="7" t="n">
        <v>13</v>
      </c>
      <c r="D32246" s="7" t="n">
        <v>17</v>
      </c>
      <c r="E32246" s="7" t="n">
        <v>64037</v>
      </c>
      <c r="F32246" s="7" t="s">
        <v>801</v>
      </c>
      <c r="G32246" s="7" t="n">
        <v>2</v>
      </c>
      <c r="H32246" s="7" t="n">
        <v>3</v>
      </c>
      <c r="I32246" s="7" t="n">
        <v>17</v>
      </c>
      <c r="J32246" s="7" t="n">
        <v>64038</v>
      </c>
      <c r="K32246" s="7" t="s">
        <v>802</v>
      </c>
      <c r="L32246" s="7" t="n">
        <v>2</v>
      </c>
      <c r="M32246" s="7" t="n">
        <v>3</v>
      </c>
      <c r="N32246" s="7" t="n">
        <v>17</v>
      </c>
      <c r="O32246" s="7" t="n">
        <v>64039</v>
      </c>
      <c r="P32246" s="7" t="s">
        <v>803</v>
      </c>
      <c r="Q32246" s="7" t="n">
        <v>2</v>
      </c>
      <c r="R32246" s="7" t="n">
        <v>0</v>
      </c>
    </row>
    <row r="32247" spans="1:9">
      <c r="A32247" t="s">
        <v>4</v>
      </c>
      <c r="B32247" s="4" t="s">
        <v>5</v>
      </c>
    </row>
    <row r="32248" spans="1:9">
      <c r="A32248" t="n">
        <v>314632</v>
      </c>
      <c r="B32248" s="27" t="n">
        <v>28</v>
      </c>
    </row>
    <row r="32249" spans="1:9">
      <c r="A32249" t="s">
        <v>4</v>
      </c>
      <c r="B32249" s="4" t="s">
        <v>5</v>
      </c>
      <c r="C32249" s="4" t="s">
        <v>7</v>
      </c>
      <c r="D32249" s="4" t="s">
        <v>11</v>
      </c>
      <c r="E32249" s="4" t="s">
        <v>8</v>
      </c>
    </row>
    <row r="32250" spans="1:9">
      <c r="A32250" t="n">
        <v>314633</v>
      </c>
      <c r="B32250" s="38" t="n">
        <v>51</v>
      </c>
      <c r="C32250" s="7" t="n">
        <v>4</v>
      </c>
      <c r="D32250" s="7" t="n">
        <v>0</v>
      </c>
      <c r="E32250" s="7" t="s">
        <v>173</v>
      </c>
    </row>
    <row r="32251" spans="1:9">
      <c r="A32251" t="s">
        <v>4</v>
      </c>
      <c r="B32251" s="4" t="s">
        <v>5</v>
      </c>
      <c r="C32251" s="4" t="s">
        <v>11</v>
      </c>
    </row>
    <row r="32252" spans="1:9">
      <c r="A32252" t="n">
        <v>314646</v>
      </c>
      <c r="B32252" s="29" t="n">
        <v>16</v>
      </c>
      <c r="C32252" s="7" t="n">
        <v>0</v>
      </c>
    </row>
    <row r="32253" spans="1:9">
      <c r="A32253" t="s">
        <v>4</v>
      </c>
      <c r="B32253" s="4" t="s">
        <v>5</v>
      </c>
      <c r="C32253" s="4" t="s">
        <v>11</v>
      </c>
      <c r="D32253" s="4" t="s">
        <v>7</v>
      </c>
      <c r="E32253" s="4" t="s">
        <v>15</v>
      </c>
      <c r="F32253" s="4" t="s">
        <v>55</v>
      </c>
      <c r="G32253" s="4" t="s">
        <v>7</v>
      </c>
      <c r="H32253" s="4" t="s">
        <v>7</v>
      </c>
    </row>
    <row r="32254" spans="1:9">
      <c r="A32254" t="n">
        <v>314649</v>
      </c>
      <c r="B32254" s="55" t="n">
        <v>26</v>
      </c>
      <c r="C32254" s="7" t="n">
        <v>0</v>
      </c>
      <c r="D32254" s="7" t="n">
        <v>17</v>
      </c>
      <c r="E32254" s="7" t="n">
        <v>64040</v>
      </c>
      <c r="F32254" s="7" t="s">
        <v>804</v>
      </c>
      <c r="G32254" s="7" t="n">
        <v>2</v>
      </c>
      <c r="H32254" s="7" t="n">
        <v>0</v>
      </c>
    </row>
    <row r="32255" spans="1:9">
      <c r="A32255" t="s">
        <v>4</v>
      </c>
      <c r="B32255" s="4" t="s">
        <v>5</v>
      </c>
    </row>
    <row r="32256" spans="1:9">
      <c r="A32256" t="n">
        <v>314675</v>
      </c>
      <c r="B32256" s="27" t="n">
        <v>28</v>
      </c>
    </row>
    <row r="32257" spans="1:18">
      <c r="A32257" t="s">
        <v>4</v>
      </c>
      <c r="B32257" s="4" t="s">
        <v>5</v>
      </c>
      <c r="C32257" s="4" t="s">
        <v>7</v>
      </c>
      <c r="D32257" s="4" t="s">
        <v>11</v>
      </c>
      <c r="E32257" s="4" t="s">
        <v>8</v>
      </c>
      <c r="F32257" s="4" t="s">
        <v>8</v>
      </c>
      <c r="G32257" s="4" t="s">
        <v>8</v>
      </c>
      <c r="H32257" s="4" t="s">
        <v>8</v>
      </c>
    </row>
    <row r="32258" spans="1:18">
      <c r="A32258" t="n">
        <v>314676</v>
      </c>
      <c r="B32258" s="38" t="n">
        <v>51</v>
      </c>
      <c r="C32258" s="7" t="n">
        <v>3</v>
      </c>
      <c r="D32258" s="7" t="n">
        <v>13</v>
      </c>
      <c r="E32258" s="7" t="s">
        <v>86</v>
      </c>
      <c r="F32258" s="7" t="s">
        <v>79</v>
      </c>
      <c r="G32258" s="7" t="s">
        <v>78</v>
      </c>
      <c r="H32258" s="7" t="s">
        <v>79</v>
      </c>
    </row>
    <row r="32259" spans="1:18">
      <c r="A32259" t="s">
        <v>4</v>
      </c>
      <c r="B32259" s="4" t="s">
        <v>5</v>
      </c>
      <c r="C32259" s="4" t="s">
        <v>11</v>
      </c>
      <c r="D32259" s="4" t="s">
        <v>7</v>
      </c>
      <c r="E32259" s="4" t="s">
        <v>7</v>
      </c>
      <c r="F32259" s="4" t="s">
        <v>8</v>
      </c>
    </row>
    <row r="32260" spans="1:18">
      <c r="A32260" t="n">
        <v>314689</v>
      </c>
      <c r="B32260" s="50" t="n">
        <v>20</v>
      </c>
      <c r="C32260" s="7" t="n">
        <v>13</v>
      </c>
      <c r="D32260" s="7" t="n">
        <v>2</v>
      </c>
      <c r="E32260" s="7" t="n">
        <v>10</v>
      </c>
      <c r="F32260" s="7" t="s">
        <v>223</v>
      </c>
    </row>
    <row r="32261" spans="1:18">
      <c r="A32261" t="s">
        <v>4</v>
      </c>
      <c r="B32261" s="4" t="s">
        <v>5</v>
      </c>
      <c r="C32261" s="4" t="s">
        <v>11</v>
      </c>
    </row>
    <row r="32262" spans="1:18">
      <c r="A32262" t="n">
        <v>314710</v>
      </c>
      <c r="B32262" s="29" t="n">
        <v>16</v>
      </c>
      <c r="C32262" s="7" t="n">
        <v>500</v>
      </c>
    </row>
    <row r="32263" spans="1:18">
      <c r="A32263" t="s">
        <v>4</v>
      </c>
      <c r="B32263" s="4" t="s">
        <v>5</v>
      </c>
      <c r="C32263" s="4" t="s">
        <v>7</v>
      </c>
      <c r="D32263" s="4" t="s">
        <v>11</v>
      </c>
      <c r="E32263" s="4" t="s">
        <v>8</v>
      </c>
    </row>
    <row r="32264" spans="1:18">
      <c r="A32264" t="n">
        <v>314713</v>
      </c>
      <c r="B32264" s="38" t="n">
        <v>51</v>
      </c>
      <c r="C32264" s="7" t="n">
        <v>4</v>
      </c>
      <c r="D32264" s="7" t="n">
        <v>13</v>
      </c>
      <c r="E32264" s="7" t="s">
        <v>242</v>
      </c>
    </row>
    <row r="32265" spans="1:18">
      <c r="A32265" t="s">
        <v>4</v>
      </c>
      <c r="B32265" s="4" t="s">
        <v>5</v>
      </c>
      <c r="C32265" s="4" t="s">
        <v>11</v>
      </c>
    </row>
    <row r="32266" spans="1:18">
      <c r="A32266" t="n">
        <v>314727</v>
      </c>
      <c r="B32266" s="29" t="n">
        <v>16</v>
      </c>
      <c r="C32266" s="7" t="n">
        <v>0</v>
      </c>
    </row>
    <row r="32267" spans="1:18">
      <c r="A32267" t="s">
        <v>4</v>
      </c>
      <c r="B32267" s="4" t="s">
        <v>5</v>
      </c>
      <c r="C32267" s="4" t="s">
        <v>11</v>
      </c>
      <c r="D32267" s="4" t="s">
        <v>7</v>
      </c>
      <c r="E32267" s="4" t="s">
        <v>15</v>
      </c>
      <c r="F32267" s="4" t="s">
        <v>55</v>
      </c>
      <c r="G32267" s="4" t="s">
        <v>7</v>
      </c>
      <c r="H32267" s="4" t="s">
        <v>7</v>
      </c>
      <c r="I32267" s="4" t="s">
        <v>7</v>
      </c>
      <c r="J32267" s="4" t="s">
        <v>15</v>
      </c>
      <c r="K32267" s="4" t="s">
        <v>55</v>
      </c>
      <c r="L32267" s="4" t="s">
        <v>7</v>
      </c>
      <c r="M32267" s="4" t="s">
        <v>7</v>
      </c>
    </row>
    <row r="32268" spans="1:18">
      <c r="A32268" t="n">
        <v>314730</v>
      </c>
      <c r="B32268" s="55" t="n">
        <v>26</v>
      </c>
      <c r="C32268" s="7" t="n">
        <v>13</v>
      </c>
      <c r="D32268" s="7" t="n">
        <v>17</v>
      </c>
      <c r="E32268" s="7" t="n">
        <v>64041</v>
      </c>
      <c r="F32268" s="7" t="s">
        <v>805</v>
      </c>
      <c r="G32268" s="7" t="n">
        <v>2</v>
      </c>
      <c r="H32268" s="7" t="n">
        <v>3</v>
      </c>
      <c r="I32268" s="7" t="n">
        <v>17</v>
      </c>
      <c r="J32268" s="7" t="n">
        <v>64042</v>
      </c>
      <c r="K32268" s="7" t="s">
        <v>806</v>
      </c>
      <c r="L32268" s="7" t="n">
        <v>2</v>
      </c>
      <c r="M32268" s="7" t="n">
        <v>0</v>
      </c>
    </row>
    <row r="32269" spans="1:18">
      <c r="A32269" t="s">
        <v>4</v>
      </c>
      <c r="B32269" s="4" t="s">
        <v>5</v>
      </c>
    </row>
    <row r="32270" spans="1:18">
      <c r="A32270" t="n">
        <v>314940</v>
      </c>
      <c r="B32270" s="27" t="n">
        <v>28</v>
      </c>
    </row>
    <row r="32271" spans="1:18">
      <c r="A32271" t="s">
        <v>4</v>
      </c>
      <c r="B32271" s="4" t="s">
        <v>5</v>
      </c>
      <c r="C32271" s="4" t="s">
        <v>7</v>
      </c>
      <c r="D32271" s="4" t="s">
        <v>11</v>
      </c>
      <c r="E32271" s="4" t="s">
        <v>8</v>
      </c>
    </row>
    <row r="32272" spans="1:18">
      <c r="A32272" t="n">
        <v>314941</v>
      </c>
      <c r="B32272" s="38" t="n">
        <v>51</v>
      </c>
      <c r="C32272" s="7" t="n">
        <v>4</v>
      </c>
      <c r="D32272" s="7" t="n">
        <v>0</v>
      </c>
      <c r="E32272" s="7" t="s">
        <v>547</v>
      </c>
    </row>
    <row r="32273" spans="1:13">
      <c r="A32273" t="s">
        <v>4</v>
      </c>
      <c r="B32273" s="4" t="s">
        <v>5</v>
      </c>
      <c r="C32273" s="4" t="s">
        <v>11</v>
      </c>
    </row>
    <row r="32274" spans="1:13">
      <c r="A32274" t="n">
        <v>314955</v>
      </c>
      <c r="B32274" s="29" t="n">
        <v>16</v>
      </c>
      <c r="C32274" s="7" t="n">
        <v>0</v>
      </c>
    </row>
    <row r="32275" spans="1:13">
      <c r="A32275" t="s">
        <v>4</v>
      </c>
      <c r="B32275" s="4" t="s">
        <v>5</v>
      </c>
      <c r="C32275" s="4" t="s">
        <v>11</v>
      </c>
      <c r="D32275" s="4" t="s">
        <v>7</v>
      </c>
      <c r="E32275" s="4" t="s">
        <v>15</v>
      </c>
      <c r="F32275" s="4" t="s">
        <v>55</v>
      </c>
      <c r="G32275" s="4" t="s">
        <v>7</v>
      </c>
      <c r="H32275" s="4" t="s">
        <v>7</v>
      </c>
      <c r="I32275" s="4" t="s">
        <v>7</v>
      </c>
      <c r="J32275" s="4" t="s">
        <v>15</v>
      </c>
      <c r="K32275" s="4" t="s">
        <v>55</v>
      </c>
      <c r="L32275" s="4" t="s">
        <v>7</v>
      </c>
      <c r="M32275" s="4" t="s">
        <v>7</v>
      </c>
    </row>
    <row r="32276" spans="1:13">
      <c r="A32276" t="n">
        <v>314958</v>
      </c>
      <c r="B32276" s="55" t="n">
        <v>26</v>
      </c>
      <c r="C32276" s="7" t="n">
        <v>0</v>
      </c>
      <c r="D32276" s="7" t="n">
        <v>17</v>
      </c>
      <c r="E32276" s="7" t="n">
        <v>64043</v>
      </c>
      <c r="F32276" s="7" t="s">
        <v>807</v>
      </c>
      <c r="G32276" s="7" t="n">
        <v>2</v>
      </c>
      <c r="H32276" s="7" t="n">
        <v>3</v>
      </c>
      <c r="I32276" s="7" t="n">
        <v>17</v>
      </c>
      <c r="J32276" s="7" t="n">
        <v>64044</v>
      </c>
      <c r="K32276" s="7" t="s">
        <v>808</v>
      </c>
      <c r="L32276" s="7" t="n">
        <v>2</v>
      </c>
      <c r="M32276" s="7" t="n">
        <v>0</v>
      </c>
    </row>
    <row r="32277" spans="1:13">
      <c r="A32277" t="s">
        <v>4</v>
      </c>
      <c r="B32277" s="4" t="s">
        <v>5</v>
      </c>
    </row>
    <row r="32278" spans="1:13">
      <c r="A32278" t="n">
        <v>315146</v>
      </c>
      <c r="B32278" s="27" t="n">
        <v>28</v>
      </c>
    </row>
    <row r="32279" spans="1:13">
      <c r="A32279" t="s">
        <v>4</v>
      </c>
      <c r="B32279" s="4" t="s">
        <v>5</v>
      </c>
      <c r="C32279" s="4" t="s">
        <v>7</v>
      </c>
      <c r="D32279" s="4" t="s">
        <v>11</v>
      </c>
      <c r="E32279" s="4" t="s">
        <v>8</v>
      </c>
    </row>
    <row r="32280" spans="1:13">
      <c r="A32280" t="n">
        <v>315147</v>
      </c>
      <c r="B32280" s="38" t="n">
        <v>51</v>
      </c>
      <c r="C32280" s="7" t="n">
        <v>4</v>
      </c>
      <c r="D32280" s="7" t="n">
        <v>13</v>
      </c>
      <c r="E32280" s="7" t="s">
        <v>491</v>
      </c>
    </row>
    <row r="32281" spans="1:13">
      <c r="A32281" t="s">
        <v>4</v>
      </c>
      <c r="B32281" s="4" t="s">
        <v>5</v>
      </c>
      <c r="C32281" s="4" t="s">
        <v>11</v>
      </c>
    </row>
    <row r="32282" spans="1:13">
      <c r="A32282" t="n">
        <v>315161</v>
      </c>
      <c r="B32282" s="29" t="n">
        <v>16</v>
      </c>
      <c r="C32282" s="7" t="n">
        <v>0</v>
      </c>
    </row>
    <row r="32283" spans="1:13">
      <c r="A32283" t="s">
        <v>4</v>
      </c>
      <c r="B32283" s="4" t="s">
        <v>5</v>
      </c>
      <c r="C32283" s="4" t="s">
        <v>11</v>
      </c>
      <c r="D32283" s="4" t="s">
        <v>7</v>
      </c>
      <c r="E32283" s="4" t="s">
        <v>15</v>
      </c>
      <c r="F32283" s="4" t="s">
        <v>55</v>
      </c>
      <c r="G32283" s="4" t="s">
        <v>7</v>
      </c>
      <c r="H32283" s="4" t="s">
        <v>7</v>
      </c>
    </row>
    <row r="32284" spans="1:13">
      <c r="A32284" t="n">
        <v>315164</v>
      </c>
      <c r="B32284" s="55" t="n">
        <v>26</v>
      </c>
      <c r="C32284" s="7" t="n">
        <v>13</v>
      </c>
      <c r="D32284" s="7" t="n">
        <v>17</v>
      </c>
      <c r="E32284" s="7" t="n">
        <v>64045</v>
      </c>
      <c r="F32284" s="7" t="s">
        <v>809</v>
      </c>
      <c r="G32284" s="7" t="n">
        <v>2</v>
      </c>
      <c r="H32284" s="7" t="n">
        <v>0</v>
      </c>
    </row>
    <row r="32285" spans="1:13">
      <c r="A32285" t="s">
        <v>4</v>
      </c>
      <c r="B32285" s="4" t="s">
        <v>5</v>
      </c>
    </row>
    <row r="32286" spans="1:13">
      <c r="A32286" t="n">
        <v>315211</v>
      </c>
      <c r="B32286" s="27" t="n">
        <v>28</v>
      </c>
    </row>
    <row r="32287" spans="1:13">
      <c r="A32287" t="s">
        <v>4</v>
      </c>
      <c r="B32287" s="4" t="s">
        <v>5</v>
      </c>
      <c r="C32287" s="4" t="s">
        <v>7</v>
      </c>
      <c r="D32287" s="4" t="s">
        <v>11</v>
      </c>
      <c r="E32287" s="4" t="s">
        <v>7</v>
      </c>
    </row>
    <row r="32288" spans="1:13">
      <c r="A32288" t="n">
        <v>315212</v>
      </c>
      <c r="B32288" s="13" t="n">
        <v>49</v>
      </c>
      <c r="C32288" s="7" t="n">
        <v>1</v>
      </c>
      <c r="D32288" s="7" t="n">
        <v>3000</v>
      </c>
      <c r="E32288" s="7" t="n">
        <v>0</v>
      </c>
    </row>
    <row r="32289" spans="1:13">
      <c r="A32289" t="s">
        <v>4</v>
      </c>
      <c r="B32289" s="4" t="s">
        <v>5</v>
      </c>
      <c r="C32289" s="4" t="s">
        <v>7</v>
      </c>
      <c r="D32289" s="4" t="s">
        <v>11</v>
      </c>
      <c r="E32289" s="4" t="s">
        <v>8</v>
      </c>
      <c r="F32289" s="4" t="s">
        <v>8</v>
      </c>
      <c r="G32289" s="4" t="s">
        <v>8</v>
      </c>
      <c r="H32289" s="4" t="s">
        <v>8</v>
      </c>
    </row>
    <row r="32290" spans="1:13">
      <c r="A32290" t="n">
        <v>315217</v>
      </c>
      <c r="B32290" s="38" t="n">
        <v>51</v>
      </c>
      <c r="C32290" s="7" t="n">
        <v>3</v>
      </c>
      <c r="D32290" s="7" t="n">
        <v>13</v>
      </c>
      <c r="E32290" s="7" t="s">
        <v>155</v>
      </c>
      <c r="F32290" s="7" t="s">
        <v>218</v>
      </c>
      <c r="G32290" s="7" t="s">
        <v>78</v>
      </c>
      <c r="H32290" s="7" t="s">
        <v>79</v>
      </c>
    </row>
    <row r="32291" spans="1:13">
      <c r="A32291" t="s">
        <v>4</v>
      </c>
      <c r="B32291" s="4" t="s">
        <v>5</v>
      </c>
      <c r="C32291" s="4" t="s">
        <v>11</v>
      </c>
      <c r="D32291" s="4" t="s">
        <v>7</v>
      </c>
      <c r="E32291" s="4" t="s">
        <v>13</v>
      </c>
      <c r="F32291" s="4" t="s">
        <v>11</v>
      </c>
    </row>
    <row r="32292" spans="1:13">
      <c r="A32292" t="n">
        <v>315230</v>
      </c>
      <c r="B32292" s="56" t="n">
        <v>59</v>
      </c>
      <c r="C32292" s="7" t="n">
        <v>13</v>
      </c>
      <c r="D32292" s="7" t="n">
        <v>9</v>
      </c>
      <c r="E32292" s="7" t="n">
        <v>0.150000005960464</v>
      </c>
      <c r="F32292" s="7" t="n">
        <v>0</v>
      </c>
    </row>
    <row r="32293" spans="1:13">
      <c r="A32293" t="s">
        <v>4</v>
      </c>
      <c r="B32293" s="4" t="s">
        <v>5</v>
      </c>
      <c r="C32293" s="4" t="s">
        <v>11</v>
      </c>
    </row>
    <row r="32294" spans="1:13">
      <c r="A32294" t="n">
        <v>315240</v>
      </c>
      <c r="B32294" s="29" t="n">
        <v>16</v>
      </c>
      <c r="C32294" s="7" t="n">
        <v>1800</v>
      </c>
    </row>
    <row r="32295" spans="1:13">
      <c r="A32295" t="s">
        <v>4</v>
      </c>
      <c r="B32295" s="4" t="s">
        <v>5</v>
      </c>
      <c r="C32295" s="4" t="s">
        <v>7</v>
      </c>
      <c r="D32295" s="4" t="s">
        <v>11</v>
      </c>
      <c r="E32295" s="4" t="s">
        <v>13</v>
      </c>
    </row>
    <row r="32296" spans="1:13">
      <c r="A32296" t="n">
        <v>315243</v>
      </c>
      <c r="B32296" s="23" t="n">
        <v>58</v>
      </c>
      <c r="C32296" s="7" t="n">
        <v>101</v>
      </c>
      <c r="D32296" s="7" t="n">
        <v>800</v>
      </c>
      <c r="E32296" s="7" t="n">
        <v>1</v>
      </c>
    </row>
    <row r="32297" spans="1:13">
      <c r="A32297" t="s">
        <v>4</v>
      </c>
      <c r="B32297" s="4" t="s">
        <v>5</v>
      </c>
      <c r="C32297" s="4" t="s">
        <v>7</v>
      </c>
      <c r="D32297" s="4" t="s">
        <v>11</v>
      </c>
    </row>
    <row r="32298" spans="1:13">
      <c r="A32298" t="n">
        <v>315251</v>
      </c>
      <c r="B32298" s="23" t="n">
        <v>58</v>
      </c>
      <c r="C32298" s="7" t="n">
        <v>254</v>
      </c>
      <c r="D32298" s="7" t="n">
        <v>0</v>
      </c>
    </row>
    <row r="32299" spans="1:13">
      <c r="A32299" t="s">
        <v>4</v>
      </c>
      <c r="B32299" s="4" t="s">
        <v>5</v>
      </c>
      <c r="C32299" s="4" t="s">
        <v>7</v>
      </c>
      <c r="D32299" s="4" t="s">
        <v>7</v>
      </c>
      <c r="E32299" s="4" t="s">
        <v>13</v>
      </c>
      <c r="F32299" s="4" t="s">
        <v>13</v>
      </c>
      <c r="G32299" s="4" t="s">
        <v>13</v>
      </c>
      <c r="H32299" s="4" t="s">
        <v>11</v>
      </c>
    </row>
    <row r="32300" spans="1:13">
      <c r="A32300" t="n">
        <v>315255</v>
      </c>
      <c r="B32300" s="51" t="n">
        <v>45</v>
      </c>
      <c r="C32300" s="7" t="n">
        <v>2</v>
      </c>
      <c r="D32300" s="7" t="n">
        <v>3</v>
      </c>
      <c r="E32300" s="7" t="n">
        <v>-7.36999988555908</v>
      </c>
      <c r="F32300" s="7" t="n">
        <v>6.30999994277954</v>
      </c>
      <c r="G32300" s="7" t="n">
        <v>29.8199996948242</v>
      </c>
      <c r="H32300" s="7" t="n">
        <v>0</v>
      </c>
    </row>
    <row r="32301" spans="1:13">
      <c r="A32301" t="s">
        <v>4</v>
      </c>
      <c r="B32301" s="4" t="s">
        <v>5</v>
      </c>
      <c r="C32301" s="4" t="s">
        <v>7</v>
      </c>
      <c r="D32301" s="4" t="s">
        <v>7</v>
      </c>
      <c r="E32301" s="4" t="s">
        <v>13</v>
      </c>
      <c r="F32301" s="4" t="s">
        <v>13</v>
      </c>
      <c r="G32301" s="4" t="s">
        <v>13</v>
      </c>
      <c r="H32301" s="4" t="s">
        <v>11</v>
      </c>
      <c r="I32301" s="4" t="s">
        <v>7</v>
      </c>
    </row>
    <row r="32302" spans="1:13">
      <c r="A32302" t="n">
        <v>315272</v>
      </c>
      <c r="B32302" s="51" t="n">
        <v>45</v>
      </c>
      <c r="C32302" s="7" t="n">
        <v>4</v>
      </c>
      <c r="D32302" s="7" t="n">
        <v>3</v>
      </c>
      <c r="E32302" s="7" t="n">
        <v>10.3299999237061</v>
      </c>
      <c r="F32302" s="7" t="n">
        <v>61.2000007629395</v>
      </c>
      <c r="G32302" s="7" t="n">
        <v>356</v>
      </c>
      <c r="H32302" s="7" t="n">
        <v>0</v>
      </c>
      <c r="I32302" s="7" t="n">
        <v>0</v>
      </c>
    </row>
    <row r="32303" spans="1:13">
      <c r="A32303" t="s">
        <v>4</v>
      </c>
      <c r="B32303" s="4" t="s">
        <v>5</v>
      </c>
      <c r="C32303" s="4" t="s">
        <v>7</v>
      </c>
      <c r="D32303" s="4" t="s">
        <v>7</v>
      </c>
      <c r="E32303" s="4" t="s">
        <v>13</v>
      </c>
      <c r="F32303" s="4" t="s">
        <v>11</v>
      </c>
    </row>
    <row r="32304" spans="1:13">
      <c r="A32304" t="n">
        <v>315290</v>
      </c>
      <c r="B32304" s="51" t="n">
        <v>45</v>
      </c>
      <c r="C32304" s="7" t="n">
        <v>5</v>
      </c>
      <c r="D32304" s="7" t="n">
        <v>3</v>
      </c>
      <c r="E32304" s="7" t="n">
        <v>0.800000011920929</v>
      </c>
      <c r="F32304" s="7" t="n">
        <v>0</v>
      </c>
    </row>
    <row r="32305" spans="1:9">
      <c r="A32305" t="s">
        <v>4</v>
      </c>
      <c r="B32305" s="4" t="s">
        <v>5</v>
      </c>
      <c r="C32305" s="4" t="s">
        <v>7</v>
      </c>
      <c r="D32305" s="4" t="s">
        <v>7</v>
      </c>
      <c r="E32305" s="4" t="s">
        <v>13</v>
      </c>
      <c r="F32305" s="4" t="s">
        <v>11</v>
      </c>
    </row>
    <row r="32306" spans="1:9">
      <c r="A32306" t="n">
        <v>315299</v>
      </c>
      <c r="B32306" s="51" t="n">
        <v>45</v>
      </c>
      <c r="C32306" s="7" t="n">
        <v>11</v>
      </c>
      <c r="D32306" s="7" t="n">
        <v>3</v>
      </c>
      <c r="E32306" s="7" t="n">
        <v>40.2999992370605</v>
      </c>
      <c r="F32306" s="7" t="n">
        <v>0</v>
      </c>
    </row>
    <row r="32307" spans="1:9">
      <c r="A32307" t="s">
        <v>4</v>
      </c>
      <c r="B32307" s="4" t="s">
        <v>5</v>
      </c>
      <c r="C32307" s="4" t="s">
        <v>7</v>
      </c>
    </row>
    <row r="32308" spans="1:9">
      <c r="A32308" t="n">
        <v>315308</v>
      </c>
      <c r="B32308" s="49" t="n">
        <v>116</v>
      </c>
      <c r="C32308" s="7" t="n">
        <v>0</v>
      </c>
    </row>
    <row r="32309" spans="1:9">
      <c r="A32309" t="s">
        <v>4</v>
      </c>
      <c r="B32309" s="4" t="s">
        <v>5</v>
      </c>
      <c r="C32309" s="4" t="s">
        <v>7</v>
      </c>
      <c r="D32309" s="4" t="s">
        <v>11</v>
      </c>
    </row>
    <row r="32310" spans="1:9">
      <c r="A32310" t="n">
        <v>315310</v>
      </c>
      <c r="B32310" s="49" t="n">
        <v>116</v>
      </c>
      <c r="C32310" s="7" t="n">
        <v>2</v>
      </c>
      <c r="D32310" s="7" t="n">
        <v>1</v>
      </c>
    </row>
    <row r="32311" spans="1:9">
      <c r="A32311" t="s">
        <v>4</v>
      </c>
      <c r="B32311" s="4" t="s">
        <v>5</v>
      </c>
      <c r="C32311" s="4" t="s">
        <v>7</v>
      </c>
      <c r="D32311" s="4" t="s">
        <v>15</v>
      </c>
    </row>
    <row r="32312" spans="1:9">
      <c r="A32312" t="n">
        <v>315314</v>
      </c>
      <c r="B32312" s="49" t="n">
        <v>116</v>
      </c>
      <c r="C32312" s="7" t="n">
        <v>5</v>
      </c>
      <c r="D32312" s="7" t="n">
        <v>1077936128</v>
      </c>
    </row>
    <row r="32313" spans="1:9">
      <c r="A32313" t="s">
        <v>4</v>
      </c>
      <c r="B32313" s="4" t="s">
        <v>5</v>
      </c>
      <c r="C32313" s="4" t="s">
        <v>7</v>
      </c>
      <c r="D32313" s="4" t="s">
        <v>11</v>
      </c>
    </row>
    <row r="32314" spans="1:9">
      <c r="A32314" t="n">
        <v>315320</v>
      </c>
      <c r="B32314" s="49" t="n">
        <v>116</v>
      </c>
      <c r="C32314" s="7" t="n">
        <v>6</v>
      </c>
      <c r="D32314" s="7" t="n">
        <v>1</v>
      </c>
    </row>
    <row r="32315" spans="1:9">
      <c r="A32315" t="s">
        <v>4</v>
      </c>
      <c r="B32315" s="4" t="s">
        <v>5</v>
      </c>
      <c r="C32315" s="4" t="s">
        <v>7</v>
      </c>
      <c r="D32315" s="4" t="s">
        <v>11</v>
      </c>
      <c r="E32315" s="4" t="s">
        <v>8</v>
      </c>
      <c r="F32315" s="4" t="s">
        <v>8</v>
      </c>
      <c r="G32315" s="4" t="s">
        <v>8</v>
      </c>
      <c r="H32315" s="4" t="s">
        <v>8</v>
      </c>
    </row>
    <row r="32316" spans="1:9">
      <c r="A32316" t="n">
        <v>315324</v>
      </c>
      <c r="B32316" s="38" t="n">
        <v>51</v>
      </c>
      <c r="C32316" s="7" t="n">
        <v>3</v>
      </c>
      <c r="D32316" s="7" t="n">
        <v>13</v>
      </c>
      <c r="E32316" s="7" t="s">
        <v>99</v>
      </c>
      <c r="F32316" s="7" t="s">
        <v>79</v>
      </c>
      <c r="G32316" s="7" t="s">
        <v>78</v>
      </c>
      <c r="H32316" s="7" t="s">
        <v>79</v>
      </c>
    </row>
    <row r="32317" spans="1:9">
      <c r="A32317" t="s">
        <v>4</v>
      </c>
      <c r="B32317" s="4" t="s">
        <v>5</v>
      </c>
      <c r="C32317" s="4" t="s">
        <v>11</v>
      </c>
      <c r="D32317" s="4" t="s">
        <v>11</v>
      </c>
      <c r="E32317" s="4" t="s">
        <v>13</v>
      </c>
      <c r="F32317" s="4" t="s">
        <v>7</v>
      </c>
    </row>
    <row r="32318" spans="1:9">
      <c r="A32318" t="n">
        <v>315337</v>
      </c>
      <c r="B32318" s="73" t="n">
        <v>53</v>
      </c>
      <c r="C32318" s="7" t="n">
        <v>0</v>
      </c>
      <c r="D32318" s="7" t="n">
        <v>13</v>
      </c>
      <c r="E32318" s="7" t="n">
        <v>0</v>
      </c>
      <c r="F32318" s="7" t="n">
        <v>0</v>
      </c>
    </row>
    <row r="32319" spans="1:9">
      <c r="A32319" t="s">
        <v>4</v>
      </c>
      <c r="B32319" s="4" t="s">
        <v>5</v>
      </c>
      <c r="C32319" s="4" t="s">
        <v>7</v>
      </c>
      <c r="D32319" s="4" t="s">
        <v>11</v>
      </c>
    </row>
    <row r="32320" spans="1:9">
      <c r="A32320" t="n">
        <v>315347</v>
      </c>
      <c r="B32320" s="23" t="n">
        <v>58</v>
      </c>
      <c r="C32320" s="7" t="n">
        <v>255</v>
      </c>
      <c r="D32320" s="7" t="n">
        <v>0</v>
      </c>
    </row>
    <row r="32321" spans="1:8">
      <c r="A32321" t="s">
        <v>4</v>
      </c>
      <c r="B32321" s="4" t="s">
        <v>5</v>
      </c>
      <c r="C32321" s="4" t="s">
        <v>11</v>
      </c>
      <c r="D32321" s="4" t="s">
        <v>11</v>
      </c>
      <c r="E32321" s="4" t="s">
        <v>13</v>
      </c>
      <c r="F32321" s="4" t="s">
        <v>7</v>
      </c>
    </row>
    <row r="32322" spans="1:8">
      <c r="A32322" t="n">
        <v>315351</v>
      </c>
      <c r="B32322" s="73" t="n">
        <v>53</v>
      </c>
      <c r="C32322" s="7" t="n">
        <v>13</v>
      </c>
      <c r="D32322" s="7" t="n">
        <v>0</v>
      </c>
      <c r="E32322" s="7" t="n">
        <v>5</v>
      </c>
      <c r="F32322" s="7" t="n">
        <v>0</v>
      </c>
    </row>
    <row r="32323" spans="1:8">
      <c r="A32323" t="s">
        <v>4</v>
      </c>
      <c r="B32323" s="4" t="s">
        <v>5</v>
      </c>
      <c r="C32323" s="4" t="s">
        <v>11</v>
      </c>
    </row>
    <row r="32324" spans="1:8">
      <c r="A32324" t="n">
        <v>315361</v>
      </c>
      <c r="B32324" s="66" t="n">
        <v>54</v>
      </c>
      <c r="C32324" s="7" t="n">
        <v>13</v>
      </c>
    </row>
    <row r="32325" spans="1:8">
      <c r="A32325" t="s">
        <v>4</v>
      </c>
      <c r="B32325" s="4" t="s">
        <v>5</v>
      </c>
      <c r="C32325" s="4" t="s">
        <v>11</v>
      </c>
      <c r="D32325" s="4" t="s">
        <v>7</v>
      </c>
      <c r="E32325" s="4" t="s">
        <v>8</v>
      </c>
      <c r="F32325" s="4" t="s">
        <v>13</v>
      </c>
      <c r="G32325" s="4" t="s">
        <v>13</v>
      </c>
      <c r="H32325" s="4" t="s">
        <v>13</v>
      </c>
    </row>
    <row r="32326" spans="1:8">
      <c r="A32326" t="n">
        <v>315364</v>
      </c>
      <c r="B32326" s="42" t="n">
        <v>48</v>
      </c>
      <c r="C32326" s="7" t="n">
        <v>13</v>
      </c>
      <c r="D32326" s="7" t="n">
        <v>0</v>
      </c>
      <c r="E32326" s="7" t="s">
        <v>91</v>
      </c>
      <c r="F32326" s="7" t="n">
        <v>-1</v>
      </c>
      <c r="G32326" s="7" t="n">
        <v>1</v>
      </c>
      <c r="H32326" s="7" t="n">
        <v>0</v>
      </c>
    </row>
    <row r="32327" spans="1:8">
      <c r="A32327" t="s">
        <v>4</v>
      </c>
      <c r="B32327" s="4" t="s">
        <v>5</v>
      </c>
      <c r="C32327" s="4" t="s">
        <v>7</v>
      </c>
      <c r="D32327" s="4" t="s">
        <v>7</v>
      </c>
    </row>
    <row r="32328" spans="1:8">
      <c r="A32328" t="n">
        <v>315395</v>
      </c>
      <c r="B32328" s="13" t="n">
        <v>49</v>
      </c>
      <c r="C32328" s="7" t="n">
        <v>2</v>
      </c>
      <c r="D32328" s="7" t="n">
        <v>0</v>
      </c>
    </row>
    <row r="32329" spans="1:8">
      <c r="A32329" t="s">
        <v>4</v>
      </c>
      <c r="B32329" s="4" t="s">
        <v>5</v>
      </c>
      <c r="C32329" s="4" t="s">
        <v>7</v>
      </c>
      <c r="D32329" s="4" t="s">
        <v>11</v>
      </c>
      <c r="E32329" s="4" t="s">
        <v>15</v>
      </c>
      <c r="F32329" s="4" t="s">
        <v>11</v>
      </c>
      <c r="G32329" s="4" t="s">
        <v>15</v>
      </c>
      <c r="H32329" s="4" t="s">
        <v>7</v>
      </c>
    </row>
    <row r="32330" spans="1:8">
      <c r="A32330" t="n">
        <v>315398</v>
      </c>
      <c r="B32330" s="13" t="n">
        <v>49</v>
      </c>
      <c r="C32330" s="7" t="n">
        <v>0</v>
      </c>
      <c r="D32330" s="7" t="n">
        <v>551</v>
      </c>
      <c r="E32330" s="7" t="n">
        <v>1061997773</v>
      </c>
      <c r="F32330" s="7" t="n">
        <v>0</v>
      </c>
      <c r="G32330" s="7" t="n">
        <v>0</v>
      </c>
      <c r="H32330" s="7" t="n">
        <v>0</v>
      </c>
    </row>
    <row r="32331" spans="1:8">
      <c r="A32331" t="s">
        <v>4</v>
      </c>
      <c r="B32331" s="4" t="s">
        <v>5</v>
      </c>
      <c r="C32331" s="4" t="s">
        <v>7</v>
      </c>
      <c r="D32331" s="4" t="s">
        <v>11</v>
      </c>
    </row>
    <row r="32332" spans="1:8">
      <c r="A32332" t="n">
        <v>315413</v>
      </c>
      <c r="B32332" s="13" t="n">
        <v>49</v>
      </c>
      <c r="C32332" s="7" t="n">
        <v>6</v>
      </c>
      <c r="D32332" s="7" t="n">
        <v>551</v>
      </c>
    </row>
    <row r="32333" spans="1:8">
      <c r="A32333" t="s">
        <v>4</v>
      </c>
      <c r="B32333" s="4" t="s">
        <v>5</v>
      </c>
      <c r="C32333" s="4" t="s">
        <v>11</v>
      </c>
    </row>
    <row r="32334" spans="1:8">
      <c r="A32334" t="n">
        <v>315417</v>
      </c>
      <c r="B32334" s="29" t="n">
        <v>16</v>
      </c>
      <c r="C32334" s="7" t="n">
        <v>500</v>
      </c>
    </row>
    <row r="32335" spans="1:8">
      <c r="A32335" t="s">
        <v>4</v>
      </c>
      <c r="B32335" s="4" t="s">
        <v>5</v>
      </c>
      <c r="C32335" s="4" t="s">
        <v>7</v>
      </c>
      <c r="D32335" s="4" t="s">
        <v>11</v>
      </c>
      <c r="E32335" s="4" t="s">
        <v>8</v>
      </c>
    </row>
    <row r="32336" spans="1:8">
      <c r="A32336" t="n">
        <v>315420</v>
      </c>
      <c r="B32336" s="38" t="n">
        <v>51</v>
      </c>
      <c r="C32336" s="7" t="n">
        <v>4</v>
      </c>
      <c r="D32336" s="7" t="n">
        <v>13</v>
      </c>
      <c r="E32336" s="7" t="s">
        <v>242</v>
      </c>
    </row>
    <row r="32337" spans="1:8">
      <c r="A32337" t="s">
        <v>4</v>
      </c>
      <c r="B32337" s="4" t="s">
        <v>5</v>
      </c>
      <c r="C32337" s="4" t="s">
        <v>11</v>
      </c>
    </row>
    <row r="32338" spans="1:8">
      <c r="A32338" t="n">
        <v>315434</v>
      </c>
      <c r="B32338" s="29" t="n">
        <v>16</v>
      </c>
      <c r="C32338" s="7" t="n">
        <v>0</v>
      </c>
    </row>
    <row r="32339" spans="1:8">
      <c r="A32339" t="s">
        <v>4</v>
      </c>
      <c r="B32339" s="4" t="s">
        <v>5</v>
      </c>
      <c r="C32339" s="4" t="s">
        <v>11</v>
      </c>
      <c r="D32339" s="4" t="s">
        <v>7</v>
      </c>
      <c r="E32339" s="4" t="s">
        <v>15</v>
      </c>
      <c r="F32339" s="4" t="s">
        <v>55</v>
      </c>
      <c r="G32339" s="4" t="s">
        <v>7</v>
      </c>
      <c r="H32339" s="4" t="s">
        <v>7</v>
      </c>
      <c r="I32339" s="4" t="s">
        <v>7</v>
      </c>
      <c r="J32339" s="4" t="s">
        <v>15</v>
      </c>
      <c r="K32339" s="4" t="s">
        <v>55</v>
      </c>
      <c r="L32339" s="4" t="s">
        <v>7</v>
      </c>
      <c r="M32339" s="4" t="s">
        <v>7</v>
      </c>
    </row>
    <row r="32340" spans="1:8">
      <c r="A32340" t="n">
        <v>315437</v>
      </c>
      <c r="B32340" s="55" t="n">
        <v>26</v>
      </c>
      <c r="C32340" s="7" t="n">
        <v>13</v>
      </c>
      <c r="D32340" s="7" t="n">
        <v>17</v>
      </c>
      <c r="E32340" s="7" t="n">
        <v>11800</v>
      </c>
      <c r="F32340" s="7" t="s">
        <v>810</v>
      </c>
      <c r="G32340" s="7" t="n">
        <v>2</v>
      </c>
      <c r="H32340" s="7" t="n">
        <v>3</v>
      </c>
      <c r="I32340" s="7" t="n">
        <v>17</v>
      </c>
      <c r="J32340" s="7" t="n">
        <v>11801</v>
      </c>
      <c r="K32340" s="7" t="s">
        <v>811</v>
      </c>
      <c r="L32340" s="7" t="n">
        <v>2</v>
      </c>
      <c r="M32340" s="7" t="n">
        <v>0</v>
      </c>
    </row>
    <row r="32341" spans="1:8">
      <c r="A32341" t="s">
        <v>4</v>
      </c>
      <c r="B32341" s="4" t="s">
        <v>5</v>
      </c>
    </row>
    <row r="32342" spans="1:8">
      <c r="A32342" t="n">
        <v>315654</v>
      </c>
      <c r="B32342" s="27" t="n">
        <v>28</v>
      </c>
    </row>
    <row r="32343" spans="1:8">
      <c r="A32343" t="s">
        <v>4</v>
      </c>
      <c r="B32343" s="4" t="s">
        <v>5</v>
      </c>
      <c r="C32343" s="4" t="s">
        <v>11</v>
      </c>
      <c r="D32343" s="4" t="s">
        <v>7</v>
      </c>
    </row>
    <row r="32344" spans="1:8">
      <c r="A32344" t="n">
        <v>315655</v>
      </c>
      <c r="B32344" s="68" t="n">
        <v>89</v>
      </c>
      <c r="C32344" s="7" t="n">
        <v>65533</v>
      </c>
      <c r="D32344" s="7" t="n">
        <v>1</v>
      </c>
    </row>
    <row r="32345" spans="1:8">
      <c r="A32345" t="s">
        <v>4</v>
      </c>
      <c r="B32345" s="4" t="s">
        <v>5</v>
      </c>
      <c r="C32345" s="4" t="s">
        <v>7</v>
      </c>
      <c r="D32345" s="4" t="s">
        <v>13</v>
      </c>
      <c r="E32345" s="4" t="s">
        <v>11</v>
      </c>
      <c r="F32345" s="4" t="s">
        <v>7</v>
      </c>
    </row>
    <row r="32346" spans="1:8">
      <c r="A32346" t="n">
        <v>315659</v>
      </c>
      <c r="B32346" s="13" t="n">
        <v>49</v>
      </c>
      <c r="C32346" s="7" t="n">
        <v>3</v>
      </c>
      <c r="D32346" s="7" t="n">
        <v>0.600000023841858</v>
      </c>
      <c r="E32346" s="7" t="n">
        <v>500</v>
      </c>
      <c r="F32346" s="7" t="n">
        <v>0</v>
      </c>
    </row>
    <row r="32347" spans="1:8">
      <c r="A32347" t="s">
        <v>4</v>
      </c>
      <c r="B32347" s="4" t="s">
        <v>5</v>
      </c>
      <c r="C32347" s="4" t="s">
        <v>7</v>
      </c>
      <c r="D32347" s="4" t="s">
        <v>7</v>
      </c>
      <c r="E32347" s="4" t="s">
        <v>7</v>
      </c>
      <c r="F32347" s="4" t="s">
        <v>13</v>
      </c>
      <c r="G32347" s="4" t="s">
        <v>13</v>
      </c>
      <c r="H32347" s="4" t="s">
        <v>13</v>
      </c>
      <c r="I32347" s="4" t="s">
        <v>13</v>
      </c>
      <c r="J32347" s="4" t="s">
        <v>13</v>
      </c>
    </row>
    <row r="32348" spans="1:8">
      <c r="A32348" t="n">
        <v>315668</v>
      </c>
      <c r="B32348" s="25" t="n">
        <v>76</v>
      </c>
      <c r="C32348" s="7" t="n">
        <v>1</v>
      </c>
      <c r="D32348" s="7" t="n">
        <v>3</v>
      </c>
      <c r="E32348" s="7" t="n">
        <v>0</v>
      </c>
      <c r="F32348" s="7" t="n">
        <v>1</v>
      </c>
      <c r="G32348" s="7" t="n">
        <v>1</v>
      </c>
      <c r="H32348" s="7" t="n">
        <v>1</v>
      </c>
      <c r="I32348" s="7" t="n">
        <v>1</v>
      </c>
      <c r="J32348" s="7" t="n">
        <v>1000</v>
      </c>
    </row>
    <row r="32349" spans="1:8">
      <c r="A32349" t="s">
        <v>4</v>
      </c>
      <c r="B32349" s="4" t="s">
        <v>5</v>
      </c>
      <c r="C32349" s="4" t="s">
        <v>7</v>
      </c>
      <c r="D32349" s="4" t="s">
        <v>7</v>
      </c>
    </row>
    <row r="32350" spans="1:8">
      <c r="A32350" t="n">
        <v>315692</v>
      </c>
      <c r="B32350" s="26" t="n">
        <v>77</v>
      </c>
      <c r="C32350" s="7" t="n">
        <v>1</v>
      </c>
      <c r="D32350" s="7" t="n">
        <v>3</v>
      </c>
    </row>
    <row r="32351" spans="1:8">
      <c r="A32351" t="s">
        <v>4</v>
      </c>
      <c r="B32351" s="4" t="s">
        <v>5</v>
      </c>
      <c r="C32351" s="4" t="s">
        <v>11</v>
      </c>
    </row>
    <row r="32352" spans="1:8">
      <c r="A32352" t="n">
        <v>315695</v>
      </c>
      <c r="B32352" s="29" t="n">
        <v>16</v>
      </c>
      <c r="C32352" s="7" t="n">
        <v>2000</v>
      </c>
    </row>
    <row r="32353" spans="1:13">
      <c r="A32353" t="s">
        <v>4</v>
      </c>
      <c r="B32353" s="4" t="s">
        <v>5</v>
      </c>
      <c r="C32353" s="4" t="s">
        <v>7</v>
      </c>
      <c r="D32353" s="4" t="s">
        <v>13</v>
      </c>
      <c r="E32353" s="4" t="s">
        <v>11</v>
      </c>
      <c r="F32353" s="4" t="s">
        <v>7</v>
      </c>
    </row>
    <row r="32354" spans="1:13">
      <c r="A32354" t="n">
        <v>315698</v>
      </c>
      <c r="B32354" s="13" t="n">
        <v>49</v>
      </c>
      <c r="C32354" s="7" t="n">
        <v>3</v>
      </c>
      <c r="D32354" s="7" t="n">
        <v>0.800000011920929</v>
      </c>
      <c r="E32354" s="7" t="n">
        <v>1000</v>
      </c>
      <c r="F32354" s="7" t="n">
        <v>0</v>
      </c>
    </row>
    <row r="32355" spans="1:13">
      <c r="A32355" t="s">
        <v>4</v>
      </c>
      <c r="B32355" s="4" t="s">
        <v>5</v>
      </c>
      <c r="C32355" s="4" t="s">
        <v>7</v>
      </c>
      <c r="D32355" s="4" t="s">
        <v>7</v>
      </c>
      <c r="E32355" s="4" t="s">
        <v>7</v>
      </c>
      <c r="F32355" s="4" t="s">
        <v>13</v>
      </c>
      <c r="G32355" s="4" t="s">
        <v>13</v>
      </c>
      <c r="H32355" s="4" t="s">
        <v>13</v>
      </c>
      <c r="I32355" s="4" t="s">
        <v>13</v>
      </c>
      <c r="J32355" s="4" t="s">
        <v>13</v>
      </c>
    </row>
    <row r="32356" spans="1:13">
      <c r="A32356" t="n">
        <v>315707</v>
      </c>
      <c r="B32356" s="25" t="n">
        <v>76</v>
      </c>
      <c r="C32356" s="7" t="n">
        <v>1</v>
      </c>
      <c r="D32356" s="7" t="n">
        <v>3</v>
      </c>
      <c r="E32356" s="7" t="n">
        <v>0</v>
      </c>
      <c r="F32356" s="7" t="n">
        <v>1</v>
      </c>
      <c r="G32356" s="7" t="n">
        <v>1</v>
      </c>
      <c r="H32356" s="7" t="n">
        <v>1</v>
      </c>
      <c r="I32356" s="7" t="n">
        <v>0</v>
      </c>
      <c r="J32356" s="7" t="n">
        <v>1000</v>
      </c>
    </row>
    <row r="32357" spans="1:13">
      <c r="A32357" t="s">
        <v>4</v>
      </c>
      <c r="B32357" s="4" t="s">
        <v>5</v>
      </c>
      <c r="C32357" s="4" t="s">
        <v>7</v>
      </c>
      <c r="D32357" s="4" t="s">
        <v>7</v>
      </c>
    </row>
    <row r="32358" spans="1:13">
      <c r="A32358" t="n">
        <v>315731</v>
      </c>
      <c r="B32358" s="26" t="n">
        <v>77</v>
      </c>
      <c r="C32358" s="7" t="n">
        <v>1</v>
      </c>
      <c r="D32358" s="7" t="n">
        <v>3</v>
      </c>
    </row>
    <row r="32359" spans="1:13">
      <c r="A32359" t="s">
        <v>4</v>
      </c>
      <c r="B32359" s="4" t="s">
        <v>5</v>
      </c>
      <c r="C32359" s="4" t="s">
        <v>7</v>
      </c>
      <c r="D32359" s="4" t="s">
        <v>11</v>
      </c>
      <c r="E32359" s="4" t="s">
        <v>8</v>
      </c>
    </row>
    <row r="32360" spans="1:13">
      <c r="A32360" t="n">
        <v>315734</v>
      </c>
      <c r="B32360" s="38" t="n">
        <v>51</v>
      </c>
      <c r="C32360" s="7" t="n">
        <v>4</v>
      </c>
      <c r="D32360" s="7" t="n">
        <v>0</v>
      </c>
      <c r="E32360" s="7" t="s">
        <v>173</v>
      </c>
    </row>
    <row r="32361" spans="1:13">
      <c r="A32361" t="s">
        <v>4</v>
      </c>
      <c r="B32361" s="4" t="s">
        <v>5</v>
      </c>
      <c r="C32361" s="4" t="s">
        <v>11</v>
      </c>
    </row>
    <row r="32362" spans="1:13">
      <c r="A32362" t="n">
        <v>315747</v>
      </c>
      <c r="B32362" s="29" t="n">
        <v>16</v>
      </c>
      <c r="C32362" s="7" t="n">
        <v>0</v>
      </c>
    </row>
    <row r="32363" spans="1:13">
      <c r="A32363" t="s">
        <v>4</v>
      </c>
      <c r="B32363" s="4" t="s">
        <v>5</v>
      </c>
      <c r="C32363" s="4" t="s">
        <v>11</v>
      </c>
      <c r="D32363" s="4" t="s">
        <v>7</v>
      </c>
      <c r="E32363" s="4" t="s">
        <v>15</v>
      </c>
      <c r="F32363" s="4" t="s">
        <v>55</v>
      </c>
      <c r="G32363" s="4" t="s">
        <v>7</v>
      </c>
      <c r="H32363" s="4" t="s">
        <v>7</v>
      </c>
      <c r="I32363" s="4" t="s">
        <v>7</v>
      </c>
      <c r="J32363" s="4" t="s">
        <v>15</v>
      </c>
      <c r="K32363" s="4" t="s">
        <v>55</v>
      </c>
      <c r="L32363" s="4" t="s">
        <v>7</v>
      </c>
      <c r="M32363" s="4" t="s">
        <v>7</v>
      </c>
      <c r="N32363" s="4" t="s">
        <v>7</v>
      </c>
      <c r="O32363" s="4" t="s">
        <v>15</v>
      </c>
      <c r="P32363" s="4" t="s">
        <v>55</v>
      </c>
      <c r="Q32363" s="4" t="s">
        <v>7</v>
      </c>
      <c r="R32363" s="4" t="s">
        <v>7</v>
      </c>
    </row>
    <row r="32364" spans="1:13">
      <c r="A32364" t="n">
        <v>315750</v>
      </c>
      <c r="B32364" s="55" t="n">
        <v>26</v>
      </c>
      <c r="C32364" s="7" t="n">
        <v>0</v>
      </c>
      <c r="D32364" s="7" t="n">
        <v>17</v>
      </c>
      <c r="E32364" s="7" t="n">
        <v>64046</v>
      </c>
      <c r="F32364" s="7" t="s">
        <v>812</v>
      </c>
      <c r="G32364" s="7" t="n">
        <v>2</v>
      </c>
      <c r="H32364" s="7" t="n">
        <v>3</v>
      </c>
      <c r="I32364" s="7" t="n">
        <v>17</v>
      </c>
      <c r="J32364" s="7" t="n">
        <v>64047</v>
      </c>
      <c r="K32364" s="7" t="s">
        <v>813</v>
      </c>
      <c r="L32364" s="7" t="n">
        <v>2</v>
      </c>
      <c r="M32364" s="7" t="n">
        <v>3</v>
      </c>
      <c r="N32364" s="7" t="n">
        <v>17</v>
      </c>
      <c r="O32364" s="7" t="n">
        <v>64048</v>
      </c>
      <c r="P32364" s="7" t="s">
        <v>814</v>
      </c>
      <c r="Q32364" s="7" t="n">
        <v>2</v>
      </c>
      <c r="R32364" s="7" t="n">
        <v>0</v>
      </c>
    </row>
    <row r="32365" spans="1:13">
      <c r="A32365" t="s">
        <v>4</v>
      </c>
      <c r="B32365" s="4" t="s">
        <v>5</v>
      </c>
    </row>
    <row r="32366" spans="1:13">
      <c r="A32366" t="n">
        <v>316046</v>
      </c>
      <c r="B32366" s="27" t="n">
        <v>28</v>
      </c>
    </row>
    <row r="32367" spans="1:13">
      <c r="A32367" t="s">
        <v>4</v>
      </c>
      <c r="B32367" s="4" t="s">
        <v>5</v>
      </c>
      <c r="C32367" s="4" t="s">
        <v>7</v>
      </c>
      <c r="D32367" s="4" t="s">
        <v>11</v>
      </c>
      <c r="E32367" s="4" t="s">
        <v>8</v>
      </c>
    </row>
    <row r="32368" spans="1:13">
      <c r="A32368" t="n">
        <v>316047</v>
      </c>
      <c r="B32368" s="38" t="n">
        <v>51</v>
      </c>
      <c r="C32368" s="7" t="n">
        <v>4</v>
      </c>
      <c r="D32368" s="7" t="n">
        <v>13</v>
      </c>
      <c r="E32368" s="7" t="s">
        <v>491</v>
      </c>
    </row>
    <row r="32369" spans="1:18">
      <c r="A32369" t="s">
        <v>4</v>
      </c>
      <c r="B32369" s="4" t="s">
        <v>5</v>
      </c>
      <c r="C32369" s="4" t="s">
        <v>11</v>
      </c>
    </row>
    <row r="32370" spans="1:18">
      <c r="A32370" t="n">
        <v>316061</v>
      </c>
      <c r="B32370" s="29" t="n">
        <v>16</v>
      </c>
      <c r="C32370" s="7" t="n">
        <v>0</v>
      </c>
    </row>
    <row r="32371" spans="1:18">
      <c r="A32371" t="s">
        <v>4</v>
      </c>
      <c r="B32371" s="4" t="s">
        <v>5</v>
      </c>
      <c r="C32371" s="4" t="s">
        <v>11</v>
      </c>
      <c r="D32371" s="4" t="s">
        <v>7</v>
      </c>
      <c r="E32371" s="4" t="s">
        <v>15</v>
      </c>
      <c r="F32371" s="4" t="s">
        <v>55</v>
      </c>
      <c r="G32371" s="4" t="s">
        <v>7</v>
      </c>
      <c r="H32371" s="4" t="s">
        <v>7</v>
      </c>
      <c r="I32371" s="4" t="s">
        <v>7</v>
      </c>
      <c r="J32371" s="4" t="s">
        <v>15</v>
      </c>
      <c r="K32371" s="4" t="s">
        <v>55</v>
      </c>
      <c r="L32371" s="4" t="s">
        <v>7</v>
      </c>
      <c r="M32371" s="4" t="s">
        <v>7</v>
      </c>
    </row>
    <row r="32372" spans="1:18">
      <c r="A32372" t="n">
        <v>316064</v>
      </c>
      <c r="B32372" s="55" t="n">
        <v>26</v>
      </c>
      <c r="C32372" s="7" t="n">
        <v>13</v>
      </c>
      <c r="D32372" s="7" t="n">
        <v>17</v>
      </c>
      <c r="E32372" s="7" t="n">
        <v>11802</v>
      </c>
      <c r="F32372" s="7" t="s">
        <v>815</v>
      </c>
      <c r="G32372" s="7" t="n">
        <v>2</v>
      </c>
      <c r="H32372" s="7" t="n">
        <v>3</v>
      </c>
      <c r="I32372" s="7" t="n">
        <v>17</v>
      </c>
      <c r="J32372" s="7" t="n">
        <v>11803</v>
      </c>
      <c r="K32372" s="7" t="s">
        <v>816</v>
      </c>
      <c r="L32372" s="7" t="n">
        <v>2</v>
      </c>
      <c r="M32372" s="7" t="n">
        <v>0</v>
      </c>
    </row>
    <row r="32373" spans="1:18">
      <c r="A32373" t="s">
        <v>4</v>
      </c>
      <c r="B32373" s="4" t="s">
        <v>5</v>
      </c>
    </row>
    <row r="32374" spans="1:18">
      <c r="A32374" t="n">
        <v>316157</v>
      </c>
      <c r="B32374" s="27" t="n">
        <v>28</v>
      </c>
    </row>
    <row r="32375" spans="1:18">
      <c r="A32375" t="s">
        <v>4</v>
      </c>
      <c r="B32375" s="4" t="s">
        <v>5</v>
      </c>
      <c r="C32375" s="4" t="s">
        <v>7</v>
      </c>
      <c r="D32375" s="4" t="s">
        <v>11</v>
      </c>
      <c r="E32375" s="4" t="s">
        <v>8</v>
      </c>
    </row>
    <row r="32376" spans="1:18">
      <c r="A32376" t="n">
        <v>316158</v>
      </c>
      <c r="B32376" s="38" t="n">
        <v>51</v>
      </c>
      <c r="C32376" s="7" t="n">
        <v>4</v>
      </c>
      <c r="D32376" s="7" t="n">
        <v>0</v>
      </c>
      <c r="E32376" s="7" t="s">
        <v>147</v>
      </c>
    </row>
    <row r="32377" spans="1:18">
      <c r="A32377" t="s">
        <v>4</v>
      </c>
      <c r="B32377" s="4" t="s">
        <v>5</v>
      </c>
      <c r="C32377" s="4" t="s">
        <v>11</v>
      </c>
    </row>
    <row r="32378" spans="1:18">
      <c r="A32378" t="n">
        <v>316172</v>
      </c>
      <c r="B32378" s="29" t="n">
        <v>16</v>
      </c>
      <c r="C32378" s="7" t="n">
        <v>0</v>
      </c>
    </row>
    <row r="32379" spans="1:18">
      <c r="A32379" t="s">
        <v>4</v>
      </c>
      <c r="B32379" s="4" t="s">
        <v>5</v>
      </c>
      <c r="C32379" s="4" t="s">
        <v>11</v>
      </c>
      <c r="D32379" s="4" t="s">
        <v>7</v>
      </c>
      <c r="E32379" s="4" t="s">
        <v>15</v>
      </c>
      <c r="F32379" s="4" t="s">
        <v>55</v>
      </c>
      <c r="G32379" s="4" t="s">
        <v>7</v>
      </c>
      <c r="H32379" s="4" t="s">
        <v>7</v>
      </c>
    </row>
    <row r="32380" spans="1:18">
      <c r="A32380" t="n">
        <v>316175</v>
      </c>
      <c r="B32380" s="55" t="n">
        <v>26</v>
      </c>
      <c r="C32380" s="7" t="n">
        <v>0</v>
      </c>
      <c r="D32380" s="7" t="n">
        <v>17</v>
      </c>
      <c r="E32380" s="7" t="n">
        <v>64049</v>
      </c>
      <c r="F32380" s="7" t="s">
        <v>817</v>
      </c>
      <c r="G32380" s="7" t="n">
        <v>2</v>
      </c>
      <c r="H32380" s="7" t="n">
        <v>0</v>
      </c>
    </row>
    <row r="32381" spans="1:18">
      <c r="A32381" t="s">
        <v>4</v>
      </c>
      <c r="B32381" s="4" t="s">
        <v>5</v>
      </c>
    </row>
    <row r="32382" spans="1:18">
      <c r="A32382" t="n">
        <v>316196</v>
      </c>
      <c r="B32382" s="27" t="n">
        <v>28</v>
      </c>
    </row>
    <row r="32383" spans="1:18">
      <c r="A32383" t="s">
        <v>4</v>
      </c>
      <c r="B32383" s="4" t="s">
        <v>5</v>
      </c>
      <c r="C32383" s="4" t="s">
        <v>7</v>
      </c>
      <c r="D32383" s="4" t="s">
        <v>11</v>
      </c>
      <c r="E32383" s="4" t="s">
        <v>8</v>
      </c>
    </row>
    <row r="32384" spans="1:18">
      <c r="A32384" t="n">
        <v>316197</v>
      </c>
      <c r="B32384" s="38" t="n">
        <v>51</v>
      </c>
      <c r="C32384" s="7" t="n">
        <v>4</v>
      </c>
      <c r="D32384" s="7" t="n">
        <v>13</v>
      </c>
      <c r="E32384" s="7" t="s">
        <v>658</v>
      </c>
    </row>
    <row r="32385" spans="1:13">
      <c r="A32385" t="s">
        <v>4</v>
      </c>
      <c r="B32385" s="4" t="s">
        <v>5</v>
      </c>
      <c r="C32385" s="4" t="s">
        <v>11</v>
      </c>
    </row>
    <row r="32386" spans="1:13">
      <c r="A32386" t="n">
        <v>316211</v>
      </c>
      <c r="B32386" s="29" t="n">
        <v>16</v>
      </c>
      <c r="C32386" s="7" t="n">
        <v>0</v>
      </c>
    </row>
    <row r="32387" spans="1:13">
      <c r="A32387" t="s">
        <v>4</v>
      </c>
      <c r="B32387" s="4" t="s">
        <v>5</v>
      </c>
      <c r="C32387" s="4" t="s">
        <v>11</v>
      </c>
      <c r="D32387" s="4" t="s">
        <v>7</v>
      </c>
      <c r="E32387" s="4" t="s">
        <v>15</v>
      </c>
      <c r="F32387" s="4" t="s">
        <v>55</v>
      </c>
      <c r="G32387" s="4" t="s">
        <v>7</v>
      </c>
      <c r="H32387" s="4" t="s">
        <v>7</v>
      </c>
      <c r="I32387" s="4" t="s">
        <v>7</v>
      </c>
      <c r="J32387" s="4" t="s">
        <v>15</v>
      </c>
      <c r="K32387" s="4" t="s">
        <v>55</v>
      </c>
      <c r="L32387" s="4" t="s">
        <v>7</v>
      </c>
      <c r="M32387" s="4" t="s">
        <v>7</v>
      </c>
      <c r="N32387" s="4" t="s">
        <v>7</v>
      </c>
      <c r="O32387" s="4" t="s">
        <v>15</v>
      </c>
      <c r="P32387" s="4" t="s">
        <v>55</v>
      </c>
      <c r="Q32387" s="4" t="s">
        <v>7</v>
      </c>
      <c r="R32387" s="4" t="s">
        <v>7</v>
      </c>
      <c r="S32387" s="4" t="s">
        <v>7</v>
      </c>
      <c r="T32387" s="4" t="s">
        <v>15</v>
      </c>
      <c r="U32387" s="4" t="s">
        <v>55</v>
      </c>
      <c r="V32387" s="4" t="s">
        <v>7</v>
      </c>
      <c r="W32387" s="4" t="s">
        <v>7</v>
      </c>
      <c r="X32387" s="4" t="s">
        <v>7</v>
      </c>
      <c r="Y32387" s="4" t="s">
        <v>15</v>
      </c>
      <c r="Z32387" s="4" t="s">
        <v>55</v>
      </c>
      <c r="AA32387" s="4" t="s">
        <v>7</v>
      </c>
      <c r="AB32387" s="4" t="s">
        <v>7</v>
      </c>
    </row>
    <row r="32388" spans="1:13">
      <c r="A32388" t="n">
        <v>316214</v>
      </c>
      <c r="B32388" s="55" t="n">
        <v>26</v>
      </c>
      <c r="C32388" s="7" t="n">
        <v>13</v>
      </c>
      <c r="D32388" s="7" t="n">
        <v>17</v>
      </c>
      <c r="E32388" s="7" t="n">
        <v>11804</v>
      </c>
      <c r="F32388" s="7" t="s">
        <v>818</v>
      </c>
      <c r="G32388" s="7" t="n">
        <v>2</v>
      </c>
      <c r="H32388" s="7" t="n">
        <v>3</v>
      </c>
      <c r="I32388" s="7" t="n">
        <v>17</v>
      </c>
      <c r="J32388" s="7" t="n">
        <v>11805</v>
      </c>
      <c r="K32388" s="7" t="s">
        <v>819</v>
      </c>
      <c r="L32388" s="7" t="n">
        <v>2</v>
      </c>
      <c r="M32388" s="7" t="n">
        <v>3</v>
      </c>
      <c r="N32388" s="7" t="n">
        <v>17</v>
      </c>
      <c r="O32388" s="7" t="n">
        <v>11806</v>
      </c>
      <c r="P32388" s="7" t="s">
        <v>820</v>
      </c>
      <c r="Q32388" s="7" t="n">
        <v>2</v>
      </c>
      <c r="R32388" s="7" t="n">
        <v>3</v>
      </c>
      <c r="S32388" s="7" t="n">
        <v>17</v>
      </c>
      <c r="T32388" s="7" t="n">
        <v>11807</v>
      </c>
      <c r="U32388" s="7" t="s">
        <v>821</v>
      </c>
      <c r="V32388" s="7" t="n">
        <v>2</v>
      </c>
      <c r="W32388" s="7" t="n">
        <v>3</v>
      </c>
      <c r="X32388" s="7" t="n">
        <v>17</v>
      </c>
      <c r="Y32388" s="7" t="n">
        <v>11808</v>
      </c>
      <c r="Z32388" s="7" t="s">
        <v>822</v>
      </c>
      <c r="AA32388" s="7" t="n">
        <v>2</v>
      </c>
      <c r="AB32388" s="7" t="n">
        <v>0</v>
      </c>
    </row>
    <row r="32389" spans="1:13">
      <c r="A32389" t="s">
        <v>4</v>
      </c>
      <c r="B32389" s="4" t="s">
        <v>5</v>
      </c>
    </row>
    <row r="32390" spans="1:13">
      <c r="A32390" t="n">
        <v>316716</v>
      </c>
      <c r="B32390" s="27" t="n">
        <v>28</v>
      </c>
    </row>
    <row r="32391" spans="1:13">
      <c r="A32391" t="s">
        <v>4</v>
      </c>
      <c r="B32391" s="4" t="s">
        <v>5</v>
      </c>
      <c r="C32391" s="4" t="s">
        <v>7</v>
      </c>
      <c r="D32391" s="4" t="s">
        <v>11</v>
      </c>
      <c r="E32391" s="4" t="s">
        <v>8</v>
      </c>
    </row>
    <row r="32392" spans="1:13">
      <c r="A32392" t="n">
        <v>316717</v>
      </c>
      <c r="B32392" s="38" t="n">
        <v>51</v>
      </c>
      <c r="C32392" s="7" t="n">
        <v>4</v>
      </c>
      <c r="D32392" s="7" t="n">
        <v>0</v>
      </c>
      <c r="E32392" s="7" t="s">
        <v>206</v>
      </c>
    </row>
    <row r="32393" spans="1:13">
      <c r="A32393" t="s">
        <v>4</v>
      </c>
      <c r="B32393" s="4" t="s">
        <v>5</v>
      </c>
      <c r="C32393" s="4" t="s">
        <v>11</v>
      </c>
    </row>
    <row r="32394" spans="1:13">
      <c r="A32394" t="n">
        <v>316732</v>
      </c>
      <c r="B32394" s="29" t="n">
        <v>16</v>
      </c>
      <c r="C32394" s="7" t="n">
        <v>0</v>
      </c>
    </row>
    <row r="32395" spans="1:13">
      <c r="A32395" t="s">
        <v>4</v>
      </c>
      <c r="B32395" s="4" t="s">
        <v>5</v>
      </c>
      <c r="C32395" s="4" t="s">
        <v>11</v>
      </c>
      <c r="D32395" s="4" t="s">
        <v>7</v>
      </c>
      <c r="E32395" s="4" t="s">
        <v>15</v>
      </c>
      <c r="F32395" s="4" t="s">
        <v>55</v>
      </c>
      <c r="G32395" s="4" t="s">
        <v>7</v>
      </c>
      <c r="H32395" s="4" t="s">
        <v>7</v>
      </c>
    </row>
    <row r="32396" spans="1:13">
      <c r="A32396" t="n">
        <v>316735</v>
      </c>
      <c r="B32396" s="55" t="n">
        <v>26</v>
      </c>
      <c r="C32396" s="7" t="n">
        <v>0</v>
      </c>
      <c r="D32396" s="7" t="n">
        <v>17</v>
      </c>
      <c r="E32396" s="7" t="n">
        <v>65271</v>
      </c>
      <c r="F32396" s="7" t="s">
        <v>336</v>
      </c>
      <c r="G32396" s="7" t="n">
        <v>2</v>
      </c>
      <c r="H32396" s="7" t="n">
        <v>0</v>
      </c>
    </row>
    <row r="32397" spans="1:13">
      <c r="A32397" t="s">
        <v>4</v>
      </c>
      <c r="B32397" s="4" t="s">
        <v>5</v>
      </c>
    </row>
    <row r="32398" spans="1:13">
      <c r="A32398" t="n">
        <v>316757</v>
      </c>
      <c r="B32398" s="27" t="n">
        <v>28</v>
      </c>
    </row>
    <row r="32399" spans="1:13">
      <c r="A32399" t="s">
        <v>4</v>
      </c>
      <c r="B32399" s="4" t="s">
        <v>5</v>
      </c>
      <c r="C32399" s="4" t="s">
        <v>11</v>
      </c>
      <c r="D32399" s="4" t="s">
        <v>7</v>
      </c>
    </row>
    <row r="32400" spans="1:13">
      <c r="A32400" t="n">
        <v>316758</v>
      </c>
      <c r="B32400" s="68" t="n">
        <v>89</v>
      </c>
      <c r="C32400" s="7" t="n">
        <v>65533</v>
      </c>
      <c r="D32400" s="7" t="n">
        <v>1</v>
      </c>
    </row>
    <row r="32401" spans="1:28">
      <c r="A32401" t="s">
        <v>4</v>
      </c>
      <c r="B32401" s="4" t="s">
        <v>5</v>
      </c>
      <c r="C32401" s="4" t="s">
        <v>7</v>
      </c>
      <c r="D32401" s="4" t="s">
        <v>11</v>
      </c>
      <c r="E32401" s="4" t="s">
        <v>13</v>
      </c>
    </row>
    <row r="32402" spans="1:28">
      <c r="A32402" t="n">
        <v>316762</v>
      </c>
      <c r="B32402" s="23" t="n">
        <v>58</v>
      </c>
      <c r="C32402" s="7" t="n">
        <v>101</v>
      </c>
      <c r="D32402" s="7" t="n">
        <v>500</v>
      </c>
      <c r="E32402" s="7" t="n">
        <v>1</v>
      </c>
    </row>
    <row r="32403" spans="1:28">
      <c r="A32403" t="s">
        <v>4</v>
      </c>
      <c r="B32403" s="4" t="s">
        <v>5</v>
      </c>
      <c r="C32403" s="4" t="s">
        <v>7</v>
      </c>
      <c r="D32403" s="4" t="s">
        <v>11</v>
      </c>
    </row>
    <row r="32404" spans="1:28">
      <c r="A32404" t="n">
        <v>316770</v>
      </c>
      <c r="B32404" s="23" t="n">
        <v>58</v>
      </c>
      <c r="C32404" s="7" t="n">
        <v>254</v>
      </c>
      <c r="D32404" s="7" t="n">
        <v>0</v>
      </c>
    </row>
    <row r="32405" spans="1:28">
      <c r="A32405" t="s">
        <v>4</v>
      </c>
      <c r="B32405" s="4" t="s">
        <v>5</v>
      </c>
      <c r="C32405" s="4" t="s">
        <v>7</v>
      </c>
      <c r="D32405" s="4" t="s">
        <v>7</v>
      </c>
      <c r="E32405" s="4" t="s">
        <v>13</v>
      </c>
      <c r="F32405" s="4" t="s">
        <v>13</v>
      </c>
      <c r="G32405" s="4" t="s">
        <v>13</v>
      </c>
      <c r="H32405" s="4" t="s">
        <v>11</v>
      </c>
    </row>
    <row r="32406" spans="1:28">
      <c r="A32406" t="n">
        <v>316774</v>
      </c>
      <c r="B32406" s="51" t="n">
        <v>45</v>
      </c>
      <c r="C32406" s="7" t="n">
        <v>2</v>
      </c>
      <c r="D32406" s="7" t="n">
        <v>3</v>
      </c>
      <c r="E32406" s="7" t="n">
        <v>-6.84000015258789</v>
      </c>
      <c r="F32406" s="7" t="n">
        <v>6.42999982833862</v>
      </c>
      <c r="G32406" s="7" t="n">
        <v>29.8799991607666</v>
      </c>
      <c r="H32406" s="7" t="n">
        <v>0</v>
      </c>
    </row>
    <row r="32407" spans="1:28">
      <c r="A32407" t="s">
        <v>4</v>
      </c>
      <c r="B32407" s="4" t="s">
        <v>5</v>
      </c>
      <c r="C32407" s="4" t="s">
        <v>7</v>
      </c>
      <c r="D32407" s="4" t="s">
        <v>7</v>
      </c>
      <c r="E32407" s="4" t="s">
        <v>13</v>
      </c>
      <c r="F32407" s="4" t="s">
        <v>13</v>
      </c>
      <c r="G32407" s="4" t="s">
        <v>13</v>
      </c>
      <c r="H32407" s="4" t="s">
        <v>11</v>
      </c>
      <c r="I32407" s="4" t="s">
        <v>7</v>
      </c>
    </row>
    <row r="32408" spans="1:28">
      <c r="A32408" t="n">
        <v>316791</v>
      </c>
      <c r="B32408" s="51" t="n">
        <v>45</v>
      </c>
      <c r="C32408" s="7" t="n">
        <v>4</v>
      </c>
      <c r="D32408" s="7" t="n">
        <v>3</v>
      </c>
      <c r="E32408" s="7" t="n">
        <v>17.4300003051758</v>
      </c>
      <c r="F32408" s="7" t="n">
        <v>54.0699996948242</v>
      </c>
      <c r="G32408" s="7" t="n">
        <v>8</v>
      </c>
      <c r="H32408" s="7" t="n">
        <v>0</v>
      </c>
      <c r="I32408" s="7" t="n">
        <v>0</v>
      </c>
    </row>
    <row r="32409" spans="1:28">
      <c r="A32409" t="s">
        <v>4</v>
      </c>
      <c r="B32409" s="4" t="s">
        <v>5</v>
      </c>
      <c r="C32409" s="4" t="s">
        <v>7</v>
      </c>
      <c r="D32409" s="4" t="s">
        <v>7</v>
      </c>
      <c r="E32409" s="4" t="s">
        <v>13</v>
      </c>
      <c r="F32409" s="4" t="s">
        <v>11</v>
      </c>
    </row>
    <row r="32410" spans="1:28">
      <c r="A32410" t="n">
        <v>316809</v>
      </c>
      <c r="B32410" s="51" t="n">
        <v>45</v>
      </c>
      <c r="C32410" s="7" t="n">
        <v>5</v>
      </c>
      <c r="D32410" s="7" t="n">
        <v>3</v>
      </c>
      <c r="E32410" s="7" t="n">
        <v>1.10000002384186</v>
      </c>
      <c r="F32410" s="7" t="n">
        <v>0</v>
      </c>
    </row>
    <row r="32411" spans="1:28">
      <c r="A32411" t="s">
        <v>4</v>
      </c>
      <c r="B32411" s="4" t="s">
        <v>5</v>
      </c>
      <c r="C32411" s="4" t="s">
        <v>7</v>
      </c>
      <c r="D32411" s="4" t="s">
        <v>7</v>
      </c>
      <c r="E32411" s="4" t="s">
        <v>13</v>
      </c>
      <c r="F32411" s="4" t="s">
        <v>11</v>
      </c>
    </row>
    <row r="32412" spans="1:28">
      <c r="A32412" t="n">
        <v>316818</v>
      </c>
      <c r="B32412" s="51" t="n">
        <v>45</v>
      </c>
      <c r="C32412" s="7" t="n">
        <v>11</v>
      </c>
      <c r="D32412" s="7" t="n">
        <v>3</v>
      </c>
      <c r="E32412" s="7" t="n">
        <v>40.2999992370605</v>
      </c>
      <c r="F32412" s="7" t="n">
        <v>0</v>
      </c>
    </row>
    <row r="32413" spans="1:28">
      <c r="A32413" t="s">
        <v>4</v>
      </c>
      <c r="B32413" s="4" t="s">
        <v>5</v>
      </c>
      <c r="C32413" s="4" t="s">
        <v>11</v>
      </c>
      <c r="D32413" s="4" t="s">
        <v>7</v>
      </c>
      <c r="E32413" s="4" t="s">
        <v>8</v>
      </c>
      <c r="F32413" s="4" t="s">
        <v>13</v>
      </c>
      <c r="G32413" s="4" t="s">
        <v>13</v>
      </c>
      <c r="H32413" s="4" t="s">
        <v>13</v>
      </c>
    </row>
    <row r="32414" spans="1:28">
      <c r="A32414" t="n">
        <v>316827</v>
      </c>
      <c r="B32414" s="42" t="n">
        <v>48</v>
      </c>
      <c r="C32414" s="7" t="n">
        <v>13</v>
      </c>
      <c r="D32414" s="7" t="n">
        <v>0</v>
      </c>
      <c r="E32414" s="7" t="s">
        <v>392</v>
      </c>
      <c r="F32414" s="7" t="n">
        <v>-1</v>
      </c>
      <c r="G32414" s="7" t="n">
        <v>1</v>
      </c>
      <c r="H32414" s="7" t="n">
        <v>0</v>
      </c>
    </row>
    <row r="32415" spans="1:28">
      <c r="A32415" t="s">
        <v>4</v>
      </c>
      <c r="B32415" s="4" t="s">
        <v>5</v>
      </c>
      <c r="C32415" s="4" t="s">
        <v>7</v>
      </c>
      <c r="D32415" s="4" t="s">
        <v>11</v>
      </c>
    </row>
    <row r="32416" spans="1:28">
      <c r="A32416" t="n">
        <v>316855</v>
      </c>
      <c r="B32416" s="23" t="n">
        <v>58</v>
      </c>
      <c r="C32416" s="7" t="n">
        <v>255</v>
      </c>
      <c r="D32416" s="7" t="n">
        <v>0</v>
      </c>
    </row>
    <row r="32417" spans="1:9">
      <c r="A32417" t="s">
        <v>4</v>
      </c>
      <c r="B32417" s="4" t="s">
        <v>5</v>
      </c>
      <c r="C32417" s="4" t="s">
        <v>7</v>
      </c>
      <c r="D32417" s="4" t="s">
        <v>11</v>
      </c>
      <c r="E32417" s="4" t="s">
        <v>8</v>
      </c>
    </row>
    <row r="32418" spans="1:9">
      <c r="A32418" t="n">
        <v>316859</v>
      </c>
      <c r="B32418" s="38" t="n">
        <v>51</v>
      </c>
      <c r="C32418" s="7" t="n">
        <v>4</v>
      </c>
      <c r="D32418" s="7" t="n">
        <v>13</v>
      </c>
      <c r="E32418" s="7" t="s">
        <v>192</v>
      </c>
    </row>
    <row r="32419" spans="1:9">
      <c r="A32419" t="s">
        <v>4</v>
      </c>
      <c r="B32419" s="4" t="s">
        <v>5</v>
      </c>
      <c r="C32419" s="4" t="s">
        <v>11</v>
      </c>
    </row>
    <row r="32420" spans="1:9">
      <c r="A32420" t="n">
        <v>316872</v>
      </c>
      <c r="B32420" s="29" t="n">
        <v>16</v>
      </c>
      <c r="C32420" s="7" t="n">
        <v>0</v>
      </c>
    </row>
    <row r="32421" spans="1:9">
      <c r="A32421" t="s">
        <v>4</v>
      </c>
      <c r="B32421" s="4" t="s">
        <v>5</v>
      </c>
      <c r="C32421" s="4" t="s">
        <v>11</v>
      </c>
      <c r="D32421" s="4" t="s">
        <v>7</v>
      </c>
      <c r="E32421" s="4" t="s">
        <v>15</v>
      </c>
      <c r="F32421" s="4" t="s">
        <v>55</v>
      </c>
      <c r="G32421" s="4" t="s">
        <v>7</v>
      </c>
      <c r="H32421" s="4" t="s">
        <v>7</v>
      </c>
      <c r="I32421" s="4" t="s">
        <v>7</v>
      </c>
      <c r="J32421" s="4" t="s">
        <v>15</v>
      </c>
      <c r="K32421" s="4" t="s">
        <v>55</v>
      </c>
      <c r="L32421" s="4" t="s">
        <v>7</v>
      </c>
      <c r="M32421" s="4" t="s">
        <v>7</v>
      </c>
      <c r="N32421" s="4" t="s">
        <v>7</v>
      </c>
      <c r="O32421" s="4" t="s">
        <v>15</v>
      </c>
      <c r="P32421" s="4" t="s">
        <v>55</v>
      </c>
      <c r="Q32421" s="4" t="s">
        <v>7</v>
      </c>
      <c r="R32421" s="4" t="s">
        <v>7</v>
      </c>
    </row>
    <row r="32422" spans="1:9">
      <c r="A32422" t="n">
        <v>316875</v>
      </c>
      <c r="B32422" s="55" t="n">
        <v>26</v>
      </c>
      <c r="C32422" s="7" t="n">
        <v>13</v>
      </c>
      <c r="D32422" s="7" t="n">
        <v>17</v>
      </c>
      <c r="E32422" s="7" t="n">
        <v>11809</v>
      </c>
      <c r="F32422" s="7" t="s">
        <v>823</v>
      </c>
      <c r="G32422" s="7" t="n">
        <v>2</v>
      </c>
      <c r="H32422" s="7" t="n">
        <v>3</v>
      </c>
      <c r="I32422" s="7" t="n">
        <v>17</v>
      </c>
      <c r="J32422" s="7" t="n">
        <v>11810</v>
      </c>
      <c r="K32422" s="7" t="s">
        <v>824</v>
      </c>
      <c r="L32422" s="7" t="n">
        <v>2</v>
      </c>
      <c r="M32422" s="7" t="n">
        <v>3</v>
      </c>
      <c r="N32422" s="7" t="n">
        <v>17</v>
      </c>
      <c r="O32422" s="7" t="n">
        <v>11811</v>
      </c>
      <c r="P32422" s="7" t="s">
        <v>825</v>
      </c>
      <c r="Q32422" s="7" t="n">
        <v>2</v>
      </c>
      <c r="R32422" s="7" t="n">
        <v>0</v>
      </c>
    </row>
    <row r="32423" spans="1:9">
      <c r="A32423" t="s">
        <v>4</v>
      </c>
      <c r="B32423" s="4" t="s">
        <v>5</v>
      </c>
    </row>
    <row r="32424" spans="1:9">
      <c r="A32424" t="n">
        <v>317243</v>
      </c>
      <c r="B32424" s="27" t="n">
        <v>28</v>
      </c>
    </row>
    <row r="32425" spans="1:9">
      <c r="A32425" t="s">
        <v>4</v>
      </c>
      <c r="B32425" s="4" t="s">
        <v>5</v>
      </c>
      <c r="C32425" s="4" t="s">
        <v>7</v>
      </c>
      <c r="D32425" s="4" t="s">
        <v>11</v>
      </c>
      <c r="E32425" s="4" t="s">
        <v>8</v>
      </c>
    </row>
    <row r="32426" spans="1:9">
      <c r="A32426" t="n">
        <v>317244</v>
      </c>
      <c r="B32426" s="38" t="n">
        <v>51</v>
      </c>
      <c r="C32426" s="7" t="n">
        <v>4</v>
      </c>
      <c r="D32426" s="7" t="n">
        <v>0</v>
      </c>
      <c r="E32426" s="7" t="s">
        <v>379</v>
      </c>
    </row>
    <row r="32427" spans="1:9">
      <c r="A32427" t="s">
        <v>4</v>
      </c>
      <c r="B32427" s="4" t="s">
        <v>5</v>
      </c>
      <c r="C32427" s="4" t="s">
        <v>11</v>
      </c>
    </row>
    <row r="32428" spans="1:9">
      <c r="A32428" t="n">
        <v>317258</v>
      </c>
      <c r="B32428" s="29" t="n">
        <v>16</v>
      </c>
      <c r="C32428" s="7" t="n">
        <v>0</v>
      </c>
    </row>
    <row r="32429" spans="1:9">
      <c r="A32429" t="s">
        <v>4</v>
      </c>
      <c r="B32429" s="4" t="s">
        <v>5</v>
      </c>
      <c r="C32429" s="4" t="s">
        <v>11</v>
      </c>
      <c r="D32429" s="4" t="s">
        <v>7</v>
      </c>
      <c r="E32429" s="4" t="s">
        <v>15</v>
      </c>
      <c r="F32429" s="4" t="s">
        <v>55</v>
      </c>
      <c r="G32429" s="4" t="s">
        <v>7</v>
      </c>
      <c r="H32429" s="4" t="s">
        <v>7</v>
      </c>
    </row>
    <row r="32430" spans="1:9">
      <c r="A32430" t="n">
        <v>317261</v>
      </c>
      <c r="B32430" s="55" t="n">
        <v>26</v>
      </c>
      <c r="C32430" s="7" t="n">
        <v>0</v>
      </c>
      <c r="D32430" s="7" t="n">
        <v>17</v>
      </c>
      <c r="E32430" s="7" t="n">
        <v>64050</v>
      </c>
      <c r="F32430" s="7" t="s">
        <v>826</v>
      </c>
      <c r="G32430" s="7" t="n">
        <v>2</v>
      </c>
      <c r="H32430" s="7" t="n">
        <v>0</v>
      </c>
    </row>
    <row r="32431" spans="1:9">
      <c r="A32431" t="s">
        <v>4</v>
      </c>
      <c r="B32431" s="4" t="s">
        <v>5</v>
      </c>
    </row>
    <row r="32432" spans="1:9">
      <c r="A32432" t="n">
        <v>317288</v>
      </c>
      <c r="B32432" s="27" t="n">
        <v>28</v>
      </c>
    </row>
    <row r="32433" spans="1:18">
      <c r="A32433" t="s">
        <v>4</v>
      </c>
      <c r="B32433" s="4" t="s">
        <v>5</v>
      </c>
      <c r="C32433" s="4" t="s">
        <v>11</v>
      </c>
      <c r="D32433" s="4" t="s">
        <v>7</v>
      </c>
      <c r="E32433" s="4" t="s">
        <v>13</v>
      </c>
      <c r="F32433" s="4" t="s">
        <v>11</v>
      </c>
    </row>
    <row r="32434" spans="1:18">
      <c r="A32434" t="n">
        <v>317289</v>
      </c>
      <c r="B32434" s="56" t="n">
        <v>59</v>
      </c>
      <c r="C32434" s="7" t="n">
        <v>0</v>
      </c>
      <c r="D32434" s="7" t="n">
        <v>9</v>
      </c>
      <c r="E32434" s="7" t="n">
        <v>0.150000005960464</v>
      </c>
      <c r="F32434" s="7" t="n">
        <v>0</v>
      </c>
    </row>
    <row r="32435" spans="1:18">
      <c r="A32435" t="s">
        <v>4</v>
      </c>
      <c r="B32435" s="4" t="s">
        <v>5</v>
      </c>
      <c r="C32435" s="4" t="s">
        <v>11</v>
      </c>
    </row>
    <row r="32436" spans="1:18">
      <c r="A32436" t="n">
        <v>317299</v>
      </c>
      <c r="B32436" s="29" t="n">
        <v>16</v>
      </c>
      <c r="C32436" s="7" t="n">
        <v>1500</v>
      </c>
    </row>
    <row r="32437" spans="1:18">
      <c r="A32437" t="s">
        <v>4</v>
      </c>
      <c r="B32437" s="4" t="s">
        <v>5</v>
      </c>
      <c r="C32437" s="4" t="s">
        <v>7</v>
      </c>
      <c r="D32437" s="4" t="s">
        <v>11</v>
      </c>
      <c r="E32437" s="4" t="s">
        <v>8</v>
      </c>
    </row>
    <row r="32438" spans="1:18">
      <c r="A32438" t="n">
        <v>317302</v>
      </c>
      <c r="B32438" s="38" t="n">
        <v>51</v>
      </c>
      <c r="C32438" s="7" t="n">
        <v>4</v>
      </c>
      <c r="D32438" s="7" t="n">
        <v>0</v>
      </c>
      <c r="E32438" s="7" t="s">
        <v>363</v>
      </c>
    </row>
    <row r="32439" spans="1:18">
      <c r="A32439" t="s">
        <v>4</v>
      </c>
      <c r="B32439" s="4" t="s">
        <v>5</v>
      </c>
      <c r="C32439" s="4" t="s">
        <v>11</v>
      </c>
    </row>
    <row r="32440" spans="1:18">
      <c r="A32440" t="n">
        <v>317316</v>
      </c>
      <c r="B32440" s="29" t="n">
        <v>16</v>
      </c>
      <c r="C32440" s="7" t="n">
        <v>0</v>
      </c>
    </row>
    <row r="32441" spans="1:18">
      <c r="A32441" t="s">
        <v>4</v>
      </c>
      <c r="B32441" s="4" t="s">
        <v>5</v>
      </c>
      <c r="C32441" s="4" t="s">
        <v>11</v>
      </c>
      <c r="D32441" s="4" t="s">
        <v>7</v>
      </c>
      <c r="E32441" s="4" t="s">
        <v>15</v>
      </c>
      <c r="F32441" s="4" t="s">
        <v>55</v>
      </c>
      <c r="G32441" s="4" t="s">
        <v>7</v>
      </c>
      <c r="H32441" s="4" t="s">
        <v>7</v>
      </c>
      <c r="I32441" s="4" t="s">
        <v>7</v>
      </c>
      <c r="J32441" s="4" t="s">
        <v>15</v>
      </c>
      <c r="K32441" s="4" t="s">
        <v>55</v>
      </c>
      <c r="L32441" s="4" t="s">
        <v>7</v>
      </c>
      <c r="M32441" s="4" t="s">
        <v>7</v>
      </c>
      <c r="N32441" s="4" t="s">
        <v>7</v>
      </c>
      <c r="O32441" s="4" t="s">
        <v>15</v>
      </c>
      <c r="P32441" s="4" t="s">
        <v>55</v>
      </c>
      <c r="Q32441" s="4" t="s">
        <v>7</v>
      </c>
      <c r="R32441" s="4" t="s">
        <v>7</v>
      </c>
    </row>
    <row r="32442" spans="1:18">
      <c r="A32442" t="n">
        <v>317319</v>
      </c>
      <c r="B32442" s="55" t="n">
        <v>26</v>
      </c>
      <c r="C32442" s="7" t="n">
        <v>0</v>
      </c>
      <c r="D32442" s="7" t="n">
        <v>17</v>
      </c>
      <c r="E32442" s="7" t="n">
        <v>64051</v>
      </c>
      <c r="F32442" s="7" t="s">
        <v>827</v>
      </c>
      <c r="G32442" s="7" t="n">
        <v>2</v>
      </c>
      <c r="H32442" s="7" t="n">
        <v>3</v>
      </c>
      <c r="I32442" s="7" t="n">
        <v>17</v>
      </c>
      <c r="J32442" s="7" t="n">
        <v>64052</v>
      </c>
      <c r="K32442" s="7" t="s">
        <v>828</v>
      </c>
      <c r="L32442" s="7" t="n">
        <v>2</v>
      </c>
      <c r="M32442" s="7" t="n">
        <v>3</v>
      </c>
      <c r="N32442" s="7" t="n">
        <v>17</v>
      </c>
      <c r="O32442" s="7" t="n">
        <v>64053</v>
      </c>
      <c r="P32442" s="7" t="s">
        <v>829</v>
      </c>
      <c r="Q32442" s="7" t="n">
        <v>2</v>
      </c>
      <c r="R32442" s="7" t="n">
        <v>0</v>
      </c>
    </row>
    <row r="32443" spans="1:18">
      <c r="A32443" t="s">
        <v>4</v>
      </c>
      <c r="B32443" s="4" t="s">
        <v>5</v>
      </c>
    </row>
    <row r="32444" spans="1:18">
      <c r="A32444" t="n">
        <v>317548</v>
      </c>
      <c r="B32444" s="27" t="n">
        <v>28</v>
      </c>
    </row>
    <row r="32445" spans="1:18">
      <c r="A32445" t="s">
        <v>4</v>
      </c>
      <c r="B32445" s="4" t="s">
        <v>5</v>
      </c>
      <c r="C32445" s="4" t="s">
        <v>7</v>
      </c>
      <c r="D32445" s="4" t="s">
        <v>11</v>
      </c>
      <c r="E32445" s="4" t="s">
        <v>8</v>
      </c>
    </row>
    <row r="32446" spans="1:18">
      <c r="A32446" t="n">
        <v>317549</v>
      </c>
      <c r="B32446" s="38" t="n">
        <v>51</v>
      </c>
      <c r="C32446" s="7" t="n">
        <v>4</v>
      </c>
      <c r="D32446" s="7" t="n">
        <v>13</v>
      </c>
      <c r="E32446" s="7" t="s">
        <v>757</v>
      </c>
    </row>
    <row r="32447" spans="1:18">
      <c r="A32447" t="s">
        <v>4</v>
      </c>
      <c r="B32447" s="4" t="s">
        <v>5</v>
      </c>
      <c r="C32447" s="4" t="s">
        <v>11</v>
      </c>
    </row>
    <row r="32448" spans="1:18">
      <c r="A32448" t="n">
        <v>317568</v>
      </c>
      <c r="B32448" s="29" t="n">
        <v>16</v>
      </c>
      <c r="C32448" s="7" t="n">
        <v>0</v>
      </c>
    </row>
    <row r="32449" spans="1:18">
      <c r="A32449" t="s">
        <v>4</v>
      </c>
      <c r="B32449" s="4" t="s">
        <v>5</v>
      </c>
      <c r="C32449" s="4" t="s">
        <v>11</v>
      </c>
      <c r="D32449" s="4" t="s">
        <v>7</v>
      </c>
      <c r="E32449" s="4" t="s">
        <v>15</v>
      </c>
      <c r="F32449" s="4" t="s">
        <v>55</v>
      </c>
      <c r="G32449" s="4" t="s">
        <v>7</v>
      </c>
      <c r="H32449" s="4" t="s">
        <v>7</v>
      </c>
    </row>
    <row r="32450" spans="1:18">
      <c r="A32450" t="n">
        <v>317571</v>
      </c>
      <c r="B32450" s="55" t="n">
        <v>26</v>
      </c>
      <c r="C32450" s="7" t="n">
        <v>13</v>
      </c>
      <c r="D32450" s="7" t="n">
        <v>17</v>
      </c>
      <c r="E32450" s="7" t="n">
        <v>11812</v>
      </c>
      <c r="F32450" s="7" t="s">
        <v>830</v>
      </c>
      <c r="G32450" s="7" t="n">
        <v>2</v>
      </c>
      <c r="H32450" s="7" t="n">
        <v>0</v>
      </c>
    </row>
    <row r="32451" spans="1:18">
      <c r="A32451" t="s">
        <v>4</v>
      </c>
      <c r="B32451" s="4" t="s">
        <v>5</v>
      </c>
    </row>
    <row r="32452" spans="1:18">
      <c r="A32452" t="n">
        <v>317605</v>
      </c>
      <c r="B32452" s="27" t="n">
        <v>28</v>
      </c>
    </row>
    <row r="32453" spans="1:18">
      <c r="A32453" t="s">
        <v>4</v>
      </c>
      <c r="B32453" s="4" t="s">
        <v>5</v>
      </c>
      <c r="C32453" s="4" t="s">
        <v>11</v>
      </c>
      <c r="D32453" s="4" t="s">
        <v>7</v>
      </c>
    </row>
    <row r="32454" spans="1:18">
      <c r="A32454" t="n">
        <v>317606</v>
      </c>
      <c r="B32454" s="68" t="n">
        <v>89</v>
      </c>
      <c r="C32454" s="7" t="n">
        <v>65533</v>
      </c>
      <c r="D32454" s="7" t="n">
        <v>1</v>
      </c>
    </row>
    <row r="32455" spans="1:18">
      <c r="A32455" t="s">
        <v>4</v>
      </c>
      <c r="B32455" s="4" t="s">
        <v>5</v>
      </c>
      <c r="C32455" s="4" t="s">
        <v>7</v>
      </c>
      <c r="D32455" s="4" t="s">
        <v>11</v>
      </c>
      <c r="E32455" s="4" t="s">
        <v>13</v>
      </c>
    </row>
    <row r="32456" spans="1:18">
      <c r="A32456" t="n">
        <v>317610</v>
      </c>
      <c r="B32456" s="23" t="n">
        <v>58</v>
      </c>
      <c r="C32456" s="7" t="n">
        <v>101</v>
      </c>
      <c r="D32456" s="7" t="n">
        <v>500</v>
      </c>
      <c r="E32456" s="7" t="n">
        <v>1</v>
      </c>
    </row>
    <row r="32457" spans="1:18">
      <c r="A32457" t="s">
        <v>4</v>
      </c>
      <c r="B32457" s="4" t="s">
        <v>5</v>
      </c>
      <c r="C32457" s="4" t="s">
        <v>7</v>
      </c>
      <c r="D32457" s="4" t="s">
        <v>11</v>
      </c>
    </row>
    <row r="32458" spans="1:18">
      <c r="A32458" t="n">
        <v>317618</v>
      </c>
      <c r="B32458" s="23" t="n">
        <v>58</v>
      </c>
      <c r="C32458" s="7" t="n">
        <v>254</v>
      </c>
      <c r="D32458" s="7" t="n">
        <v>0</v>
      </c>
    </row>
    <row r="32459" spans="1:18">
      <c r="A32459" t="s">
        <v>4</v>
      </c>
      <c r="B32459" s="4" t="s">
        <v>5</v>
      </c>
      <c r="C32459" s="4" t="s">
        <v>7</v>
      </c>
      <c r="D32459" s="4" t="s">
        <v>7</v>
      </c>
      <c r="E32459" s="4" t="s">
        <v>13</v>
      </c>
      <c r="F32459" s="4" t="s">
        <v>13</v>
      </c>
      <c r="G32459" s="4" t="s">
        <v>13</v>
      </c>
      <c r="H32459" s="4" t="s">
        <v>11</v>
      </c>
    </row>
    <row r="32460" spans="1:18">
      <c r="A32460" t="n">
        <v>317622</v>
      </c>
      <c r="B32460" s="51" t="n">
        <v>45</v>
      </c>
      <c r="C32460" s="7" t="n">
        <v>2</v>
      </c>
      <c r="D32460" s="7" t="n">
        <v>3</v>
      </c>
      <c r="E32460" s="7" t="n">
        <v>-6.63000011444092</v>
      </c>
      <c r="F32460" s="7" t="n">
        <v>6.44000005722046</v>
      </c>
      <c r="G32460" s="7" t="n">
        <v>29.8500003814697</v>
      </c>
      <c r="H32460" s="7" t="n">
        <v>0</v>
      </c>
    </row>
    <row r="32461" spans="1:18">
      <c r="A32461" t="s">
        <v>4</v>
      </c>
      <c r="B32461" s="4" t="s">
        <v>5</v>
      </c>
      <c r="C32461" s="4" t="s">
        <v>7</v>
      </c>
      <c r="D32461" s="4" t="s">
        <v>7</v>
      </c>
      <c r="E32461" s="4" t="s">
        <v>13</v>
      </c>
      <c r="F32461" s="4" t="s">
        <v>13</v>
      </c>
      <c r="G32461" s="4" t="s">
        <v>13</v>
      </c>
      <c r="H32461" s="4" t="s">
        <v>11</v>
      </c>
      <c r="I32461" s="4" t="s">
        <v>7</v>
      </c>
    </row>
    <row r="32462" spans="1:18">
      <c r="A32462" t="n">
        <v>317639</v>
      </c>
      <c r="B32462" s="51" t="n">
        <v>45</v>
      </c>
      <c r="C32462" s="7" t="n">
        <v>4</v>
      </c>
      <c r="D32462" s="7" t="n">
        <v>3</v>
      </c>
      <c r="E32462" s="7" t="n">
        <v>357</v>
      </c>
      <c r="F32462" s="7" t="n">
        <v>284.700012207031</v>
      </c>
      <c r="G32462" s="7" t="n">
        <v>4</v>
      </c>
      <c r="H32462" s="7" t="n">
        <v>0</v>
      </c>
      <c r="I32462" s="7" t="n">
        <v>0</v>
      </c>
    </row>
    <row r="32463" spans="1:18">
      <c r="A32463" t="s">
        <v>4</v>
      </c>
      <c r="B32463" s="4" t="s">
        <v>5</v>
      </c>
      <c r="C32463" s="4" t="s">
        <v>7</v>
      </c>
      <c r="D32463" s="4" t="s">
        <v>7</v>
      </c>
      <c r="E32463" s="4" t="s">
        <v>13</v>
      </c>
      <c r="F32463" s="4" t="s">
        <v>11</v>
      </c>
    </row>
    <row r="32464" spans="1:18">
      <c r="A32464" t="n">
        <v>317657</v>
      </c>
      <c r="B32464" s="51" t="n">
        <v>45</v>
      </c>
      <c r="C32464" s="7" t="n">
        <v>5</v>
      </c>
      <c r="D32464" s="7" t="n">
        <v>3</v>
      </c>
      <c r="E32464" s="7" t="n">
        <v>1</v>
      </c>
      <c r="F32464" s="7" t="n">
        <v>0</v>
      </c>
    </row>
    <row r="32465" spans="1:9">
      <c r="A32465" t="s">
        <v>4</v>
      </c>
      <c r="B32465" s="4" t="s">
        <v>5</v>
      </c>
      <c r="C32465" s="4" t="s">
        <v>7</v>
      </c>
      <c r="D32465" s="4" t="s">
        <v>7</v>
      </c>
      <c r="E32465" s="4" t="s">
        <v>13</v>
      </c>
      <c r="F32465" s="4" t="s">
        <v>11</v>
      </c>
    </row>
    <row r="32466" spans="1:9">
      <c r="A32466" t="n">
        <v>317666</v>
      </c>
      <c r="B32466" s="51" t="n">
        <v>45</v>
      </c>
      <c r="C32466" s="7" t="n">
        <v>11</v>
      </c>
      <c r="D32466" s="7" t="n">
        <v>3</v>
      </c>
      <c r="E32466" s="7" t="n">
        <v>40.2999992370605</v>
      </c>
      <c r="F32466" s="7" t="n">
        <v>0</v>
      </c>
    </row>
    <row r="32467" spans="1:9">
      <c r="A32467" t="s">
        <v>4</v>
      </c>
      <c r="B32467" s="4" t="s">
        <v>5</v>
      </c>
      <c r="C32467" s="4" t="s">
        <v>7</v>
      </c>
      <c r="D32467" s="4" t="s">
        <v>11</v>
      </c>
      <c r="E32467" s="4" t="s">
        <v>8</v>
      </c>
      <c r="F32467" s="4" t="s">
        <v>8</v>
      </c>
      <c r="G32467" s="4" t="s">
        <v>8</v>
      </c>
      <c r="H32467" s="4" t="s">
        <v>8</v>
      </c>
    </row>
    <row r="32468" spans="1:9">
      <c r="A32468" t="n">
        <v>317675</v>
      </c>
      <c r="B32468" s="38" t="n">
        <v>51</v>
      </c>
      <c r="C32468" s="7" t="n">
        <v>3</v>
      </c>
      <c r="D32468" s="7" t="n">
        <v>0</v>
      </c>
      <c r="E32468" s="7" t="s">
        <v>371</v>
      </c>
      <c r="F32468" s="7" t="s">
        <v>99</v>
      </c>
      <c r="G32468" s="7" t="s">
        <v>78</v>
      </c>
      <c r="H32468" s="7" t="s">
        <v>79</v>
      </c>
    </row>
    <row r="32469" spans="1:9">
      <c r="A32469" t="s">
        <v>4</v>
      </c>
      <c r="B32469" s="4" t="s">
        <v>5</v>
      </c>
      <c r="C32469" s="4" t="s">
        <v>7</v>
      </c>
      <c r="D32469" s="4" t="s">
        <v>11</v>
      </c>
    </row>
    <row r="32470" spans="1:9">
      <c r="A32470" t="n">
        <v>317688</v>
      </c>
      <c r="B32470" s="23" t="n">
        <v>58</v>
      </c>
      <c r="C32470" s="7" t="n">
        <v>255</v>
      </c>
      <c r="D32470" s="7" t="n">
        <v>0</v>
      </c>
    </row>
    <row r="32471" spans="1:9">
      <c r="A32471" t="s">
        <v>4</v>
      </c>
      <c r="B32471" s="4" t="s">
        <v>5</v>
      </c>
      <c r="C32471" s="4" t="s">
        <v>7</v>
      </c>
      <c r="D32471" s="4" t="s">
        <v>11</v>
      </c>
      <c r="E32471" s="4" t="s">
        <v>8</v>
      </c>
    </row>
    <row r="32472" spans="1:9">
      <c r="A32472" t="n">
        <v>317692</v>
      </c>
      <c r="B32472" s="38" t="n">
        <v>51</v>
      </c>
      <c r="C32472" s="7" t="n">
        <v>4</v>
      </c>
      <c r="D32472" s="7" t="n">
        <v>0</v>
      </c>
      <c r="E32472" s="7" t="s">
        <v>363</v>
      </c>
    </row>
    <row r="32473" spans="1:9">
      <c r="A32473" t="s">
        <v>4</v>
      </c>
      <c r="B32473" s="4" t="s">
        <v>5</v>
      </c>
      <c r="C32473" s="4" t="s">
        <v>11</v>
      </c>
    </row>
    <row r="32474" spans="1:9">
      <c r="A32474" t="n">
        <v>317706</v>
      </c>
      <c r="B32474" s="29" t="n">
        <v>16</v>
      </c>
      <c r="C32474" s="7" t="n">
        <v>500</v>
      </c>
    </row>
    <row r="32475" spans="1:9">
      <c r="A32475" t="s">
        <v>4</v>
      </c>
      <c r="B32475" s="4" t="s">
        <v>5</v>
      </c>
      <c r="C32475" s="4" t="s">
        <v>11</v>
      </c>
      <c r="D32475" s="4" t="s">
        <v>7</v>
      </c>
      <c r="E32475" s="4" t="s">
        <v>15</v>
      </c>
      <c r="F32475" s="4" t="s">
        <v>55</v>
      </c>
      <c r="G32475" s="4" t="s">
        <v>7</v>
      </c>
      <c r="H32475" s="4" t="s">
        <v>7</v>
      </c>
      <c r="I32475" s="4" t="s">
        <v>7</v>
      </c>
      <c r="J32475" s="4" t="s">
        <v>15</v>
      </c>
      <c r="K32475" s="4" t="s">
        <v>55</v>
      </c>
      <c r="L32475" s="4" t="s">
        <v>7</v>
      </c>
      <c r="M32475" s="4" t="s">
        <v>7</v>
      </c>
      <c r="N32475" s="4" t="s">
        <v>7</v>
      </c>
      <c r="O32475" s="4" t="s">
        <v>15</v>
      </c>
      <c r="P32475" s="4" t="s">
        <v>55</v>
      </c>
      <c r="Q32475" s="4" t="s">
        <v>7</v>
      </c>
      <c r="R32475" s="4" t="s">
        <v>7</v>
      </c>
    </row>
    <row r="32476" spans="1:9">
      <c r="A32476" t="n">
        <v>317709</v>
      </c>
      <c r="B32476" s="55" t="n">
        <v>26</v>
      </c>
      <c r="C32476" s="7" t="n">
        <v>0</v>
      </c>
      <c r="D32476" s="7" t="n">
        <v>17</v>
      </c>
      <c r="E32476" s="7" t="n">
        <v>64054</v>
      </c>
      <c r="F32476" s="7" t="s">
        <v>831</v>
      </c>
      <c r="G32476" s="7" t="n">
        <v>2</v>
      </c>
      <c r="H32476" s="7" t="n">
        <v>3</v>
      </c>
      <c r="I32476" s="7" t="n">
        <v>17</v>
      </c>
      <c r="J32476" s="7" t="n">
        <v>64055</v>
      </c>
      <c r="K32476" s="7" t="s">
        <v>832</v>
      </c>
      <c r="L32476" s="7" t="n">
        <v>2</v>
      </c>
      <c r="M32476" s="7" t="n">
        <v>3</v>
      </c>
      <c r="N32476" s="7" t="n">
        <v>17</v>
      </c>
      <c r="O32476" s="7" t="n">
        <v>64056</v>
      </c>
      <c r="P32476" s="7" t="s">
        <v>833</v>
      </c>
      <c r="Q32476" s="7" t="n">
        <v>2</v>
      </c>
      <c r="R32476" s="7" t="n">
        <v>0</v>
      </c>
    </row>
    <row r="32477" spans="1:9">
      <c r="A32477" t="s">
        <v>4</v>
      </c>
      <c r="B32477" s="4" t="s">
        <v>5</v>
      </c>
    </row>
    <row r="32478" spans="1:9">
      <c r="A32478" t="n">
        <v>317982</v>
      </c>
      <c r="B32478" s="27" t="n">
        <v>28</v>
      </c>
    </row>
    <row r="32479" spans="1:9">
      <c r="A32479" t="s">
        <v>4</v>
      </c>
      <c r="B32479" s="4" t="s">
        <v>5</v>
      </c>
      <c r="C32479" s="4" t="s">
        <v>11</v>
      </c>
      <c r="D32479" s="4" t="s">
        <v>7</v>
      </c>
    </row>
    <row r="32480" spans="1:9">
      <c r="A32480" t="n">
        <v>317983</v>
      </c>
      <c r="B32480" s="68" t="n">
        <v>89</v>
      </c>
      <c r="C32480" s="7" t="n">
        <v>65533</v>
      </c>
      <c r="D32480" s="7" t="n">
        <v>1</v>
      </c>
    </row>
    <row r="32481" spans="1:18">
      <c r="A32481" t="s">
        <v>4</v>
      </c>
      <c r="B32481" s="4" t="s">
        <v>5</v>
      </c>
      <c r="C32481" s="4" t="s">
        <v>7</v>
      </c>
      <c r="D32481" s="4" t="s">
        <v>11</v>
      </c>
      <c r="E32481" s="4" t="s">
        <v>13</v>
      </c>
    </row>
    <row r="32482" spans="1:18">
      <c r="A32482" t="n">
        <v>317987</v>
      </c>
      <c r="B32482" s="23" t="n">
        <v>58</v>
      </c>
      <c r="C32482" s="7" t="n">
        <v>101</v>
      </c>
      <c r="D32482" s="7" t="n">
        <v>500</v>
      </c>
      <c r="E32482" s="7" t="n">
        <v>1</v>
      </c>
    </row>
    <row r="32483" spans="1:18">
      <c r="A32483" t="s">
        <v>4</v>
      </c>
      <c r="B32483" s="4" t="s">
        <v>5</v>
      </c>
      <c r="C32483" s="4" t="s">
        <v>7</v>
      </c>
      <c r="D32483" s="4" t="s">
        <v>11</v>
      </c>
    </row>
    <row r="32484" spans="1:18">
      <c r="A32484" t="n">
        <v>317995</v>
      </c>
      <c r="B32484" s="23" t="n">
        <v>58</v>
      </c>
      <c r="C32484" s="7" t="n">
        <v>254</v>
      </c>
      <c r="D32484" s="7" t="n">
        <v>0</v>
      </c>
    </row>
    <row r="32485" spans="1:18">
      <c r="A32485" t="s">
        <v>4</v>
      </c>
      <c r="B32485" s="4" t="s">
        <v>5</v>
      </c>
      <c r="C32485" s="4" t="s">
        <v>7</v>
      </c>
      <c r="D32485" s="4" t="s">
        <v>7</v>
      </c>
      <c r="E32485" s="4" t="s">
        <v>13</v>
      </c>
      <c r="F32485" s="4" t="s">
        <v>13</v>
      </c>
      <c r="G32485" s="4" t="s">
        <v>13</v>
      </c>
      <c r="H32485" s="4" t="s">
        <v>11</v>
      </c>
    </row>
    <row r="32486" spans="1:18">
      <c r="A32486" t="n">
        <v>317999</v>
      </c>
      <c r="B32486" s="51" t="n">
        <v>45</v>
      </c>
      <c r="C32486" s="7" t="n">
        <v>2</v>
      </c>
      <c r="D32486" s="7" t="n">
        <v>3</v>
      </c>
      <c r="E32486" s="7" t="n">
        <v>-7.3600001335144</v>
      </c>
      <c r="F32486" s="7" t="n">
        <v>6.30999994277954</v>
      </c>
      <c r="G32486" s="7" t="n">
        <v>29.8199996948242</v>
      </c>
      <c r="H32486" s="7" t="n">
        <v>0</v>
      </c>
    </row>
    <row r="32487" spans="1:18">
      <c r="A32487" t="s">
        <v>4</v>
      </c>
      <c r="B32487" s="4" t="s">
        <v>5</v>
      </c>
      <c r="C32487" s="4" t="s">
        <v>7</v>
      </c>
      <c r="D32487" s="4" t="s">
        <v>7</v>
      </c>
      <c r="E32487" s="4" t="s">
        <v>13</v>
      </c>
      <c r="F32487" s="4" t="s">
        <v>13</v>
      </c>
      <c r="G32487" s="4" t="s">
        <v>13</v>
      </c>
      <c r="H32487" s="4" t="s">
        <v>11</v>
      </c>
      <c r="I32487" s="4" t="s">
        <v>7</v>
      </c>
    </row>
    <row r="32488" spans="1:18">
      <c r="A32488" t="n">
        <v>318016</v>
      </c>
      <c r="B32488" s="51" t="n">
        <v>45</v>
      </c>
      <c r="C32488" s="7" t="n">
        <v>4</v>
      </c>
      <c r="D32488" s="7" t="n">
        <v>3</v>
      </c>
      <c r="E32488" s="7" t="n">
        <v>8.11999988555908</v>
      </c>
      <c r="F32488" s="7" t="n">
        <v>60.310001373291</v>
      </c>
      <c r="G32488" s="7" t="n">
        <v>354</v>
      </c>
      <c r="H32488" s="7" t="n">
        <v>0</v>
      </c>
      <c r="I32488" s="7" t="n">
        <v>0</v>
      </c>
    </row>
    <row r="32489" spans="1:18">
      <c r="A32489" t="s">
        <v>4</v>
      </c>
      <c r="B32489" s="4" t="s">
        <v>5</v>
      </c>
      <c r="C32489" s="4" t="s">
        <v>7</v>
      </c>
      <c r="D32489" s="4" t="s">
        <v>7</v>
      </c>
      <c r="E32489" s="4" t="s">
        <v>13</v>
      </c>
      <c r="F32489" s="4" t="s">
        <v>11</v>
      </c>
    </row>
    <row r="32490" spans="1:18">
      <c r="A32490" t="n">
        <v>318034</v>
      </c>
      <c r="B32490" s="51" t="n">
        <v>45</v>
      </c>
      <c r="C32490" s="7" t="n">
        <v>5</v>
      </c>
      <c r="D32490" s="7" t="n">
        <v>3</v>
      </c>
      <c r="E32490" s="7" t="n">
        <v>0.800000011920929</v>
      </c>
      <c r="F32490" s="7" t="n">
        <v>0</v>
      </c>
    </row>
    <row r="32491" spans="1:18">
      <c r="A32491" t="s">
        <v>4</v>
      </c>
      <c r="B32491" s="4" t="s">
        <v>5</v>
      </c>
      <c r="C32491" s="4" t="s">
        <v>7</v>
      </c>
      <c r="D32491" s="4" t="s">
        <v>7</v>
      </c>
      <c r="E32491" s="4" t="s">
        <v>13</v>
      </c>
      <c r="F32491" s="4" t="s">
        <v>11</v>
      </c>
    </row>
    <row r="32492" spans="1:18">
      <c r="A32492" t="n">
        <v>318043</v>
      </c>
      <c r="B32492" s="51" t="n">
        <v>45</v>
      </c>
      <c r="C32492" s="7" t="n">
        <v>11</v>
      </c>
      <c r="D32492" s="7" t="n">
        <v>3</v>
      </c>
      <c r="E32492" s="7" t="n">
        <v>40.2999992370605</v>
      </c>
      <c r="F32492" s="7" t="n">
        <v>0</v>
      </c>
    </row>
    <row r="32493" spans="1:18">
      <c r="A32493" t="s">
        <v>4</v>
      </c>
      <c r="B32493" s="4" t="s">
        <v>5</v>
      </c>
      <c r="C32493" s="4" t="s">
        <v>7</v>
      </c>
      <c r="D32493" s="4" t="s">
        <v>11</v>
      </c>
    </row>
    <row r="32494" spans="1:18">
      <c r="A32494" t="n">
        <v>318052</v>
      </c>
      <c r="B32494" s="23" t="n">
        <v>58</v>
      </c>
      <c r="C32494" s="7" t="n">
        <v>255</v>
      </c>
      <c r="D32494" s="7" t="n">
        <v>0</v>
      </c>
    </row>
    <row r="32495" spans="1:18">
      <c r="A32495" t="s">
        <v>4</v>
      </c>
      <c r="B32495" s="4" t="s">
        <v>5</v>
      </c>
      <c r="C32495" s="4" t="s">
        <v>7</v>
      </c>
      <c r="D32495" s="4" t="s">
        <v>11</v>
      </c>
      <c r="E32495" s="4" t="s">
        <v>8</v>
      </c>
    </row>
    <row r="32496" spans="1:18">
      <c r="A32496" t="n">
        <v>318056</v>
      </c>
      <c r="B32496" s="38" t="n">
        <v>51</v>
      </c>
      <c r="C32496" s="7" t="n">
        <v>4</v>
      </c>
      <c r="D32496" s="7" t="n">
        <v>13</v>
      </c>
      <c r="E32496" s="7" t="s">
        <v>834</v>
      </c>
    </row>
    <row r="32497" spans="1:9">
      <c r="A32497" t="s">
        <v>4</v>
      </c>
      <c r="B32497" s="4" t="s">
        <v>5</v>
      </c>
      <c r="C32497" s="4" t="s">
        <v>11</v>
      </c>
    </row>
    <row r="32498" spans="1:9">
      <c r="A32498" t="n">
        <v>318075</v>
      </c>
      <c r="B32498" s="29" t="n">
        <v>16</v>
      </c>
      <c r="C32498" s="7" t="n">
        <v>0</v>
      </c>
    </row>
    <row r="32499" spans="1:9">
      <c r="A32499" t="s">
        <v>4</v>
      </c>
      <c r="B32499" s="4" t="s">
        <v>5</v>
      </c>
      <c r="C32499" s="4" t="s">
        <v>11</v>
      </c>
      <c r="D32499" s="4" t="s">
        <v>7</v>
      </c>
      <c r="E32499" s="4" t="s">
        <v>15</v>
      </c>
      <c r="F32499" s="4" t="s">
        <v>55</v>
      </c>
      <c r="G32499" s="4" t="s">
        <v>7</v>
      </c>
      <c r="H32499" s="4" t="s">
        <v>7</v>
      </c>
      <c r="I32499" s="4" t="s">
        <v>7</v>
      </c>
      <c r="J32499" s="4" t="s">
        <v>15</v>
      </c>
      <c r="K32499" s="4" t="s">
        <v>55</v>
      </c>
      <c r="L32499" s="4" t="s">
        <v>7</v>
      </c>
      <c r="M32499" s="4" t="s">
        <v>7</v>
      </c>
      <c r="N32499" s="4" t="s">
        <v>7</v>
      </c>
      <c r="O32499" s="4" t="s">
        <v>15</v>
      </c>
      <c r="P32499" s="4" t="s">
        <v>55</v>
      </c>
      <c r="Q32499" s="4" t="s">
        <v>7</v>
      </c>
      <c r="R32499" s="4" t="s">
        <v>7</v>
      </c>
      <c r="S32499" s="4" t="s">
        <v>7</v>
      </c>
      <c r="T32499" s="4" t="s">
        <v>15</v>
      </c>
      <c r="U32499" s="4" t="s">
        <v>55</v>
      </c>
      <c r="V32499" s="4" t="s">
        <v>7</v>
      </c>
      <c r="W32499" s="4" t="s">
        <v>7</v>
      </c>
    </row>
    <row r="32500" spans="1:9">
      <c r="A32500" t="n">
        <v>318078</v>
      </c>
      <c r="B32500" s="55" t="n">
        <v>26</v>
      </c>
      <c r="C32500" s="7" t="n">
        <v>13</v>
      </c>
      <c r="D32500" s="7" t="n">
        <v>17</v>
      </c>
      <c r="E32500" s="7" t="n">
        <v>11813</v>
      </c>
      <c r="F32500" s="7" t="s">
        <v>835</v>
      </c>
      <c r="G32500" s="7" t="n">
        <v>2</v>
      </c>
      <c r="H32500" s="7" t="n">
        <v>3</v>
      </c>
      <c r="I32500" s="7" t="n">
        <v>17</v>
      </c>
      <c r="J32500" s="7" t="n">
        <v>11814</v>
      </c>
      <c r="K32500" s="7" t="s">
        <v>836</v>
      </c>
      <c r="L32500" s="7" t="n">
        <v>2</v>
      </c>
      <c r="M32500" s="7" t="n">
        <v>3</v>
      </c>
      <c r="N32500" s="7" t="n">
        <v>17</v>
      </c>
      <c r="O32500" s="7" t="n">
        <v>11815</v>
      </c>
      <c r="P32500" s="7" t="s">
        <v>837</v>
      </c>
      <c r="Q32500" s="7" t="n">
        <v>2</v>
      </c>
      <c r="R32500" s="7" t="n">
        <v>3</v>
      </c>
      <c r="S32500" s="7" t="n">
        <v>17</v>
      </c>
      <c r="T32500" s="7" t="n">
        <v>11816</v>
      </c>
      <c r="U32500" s="7" t="s">
        <v>838</v>
      </c>
      <c r="V32500" s="7" t="n">
        <v>2</v>
      </c>
      <c r="W32500" s="7" t="n">
        <v>0</v>
      </c>
    </row>
    <row r="32501" spans="1:9">
      <c r="A32501" t="s">
        <v>4</v>
      </c>
      <c r="B32501" s="4" t="s">
        <v>5</v>
      </c>
    </row>
    <row r="32502" spans="1:9">
      <c r="A32502" t="n">
        <v>318405</v>
      </c>
      <c r="B32502" s="27" t="n">
        <v>28</v>
      </c>
    </row>
    <row r="32503" spans="1:9">
      <c r="A32503" t="s">
        <v>4</v>
      </c>
      <c r="B32503" s="4" t="s">
        <v>5</v>
      </c>
      <c r="C32503" s="4" t="s">
        <v>7</v>
      </c>
      <c r="D32503" s="4" t="s">
        <v>11</v>
      </c>
      <c r="E32503" s="4" t="s">
        <v>8</v>
      </c>
    </row>
    <row r="32504" spans="1:9">
      <c r="A32504" t="n">
        <v>318406</v>
      </c>
      <c r="B32504" s="38" t="n">
        <v>51</v>
      </c>
      <c r="C32504" s="7" t="n">
        <v>4</v>
      </c>
      <c r="D32504" s="7" t="n">
        <v>0</v>
      </c>
      <c r="E32504" s="7" t="s">
        <v>147</v>
      </c>
    </row>
    <row r="32505" spans="1:9">
      <c r="A32505" t="s">
        <v>4</v>
      </c>
      <c r="B32505" s="4" t="s">
        <v>5</v>
      </c>
      <c r="C32505" s="4" t="s">
        <v>11</v>
      </c>
    </row>
    <row r="32506" spans="1:9">
      <c r="A32506" t="n">
        <v>318420</v>
      </c>
      <c r="B32506" s="29" t="n">
        <v>16</v>
      </c>
      <c r="C32506" s="7" t="n">
        <v>0</v>
      </c>
    </row>
    <row r="32507" spans="1:9">
      <c r="A32507" t="s">
        <v>4</v>
      </c>
      <c r="B32507" s="4" t="s">
        <v>5</v>
      </c>
      <c r="C32507" s="4" t="s">
        <v>11</v>
      </c>
      <c r="D32507" s="4" t="s">
        <v>7</v>
      </c>
      <c r="E32507" s="4" t="s">
        <v>15</v>
      </c>
      <c r="F32507" s="4" t="s">
        <v>55</v>
      </c>
      <c r="G32507" s="4" t="s">
        <v>7</v>
      </c>
      <c r="H32507" s="4" t="s">
        <v>7</v>
      </c>
    </row>
    <row r="32508" spans="1:9">
      <c r="A32508" t="n">
        <v>318423</v>
      </c>
      <c r="B32508" s="55" t="n">
        <v>26</v>
      </c>
      <c r="C32508" s="7" t="n">
        <v>0</v>
      </c>
      <c r="D32508" s="7" t="n">
        <v>17</v>
      </c>
      <c r="E32508" s="7" t="n">
        <v>64049</v>
      </c>
      <c r="F32508" s="7" t="s">
        <v>817</v>
      </c>
      <c r="G32508" s="7" t="n">
        <v>2</v>
      </c>
      <c r="H32508" s="7" t="n">
        <v>0</v>
      </c>
    </row>
    <row r="32509" spans="1:9">
      <c r="A32509" t="s">
        <v>4</v>
      </c>
      <c r="B32509" s="4" t="s">
        <v>5</v>
      </c>
    </row>
    <row r="32510" spans="1:9">
      <c r="A32510" t="n">
        <v>318444</v>
      </c>
      <c r="B32510" s="27" t="n">
        <v>28</v>
      </c>
    </row>
    <row r="32511" spans="1:9">
      <c r="A32511" t="s">
        <v>4</v>
      </c>
      <c r="B32511" s="4" t="s">
        <v>5</v>
      </c>
      <c r="C32511" s="4" t="s">
        <v>7</v>
      </c>
      <c r="D32511" s="4" t="s">
        <v>11</v>
      </c>
      <c r="E32511" s="4" t="s">
        <v>8</v>
      </c>
    </row>
    <row r="32512" spans="1:9">
      <c r="A32512" t="n">
        <v>318445</v>
      </c>
      <c r="B32512" s="38" t="n">
        <v>51</v>
      </c>
      <c r="C32512" s="7" t="n">
        <v>4</v>
      </c>
      <c r="D32512" s="7" t="n">
        <v>13</v>
      </c>
      <c r="E32512" s="7" t="s">
        <v>361</v>
      </c>
    </row>
    <row r="32513" spans="1:23">
      <c r="A32513" t="s">
        <v>4</v>
      </c>
      <c r="B32513" s="4" t="s">
        <v>5</v>
      </c>
      <c r="C32513" s="4" t="s">
        <v>11</v>
      </c>
    </row>
    <row r="32514" spans="1:23">
      <c r="A32514" t="n">
        <v>318460</v>
      </c>
      <c r="B32514" s="29" t="n">
        <v>16</v>
      </c>
      <c r="C32514" s="7" t="n">
        <v>0</v>
      </c>
    </row>
    <row r="32515" spans="1:23">
      <c r="A32515" t="s">
        <v>4</v>
      </c>
      <c r="B32515" s="4" t="s">
        <v>5</v>
      </c>
      <c r="C32515" s="4" t="s">
        <v>11</v>
      </c>
      <c r="D32515" s="4" t="s">
        <v>7</v>
      </c>
      <c r="E32515" s="4" t="s">
        <v>15</v>
      </c>
      <c r="F32515" s="4" t="s">
        <v>55</v>
      </c>
      <c r="G32515" s="4" t="s">
        <v>7</v>
      </c>
      <c r="H32515" s="4" t="s">
        <v>7</v>
      </c>
      <c r="I32515" s="4" t="s">
        <v>7</v>
      </c>
      <c r="J32515" s="4" t="s">
        <v>15</v>
      </c>
      <c r="K32515" s="4" t="s">
        <v>55</v>
      </c>
      <c r="L32515" s="4" t="s">
        <v>7</v>
      </c>
      <c r="M32515" s="4" t="s">
        <v>7</v>
      </c>
    </row>
    <row r="32516" spans="1:23">
      <c r="A32516" t="n">
        <v>318463</v>
      </c>
      <c r="B32516" s="55" t="n">
        <v>26</v>
      </c>
      <c r="C32516" s="7" t="n">
        <v>13</v>
      </c>
      <c r="D32516" s="7" t="n">
        <v>17</v>
      </c>
      <c r="E32516" s="7" t="n">
        <v>11817</v>
      </c>
      <c r="F32516" s="7" t="s">
        <v>533</v>
      </c>
      <c r="G32516" s="7" t="n">
        <v>2</v>
      </c>
      <c r="H32516" s="7" t="n">
        <v>3</v>
      </c>
      <c r="I32516" s="7" t="n">
        <v>17</v>
      </c>
      <c r="J32516" s="7" t="n">
        <v>11818</v>
      </c>
      <c r="K32516" s="7" t="s">
        <v>839</v>
      </c>
      <c r="L32516" s="7" t="n">
        <v>2</v>
      </c>
      <c r="M32516" s="7" t="n">
        <v>0</v>
      </c>
    </row>
    <row r="32517" spans="1:23">
      <c r="A32517" t="s">
        <v>4</v>
      </c>
      <c r="B32517" s="4" t="s">
        <v>5</v>
      </c>
    </row>
    <row r="32518" spans="1:23">
      <c r="A32518" t="n">
        <v>318540</v>
      </c>
      <c r="B32518" s="27" t="n">
        <v>28</v>
      </c>
    </row>
    <row r="32519" spans="1:23">
      <c r="A32519" t="s">
        <v>4</v>
      </c>
      <c r="B32519" s="4" t="s">
        <v>5</v>
      </c>
      <c r="C32519" s="4" t="s">
        <v>7</v>
      </c>
      <c r="D32519" s="4" t="s">
        <v>11</v>
      </c>
      <c r="E32519" s="4" t="s">
        <v>8</v>
      </c>
    </row>
    <row r="32520" spans="1:23">
      <c r="A32520" t="n">
        <v>318541</v>
      </c>
      <c r="B32520" s="38" t="n">
        <v>51</v>
      </c>
      <c r="C32520" s="7" t="n">
        <v>4</v>
      </c>
      <c r="D32520" s="7" t="n">
        <v>0</v>
      </c>
      <c r="E32520" s="7" t="s">
        <v>840</v>
      </c>
    </row>
    <row r="32521" spans="1:23">
      <c r="A32521" t="s">
        <v>4</v>
      </c>
      <c r="B32521" s="4" t="s">
        <v>5</v>
      </c>
      <c r="C32521" s="4" t="s">
        <v>11</v>
      </c>
    </row>
    <row r="32522" spans="1:23">
      <c r="A32522" t="n">
        <v>318555</v>
      </c>
      <c r="B32522" s="29" t="n">
        <v>16</v>
      </c>
      <c r="C32522" s="7" t="n">
        <v>0</v>
      </c>
    </row>
    <row r="32523" spans="1:23">
      <c r="A32523" t="s">
        <v>4</v>
      </c>
      <c r="B32523" s="4" t="s">
        <v>5</v>
      </c>
      <c r="C32523" s="4" t="s">
        <v>11</v>
      </c>
      <c r="D32523" s="4" t="s">
        <v>7</v>
      </c>
      <c r="E32523" s="4" t="s">
        <v>15</v>
      </c>
      <c r="F32523" s="4" t="s">
        <v>55</v>
      </c>
      <c r="G32523" s="4" t="s">
        <v>7</v>
      </c>
      <c r="H32523" s="4" t="s">
        <v>7</v>
      </c>
    </row>
    <row r="32524" spans="1:23">
      <c r="A32524" t="n">
        <v>318558</v>
      </c>
      <c r="B32524" s="55" t="n">
        <v>26</v>
      </c>
      <c r="C32524" s="7" t="n">
        <v>0</v>
      </c>
      <c r="D32524" s="7" t="n">
        <v>17</v>
      </c>
      <c r="E32524" s="7" t="n">
        <v>64057</v>
      </c>
      <c r="F32524" s="7" t="s">
        <v>841</v>
      </c>
      <c r="G32524" s="7" t="n">
        <v>2</v>
      </c>
      <c r="H32524" s="7" t="n">
        <v>0</v>
      </c>
    </row>
    <row r="32525" spans="1:23">
      <c r="A32525" t="s">
        <v>4</v>
      </c>
      <c r="B32525" s="4" t="s">
        <v>5</v>
      </c>
    </row>
    <row r="32526" spans="1:23">
      <c r="A32526" t="n">
        <v>318575</v>
      </c>
      <c r="B32526" s="27" t="n">
        <v>28</v>
      </c>
    </row>
    <row r="32527" spans="1:23">
      <c r="A32527" t="s">
        <v>4</v>
      </c>
      <c r="B32527" s="4" t="s">
        <v>5</v>
      </c>
      <c r="C32527" s="4" t="s">
        <v>11</v>
      </c>
      <c r="D32527" s="4" t="s">
        <v>7</v>
      </c>
    </row>
    <row r="32528" spans="1:23">
      <c r="A32528" t="n">
        <v>318576</v>
      </c>
      <c r="B32528" s="68" t="n">
        <v>89</v>
      </c>
      <c r="C32528" s="7" t="n">
        <v>65533</v>
      </c>
      <c r="D32528" s="7" t="n">
        <v>1</v>
      </c>
    </row>
    <row r="32529" spans="1:13">
      <c r="A32529" t="s">
        <v>4</v>
      </c>
      <c r="B32529" s="4" t="s">
        <v>5</v>
      </c>
      <c r="C32529" s="4" t="s">
        <v>7</v>
      </c>
      <c r="D32529" s="4" t="s">
        <v>11</v>
      </c>
      <c r="E32529" s="4" t="s">
        <v>13</v>
      </c>
    </row>
    <row r="32530" spans="1:13">
      <c r="A32530" t="n">
        <v>318580</v>
      </c>
      <c r="B32530" s="23" t="n">
        <v>58</v>
      </c>
      <c r="C32530" s="7" t="n">
        <v>101</v>
      </c>
      <c r="D32530" s="7" t="n">
        <v>500</v>
      </c>
      <c r="E32530" s="7" t="n">
        <v>1</v>
      </c>
    </row>
    <row r="32531" spans="1:13">
      <c r="A32531" t="s">
        <v>4</v>
      </c>
      <c r="B32531" s="4" t="s">
        <v>5</v>
      </c>
      <c r="C32531" s="4" t="s">
        <v>7</v>
      </c>
      <c r="D32531" s="4" t="s">
        <v>11</v>
      </c>
    </row>
    <row r="32532" spans="1:13">
      <c r="A32532" t="n">
        <v>318588</v>
      </c>
      <c r="B32532" s="23" t="n">
        <v>58</v>
      </c>
      <c r="C32532" s="7" t="n">
        <v>254</v>
      </c>
      <c r="D32532" s="7" t="n">
        <v>0</v>
      </c>
    </row>
    <row r="32533" spans="1:13">
      <c r="A32533" t="s">
        <v>4</v>
      </c>
      <c r="B32533" s="4" t="s">
        <v>5</v>
      </c>
      <c r="C32533" s="4" t="s">
        <v>11</v>
      </c>
      <c r="D32533" s="4" t="s">
        <v>13</v>
      </c>
      <c r="E32533" s="4" t="s">
        <v>13</v>
      </c>
      <c r="F32533" s="4" t="s">
        <v>13</v>
      </c>
      <c r="G32533" s="4" t="s">
        <v>13</v>
      </c>
    </row>
    <row r="32534" spans="1:13">
      <c r="A32534" t="n">
        <v>318592</v>
      </c>
      <c r="B32534" s="36" t="n">
        <v>46</v>
      </c>
      <c r="C32534" s="7" t="n">
        <v>13</v>
      </c>
      <c r="D32534" s="7" t="n">
        <v>-7.71999979019165</v>
      </c>
      <c r="E32534" s="7" t="n">
        <v>5</v>
      </c>
      <c r="F32534" s="7" t="n">
        <v>29.6700000762939</v>
      </c>
      <c r="G32534" s="7" t="n">
        <v>83.9000015258789</v>
      </c>
    </row>
    <row r="32535" spans="1:13">
      <c r="A32535" t="s">
        <v>4</v>
      </c>
      <c r="B32535" s="4" t="s">
        <v>5</v>
      </c>
      <c r="C32535" s="4" t="s">
        <v>11</v>
      </c>
      <c r="D32535" s="4" t="s">
        <v>13</v>
      </c>
      <c r="E32535" s="4" t="s">
        <v>13</v>
      </c>
      <c r="F32535" s="4" t="s">
        <v>13</v>
      </c>
      <c r="G32535" s="4" t="s">
        <v>11</v>
      </c>
      <c r="H32535" s="4" t="s">
        <v>11</v>
      </c>
    </row>
    <row r="32536" spans="1:13">
      <c r="A32536" t="n">
        <v>318611</v>
      </c>
      <c r="B32536" s="37" t="n">
        <v>60</v>
      </c>
      <c r="C32536" s="7" t="n">
        <v>0</v>
      </c>
      <c r="D32536" s="7" t="n">
        <v>0</v>
      </c>
      <c r="E32536" s="7" t="n">
        <v>0</v>
      </c>
      <c r="F32536" s="7" t="n">
        <v>0</v>
      </c>
      <c r="G32536" s="7" t="n">
        <v>0</v>
      </c>
      <c r="H32536" s="7" t="n">
        <v>1</v>
      </c>
    </row>
    <row r="32537" spans="1:13">
      <c r="A32537" t="s">
        <v>4</v>
      </c>
      <c r="B32537" s="4" t="s">
        <v>5</v>
      </c>
      <c r="C32537" s="4" t="s">
        <v>11</v>
      </c>
      <c r="D32537" s="4" t="s">
        <v>13</v>
      </c>
      <c r="E32537" s="4" t="s">
        <v>13</v>
      </c>
      <c r="F32537" s="4" t="s">
        <v>13</v>
      </c>
      <c r="G32537" s="4" t="s">
        <v>11</v>
      </c>
      <c r="H32537" s="4" t="s">
        <v>11</v>
      </c>
    </row>
    <row r="32538" spans="1:13">
      <c r="A32538" t="n">
        <v>318630</v>
      </c>
      <c r="B32538" s="37" t="n">
        <v>60</v>
      </c>
      <c r="C32538" s="7" t="n">
        <v>0</v>
      </c>
      <c r="D32538" s="7" t="n">
        <v>0</v>
      </c>
      <c r="E32538" s="7" t="n">
        <v>0</v>
      </c>
      <c r="F32538" s="7" t="n">
        <v>0</v>
      </c>
      <c r="G32538" s="7" t="n">
        <v>0</v>
      </c>
      <c r="H32538" s="7" t="n">
        <v>0</v>
      </c>
    </row>
    <row r="32539" spans="1:13">
      <c r="A32539" t="s">
        <v>4</v>
      </c>
      <c r="B32539" s="4" t="s">
        <v>5</v>
      </c>
      <c r="C32539" s="4" t="s">
        <v>11</v>
      </c>
      <c r="D32539" s="4" t="s">
        <v>11</v>
      </c>
      <c r="E32539" s="4" t="s">
        <v>11</v>
      </c>
    </row>
    <row r="32540" spans="1:13">
      <c r="A32540" t="n">
        <v>318649</v>
      </c>
      <c r="B32540" s="72" t="n">
        <v>61</v>
      </c>
      <c r="C32540" s="7" t="n">
        <v>0</v>
      </c>
      <c r="D32540" s="7" t="n">
        <v>65533</v>
      </c>
      <c r="E32540" s="7" t="n">
        <v>0</v>
      </c>
    </row>
    <row r="32541" spans="1:13">
      <c r="A32541" t="s">
        <v>4</v>
      </c>
      <c r="B32541" s="4" t="s">
        <v>5</v>
      </c>
      <c r="C32541" s="4" t="s">
        <v>11</v>
      </c>
      <c r="D32541" s="4" t="s">
        <v>13</v>
      </c>
      <c r="E32541" s="4" t="s">
        <v>13</v>
      </c>
      <c r="F32541" s="4" t="s">
        <v>13</v>
      </c>
      <c r="G32541" s="4" t="s">
        <v>11</v>
      </c>
      <c r="H32541" s="4" t="s">
        <v>11</v>
      </c>
    </row>
    <row r="32542" spans="1:13">
      <c r="A32542" t="n">
        <v>318656</v>
      </c>
      <c r="B32542" s="37" t="n">
        <v>60</v>
      </c>
      <c r="C32542" s="7" t="n">
        <v>13</v>
      </c>
      <c r="D32542" s="7" t="n">
        <v>0</v>
      </c>
      <c r="E32542" s="7" t="n">
        <v>0</v>
      </c>
      <c r="F32542" s="7" t="n">
        <v>0</v>
      </c>
      <c r="G32542" s="7" t="n">
        <v>0</v>
      </c>
      <c r="H32542" s="7" t="n">
        <v>1</v>
      </c>
    </row>
    <row r="32543" spans="1:13">
      <c r="A32543" t="s">
        <v>4</v>
      </c>
      <c r="B32543" s="4" t="s">
        <v>5</v>
      </c>
      <c r="C32543" s="4" t="s">
        <v>11</v>
      </c>
      <c r="D32543" s="4" t="s">
        <v>13</v>
      </c>
      <c r="E32543" s="4" t="s">
        <v>13</v>
      </c>
      <c r="F32543" s="4" t="s">
        <v>13</v>
      </c>
      <c r="G32543" s="4" t="s">
        <v>11</v>
      </c>
      <c r="H32543" s="4" t="s">
        <v>11</v>
      </c>
    </row>
    <row r="32544" spans="1:13">
      <c r="A32544" t="n">
        <v>318675</v>
      </c>
      <c r="B32544" s="37" t="n">
        <v>60</v>
      </c>
      <c r="C32544" s="7" t="n">
        <v>13</v>
      </c>
      <c r="D32544" s="7" t="n">
        <v>0</v>
      </c>
      <c r="E32544" s="7" t="n">
        <v>0</v>
      </c>
      <c r="F32544" s="7" t="n">
        <v>0</v>
      </c>
      <c r="G32544" s="7" t="n">
        <v>0</v>
      </c>
      <c r="H32544" s="7" t="n">
        <v>0</v>
      </c>
    </row>
    <row r="32545" spans="1:8">
      <c r="A32545" t="s">
        <v>4</v>
      </c>
      <c r="B32545" s="4" t="s">
        <v>5</v>
      </c>
      <c r="C32545" s="4" t="s">
        <v>11</v>
      </c>
      <c r="D32545" s="4" t="s">
        <v>11</v>
      </c>
      <c r="E32545" s="4" t="s">
        <v>11</v>
      </c>
    </row>
    <row r="32546" spans="1:8">
      <c r="A32546" t="n">
        <v>318694</v>
      </c>
      <c r="B32546" s="72" t="n">
        <v>61</v>
      </c>
      <c r="C32546" s="7" t="n">
        <v>13</v>
      </c>
      <c r="D32546" s="7" t="n">
        <v>65533</v>
      </c>
      <c r="E32546" s="7" t="n">
        <v>0</v>
      </c>
    </row>
    <row r="32547" spans="1:8">
      <c r="A32547" t="s">
        <v>4</v>
      </c>
      <c r="B32547" s="4" t="s">
        <v>5</v>
      </c>
      <c r="C32547" s="4" t="s">
        <v>11</v>
      </c>
      <c r="D32547" s="4" t="s">
        <v>15</v>
      </c>
    </row>
    <row r="32548" spans="1:8">
      <c r="A32548" t="n">
        <v>318701</v>
      </c>
      <c r="B32548" s="39" t="n">
        <v>43</v>
      </c>
      <c r="C32548" s="7" t="n">
        <v>0</v>
      </c>
      <c r="D32548" s="7" t="n">
        <v>256</v>
      </c>
    </row>
    <row r="32549" spans="1:8">
      <c r="A32549" t="s">
        <v>4</v>
      </c>
      <c r="B32549" s="4" t="s">
        <v>5</v>
      </c>
      <c r="C32549" s="4" t="s">
        <v>7</v>
      </c>
      <c r="D32549" s="4" t="s">
        <v>7</v>
      </c>
      <c r="E32549" s="4" t="s">
        <v>13</v>
      </c>
      <c r="F32549" s="4" t="s">
        <v>13</v>
      </c>
      <c r="G32549" s="4" t="s">
        <v>13</v>
      </c>
      <c r="H32549" s="4" t="s">
        <v>11</v>
      </c>
    </row>
    <row r="32550" spans="1:8">
      <c r="A32550" t="n">
        <v>318708</v>
      </c>
      <c r="B32550" s="51" t="n">
        <v>45</v>
      </c>
      <c r="C32550" s="7" t="n">
        <v>2</v>
      </c>
      <c r="D32550" s="7" t="n">
        <v>3</v>
      </c>
      <c r="E32550" s="7" t="n">
        <v>-7.40999984741211</v>
      </c>
      <c r="F32550" s="7" t="n">
        <v>5.8600001335144</v>
      </c>
      <c r="G32550" s="7" t="n">
        <v>29.8799991607666</v>
      </c>
      <c r="H32550" s="7" t="n">
        <v>0</v>
      </c>
    </row>
    <row r="32551" spans="1:8">
      <c r="A32551" t="s">
        <v>4</v>
      </c>
      <c r="B32551" s="4" t="s">
        <v>5</v>
      </c>
      <c r="C32551" s="4" t="s">
        <v>7</v>
      </c>
      <c r="D32551" s="4" t="s">
        <v>7</v>
      </c>
      <c r="E32551" s="4" t="s">
        <v>13</v>
      </c>
      <c r="F32551" s="4" t="s">
        <v>13</v>
      </c>
      <c r="G32551" s="4" t="s">
        <v>13</v>
      </c>
      <c r="H32551" s="4" t="s">
        <v>11</v>
      </c>
      <c r="I32551" s="4" t="s">
        <v>7</v>
      </c>
    </row>
    <row r="32552" spans="1:8">
      <c r="A32552" t="n">
        <v>318725</v>
      </c>
      <c r="B32552" s="51" t="n">
        <v>45</v>
      </c>
      <c r="C32552" s="7" t="n">
        <v>4</v>
      </c>
      <c r="D32552" s="7" t="n">
        <v>3</v>
      </c>
      <c r="E32552" s="7" t="n">
        <v>359.269989013672</v>
      </c>
      <c r="F32552" s="7" t="n">
        <v>306.269989013672</v>
      </c>
      <c r="G32552" s="7" t="n">
        <v>354</v>
      </c>
      <c r="H32552" s="7" t="n">
        <v>0</v>
      </c>
      <c r="I32552" s="7" t="n">
        <v>0</v>
      </c>
    </row>
    <row r="32553" spans="1:8">
      <c r="A32553" t="s">
        <v>4</v>
      </c>
      <c r="B32553" s="4" t="s">
        <v>5</v>
      </c>
      <c r="C32553" s="4" t="s">
        <v>7</v>
      </c>
      <c r="D32553" s="4" t="s">
        <v>7</v>
      </c>
      <c r="E32553" s="4" t="s">
        <v>13</v>
      </c>
      <c r="F32553" s="4" t="s">
        <v>11</v>
      </c>
    </row>
    <row r="32554" spans="1:8">
      <c r="A32554" t="n">
        <v>318743</v>
      </c>
      <c r="B32554" s="51" t="n">
        <v>45</v>
      </c>
      <c r="C32554" s="7" t="n">
        <v>5</v>
      </c>
      <c r="D32554" s="7" t="n">
        <v>3</v>
      </c>
      <c r="E32554" s="7" t="n">
        <v>1.10000002384186</v>
      </c>
      <c r="F32554" s="7" t="n">
        <v>0</v>
      </c>
    </row>
    <row r="32555" spans="1:8">
      <c r="A32555" t="s">
        <v>4</v>
      </c>
      <c r="B32555" s="4" t="s">
        <v>5</v>
      </c>
      <c r="C32555" s="4" t="s">
        <v>7</v>
      </c>
      <c r="D32555" s="4" t="s">
        <v>7</v>
      </c>
      <c r="E32555" s="4" t="s">
        <v>13</v>
      </c>
      <c r="F32555" s="4" t="s">
        <v>11</v>
      </c>
    </row>
    <row r="32556" spans="1:8">
      <c r="A32556" t="n">
        <v>318752</v>
      </c>
      <c r="B32556" s="51" t="n">
        <v>45</v>
      </c>
      <c r="C32556" s="7" t="n">
        <v>11</v>
      </c>
      <c r="D32556" s="7" t="n">
        <v>3</v>
      </c>
      <c r="E32556" s="7" t="n">
        <v>40.2999992370605</v>
      </c>
      <c r="F32556" s="7" t="n">
        <v>0</v>
      </c>
    </row>
    <row r="32557" spans="1:8">
      <c r="A32557" t="s">
        <v>4</v>
      </c>
      <c r="B32557" s="4" t="s">
        <v>5</v>
      </c>
      <c r="C32557" s="4" t="s">
        <v>11</v>
      </c>
      <c r="D32557" s="4" t="s">
        <v>7</v>
      </c>
      <c r="E32557" s="4" t="s">
        <v>8</v>
      </c>
      <c r="F32557" s="4" t="s">
        <v>13</v>
      </c>
      <c r="G32557" s="4" t="s">
        <v>13</v>
      </c>
      <c r="H32557" s="4" t="s">
        <v>13</v>
      </c>
    </row>
    <row r="32558" spans="1:8">
      <c r="A32558" t="n">
        <v>318761</v>
      </c>
      <c r="B32558" s="42" t="n">
        <v>48</v>
      </c>
      <c r="C32558" s="7" t="n">
        <v>0</v>
      </c>
      <c r="D32558" s="7" t="n">
        <v>0</v>
      </c>
      <c r="E32558" s="7" t="s">
        <v>210</v>
      </c>
      <c r="F32558" s="7" t="n">
        <v>0</v>
      </c>
      <c r="G32558" s="7" t="n">
        <v>1</v>
      </c>
      <c r="H32558" s="7" t="n">
        <v>0</v>
      </c>
    </row>
    <row r="32559" spans="1:8">
      <c r="A32559" t="s">
        <v>4</v>
      </c>
      <c r="B32559" s="4" t="s">
        <v>5</v>
      </c>
      <c r="C32559" s="4" t="s">
        <v>11</v>
      </c>
      <c r="D32559" s="4" t="s">
        <v>7</v>
      </c>
      <c r="E32559" s="4" t="s">
        <v>8</v>
      </c>
      <c r="F32559" s="4" t="s">
        <v>13</v>
      </c>
      <c r="G32559" s="4" t="s">
        <v>13</v>
      </c>
      <c r="H32559" s="4" t="s">
        <v>13</v>
      </c>
    </row>
    <row r="32560" spans="1:8">
      <c r="A32560" t="n">
        <v>318786</v>
      </c>
      <c r="B32560" s="42" t="n">
        <v>48</v>
      </c>
      <c r="C32560" s="7" t="n">
        <v>13</v>
      </c>
      <c r="D32560" s="7" t="n">
        <v>0</v>
      </c>
      <c r="E32560" s="7" t="s">
        <v>210</v>
      </c>
      <c r="F32560" s="7" t="n">
        <v>0</v>
      </c>
      <c r="G32560" s="7" t="n">
        <v>1</v>
      </c>
      <c r="H32560" s="7" t="n">
        <v>0</v>
      </c>
    </row>
    <row r="32561" spans="1:9">
      <c r="A32561" t="s">
        <v>4</v>
      </c>
      <c r="B32561" s="4" t="s">
        <v>5</v>
      </c>
      <c r="C32561" s="4" t="s">
        <v>7</v>
      </c>
      <c r="D32561" s="4" t="s">
        <v>11</v>
      </c>
    </row>
    <row r="32562" spans="1:9">
      <c r="A32562" t="n">
        <v>318811</v>
      </c>
      <c r="B32562" s="23" t="n">
        <v>58</v>
      </c>
      <c r="C32562" s="7" t="n">
        <v>255</v>
      </c>
      <c r="D32562" s="7" t="n">
        <v>0</v>
      </c>
    </row>
    <row r="32563" spans="1:9">
      <c r="A32563" t="s">
        <v>4</v>
      </c>
      <c r="B32563" s="4" t="s">
        <v>5</v>
      </c>
      <c r="C32563" s="4" t="s">
        <v>11</v>
      </c>
      <c r="D32563" s="4" t="s">
        <v>7</v>
      </c>
      <c r="E32563" s="4" t="s">
        <v>8</v>
      </c>
      <c r="F32563" s="4" t="s">
        <v>13</v>
      </c>
      <c r="G32563" s="4" t="s">
        <v>13</v>
      </c>
      <c r="H32563" s="4" t="s">
        <v>13</v>
      </c>
    </row>
    <row r="32564" spans="1:9">
      <c r="A32564" t="n">
        <v>318815</v>
      </c>
      <c r="B32564" s="42" t="n">
        <v>48</v>
      </c>
      <c r="C32564" s="7" t="n">
        <v>0</v>
      </c>
      <c r="D32564" s="7" t="n">
        <v>0</v>
      </c>
      <c r="E32564" s="7" t="s">
        <v>789</v>
      </c>
      <c r="F32564" s="7" t="n">
        <v>-1</v>
      </c>
      <c r="G32564" s="7" t="n">
        <v>1</v>
      </c>
      <c r="H32564" s="7" t="n">
        <v>0</v>
      </c>
    </row>
    <row r="32565" spans="1:9">
      <c r="A32565" t="s">
        <v>4</v>
      </c>
      <c r="B32565" s="4" t="s">
        <v>5</v>
      </c>
      <c r="C32565" s="4" t="s">
        <v>7</v>
      </c>
      <c r="D32565" s="4" t="s">
        <v>11</v>
      </c>
      <c r="E32565" s="4" t="s">
        <v>13</v>
      </c>
      <c r="F32565" s="4" t="s">
        <v>11</v>
      </c>
      <c r="G32565" s="4" t="s">
        <v>15</v>
      </c>
      <c r="H32565" s="4" t="s">
        <v>15</v>
      </c>
      <c r="I32565" s="4" t="s">
        <v>11</v>
      </c>
      <c r="J32565" s="4" t="s">
        <v>11</v>
      </c>
      <c r="K32565" s="4" t="s">
        <v>15</v>
      </c>
      <c r="L32565" s="4" t="s">
        <v>15</v>
      </c>
      <c r="M32565" s="4" t="s">
        <v>15</v>
      </c>
      <c r="N32565" s="4" t="s">
        <v>15</v>
      </c>
      <c r="O32565" s="4" t="s">
        <v>8</v>
      </c>
    </row>
    <row r="32566" spans="1:9">
      <c r="A32566" t="n">
        <v>318841</v>
      </c>
      <c r="B32566" s="57" t="n">
        <v>50</v>
      </c>
      <c r="C32566" s="7" t="n">
        <v>0</v>
      </c>
      <c r="D32566" s="7" t="n">
        <v>2000</v>
      </c>
      <c r="E32566" s="7" t="n">
        <v>0.400000005960464</v>
      </c>
      <c r="F32566" s="7" t="n">
        <v>100</v>
      </c>
      <c r="G32566" s="7" t="n">
        <v>0</v>
      </c>
      <c r="H32566" s="7" t="n">
        <v>0</v>
      </c>
      <c r="I32566" s="7" t="n">
        <v>0</v>
      </c>
      <c r="J32566" s="7" t="n">
        <v>65533</v>
      </c>
      <c r="K32566" s="7" t="n">
        <v>0</v>
      </c>
      <c r="L32566" s="7" t="n">
        <v>0</v>
      </c>
      <c r="M32566" s="7" t="n">
        <v>0</v>
      </c>
      <c r="N32566" s="7" t="n">
        <v>0</v>
      </c>
      <c r="O32566" s="7" t="s">
        <v>16</v>
      </c>
    </row>
    <row r="32567" spans="1:9">
      <c r="A32567" t="s">
        <v>4</v>
      </c>
      <c r="B32567" s="4" t="s">
        <v>5</v>
      </c>
      <c r="C32567" s="4" t="s">
        <v>7</v>
      </c>
      <c r="D32567" s="4" t="s">
        <v>11</v>
      </c>
      <c r="E32567" s="4" t="s">
        <v>8</v>
      </c>
      <c r="F32567" s="4" t="s">
        <v>8</v>
      </c>
      <c r="G32567" s="4" t="s">
        <v>8</v>
      </c>
      <c r="H32567" s="4" t="s">
        <v>8</v>
      </c>
    </row>
    <row r="32568" spans="1:9">
      <c r="A32568" t="n">
        <v>318880</v>
      </c>
      <c r="B32568" s="38" t="n">
        <v>51</v>
      </c>
      <c r="C32568" s="7" t="n">
        <v>3</v>
      </c>
      <c r="D32568" s="7" t="n">
        <v>0</v>
      </c>
      <c r="E32568" s="7" t="s">
        <v>86</v>
      </c>
      <c r="F32568" s="7" t="s">
        <v>79</v>
      </c>
      <c r="G32568" s="7" t="s">
        <v>78</v>
      </c>
      <c r="H32568" s="7" t="s">
        <v>79</v>
      </c>
    </row>
    <row r="32569" spans="1:9">
      <c r="A32569" t="s">
        <v>4</v>
      </c>
      <c r="B32569" s="4" t="s">
        <v>5</v>
      </c>
      <c r="C32569" s="4" t="s">
        <v>11</v>
      </c>
    </row>
    <row r="32570" spans="1:9">
      <c r="A32570" t="n">
        <v>318893</v>
      </c>
      <c r="B32570" s="29" t="n">
        <v>16</v>
      </c>
      <c r="C32570" s="7" t="n">
        <v>1500</v>
      </c>
    </row>
    <row r="32571" spans="1:9">
      <c r="A32571" t="s">
        <v>4</v>
      </c>
      <c r="B32571" s="4" t="s">
        <v>5</v>
      </c>
      <c r="C32571" s="4" t="s">
        <v>7</v>
      </c>
      <c r="D32571" s="4" t="s">
        <v>11</v>
      </c>
      <c r="E32571" s="4" t="s">
        <v>8</v>
      </c>
    </row>
    <row r="32572" spans="1:9">
      <c r="A32572" t="n">
        <v>318896</v>
      </c>
      <c r="B32572" s="38" t="n">
        <v>51</v>
      </c>
      <c r="C32572" s="7" t="n">
        <v>4</v>
      </c>
      <c r="D32572" s="7" t="n">
        <v>0</v>
      </c>
      <c r="E32572" s="7" t="s">
        <v>173</v>
      </c>
    </row>
    <row r="32573" spans="1:9">
      <c r="A32573" t="s">
        <v>4</v>
      </c>
      <c r="B32573" s="4" t="s">
        <v>5</v>
      </c>
      <c r="C32573" s="4" t="s">
        <v>11</v>
      </c>
    </row>
    <row r="32574" spans="1:9">
      <c r="A32574" t="n">
        <v>318909</v>
      </c>
      <c r="B32574" s="29" t="n">
        <v>16</v>
      </c>
      <c r="C32574" s="7" t="n">
        <v>0</v>
      </c>
    </row>
    <row r="32575" spans="1:9">
      <c r="A32575" t="s">
        <v>4</v>
      </c>
      <c r="B32575" s="4" t="s">
        <v>5</v>
      </c>
      <c r="C32575" s="4" t="s">
        <v>11</v>
      </c>
      <c r="D32575" s="4" t="s">
        <v>7</v>
      </c>
      <c r="E32575" s="4" t="s">
        <v>15</v>
      </c>
      <c r="F32575" s="4" t="s">
        <v>55</v>
      </c>
      <c r="G32575" s="4" t="s">
        <v>7</v>
      </c>
      <c r="H32575" s="4" t="s">
        <v>7</v>
      </c>
    </row>
    <row r="32576" spans="1:9">
      <c r="A32576" t="n">
        <v>318912</v>
      </c>
      <c r="B32576" s="55" t="n">
        <v>26</v>
      </c>
      <c r="C32576" s="7" t="n">
        <v>0</v>
      </c>
      <c r="D32576" s="7" t="n">
        <v>17</v>
      </c>
      <c r="E32576" s="7" t="n">
        <v>64058</v>
      </c>
      <c r="F32576" s="7" t="s">
        <v>842</v>
      </c>
      <c r="G32576" s="7" t="n">
        <v>2</v>
      </c>
      <c r="H32576" s="7" t="n">
        <v>0</v>
      </c>
    </row>
    <row r="32577" spans="1:15">
      <c r="A32577" t="s">
        <v>4</v>
      </c>
      <c r="B32577" s="4" t="s">
        <v>5</v>
      </c>
    </row>
    <row r="32578" spans="1:15">
      <c r="A32578" t="n">
        <v>318939</v>
      </c>
      <c r="B32578" s="27" t="n">
        <v>28</v>
      </c>
    </row>
    <row r="32579" spans="1:15">
      <c r="A32579" t="s">
        <v>4</v>
      </c>
      <c r="B32579" s="4" t="s">
        <v>5</v>
      </c>
      <c r="C32579" s="4" t="s">
        <v>11</v>
      </c>
      <c r="D32579" s="4" t="s">
        <v>7</v>
      </c>
    </row>
    <row r="32580" spans="1:15">
      <c r="A32580" t="n">
        <v>318940</v>
      </c>
      <c r="B32580" s="68" t="n">
        <v>89</v>
      </c>
      <c r="C32580" s="7" t="n">
        <v>65533</v>
      </c>
      <c r="D32580" s="7" t="n">
        <v>1</v>
      </c>
    </row>
    <row r="32581" spans="1:15">
      <c r="A32581" t="s">
        <v>4</v>
      </c>
      <c r="B32581" s="4" t="s">
        <v>5</v>
      </c>
      <c r="C32581" s="4" t="s">
        <v>7</v>
      </c>
      <c r="D32581" s="4" t="s">
        <v>7</v>
      </c>
      <c r="E32581" s="4" t="s">
        <v>13</v>
      </c>
      <c r="F32581" s="4" t="s">
        <v>13</v>
      </c>
      <c r="G32581" s="4" t="s">
        <v>13</v>
      </c>
      <c r="H32581" s="4" t="s">
        <v>11</v>
      </c>
    </row>
    <row r="32582" spans="1:15">
      <c r="A32582" t="n">
        <v>318944</v>
      </c>
      <c r="B32582" s="51" t="n">
        <v>45</v>
      </c>
      <c r="C32582" s="7" t="n">
        <v>2</v>
      </c>
      <c r="D32582" s="7" t="n">
        <v>3</v>
      </c>
      <c r="E32582" s="7" t="n">
        <v>-6.80000019073486</v>
      </c>
      <c r="F32582" s="7" t="n">
        <v>6.15000009536743</v>
      </c>
      <c r="G32582" s="7" t="n">
        <v>29.8500003814697</v>
      </c>
      <c r="H32582" s="7" t="n">
        <v>3500</v>
      </c>
    </row>
    <row r="32583" spans="1:15">
      <c r="A32583" t="s">
        <v>4</v>
      </c>
      <c r="B32583" s="4" t="s">
        <v>5</v>
      </c>
      <c r="C32583" s="4" t="s">
        <v>7</v>
      </c>
      <c r="D32583" s="4" t="s">
        <v>7</v>
      </c>
      <c r="E32583" s="4" t="s">
        <v>13</v>
      </c>
      <c r="F32583" s="4" t="s">
        <v>13</v>
      </c>
      <c r="G32583" s="4" t="s">
        <v>13</v>
      </c>
      <c r="H32583" s="4" t="s">
        <v>11</v>
      </c>
      <c r="I32583" s="4" t="s">
        <v>7</v>
      </c>
    </row>
    <row r="32584" spans="1:15">
      <c r="A32584" t="n">
        <v>318961</v>
      </c>
      <c r="B32584" s="51" t="n">
        <v>45</v>
      </c>
      <c r="C32584" s="7" t="n">
        <v>4</v>
      </c>
      <c r="D32584" s="7" t="n">
        <v>3</v>
      </c>
      <c r="E32584" s="7" t="n">
        <v>356.549987792969</v>
      </c>
      <c r="F32584" s="7" t="n">
        <v>104.480003356934</v>
      </c>
      <c r="G32584" s="7" t="n">
        <v>354</v>
      </c>
      <c r="H32584" s="7" t="n">
        <v>3500</v>
      </c>
      <c r="I32584" s="7" t="n">
        <v>1</v>
      </c>
    </row>
    <row r="32585" spans="1:15">
      <c r="A32585" t="s">
        <v>4</v>
      </c>
      <c r="B32585" s="4" t="s">
        <v>5</v>
      </c>
      <c r="C32585" s="4" t="s">
        <v>7</v>
      </c>
      <c r="D32585" s="4" t="s">
        <v>7</v>
      </c>
      <c r="E32585" s="4" t="s">
        <v>13</v>
      </c>
      <c r="F32585" s="4" t="s">
        <v>11</v>
      </c>
    </row>
    <row r="32586" spans="1:15">
      <c r="A32586" t="n">
        <v>318979</v>
      </c>
      <c r="B32586" s="51" t="n">
        <v>45</v>
      </c>
      <c r="C32586" s="7" t="n">
        <v>5</v>
      </c>
      <c r="D32586" s="7" t="n">
        <v>3</v>
      </c>
      <c r="E32586" s="7" t="n">
        <v>0.899999976158142</v>
      </c>
      <c r="F32586" s="7" t="n">
        <v>3500</v>
      </c>
    </row>
    <row r="32587" spans="1:15">
      <c r="A32587" t="s">
        <v>4</v>
      </c>
      <c r="B32587" s="4" t="s">
        <v>5</v>
      </c>
      <c r="C32587" s="4" t="s">
        <v>11</v>
      </c>
      <c r="D32587" s="4" t="s">
        <v>11</v>
      </c>
      <c r="E32587" s="4" t="s">
        <v>13</v>
      </c>
      <c r="F32587" s="4" t="s">
        <v>13</v>
      </c>
      <c r="G32587" s="4" t="s">
        <v>13</v>
      </c>
      <c r="H32587" s="4" t="s">
        <v>13</v>
      </c>
      <c r="I32587" s="4" t="s">
        <v>7</v>
      </c>
      <c r="J32587" s="4" t="s">
        <v>11</v>
      </c>
    </row>
    <row r="32588" spans="1:15">
      <c r="A32588" t="n">
        <v>318988</v>
      </c>
      <c r="B32588" s="53" t="n">
        <v>55</v>
      </c>
      <c r="C32588" s="7" t="n">
        <v>13</v>
      </c>
      <c r="D32588" s="7" t="n">
        <v>65533</v>
      </c>
      <c r="E32588" s="7" t="n">
        <v>-7.19999980926514</v>
      </c>
      <c r="F32588" s="7" t="n">
        <v>5</v>
      </c>
      <c r="G32588" s="7" t="n">
        <v>29.7199993133545</v>
      </c>
      <c r="H32588" s="7" t="n">
        <v>1.20000004768372</v>
      </c>
      <c r="I32588" s="7" t="n">
        <v>1</v>
      </c>
      <c r="J32588" s="7" t="n">
        <v>0</v>
      </c>
    </row>
    <row r="32589" spans="1:15">
      <c r="A32589" t="s">
        <v>4</v>
      </c>
      <c r="B32589" s="4" t="s">
        <v>5</v>
      </c>
      <c r="C32589" s="4" t="s">
        <v>11</v>
      </c>
      <c r="D32589" s="4" t="s">
        <v>7</v>
      </c>
    </row>
    <row r="32590" spans="1:15">
      <c r="A32590" t="n">
        <v>319012</v>
      </c>
      <c r="B32590" s="54" t="n">
        <v>56</v>
      </c>
      <c r="C32590" s="7" t="n">
        <v>13</v>
      </c>
      <c r="D32590" s="7" t="n">
        <v>0</v>
      </c>
    </row>
    <row r="32591" spans="1:15">
      <c r="A32591" t="s">
        <v>4</v>
      </c>
      <c r="B32591" s="4" t="s">
        <v>5</v>
      </c>
      <c r="C32591" s="4" t="s">
        <v>11</v>
      </c>
      <c r="D32591" s="4" t="s">
        <v>7</v>
      </c>
      <c r="E32591" s="4" t="s">
        <v>8</v>
      </c>
      <c r="F32591" s="4" t="s">
        <v>13</v>
      </c>
      <c r="G32591" s="4" t="s">
        <v>13</v>
      </c>
      <c r="H32591" s="4" t="s">
        <v>13</v>
      </c>
    </row>
    <row r="32592" spans="1:15">
      <c r="A32592" t="n">
        <v>319016</v>
      </c>
      <c r="B32592" s="42" t="n">
        <v>48</v>
      </c>
      <c r="C32592" s="7" t="n">
        <v>13</v>
      </c>
      <c r="D32592" s="7" t="n">
        <v>0</v>
      </c>
      <c r="E32592" s="7" t="s">
        <v>789</v>
      </c>
      <c r="F32592" s="7" t="n">
        <v>-1</v>
      </c>
      <c r="G32592" s="7" t="n">
        <v>1</v>
      </c>
      <c r="H32592" s="7" t="n">
        <v>0</v>
      </c>
    </row>
    <row r="32593" spans="1:10">
      <c r="A32593" t="s">
        <v>4</v>
      </c>
      <c r="B32593" s="4" t="s">
        <v>5</v>
      </c>
      <c r="C32593" s="4" t="s">
        <v>11</v>
      </c>
    </row>
    <row r="32594" spans="1:10">
      <c r="A32594" t="n">
        <v>319042</v>
      </c>
      <c r="B32594" s="29" t="n">
        <v>16</v>
      </c>
      <c r="C32594" s="7" t="n">
        <v>500</v>
      </c>
    </row>
    <row r="32595" spans="1:10">
      <c r="A32595" t="s">
        <v>4</v>
      </c>
      <c r="B32595" s="4" t="s">
        <v>5</v>
      </c>
      <c r="C32595" s="4" t="s">
        <v>7</v>
      </c>
      <c r="D32595" s="4" t="s">
        <v>11</v>
      </c>
      <c r="E32595" s="4" t="s">
        <v>8</v>
      </c>
      <c r="F32595" s="4" t="s">
        <v>8</v>
      </c>
      <c r="G32595" s="4" t="s">
        <v>8</v>
      </c>
      <c r="H32595" s="4" t="s">
        <v>8</v>
      </c>
    </row>
    <row r="32596" spans="1:10">
      <c r="A32596" t="n">
        <v>319045</v>
      </c>
      <c r="B32596" s="38" t="n">
        <v>51</v>
      </c>
      <c r="C32596" s="7" t="n">
        <v>3</v>
      </c>
      <c r="D32596" s="7" t="n">
        <v>0</v>
      </c>
      <c r="E32596" s="7" t="s">
        <v>154</v>
      </c>
      <c r="F32596" s="7" t="s">
        <v>155</v>
      </c>
      <c r="G32596" s="7" t="s">
        <v>78</v>
      </c>
      <c r="H32596" s="7" t="s">
        <v>79</v>
      </c>
    </row>
    <row r="32597" spans="1:10">
      <c r="A32597" t="s">
        <v>4</v>
      </c>
      <c r="B32597" s="4" t="s">
        <v>5</v>
      </c>
      <c r="C32597" s="4" t="s">
        <v>7</v>
      </c>
      <c r="D32597" s="4" t="s">
        <v>11</v>
      </c>
      <c r="E32597" s="4" t="s">
        <v>8</v>
      </c>
      <c r="F32597" s="4" t="s">
        <v>8</v>
      </c>
      <c r="G32597" s="4" t="s">
        <v>8</v>
      </c>
      <c r="H32597" s="4" t="s">
        <v>8</v>
      </c>
    </row>
    <row r="32598" spans="1:10">
      <c r="A32598" t="n">
        <v>319058</v>
      </c>
      <c r="B32598" s="38" t="n">
        <v>51</v>
      </c>
      <c r="C32598" s="7" t="n">
        <v>3</v>
      </c>
      <c r="D32598" s="7" t="n">
        <v>13</v>
      </c>
      <c r="E32598" s="7" t="s">
        <v>319</v>
      </c>
      <c r="F32598" s="7" t="s">
        <v>79</v>
      </c>
      <c r="G32598" s="7" t="s">
        <v>16</v>
      </c>
      <c r="H32598" s="7" t="s">
        <v>68</v>
      </c>
    </row>
    <row r="32599" spans="1:10">
      <c r="A32599" t="s">
        <v>4</v>
      </c>
      <c r="B32599" s="4" t="s">
        <v>5</v>
      </c>
      <c r="C32599" s="4" t="s">
        <v>11</v>
      </c>
    </row>
    <row r="32600" spans="1:10">
      <c r="A32600" t="n">
        <v>319069</v>
      </c>
      <c r="B32600" s="29" t="n">
        <v>16</v>
      </c>
      <c r="C32600" s="7" t="n">
        <v>100</v>
      </c>
    </row>
    <row r="32601" spans="1:10">
      <c r="A32601" t="s">
        <v>4</v>
      </c>
      <c r="B32601" s="4" t="s">
        <v>5</v>
      </c>
      <c r="C32601" s="4" t="s">
        <v>7</v>
      </c>
      <c r="D32601" s="4" t="s">
        <v>11</v>
      </c>
      <c r="E32601" s="4" t="s">
        <v>13</v>
      </c>
      <c r="F32601" s="4" t="s">
        <v>11</v>
      </c>
      <c r="G32601" s="4" t="s">
        <v>15</v>
      </c>
      <c r="H32601" s="4" t="s">
        <v>15</v>
      </c>
      <c r="I32601" s="4" t="s">
        <v>11</v>
      </c>
      <c r="J32601" s="4" t="s">
        <v>11</v>
      </c>
      <c r="K32601" s="4" t="s">
        <v>15</v>
      </c>
      <c r="L32601" s="4" t="s">
        <v>15</v>
      </c>
      <c r="M32601" s="4" t="s">
        <v>15</v>
      </c>
      <c r="N32601" s="4" t="s">
        <v>15</v>
      </c>
      <c r="O32601" s="4" t="s">
        <v>8</v>
      </c>
    </row>
    <row r="32602" spans="1:10">
      <c r="A32602" t="n">
        <v>319072</v>
      </c>
      <c r="B32602" s="57" t="n">
        <v>50</v>
      </c>
      <c r="C32602" s="7" t="n">
        <v>0</v>
      </c>
      <c r="D32602" s="7" t="n">
        <v>2004</v>
      </c>
      <c r="E32602" s="7" t="n">
        <v>0.349999994039536</v>
      </c>
      <c r="F32602" s="7" t="n">
        <v>200</v>
      </c>
      <c r="G32602" s="7" t="n">
        <v>0</v>
      </c>
      <c r="H32602" s="7" t="n">
        <v>1065353216</v>
      </c>
      <c r="I32602" s="7" t="n">
        <v>0</v>
      </c>
      <c r="J32602" s="7" t="n">
        <v>65533</v>
      </c>
      <c r="K32602" s="7" t="n">
        <v>0</v>
      </c>
      <c r="L32602" s="7" t="n">
        <v>0</v>
      </c>
      <c r="M32602" s="7" t="n">
        <v>0</v>
      </c>
      <c r="N32602" s="7" t="n">
        <v>0</v>
      </c>
      <c r="O32602" s="7" t="s">
        <v>16</v>
      </c>
    </row>
    <row r="32603" spans="1:10">
      <c r="A32603" t="s">
        <v>4</v>
      </c>
      <c r="B32603" s="4" t="s">
        <v>5</v>
      </c>
      <c r="C32603" s="4" t="s">
        <v>11</v>
      </c>
      <c r="D32603" s="4" t="s">
        <v>15</v>
      </c>
      <c r="E32603" s="4" t="s">
        <v>7</v>
      </c>
    </row>
    <row r="32604" spans="1:10">
      <c r="A32604" t="n">
        <v>319111</v>
      </c>
      <c r="B32604" s="78" t="n">
        <v>35</v>
      </c>
      <c r="C32604" s="7" t="n">
        <v>13</v>
      </c>
      <c r="D32604" s="7" t="n">
        <v>0</v>
      </c>
      <c r="E32604" s="7" t="n">
        <v>0</v>
      </c>
    </row>
    <row r="32605" spans="1:10">
      <c r="A32605" t="s">
        <v>4</v>
      </c>
      <c r="B32605" s="4" t="s">
        <v>5</v>
      </c>
      <c r="C32605" s="4" t="s">
        <v>7</v>
      </c>
      <c r="D32605" s="4" t="s">
        <v>11</v>
      </c>
    </row>
    <row r="32606" spans="1:10">
      <c r="A32606" t="n">
        <v>319119</v>
      </c>
      <c r="B32606" s="51" t="n">
        <v>45</v>
      </c>
      <c r="C32606" s="7" t="n">
        <v>7</v>
      </c>
      <c r="D32606" s="7" t="n">
        <v>255</v>
      </c>
    </row>
    <row r="32607" spans="1:10">
      <c r="A32607" t="s">
        <v>4</v>
      </c>
      <c r="B32607" s="4" t="s">
        <v>5</v>
      </c>
      <c r="C32607" s="4" t="s">
        <v>7</v>
      </c>
      <c r="D32607" s="4" t="s">
        <v>11</v>
      </c>
      <c r="E32607" s="4" t="s">
        <v>8</v>
      </c>
    </row>
    <row r="32608" spans="1:10">
      <c r="A32608" t="n">
        <v>319123</v>
      </c>
      <c r="B32608" s="38" t="n">
        <v>51</v>
      </c>
      <c r="C32608" s="7" t="n">
        <v>4</v>
      </c>
      <c r="D32608" s="7" t="n">
        <v>0</v>
      </c>
      <c r="E32608" s="7" t="s">
        <v>461</v>
      </c>
    </row>
    <row r="32609" spans="1:15">
      <c r="A32609" t="s">
        <v>4</v>
      </c>
      <c r="B32609" s="4" t="s">
        <v>5</v>
      </c>
      <c r="C32609" s="4" t="s">
        <v>11</v>
      </c>
    </row>
    <row r="32610" spans="1:15">
      <c r="A32610" t="n">
        <v>319143</v>
      </c>
      <c r="B32610" s="29" t="n">
        <v>16</v>
      </c>
      <c r="C32610" s="7" t="n">
        <v>0</v>
      </c>
    </row>
    <row r="32611" spans="1:15">
      <c r="A32611" t="s">
        <v>4</v>
      </c>
      <c r="B32611" s="4" t="s">
        <v>5</v>
      </c>
      <c r="C32611" s="4" t="s">
        <v>11</v>
      </c>
      <c r="D32611" s="4" t="s">
        <v>7</v>
      </c>
      <c r="E32611" s="4" t="s">
        <v>15</v>
      </c>
      <c r="F32611" s="4" t="s">
        <v>55</v>
      </c>
      <c r="G32611" s="4" t="s">
        <v>7</v>
      </c>
      <c r="H32611" s="4" t="s">
        <v>7</v>
      </c>
    </row>
    <row r="32612" spans="1:15">
      <c r="A32612" t="n">
        <v>319146</v>
      </c>
      <c r="B32612" s="55" t="n">
        <v>26</v>
      </c>
      <c r="C32612" s="7" t="n">
        <v>0</v>
      </c>
      <c r="D32612" s="7" t="n">
        <v>17</v>
      </c>
      <c r="E32612" s="7" t="n">
        <v>65271</v>
      </c>
      <c r="F32612" s="7" t="s">
        <v>843</v>
      </c>
      <c r="G32612" s="7" t="n">
        <v>2</v>
      </c>
      <c r="H32612" s="7" t="n">
        <v>0</v>
      </c>
    </row>
    <row r="32613" spans="1:15">
      <c r="A32613" t="s">
        <v>4</v>
      </c>
      <c r="B32613" s="4" t="s">
        <v>5</v>
      </c>
    </row>
    <row r="32614" spans="1:15">
      <c r="A32614" t="n">
        <v>319168</v>
      </c>
      <c r="B32614" s="27" t="n">
        <v>28</v>
      </c>
    </row>
    <row r="32615" spans="1:15">
      <c r="A32615" t="s">
        <v>4</v>
      </c>
      <c r="B32615" s="4" t="s">
        <v>5</v>
      </c>
      <c r="C32615" s="4" t="s">
        <v>11</v>
      </c>
      <c r="D32615" s="4" t="s">
        <v>7</v>
      </c>
    </row>
    <row r="32616" spans="1:15">
      <c r="A32616" t="n">
        <v>319169</v>
      </c>
      <c r="B32616" s="68" t="n">
        <v>89</v>
      </c>
      <c r="C32616" s="7" t="n">
        <v>65533</v>
      </c>
      <c r="D32616" s="7" t="n">
        <v>1</v>
      </c>
    </row>
    <row r="32617" spans="1:15">
      <c r="A32617" t="s">
        <v>4</v>
      </c>
      <c r="B32617" s="4" t="s">
        <v>5</v>
      </c>
      <c r="C32617" s="4" t="s">
        <v>7</v>
      </c>
      <c r="D32617" s="4" t="s">
        <v>11</v>
      </c>
      <c r="E32617" s="4" t="s">
        <v>13</v>
      </c>
    </row>
    <row r="32618" spans="1:15">
      <c r="A32618" t="n">
        <v>319173</v>
      </c>
      <c r="B32618" s="23" t="n">
        <v>58</v>
      </c>
      <c r="C32618" s="7" t="n">
        <v>101</v>
      </c>
      <c r="D32618" s="7" t="n">
        <v>500</v>
      </c>
      <c r="E32618" s="7" t="n">
        <v>1</v>
      </c>
    </row>
    <row r="32619" spans="1:15">
      <c r="A32619" t="s">
        <v>4</v>
      </c>
      <c r="B32619" s="4" t="s">
        <v>5</v>
      </c>
      <c r="C32619" s="4" t="s">
        <v>7</v>
      </c>
      <c r="D32619" s="4" t="s">
        <v>11</v>
      </c>
    </row>
    <row r="32620" spans="1:15">
      <c r="A32620" t="n">
        <v>319181</v>
      </c>
      <c r="B32620" s="23" t="n">
        <v>58</v>
      </c>
      <c r="C32620" s="7" t="n">
        <v>254</v>
      </c>
      <c r="D32620" s="7" t="n">
        <v>0</v>
      </c>
    </row>
    <row r="32621" spans="1:15">
      <c r="A32621" t="s">
        <v>4</v>
      </c>
      <c r="B32621" s="4" t="s">
        <v>5</v>
      </c>
      <c r="C32621" s="4" t="s">
        <v>7</v>
      </c>
      <c r="D32621" s="4" t="s">
        <v>7</v>
      </c>
      <c r="E32621" s="4" t="s">
        <v>13</v>
      </c>
      <c r="F32621" s="4" t="s">
        <v>13</v>
      </c>
      <c r="G32621" s="4" t="s">
        <v>13</v>
      </c>
      <c r="H32621" s="4" t="s">
        <v>11</v>
      </c>
    </row>
    <row r="32622" spans="1:15">
      <c r="A32622" t="n">
        <v>319185</v>
      </c>
      <c r="B32622" s="51" t="n">
        <v>45</v>
      </c>
      <c r="C32622" s="7" t="n">
        <v>2</v>
      </c>
      <c r="D32622" s="7" t="n">
        <v>3</v>
      </c>
      <c r="E32622" s="7" t="n">
        <v>-6.80999994277954</v>
      </c>
      <c r="F32622" s="7" t="n">
        <v>6.15999984741211</v>
      </c>
      <c r="G32622" s="7" t="n">
        <v>29.8500003814697</v>
      </c>
      <c r="H32622" s="7" t="n">
        <v>0</v>
      </c>
    </row>
    <row r="32623" spans="1:15">
      <c r="A32623" t="s">
        <v>4</v>
      </c>
      <c r="B32623" s="4" t="s">
        <v>5</v>
      </c>
      <c r="C32623" s="4" t="s">
        <v>7</v>
      </c>
      <c r="D32623" s="4" t="s">
        <v>7</v>
      </c>
      <c r="E32623" s="4" t="s">
        <v>13</v>
      </c>
      <c r="F32623" s="4" t="s">
        <v>13</v>
      </c>
      <c r="G32623" s="4" t="s">
        <v>13</v>
      </c>
      <c r="H32623" s="4" t="s">
        <v>11</v>
      </c>
      <c r="I32623" s="4" t="s">
        <v>7</v>
      </c>
    </row>
    <row r="32624" spans="1:15">
      <c r="A32624" t="n">
        <v>319202</v>
      </c>
      <c r="B32624" s="51" t="n">
        <v>45</v>
      </c>
      <c r="C32624" s="7" t="n">
        <v>4</v>
      </c>
      <c r="D32624" s="7" t="n">
        <v>3</v>
      </c>
      <c r="E32624" s="7" t="n">
        <v>339.959991455078</v>
      </c>
      <c r="F32624" s="7" t="n">
        <v>118.680000305176</v>
      </c>
      <c r="G32624" s="7" t="n">
        <v>0</v>
      </c>
      <c r="H32624" s="7" t="n">
        <v>0</v>
      </c>
      <c r="I32624" s="7" t="n">
        <v>0</v>
      </c>
    </row>
    <row r="32625" spans="1:9">
      <c r="A32625" t="s">
        <v>4</v>
      </c>
      <c r="B32625" s="4" t="s">
        <v>5</v>
      </c>
      <c r="C32625" s="4" t="s">
        <v>7</v>
      </c>
      <c r="D32625" s="4" t="s">
        <v>7</v>
      </c>
      <c r="E32625" s="4" t="s">
        <v>13</v>
      </c>
      <c r="F32625" s="4" t="s">
        <v>11</v>
      </c>
    </row>
    <row r="32626" spans="1:9">
      <c r="A32626" t="n">
        <v>319220</v>
      </c>
      <c r="B32626" s="51" t="n">
        <v>45</v>
      </c>
      <c r="C32626" s="7" t="n">
        <v>5</v>
      </c>
      <c r="D32626" s="7" t="n">
        <v>3</v>
      </c>
      <c r="E32626" s="7" t="n">
        <v>0.800000011920929</v>
      </c>
      <c r="F32626" s="7" t="n">
        <v>0</v>
      </c>
    </row>
    <row r="32627" spans="1:9">
      <c r="A32627" t="s">
        <v>4</v>
      </c>
      <c r="B32627" s="4" t="s">
        <v>5</v>
      </c>
      <c r="C32627" s="4" t="s">
        <v>7</v>
      </c>
      <c r="D32627" s="4" t="s">
        <v>7</v>
      </c>
      <c r="E32627" s="4" t="s">
        <v>13</v>
      </c>
      <c r="F32627" s="4" t="s">
        <v>11</v>
      </c>
    </row>
    <row r="32628" spans="1:9">
      <c r="A32628" t="n">
        <v>319229</v>
      </c>
      <c r="B32628" s="51" t="n">
        <v>45</v>
      </c>
      <c r="C32628" s="7" t="n">
        <v>11</v>
      </c>
      <c r="D32628" s="7" t="n">
        <v>3</v>
      </c>
      <c r="E32628" s="7" t="n">
        <v>40.2999992370605</v>
      </c>
      <c r="F32628" s="7" t="n">
        <v>0</v>
      </c>
    </row>
    <row r="32629" spans="1:9">
      <c r="A32629" t="s">
        <v>4</v>
      </c>
      <c r="B32629" s="4" t="s">
        <v>5</v>
      </c>
      <c r="C32629" s="4" t="s">
        <v>7</v>
      </c>
      <c r="D32629" s="4" t="s">
        <v>7</v>
      </c>
      <c r="E32629" s="4" t="s">
        <v>13</v>
      </c>
      <c r="F32629" s="4" t="s">
        <v>13</v>
      </c>
      <c r="G32629" s="4" t="s">
        <v>13</v>
      </c>
      <c r="H32629" s="4" t="s">
        <v>11</v>
      </c>
    </row>
    <row r="32630" spans="1:9">
      <c r="A32630" t="n">
        <v>319238</v>
      </c>
      <c r="B32630" s="51" t="n">
        <v>45</v>
      </c>
      <c r="C32630" s="7" t="n">
        <v>2</v>
      </c>
      <c r="D32630" s="7" t="n">
        <v>3</v>
      </c>
      <c r="E32630" s="7" t="n">
        <v>-6.80999994277954</v>
      </c>
      <c r="F32630" s="7" t="n">
        <v>6.15999984741211</v>
      </c>
      <c r="G32630" s="7" t="n">
        <v>29.8500003814697</v>
      </c>
      <c r="H32630" s="7" t="n">
        <v>20000</v>
      </c>
    </row>
    <row r="32631" spans="1:9">
      <c r="A32631" t="s">
        <v>4</v>
      </c>
      <c r="B32631" s="4" t="s">
        <v>5</v>
      </c>
      <c r="C32631" s="4" t="s">
        <v>7</v>
      </c>
      <c r="D32631" s="4" t="s">
        <v>7</v>
      </c>
      <c r="E32631" s="4" t="s">
        <v>13</v>
      </c>
      <c r="F32631" s="4" t="s">
        <v>13</v>
      </c>
      <c r="G32631" s="4" t="s">
        <v>13</v>
      </c>
      <c r="H32631" s="4" t="s">
        <v>11</v>
      </c>
      <c r="I32631" s="4" t="s">
        <v>7</v>
      </c>
    </row>
    <row r="32632" spans="1:9">
      <c r="A32632" t="n">
        <v>319255</v>
      </c>
      <c r="B32632" s="51" t="n">
        <v>45</v>
      </c>
      <c r="C32632" s="7" t="n">
        <v>4</v>
      </c>
      <c r="D32632" s="7" t="n">
        <v>3</v>
      </c>
      <c r="E32632" s="7" t="n">
        <v>339.959991455078</v>
      </c>
      <c r="F32632" s="7" t="n">
        <v>99.8399963378906</v>
      </c>
      <c r="G32632" s="7" t="n">
        <v>0</v>
      </c>
      <c r="H32632" s="7" t="n">
        <v>20000</v>
      </c>
      <c r="I32632" s="7" t="n">
        <v>1</v>
      </c>
    </row>
    <row r="32633" spans="1:9">
      <c r="A32633" t="s">
        <v>4</v>
      </c>
      <c r="B32633" s="4" t="s">
        <v>5</v>
      </c>
      <c r="C32633" s="4" t="s">
        <v>7</v>
      </c>
      <c r="D32633" s="4" t="s">
        <v>7</v>
      </c>
      <c r="E32633" s="4" t="s">
        <v>13</v>
      </c>
      <c r="F32633" s="4" t="s">
        <v>11</v>
      </c>
    </row>
    <row r="32634" spans="1:9">
      <c r="A32634" t="n">
        <v>319273</v>
      </c>
      <c r="B32634" s="51" t="n">
        <v>45</v>
      </c>
      <c r="C32634" s="7" t="n">
        <v>5</v>
      </c>
      <c r="D32634" s="7" t="n">
        <v>3</v>
      </c>
      <c r="E32634" s="7" t="n">
        <v>0.800000011920929</v>
      </c>
      <c r="F32634" s="7" t="n">
        <v>20000</v>
      </c>
    </row>
    <row r="32635" spans="1:9">
      <c r="A32635" t="s">
        <v>4</v>
      </c>
      <c r="B32635" s="4" t="s">
        <v>5</v>
      </c>
      <c r="C32635" s="4" t="s">
        <v>7</v>
      </c>
      <c r="D32635" s="4" t="s">
        <v>7</v>
      </c>
      <c r="E32635" s="4" t="s">
        <v>13</v>
      </c>
      <c r="F32635" s="4" t="s">
        <v>11</v>
      </c>
    </row>
    <row r="32636" spans="1:9">
      <c r="A32636" t="n">
        <v>319282</v>
      </c>
      <c r="B32636" s="51" t="n">
        <v>45</v>
      </c>
      <c r="C32636" s="7" t="n">
        <v>11</v>
      </c>
      <c r="D32636" s="7" t="n">
        <v>3</v>
      </c>
      <c r="E32636" s="7" t="n">
        <v>40.2999992370605</v>
      </c>
      <c r="F32636" s="7" t="n">
        <v>20000</v>
      </c>
    </row>
    <row r="32637" spans="1:9">
      <c r="A32637" t="s">
        <v>4</v>
      </c>
      <c r="B32637" s="4" t="s">
        <v>5</v>
      </c>
      <c r="C32637" s="4" t="s">
        <v>7</v>
      </c>
      <c r="D32637" s="4" t="s">
        <v>11</v>
      </c>
    </row>
    <row r="32638" spans="1:9">
      <c r="A32638" t="n">
        <v>319291</v>
      </c>
      <c r="B32638" s="23" t="n">
        <v>58</v>
      </c>
      <c r="C32638" s="7" t="n">
        <v>255</v>
      </c>
      <c r="D32638" s="7" t="n">
        <v>0</v>
      </c>
    </row>
    <row r="32639" spans="1:9">
      <c r="A32639" t="s">
        <v>4</v>
      </c>
      <c r="B32639" s="4" t="s">
        <v>5</v>
      </c>
      <c r="C32639" s="4" t="s">
        <v>7</v>
      </c>
      <c r="D32639" s="4" t="s">
        <v>11</v>
      </c>
      <c r="E32639" s="4" t="s">
        <v>8</v>
      </c>
    </row>
    <row r="32640" spans="1:9">
      <c r="A32640" t="n">
        <v>319295</v>
      </c>
      <c r="B32640" s="38" t="n">
        <v>51</v>
      </c>
      <c r="C32640" s="7" t="n">
        <v>4</v>
      </c>
      <c r="D32640" s="7" t="n">
        <v>13</v>
      </c>
      <c r="E32640" s="7" t="s">
        <v>709</v>
      </c>
    </row>
    <row r="32641" spans="1:9">
      <c r="A32641" t="s">
        <v>4</v>
      </c>
      <c r="B32641" s="4" t="s">
        <v>5</v>
      </c>
      <c r="C32641" s="4" t="s">
        <v>11</v>
      </c>
    </row>
    <row r="32642" spans="1:9">
      <c r="A32642" t="n">
        <v>319309</v>
      </c>
      <c r="B32642" s="29" t="n">
        <v>16</v>
      </c>
      <c r="C32642" s="7" t="n">
        <v>0</v>
      </c>
    </row>
    <row r="32643" spans="1:9">
      <c r="A32643" t="s">
        <v>4</v>
      </c>
      <c r="B32643" s="4" t="s">
        <v>5</v>
      </c>
      <c r="C32643" s="4" t="s">
        <v>11</v>
      </c>
      <c r="D32643" s="4" t="s">
        <v>7</v>
      </c>
      <c r="E32643" s="4" t="s">
        <v>15</v>
      </c>
      <c r="F32643" s="4" t="s">
        <v>55</v>
      </c>
      <c r="G32643" s="4" t="s">
        <v>7</v>
      </c>
      <c r="H32643" s="4" t="s">
        <v>7</v>
      </c>
      <c r="I32643" s="4" t="s">
        <v>7</v>
      </c>
      <c r="J32643" s="4" t="s">
        <v>15</v>
      </c>
      <c r="K32643" s="4" t="s">
        <v>55</v>
      </c>
      <c r="L32643" s="4" t="s">
        <v>7</v>
      </c>
      <c r="M32643" s="4" t="s">
        <v>7</v>
      </c>
      <c r="N32643" s="4" t="s">
        <v>7</v>
      </c>
      <c r="O32643" s="4" t="s">
        <v>15</v>
      </c>
      <c r="P32643" s="4" t="s">
        <v>55</v>
      </c>
      <c r="Q32643" s="4" t="s">
        <v>7</v>
      </c>
      <c r="R32643" s="4" t="s">
        <v>7</v>
      </c>
    </row>
    <row r="32644" spans="1:9">
      <c r="A32644" t="n">
        <v>319312</v>
      </c>
      <c r="B32644" s="55" t="n">
        <v>26</v>
      </c>
      <c r="C32644" s="7" t="n">
        <v>13</v>
      </c>
      <c r="D32644" s="7" t="n">
        <v>17</v>
      </c>
      <c r="E32644" s="7" t="n">
        <v>11819</v>
      </c>
      <c r="F32644" s="7" t="s">
        <v>844</v>
      </c>
      <c r="G32644" s="7" t="n">
        <v>2</v>
      </c>
      <c r="H32644" s="7" t="n">
        <v>3</v>
      </c>
      <c r="I32644" s="7" t="n">
        <v>17</v>
      </c>
      <c r="J32644" s="7" t="n">
        <v>11820</v>
      </c>
      <c r="K32644" s="7" t="s">
        <v>845</v>
      </c>
      <c r="L32644" s="7" t="n">
        <v>2</v>
      </c>
      <c r="M32644" s="7" t="n">
        <v>3</v>
      </c>
      <c r="N32644" s="7" t="n">
        <v>17</v>
      </c>
      <c r="O32644" s="7" t="n">
        <v>11821</v>
      </c>
      <c r="P32644" s="7" t="s">
        <v>846</v>
      </c>
      <c r="Q32644" s="7" t="n">
        <v>2</v>
      </c>
      <c r="R32644" s="7" t="n">
        <v>0</v>
      </c>
    </row>
    <row r="32645" spans="1:9">
      <c r="A32645" t="s">
        <v>4</v>
      </c>
      <c r="B32645" s="4" t="s">
        <v>5</v>
      </c>
    </row>
    <row r="32646" spans="1:9">
      <c r="A32646" t="n">
        <v>319584</v>
      </c>
      <c r="B32646" s="27" t="n">
        <v>28</v>
      </c>
    </row>
    <row r="32647" spans="1:9">
      <c r="A32647" t="s">
        <v>4</v>
      </c>
      <c r="B32647" s="4" t="s">
        <v>5</v>
      </c>
      <c r="C32647" s="4" t="s">
        <v>7</v>
      </c>
      <c r="D32647" s="4" t="s">
        <v>11</v>
      </c>
      <c r="E32647" s="4" t="s">
        <v>8</v>
      </c>
    </row>
    <row r="32648" spans="1:9">
      <c r="A32648" t="n">
        <v>319585</v>
      </c>
      <c r="B32648" s="38" t="n">
        <v>51</v>
      </c>
      <c r="C32648" s="7" t="n">
        <v>4</v>
      </c>
      <c r="D32648" s="7" t="n">
        <v>0</v>
      </c>
      <c r="E32648" s="7" t="s">
        <v>847</v>
      </c>
    </row>
    <row r="32649" spans="1:9">
      <c r="A32649" t="s">
        <v>4</v>
      </c>
      <c r="B32649" s="4" t="s">
        <v>5</v>
      </c>
      <c r="C32649" s="4" t="s">
        <v>11</v>
      </c>
    </row>
    <row r="32650" spans="1:9">
      <c r="A32650" t="n">
        <v>319603</v>
      </c>
      <c r="B32650" s="29" t="n">
        <v>16</v>
      </c>
      <c r="C32650" s="7" t="n">
        <v>0</v>
      </c>
    </row>
    <row r="32651" spans="1:9">
      <c r="A32651" t="s">
        <v>4</v>
      </c>
      <c r="B32651" s="4" t="s">
        <v>5</v>
      </c>
      <c r="C32651" s="4" t="s">
        <v>11</v>
      </c>
      <c r="D32651" s="4" t="s">
        <v>7</v>
      </c>
      <c r="E32651" s="4" t="s">
        <v>15</v>
      </c>
      <c r="F32651" s="4" t="s">
        <v>55</v>
      </c>
      <c r="G32651" s="4" t="s">
        <v>7</v>
      </c>
      <c r="H32651" s="4" t="s">
        <v>7</v>
      </c>
    </row>
    <row r="32652" spans="1:9">
      <c r="A32652" t="n">
        <v>319606</v>
      </c>
      <c r="B32652" s="55" t="n">
        <v>26</v>
      </c>
      <c r="C32652" s="7" t="n">
        <v>0</v>
      </c>
      <c r="D32652" s="7" t="n">
        <v>17</v>
      </c>
      <c r="E32652" s="7" t="n">
        <v>64059</v>
      </c>
      <c r="F32652" s="7" t="s">
        <v>848</v>
      </c>
      <c r="G32652" s="7" t="n">
        <v>2</v>
      </c>
      <c r="H32652" s="7" t="n">
        <v>0</v>
      </c>
    </row>
    <row r="32653" spans="1:9">
      <c r="A32653" t="s">
        <v>4</v>
      </c>
      <c r="B32653" s="4" t="s">
        <v>5</v>
      </c>
    </row>
    <row r="32654" spans="1:9">
      <c r="A32654" t="n">
        <v>319633</v>
      </c>
      <c r="B32654" s="27" t="n">
        <v>28</v>
      </c>
    </row>
    <row r="32655" spans="1:9">
      <c r="A32655" t="s">
        <v>4</v>
      </c>
      <c r="B32655" s="4" t="s">
        <v>5</v>
      </c>
      <c r="C32655" s="4" t="s">
        <v>11</v>
      </c>
      <c r="D32655" s="4" t="s">
        <v>7</v>
      </c>
    </row>
    <row r="32656" spans="1:9">
      <c r="A32656" t="n">
        <v>319634</v>
      </c>
      <c r="B32656" s="68" t="n">
        <v>89</v>
      </c>
      <c r="C32656" s="7" t="n">
        <v>65533</v>
      </c>
      <c r="D32656" s="7" t="n">
        <v>1</v>
      </c>
    </row>
    <row r="32657" spans="1:18">
      <c r="A32657" t="s">
        <v>4</v>
      </c>
      <c r="B32657" s="4" t="s">
        <v>5</v>
      </c>
      <c r="C32657" s="4" t="s">
        <v>11</v>
      </c>
    </row>
    <row r="32658" spans="1:18">
      <c r="A32658" t="n">
        <v>319638</v>
      </c>
      <c r="B32658" s="29" t="n">
        <v>16</v>
      </c>
      <c r="C32658" s="7" t="n">
        <v>1000</v>
      </c>
    </row>
    <row r="32659" spans="1:18">
      <c r="A32659" t="s">
        <v>4</v>
      </c>
      <c r="B32659" s="4" t="s">
        <v>5</v>
      </c>
      <c r="C32659" s="4" t="s">
        <v>7</v>
      </c>
      <c r="D32659" s="4" t="s">
        <v>13</v>
      </c>
      <c r="E32659" s="4" t="s">
        <v>11</v>
      </c>
      <c r="F32659" s="4" t="s">
        <v>7</v>
      </c>
    </row>
    <row r="32660" spans="1:18">
      <c r="A32660" t="n">
        <v>319641</v>
      </c>
      <c r="B32660" s="13" t="n">
        <v>49</v>
      </c>
      <c r="C32660" s="7" t="n">
        <v>3</v>
      </c>
      <c r="D32660" s="7" t="n">
        <v>1</v>
      </c>
      <c r="E32660" s="7" t="n">
        <v>1000</v>
      </c>
      <c r="F32660" s="7" t="n">
        <v>0</v>
      </c>
    </row>
    <row r="32661" spans="1:18">
      <c r="A32661" t="s">
        <v>4</v>
      </c>
      <c r="B32661" s="4" t="s">
        <v>5</v>
      </c>
      <c r="C32661" s="4" t="s">
        <v>7</v>
      </c>
      <c r="D32661" s="4" t="s">
        <v>11</v>
      </c>
      <c r="E32661" s="4" t="s">
        <v>13</v>
      </c>
    </row>
    <row r="32662" spans="1:18">
      <c r="A32662" t="n">
        <v>319650</v>
      </c>
      <c r="B32662" s="23" t="n">
        <v>58</v>
      </c>
      <c r="C32662" s="7" t="n">
        <v>101</v>
      </c>
      <c r="D32662" s="7" t="n">
        <v>1000</v>
      </c>
      <c r="E32662" s="7" t="n">
        <v>1</v>
      </c>
    </row>
    <row r="32663" spans="1:18">
      <c r="A32663" t="s">
        <v>4</v>
      </c>
      <c r="B32663" s="4" t="s">
        <v>5</v>
      </c>
      <c r="C32663" s="4" t="s">
        <v>7</v>
      </c>
      <c r="D32663" s="4" t="s">
        <v>11</v>
      </c>
    </row>
    <row r="32664" spans="1:18">
      <c r="A32664" t="n">
        <v>319658</v>
      </c>
      <c r="B32664" s="23" t="n">
        <v>58</v>
      </c>
      <c r="C32664" s="7" t="n">
        <v>254</v>
      </c>
      <c r="D32664" s="7" t="n">
        <v>0</v>
      </c>
    </row>
    <row r="32665" spans="1:18">
      <c r="A32665" t="s">
        <v>4</v>
      </c>
      <c r="B32665" s="4" t="s">
        <v>5</v>
      </c>
      <c r="C32665" s="4" t="s">
        <v>7</v>
      </c>
    </row>
    <row r="32666" spans="1:18">
      <c r="A32666" t="n">
        <v>319662</v>
      </c>
      <c r="B32666" s="49" t="n">
        <v>116</v>
      </c>
      <c r="C32666" s="7" t="n">
        <v>0</v>
      </c>
    </row>
    <row r="32667" spans="1:18">
      <c r="A32667" t="s">
        <v>4</v>
      </c>
      <c r="B32667" s="4" t="s">
        <v>5</v>
      </c>
      <c r="C32667" s="4" t="s">
        <v>7</v>
      </c>
      <c r="D32667" s="4" t="s">
        <v>11</v>
      </c>
    </row>
    <row r="32668" spans="1:18">
      <c r="A32668" t="n">
        <v>319664</v>
      </c>
      <c r="B32668" s="49" t="n">
        <v>116</v>
      </c>
      <c r="C32668" s="7" t="n">
        <v>2</v>
      </c>
      <c r="D32668" s="7" t="n">
        <v>1</v>
      </c>
    </row>
    <row r="32669" spans="1:18">
      <c r="A32669" t="s">
        <v>4</v>
      </c>
      <c r="B32669" s="4" t="s">
        <v>5</v>
      </c>
      <c r="C32669" s="4" t="s">
        <v>7</v>
      </c>
      <c r="D32669" s="4" t="s">
        <v>15</v>
      </c>
    </row>
    <row r="32670" spans="1:18">
      <c r="A32670" t="n">
        <v>319668</v>
      </c>
      <c r="B32670" s="49" t="n">
        <v>116</v>
      </c>
      <c r="C32670" s="7" t="n">
        <v>5</v>
      </c>
      <c r="D32670" s="7" t="n">
        <v>1092616192</v>
      </c>
    </row>
    <row r="32671" spans="1:18">
      <c r="A32671" t="s">
        <v>4</v>
      </c>
      <c r="B32671" s="4" t="s">
        <v>5</v>
      </c>
      <c r="C32671" s="4" t="s">
        <v>7</v>
      </c>
      <c r="D32671" s="4" t="s">
        <v>11</v>
      </c>
    </row>
    <row r="32672" spans="1:18">
      <c r="A32672" t="n">
        <v>319674</v>
      </c>
      <c r="B32672" s="49" t="n">
        <v>116</v>
      </c>
      <c r="C32672" s="7" t="n">
        <v>6</v>
      </c>
      <c r="D32672" s="7" t="n">
        <v>1</v>
      </c>
    </row>
    <row r="32673" spans="1:6">
      <c r="A32673" t="s">
        <v>4</v>
      </c>
      <c r="B32673" s="4" t="s">
        <v>5</v>
      </c>
      <c r="C32673" s="4" t="s">
        <v>7</v>
      </c>
      <c r="D32673" s="4" t="s">
        <v>11</v>
      </c>
      <c r="E32673" s="4" t="s">
        <v>8</v>
      </c>
      <c r="F32673" s="4" t="s">
        <v>8</v>
      </c>
      <c r="G32673" s="4" t="s">
        <v>8</v>
      </c>
      <c r="H32673" s="4" t="s">
        <v>8</v>
      </c>
    </row>
    <row r="32674" spans="1:6">
      <c r="A32674" t="n">
        <v>319678</v>
      </c>
      <c r="B32674" s="38" t="n">
        <v>51</v>
      </c>
      <c r="C32674" s="7" t="n">
        <v>3</v>
      </c>
      <c r="D32674" s="7" t="n">
        <v>13</v>
      </c>
      <c r="E32674" s="7" t="s">
        <v>319</v>
      </c>
      <c r="F32674" s="7" t="s">
        <v>232</v>
      </c>
      <c r="G32674" s="7" t="s">
        <v>16</v>
      </c>
      <c r="H32674" s="7" t="s">
        <v>68</v>
      </c>
    </row>
    <row r="32675" spans="1:6">
      <c r="A32675" t="s">
        <v>4</v>
      </c>
      <c r="B32675" s="4" t="s">
        <v>5</v>
      </c>
      <c r="C32675" s="4" t="s">
        <v>7</v>
      </c>
      <c r="D32675" s="4" t="s">
        <v>7</v>
      </c>
      <c r="E32675" s="4" t="s">
        <v>13</v>
      </c>
      <c r="F32675" s="4" t="s">
        <v>13</v>
      </c>
      <c r="G32675" s="4" t="s">
        <v>13</v>
      </c>
      <c r="H32675" s="4" t="s">
        <v>11</v>
      </c>
    </row>
    <row r="32676" spans="1:6">
      <c r="A32676" t="n">
        <v>319689</v>
      </c>
      <c r="B32676" s="51" t="n">
        <v>45</v>
      </c>
      <c r="C32676" s="7" t="n">
        <v>2</v>
      </c>
      <c r="D32676" s="7" t="n">
        <v>3</v>
      </c>
      <c r="E32676" s="7" t="n">
        <v>-6.67000007629395</v>
      </c>
      <c r="F32676" s="7" t="n">
        <v>6.42000007629395</v>
      </c>
      <c r="G32676" s="7" t="n">
        <v>29.8899993896484</v>
      </c>
      <c r="H32676" s="7" t="n">
        <v>0</v>
      </c>
    </row>
    <row r="32677" spans="1:6">
      <c r="A32677" t="s">
        <v>4</v>
      </c>
      <c r="B32677" s="4" t="s">
        <v>5</v>
      </c>
      <c r="C32677" s="4" t="s">
        <v>7</v>
      </c>
      <c r="D32677" s="4" t="s">
        <v>7</v>
      </c>
      <c r="E32677" s="4" t="s">
        <v>13</v>
      </c>
      <c r="F32677" s="4" t="s">
        <v>13</v>
      </c>
      <c r="G32677" s="4" t="s">
        <v>13</v>
      </c>
      <c r="H32677" s="4" t="s">
        <v>11</v>
      </c>
      <c r="I32677" s="4" t="s">
        <v>7</v>
      </c>
    </row>
    <row r="32678" spans="1:6">
      <c r="A32678" t="n">
        <v>319706</v>
      </c>
      <c r="B32678" s="51" t="n">
        <v>45</v>
      </c>
      <c r="C32678" s="7" t="n">
        <v>4</v>
      </c>
      <c r="D32678" s="7" t="n">
        <v>3</v>
      </c>
      <c r="E32678" s="7" t="n">
        <v>15.4700002670288</v>
      </c>
      <c r="F32678" s="7" t="n">
        <v>56.1100006103516</v>
      </c>
      <c r="G32678" s="7" t="n">
        <v>354</v>
      </c>
      <c r="H32678" s="7" t="n">
        <v>0</v>
      </c>
      <c r="I32678" s="7" t="n">
        <v>0</v>
      </c>
    </row>
    <row r="32679" spans="1:6">
      <c r="A32679" t="s">
        <v>4</v>
      </c>
      <c r="B32679" s="4" t="s">
        <v>5</v>
      </c>
      <c r="C32679" s="4" t="s">
        <v>7</v>
      </c>
      <c r="D32679" s="4" t="s">
        <v>7</v>
      </c>
      <c r="E32679" s="4" t="s">
        <v>13</v>
      </c>
      <c r="F32679" s="4" t="s">
        <v>11</v>
      </c>
    </row>
    <row r="32680" spans="1:6">
      <c r="A32680" t="n">
        <v>319724</v>
      </c>
      <c r="B32680" s="51" t="n">
        <v>45</v>
      </c>
      <c r="C32680" s="7" t="n">
        <v>5</v>
      </c>
      <c r="D32680" s="7" t="n">
        <v>3</v>
      </c>
      <c r="E32680" s="7" t="n">
        <v>1.5</v>
      </c>
      <c r="F32680" s="7" t="n">
        <v>0</v>
      </c>
    </row>
    <row r="32681" spans="1:6">
      <c r="A32681" t="s">
        <v>4</v>
      </c>
      <c r="B32681" s="4" t="s">
        <v>5</v>
      </c>
      <c r="C32681" s="4" t="s">
        <v>7</v>
      </c>
      <c r="D32681" s="4" t="s">
        <v>7</v>
      </c>
      <c r="E32681" s="4" t="s">
        <v>13</v>
      </c>
      <c r="F32681" s="4" t="s">
        <v>11</v>
      </c>
    </row>
    <row r="32682" spans="1:6">
      <c r="A32682" t="n">
        <v>319733</v>
      </c>
      <c r="B32682" s="51" t="n">
        <v>45</v>
      </c>
      <c r="C32682" s="7" t="n">
        <v>11</v>
      </c>
      <c r="D32682" s="7" t="n">
        <v>3</v>
      </c>
      <c r="E32682" s="7" t="n">
        <v>40.2999992370605</v>
      </c>
      <c r="F32682" s="7" t="n">
        <v>0</v>
      </c>
    </row>
    <row r="32683" spans="1:6">
      <c r="A32683" t="s">
        <v>4</v>
      </c>
      <c r="B32683" s="4" t="s">
        <v>5</v>
      </c>
      <c r="C32683" s="4" t="s">
        <v>7</v>
      </c>
      <c r="D32683" s="4" t="s">
        <v>7</v>
      </c>
      <c r="E32683" s="4" t="s">
        <v>13</v>
      </c>
      <c r="F32683" s="4" t="s">
        <v>13</v>
      </c>
      <c r="G32683" s="4" t="s">
        <v>13</v>
      </c>
      <c r="H32683" s="4" t="s">
        <v>11</v>
      </c>
    </row>
    <row r="32684" spans="1:6">
      <c r="A32684" t="n">
        <v>319742</v>
      </c>
      <c r="B32684" s="51" t="n">
        <v>45</v>
      </c>
      <c r="C32684" s="7" t="n">
        <v>2</v>
      </c>
      <c r="D32684" s="7" t="n">
        <v>3</v>
      </c>
      <c r="E32684" s="7" t="n">
        <v>-6.34000015258789</v>
      </c>
      <c r="F32684" s="7" t="n">
        <v>6.59000015258789</v>
      </c>
      <c r="G32684" s="7" t="n">
        <v>28.8899993896484</v>
      </c>
      <c r="H32684" s="7" t="n">
        <v>6000</v>
      </c>
    </row>
    <row r="32685" spans="1:6">
      <c r="A32685" t="s">
        <v>4</v>
      </c>
      <c r="B32685" s="4" t="s">
        <v>5</v>
      </c>
      <c r="C32685" s="4" t="s">
        <v>7</v>
      </c>
      <c r="D32685" s="4" t="s">
        <v>7</v>
      </c>
      <c r="E32685" s="4" t="s">
        <v>13</v>
      </c>
      <c r="F32685" s="4" t="s">
        <v>13</v>
      </c>
      <c r="G32685" s="4" t="s">
        <v>13</v>
      </c>
      <c r="H32685" s="4" t="s">
        <v>11</v>
      </c>
      <c r="I32685" s="4" t="s">
        <v>7</v>
      </c>
    </row>
    <row r="32686" spans="1:6">
      <c r="A32686" t="n">
        <v>319759</v>
      </c>
      <c r="B32686" s="51" t="n">
        <v>45</v>
      </c>
      <c r="C32686" s="7" t="n">
        <v>4</v>
      </c>
      <c r="D32686" s="7" t="n">
        <v>3</v>
      </c>
      <c r="E32686" s="7" t="n">
        <v>10.7700004577637</v>
      </c>
      <c r="F32686" s="7" t="n">
        <v>43.6100006103516</v>
      </c>
      <c r="G32686" s="7" t="n">
        <v>360</v>
      </c>
      <c r="H32686" s="7" t="n">
        <v>6000</v>
      </c>
      <c r="I32686" s="7" t="n">
        <v>1</v>
      </c>
    </row>
    <row r="32687" spans="1:6">
      <c r="A32687" t="s">
        <v>4</v>
      </c>
      <c r="B32687" s="4" t="s">
        <v>5</v>
      </c>
      <c r="C32687" s="4" t="s">
        <v>7</v>
      </c>
      <c r="D32687" s="4" t="s">
        <v>11</v>
      </c>
    </row>
    <row r="32688" spans="1:6">
      <c r="A32688" t="n">
        <v>319777</v>
      </c>
      <c r="B32688" s="23" t="n">
        <v>58</v>
      </c>
      <c r="C32688" s="7" t="n">
        <v>255</v>
      </c>
      <c r="D32688" s="7" t="n">
        <v>0</v>
      </c>
    </row>
    <row r="32689" spans="1:9">
      <c r="A32689" t="s">
        <v>4</v>
      </c>
      <c r="B32689" s="4" t="s">
        <v>5</v>
      </c>
      <c r="C32689" s="4" t="s">
        <v>7</v>
      </c>
      <c r="D32689" s="4" t="s">
        <v>11</v>
      </c>
    </row>
    <row r="32690" spans="1:9">
      <c r="A32690" t="n">
        <v>319781</v>
      </c>
      <c r="B32690" s="51" t="n">
        <v>45</v>
      </c>
      <c r="C32690" s="7" t="n">
        <v>7</v>
      </c>
      <c r="D32690" s="7" t="n">
        <v>255</v>
      </c>
    </row>
    <row r="32691" spans="1:9">
      <c r="A32691" t="s">
        <v>4</v>
      </c>
      <c r="B32691" s="4" t="s">
        <v>5</v>
      </c>
      <c r="C32691" s="4" t="s">
        <v>7</v>
      </c>
      <c r="D32691" s="4" t="s">
        <v>11</v>
      </c>
      <c r="E32691" s="4" t="s">
        <v>13</v>
      </c>
    </row>
    <row r="32692" spans="1:9">
      <c r="A32692" t="n">
        <v>319785</v>
      </c>
      <c r="B32692" s="23" t="n">
        <v>58</v>
      </c>
      <c r="C32692" s="7" t="n">
        <v>0</v>
      </c>
      <c r="D32692" s="7" t="n">
        <v>2000</v>
      </c>
      <c r="E32692" s="7" t="n">
        <v>1</v>
      </c>
    </row>
    <row r="32693" spans="1:9">
      <c r="A32693" t="s">
        <v>4</v>
      </c>
      <c r="B32693" s="4" t="s">
        <v>5</v>
      </c>
      <c r="C32693" s="4" t="s">
        <v>7</v>
      </c>
      <c r="D32693" s="4" t="s">
        <v>11</v>
      </c>
    </row>
    <row r="32694" spans="1:9">
      <c r="A32694" t="n">
        <v>319793</v>
      </c>
      <c r="B32694" s="23" t="n">
        <v>58</v>
      </c>
      <c r="C32694" s="7" t="n">
        <v>255</v>
      </c>
      <c r="D32694" s="7" t="n">
        <v>0</v>
      </c>
    </row>
    <row r="32695" spans="1:9">
      <c r="A32695" t="s">
        <v>4</v>
      </c>
      <c r="B32695" s="4" t="s">
        <v>5</v>
      </c>
      <c r="C32695" s="4" t="s">
        <v>7</v>
      </c>
      <c r="D32695" s="4" t="s">
        <v>11</v>
      </c>
      <c r="E32695" s="4" t="s">
        <v>11</v>
      </c>
      <c r="F32695" s="4" t="s">
        <v>15</v>
      </c>
    </row>
    <row r="32696" spans="1:9">
      <c r="A32696" t="n">
        <v>319797</v>
      </c>
      <c r="B32696" s="76" t="n">
        <v>84</v>
      </c>
      <c r="C32696" s="7" t="n">
        <v>1</v>
      </c>
      <c r="D32696" s="7" t="n">
        <v>0</v>
      </c>
      <c r="E32696" s="7" t="n">
        <v>0</v>
      </c>
      <c r="F32696" s="7" t="n">
        <v>0</v>
      </c>
    </row>
    <row r="32697" spans="1:9">
      <c r="A32697" t="s">
        <v>4</v>
      </c>
      <c r="B32697" s="4" t="s">
        <v>5</v>
      </c>
      <c r="C32697" s="4" t="s">
        <v>7</v>
      </c>
    </row>
    <row r="32698" spans="1:9">
      <c r="A32698" t="n">
        <v>319807</v>
      </c>
      <c r="B32698" s="28" t="n">
        <v>78</v>
      </c>
      <c r="C32698" s="7" t="n">
        <v>255</v>
      </c>
    </row>
    <row r="32699" spans="1:9">
      <c r="A32699" t="s">
        <v>4</v>
      </c>
      <c r="B32699" s="4" t="s">
        <v>5</v>
      </c>
      <c r="C32699" s="4" t="s">
        <v>7</v>
      </c>
      <c r="D32699" s="4" t="s">
        <v>11</v>
      </c>
      <c r="E32699" s="4" t="s">
        <v>7</v>
      </c>
    </row>
    <row r="32700" spans="1:9">
      <c r="A32700" t="n">
        <v>319809</v>
      </c>
      <c r="B32700" s="40" t="n">
        <v>36</v>
      </c>
      <c r="C32700" s="7" t="n">
        <v>9</v>
      </c>
      <c r="D32700" s="7" t="n">
        <v>0</v>
      </c>
      <c r="E32700" s="7" t="n">
        <v>0</v>
      </c>
    </row>
    <row r="32701" spans="1:9">
      <c r="A32701" t="s">
        <v>4</v>
      </c>
      <c r="B32701" s="4" t="s">
        <v>5</v>
      </c>
      <c r="C32701" s="4" t="s">
        <v>7</v>
      </c>
      <c r="D32701" s="4" t="s">
        <v>11</v>
      </c>
      <c r="E32701" s="4" t="s">
        <v>7</v>
      </c>
    </row>
    <row r="32702" spans="1:9">
      <c r="A32702" t="n">
        <v>319814</v>
      </c>
      <c r="B32702" s="40" t="n">
        <v>36</v>
      </c>
      <c r="C32702" s="7" t="n">
        <v>9</v>
      </c>
      <c r="D32702" s="7" t="n">
        <v>13</v>
      </c>
      <c r="E32702" s="7" t="n">
        <v>0</v>
      </c>
    </row>
    <row r="32703" spans="1:9">
      <c r="A32703" t="s">
        <v>4</v>
      </c>
      <c r="B32703" s="4" t="s">
        <v>5</v>
      </c>
      <c r="C32703" s="4" t="s">
        <v>7</v>
      </c>
      <c r="D32703" s="4" t="s">
        <v>11</v>
      </c>
      <c r="E32703" s="4" t="s">
        <v>11</v>
      </c>
      <c r="F32703" s="4" t="s">
        <v>15</v>
      </c>
      <c r="G32703" s="4" t="s">
        <v>15</v>
      </c>
      <c r="H32703" s="4" t="s">
        <v>15</v>
      </c>
    </row>
    <row r="32704" spans="1:9">
      <c r="A32704" t="n">
        <v>319819</v>
      </c>
      <c r="B32704" s="77" t="n">
        <v>97</v>
      </c>
      <c r="C32704" s="7" t="n">
        <v>7</v>
      </c>
      <c r="D32704" s="7" t="n">
        <v>0</v>
      </c>
      <c r="E32704" s="7" t="n">
        <v>0</v>
      </c>
      <c r="F32704" s="7" t="n">
        <v>0</v>
      </c>
      <c r="G32704" s="7" t="n">
        <v>0</v>
      </c>
      <c r="H32704" s="7" t="n">
        <v>0</v>
      </c>
    </row>
    <row r="32705" spans="1:8">
      <c r="A32705" t="s">
        <v>4</v>
      </c>
      <c r="B32705" s="4" t="s">
        <v>5</v>
      </c>
      <c r="C32705" s="4" t="s">
        <v>11</v>
      </c>
      <c r="D32705" s="4" t="s">
        <v>13</v>
      </c>
      <c r="E32705" s="4" t="s">
        <v>13</v>
      </c>
      <c r="F32705" s="4" t="s">
        <v>13</v>
      </c>
      <c r="G32705" s="4" t="s">
        <v>13</v>
      </c>
    </row>
    <row r="32706" spans="1:8">
      <c r="A32706" t="n">
        <v>319837</v>
      </c>
      <c r="B32706" s="36" t="n">
        <v>46</v>
      </c>
      <c r="C32706" s="7" t="n">
        <v>61456</v>
      </c>
      <c r="D32706" s="7" t="n">
        <v>0</v>
      </c>
      <c r="E32706" s="7" t="n">
        <v>0</v>
      </c>
      <c r="F32706" s="7" t="n">
        <v>0</v>
      </c>
      <c r="G32706" s="7" t="n">
        <v>0</v>
      </c>
    </row>
    <row r="32707" spans="1:8">
      <c r="A32707" t="s">
        <v>4</v>
      </c>
      <c r="B32707" s="4" t="s">
        <v>5</v>
      </c>
      <c r="C32707" s="4" t="s">
        <v>7</v>
      </c>
      <c r="D32707" s="4" t="s">
        <v>8</v>
      </c>
    </row>
    <row r="32708" spans="1:8">
      <c r="A32708" t="n">
        <v>319856</v>
      </c>
      <c r="B32708" s="6" t="n">
        <v>2</v>
      </c>
      <c r="C32708" s="7" t="n">
        <v>10</v>
      </c>
      <c r="D32708" s="7" t="s">
        <v>1834</v>
      </c>
    </row>
    <row r="32709" spans="1:8">
      <c r="A32709" t="s">
        <v>4</v>
      </c>
      <c r="B32709" s="4" t="s">
        <v>5</v>
      </c>
    </row>
    <row r="32710" spans="1:8">
      <c r="A32710" t="n">
        <v>319877</v>
      </c>
      <c r="B32710" s="5" t="n">
        <v>1</v>
      </c>
    </row>
    <row r="32711" spans="1:8" s="3" customFormat="1" customHeight="0">
      <c r="A32711" s="3" t="s">
        <v>2</v>
      </c>
      <c r="B32711" s="3" t="s">
        <v>1847</v>
      </c>
    </row>
    <row r="32712" spans="1:8">
      <c r="A32712" t="s">
        <v>4</v>
      </c>
      <c r="B32712" s="4" t="s">
        <v>5</v>
      </c>
      <c r="C32712" s="4" t="s">
        <v>7</v>
      </c>
      <c r="D32712" s="4" t="s">
        <v>7</v>
      </c>
      <c r="E32712" s="4" t="s">
        <v>7</v>
      </c>
      <c r="F32712" s="4" t="s">
        <v>7</v>
      </c>
    </row>
    <row r="32713" spans="1:8">
      <c r="A32713" t="n">
        <v>319880</v>
      </c>
      <c r="B32713" s="9" t="n">
        <v>14</v>
      </c>
      <c r="C32713" s="7" t="n">
        <v>2</v>
      </c>
      <c r="D32713" s="7" t="n">
        <v>0</v>
      </c>
      <c r="E32713" s="7" t="n">
        <v>0</v>
      </c>
      <c r="F32713" s="7" t="n">
        <v>0</v>
      </c>
    </row>
    <row r="32714" spans="1:8">
      <c r="A32714" t="s">
        <v>4</v>
      </c>
      <c r="B32714" s="4" t="s">
        <v>5</v>
      </c>
      <c r="C32714" s="4" t="s">
        <v>7</v>
      </c>
      <c r="D32714" s="20" t="s">
        <v>35</v>
      </c>
      <c r="E32714" s="4" t="s">
        <v>5</v>
      </c>
      <c r="F32714" s="4" t="s">
        <v>7</v>
      </c>
      <c r="G32714" s="4" t="s">
        <v>11</v>
      </c>
      <c r="H32714" s="20" t="s">
        <v>36</v>
      </c>
      <c r="I32714" s="4" t="s">
        <v>7</v>
      </c>
      <c r="J32714" s="4" t="s">
        <v>15</v>
      </c>
      <c r="K32714" s="4" t="s">
        <v>7</v>
      </c>
      <c r="L32714" s="4" t="s">
        <v>7</v>
      </c>
      <c r="M32714" s="20" t="s">
        <v>35</v>
      </c>
      <c r="N32714" s="4" t="s">
        <v>5</v>
      </c>
      <c r="O32714" s="4" t="s">
        <v>7</v>
      </c>
      <c r="P32714" s="4" t="s">
        <v>11</v>
      </c>
      <c r="Q32714" s="20" t="s">
        <v>36</v>
      </c>
      <c r="R32714" s="4" t="s">
        <v>7</v>
      </c>
      <c r="S32714" s="4" t="s">
        <v>15</v>
      </c>
      <c r="T32714" s="4" t="s">
        <v>7</v>
      </c>
      <c r="U32714" s="4" t="s">
        <v>7</v>
      </c>
      <c r="V32714" s="4" t="s">
        <v>7</v>
      </c>
      <c r="W32714" s="4" t="s">
        <v>12</v>
      </c>
    </row>
    <row r="32715" spans="1:8">
      <c r="A32715" t="n">
        <v>319885</v>
      </c>
      <c r="B32715" s="10" t="n">
        <v>5</v>
      </c>
      <c r="C32715" s="7" t="n">
        <v>28</v>
      </c>
      <c r="D32715" s="20" t="s">
        <v>3</v>
      </c>
      <c r="E32715" s="8" t="n">
        <v>162</v>
      </c>
      <c r="F32715" s="7" t="n">
        <v>3</v>
      </c>
      <c r="G32715" s="7" t="n">
        <v>36897</v>
      </c>
      <c r="H32715" s="20" t="s">
        <v>3</v>
      </c>
      <c r="I32715" s="7" t="n">
        <v>0</v>
      </c>
      <c r="J32715" s="7" t="n">
        <v>1</v>
      </c>
      <c r="K32715" s="7" t="n">
        <v>2</v>
      </c>
      <c r="L32715" s="7" t="n">
        <v>28</v>
      </c>
      <c r="M32715" s="20" t="s">
        <v>3</v>
      </c>
      <c r="N32715" s="8" t="n">
        <v>162</v>
      </c>
      <c r="O32715" s="7" t="n">
        <v>3</v>
      </c>
      <c r="P32715" s="7" t="n">
        <v>36897</v>
      </c>
      <c r="Q32715" s="20" t="s">
        <v>3</v>
      </c>
      <c r="R32715" s="7" t="n">
        <v>0</v>
      </c>
      <c r="S32715" s="7" t="n">
        <v>2</v>
      </c>
      <c r="T32715" s="7" t="n">
        <v>2</v>
      </c>
      <c r="U32715" s="7" t="n">
        <v>11</v>
      </c>
      <c r="V32715" s="7" t="n">
        <v>1</v>
      </c>
      <c r="W32715" s="11" t="n">
        <f t="normal" ca="1">A32719</f>
        <v>0</v>
      </c>
    </row>
    <row r="32716" spans="1:8">
      <c r="A32716" t="s">
        <v>4</v>
      </c>
      <c r="B32716" s="4" t="s">
        <v>5</v>
      </c>
      <c r="C32716" s="4" t="s">
        <v>7</v>
      </c>
      <c r="D32716" s="4" t="s">
        <v>11</v>
      </c>
      <c r="E32716" s="4" t="s">
        <v>13</v>
      </c>
    </row>
    <row r="32717" spans="1:8">
      <c r="A32717" t="n">
        <v>319914</v>
      </c>
      <c r="B32717" s="23" t="n">
        <v>58</v>
      </c>
      <c r="C32717" s="7" t="n">
        <v>0</v>
      </c>
      <c r="D32717" s="7" t="n">
        <v>0</v>
      </c>
      <c r="E32717" s="7" t="n">
        <v>1</v>
      </c>
    </row>
    <row r="32718" spans="1:8">
      <c r="A32718" t="s">
        <v>4</v>
      </c>
      <c r="B32718" s="4" t="s">
        <v>5</v>
      </c>
      <c r="C32718" s="4" t="s">
        <v>7</v>
      </c>
      <c r="D32718" s="20" t="s">
        <v>35</v>
      </c>
      <c r="E32718" s="4" t="s">
        <v>5</v>
      </c>
      <c r="F32718" s="4" t="s">
        <v>7</v>
      </c>
      <c r="G32718" s="4" t="s">
        <v>11</v>
      </c>
      <c r="H32718" s="20" t="s">
        <v>36</v>
      </c>
      <c r="I32718" s="4" t="s">
        <v>7</v>
      </c>
      <c r="J32718" s="4" t="s">
        <v>15</v>
      </c>
      <c r="K32718" s="4" t="s">
        <v>7</v>
      </c>
      <c r="L32718" s="4" t="s">
        <v>7</v>
      </c>
      <c r="M32718" s="20" t="s">
        <v>35</v>
      </c>
      <c r="N32718" s="4" t="s">
        <v>5</v>
      </c>
      <c r="O32718" s="4" t="s">
        <v>7</v>
      </c>
      <c r="P32718" s="4" t="s">
        <v>11</v>
      </c>
      <c r="Q32718" s="20" t="s">
        <v>36</v>
      </c>
      <c r="R32718" s="4" t="s">
        <v>7</v>
      </c>
      <c r="S32718" s="4" t="s">
        <v>15</v>
      </c>
      <c r="T32718" s="4" t="s">
        <v>7</v>
      </c>
      <c r="U32718" s="4" t="s">
        <v>7</v>
      </c>
      <c r="V32718" s="4" t="s">
        <v>7</v>
      </c>
      <c r="W32718" s="4" t="s">
        <v>12</v>
      </c>
    </row>
    <row r="32719" spans="1:8">
      <c r="A32719" t="n">
        <v>319922</v>
      </c>
      <c r="B32719" s="10" t="n">
        <v>5</v>
      </c>
      <c r="C32719" s="7" t="n">
        <v>28</v>
      </c>
      <c r="D32719" s="20" t="s">
        <v>3</v>
      </c>
      <c r="E32719" s="8" t="n">
        <v>162</v>
      </c>
      <c r="F32719" s="7" t="n">
        <v>3</v>
      </c>
      <c r="G32719" s="7" t="n">
        <v>36897</v>
      </c>
      <c r="H32719" s="20" t="s">
        <v>3</v>
      </c>
      <c r="I32719" s="7" t="n">
        <v>0</v>
      </c>
      <c r="J32719" s="7" t="n">
        <v>1</v>
      </c>
      <c r="K32719" s="7" t="n">
        <v>3</v>
      </c>
      <c r="L32719" s="7" t="n">
        <v>28</v>
      </c>
      <c r="M32719" s="20" t="s">
        <v>3</v>
      </c>
      <c r="N32719" s="8" t="n">
        <v>162</v>
      </c>
      <c r="O32719" s="7" t="n">
        <v>3</v>
      </c>
      <c r="P32719" s="7" t="n">
        <v>36897</v>
      </c>
      <c r="Q32719" s="20" t="s">
        <v>3</v>
      </c>
      <c r="R32719" s="7" t="n">
        <v>0</v>
      </c>
      <c r="S32719" s="7" t="n">
        <v>2</v>
      </c>
      <c r="T32719" s="7" t="n">
        <v>3</v>
      </c>
      <c r="U32719" s="7" t="n">
        <v>9</v>
      </c>
      <c r="V32719" s="7" t="n">
        <v>1</v>
      </c>
      <c r="W32719" s="11" t="n">
        <f t="normal" ca="1">A32729</f>
        <v>0</v>
      </c>
    </row>
    <row r="32720" spans="1:8">
      <c r="A32720" t="s">
        <v>4</v>
      </c>
      <c r="B32720" s="4" t="s">
        <v>5</v>
      </c>
      <c r="C32720" s="4" t="s">
        <v>7</v>
      </c>
      <c r="D32720" s="20" t="s">
        <v>35</v>
      </c>
      <c r="E32720" s="4" t="s">
        <v>5</v>
      </c>
      <c r="F32720" s="4" t="s">
        <v>11</v>
      </c>
      <c r="G32720" s="4" t="s">
        <v>7</v>
      </c>
      <c r="H32720" s="4" t="s">
        <v>7</v>
      </c>
      <c r="I32720" s="4" t="s">
        <v>8</v>
      </c>
      <c r="J32720" s="20" t="s">
        <v>36</v>
      </c>
      <c r="K32720" s="4" t="s">
        <v>7</v>
      </c>
      <c r="L32720" s="4" t="s">
        <v>7</v>
      </c>
      <c r="M32720" s="20" t="s">
        <v>35</v>
      </c>
      <c r="N32720" s="4" t="s">
        <v>5</v>
      </c>
      <c r="O32720" s="4" t="s">
        <v>7</v>
      </c>
      <c r="P32720" s="20" t="s">
        <v>36</v>
      </c>
      <c r="Q32720" s="4" t="s">
        <v>7</v>
      </c>
      <c r="R32720" s="4" t="s">
        <v>15</v>
      </c>
      <c r="S32720" s="4" t="s">
        <v>7</v>
      </c>
      <c r="T32720" s="4" t="s">
        <v>7</v>
      </c>
      <c r="U32720" s="4" t="s">
        <v>7</v>
      </c>
      <c r="V32720" s="20" t="s">
        <v>35</v>
      </c>
      <c r="W32720" s="4" t="s">
        <v>5</v>
      </c>
      <c r="X32720" s="4" t="s">
        <v>7</v>
      </c>
      <c r="Y32720" s="20" t="s">
        <v>36</v>
      </c>
      <c r="Z32720" s="4" t="s">
        <v>7</v>
      </c>
      <c r="AA32720" s="4" t="s">
        <v>15</v>
      </c>
      <c r="AB32720" s="4" t="s">
        <v>7</v>
      </c>
      <c r="AC32720" s="4" t="s">
        <v>7</v>
      </c>
      <c r="AD32720" s="4" t="s">
        <v>7</v>
      </c>
      <c r="AE32720" s="4" t="s">
        <v>12</v>
      </c>
    </row>
    <row r="32721" spans="1:31">
      <c r="A32721" t="n">
        <v>319951</v>
      </c>
      <c r="B32721" s="10" t="n">
        <v>5</v>
      </c>
      <c r="C32721" s="7" t="n">
        <v>28</v>
      </c>
      <c r="D32721" s="20" t="s">
        <v>3</v>
      </c>
      <c r="E32721" s="41" t="n">
        <v>47</v>
      </c>
      <c r="F32721" s="7" t="n">
        <v>61456</v>
      </c>
      <c r="G32721" s="7" t="n">
        <v>2</v>
      </c>
      <c r="H32721" s="7" t="n">
        <v>0</v>
      </c>
      <c r="I32721" s="7" t="s">
        <v>105</v>
      </c>
      <c r="J32721" s="20" t="s">
        <v>3</v>
      </c>
      <c r="K32721" s="7" t="n">
        <v>8</v>
      </c>
      <c r="L32721" s="7" t="n">
        <v>28</v>
      </c>
      <c r="M32721" s="20" t="s">
        <v>3</v>
      </c>
      <c r="N32721" s="45" t="n">
        <v>74</v>
      </c>
      <c r="O32721" s="7" t="n">
        <v>65</v>
      </c>
      <c r="P32721" s="20" t="s">
        <v>3</v>
      </c>
      <c r="Q32721" s="7" t="n">
        <v>0</v>
      </c>
      <c r="R32721" s="7" t="n">
        <v>1</v>
      </c>
      <c r="S32721" s="7" t="n">
        <v>3</v>
      </c>
      <c r="T32721" s="7" t="n">
        <v>9</v>
      </c>
      <c r="U32721" s="7" t="n">
        <v>28</v>
      </c>
      <c r="V32721" s="20" t="s">
        <v>3</v>
      </c>
      <c r="W32721" s="45" t="n">
        <v>74</v>
      </c>
      <c r="X32721" s="7" t="n">
        <v>65</v>
      </c>
      <c r="Y32721" s="20" t="s">
        <v>3</v>
      </c>
      <c r="Z32721" s="7" t="n">
        <v>0</v>
      </c>
      <c r="AA32721" s="7" t="n">
        <v>2</v>
      </c>
      <c r="AB32721" s="7" t="n">
        <v>3</v>
      </c>
      <c r="AC32721" s="7" t="n">
        <v>9</v>
      </c>
      <c r="AD32721" s="7" t="n">
        <v>1</v>
      </c>
      <c r="AE32721" s="11" t="n">
        <f t="normal" ca="1">A32725</f>
        <v>0</v>
      </c>
    </row>
    <row r="32722" spans="1:31">
      <c r="A32722" t="s">
        <v>4</v>
      </c>
      <c r="B32722" s="4" t="s">
        <v>5</v>
      </c>
      <c r="C32722" s="4" t="s">
        <v>11</v>
      </c>
      <c r="D32722" s="4" t="s">
        <v>7</v>
      </c>
      <c r="E32722" s="4" t="s">
        <v>7</v>
      </c>
      <c r="F32722" s="4" t="s">
        <v>8</v>
      </c>
    </row>
    <row r="32723" spans="1:31">
      <c r="A32723" t="n">
        <v>319999</v>
      </c>
      <c r="B32723" s="41" t="n">
        <v>47</v>
      </c>
      <c r="C32723" s="7" t="n">
        <v>61456</v>
      </c>
      <c r="D32723" s="7" t="n">
        <v>0</v>
      </c>
      <c r="E32723" s="7" t="n">
        <v>0</v>
      </c>
      <c r="F32723" s="7" t="s">
        <v>106</v>
      </c>
    </row>
    <row r="32724" spans="1:31">
      <c r="A32724" t="s">
        <v>4</v>
      </c>
      <c r="B32724" s="4" t="s">
        <v>5</v>
      </c>
      <c r="C32724" s="4" t="s">
        <v>7</v>
      </c>
      <c r="D32724" s="4" t="s">
        <v>11</v>
      </c>
      <c r="E32724" s="4" t="s">
        <v>13</v>
      </c>
    </row>
    <row r="32725" spans="1:31">
      <c r="A32725" t="n">
        <v>320012</v>
      </c>
      <c r="B32725" s="23" t="n">
        <v>58</v>
      </c>
      <c r="C32725" s="7" t="n">
        <v>0</v>
      </c>
      <c r="D32725" s="7" t="n">
        <v>300</v>
      </c>
      <c r="E32725" s="7" t="n">
        <v>1</v>
      </c>
    </row>
    <row r="32726" spans="1:31">
      <c r="A32726" t="s">
        <v>4</v>
      </c>
      <c r="B32726" s="4" t="s">
        <v>5</v>
      </c>
      <c r="C32726" s="4" t="s">
        <v>7</v>
      </c>
      <c r="D32726" s="4" t="s">
        <v>11</v>
      </c>
    </row>
    <row r="32727" spans="1:31">
      <c r="A32727" t="n">
        <v>320020</v>
      </c>
      <c r="B32727" s="23" t="n">
        <v>58</v>
      </c>
      <c r="C32727" s="7" t="n">
        <v>255</v>
      </c>
      <c r="D32727" s="7" t="n">
        <v>0</v>
      </c>
    </row>
    <row r="32728" spans="1:31">
      <c r="A32728" t="s">
        <v>4</v>
      </c>
      <c r="B32728" s="4" t="s">
        <v>5</v>
      </c>
      <c r="C32728" s="4" t="s">
        <v>7</v>
      </c>
      <c r="D32728" s="4" t="s">
        <v>7</v>
      </c>
      <c r="E32728" s="4" t="s">
        <v>7</v>
      </c>
      <c r="F32728" s="4" t="s">
        <v>7</v>
      </c>
    </row>
    <row r="32729" spans="1:31">
      <c r="A32729" t="n">
        <v>320024</v>
      </c>
      <c r="B32729" s="9" t="n">
        <v>14</v>
      </c>
      <c r="C32729" s="7" t="n">
        <v>0</v>
      </c>
      <c r="D32729" s="7" t="n">
        <v>0</v>
      </c>
      <c r="E32729" s="7" t="n">
        <v>0</v>
      </c>
      <c r="F32729" s="7" t="n">
        <v>64</v>
      </c>
    </row>
    <row r="32730" spans="1:31">
      <c r="A32730" t="s">
        <v>4</v>
      </c>
      <c r="B32730" s="4" t="s">
        <v>5</v>
      </c>
      <c r="C32730" s="4" t="s">
        <v>7</v>
      </c>
      <c r="D32730" s="4" t="s">
        <v>11</v>
      </c>
    </row>
    <row r="32731" spans="1:31">
      <c r="A32731" t="n">
        <v>320029</v>
      </c>
      <c r="B32731" s="22" t="n">
        <v>22</v>
      </c>
      <c r="C32731" s="7" t="n">
        <v>0</v>
      </c>
      <c r="D32731" s="7" t="n">
        <v>36897</v>
      </c>
    </row>
    <row r="32732" spans="1:31">
      <c r="A32732" t="s">
        <v>4</v>
      </c>
      <c r="B32732" s="4" t="s">
        <v>5</v>
      </c>
      <c r="C32732" s="4" t="s">
        <v>7</v>
      </c>
      <c r="D32732" s="4" t="s">
        <v>11</v>
      </c>
    </row>
    <row r="32733" spans="1:31">
      <c r="A32733" t="n">
        <v>320033</v>
      </c>
      <c r="B32733" s="23" t="n">
        <v>58</v>
      </c>
      <c r="C32733" s="7" t="n">
        <v>5</v>
      </c>
      <c r="D32733" s="7" t="n">
        <v>300</v>
      </c>
    </row>
    <row r="32734" spans="1:31">
      <c r="A32734" t="s">
        <v>4</v>
      </c>
      <c r="B32734" s="4" t="s">
        <v>5</v>
      </c>
      <c r="C32734" s="4" t="s">
        <v>13</v>
      </c>
      <c r="D32734" s="4" t="s">
        <v>11</v>
      </c>
    </row>
    <row r="32735" spans="1:31">
      <c r="A32735" t="n">
        <v>320037</v>
      </c>
      <c r="B32735" s="46" t="n">
        <v>103</v>
      </c>
      <c r="C32735" s="7" t="n">
        <v>0</v>
      </c>
      <c r="D32735" s="7" t="n">
        <v>300</v>
      </c>
    </row>
    <row r="32736" spans="1:31">
      <c r="A32736" t="s">
        <v>4</v>
      </c>
      <c r="B32736" s="4" t="s">
        <v>5</v>
      </c>
      <c r="C32736" s="4" t="s">
        <v>7</v>
      </c>
    </row>
    <row r="32737" spans="1:31">
      <c r="A32737" t="n">
        <v>320044</v>
      </c>
      <c r="B32737" s="47" t="n">
        <v>64</v>
      </c>
      <c r="C32737" s="7" t="n">
        <v>7</v>
      </c>
    </row>
    <row r="32738" spans="1:31">
      <c r="A32738" t="s">
        <v>4</v>
      </c>
      <c r="B32738" s="4" t="s">
        <v>5</v>
      </c>
      <c r="C32738" s="4" t="s">
        <v>7</v>
      </c>
      <c r="D32738" s="4" t="s">
        <v>11</v>
      </c>
    </row>
    <row r="32739" spans="1:31">
      <c r="A32739" t="n">
        <v>320046</v>
      </c>
      <c r="B32739" s="48" t="n">
        <v>72</v>
      </c>
      <c r="C32739" s="7" t="n">
        <v>5</v>
      </c>
      <c r="D32739" s="7" t="n">
        <v>0</v>
      </c>
    </row>
    <row r="32740" spans="1:31">
      <c r="A32740" t="s">
        <v>4</v>
      </c>
      <c r="B32740" s="4" t="s">
        <v>5</v>
      </c>
      <c r="C32740" s="4" t="s">
        <v>7</v>
      </c>
      <c r="D32740" s="20" t="s">
        <v>35</v>
      </c>
      <c r="E32740" s="4" t="s">
        <v>5</v>
      </c>
      <c r="F32740" s="4" t="s">
        <v>7</v>
      </c>
      <c r="G32740" s="4" t="s">
        <v>11</v>
      </c>
      <c r="H32740" s="20" t="s">
        <v>36</v>
      </c>
      <c r="I32740" s="4" t="s">
        <v>7</v>
      </c>
      <c r="J32740" s="4" t="s">
        <v>15</v>
      </c>
      <c r="K32740" s="4" t="s">
        <v>7</v>
      </c>
      <c r="L32740" s="4" t="s">
        <v>7</v>
      </c>
      <c r="M32740" s="4" t="s">
        <v>12</v>
      </c>
    </row>
    <row r="32741" spans="1:31">
      <c r="A32741" t="n">
        <v>320050</v>
      </c>
      <c r="B32741" s="10" t="n">
        <v>5</v>
      </c>
      <c r="C32741" s="7" t="n">
        <v>28</v>
      </c>
      <c r="D32741" s="20" t="s">
        <v>3</v>
      </c>
      <c r="E32741" s="8" t="n">
        <v>162</v>
      </c>
      <c r="F32741" s="7" t="n">
        <v>4</v>
      </c>
      <c r="G32741" s="7" t="n">
        <v>36897</v>
      </c>
      <c r="H32741" s="20" t="s">
        <v>3</v>
      </c>
      <c r="I32741" s="7" t="n">
        <v>0</v>
      </c>
      <c r="J32741" s="7" t="n">
        <v>1</v>
      </c>
      <c r="K32741" s="7" t="n">
        <v>2</v>
      </c>
      <c r="L32741" s="7" t="n">
        <v>1</v>
      </c>
      <c r="M32741" s="11" t="n">
        <f t="normal" ca="1">A32747</f>
        <v>0</v>
      </c>
    </row>
    <row r="32742" spans="1:31">
      <c r="A32742" t="s">
        <v>4</v>
      </c>
      <c r="B32742" s="4" t="s">
        <v>5</v>
      </c>
      <c r="C32742" s="4" t="s">
        <v>7</v>
      </c>
      <c r="D32742" s="4" t="s">
        <v>8</v>
      </c>
    </row>
    <row r="32743" spans="1:31">
      <c r="A32743" t="n">
        <v>320067</v>
      </c>
      <c r="B32743" s="6" t="n">
        <v>2</v>
      </c>
      <c r="C32743" s="7" t="n">
        <v>10</v>
      </c>
      <c r="D32743" s="7" t="s">
        <v>107</v>
      </c>
    </row>
    <row r="32744" spans="1:31">
      <c r="A32744" t="s">
        <v>4</v>
      </c>
      <c r="B32744" s="4" t="s">
        <v>5</v>
      </c>
      <c r="C32744" s="4" t="s">
        <v>11</v>
      </c>
    </row>
    <row r="32745" spans="1:31">
      <c r="A32745" t="n">
        <v>320084</v>
      </c>
      <c r="B32745" s="29" t="n">
        <v>16</v>
      </c>
      <c r="C32745" s="7" t="n">
        <v>0</v>
      </c>
    </row>
    <row r="32746" spans="1:31">
      <c r="A32746" t="s">
        <v>4</v>
      </c>
      <c r="B32746" s="4" t="s">
        <v>5</v>
      </c>
      <c r="C32746" s="4" t="s">
        <v>7</v>
      </c>
      <c r="D32746" s="4" t="s">
        <v>11</v>
      </c>
      <c r="E32746" s="4" t="s">
        <v>11</v>
      </c>
      <c r="F32746" s="4" t="s">
        <v>11</v>
      </c>
      <c r="G32746" s="4" t="s">
        <v>11</v>
      </c>
      <c r="H32746" s="4" t="s">
        <v>11</v>
      </c>
      <c r="I32746" s="4" t="s">
        <v>11</v>
      </c>
      <c r="J32746" s="4" t="s">
        <v>11</v>
      </c>
      <c r="K32746" s="4" t="s">
        <v>11</v>
      </c>
      <c r="L32746" s="4" t="s">
        <v>11</v>
      </c>
      <c r="M32746" s="4" t="s">
        <v>11</v>
      </c>
      <c r="N32746" s="4" t="s">
        <v>15</v>
      </c>
      <c r="O32746" s="4" t="s">
        <v>15</v>
      </c>
      <c r="P32746" s="4" t="s">
        <v>15</v>
      </c>
      <c r="Q32746" s="4" t="s">
        <v>15</v>
      </c>
      <c r="R32746" s="4" t="s">
        <v>7</v>
      </c>
      <c r="S32746" s="4" t="s">
        <v>8</v>
      </c>
    </row>
    <row r="32747" spans="1:31">
      <c r="A32747" t="n">
        <v>320087</v>
      </c>
      <c r="B32747" s="24" t="n">
        <v>75</v>
      </c>
      <c r="C32747" s="7" t="n">
        <v>0</v>
      </c>
      <c r="D32747" s="7" t="n">
        <v>484</v>
      </c>
      <c r="E32747" s="7" t="n">
        <v>328</v>
      </c>
      <c r="F32747" s="7" t="n">
        <v>996</v>
      </c>
      <c r="G32747" s="7" t="n">
        <v>392</v>
      </c>
      <c r="H32747" s="7" t="n">
        <v>0</v>
      </c>
      <c r="I32747" s="7" t="n">
        <v>0</v>
      </c>
      <c r="J32747" s="7" t="n">
        <v>0</v>
      </c>
      <c r="K32747" s="7" t="n">
        <v>448</v>
      </c>
      <c r="L32747" s="7" t="n">
        <v>512</v>
      </c>
      <c r="M32747" s="7" t="n">
        <v>512</v>
      </c>
      <c r="N32747" s="7" t="n">
        <v>1065353216</v>
      </c>
      <c r="O32747" s="7" t="n">
        <v>1065353216</v>
      </c>
      <c r="P32747" s="7" t="n">
        <v>1065353216</v>
      </c>
      <c r="Q32747" s="7" t="n">
        <v>0</v>
      </c>
      <c r="R32747" s="7" t="n">
        <v>0</v>
      </c>
      <c r="S32747" s="7" t="s">
        <v>271</v>
      </c>
    </row>
    <row r="32748" spans="1:31">
      <c r="A32748" t="s">
        <v>4</v>
      </c>
      <c r="B32748" s="4" t="s">
        <v>5</v>
      </c>
      <c r="C32748" s="4" t="s">
        <v>7</v>
      </c>
      <c r="D32748" s="4" t="s">
        <v>11</v>
      </c>
      <c r="E32748" s="4" t="s">
        <v>7</v>
      </c>
      <c r="F32748" s="4" t="s">
        <v>8</v>
      </c>
    </row>
    <row r="32749" spans="1:31">
      <c r="A32749" t="n">
        <v>320136</v>
      </c>
      <c r="B32749" s="81" t="n">
        <v>39</v>
      </c>
      <c r="C32749" s="7" t="n">
        <v>10</v>
      </c>
      <c r="D32749" s="7" t="n">
        <v>65533</v>
      </c>
      <c r="E32749" s="7" t="n">
        <v>201</v>
      </c>
      <c r="F32749" s="7" t="s">
        <v>850</v>
      </c>
    </row>
    <row r="32750" spans="1:31">
      <c r="A32750" t="s">
        <v>4</v>
      </c>
      <c r="B32750" s="4" t="s">
        <v>5</v>
      </c>
      <c r="C32750" s="4" t="s">
        <v>11</v>
      </c>
      <c r="D32750" s="4" t="s">
        <v>8</v>
      </c>
      <c r="E32750" s="4" t="s">
        <v>8</v>
      </c>
      <c r="F32750" s="4" t="s">
        <v>8</v>
      </c>
      <c r="G32750" s="4" t="s">
        <v>7</v>
      </c>
      <c r="H32750" s="4" t="s">
        <v>15</v>
      </c>
      <c r="I32750" s="4" t="s">
        <v>13</v>
      </c>
      <c r="J32750" s="4" t="s">
        <v>13</v>
      </c>
      <c r="K32750" s="4" t="s">
        <v>13</v>
      </c>
      <c r="L32750" s="4" t="s">
        <v>13</v>
      </c>
      <c r="M32750" s="4" t="s">
        <v>13</v>
      </c>
      <c r="N32750" s="4" t="s">
        <v>13</v>
      </c>
      <c r="O32750" s="4" t="s">
        <v>13</v>
      </c>
      <c r="P32750" s="4" t="s">
        <v>8</v>
      </c>
      <c r="Q32750" s="4" t="s">
        <v>8</v>
      </c>
      <c r="R32750" s="4" t="s">
        <v>15</v>
      </c>
      <c r="S32750" s="4" t="s">
        <v>7</v>
      </c>
      <c r="T32750" s="4" t="s">
        <v>15</v>
      </c>
      <c r="U32750" s="4" t="s">
        <v>15</v>
      </c>
      <c r="V32750" s="4" t="s">
        <v>11</v>
      </c>
    </row>
    <row r="32751" spans="1:31">
      <c r="A32751" t="n">
        <v>320160</v>
      </c>
      <c r="B32751" s="62" t="n">
        <v>19</v>
      </c>
      <c r="C32751" s="7" t="n">
        <v>18</v>
      </c>
      <c r="D32751" s="7" t="s">
        <v>851</v>
      </c>
      <c r="E32751" s="7" t="s">
        <v>852</v>
      </c>
      <c r="F32751" s="7" t="s">
        <v>16</v>
      </c>
      <c r="G32751" s="7" t="n">
        <v>0</v>
      </c>
      <c r="H32751" s="7" t="n">
        <v>1</v>
      </c>
      <c r="I32751" s="7" t="n">
        <v>0</v>
      </c>
      <c r="J32751" s="7" t="n">
        <v>0</v>
      </c>
      <c r="K32751" s="7" t="n">
        <v>0</v>
      </c>
      <c r="L32751" s="7" t="n">
        <v>0</v>
      </c>
      <c r="M32751" s="7" t="n">
        <v>1</v>
      </c>
      <c r="N32751" s="7" t="n">
        <v>1.60000002384186</v>
      </c>
      <c r="O32751" s="7" t="n">
        <v>0.0900000035762787</v>
      </c>
      <c r="P32751" s="7" t="s">
        <v>16</v>
      </c>
      <c r="Q32751" s="7" t="s">
        <v>16</v>
      </c>
      <c r="R32751" s="7" t="n">
        <v>-1</v>
      </c>
      <c r="S32751" s="7" t="n">
        <v>0</v>
      </c>
      <c r="T32751" s="7" t="n">
        <v>0</v>
      </c>
      <c r="U32751" s="7" t="n">
        <v>0</v>
      </c>
      <c r="V32751" s="7" t="n">
        <v>0</v>
      </c>
    </row>
    <row r="32752" spans="1:31">
      <c r="A32752" t="s">
        <v>4</v>
      </c>
      <c r="B32752" s="4" t="s">
        <v>5</v>
      </c>
      <c r="C32752" s="4" t="s">
        <v>11</v>
      </c>
      <c r="D32752" s="4" t="s">
        <v>7</v>
      </c>
      <c r="E32752" s="4" t="s">
        <v>7</v>
      </c>
      <c r="F32752" s="4" t="s">
        <v>8</v>
      </c>
    </row>
    <row r="32753" spans="1:22">
      <c r="A32753" t="n">
        <v>320242</v>
      </c>
      <c r="B32753" s="50" t="n">
        <v>20</v>
      </c>
      <c r="C32753" s="7" t="n">
        <v>0</v>
      </c>
      <c r="D32753" s="7" t="n">
        <v>3</v>
      </c>
      <c r="E32753" s="7" t="n">
        <v>10</v>
      </c>
      <c r="F32753" s="7" t="s">
        <v>108</v>
      </c>
    </row>
    <row r="32754" spans="1:22">
      <c r="A32754" t="s">
        <v>4</v>
      </c>
      <c r="B32754" s="4" t="s">
        <v>5</v>
      </c>
      <c r="C32754" s="4" t="s">
        <v>11</v>
      </c>
    </row>
    <row r="32755" spans="1:22">
      <c r="A32755" t="n">
        <v>320260</v>
      </c>
      <c r="B32755" s="29" t="n">
        <v>16</v>
      </c>
      <c r="C32755" s="7" t="n">
        <v>0</v>
      </c>
    </row>
    <row r="32756" spans="1:22">
      <c r="A32756" t="s">
        <v>4</v>
      </c>
      <c r="B32756" s="4" t="s">
        <v>5</v>
      </c>
      <c r="C32756" s="4" t="s">
        <v>11</v>
      </c>
      <c r="D32756" s="4" t="s">
        <v>7</v>
      </c>
      <c r="E32756" s="4" t="s">
        <v>7</v>
      </c>
      <c r="F32756" s="4" t="s">
        <v>8</v>
      </c>
    </row>
    <row r="32757" spans="1:22">
      <c r="A32757" t="n">
        <v>320263</v>
      </c>
      <c r="B32757" s="50" t="n">
        <v>20</v>
      </c>
      <c r="C32757" s="7" t="n">
        <v>18</v>
      </c>
      <c r="D32757" s="7" t="n">
        <v>3</v>
      </c>
      <c r="E32757" s="7" t="n">
        <v>10</v>
      </c>
      <c r="F32757" s="7" t="s">
        <v>108</v>
      </c>
    </row>
    <row r="32758" spans="1:22">
      <c r="A32758" t="s">
        <v>4</v>
      </c>
      <c r="B32758" s="4" t="s">
        <v>5</v>
      </c>
      <c r="C32758" s="4" t="s">
        <v>11</v>
      </c>
    </row>
    <row r="32759" spans="1:22">
      <c r="A32759" t="n">
        <v>320281</v>
      </c>
      <c r="B32759" s="29" t="n">
        <v>16</v>
      </c>
      <c r="C32759" s="7" t="n">
        <v>0</v>
      </c>
    </row>
    <row r="32760" spans="1:22">
      <c r="A32760" t="s">
        <v>4</v>
      </c>
      <c r="B32760" s="4" t="s">
        <v>5</v>
      </c>
      <c r="C32760" s="4" t="s">
        <v>11</v>
      </c>
      <c r="D32760" s="4" t="s">
        <v>15</v>
      </c>
    </row>
    <row r="32761" spans="1:22">
      <c r="A32761" t="n">
        <v>320284</v>
      </c>
      <c r="B32761" s="39" t="n">
        <v>43</v>
      </c>
      <c r="C32761" s="7" t="n">
        <v>18</v>
      </c>
      <c r="D32761" s="7" t="n">
        <v>1</v>
      </c>
    </row>
    <row r="32762" spans="1:22">
      <c r="A32762" t="s">
        <v>4</v>
      </c>
      <c r="B32762" s="4" t="s">
        <v>5</v>
      </c>
      <c r="C32762" s="4" t="s">
        <v>7</v>
      </c>
    </row>
    <row r="32763" spans="1:22">
      <c r="A32763" t="n">
        <v>320291</v>
      </c>
      <c r="B32763" s="49" t="n">
        <v>116</v>
      </c>
      <c r="C32763" s="7" t="n">
        <v>0</v>
      </c>
    </row>
    <row r="32764" spans="1:22">
      <c r="A32764" t="s">
        <v>4</v>
      </c>
      <c r="B32764" s="4" t="s">
        <v>5</v>
      </c>
      <c r="C32764" s="4" t="s">
        <v>7</v>
      </c>
      <c r="D32764" s="4" t="s">
        <v>11</v>
      </c>
    </row>
    <row r="32765" spans="1:22">
      <c r="A32765" t="n">
        <v>320293</v>
      </c>
      <c r="B32765" s="49" t="n">
        <v>116</v>
      </c>
      <c r="C32765" s="7" t="n">
        <v>2</v>
      </c>
      <c r="D32765" s="7" t="n">
        <v>1</v>
      </c>
    </row>
    <row r="32766" spans="1:22">
      <c r="A32766" t="s">
        <v>4</v>
      </c>
      <c r="B32766" s="4" t="s">
        <v>5</v>
      </c>
      <c r="C32766" s="4" t="s">
        <v>7</v>
      </c>
      <c r="D32766" s="4" t="s">
        <v>15</v>
      </c>
    </row>
    <row r="32767" spans="1:22">
      <c r="A32767" t="n">
        <v>320297</v>
      </c>
      <c r="B32767" s="49" t="n">
        <v>116</v>
      </c>
      <c r="C32767" s="7" t="n">
        <v>5</v>
      </c>
      <c r="D32767" s="7" t="n">
        <v>1106247680</v>
      </c>
    </row>
    <row r="32768" spans="1:22">
      <c r="A32768" t="s">
        <v>4</v>
      </c>
      <c r="B32768" s="4" t="s">
        <v>5</v>
      </c>
      <c r="C32768" s="4" t="s">
        <v>7</v>
      </c>
      <c r="D32768" s="4" t="s">
        <v>11</v>
      </c>
    </row>
    <row r="32769" spans="1:6">
      <c r="A32769" t="n">
        <v>320303</v>
      </c>
      <c r="B32769" s="49" t="n">
        <v>116</v>
      </c>
      <c r="C32769" s="7" t="n">
        <v>6</v>
      </c>
      <c r="D32769" s="7" t="n">
        <v>1</v>
      </c>
    </row>
    <row r="32770" spans="1:6">
      <c r="A32770" t="s">
        <v>4</v>
      </c>
      <c r="B32770" s="4" t="s">
        <v>5</v>
      </c>
      <c r="C32770" s="4" t="s">
        <v>7</v>
      </c>
      <c r="D32770" s="4" t="s">
        <v>11</v>
      </c>
      <c r="E32770" s="4" t="s">
        <v>11</v>
      </c>
      <c r="F32770" s="4" t="s">
        <v>15</v>
      </c>
    </row>
    <row r="32771" spans="1:6">
      <c r="A32771" t="n">
        <v>320307</v>
      </c>
      <c r="B32771" s="76" t="n">
        <v>84</v>
      </c>
      <c r="C32771" s="7" t="n">
        <v>0</v>
      </c>
      <c r="D32771" s="7" t="n">
        <v>0</v>
      </c>
      <c r="E32771" s="7" t="n">
        <v>0</v>
      </c>
      <c r="F32771" s="7" t="n">
        <v>1045220557</v>
      </c>
    </row>
    <row r="32772" spans="1:6">
      <c r="A32772" t="s">
        <v>4</v>
      </c>
      <c r="B32772" s="4" t="s">
        <v>5</v>
      </c>
      <c r="C32772" s="4" t="s">
        <v>11</v>
      </c>
      <c r="D32772" s="4" t="s">
        <v>13</v>
      </c>
      <c r="E32772" s="4" t="s">
        <v>13</v>
      </c>
      <c r="F32772" s="4" t="s">
        <v>13</v>
      </c>
      <c r="G32772" s="4" t="s">
        <v>13</v>
      </c>
    </row>
    <row r="32773" spans="1:6">
      <c r="A32773" t="n">
        <v>320317</v>
      </c>
      <c r="B32773" s="36" t="n">
        <v>46</v>
      </c>
      <c r="C32773" s="7" t="n">
        <v>18</v>
      </c>
      <c r="D32773" s="7" t="n">
        <v>7.6100001335144</v>
      </c>
      <c r="E32773" s="7" t="n">
        <v>0</v>
      </c>
      <c r="F32773" s="7" t="n">
        <v>46.0200004577637</v>
      </c>
      <c r="G32773" s="7" t="n">
        <v>272.200012207031</v>
      </c>
    </row>
    <row r="32774" spans="1:6">
      <c r="A32774" t="s">
        <v>4</v>
      </c>
      <c r="B32774" s="4" t="s">
        <v>5</v>
      </c>
      <c r="C32774" s="4" t="s">
        <v>11</v>
      </c>
      <c r="D32774" s="4" t="s">
        <v>13</v>
      </c>
      <c r="E32774" s="4" t="s">
        <v>13</v>
      </c>
      <c r="F32774" s="4" t="s">
        <v>13</v>
      </c>
      <c r="G32774" s="4" t="s">
        <v>13</v>
      </c>
    </row>
    <row r="32775" spans="1:6">
      <c r="A32775" t="n">
        <v>320336</v>
      </c>
      <c r="B32775" s="36" t="n">
        <v>46</v>
      </c>
      <c r="C32775" s="7" t="n">
        <v>0</v>
      </c>
      <c r="D32775" s="7" t="n">
        <v>4.78000020980835</v>
      </c>
      <c r="E32775" s="7" t="n">
        <v>0</v>
      </c>
      <c r="F32775" s="7" t="n">
        <v>45.3300018310547</v>
      </c>
      <c r="G32775" s="7" t="n">
        <v>-102.300003051758</v>
      </c>
    </row>
    <row r="32776" spans="1:6">
      <c r="A32776" t="s">
        <v>4</v>
      </c>
      <c r="B32776" s="4" t="s">
        <v>5</v>
      </c>
      <c r="C32776" s="4" t="s">
        <v>11</v>
      </c>
      <c r="D32776" s="4" t="s">
        <v>7</v>
      </c>
      <c r="E32776" s="4" t="s">
        <v>8</v>
      </c>
      <c r="F32776" s="4" t="s">
        <v>13</v>
      </c>
      <c r="G32776" s="4" t="s">
        <v>13</v>
      </c>
      <c r="H32776" s="4" t="s">
        <v>13</v>
      </c>
    </row>
    <row r="32777" spans="1:6">
      <c r="A32777" t="n">
        <v>320355</v>
      </c>
      <c r="B32777" s="42" t="n">
        <v>48</v>
      </c>
      <c r="C32777" s="7" t="n">
        <v>0</v>
      </c>
      <c r="D32777" s="7" t="n">
        <v>0</v>
      </c>
      <c r="E32777" s="7" t="s">
        <v>275</v>
      </c>
      <c r="F32777" s="7" t="n">
        <v>0</v>
      </c>
      <c r="G32777" s="7" t="n">
        <v>1</v>
      </c>
      <c r="H32777" s="7" t="n">
        <v>0</v>
      </c>
    </row>
    <row r="32778" spans="1:6">
      <c r="A32778" t="s">
        <v>4</v>
      </c>
      <c r="B32778" s="4" t="s">
        <v>5</v>
      </c>
      <c r="C32778" s="4" t="s">
        <v>7</v>
      </c>
      <c r="D32778" s="4" t="s">
        <v>11</v>
      </c>
      <c r="E32778" s="4" t="s">
        <v>8</v>
      </c>
      <c r="F32778" s="4" t="s">
        <v>8</v>
      </c>
      <c r="G32778" s="4" t="s">
        <v>8</v>
      </c>
      <c r="H32778" s="4" t="s">
        <v>8</v>
      </c>
    </row>
    <row r="32779" spans="1:6">
      <c r="A32779" t="n">
        <v>320380</v>
      </c>
      <c r="B32779" s="38" t="n">
        <v>51</v>
      </c>
      <c r="C32779" s="7" t="n">
        <v>3</v>
      </c>
      <c r="D32779" s="7" t="n">
        <v>0</v>
      </c>
      <c r="E32779" s="7" t="s">
        <v>101</v>
      </c>
      <c r="F32779" s="7" t="s">
        <v>99</v>
      </c>
      <c r="G32779" s="7" t="s">
        <v>78</v>
      </c>
      <c r="H32779" s="7" t="s">
        <v>79</v>
      </c>
    </row>
    <row r="32780" spans="1:6">
      <c r="A32780" t="s">
        <v>4</v>
      </c>
      <c r="B32780" s="4" t="s">
        <v>5</v>
      </c>
      <c r="C32780" s="4" t="s">
        <v>7</v>
      </c>
      <c r="D32780" s="4" t="s">
        <v>11</v>
      </c>
      <c r="E32780" s="4" t="s">
        <v>8</v>
      </c>
      <c r="F32780" s="4" t="s">
        <v>8</v>
      </c>
      <c r="G32780" s="4" t="s">
        <v>8</v>
      </c>
      <c r="H32780" s="4" t="s">
        <v>8</v>
      </c>
    </row>
    <row r="32781" spans="1:6">
      <c r="A32781" t="n">
        <v>320401</v>
      </c>
      <c r="B32781" s="38" t="n">
        <v>51</v>
      </c>
      <c r="C32781" s="7" t="n">
        <v>3</v>
      </c>
      <c r="D32781" s="7" t="n">
        <v>18</v>
      </c>
      <c r="E32781" s="7" t="s">
        <v>101</v>
      </c>
      <c r="F32781" s="7" t="s">
        <v>232</v>
      </c>
      <c r="G32781" s="7" t="s">
        <v>78</v>
      </c>
      <c r="H32781" s="7" t="s">
        <v>79</v>
      </c>
    </row>
    <row r="32782" spans="1:6">
      <c r="A32782" t="s">
        <v>4</v>
      </c>
      <c r="B32782" s="4" t="s">
        <v>5</v>
      </c>
      <c r="C32782" s="4" t="s">
        <v>7</v>
      </c>
      <c r="D32782" s="4" t="s">
        <v>11</v>
      </c>
      <c r="E32782" s="4" t="s">
        <v>7</v>
      </c>
      <c r="F32782" s="4" t="s">
        <v>8</v>
      </c>
      <c r="G32782" s="4" t="s">
        <v>8</v>
      </c>
      <c r="H32782" s="4" t="s">
        <v>8</v>
      </c>
      <c r="I32782" s="4" t="s">
        <v>8</v>
      </c>
      <c r="J32782" s="4" t="s">
        <v>8</v>
      </c>
      <c r="K32782" s="4" t="s">
        <v>8</v>
      </c>
      <c r="L32782" s="4" t="s">
        <v>8</v>
      </c>
      <c r="M32782" s="4" t="s">
        <v>8</v>
      </c>
      <c r="N32782" s="4" t="s">
        <v>8</v>
      </c>
      <c r="O32782" s="4" t="s">
        <v>8</v>
      </c>
      <c r="P32782" s="4" t="s">
        <v>8</v>
      </c>
      <c r="Q32782" s="4" t="s">
        <v>8</v>
      </c>
      <c r="R32782" s="4" t="s">
        <v>8</v>
      </c>
      <c r="S32782" s="4" t="s">
        <v>8</v>
      </c>
      <c r="T32782" s="4" t="s">
        <v>8</v>
      </c>
      <c r="U32782" s="4" t="s">
        <v>8</v>
      </c>
    </row>
    <row r="32783" spans="1:6">
      <c r="A32783" t="n">
        <v>320422</v>
      </c>
      <c r="B32783" s="40" t="n">
        <v>36</v>
      </c>
      <c r="C32783" s="7" t="n">
        <v>8</v>
      </c>
      <c r="D32783" s="7" t="n">
        <v>0</v>
      </c>
      <c r="E32783" s="7" t="n">
        <v>0</v>
      </c>
      <c r="F32783" s="7" t="s">
        <v>853</v>
      </c>
      <c r="G32783" s="7" t="s">
        <v>16</v>
      </c>
      <c r="H32783" s="7" t="s">
        <v>16</v>
      </c>
      <c r="I32783" s="7" t="s">
        <v>16</v>
      </c>
      <c r="J32783" s="7" t="s">
        <v>16</v>
      </c>
      <c r="K32783" s="7" t="s">
        <v>16</v>
      </c>
      <c r="L32783" s="7" t="s">
        <v>16</v>
      </c>
      <c r="M32783" s="7" t="s">
        <v>16</v>
      </c>
      <c r="N32783" s="7" t="s">
        <v>16</v>
      </c>
      <c r="O32783" s="7" t="s">
        <v>16</v>
      </c>
      <c r="P32783" s="7" t="s">
        <v>16</v>
      </c>
      <c r="Q32783" s="7" t="s">
        <v>16</v>
      </c>
      <c r="R32783" s="7" t="s">
        <v>16</v>
      </c>
      <c r="S32783" s="7" t="s">
        <v>16</v>
      </c>
      <c r="T32783" s="7" t="s">
        <v>16</v>
      </c>
      <c r="U32783" s="7" t="s">
        <v>16</v>
      </c>
    </row>
    <row r="32784" spans="1:6">
      <c r="A32784" t="s">
        <v>4</v>
      </c>
      <c r="B32784" s="4" t="s">
        <v>5</v>
      </c>
      <c r="C32784" s="4" t="s">
        <v>7</v>
      </c>
      <c r="D32784" s="4" t="s">
        <v>11</v>
      </c>
      <c r="E32784" s="4" t="s">
        <v>7</v>
      </c>
      <c r="F32784" s="4" t="s">
        <v>8</v>
      </c>
      <c r="G32784" s="4" t="s">
        <v>8</v>
      </c>
      <c r="H32784" s="4" t="s">
        <v>8</v>
      </c>
      <c r="I32784" s="4" t="s">
        <v>8</v>
      </c>
      <c r="J32784" s="4" t="s">
        <v>8</v>
      </c>
      <c r="K32784" s="4" t="s">
        <v>8</v>
      </c>
      <c r="L32784" s="4" t="s">
        <v>8</v>
      </c>
      <c r="M32784" s="4" t="s">
        <v>8</v>
      </c>
      <c r="N32784" s="4" t="s">
        <v>8</v>
      </c>
      <c r="O32784" s="4" t="s">
        <v>8</v>
      </c>
      <c r="P32784" s="4" t="s">
        <v>8</v>
      </c>
      <c r="Q32784" s="4" t="s">
        <v>8</v>
      </c>
      <c r="R32784" s="4" t="s">
        <v>8</v>
      </c>
      <c r="S32784" s="4" t="s">
        <v>8</v>
      </c>
      <c r="T32784" s="4" t="s">
        <v>8</v>
      </c>
      <c r="U32784" s="4" t="s">
        <v>8</v>
      </c>
    </row>
    <row r="32785" spans="1:21">
      <c r="A32785" t="n">
        <v>320452</v>
      </c>
      <c r="B32785" s="40" t="n">
        <v>36</v>
      </c>
      <c r="C32785" s="7" t="n">
        <v>8</v>
      </c>
      <c r="D32785" s="7" t="n">
        <v>18</v>
      </c>
      <c r="E32785" s="7" t="n">
        <v>0</v>
      </c>
      <c r="F32785" s="7" t="s">
        <v>854</v>
      </c>
      <c r="G32785" s="7" t="s">
        <v>16</v>
      </c>
      <c r="H32785" s="7" t="s">
        <v>16</v>
      </c>
      <c r="I32785" s="7" t="s">
        <v>16</v>
      </c>
      <c r="J32785" s="7" t="s">
        <v>16</v>
      </c>
      <c r="K32785" s="7" t="s">
        <v>16</v>
      </c>
      <c r="L32785" s="7" t="s">
        <v>16</v>
      </c>
      <c r="M32785" s="7" t="s">
        <v>16</v>
      </c>
      <c r="N32785" s="7" t="s">
        <v>16</v>
      </c>
      <c r="O32785" s="7" t="s">
        <v>16</v>
      </c>
      <c r="P32785" s="7" t="s">
        <v>16</v>
      </c>
      <c r="Q32785" s="7" t="s">
        <v>16</v>
      </c>
      <c r="R32785" s="7" t="s">
        <v>16</v>
      </c>
      <c r="S32785" s="7" t="s">
        <v>16</v>
      </c>
      <c r="T32785" s="7" t="s">
        <v>16</v>
      </c>
      <c r="U32785" s="7" t="s">
        <v>16</v>
      </c>
    </row>
    <row r="32786" spans="1:21">
      <c r="A32786" t="s">
        <v>4</v>
      </c>
      <c r="B32786" s="4" t="s">
        <v>5</v>
      </c>
      <c r="C32786" s="4" t="s">
        <v>7</v>
      </c>
      <c r="D32786" s="4" t="s">
        <v>7</v>
      </c>
      <c r="E32786" s="4" t="s">
        <v>13</v>
      </c>
      <c r="F32786" s="4" t="s">
        <v>13</v>
      </c>
      <c r="G32786" s="4" t="s">
        <v>13</v>
      </c>
      <c r="H32786" s="4" t="s">
        <v>11</v>
      </c>
    </row>
    <row r="32787" spans="1:21">
      <c r="A32787" t="n">
        <v>320484</v>
      </c>
      <c r="B32787" s="51" t="n">
        <v>45</v>
      </c>
      <c r="C32787" s="7" t="n">
        <v>2</v>
      </c>
      <c r="D32787" s="7" t="n">
        <v>3</v>
      </c>
      <c r="E32787" s="7" t="n">
        <v>-3</v>
      </c>
      <c r="F32787" s="7" t="n">
        <v>2.89000010490417</v>
      </c>
      <c r="G32787" s="7" t="n">
        <v>41.3699989318848</v>
      </c>
      <c r="H32787" s="7" t="n">
        <v>0</v>
      </c>
    </row>
    <row r="32788" spans="1:21">
      <c r="A32788" t="s">
        <v>4</v>
      </c>
      <c r="B32788" s="4" t="s">
        <v>5</v>
      </c>
      <c r="C32788" s="4" t="s">
        <v>7</v>
      </c>
      <c r="D32788" s="4" t="s">
        <v>7</v>
      </c>
      <c r="E32788" s="4" t="s">
        <v>13</v>
      </c>
      <c r="F32788" s="4" t="s">
        <v>13</v>
      </c>
      <c r="G32788" s="4" t="s">
        <v>13</v>
      </c>
      <c r="H32788" s="4" t="s">
        <v>11</v>
      </c>
      <c r="I32788" s="4" t="s">
        <v>7</v>
      </c>
    </row>
    <row r="32789" spans="1:21">
      <c r="A32789" t="n">
        <v>320501</v>
      </c>
      <c r="B32789" s="51" t="n">
        <v>45</v>
      </c>
      <c r="C32789" s="7" t="n">
        <v>4</v>
      </c>
      <c r="D32789" s="7" t="n">
        <v>3</v>
      </c>
      <c r="E32789" s="7" t="n">
        <v>0.649999976158142</v>
      </c>
      <c r="F32789" s="7" t="n">
        <v>105.529998779297</v>
      </c>
      <c r="G32789" s="7" t="n">
        <v>0</v>
      </c>
      <c r="H32789" s="7" t="n">
        <v>0</v>
      </c>
      <c r="I32789" s="7" t="n">
        <v>0</v>
      </c>
    </row>
    <row r="32790" spans="1:21">
      <c r="A32790" t="s">
        <v>4</v>
      </c>
      <c r="B32790" s="4" t="s">
        <v>5</v>
      </c>
      <c r="C32790" s="4" t="s">
        <v>7</v>
      </c>
      <c r="D32790" s="4" t="s">
        <v>7</v>
      </c>
      <c r="E32790" s="4" t="s">
        <v>13</v>
      </c>
      <c r="F32790" s="4" t="s">
        <v>11</v>
      </c>
    </row>
    <row r="32791" spans="1:21">
      <c r="A32791" t="n">
        <v>320519</v>
      </c>
      <c r="B32791" s="51" t="n">
        <v>45</v>
      </c>
      <c r="C32791" s="7" t="n">
        <v>5</v>
      </c>
      <c r="D32791" s="7" t="n">
        <v>3</v>
      </c>
      <c r="E32791" s="7" t="n">
        <v>2.40000009536743</v>
      </c>
      <c r="F32791" s="7" t="n">
        <v>0</v>
      </c>
    </row>
    <row r="32792" spans="1:21">
      <c r="A32792" t="s">
        <v>4</v>
      </c>
      <c r="B32792" s="4" t="s">
        <v>5</v>
      </c>
      <c r="C32792" s="4" t="s">
        <v>7</v>
      </c>
      <c r="D32792" s="4" t="s">
        <v>7</v>
      </c>
      <c r="E32792" s="4" t="s">
        <v>13</v>
      </c>
      <c r="F32792" s="4" t="s">
        <v>11</v>
      </c>
    </row>
    <row r="32793" spans="1:21">
      <c r="A32793" t="n">
        <v>320528</v>
      </c>
      <c r="B32793" s="51" t="n">
        <v>45</v>
      </c>
      <c r="C32793" s="7" t="n">
        <v>11</v>
      </c>
      <c r="D32793" s="7" t="n">
        <v>3</v>
      </c>
      <c r="E32793" s="7" t="n">
        <v>33.4000015258789</v>
      </c>
      <c r="F32793" s="7" t="n">
        <v>0</v>
      </c>
    </row>
    <row r="32794" spans="1:21">
      <c r="A32794" t="s">
        <v>4</v>
      </c>
      <c r="B32794" s="4" t="s">
        <v>5</v>
      </c>
      <c r="C32794" s="4" t="s">
        <v>11</v>
      </c>
      <c r="D32794" s="4" t="s">
        <v>13</v>
      </c>
      <c r="E32794" s="4" t="s">
        <v>13</v>
      </c>
      <c r="F32794" s="4" t="s">
        <v>13</v>
      </c>
      <c r="G32794" s="4" t="s">
        <v>11</v>
      </c>
      <c r="H32794" s="4" t="s">
        <v>11</v>
      </c>
    </row>
    <row r="32795" spans="1:21">
      <c r="A32795" t="n">
        <v>320537</v>
      </c>
      <c r="B32795" s="37" t="n">
        <v>60</v>
      </c>
      <c r="C32795" s="7" t="n">
        <v>0</v>
      </c>
      <c r="D32795" s="7" t="n">
        <v>0</v>
      </c>
      <c r="E32795" s="7" t="n">
        <v>20</v>
      </c>
      <c r="F32795" s="7" t="n">
        <v>0</v>
      </c>
      <c r="G32795" s="7" t="n">
        <v>0</v>
      </c>
      <c r="H32795" s="7" t="n">
        <v>0</v>
      </c>
    </row>
    <row r="32796" spans="1:21">
      <c r="A32796" t="s">
        <v>4</v>
      </c>
      <c r="B32796" s="4" t="s">
        <v>5</v>
      </c>
      <c r="C32796" s="4" t="s">
        <v>7</v>
      </c>
      <c r="D32796" s="4" t="s">
        <v>7</v>
      </c>
      <c r="E32796" s="4" t="s">
        <v>7</v>
      </c>
      <c r="F32796" s="4" t="s">
        <v>13</v>
      </c>
      <c r="G32796" s="4" t="s">
        <v>13</v>
      </c>
      <c r="H32796" s="4" t="s">
        <v>13</v>
      </c>
      <c r="I32796" s="4" t="s">
        <v>13</v>
      </c>
      <c r="J32796" s="4" t="s">
        <v>13</v>
      </c>
    </row>
    <row r="32797" spans="1:21">
      <c r="A32797" t="n">
        <v>320556</v>
      </c>
      <c r="B32797" s="25" t="n">
        <v>76</v>
      </c>
      <c r="C32797" s="7" t="n">
        <v>0</v>
      </c>
      <c r="D32797" s="7" t="n">
        <v>3</v>
      </c>
      <c r="E32797" s="7" t="n">
        <v>2</v>
      </c>
      <c r="F32797" s="7" t="n">
        <v>1</v>
      </c>
      <c r="G32797" s="7" t="n">
        <v>1</v>
      </c>
      <c r="H32797" s="7" t="n">
        <v>1</v>
      </c>
      <c r="I32797" s="7" t="n">
        <v>1</v>
      </c>
      <c r="J32797" s="7" t="n">
        <v>2000</v>
      </c>
    </row>
    <row r="32798" spans="1:21">
      <c r="A32798" t="s">
        <v>4</v>
      </c>
      <c r="B32798" s="4" t="s">
        <v>5</v>
      </c>
      <c r="C32798" s="4" t="s">
        <v>7</v>
      </c>
      <c r="D32798" s="4" t="s">
        <v>7</v>
      </c>
      <c r="E32798" s="4" t="s">
        <v>7</v>
      </c>
      <c r="F32798" s="4" t="s">
        <v>13</v>
      </c>
      <c r="G32798" s="4" t="s">
        <v>13</v>
      </c>
      <c r="H32798" s="4" t="s">
        <v>13</v>
      </c>
      <c r="I32798" s="4" t="s">
        <v>13</v>
      </c>
      <c r="J32798" s="4" t="s">
        <v>13</v>
      </c>
    </row>
    <row r="32799" spans="1:21">
      <c r="A32799" t="n">
        <v>320580</v>
      </c>
      <c r="B32799" s="25" t="n">
        <v>76</v>
      </c>
      <c r="C32799" s="7" t="n">
        <v>0</v>
      </c>
      <c r="D32799" s="7" t="n">
        <v>0</v>
      </c>
      <c r="E32799" s="7" t="n">
        <v>2</v>
      </c>
      <c r="F32799" s="7" t="n">
        <v>64</v>
      </c>
      <c r="G32799" s="7" t="n">
        <v>0</v>
      </c>
      <c r="H32799" s="7" t="n">
        <v>2000</v>
      </c>
      <c r="I32799" s="7" t="n">
        <v>0</v>
      </c>
      <c r="J32799" s="7" t="n">
        <v>0</v>
      </c>
    </row>
    <row r="32800" spans="1:21">
      <c r="A32800" t="s">
        <v>4</v>
      </c>
      <c r="B32800" s="4" t="s">
        <v>5</v>
      </c>
      <c r="C32800" s="4" t="s">
        <v>7</v>
      </c>
      <c r="D32800" s="4" t="s">
        <v>7</v>
      </c>
    </row>
    <row r="32801" spans="1:21">
      <c r="A32801" t="n">
        <v>320604</v>
      </c>
      <c r="B32801" s="26" t="n">
        <v>77</v>
      </c>
      <c r="C32801" s="7" t="n">
        <v>0</v>
      </c>
      <c r="D32801" s="7" t="n">
        <v>3</v>
      </c>
    </row>
    <row r="32802" spans="1:21">
      <c r="A32802" t="s">
        <v>4</v>
      </c>
      <c r="B32802" s="4" t="s">
        <v>5</v>
      </c>
      <c r="C32802" s="4" t="s">
        <v>7</v>
      </c>
      <c r="D32802" s="4" t="s">
        <v>7</v>
      </c>
    </row>
    <row r="32803" spans="1:21">
      <c r="A32803" t="n">
        <v>320607</v>
      </c>
      <c r="B32803" s="26" t="n">
        <v>77</v>
      </c>
      <c r="C32803" s="7" t="n">
        <v>0</v>
      </c>
      <c r="D32803" s="7" t="n">
        <v>0</v>
      </c>
    </row>
    <row r="32804" spans="1:21">
      <c r="A32804" t="s">
        <v>4</v>
      </c>
      <c r="B32804" s="4" t="s">
        <v>5</v>
      </c>
      <c r="C32804" s="4" t="s">
        <v>11</v>
      </c>
    </row>
    <row r="32805" spans="1:21">
      <c r="A32805" t="n">
        <v>320610</v>
      </c>
      <c r="B32805" s="29" t="n">
        <v>16</v>
      </c>
      <c r="C32805" s="7" t="n">
        <v>2000</v>
      </c>
    </row>
    <row r="32806" spans="1:21">
      <c r="A32806" t="s">
        <v>4</v>
      </c>
      <c r="B32806" s="4" t="s">
        <v>5</v>
      </c>
      <c r="C32806" s="4" t="s">
        <v>7</v>
      </c>
      <c r="D32806" s="4" t="s">
        <v>11</v>
      </c>
      <c r="E32806" s="4" t="s">
        <v>15</v>
      </c>
      <c r="F32806" s="4" t="s">
        <v>11</v>
      </c>
      <c r="G32806" s="4" t="s">
        <v>15</v>
      </c>
      <c r="H32806" s="4" t="s">
        <v>7</v>
      </c>
    </row>
    <row r="32807" spans="1:21">
      <c r="A32807" t="n">
        <v>320613</v>
      </c>
      <c r="B32807" s="13" t="n">
        <v>49</v>
      </c>
      <c r="C32807" s="7" t="n">
        <v>0</v>
      </c>
      <c r="D32807" s="7" t="n">
        <v>514</v>
      </c>
      <c r="E32807" s="7" t="n">
        <v>1065353216</v>
      </c>
      <c r="F32807" s="7" t="n">
        <v>0</v>
      </c>
      <c r="G32807" s="7" t="n">
        <v>0</v>
      </c>
      <c r="H32807" s="7" t="n">
        <v>0</v>
      </c>
    </row>
    <row r="32808" spans="1:21">
      <c r="A32808" t="s">
        <v>4</v>
      </c>
      <c r="B32808" s="4" t="s">
        <v>5</v>
      </c>
      <c r="C32808" s="4" t="s">
        <v>7</v>
      </c>
      <c r="D32808" s="4" t="s">
        <v>7</v>
      </c>
      <c r="E32808" s="4" t="s">
        <v>7</v>
      </c>
      <c r="F32808" s="4" t="s">
        <v>13</v>
      </c>
      <c r="G32808" s="4" t="s">
        <v>13</v>
      </c>
      <c r="H32808" s="4" t="s">
        <v>13</v>
      </c>
      <c r="I32808" s="4" t="s">
        <v>13</v>
      </c>
      <c r="J32808" s="4" t="s">
        <v>13</v>
      </c>
    </row>
    <row r="32809" spans="1:21">
      <c r="A32809" t="n">
        <v>320628</v>
      </c>
      <c r="B32809" s="25" t="n">
        <v>76</v>
      </c>
      <c r="C32809" s="7" t="n">
        <v>0</v>
      </c>
      <c r="D32809" s="7" t="n">
        <v>3</v>
      </c>
      <c r="E32809" s="7" t="n">
        <v>1</v>
      </c>
      <c r="F32809" s="7" t="n">
        <v>1</v>
      </c>
      <c r="G32809" s="7" t="n">
        <v>1</v>
      </c>
      <c r="H32809" s="7" t="n">
        <v>1</v>
      </c>
      <c r="I32809" s="7" t="n">
        <v>0</v>
      </c>
      <c r="J32809" s="7" t="n">
        <v>2000</v>
      </c>
    </row>
    <row r="32810" spans="1:21">
      <c r="A32810" t="s">
        <v>4</v>
      </c>
      <c r="B32810" s="4" t="s">
        <v>5</v>
      </c>
      <c r="C32810" s="4" t="s">
        <v>7</v>
      </c>
      <c r="D32810" s="4" t="s">
        <v>7</v>
      </c>
      <c r="E32810" s="4" t="s">
        <v>7</v>
      </c>
      <c r="F32810" s="4" t="s">
        <v>13</v>
      </c>
      <c r="G32810" s="4" t="s">
        <v>13</v>
      </c>
      <c r="H32810" s="4" t="s">
        <v>13</v>
      </c>
      <c r="I32810" s="4" t="s">
        <v>13</v>
      </c>
      <c r="J32810" s="4" t="s">
        <v>13</v>
      </c>
    </row>
    <row r="32811" spans="1:21">
      <c r="A32811" t="n">
        <v>320652</v>
      </c>
      <c r="B32811" s="25" t="n">
        <v>76</v>
      </c>
      <c r="C32811" s="7" t="n">
        <v>0</v>
      </c>
      <c r="D32811" s="7" t="n">
        <v>0</v>
      </c>
      <c r="E32811" s="7" t="n">
        <v>1</v>
      </c>
      <c r="F32811" s="7" t="n">
        <v>128</v>
      </c>
      <c r="G32811" s="7" t="n">
        <v>0</v>
      </c>
      <c r="H32811" s="7" t="n">
        <v>2000</v>
      </c>
      <c r="I32811" s="7" t="n">
        <v>0</v>
      </c>
      <c r="J32811" s="7" t="n">
        <v>0</v>
      </c>
    </row>
    <row r="32812" spans="1:21">
      <c r="A32812" t="s">
        <v>4</v>
      </c>
      <c r="B32812" s="4" t="s">
        <v>5</v>
      </c>
      <c r="C32812" s="4" t="s">
        <v>7</v>
      </c>
      <c r="D32812" s="4" t="s">
        <v>7</v>
      </c>
    </row>
    <row r="32813" spans="1:21">
      <c r="A32813" t="n">
        <v>320676</v>
      </c>
      <c r="B32813" s="26" t="n">
        <v>77</v>
      </c>
      <c r="C32813" s="7" t="n">
        <v>0</v>
      </c>
      <c r="D32813" s="7" t="n">
        <v>3</v>
      </c>
    </row>
    <row r="32814" spans="1:21">
      <c r="A32814" t="s">
        <v>4</v>
      </c>
      <c r="B32814" s="4" t="s">
        <v>5</v>
      </c>
      <c r="C32814" s="4" t="s">
        <v>7</v>
      </c>
      <c r="D32814" s="4" t="s">
        <v>7</v>
      </c>
    </row>
    <row r="32815" spans="1:21">
      <c r="A32815" t="n">
        <v>320679</v>
      </c>
      <c r="B32815" s="26" t="n">
        <v>77</v>
      </c>
      <c r="C32815" s="7" t="n">
        <v>0</v>
      </c>
      <c r="D32815" s="7" t="n">
        <v>0</v>
      </c>
    </row>
    <row r="32816" spans="1:21">
      <c r="A32816" t="s">
        <v>4</v>
      </c>
      <c r="B32816" s="4" t="s">
        <v>5</v>
      </c>
      <c r="C32816" s="4" t="s">
        <v>7</v>
      </c>
      <c r="D32816" s="4" t="s">
        <v>7</v>
      </c>
      <c r="E32816" s="4" t="s">
        <v>13</v>
      </c>
      <c r="F32816" s="4" t="s">
        <v>13</v>
      </c>
      <c r="G32816" s="4" t="s">
        <v>13</v>
      </c>
      <c r="H32816" s="4" t="s">
        <v>11</v>
      </c>
    </row>
    <row r="32817" spans="1:10">
      <c r="A32817" t="n">
        <v>320682</v>
      </c>
      <c r="B32817" s="51" t="n">
        <v>45</v>
      </c>
      <c r="C32817" s="7" t="n">
        <v>2</v>
      </c>
      <c r="D32817" s="7" t="n">
        <v>3</v>
      </c>
      <c r="E32817" s="7" t="n">
        <v>5.23999977111816</v>
      </c>
      <c r="F32817" s="7" t="n">
        <v>2.15000009536743</v>
      </c>
      <c r="G32817" s="7" t="n">
        <v>43.8600006103516</v>
      </c>
      <c r="H32817" s="7" t="n">
        <v>8000</v>
      </c>
    </row>
    <row r="32818" spans="1:10">
      <c r="A32818" t="s">
        <v>4</v>
      </c>
      <c r="B32818" s="4" t="s">
        <v>5</v>
      </c>
      <c r="C32818" s="4" t="s">
        <v>7</v>
      </c>
      <c r="D32818" s="4" t="s">
        <v>7</v>
      </c>
      <c r="E32818" s="4" t="s">
        <v>13</v>
      </c>
      <c r="F32818" s="4" t="s">
        <v>13</v>
      </c>
      <c r="G32818" s="4" t="s">
        <v>13</v>
      </c>
      <c r="H32818" s="4" t="s">
        <v>11</v>
      </c>
      <c r="I32818" s="4" t="s">
        <v>7</v>
      </c>
    </row>
    <row r="32819" spans="1:10">
      <c r="A32819" t="n">
        <v>320699</v>
      </c>
      <c r="B32819" s="51" t="n">
        <v>45</v>
      </c>
      <c r="C32819" s="7" t="n">
        <v>4</v>
      </c>
      <c r="D32819" s="7" t="n">
        <v>3</v>
      </c>
      <c r="E32819" s="7" t="n">
        <v>12.4799995422363</v>
      </c>
      <c r="F32819" s="7" t="n">
        <v>144.25</v>
      </c>
      <c r="G32819" s="7" t="n">
        <v>0</v>
      </c>
      <c r="H32819" s="7" t="n">
        <v>8000</v>
      </c>
      <c r="I32819" s="7" t="n">
        <v>0</v>
      </c>
    </row>
    <row r="32820" spans="1:10">
      <c r="A32820" t="s">
        <v>4</v>
      </c>
      <c r="B32820" s="4" t="s">
        <v>5</v>
      </c>
      <c r="C32820" s="4" t="s">
        <v>7</v>
      </c>
      <c r="D32820" s="4" t="s">
        <v>7</v>
      </c>
      <c r="E32820" s="4" t="s">
        <v>13</v>
      </c>
      <c r="F32820" s="4" t="s">
        <v>11</v>
      </c>
    </row>
    <row r="32821" spans="1:10">
      <c r="A32821" t="n">
        <v>320717</v>
      </c>
      <c r="B32821" s="51" t="n">
        <v>45</v>
      </c>
      <c r="C32821" s="7" t="n">
        <v>5</v>
      </c>
      <c r="D32821" s="7" t="n">
        <v>3</v>
      </c>
      <c r="E32821" s="7" t="n">
        <v>2.40000009536743</v>
      </c>
      <c r="F32821" s="7" t="n">
        <v>8000</v>
      </c>
    </row>
    <row r="32822" spans="1:10">
      <c r="A32822" t="s">
        <v>4</v>
      </c>
      <c r="B32822" s="4" t="s">
        <v>5</v>
      </c>
      <c r="C32822" s="4" t="s">
        <v>7</v>
      </c>
      <c r="D32822" s="4" t="s">
        <v>7</v>
      </c>
      <c r="E32822" s="4" t="s">
        <v>13</v>
      </c>
      <c r="F32822" s="4" t="s">
        <v>11</v>
      </c>
    </row>
    <row r="32823" spans="1:10">
      <c r="A32823" t="n">
        <v>320726</v>
      </c>
      <c r="B32823" s="51" t="n">
        <v>45</v>
      </c>
      <c r="C32823" s="7" t="n">
        <v>11</v>
      </c>
      <c r="D32823" s="7" t="n">
        <v>3</v>
      </c>
      <c r="E32823" s="7" t="n">
        <v>33.4000015258789</v>
      </c>
      <c r="F32823" s="7" t="n">
        <v>8000</v>
      </c>
    </row>
    <row r="32824" spans="1:10">
      <c r="A32824" t="s">
        <v>4</v>
      </c>
      <c r="B32824" s="4" t="s">
        <v>5</v>
      </c>
      <c r="C32824" s="4" t="s">
        <v>7</v>
      </c>
      <c r="D32824" s="4" t="s">
        <v>11</v>
      </c>
      <c r="E32824" s="4" t="s">
        <v>13</v>
      </c>
    </row>
    <row r="32825" spans="1:10">
      <c r="A32825" t="n">
        <v>320735</v>
      </c>
      <c r="B32825" s="23" t="n">
        <v>58</v>
      </c>
      <c r="C32825" s="7" t="n">
        <v>100</v>
      </c>
      <c r="D32825" s="7" t="n">
        <v>1000</v>
      </c>
      <c r="E32825" s="7" t="n">
        <v>1</v>
      </c>
    </row>
    <row r="32826" spans="1:10">
      <c r="A32826" t="s">
        <v>4</v>
      </c>
      <c r="B32826" s="4" t="s">
        <v>5</v>
      </c>
      <c r="C32826" s="4" t="s">
        <v>7</v>
      </c>
      <c r="D32826" s="4" t="s">
        <v>11</v>
      </c>
    </row>
    <row r="32827" spans="1:10">
      <c r="A32827" t="n">
        <v>320743</v>
      </c>
      <c r="B32827" s="23" t="n">
        <v>58</v>
      </c>
      <c r="C32827" s="7" t="n">
        <v>255</v>
      </c>
      <c r="D32827" s="7" t="n">
        <v>0</v>
      </c>
    </row>
    <row r="32828" spans="1:10">
      <c r="A32828" t="s">
        <v>4</v>
      </c>
      <c r="B32828" s="4" t="s">
        <v>5</v>
      </c>
      <c r="C32828" s="4" t="s">
        <v>7</v>
      </c>
      <c r="D32828" s="4" t="s">
        <v>11</v>
      </c>
    </row>
    <row r="32829" spans="1:10">
      <c r="A32829" t="n">
        <v>320747</v>
      </c>
      <c r="B32829" s="51" t="n">
        <v>45</v>
      </c>
      <c r="C32829" s="7" t="n">
        <v>7</v>
      </c>
      <c r="D32829" s="7" t="n">
        <v>255</v>
      </c>
    </row>
    <row r="32830" spans="1:10">
      <c r="A32830" t="s">
        <v>4</v>
      </c>
      <c r="B32830" s="4" t="s">
        <v>5</v>
      </c>
      <c r="C32830" s="4" t="s">
        <v>7</v>
      </c>
      <c r="D32830" s="4" t="s">
        <v>11</v>
      </c>
      <c r="E32830" s="4" t="s">
        <v>13</v>
      </c>
    </row>
    <row r="32831" spans="1:10">
      <c r="A32831" t="n">
        <v>320751</v>
      </c>
      <c r="B32831" s="23" t="n">
        <v>58</v>
      </c>
      <c r="C32831" s="7" t="n">
        <v>101</v>
      </c>
      <c r="D32831" s="7" t="n">
        <v>800</v>
      </c>
      <c r="E32831" s="7" t="n">
        <v>1</v>
      </c>
    </row>
    <row r="32832" spans="1:10">
      <c r="A32832" t="s">
        <v>4</v>
      </c>
      <c r="B32832" s="4" t="s">
        <v>5</v>
      </c>
      <c r="C32832" s="4" t="s">
        <v>7</v>
      </c>
      <c r="D32832" s="4" t="s">
        <v>11</v>
      </c>
    </row>
    <row r="32833" spans="1:9">
      <c r="A32833" t="n">
        <v>320759</v>
      </c>
      <c r="B32833" s="23" t="n">
        <v>58</v>
      </c>
      <c r="C32833" s="7" t="n">
        <v>254</v>
      </c>
      <c r="D32833" s="7" t="n">
        <v>0</v>
      </c>
    </row>
    <row r="32834" spans="1:9">
      <c r="A32834" t="s">
        <v>4</v>
      </c>
      <c r="B32834" s="4" t="s">
        <v>5</v>
      </c>
      <c r="C32834" s="4" t="s">
        <v>7</v>
      </c>
      <c r="D32834" s="4" t="s">
        <v>7</v>
      </c>
      <c r="E32834" s="4" t="s">
        <v>13</v>
      </c>
      <c r="F32834" s="4" t="s">
        <v>13</v>
      </c>
      <c r="G32834" s="4" t="s">
        <v>13</v>
      </c>
      <c r="H32834" s="4" t="s">
        <v>11</v>
      </c>
    </row>
    <row r="32835" spans="1:9">
      <c r="A32835" t="n">
        <v>320763</v>
      </c>
      <c r="B32835" s="51" t="n">
        <v>45</v>
      </c>
      <c r="C32835" s="7" t="n">
        <v>2</v>
      </c>
      <c r="D32835" s="7" t="n">
        <v>3</v>
      </c>
      <c r="E32835" s="7" t="n">
        <v>4.26999998092651</v>
      </c>
      <c r="F32835" s="7" t="n">
        <v>2.44000005722046</v>
      </c>
      <c r="G32835" s="7" t="n">
        <v>44.1500015258789</v>
      </c>
      <c r="H32835" s="7" t="n">
        <v>0</v>
      </c>
    </row>
    <row r="32836" spans="1:9">
      <c r="A32836" t="s">
        <v>4</v>
      </c>
      <c r="B32836" s="4" t="s">
        <v>5</v>
      </c>
      <c r="C32836" s="4" t="s">
        <v>7</v>
      </c>
      <c r="D32836" s="4" t="s">
        <v>7</v>
      </c>
      <c r="E32836" s="4" t="s">
        <v>13</v>
      </c>
      <c r="F32836" s="4" t="s">
        <v>13</v>
      </c>
      <c r="G32836" s="4" t="s">
        <v>13</v>
      </c>
      <c r="H32836" s="4" t="s">
        <v>11</v>
      </c>
      <c r="I32836" s="4" t="s">
        <v>7</v>
      </c>
    </row>
    <row r="32837" spans="1:9">
      <c r="A32837" t="n">
        <v>320780</v>
      </c>
      <c r="B32837" s="51" t="n">
        <v>45</v>
      </c>
      <c r="C32837" s="7" t="n">
        <v>4</v>
      </c>
      <c r="D32837" s="7" t="n">
        <v>3</v>
      </c>
      <c r="E32837" s="7" t="n">
        <v>357.880004882813</v>
      </c>
      <c r="F32837" s="7" t="n">
        <v>321.779998779297</v>
      </c>
      <c r="G32837" s="7" t="n">
        <v>0</v>
      </c>
      <c r="H32837" s="7" t="n">
        <v>0</v>
      </c>
      <c r="I32837" s="7" t="n">
        <v>0</v>
      </c>
    </row>
    <row r="32838" spans="1:9">
      <c r="A32838" t="s">
        <v>4</v>
      </c>
      <c r="B32838" s="4" t="s">
        <v>5</v>
      </c>
      <c r="C32838" s="4" t="s">
        <v>7</v>
      </c>
      <c r="D32838" s="4" t="s">
        <v>7</v>
      </c>
      <c r="E32838" s="4" t="s">
        <v>13</v>
      </c>
      <c r="F32838" s="4" t="s">
        <v>11</v>
      </c>
    </row>
    <row r="32839" spans="1:9">
      <c r="A32839" t="n">
        <v>320798</v>
      </c>
      <c r="B32839" s="51" t="n">
        <v>45</v>
      </c>
      <c r="C32839" s="7" t="n">
        <v>5</v>
      </c>
      <c r="D32839" s="7" t="n">
        <v>3</v>
      </c>
      <c r="E32839" s="7" t="n">
        <v>2.40000009536743</v>
      </c>
      <c r="F32839" s="7" t="n">
        <v>0</v>
      </c>
    </row>
    <row r="32840" spans="1:9">
      <c r="A32840" t="s">
        <v>4</v>
      </c>
      <c r="B32840" s="4" t="s">
        <v>5</v>
      </c>
      <c r="C32840" s="4" t="s">
        <v>7</v>
      </c>
      <c r="D32840" s="4" t="s">
        <v>7</v>
      </c>
      <c r="E32840" s="4" t="s">
        <v>13</v>
      </c>
      <c r="F32840" s="4" t="s">
        <v>11</v>
      </c>
    </row>
    <row r="32841" spans="1:9">
      <c r="A32841" t="n">
        <v>320807</v>
      </c>
      <c r="B32841" s="51" t="n">
        <v>45</v>
      </c>
      <c r="C32841" s="7" t="n">
        <v>11</v>
      </c>
      <c r="D32841" s="7" t="n">
        <v>3</v>
      </c>
      <c r="E32841" s="7" t="n">
        <v>33.4000015258789</v>
      </c>
      <c r="F32841" s="7" t="n">
        <v>0</v>
      </c>
    </row>
    <row r="32842" spans="1:9">
      <c r="A32842" t="s">
        <v>4</v>
      </c>
      <c r="B32842" s="4" t="s">
        <v>5</v>
      </c>
      <c r="C32842" s="4" t="s">
        <v>7</v>
      </c>
      <c r="D32842" s="4" t="s">
        <v>7</v>
      </c>
      <c r="E32842" s="4" t="s">
        <v>13</v>
      </c>
      <c r="F32842" s="4" t="s">
        <v>13</v>
      </c>
      <c r="G32842" s="4" t="s">
        <v>13</v>
      </c>
      <c r="H32842" s="4" t="s">
        <v>11</v>
      </c>
    </row>
    <row r="32843" spans="1:9">
      <c r="A32843" t="n">
        <v>320816</v>
      </c>
      <c r="B32843" s="51" t="n">
        <v>45</v>
      </c>
      <c r="C32843" s="7" t="n">
        <v>2</v>
      </c>
      <c r="D32843" s="7" t="n">
        <v>3</v>
      </c>
      <c r="E32843" s="7" t="n">
        <v>4.76999998092651</v>
      </c>
      <c r="F32843" s="7" t="n">
        <v>1.45000004768372</v>
      </c>
      <c r="G32843" s="7" t="n">
        <v>45.2599983215332</v>
      </c>
      <c r="H32843" s="7" t="n">
        <v>8000</v>
      </c>
    </row>
    <row r="32844" spans="1:9">
      <c r="A32844" t="s">
        <v>4</v>
      </c>
      <c r="B32844" s="4" t="s">
        <v>5</v>
      </c>
      <c r="C32844" s="4" t="s">
        <v>7</v>
      </c>
      <c r="D32844" s="4" t="s">
        <v>7</v>
      </c>
      <c r="E32844" s="4" t="s">
        <v>13</v>
      </c>
      <c r="F32844" s="4" t="s">
        <v>13</v>
      </c>
      <c r="G32844" s="4" t="s">
        <v>13</v>
      </c>
      <c r="H32844" s="4" t="s">
        <v>11</v>
      </c>
      <c r="I32844" s="4" t="s">
        <v>7</v>
      </c>
    </row>
    <row r="32845" spans="1:9">
      <c r="A32845" t="n">
        <v>320833</v>
      </c>
      <c r="B32845" s="51" t="n">
        <v>45</v>
      </c>
      <c r="C32845" s="7" t="n">
        <v>4</v>
      </c>
      <c r="D32845" s="7" t="n">
        <v>3</v>
      </c>
      <c r="E32845" s="7" t="n">
        <v>358.660003662109</v>
      </c>
      <c r="F32845" s="7" t="n">
        <v>283.079986572266</v>
      </c>
      <c r="G32845" s="7" t="n">
        <v>0</v>
      </c>
      <c r="H32845" s="7" t="n">
        <v>8000</v>
      </c>
      <c r="I32845" s="7" t="n">
        <v>0</v>
      </c>
    </row>
    <row r="32846" spans="1:9">
      <c r="A32846" t="s">
        <v>4</v>
      </c>
      <c r="B32846" s="4" t="s">
        <v>5</v>
      </c>
      <c r="C32846" s="4" t="s">
        <v>7</v>
      </c>
      <c r="D32846" s="4" t="s">
        <v>7</v>
      </c>
      <c r="E32846" s="4" t="s">
        <v>13</v>
      </c>
      <c r="F32846" s="4" t="s">
        <v>11</v>
      </c>
    </row>
    <row r="32847" spans="1:9">
      <c r="A32847" t="n">
        <v>320851</v>
      </c>
      <c r="B32847" s="51" t="n">
        <v>45</v>
      </c>
      <c r="C32847" s="7" t="n">
        <v>5</v>
      </c>
      <c r="D32847" s="7" t="n">
        <v>3</v>
      </c>
      <c r="E32847" s="7" t="n">
        <v>2</v>
      </c>
      <c r="F32847" s="7" t="n">
        <v>8000</v>
      </c>
    </row>
    <row r="32848" spans="1:9">
      <c r="A32848" t="s">
        <v>4</v>
      </c>
      <c r="B32848" s="4" t="s">
        <v>5</v>
      </c>
      <c r="C32848" s="4" t="s">
        <v>7</v>
      </c>
      <c r="D32848" s="4" t="s">
        <v>11</v>
      </c>
    </row>
    <row r="32849" spans="1:9">
      <c r="A32849" t="n">
        <v>320860</v>
      </c>
      <c r="B32849" s="23" t="n">
        <v>58</v>
      </c>
      <c r="C32849" s="7" t="n">
        <v>255</v>
      </c>
      <c r="D32849" s="7" t="n">
        <v>0</v>
      </c>
    </row>
    <row r="32850" spans="1:9">
      <c r="A32850" t="s">
        <v>4</v>
      </c>
      <c r="B32850" s="4" t="s">
        <v>5</v>
      </c>
      <c r="C32850" s="4" t="s">
        <v>7</v>
      </c>
      <c r="D32850" s="4" t="s">
        <v>11</v>
      </c>
    </row>
    <row r="32851" spans="1:9">
      <c r="A32851" t="n">
        <v>320864</v>
      </c>
      <c r="B32851" s="51" t="n">
        <v>45</v>
      </c>
      <c r="C32851" s="7" t="n">
        <v>7</v>
      </c>
      <c r="D32851" s="7" t="n">
        <v>255</v>
      </c>
    </row>
    <row r="32852" spans="1:9">
      <c r="A32852" t="s">
        <v>4</v>
      </c>
      <c r="B32852" s="4" t="s">
        <v>5</v>
      </c>
      <c r="C32852" s="4" t="s">
        <v>7</v>
      </c>
      <c r="D32852" s="4" t="s">
        <v>11</v>
      </c>
      <c r="E32852" s="4" t="s">
        <v>13</v>
      </c>
    </row>
    <row r="32853" spans="1:9">
      <c r="A32853" t="n">
        <v>320868</v>
      </c>
      <c r="B32853" s="23" t="n">
        <v>58</v>
      </c>
      <c r="C32853" s="7" t="n">
        <v>101</v>
      </c>
      <c r="D32853" s="7" t="n">
        <v>800</v>
      </c>
      <c r="E32853" s="7" t="n">
        <v>1</v>
      </c>
    </row>
    <row r="32854" spans="1:9">
      <c r="A32854" t="s">
        <v>4</v>
      </c>
      <c r="B32854" s="4" t="s">
        <v>5</v>
      </c>
      <c r="C32854" s="4" t="s">
        <v>7</v>
      </c>
      <c r="D32854" s="4" t="s">
        <v>11</v>
      </c>
    </row>
    <row r="32855" spans="1:9">
      <c r="A32855" t="n">
        <v>320876</v>
      </c>
      <c r="B32855" s="23" t="n">
        <v>58</v>
      </c>
      <c r="C32855" s="7" t="n">
        <v>254</v>
      </c>
      <c r="D32855" s="7" t="n">
        <v>0</v>
      </c>
    </row>
    <row r="32856" spans="1:9">
      <c r="A32856" t="s">
        <v>4</v>
      </c>
      <c r="B32856" s="4" t="s">
        <v>5</v>
      </c>
      <c r="C32856" s="4" t="s">
        <v>7</v>
      </c>
      <c r="D32856" s="4" t="s">
        <v>7</v>
      </c>
      <c r="E32856" s="4" t="s">
        <v>13</v>
      </c>
      <c r="F32856" s="4" t="s">
        <v>13</v>
      </c>
      <c r="G32856" s="4" t="s">
        <v>13</v>
      </c>
      <c r="H32856" s="4" t="s">
        <v>11</v>
      </c>
    </row>
    <row r="32857" spans="1:9">
      <c r="A32857" t="n">
        <v>320880</v>
      </c>
      <c r="B32857" s="51" t="n">
        <v>45</v>
      </c>
      <c r="C32857" s="7" t="n">
        <v>2</v>
      </c>
      <c r="D32857" s="7" t="n">
        <v>3</v>
      </c>
      <c r="E32857" s="7" t="n">
        <v>4.73999977111816</v>
      </c>
      <c r="F32857" s="7" t="n">
        <v>1.37000000476837</v>
      </c>
      <c r="G32857" s="7" t="n">
        <v>45.310001373291</v>
      </c>
      <c r="H32857" s="7" t="n">
        <v>0</v>
      </c>
    </row>
    <row r="32858" spans="1:9">
      <c r="A32858" t="s">
        <v>4</v>
      </c>
      <c r="B32858" s="4" t="s">
        <v>5</v>
      </c>
      <c r="C32858" s="4" t="s">
        <v>7</v>
      </c>
      <c r="D32858" s="4" t="s">
        <v>7</v>
      </c>
      <c r="E32858" s="4" t="s">
        <v>13</v>
      </c>
      <c r="F32858" s="4" t="s">
        <v>13</v>
      </c>
      <c r="G32858" s="4" t="s">
        <v>13</v>
      </c>
      <c r="H32858" s="4" t="s">
        <v>11</v>
      </c>
      <c r="I32858" s="4" t="s">
        <v>7</v>
      </c>
    </row>
    <row r="32859" spans="1:9">
      <c r="A32859" t="n">
        <v>320897</v>
      </c>
      <c r="B32859" s="51" t="n">
        <v>45</v>
      </c>
      <c r="C32859" s="7" t="n">
        <v>4</v>
      </c>
      <c r="D32859" s="7" t="n">
        <v>3</v>
      </c>
      <c r="E32859" s="7" t="n">
        <v>4.3899998664856</v>
      </c>
      <c r="F32859" s="7" t="n">
        <v>107.779998779297</v>
      </c>
      <c r="G32859" s="7" t="n">
        <v>0</v>
      </c>
      <c r="H32859" s="7" t="n">
        <v>0</v>
      </c>
      <c r="I32859" s="7" t="n">
        <v>0</v>
      </c>
    </row>
    <row r="32860" spans="1:9">
      <c r="A32860" t="s">
        <v>4</v>
      </c>
      <c r="B32860" s="4" t="s">
        <v>5</v>
      </c>
      <c r="C32860" s="4" t="s">
        <v>7</v>
      </c>
      <c r="D32860" s="4" t="s">
        <v>7</v>
      </c>
      <c r="E32860" s="4" t="s">
        <v>13</v>
      </c>
      <c r="F32860" s="4" t="s">
        <v>11</v>
      </c>
    </row>
    <row r="32861" spans="1:9">
      <c r="A32861" t="n">
        <v>320915</v>
      </c>
      <c r="B32861" s="51" t="n">
        <v>45</v>
      </c>
      <c r="C32861" s="7" t="n">
        <v>5</v>
      </c>
      <c r="D32861" s="7" t="n">
        <v>3</v>
      </c>
      <c r="E32861" s="7" t="n">
        <v>2</v>
      </c>
      <c r="F32861" s="7" t="n">
        <v>0</v>
      </c>
    </row>
    <row r="32862" spans="1:9">
      <c r="A32862" t="s">
        <v>4</v>
      </c>
      <c r="B32862" s="4" t="s">
        <v>5</v>
      </c>
      <c r="C32862" s="4" t="s">
        <v>7</v>
      </c>
      <c r="D32862" s="4" t="s">
        <v>7</v>
      </c>
      <c r="E32862" s="4" t="s">
        <v>13</v>
      </c>
      <c r="F32862" s="4" t="s">
        <v>11</v>
      </c>
    </row>
    <row r="32863" spans="1:9">
      <c r="A32863" t="n">
        <v>320924</v>
      </c>
      <c r="B32863" s="51" t="n">
        <v>45</v>
      </c>
      <c r="C32863" s="7" t="n">
        <v>11</v>
      </c>
      <c r="D32863" s="7" t="n">
        <v>3</v>
      </c>
      <c r="E32863" s="7" t="n">
        <v>33.4000015258789</v>
      </c>
      <c r="F32863" s="7" t="n">
        <v>0</v>
      </c>
    </row>
    <row r="32864" spans="1:9">
      <c r="A32864" t="s">
        <v>4</v>
      </c>
      <c r="B32864" s="4" t="s">
        <v>5</v>
      </c>
      <c r="C32864" s="4" t="s">
        <v>11</v>
      </c>
      <c r="D32864" s="4" t="s">
        <v>15</v>
      </c>
    </row>
    <row r="32865" spans="1:9">
      <c r="A32865" t="n">
        <v>320933</v>
      </c>
      <c r="B32865" s="63" t="n">
        <v>44</v>
      </c>
      <c r="C32865" s="7" t="n">
        <v>18</v>
      </c>
      <c r="D32865" s="7" t="n">
        <v>1</v>
      </c>
    </row>
    <row r="32866" spans="1:9">
      <c r="A32866" t="s">
        <v>4</v>
      </c>
      <c r="B32866" s="4" t="s">
        <v>5</v>
      </c>
      <c r="C32866" s="4" t="s">
        <v>7</v>
      </c>
      <c r="D32866" s="4" t="s">
        <v>11</v>
      </c>
    </row>
    <row r="32867" spans="1:9">
      <c r="A32867" t="n">
        <v>320940</v>
      </c>
      <c r="B32867" s="23" t="n">
        <v>58</v>
      </c>
      <c r="C32867" s="7" t="n">
        <v>255</v>
      </c>
      <c r="D32867" s="7" t="n">
        <v>0</v>
      </c>
    </row>
    <row r="32868" spans="1:9">
      <c r="A32868" t="s">
        <v>4</v>
      </c>
      <c r="B32868" s="4" t="s">
        <v>5</v>
      </c>
      <c r="C32868" s="4" t="s">
        <v>8</v>
      </c>
      <c r="D32868" s="4" t="s">
        <v>8</v>
      </c>
    </row>
    <row r="32869" spans="1:9">
      <c r="A32869" t="n">
        <v>320944</v>
      </c>
      <c r="B32869" s="52" t="n">
        <v>70</v>
      </c>
      <c r="C32869" s="7" t="s">
        <v>279</v>
      </c>
      <c r="D32869" s="7" t="s">
        <v>280</v>
      </c>
    </row>
    <row r="32870" spans="1:9">
      <c r="A32870" t="s">
        <v>4</v>
      </c>
      <c r="B32870" s="4" t="s">
        <v>5</v>
      </c>
      <c r="C32870" s="4" t="s">
        <v>11</v>
      </c>
    </row>
    <row r="32871" spans="1:9">
      <c r="A32871" t="n">
        <v>320961</v>
      </c>
      <c r="B32871" s="29" t="n">
        <v>16</v>
      </c>
      <c r="C32871" s="7" t="n">
        <v>1000</v>
      </c>
    </row>
    <row r="32872" spans="1:9">
      <c r="A32872" t="s">
        <v>4</v>
      </c>
      <c r="B32872" s="4" t="s">
        <v>5</v>
      </c>
      <c r="C32872" s="4" t="s">
        <v>7</v>
      </c>
      <c r="D32872" s="4" t="s">
        <v>11</v>
      </c>
      <c r="E32872" s="4" t="s">
        <v>11</v>
      </c>
      <c r="F32872" s="4" t="s">
        <v>7</v>
      </c>
    </row>
    <row r="32873" spans="1:9">
      <c r="A32873" t="n">
        <v>320964</v>
      </c>
      <c r="B32873" s="31" t="n">
        <v>25</v>
      </c>
      <c r="C32873" s="7" t="n">
        <v>1</v>
      </c>
      <c r="D32873" s="7" t="n">
        <v>100</v>
      </c>
      <c r="E32873" s="7" t="n">
        <v>500</v>
      </c>
      <c r="F32873" s="7" t="n">
        <v>5</v>
      </c>
    </row>
    <row r="32874" spans="1:9">
      <c r="A32874" t="s">
        <v>4</v>
      </c>
      <c r="B32874" s="4" t="s">
        <v>5</v>
      </c>
      <c r="C32874" s="4" t="s">
        <v>8</v>
      </c>
      <c r="D32874" s="4" t="s">
        <v>11</v>
      </c>
    </row>
    <row r="32875" spans="1:9">
      <c r="A32875" t="n">
        <v>320971</v>
      </c>
      <c r="B32875" s="67" t="n">
        <v>29</v>
      </c>
      <c r="C32875" s="7" t="s">
        <v>281</v>
      </c>
      <c r="D32875" s="7" t="n">
        <v>65533</v>
      </c>
    </row>
    <row r="32876" spans="1:9">
      <c r="A32876" t="s">
        <v>4</v>
      </c>
      <c r="B32876" s="4" t="s">
        <v>5</v>
      </c>
      <c r="C32876" s="4" t="s">
        <v>7</v>
      </c>
      <c r="D32876" s="4" t="s">
        <v>11</v>
      </c>
      <c r="E32876" s="4" t="s">
        <v>8</v>
      </c>
    </row>
    <row r="32877" spans="1:9">
      <c r="A32877" t="n">
        <v>320980</v>
      </c>
      <c r="B32877" s="38" t="n">
        <v>51</v>
      </c>
      <c r="C32877" s="7" t="n">
        <v>4</v>
      </c>
      <c r="D32877" s="7" t="n">
        <v>18</v>
      </c>
      <c r="E32877" s="7" t="s">
        <v>16</v>
      </c>
    </row>
    <row r="32878" spans="1:9">
      <c r="A32878" t="s">
        <v>4</v>
      </c>
      <c r="B32878" s="4" t="s">
        <v>5</v>
      </c>
      <c r="C32878" s="4" t="s">
        <v>11</v>
      </c>
    </row>
    <row r="32879" spans="1:9">
      <c r="A32879" t="n">
        <v>320985</v>
      </c>
      <c r="B32879" s="29" t="n">
        <v>16</v>
      </c>
      <c r="C32879" s="7" t="n">
        <v>0</v>
      </c>
    </row>
    <row r="32880" spans="1:9">
      <c r="A32880" t="s">
        <v>4</v>
      </c>
      <c r="B32880" s="4" t="s">
        <v>5</v>
      </c>
      <c r="C32880" s="4" t="s">
        <v>11</v>
      </c>
      <c r="D32880" s="4" t="s">
        <v>7</v>
      </c>
      <c r="E32880" s="4" t="s">
        <v>15</v>
      </c>
      <c r="F32880" s="4" t="s">
        <v>55</v>
      </c>
      <c r="G32880" s="4" t="s">
        <v>7</v>
      </c>
      <c r="H32880" s="4" t="s">
        <v>7</v>
      </c>
    </row>
    <row r="32881" spans="1:8">
      <c r="A32881" t="n">
        <v>320988</v>
      </c>
      <c r="B32881" s="55" t="n">
        <v>26</v>
      </c>
      <c r="C32881" s="7" t="n">
        <v>18</v>
      </c>
      <c r="D32881" s="7" t="n">
        <v>17</v>
      </c>
      <c r="E32881" s="7" t="n">
        <v>64060</v>
      </c>
      <c r="F32881" s="7" t="s">
        <v>855</v>
      </c>
      <c r="G32881" s="7" t="n">
        <v>2</v>
      </c>
      <c r="H32881" s="7" t="n">
        <v>0</v>
      </c>
    </row>
    <row r="32882" spans="1:8">
      <c r="A32882" t="s">
        <v>4</v>
      </c>
      <c r="B32882" s="4" t="s">
        <v>5</v>
      </c>
    </row>
    <row r="32883" spans="1:8">
      <c r="A32883" t="n">
        <v>321045</v>
      </c>
      <c r="B32883" s="27" t="n">
        <v>28</v>
      </c>
    </row>
    <row r="32884" spans="1:8">
      <c r="A32884" t="s">
        <v>4</v>
      </c>
      <c r="B32884" s="4" t="s">
        <v>5</v>
      </c>
      <c r="C32884" s="4" t="s">
        <v>11</v>
      </c>
      <c r="D32884" s="4" t="s">
        <v>7</v>
      </c>
    </row>
    <row r="32885" spans="1:8">
      <c r="A32885" t="n">
        <v>321046</v>
      </c>
      <c r="B32885" s="68" t="n">
        <v>89</v>
      </c>
      <c r="C32885" s="7" t="n">
        <v>65533</v>
      </c>
      <c r="D32885" s="7" t="n">
        <v>1</v>
      </c>
    </row>
    <row r="32886" spans="1:8">
      <c r="A32886" t="s">
        <v>4</v>
      </c>
      <c r="B32886" s="4" t="s">
        <v>5</v>
      </c>
      <c r="C32886" s="4" t="s">
        <v>7</v>
      </c>
      <c r="D32886" s="4" t="s">
        <v>11</v>
      </c>
      <c r="E32886" s="4" t="s">
        <v>11</v>
      </c>
      <c r="F32886" s="4" t="s">
        <v>7</v>
      </c>
    </row>
    <row r="32887" spans="1:8">
      <c r="A32887" t="n">
        <v>321050</v>
      </c>
      <c r="B32887" s="31" t="n">
        <v>25</v>
      </c>
      <c r="C32887" s="7" t="n">
        <v>1</v>
      </c>
      <c r="D32887" s="7" t="n">
        <v>65535</v>
      </c>
      <c r="E32887" s="7" t="n">
        <v>65535</v>
      </c>
      <c r="F32887" s="7" t="n">
        <v>0</v>
      </c>
    </row>
    <row r="32888" spans="1:8">
      <c r="A32888" t="s">
        <v>4</v>
      </c>
      <c r="B32888" s="4" t="s">
        <v>5</v>
      </c>
      <c r="C32888" s="4" t="s">
        <v>8</v>
      </c>
      <c r="D32888" s="4" t="s">
        <v>11</v>
      </c>
    </row>
    <row r="32889" spans="1:8">
      <c r="A32889" t="n">
        <v>321057</v>
      </c>
      <c r="B32889" s="67" t="n">
        <v>29</v>
      </c>
      <c r="C32889" s="7" t="s">
        <v>16</v>
      </c>
      <c r="D32889" s="7" t="n">
        <v>65533</v>
      </c>
    </row>
    <row r="32890" spans="1:8">
      <c r="A32890" t="s">
        <v>4</v>
      </c>
      <c r="B32890" s="4" t="s">
        <v>5</v>
      </c>
      <c r="C32890" s="4" t="s">
        <v>11</v>
      </c>
      <c r="D32890" s="4" t="s">
        <v>7</v>
      </c>
      <c r="E32890" s="4" t="s">
        <v>13</v>
      </c>
      <c r="F32890" s="4" t="s">
        <v>11</v>
      </c>
    </row>
    <row r="32891" spans="1:8">
      <c r="A32891" t="n">
        <v>321061</v>
      </c>
      <c r="B32891" s="56" t="n">
        <v>59</v>
      </c>
      <c r="C32891" s="7" t="n">
        <v>0</v>
      </c>
      <c r="D32891" s="7" t="n">
        <v>13</v>
      </c>
      <c r="E32891" s="7" t="n">
        <v>0.150000005960464</v>
      </c>
      <c r="F32891" s="7" t="n">
        <v>0</v>
      </c>
    </row>
    <row r="32892" spans="1:8">
      <c r="A32892" t="s">
        <v>4</v>
      </c>
      <c r="B32892" s="4" t="s">
        <v>5</v>
      </c>
      <c r="C32892" s="4" t="s">
        <v>11</v>
      </c>
    </row>
    <row r="32893" spans="1:8">
      <c r="A32893" t="n">
        <v>321071</v>
      </c>
      <c r="B32893" s="29" t="n">
        <v>16</v>
      </c>
      <c r="C32893" s="7" t="n">
        <v>1000</v>
      </c>
    </row>
    <row r="32894" spans="1:8">
      <c r="A32894" t="s">
        <v>4</v>
      </c>
      <c r="B32894" s="4" t="s">
        <v>5</v>
      </c>
      <c r="C32894" s="4" t="s">
        <v>11</v>
      </c>
      <c r="D32894" s="4" t="s">
        <v>13</v>
      </c>
      <c r="E32894" s="4" t="s">
        <v>13</v>
      </c>
      <c r="F32894" s="4" t="s">
        <v>13</v>
      </c>
      <c r="G32894" s="4" t="s">
        <v>11</v>
      </c>
      <c r="H32894" s="4" t="s">
        <v>11</v>
      </c>
    </row>
    <row r="32895" spans="1:8">
      <c r="A32895" t="n">
        <v>321074</v>
      </c>
      <c r="B32895" s="37" t="n">
        <v>60</v>
      </c>
      <c r="C32895" s="7" t="n">
        <v>0</v>
      </c>
      <c r="D32895" s="7" t="n">
        <v>0</v>
      </c>
      <c r="E32895" s="7" t="n">
        <v>0</v>
      </c>
      <c r="F32895" s="7" t="n">
        <v>0</v>
      </c>
      <c r="G32895" s="7" t="n">
        <v>1000</v>
      </c>
      <c r="H32895" s="7" t="n">
        <v>0</v>
      </c>
    </row>
    <row r="32896" spans="1:8">
      <c r="A32896" t="s">
        <v>4</v>
      </c>
      <c r="B32896" s="4" t="s">
        <v>5</v>
      </c>
      <c r="C32896" s="4" t="s">
        <v>11</v>
      </c>
      <c r="D32896" s="4" t="s">
        <v>11</v>
      </c>
      <c r="E32896" s="4" t="s">
        <v>11</v>
      </c>
    </row>
    <row r="32897" spans="1:8">
      <c r="A32897" t="n">
        <v>321093</v>
      </c>
      <c r="B32897" s="72" t="n">
        <v>61</v>
      </c>
      <c r="C32897" s="7" t="n">
        <v>0</v>
      </c>
      <c r="D32897" s="7" t="n">
        <v>18</v>
      </c>
      <c r="E32897" s="7" t="n">
        <v>1000</v>
      </c>
    </row>
    <row r="32898" spans="1:8">
      <c r="A32898" t="s">
        <v>4</v>
      </c>
      <c r="B32898" s="4" t="s">
        <v>5</v>
      </c>
      <c r="C32898" s="4" t="s">
        <v>11</v>
      </c>
      <c r="D32898" s="4" t="s">
        <v>11</v>
      </c>
      <c r="E32898" s="4" t="s">
        <v>11</v>
      </c>
    </row>
    <row r="32899" spans="1:8">
      <c r="A32899" t="n">
        <v>321100</v>
      </c>
      <c r="B32899" s="72" t="n">
        <v>61</v>
      </c>
      <c r="C32899" s="7" t="n">
        <v>18</v>
      </c>
      <c r="D32899" s="7" t="n">
        <v>0</v>
      </c>
      <c r="E32899" s="7" t="n">
        <v>1000</v>
      </c>
    </row>
    <row r="32900" spans="1:8">
      <c r="A32900" t="s">
        <v>4</v>
      </c>
      <c r="B32900" s="4" t="s">
        <v>5</v>
      </c>
      <c r="C32900" s="4" t="s">
        <v>11</v>
      </c>
      <c r="D32900" s="4" t="s">
        <v>13</v>
      </c>
      <c r="E32900" s="4" t="s">
        <v>13</v>
      </c>
      <c r="F32900" s="4" t="s">
        <v>7</v>
      </c>
    </row>
    <row r="32901" spans="1:8">
      <c r="A32901" t="n">
        <v>321107</v>
      </c>
      <c r="B32901" s="65" t="n">
        <v>52</v>
      </c>
      <c r="C32901" s="7" t="n">
        <v>0</v>
      </c>
      <c r="D32901" s="7" t="n">
        <v>332.399993896484</v>
      </c>
      <c r="E32901" s="7" t="n">
        <v>5</v>
      </c>
      <c r="F32901" s="7" t="n">
        <v>0</v>
      </c>
    </row>
    <row r="32902" spans="1:8">
      <c r="A32902" t="s">
        <v>4</v>
      </c>
      <c r="B32902" s="4" t="s">
        <v>5</v>
      </c>
      <c r="C32902" s="4" t="s">
        <v>11</v>
      </c>
    </row>
    <row r="32903" spans="1:8">
      <c r="A32903" t="n">
        <v>321119</v>
      </c>
      <c r="B32903" s="66" t="n">
        <v>54</v>
      </c>
      <c r="C32903" s="7" t="n">
        <v>0</v>
      </c>
    </row>
    <row r="32904" spans="1:8">
      <c r="A32904" t="s">
        <v>4</v>
      </c>
      <c r="B32904" s="4" t="s">
        <v>5</v>
      </c>
      <c r="C32904" s="4" t="s">
        <v>7</v>
      </c>
      <c r="D32904" s="4" t="s">
        <v>11</v>
      </c>
      <c r="E32904" s="4" t="s">
        <v>13</v>
      </c>
    </row>
    <row r="32905" spans="1:8">
      <c r="A32905" t="n">
        <v>321122</v>
      </c>
      <c r="B32905" s="23" t="n">
        <v>58</v>
      </c>
      <c r="C32905" s="7" t="n">
        <v>101</v>
      </c>
      <c r="D32905" s="7" t="n">
        <v>500</v>
      </c>
      <c r="E32905" s="7" t="n">
        <v>1</v>
      </c>
    </row>
    <row r="32906" spans="1:8">
      <c r="A32906" t="s">
        <v>4</v>
      </c>
      <c r="B32906" s="4" t="s">
        <v>5</v>
      </c>
      <c r="C32906" s="4" t="s">
        <v>7</v>
      </c>
      <c r="D32906" s="4" t="s">
        <v>11</v>
      </c>
    </row>
    <row r="32907" spans="1:8">
      <c r="A32907" t="n">
        <v>321130</v>
      </c>
      <c r="B32907" s="23" t="n">
        <v>58</v>
      </c>
      <c r="C32907" s="7" t="n">
        <v>254</v>
      </c>
      <c r="D32907" s="7" t="n">
        <v>0</v>
      </c>
    </row>
    <row r="32908" spans="1:8">
      <c r="A32908" t="s">
        <v>4</v>
      </c>
      <c r="B32908" s="4" t="s">
        <v>5</v>
      </c>
      <c r="C32908" s="4" t="s">
        <v>7</v>
      </c>
      <c r="D32908" s="4" t="s">
        <v>7</v>
      </c>
      <c r="E32908" s="4" t="s">
        <v>13</v>
      </c>
      <c r="F32908" s="4" t="s">
        <v>13</v>
      </c>
      <c r="G32908" s="4" t="s">
        <v>13</v>
      </c>
      <c r="H32908" s="4" t="s">
        <v>11</v>
      </c>
    </row>
    <row r="32909" spans="1:8">
      <c r="A32909" t="n">
        <v>321134</v>
      </c>
      <c r="B32909" s="51" t="n">
        <v>45</v>
      </c>
      <c r="C32909" s="7" t="n">
        <v>2</v>
      </c>
      <c r="D32909" s="7" t="n">
        <v>3</v>
      </c>
      <c r="E32909" s="7" t="n">
        <v>4.92999982833862</v>
      </c>
      <c r="F32909" s="7" t="n">
        <v>1.46000003814697</v>
      </c>
      <c r="G32909" s="7" t="n">
        <v>45.6699981689453</v>
      </c>
      <c r="H32909" s="7" t="n">
        <v>0</v>
      </c>
    </row>
    <row r="32910" spans="1:8">
      <c r="A32910" t="s">
        <v>4</v>
      </c>
      <c r="B32910" s="4" t="s">
        <v>5</v>
      </c>
      <c r="C32910" s="4" t="s">
        <v>7</v>
      </c>
      <c r="D32910" s="4" t="s">
        <v>7</v>
      </c>
      <c r="E32910" s="4" t="s">
        <v>13</v>
      </c>
      <c r="F32910" s="4" t="s">
        <v>13</v>
      </c>
      <c r="G32910" s="4" t="s">
        <v>13</v>
      </c>
      <c r="H32910" s="4" t="s">
        <v>11</v>
      </c>
      <c r="I32910" s="4" t="s">
        <v>7</v>
      </c>
    </row>
    <row r="32911" spans="1:8">
      <c r="A32911" t="n">
        <v>321151</v>
      </c>
      <c r="B32911" s="51" t="n">
        <v>45</v>
      </c>
      <c r="C32911" s="7" t="n">
        <v>4</v>
      </c>
      <c r="D32911" s="7" t="n">
        <v>3</v>
      </c>
      <c r="E32911" s="7" t="n">
        <v>5.69000005722046</v>
      </c>
      <c r="F32911" s="7" t="n">
        <v>260.239990234375</v>
      </c>
      <c r="G32911" s="7" t="n">
        <v>0</v>
      </c>
      <c r="H32911" s="7" t="n">
        <v>0</v>
      </c>
      <c r="I32911" s="7" t="n">
        <v>0</v>
      </c>
    </row>
    <row r="32912" spans="1:8">
      <c r="A32912" t="s">
        <v>4</v>
      </c>
      <c r="B32912" s="4" t="s">
        <v>5</v>
      </c>
      <c r="C32912" s="4" t="s">
        <v>7</v>
      </c>
      <c r="D32912" s="4" t="s">
        <v>7</v>
      </c>
      <c r="E32912" s="4" t="s">
        <v>13</v>
      </c>
      <c r="F32912" s="4" t="s">
        <v>11</v>
      </c>
    </row>
    <row r="32913" spans="1:9">
      <c r="A32913" t="n">
        <v>321169</v>
      </c>
      <c r="B32913" s="51" t="n">
        <v>45</v>
      </c>
      <c r="C32913" s="7" t="n">
        <v>5</v>
      </c>
      <c r="D32913" s="7" t="n">
        <v>3</v>
      </c>
      <c r="E32913" s="7" t="n">
        <v>1.70000004768372</v>
      </c>
      <c r="F32913" s="7" t="n">
        <v>0</v>
      </c>
    </row>
    <row r="32914" spans="1:9">
      <c r="A32914" t="s">
        <v>4</v>
      </c>
      <c r="B32914" s="4" t="s">
        <v>5</v>
      </c>
      <c r="C32914" s="4" t="s">
        <v>7</v>
      </c>
      <c r="D32914" s="4" t="s">
        <v>7</v>
      </c>
      <c r="E32914" s="4" t="s">
        <v>13</v>
      </c>
      <c r="F32914" s="4" t="s">
        <v>11</v>
      </c>
    </row>
    <row r="32915" spans="1:9">
      <c r="A32915" t="n">
        <v>321178</v>
      </c>
      <c r="B32915" s="51" t="n">
        <v>45</v>
      </c>
      <c r="C32915" s="7" t="n">
        <v>11</v>
      </c>
      <c r="D32915" s="7" t="n">
        <v>3</v>
      </c>
      <c r="E32915" s="7" t="n">
        <v>34</v>
      </c>
      <c r="F32915" s="7" t="n">
        <v>0</v>
      </c>
    </row>
    <row r="32916" spans="1:9">
      <c r="A32916" t="s">
        <v>4</v>
      </c>
      <c r="B32916" s="4" t="s">
        <v>5</v>
      </c>
      <c r="C32916" s="4" t="s">
        <v>7</v>
      </c>
      <c r="D32916" s="4" t="s">
        <v>7</v>
      </c>
      <c r="E32916" s="4" t="s">
        <v>13</v>
      </c>
      <c r="F32916" s="4" t="s">
        <v>13</v>
      </c>
      <c r="G32916" s="4" t="s">
        <v>13</v>
      </c>
      <c r="H32916" s="4" t="s">
        <v>11</v>
      </c>
    </row>
    <row r="32917" spans="1:9">
      <c r="A32917" t="n">
        <v>321187</v>
      </c>
      <c r="B32917" s="51" t="n">
        <v>45</v>
      </c>
      <c r="C32917" s="7" t="n">
        <v>2</v>
      </c>
      <c r="D32917" s="7" t="n">
        <v>3</v>
      </c>
      <c r="E32917" s="7" t="n">
        <v>4.84999990463257</v>
      </c>
      <c r="F32917" s="7" t="n">
        <v>1.4099999666214</v>
      </c>
      <c r="G32917" s="7" t="n">
        <v>45.7999992370605</v>
      </c>
      <c r="H32917" s="7" t="n">
        <v>5500</v>
      </c>
    </row>
    <row r="32918" spans="1:9">
      <c r="A32918" t="s">
        <v>4</v>
      </c>
      <c r="B32918" s="4" t="s">
        <v>5</v>
      </c>
      <c r="C32918" s="4" t="s">
        <v>7</v>
      </c>
      <c r="D32918" s="4" t="s">
        <v>7</v>
      </c>
      <c r="E32918" s="4" t="s">
        <v>13</v>
      </c>
      <c r="F32918" s="4" t="s">
        <v>13</v>
      </c>
      <c r="G32918" s="4" t="s">
        <v>13</v>
      </c>
      <c r="H32918" s="4" t="s">
        <v>11</v>
      </c>
      <c r="I32918" s="4" t="s">
        <v>7</v>
      </c>
    </row>
    <row r="32919" spans="1:9">
      <c r="A32919" t="n">
        <v>321204</v>
      </c>
      <c r="B32919" s="51" t="n">
        <v>45</v>
      </c>
      <c r="C32919" s="7" t="n">
        <v>4</v>
      </c>
      <c r="D32919" s="7" t="n">
        <v>3</v>
      </c>
      <c r="E32919" s="7" t="n">
        <v>5.46999979019165</v>
      </c>
      <c r="F32919" s="7" t="n">
        <v>232.490005493164</v>
      </c>
      <c r="G32919" s="7" t="n">
        <v>0</v>
      </c>
      <c r="H32919" s="7" t="n">
        <v>5500</v>
      </c>
      <c r="I32919" s="7" t="n">
        <v>0</v>
      </c>
    </row>
    <row r="32920" spans="1:9">
      <c r="A32920" t="s">
        <v>4</v>
      </c>
      <c r="B32920" s="4" t="s">
        <v>5</v>
      </c>
      <c r="C32920" s="4" t="s">
        <v>11</v>
      </c>
      <c r="D32920" s="4" t="s">
        <v>7</v>
      </c>
      <c r="E32920" s="4" t="s">
        <v>7</v>
      </c>
      <c r="F32920" s="4" t="s">
        <v>8</v>
      </c>
    </row>
    <row r="32921" spans="1:9">
      <c r="A32921" t="n">
        <v>321222</v>
      </c>
      <c r="B32921" s="50" t="n">
        <v>20</v>
      </c>
      <c r="C32921" s="7" t="n">
        <v>18</v>
      </c>
      <c r="D32921" s="7" t="n">
        <v>2</v>
      </c>
      <c r="E32921" s="7" t="n">
        <v>11</v>
      </c>
      <c r="F32921" s="7" t="s">
        <v>283</v>
      </c>
    </row>
    <row r="32922" spans="1:9">
      <c r="A32922" t="s">
        <v>4</v>
      </c>
      <c r="B32922" s="4" t="s">
        <v>5</v>
      </c>
      <c r="C32922" s="4" t="s">
        <v>7</v>
      </c>
    </row>
    <row r="32923" spans="1:9">
      <c r="A32923" t="n">
        <v>321249</v>
      </c>
      <c r="B32923" s="49" t="n">
        <v>116</v>
      </c>
      <c r="C32923" s="7" t="n">
        <v>0</v>
      </c>
    </row>
    <row r="32924" spans="1:9">
      <c r="A32924" t="s">
        <v>4</v>
      </c>
      <c r="B32924" s="4" t="s">
        <v>5</v>
      </c>
      <c r="C32924" s="4" t="s">
        <v>7</v>
      </c>
      <c r="D32924" s="4" t="s">
        <v>11</v>
      </c>
    </row>
    <row r="32925" spans="1:9">
      <c r="A32925" t="n">
        <v>321251</v>
      </c>
      <c r="B32925" s="49" t="n">
        <v>116</v>
      </c>
      <c r="C32925" s="7" t="n">
        <v>2</v>
      </c>
      <c r="D32925" s="7" t="n">
        <v>1</v>
      </c>
    </row>
    <row r="32926" spans="1:9">
      <c r="A32926" t="s">
        <v>4</v>
      </c>
      <c r="B32926" s="4" t="s">
        <v>5</v>
      </c>
      <c r="C32926" s="4" t="s">
        <v>7</v>
      </c>
      <c r="D32926" s="4" t="s">
        <v>15</v>
      </c>
    </row>
    <row r="32927" spans="1:9">
      <c r="A32927" t="n">
        <v>321255</v>
      </c>
      <c r="B32927" s="49" t="n">
        <v>116</v>
      </c>
      <c r="C32927" s="7" t="n">
        <v>5</v>
      </c>
      <c r="D32927" s="7" t="n">
        <v>1084227584</v>
      </c>
    </row>
    <row r="32928" spans="1:9">
      <c r="A32928" t="s">
        <v>4</v>
      </c>
      <c r="B32928" s="4" t="s">
        <v>5</v>
      </c>
      <c r="C32928" s="4" t="s">
        <v>7</v>
      </c>
      <c r="D32928" s="4" t="s">
        <v>11</v>
      </c>
    </row>
    <row r="32929" spans="1:9">
      <c r="A32929" t="n">
        <v>321261</v>
      </c>
      <c r="B32929" s="49" t="n">
        <v>116</v>
      </c>
      <c r="C32929" s="7" t="n">
        <v>6</v>
      </c>
      <c r="D32929" s="7" t="n">
        <v>1</v>
      </c>
    </row>
    <row r="32930" spans="1:9">
      <c r="A32930" t="s">
        <v>4</v>
      </c>
      <c r="B32930" s="4" t="s">
        <v>5</v>
      </c>
      <c r="C32930" s="4" t="s">
        <v>7</v>
      </c>
      <c r="D32930" s="4" t="s">
        <v>11</v>
      </c>
    </row>
    <row r="32931" spans="1:9">
      <c r="A32931" t="n">
        <v>321265</v>
      </c>
      <c r="B32931" s="23" t="n">
        <v>58</v>
      </c>
      <c r="C32931" s="7" t="n">
        <v>255</v>
      </c>
      <c r="D32931" s="7" t="n">
        <v>0</v>
      </c>
    </row>
    <row r="32932" spans="1:9">
      <c r="A32932" t="s">
        <v>4</v>
      </c>
      <c r="B32932" s="4" t="s">
        <v>5</v>
      </c>
      <c r="C32932" s="4" t="s">
        <v>11</v>
      </c>
    </row>
    <row r="32933" spans="1:9">
      <c r="A32933" t="n">
        <v>321269</v>
      </c>
      <c r="B32933" s="29" t="n">
        <v>16</v>
      </c>
      <c r="C32933" s="7" t="n">
        <v>800</v>
      </c>
    </row>
    <row r="32934" spans="1:9">
      <c r="A32934" t="s">
        <v>4</v>
      </c>
      <c r="B32934" s="4" t="s">
        <v>5</v>
      </c>
      <c r="C32934" s="4" t="s">
        <v>8</v>
      </c>
      <c r="D32934" s="4" t="s">
        <v>8</v>
      </c>
    </row>
    <row r="32935" spans="1:9">
      <c r="A32935" t="n">
        <v>321272</v>
      </c>
      <c r="B32935" s="52" t="n">
        <v>70</v>
      </c>
      <c r="C32935" s="7" t="s">
        <v>279</v>
      </c>
      <c r="D32935" s="7" t="s">
        <v>284</v>
      </c>
    </row>
    <row r="32936" spans="1:9">
      <c r="A32936" t="s">
        <v>4</v>
      </c>
      <c r="B32936" s="4" t="s">
        <v>5</v>
      </c>
      <c r="C32936" s="4" t="s">
        <v>7</v>
      </c>
      <c r="D32936" s="4" t="s">
        <v>11</v>
      </c>
    </row>
    <row r="32937" spans="1:9">
      <c r="A32937" t="n">
        <v>321290</v>
      </c>
      <c r="B32937" s="51" t="n">
        <v>45</v>
      </c>
      <c r="C32937" s="7" t="n">
        <v>7</v>
      </c>
      <c r="D32937" s="7" t="n">
        <v>255</v>
      </c>
    </row>
    <row r="32938" spans="1:9">
      <c r="A32938" t="s">
        <v>4</v>
      </c>
      <c r="B32938" s="4" t="s">
        <v>5</v>
      </c>
      <c r="C32938" s="4" t="s">
        <v>7</v>
      </c>
      <c r="D32938" s="4" t="s">
        <v>11</v>
      </c>
      <c r="E32938" s="4" t="s">
        <v>8</v>
      </c>
    </row>
    <row r="32939" spans="1:9">
      <c r="A32939" t="n">
        <v>321294</v>
      </c>
      <c r="B32939" s="38" t="n">
        <v>51</v>
      </c>
      <c r="C32939" s="7" t="n">
        <v>4</v>
      </c>
      <c r="D32939" s="7" t="n">
        <v>0</v>
      </c>
      <c r="E32939" s="7" t="s">
        <v>179</v>
      </c>
    </row>
    <row r="32940" spans="1:9">
      <c r="A32940" t="s">
        <v>4</v>
      </c>
      <c r="B32940" s="4" t="s">
        <v>5</v>
      </c>
      <c r="C32940" s="4" t="s">
        <v>11</v>
      </c>
    </row>
    <row r="32941" spans="1:9">
      <c r="A32941" t="n">
        <v>321308</v>
      </c>
      <c r="B32941" s="29" t="n">
        <v>16</v>
      </c>
      <c r="C32941" s="7" t="n">
        <v>0</v>
      </c>
    </row>
    <row r="32942" spans="1:9">
      <c r="A32942" t="s">
        <v>4</v>
      </c>
      <c r="B32942" s="4" t="s">
        <v>5</v>
      </c>
      <c r="C32942" s="4" t="s">
        <v>11</v>
      </c>
      <c r="D32942" s="4" t="s">
        <v>7</v>
      </c>
      <c r="E32942" s="4" t="s">
        <v>15</v>
      </c>
      <c r="F32942" s="4" t="s">
        <v>55</v>
      </c>
      <c r="G32942" s="4" t="s">
        <v>7</v>
      </c>
      <c r="H32942" s="4" t="s">
        <v>7</v>
      </c>
      <c r="I32942" s="4" t="s">
        <v>7</v>
      </c>
      <c r="J32942" s="4" t="s">
        <v>15</v>
      </c>
      <c r="K32942" s="4" t="s">
        <v>55</v>
      </c>
      <c r="L32942" s="4" t="s">
        <v>7</v>
      </c>
      <c r="M32942" s="4" t="s">
        <v>7</v>
      </c>
    </row>
    <row r="32943" spans="1:9">
      <c r="A32943" t="n">
        <v>321311</v>
      </c>
      <c r="B32943" s="55" t="n">
        <v>26</v>
      </c>
      <c r="C32943" s="7" t="n">
        <v>0</v>
      </c>
      <c r="D32943" s="7" t="n">
        <v>17</v>
      </c>
      <c r="E32943" s="7" t="n">
        <v>64061</v>
      </c>
      <c r="F32943" s="7" t="s">
        <v>856</v>
      </c>
      <c r="G32943" s="7" t="n">
        <v>2</v>
      </c>
      <c r="H32943" s="7" t="n">
        <v>3</v>
      </c>
      <c r="I32943" s="7" t="n">
        <v>17</v>
      </c>
      <c r="J32943" s="7" t="n">
        <v>64062</v>
      </c>
      <c r="K32943" s="7" t="s">
        <v>857</v>
      </c>
      <c r="L32943" s="7" t="n">
        <v>2</v>
      </c>
      <c r="M32943" s="7" t="n">
        <v>0</v>
      </c>
    </row>
    <row r="32944" spans="1:9">
      <c r="A32944" t="s">
        <v>4</v>
      </c>
      <c r="B32944" s="4" t="s">
        <v>5</v>
      </c>
    </row>
    <row r="32945" spans="1:13">
      <c r="A32945" t="n">
        <v>321415</v>
      </c>
      <c r="B32945" s="27" t="n">
        <v>28</v>
      </c>
    </row>
    <row r="32946" spans="1:13">
      <c r="A32946" t="s">
        <v>4</v>
      </c>
      <c r="B32946" s="4" t="s">
        <v>5</v>
      </c>
      <c r="C32946" s="4" t="s">
        <v>7</v>
      </c>
      <c r="D32946" s="4" t="s">
        <v>11</v>
      </c>
      <c r="E32946" s="4" t="s">
        <v>13</v>
      </c>
    </row>
    <row r="32947" spans="1:13">
      <c r="A32947" t="n">
        <v>321416</v>
      </c>
      <c r="B32947" s="23" t="n">
        <v>58</v>
      </c>
      <c r="C32947" s="7" t="n">
        <v>101</v>
      </c>
      <c r="D32947" s="7" t="n">
        <v>500</v>
      </c>
      <c r="E32947" s="7" t="n">
        <v>1</v>
      </c>
    </row>
    <row r="32948" spans="1:13">
      <c r="A32948" t="s">
        <v>4</v>
      </c>
      <c r="B32948" s="4" t="s">
        <v>5</v>
      </c>
      <c r="C32948" s="4" t="s">
        <v>7</v>
      </c>
      <c r="D32948" s="4" t="s">
        <v>11</v>
      </c>
    </row>
    <row r="32949" spans="1:13">
      <c r="A32949" t="n">
        <v>321424</v>
      </c>
      <c r="B32949" s="23" t="n">
        <v>58</v>
      </c>
      <c r="C32949" s="7" t="n">
        <v>254</v>
      </c>
      <c r="D32949" s="7" t="n">
        <v>0</v>
      </c>
    </row>
    <row r="32950" spans="1:13">
      <c r="A32950" t="s">
        <v>4</v>
      </c>
      <c r="B32950" s="4" t="s">
        <v>5</v>
      </c>
      <c r="C32950" s="4" t="s">
        <v>7</v>
      </c>
      <c r="D32950" s="4" t="s">
        <v>7</v>
      </c>
      <c r="E32950" s="4" t="s">
        <v>13</v>
      </c>
      <c r="F32950" s="4" t="s">
        <v>13</v>
      </c>
      <c r="G32950" s="4" t="s">
        <v>13</v>
      </c>
      <c r="H32950" s="4" t="s">
        <v>11</v>
      </c>
    </row>
    <row r="32951" spans="1:13">
      <c r="A32951" t="n">
        <v>321428</v>
      </c>
      <c r="B32951" s="51" t="n">
        <v>45</v>
      </c>
      <c r="C32951" s="7" t="n">
        <v>2</v>
      </c>
      <c r="D32951" s="7" t="n">
        <v>3</v>
      </c>
      <c r="E32951" s="7" t="n">
        <v>4.96999979019165</v>
      </c>
      <c r="F32951" s="7" t="n">
        <v>1.3400000333786</v>
      </c>
      <c r="G32951" s="7" t="n">
        <v>46.3800010681152</v>
      </c>
      <c r="H32951" s="7" t="n">
        <v>0</v>
      </c>
    </row>
    <row r="32952" spans="1:13">
      <c r="A32952" t="s">
        <v>4</v>
      </c>
      <c r="B32952" s="4" t="s">
        <v>5</v>
      </c>
      <c r="C32952" s="4" t="s">
        <v>7</v>
      </c>
      <c r="D32952" s="4" t="s">
        <v>7</v>
      </c>
      <c r="E32952" s="4" t="s">
        <v>13</v>
      </c>
      <c r="F32952" s="4" t="s">
        <v>13</v>
      </c>
      <c r="G32952" s="4" t="s">
        <v>13</v>
      </c>
      <c r="H32952" s="4" t="s">
        <v>11</v>
      </c>
      <c r="I32952" s="4" t="s">
        <v>7</v>
      </c>
    </row>
    <row r="32953" spans="1:13">
      <c r="A32953" t="n">
        <v>321445</v>
      </c>
      <c r="B32953" s="51" t="n">
        <v>45</v>
      </c>
      <c r="C32953" s="7" t="n">
        <v>4</v>
      </c>
      <c r="D32953" s="7" t="n">
        <v>3</v>
      </c>
      <c r="E32953" s="7" t="n">
        <v>8.30000019073486</v>
      </c>
      <c r="F32953" s="7" t="n">
        <v>213.210006713867</v>
      </c>
      <c r="G32953" s="7" t="n">
        <v>0</v>
      </c>
      <c r="H32953" s="7" t="n">
        <v>0</v>
      </c>
      <c r="I32953" s="7" t="n">
        <v>0</v>
      </c>
    </row>
    <row r="32954" spans="1:13">
      <c r="A32954" t="s">
        <v>4</v>
      </c>
      <c r="B32954" s="4" t="s">
        <v>5</v>
      </c>
      <c r="C32954" s="4" t="s">
        <v>7</v>
      </c>
      <c r="D32954" s="4" t="s">
        <v>7</v>
      </c>
      <c r="E32954" s="4" t="s">
        <v>13</v>
      </c>
      <c r="F32954" s="4" t="s">
        <v>11</v>
      </c>
    </row>
    <row r="32955" spans="1:13">
      <c r="A32955" t="n">
        <v>321463</v>
      </c>
      <c r="B32955" s="51" t="n">
        <v>45</v>
      </c>
      <c r="C32955" s="7" t="n">
        <v>5</v>
      </c>
      <c r="D32955" s="7" t="n">
        <v>3</v>
      </c>
      <c r="E32955" s="7" t="n">
        <v>1</v>
      </c>
      <c r="F32955" s="7" t="n">
        <v>0</v>
      </c>
    </row>
    <row r="32956" spans="1:13">
      <c r="A32956" t="s">
        <v>4</v>
      </c>
      <c r="B32956" s="4" t="s">
        <v>5</v>
      </c>
      <c r="C32956" s="4" t="s">
        <v>7</v>
      </c>
      <c r="D32956" s="4" t="s">
        <v>7</v>
      </c>
      <c r="E32956" s="4" t="s">
        <v>13</v>
      </c>
      <c r="F32956" s="4" t="s">
        <v>11</v>
      </c>
    </row>
    <row r="32957" spans="1:13">
      <c r="A32957" t="n">
        <v>321472</v>
      </c>
      <c r="B32957" s="51" t="n">
        <v>45</v>
      </c>
      <c r="C32957" s="7" t="n">
        <v>11</v>
      </c>
      <c r="D32957" s="7" t="n">
        <v>3</v>
      </c>
      <c r="E32957" s="7" t="n">
        <v>34</v>
      </c>
      <c r="F32957" s="7" t="n">
        <v>0</v>
      </c>
    </row>
    <row r="32958" spans="1:13">
      <c r="A32958" t="s">
        <v>4</v>
      </c>
      <c r="B32958" s="4" t="s">
        <v>5</v>
      </c>
      <c r="C32958" s="4" t="s">
        <v>7</v>
      </c>
      <c r="D32958" s="4" t="s">
        <v>11</v>
      </c>
    </row>
    <row r="32959" spans="1:13">
      <c r="A32959" t="n">
        <v>321481</v>
      </c>
      <c r="B32959" s="23" t="n">
        <v>58</v>
      </c>
      <c r="C32959" s="7" t="n">
        <v>255</v>
      </c>
      <c r="D32959" s="7" t="n">
        <v>0</v>
      </c>
    </row>
    <row r="32960" spans="1:13">
      <c r="A32960" t="s">
        <v>4</v>
      </c>
      <c r="B32960" s="4" t="s">
        <v>5</v>
      </c>
      <c r="C32960" s="4" t="s">
        <v>7</v>
      </c>
      <c r="D32960" s="4" t="s">
        <v>11</v>
      </c>
      <c r="E32960" s="4" t="s">
        <v>8</v>
      </c>
    </row>
    <row r="32961" spans="1:9">
      <c r="A32961" t="n">
        <v>321485</v>
      </c>
      <c r="B32961" s="38" t="n">
        <v>51</v>
      </c>
      <c r="C32961" s="7" t="n">
        <v>4</v>
      </c>
      <c r="D32961" s="7" t="n">
        <v>18</v>
      </c>
      <c r="E32961" s="7" t="s">
        <v>242</v>
      </c>
    </row>
    <row r="32962" spans="1:9">
      <c r="A32962" t="s">
        <v>4</v>
      </c>
      <c r="B32962" s="4" t="s">
        <v>5</v>
      </c>
      <c r="C32962" s="4" t="s">
        <v>11</v>
      </c>
    </row>
    <row r="32963" spans="1:9">
      <c r="A32963" t="n">
        <v>321499</v>
      </c>
      <c r="B32963" s="29" t="n">
        <v>16</v>
      </c>
      <c r="C32963" s="7" t="n">
        <v>0</v>
      </c>
    </row>
    <row r="32964" spans="1:9">
      <c r="A32964" t="s">
        <v>4</v>
      </c>
      <c r="B32964" s="4" t="s">
        <v>5</v>
      </c>
      <c r="C32964" s="4" t="s">
        <v>11</v>
      </c>
      <c r="D32964" s="4" t="s">
        <v>7</v>
      </c>
      <c r="E32964" s="4" t="s">
        <v>15</v>
      </c>
      <c r="F32964" s="4" t="s">
        <v>55</v>
      </c>
      <c r="G32964" s="4" t="s">
        <v>7</v>
      </c>
      <c r="H32964" s="4" t="s">
        <v>7</v>
      </c>
      <c r="I32964" s="4" t="s">
        <v>7</v>
      </c>
      <c r="J32964" s="4" t="s">
        <v>15</v>
      </c>
      <c r="K32964" s="4" t="s">
        <v>55</v>
      </c>
      <c r="L32964" s="4" t="s">
        <v>7</v>
      </c>
      <c r="M32964" s="4" t="s">
        <v>7</v>
      </c>
      <c r="N32964" s="4" t="s">
        <v>7</v>
      </c>
      <c r="O32964" s="4" t="s">
        <v>15</v>
      </c>
      <c r="P32964" s="4" t="s">
        <v>55</v>
      </c>
      <c r="Q32964" s="4" t="s">
        <v>7</v>
      </c>
      <c r="R32964" s="4" t="s">
        <v>7</v>
      </c>
    </row>
    <row r="32965" spans="1:9">
      <c r="A32965" t="n">
        <v>321502</v>
      </c>
      <c r="B32965" s="55" t="n">
        <v>26</v>
      </c>
      <c r="C32965" s="7" t="n">
        <v>18</v>
      </c>
      <c r="D32965" s="7" t="n">
        <v>17</v>
      </c>
      <c r="E32965" s="7" t="n">
        <v>64063</v>
      </c>
      <c r="F32965" s="7" t="s">
        <v>858</v>
      </c>
      <c r="G32965" s="7" t="n">
        <v>2</v>
      </c>
      <c r="H32965" s="7" t="n">
        <v>3</v>
      </c>
      <c r="I32965" s="7" t="n">
        <v>17</v>
      </c>
      <c r="J32965" s="7" t="n">
        <v>64064</v>
      </c>
      <c r="K32965" s="7" t="s">
        <v>859</v>
      </c>
      <c r="L32965" s="7" t="n">
        <v>2</v>
      </c>
      <c r="M32965" s="7" t="n">
        <v>3</v>
      </c>
      <c r="N32965" s="7" t="n">
        <v>17</v>
      </c>
      <c r="O32965" s="7" t="n">
        <v>64065</v>
      </c>
      <c r="P32965" s="7" t="s">
        <v>860</v>
      </c>
      <c r="Q32965" s="7" t="n">
        <v>2</v>
      </c>
      <c r="R32965" s="7" t="n">
        <v>0</v>
      </c>
    </row>
    <row r="32966" spans="1:9">
      <c r="A32966" t="s">
        <v>4</v>
      </c>
      <c r="B32966" s="4" t="s">
        <v>5</v>
      </c>
    </row>
    <row r="32967" spans="1:9">
      <c r="A32967" t="n">
        <v>321807</v>
      </c>
      <c r="B32967" s="27" t="n">
        <v>28</v>
      </c>
    </row>
    <row r="32968" spans="1:9">
      <c r="A32968" t="s">
        <v>4</v>
      </c>
      <c r="B32968" s="4" t="s">
        <v>5</v>
      </c>
      <c r="C32968" s="4" t="s">
        <v>7</v>
      </c>
      <c r="D32968" s="4" t="s">
        <v>11</v>
      </c>
      <c r="E32968" s="4" t="s">
        <v>8</v>
      </c>
    </row>
    <row r="32969" spans="1:9">
      <c r="A32969" t="n">
        <v>321808</v>
      </c>
      <c r="B32969" s="38" t="n">
        <v>51</v>
      </c>
      <c r="C32969" s="7" t="n">
        <v>4</v>
      </c>
      <c r="D32969" s="7" t="n">
        <v>0</v>
      </c>
      <c r="E32969" s="7" t="s">
        <v>173</v>
      </c>
    </row>
    <row r="32970" spans="1:9">
      <c r="A32970" t="s">
        <v>4</v>
      </c>
      <c r="B32970" s="4" t="s">
        <v>5</v>
      </c>
      <c r="C32970" s="4" t="s">
        <v>11</v>
      </c>
    </row>
    <row r="32971" spans="1:9">
      <c r="A32971" t="n">
        <v>321821</v>
      </c>
      <c r="B32971" s="29" t="n">
        <v>16</v>
      </c>
      <c r="C32971" s="7" t="n">
        <v>0</v>
      </c>
    </row>
    <row r="32972" spans="1:9">
      <c r="A32972" t="s">
        <v>4</v>
      </c>
      <c r="B32972" s="4" t="s">
        <v>5</v>
      </c>
      <c r="C32972" s="4" t="s">
        <v>11</v>
      </c>
      <c r="D32972" s="4" t="s">
        <v>7</v>
      </c>
      <c r="E32972" s="4" t="s">
        <v>15</v>
      </c>
      <c r="F32972" s="4" t="s">
        <v>55</v>
      </c>
      <c r="G32972" s="4" t="s">
        <v>7</v>
      </c>
      <c r="H32972" s="4" t="s">
        <v>7</v>
      </c>
    </row>
    <row r="32973" spans="1:9">
      <c r="A32973" t="n">
        <v>321824</v>
      </c>
      <c r="B32973" s="55" t="n">
        <v>26</v>
      </c>
      <c r="C32973" s="7" t="n">
        <v>0</v>
      </c>
      <c r="D32973" s="7" t="n">
        <v>17</v>
      </c>
      <c r="E32973" s="7" t="n">
        <v>64066</v>
      </c>
      <c r="F32973" s="7" t="s">
        <v>861</v>
      </c>
      <c r="G32973" s="7" t="n">
        <v>2</v>
      </c>
      <c r="H32973" s="7" t="n">
        <v>0</v>
      </c>
    </row>
    <row r="32974" spans="1:9">
      <c r="A32974" t="s">
        <v>4</v>
      </c>
      <c r="B32974" s="4" t="s">
        <v>5</v>
      </c>
    </row>
    <row r="32975" spans="1:9">
      <c r="A32975" t="n">
        <v>321844</v>
      </c>
      <c r="B32975" s="27" t="n">
        <v>28</v>
      </c>
    </row>
    <row r="32976" spans="1:9">
      <c r="A32976" t="s">
        <v>4</v>
      </c>
      <c r="B32976" s="4" t="s">
        <v>5</v>
      </c>
      <c r="C32976" s="4" t="s">
        <v>7</v>
      </c>
      <c r="D32976" s="4" t="s">
        <v>11</v>
      </c>
      <c r="E32976" s="4" t="s">
        <v>8</v>
      </c>
      <c r="F32976" s="4" t="s">
        <v>8</v>
      </c>
      <c r="G32976" s="4" t="s">
        <v>8</v>
      </c>
      <c r="H32976" s="4" t="s">
        <v>8</v>
      </c>
    </row>
    <row r="32977" spans="1:18">
      <c r="A32977" t="n">
        <v>321845</v>
      </c>
      <c r="B32977" s="38" t="n">
        <v>51</v>
      </c>
      <c r="C32977" s="7" t="n">
        <v>3</v>
      </c>
      <c r="D32977" s="7" t="n">
        <v>18</v>
      </c>
      <c r="E32977" s="7" t="s">
        <v>295</v>
      </c>
      <c r="F32977" s="7" t="s">
        <v>79</v>
      </c>
      <c r="G32977" s="7" t="s">
        <v>78</v>
      </c>
      <c r="H32977" s="7" t="s">
        <v>79</v>
      </c>
    </row>
    <row r="32978" spans="1:18">
      <c r="A32978" t="s">
        <v>4</v>
      </c>
      <c r="B32978" s="4" t="s">
        <v>5</v>
      </c>
      <c r="C32978" s="4" t="s">
        <v>11</v>
      </c>
      <c r="D32978" s="4" t="s">
        <v>13</v>
      </c>
      <c r="E32978" s="4" t="s">
        <v>13</v>
      </c>
      <c r="F32978" s="4" t="s">
        <v>13</v>
      </c>
      <c r="G32978" s="4" t="s">
        <v>11</v>
      </c>
      <c r="H32978" s="4" t="s">
        <v>11</v>
      </c>
    </row>
    <row r="32979" spans="1:18">
      <c r="A32979" t="n">
        <v>321858</v>
      </c>
      <c r="B32979" s="37" t="n">
        <v>60</v>
      </c>
      <c r="C32979" s="7" t="n">
        <v>18</v>
      </c>
      <c r="D32979" s="7" t="n">
        <v>-45</v>
      </c>
      <c r="E32979" s="7" t="n">
        <v>0</v>
      </c>
      <c r="F32979" s="7" t="n">
        <v>0</v>
      </c>
      <c r="G32979" s="7" t="n">
        <v>1000</v>
      </c>
      <c r="H32979" s="7" t="n">
        <v>0</v>
      </c>
    </row>
    <row r="32980" spans="1:18">
      <c r="A32980" t="s">
        <v>4</v>
      </c>
      <c r="B32980" s="4" t="s">
        <v>5</v>
      </c>
      <c r="C32980" s="4" t="s">
        <v>11</v>
      </c>
    </row>
    <row r="32981" spans="1:18">
      <c r="A32981" t="n">
        <v>321877</v>
      </c>
      <c r="B32981" s="29" t="n">
        <v>16</v>
      </c>
      <c r="C32981" s="7" t="n">
        <v>1000</v>
      </c>
    </row>
    <row r="32982" spans="1:18">
      <c r="A32982" t="s">
        <v>4</v>
      </c>
      <c r="B32982" s="4" t="s">
        <v>5</v>
      </c>
      <c r="C32982" s="4" t="s">
        <v>7</v>
      </c>
      <c r="D32982" s="4" t="s">
        <v>11</v>
      </c>
      <c r="E32982" s="4" t="s">
        <v>8</v>
      </c>
      <c r="F32982" s="4" t="s">
        <v>8</v>
      </c>
      <c r="G32982" s="4" t="s">
        <v>8</v>
      </c>
      <c r="H32982" s="4" t="s">
        <v>8</v>
      </c>
    </row>
    <row r="32983" spans="1:18">
      <c r="A32983" t="n">
        <v>321880</v>
      </c>
      <c r="B32983" s="38" t="n">
        <v>51</v>
      </c>
      <c r="C32983" s="7" t="n">
        <v>3</v>
      </c>
      <c r="D32983" s="7" t="n">
        <v>18</v>
      </c>
      <c r="E32983" s="7" t="s">
        <v>296</v>
      </c>
      <c r="F32983" s="7" t="s">
        <v>79</v>
      </c>
      <c r="G32983" s="7" t="s">
        <v>78</v>
      </c>
      <c r="H32983" s="7" t="s">
        <v>79</v>
      </c>
    </row>
    <row r="32984" spans="1:18">
      <c r="A32984" t="s">
        <v>4</v>
      </c>
      <c r="B32984" s="4" t="s">
        <v>5</v>
      </c>
      <c r="C32984" s="4" t="s">
        <v>11</v>
      </c>
      <c r="D32984" s="4" t="s">
        <v>13</v>
      </c>
      <c r="E32984" s="4" t="s">
        <v>13</v>
      </c>
      <c r="F32984" s="4" t="s">
        <v>13</v>
      </c>
      <c r="G32984" s="4" t="s">
        <v>11</v>
      </c>
      <c r="H32984" s="4" t="s">
        <v>11</v>
      </c>
    </row>
    <row r="32985" spans="1:18">
      <c r="A32985" t="n">
        <v>321894</v>
      </c>
      <c r="B32985" s="37" t="n">
        <v>60</v>
      </c>
      <c r="C32985" s="7" t="n">
        <v>18</v>
      </c>
      <c r="D32985" s="7" t="n">
        <v>45</v>
      </c>
      <c r="E32985" s="7" t="n">
        <v>0</v>
      </c>
      <c r="F32985" s="7" t="n">
        <v>0</v>
      </c>
      <c r="G32985" s="7" t="n">
        <v>1000</v>
      </c>
      <c r="H32985" s="7" t="n">
        <v>0</v>
      </c>
    </row>
    <row r="32986" spans="1:18">
      <c r="A32986" t="s">
        <v>4</v>
      </c>
      <c r="B32986" s="4" t="s">
        <v>5</v>
      </c>
      <c r="C32986" s="4" t="s">
        <v>11</v>
      </c>
    </row>
    <row r="32987" spans="1:18">
      <c r="A32987" t="n">
        <v>321913</v>
      </c>
      <c r="B32987" s="29" t="n">
        <v>16</v>
      </c>
      <c r="C32987" s="7" t="n">
        <v>1200</v>
      </c>
    </row>
    <row r="32988" spans="1:18">
      <c r="A32988" t="s">
        <v>4</v>
      </c>
      <c r="B32988" s="4" t="s">
        <v>5</v>
      </c>
      <c r="C32988" s="4" t="s">
        <v>7</v>
      </c>
      <c r="D32988" s="4" t="s">
        <v>11</v>
      </c>
      <c r="E32988" s="4" t="s">
        <v>8</v>
      </c>
      <c r="F32988" s="4" t="s">
        <v>8</v>
      </c>
      <c r="G32988" s="4" t="s">
        <v>8</v>
      </c>
      <c r="H32988" s="4" t="s">
        <v>8</v>
      </c>
    </row>
    <row r="32989" spans="1:18">
      <c r="A32989" t="n">
        <v>321916</v>
      </c>
      <c r="B32989" s="38" t="n">
        <v>51</v>
      </c>
      <c r="C32989" s="7" t="n">
        <v>3</v>
      </c>
      <c r="D32989" s="7" t="n">
        <v>18</v>
      </c>
      <c r="E32989" s="7" t="s">
        <v>86</v>
      </c>
      <c r="F32989" s="7" t="s">
        <v>79</v>
      </c>
      <c r="G32989" s="7" t="s">
        <v>78</v>
      </c>
      <c r="H32989" s="7" t="s">
        <v>79</v>
      </c>
    </row>
    <row r="32990" spans="1:18">
      <c r="A32990" t="s">
        <v>4</v>
      </c>
      <c r="B32990" s="4" t="s">
        <v>5</v>
      </c>
      <c r="C32990" s="4" t="s">
        <v>11</v>
      </c>
      <c r="D32990" s="4" t="s">
        <v>13</v>
      </c>
      <c r="E32990" s="4" t="s">
        <v>13</v>
      </c>
      <c r="F32990" s="4" t="s">
        <v>13</v>
      </c>
      <c r="G32990" s="4" t="s">
        <v>11</v>
      </c>
      <c r="H32990" s="4" t="s">
        <v>11</v>
      </c>
    </row>
    <row r="32991" spans="1:18">
      <c r="A32991" t="n">
        <v>321929</v>
      </c>
      <c r="B32991" s="37" t="n">
        <v>60</v>
      </c>
      <c r="C32991" s="7" t="n">
        <v>18</v>
      </c>
      <c r="D32991" s="7" t="n">
        <v>0</v>
      </c>
      <c r="E32991" s="7" t="n">
        <v>0</v>
      </c>
      <c r="F32991" s="7" t="n">
        <v>0</v>
      </c>
      <c r="G32991" s="7" t="n">
        <v>1000</v>
      </c>
      <c r="H32991" s="7" t="n">
        <v>0</v>
      </c>
    </row>
    <row r="32992" spans="1:18">
      <c r="A32992" t="s">
        <v>4</v>
      </c>
      <c r="B32992" s="4" t="s">
        <v>5</v>
      </c>
      <c r="C32992" s="4" t="s">
        <v>11</v>
      </c>
    </row>
    <row r="32993" spans="1:8">
      <c r="A32993" t="n">
        <v>321948</v>
      </c>
      <c r="B32993" s="29" t="n">
        <v>16</v>
      </c>
      <c r="C32993" s="7" t="n">
        <v>1000</v>
      </c>
    </row>
    <row r="32994" spans="1:8">
      <c r="A32994" t="s">
        <v>4</v>
      </c>
      <c r="B32994" s="4" t="s">
        <v>5</v>
      </c>
      <c r="C32994" s="4" t="s">
        <v>7</v>
      </c>
      <c r="D32994" s="4" t="s">
        <v>11</v>
      </c>
      <c r="E32994" s="4" t="s">
        <v>8</v>
      </c>
    </row>
    <row r="32995" spans="1:8">
      <c r="A32995" t="n">
        <v>321951</v>
      </c>
      <c r="B32995" s="38" t="n">
        <v>51</v>
      </c>
      <c r="C32995" s="7" t="n">
        <v>4</v>
      </c>
      <c r="D32995" s="7" t="n">
        <v>18</v>
      </c>
      <c r="E32995" s="7" t="s">
        <v>242</v>
      </c>
    </row>
    <row r="32996" spans="1:8">
      <c r="A32996" t="s">
        <v>4</v>
      </c>
      <c r="B32996" s="4" t="s">
        <v>5</v>
      </c>
      <c r="C32996" s="4" t="s">
        <v>11</v>
      </c>
    </row>
    <row r="32997" spans="1:8">
      <c r="A32997" t="n">
        <v>321965</v>
      </c>
      <c r="B32997" s="29" t="n">
        <v>16</v>
      </c>
      <c r="C32997" s="7" t="n">
        <v>0</v>
      </c>
    </row>
    <row r="32998" spans="1:8">
      <c r="A32998" t="s">
        <v>4</v>
      </c>
      <c r="B32998" s="4" t="s">
        <v>5</v>
      </c>
      <c r="C32998" s="4" t="s">
        <v>11</v>
      </c>
      <c r="D32998" s="4" t="s">
        <v>7</v>
      </c>
      <c r="E32998" s="4" t="s">
        <v>15</v>
      </c>
      <c r="F32998" s="4" t="s">
        <v>55</v>
      </c>
      <c r="G32998" s="4" t="s">
        <v>7</v>
      </c>
      <c r="H32998" s="4" t="s">
        <v>7</v>
      </c>
      <c r="I32998" s="4" t="s">
        <v>7</v>
      </c>
      <c r="J32998" s="4" t="s">
        <v>15</v>
      </c>
      <c r="K32998" s="4" t="s">
        <v>55</v>
      </c>
      <c r="L32998" s="4" t="s">
        <v>7</v>
      </c>
      <c r="M32998" s="4" t="s">
        <v>7</v>
      </c>
    </row>
    <row r="32999" spans="1:8">
      <c r="A32999" t="n">
        <v>321968</v>
      </c>
      <c r="B32999" s="55" t="n">
        <v>26</v>
      </c>
      <c r="C32999" s="7" t="n">
        <v>18</v>
      </c>
      <c r="D32999" s="7" t="n">
        <v>17</v>
      </c>
      <c r="E32999" s="7" t="n">
        <v>64067</v>
      </c>
      <c r="F32999" s="7" t="s">
        <v>862</v>
      </c>
      <c r="G32999" s="7" t="n">
        <v>2</v>
      </c>
      <c r="H32999" s="7" t="n">
        <v>3</v>
      </c>
      <c r="I32999" s="7" t="n">
        <v>17</v>
      </c>
      <c r="J32999" s="7" t="n">
        <v>64068</v>
      </c>
      <c r="K32999" s="7" t="s">
        <v>863</v>
      </c>
      <c r="L32999" s="7" t="n">
        <v>2</v>
      </c>
      <c r="M32999" s="7" t="n">
        <v>0</v>
      </c>
    </row>
    <row r="33000" spans="1:8">
      <c r="A33000" t="s">
        <v>4</v>
      </c>
      <c r="B33000" s="4" t="s">
        <v>5</v>
      </c>
    </row>
    <row r="33001" spans="1:8">
      <c r="A33001" t="n">
        <v>322171</v>
      </c>
      <c r="B33001" s="27" t="n">
        <v>28</v>
      </c>
    </row>
    <row r="33002" spans="1:8">
      <c r="A33002" t="s">
        <v>4</v>
      </c>
      <c r="B33002" s="4" t="s">
        <v>5</v>
      </c>
      <c r="C33002" s="4" t="s">
        <v>7</v>
      </c>
      <c r="D33002" s="4" t="s">
        <v>11</v>
      </c>
      <c r="E33002" s="4" t="s">
        <v>8</v>
      </c>
    </row>
    <row r="33003" spans="1:8">
      <c r="A33003" t="n">
        <v>322172</v>
      </c>
      <c r="B33003" s="38" t="n">
        <v>51</v>
      </c>
      <c r="C33003" s="7" t="n">
        <v>4</v>
      </c>
      <c r="D33003" s="7" t="n">
        <v>0</v>
      </c>
      <c r="E33003" s="7" t="s">
        <v>304</v>
      </c>
    </row>
    <row r="33004" spans="1:8">
      <c r="A33004" t="s">
        <v>4</v>
      </c>
      <c r="B33004" s="4" t="s">
        <v>5</v>
      </c>
      <c r="C33004" s="4" t="s">
        <v>11</v>
      </c>
    </row>
    <row r="33005" spans="1:8">
      <c r="A33005" t="n">
        <v>322185</v>
      </c>
      <c r="B33005" s="29" t="n">
        <v>16</v>
      </c>
      <c r="C33005" s="7" t="n">
        <v>0</v>
      </c>
    </row>
    <row r="33006" spans="1:8">
      <c r="A33006" t="s">
        <v>4</v>
      </c>
      <c r="B33006" s="4" t="s">
        <v>5</v>
      </c>
      <c r="C33006" s="4" t="s">
        <v>11</v>
      </c>
      <c r="D33006" s="4" t="s">
        <v>7</v>
      </c>
      <c r="E33006" s="4" t="s">
        <v>15</v>
      </c>
      <c r="F33006" s="4" t="s">
        <v>55</v>
      </c>
      <c r="G33006" s="4" t="s">
        <v>7</v>
      </c>
      <c r="H33006" s="4" t="s">
        <v>7</v>
      </c>
      <c r="I33006" s="4" t="s">
        <v>7</v>
      </c>
      <c r="J33006" s="4" t="s">
        <v>15</v>
      </c>
      <c r="K33006" s="4" t="s">
        <v>55</v>
      </c>
      <c r="L33006" s="4" t="s">
        <v>7</v>
      </c>
      <c r="M33006" s="4" t="s">
        <v>7</v>
      </c>
      <c r="N33006" s="4" t="s">
        <v>7</v>
      </c>
      <c r="O33006" s="4" t="s">
        <v>15</v>
      </c>
      <c r="P33006" s="4" t="s">
        <v>55</v>
      </c>
      <c r="Q33006" s="4" t="s">
        <v>7</v>
      </c>
      <c r="R33006" s="4" t="s">
        <v>7</v>
      </c>
    </row>
    <row r="33007" spans="1:8">
      <c r="A33007" t="n">
        <v>322188</v>
      </c>
      <c r="B33007" s="55" t="n">
        <v>26</v>
      </c>
      <c r="C33007" s="7" t="n">
        <v>0</v>
      </c>
      <c r="D33007" s="7" t="n">
        <v>17</v>
      </c>
      <c r="E33007" s="7" t="n">
        <v>64069</v>
      </c>
      <c r="F33007" s="7" t="s">
        <v>864</v>
      </c>
      <c r="G33007" s="7" t="n">
        <v>2</v>
      </c>
      <c r="H33007" s="7" t="n">
        <v>3</v>
      </c>
      <c r="I33007" s="7" t="n">
        <v>17</v>
      </c>
      <c r="J33007" s="7" t="n">
        <v>64070</v>
      </c>
      <c r="K33007" s="7" t="s">
        <v>865</v>
      </c>
      <c r="L33007" s="7" t="n">
        <v>2</v>
      </c>
      <c r="M33007" s="7" t="n">
        <v>3</v>
      </c>
      <c r="N33007" s="7" t="n">
        <v>17</v>
      </c>
      <c r="O33007" s="7" t="n">
        <v>64071</v>
      </c>
      <c r="P33007" s="7" t="s">
        <v>866</v>
      </c>
      <c r="Q33007" s="7" t="n">
        <v>2</v>
      </c>
      <c r="R33007" s="7" t="n">
        <v>0</v>
      </c>
    </row>
    <row r="33008" spans="1:8">
      <c r="A33008" t="s">
        <v>4</v>
      </c>
      <c r="B33008" s="4" t="s">
        <v>5</v>
      </c>
    </row>
    <row r="33009" spans="1:18">
      <c r="A33009" t="n">
        <v>322377</v>
      </c>
      <c r="B33009" s="27" t="n">
        <v>28</v>
      </c>
    </row>
    <row r="33010" spans="1:18">
      <c r="A33010" t="s">
        <v>4</v>
      </c>
      <c r="B33010" s="4" t="s">
        <v>5</v>
      </c>
      <c r="C33010" s="4" t="s">
        <v>7</v>
      </c>
      <c r="D33010" s="4" t="s">
        <v>11</v>
      </c>
      <c r="E33010" s="4" t="s">
        <v>8</v>
      </c>
    </row>
    <row r="33011" spans="1:18">
      <c r="A33011" t="n">
        <v>322378</v>
      </c>
      <c r="B33011" s="38" t="n">
        <v>51</v>
      </c>
      <c r="C33011" s="7" t="n">
        <v>4</v>
      </c>
      <c r="D33011" s="7" t="n">
        <v>18</v>
      </c>
      <c r="E33011" s="7" t="s">
        <v>491</v>
      </c>
    </row>
    <row r="33012" spans="1:18">
      <c r="A33012" t="s">
        <v>4</v>
      </c>
      <c r="B33012" s="4" t="s">
        <v>5</v>
      </c>
      <c r="C33012" s="4" t="s">
        <v>11</v>
      </c>
    </row>
    <row r="33013" spans="1:18">
      <c r="A33013" t="n">
        <v>322392</v>
      </c>
      <c r="B33013" s="29" t="n">
        <v>16</v>
      </c>
      <c r="C33013" s="7" t="n">
        <v>0</v>
      </c>
    </row>
    <row r="33014" spans="1:18">
      <c r="A33014" t="s">
        <v>4</v>
      </c>
      <c r="B33014" s="4" t="s">
        <v>5</v>
      </c>
      <c r="C33014" s="4" t="s">
        <v>11</v>
      </c>
      <c r="D33014" s="4" t="s">
        <v>7</v>
      </c>
      <c r="E33014" s="4" t="s">
        <v>15</v>
      </c>
      <c r="F33014" s="4" t="s">
        <v>55</v>
      </c>
      <c r="G33014" s="4" t="s">
        <v>7</v>
      </c>
      <c r="H33014" s="4" t="s">
        <v>7</v>
      </c>
    </row>
    <row r="33015" spans="1:18">
      <c r="A33015" t="n">
        <v>322395</v>
      </c>
      <c r="B33015" s="55" t="n">
        <v>26</v>
      </c>
      <c r="C33015" s="7" t="n">
        <v>18</v>
      </c>
      <c r="D33015" s="7" t="n">
        <v>17</v>
      </c>
      <c r="E33015" s="7" t="n">
        <v>64072</v>
      </c>
      <c r="F33015" s="7" t="s">
        <v>867</v>
      </c>
      <c r="G33015" s="7" t="n">
        <v>2</v>
      </c>
      <c r="H33015" s="7" t="n">
        <v>0</v>
      </c>
    </row>
    <row r="33016" spans="1:18">
      <c r="A33016" t="s">
        <v>4</v>
      </c>
      <c r="B33016" s="4" t="s">
        <v>5</v>
      </c>
    </row>
    <row r="33017" spans="1:18">
      <c r="A33017" t="n">
        <v>322457</v>
      </c>
      <c r="B33017" s="27" t="n">
        <v>28</v>
      </c>
    </row>
    <row r="33018" spans="1:18">
      <c r="A33018" t="s">
        <v>4</v>
      </c>
      <c r="B33018" s="4" t="s">
        <v>5</v>
      </c>
      <c r="C33018" s="4" t="s">
        <v>11</v>
      </c>
      <c r="D33018" s="4" t="s">
        <v>7</v>
      </c>
    </row>
    <row r="33019" spans="1:18">
      <c r="A33019" t="n">
        <v>322458</v>
      </c>
      <c r="B33019" s="68" t="n">
        <v>89</v>
      </c>
      <c r="C33019" s="7" t="n">
        <v>65533</v>
      </c>
      <c r="D33019" s="7" t="n">
        <v>1</v>
      </c>
    </row>
    <row r="33020" spans="1:18">
      <c r="A33020" t="s">
        <v>4</v>
      </c>
      <c r="B33020" s="4" t="s">
        <v>5</v>
      </c>
      <c r="C33020" s="4" t="s">
        <v>7</v>
      </c>
      <c r="D33020" s="4" t="s">
        <v>11</v>
      </c>
      <c r="E33020" s="4" t="s">
        <v>13</v>
      </c>
    </row>
    <row r="33021" spans="1:18">
      <c r="A33021" t="n">
        <v>322462</v>
      </c>
      <c r="B33021" s="23" t="n">
        <v>58</v>
      </c>
      <c r="C33021" s="7" t="n">
        <v>101</v>
      </c>
      <c r="D33021" s="7" t="n">
        <v>500</v>
      </c>
      <c r="E33021" s="7" t="n">
        <v>1</v>
      </c>
    </row>
    <row r="33022" spans="1:18">
      <c r="A33022" t="s">
        <v>4</v>
      </c>
      <c r="B33022" s="4" t="s">
        <v>5</v>
      </c>
      <c r="C33022" s="4" t="s">
        <v>7</v>
      </c>
      <c r="D33022" s="4" t="s">
        <v>11</v>
      </c>
    </row>
    <row r="33023" spans="1:18">
      <c r="A33023" t="n">
        <v>322470</v>
      </c>
      <c r="B33023" s="23" t="n">
        <v>58</v>
      </c>
      <c r="C33023" s="7" t="n">
        <v>254</v>
      </c>
      <c r="D33023" s="7" t="n">
        <v>0</v>
      </c>
    </row>
    <row r="33024" spans="1:18">
      <c r="A33024" t="s">
        <v>4</v>
      </c>
      <c r="B33024" s="4" t="s">
        <v>5</v>
      </c>
      <c r="C33024" s="4" t="s">
        <v>7</v>
      </c>
      <c r="D33024" s="4" t="s">
        <v>11</v>
      </c>
      <c r="E33024" s="4" t="s">
        <v>8</v>
      </c>
      <c r="F33024" s="4" t="s">
        <v>8</v>
      </c>
      <c r="G33024" s="4" t="s">
        <v>8</v>
      </c>
      <c r="H33024" s="4" t="s">
        <v>8</v>
      </c>
    </row>
    <row r="33025" spans="1:8">
      <c r="A33025" t="n">
        <v>322474</v>
      </c>
      <c r="B33025" s="38" t="n">
        <v>51</v>
      </c>
      <c r="C33025" s="7" t="n">
        <v>3</v>
      </c>
      <c r="D33025" s="7" t="n">
        <v>0</v>
      </c>
      <c r="E33025" s="7" t="s">
        <v>65</v>
      </c>
      <c r="F33025" s="7" t="s">
        <v>99</v>
      </c>
      <c r="G33025" s="7" t="s">
        <v>78</v>
      </c>
      <c r="H33025" s="7" t="s">
        <v>79</v>
      </c>
    </row>
    <row r="33026" spans="1:8">
      <c r="A33026" t="s">
        <v>4</v>
      </c>
      <c r="B33026" s="4" t="s">
        <v>5</v>
      </c>
      <c r="C33026" s="4" t="s">
        <v>7</v>
      </c>
      <c r="D33026" s="4" t="s">
        <v>11</v>
      </c>
      <c r="E33026" s="4" t="s">
        <v>8</v>
      </c>
      <c r="F33026" s="4" t="s">
        <v>8</v>
      </c>
      <c r="G33026" s="4" t="s">
        <v>8</v>
      </c>
      <c r="H33026" s="4" t="s">
        <v>8</v>
      </c>
    </row>
    <row r="33027" spans="1:8">
      <c r="A33027" t="n">
        <v>322495</v>
      </c>
      <c r="B33027" s="38" t="n">
        <v>51</v>
      </c>
      <c r="C33027" s="7" t="n">
        <v>3</v>
      </c>
      <c r="D33027" s="7" t="n">
        <v>18</v>
      </c>
      <c r="E33027" s="7" t="s">
        <v>65</v>
      </c>
      <c r="F33027" s="7" t="s">
        <v>79</v>
      </c>
      <c r="G33027" s="7" t="s">
        <v>78</v>
      </c>
      <c r="H33027" s="7" t="s">
        <v>79</v>
      </c>
    </row>
    <row r="33028" spans="1:8">
      <c r="A33028" t="s">
        <v>4</v>
      </c>
      <c r="B33028" s="4" t="s">
        <v>5</v>
      </c>
      <c r="C33028" s="4" t="s">
        <v>11</v>
      </c>
      <c r="D33028" s="4" t="s">
        <v>11</v>
      </c>
      <c r="E33028" s="4" t="s">
        <v>11</v>
      </c>
    </row>
    <row r="33029" spans="1:8">
      <c r="A33029" t="n">
        <v>322516</v>
      </c>
      <c r="B33029" s="72" t="n">
        <v>61</v>
      </c>
      <c r="C33029" s="7" t="n">
        <v>0</v>
      </c>
      <c r="D33029" s="7" t="n">
        <v>65533</v>
      </c>
      <c r="E33029" s="7" t="n">
        <v>0</v>
      </c>
    </row>
    <row r="33030" spans="1:8">
      <c r="A33030" t="s">
        <v>4</v>
      </c>
      <c r="B33030" s="4" t="s">
        <v>5</v>
      </c>
      <c r="C33030" s="4" t="s">
        <v>11</v>
      </c>
      <c r="D33030" s="4" t="s">
        <v>11</v>
      </c>
      <c r="E33030" s="4" t="s">
        <v>11</v>
      </c>
    </row>
    <row r="33031" spans="1:8">
      <c r="A33031" t="n">
        <v>322523</v>
      </c>
      <c r="B33031" s="72" t="n">
        <v>61</v>
      </c>
      <c r="C33031" s="7" t="n">
        <v>18</v>
      </c>
      <c r="D33031" s="7" t="n">
        <v>65533</v>
      </c>
      <c r="E33031" s="7" t="n">
        <v>0</v>
      </c>
    </row>
    <row r="33032" spans="1:8">
      <c r="A33032" t="s">
        <v>4</v>
      </c>
      <c r="B33032" s="4" t="s">
        <v>5</v>
      </c>
      <c r="C33032" s="4" t="s">
        <v>7</v>
      </c>
    </row>
    <row r="33033" spans="1:8">
      <c r="A33033" t="n">
        <v>322530</v>
      </c>
      <c r="B33033" s="49" t="n">
        <v>116</v>
      </c>
      <c r="C33033" s="7" t="n">
        <v>0</v>
      </c>
    </row>
    <row r="33034" spans="1:8">
      <c r="A33034" t="s">
        <v>4</v>
      </c>
      <c r="B33034" s="4" t="s">
        <v>5</v>
      </c>
      <c r="C33034" s="4" t="s">
        <v>7</v>
      </c>
      <c r="D33034" s="4" t="s">
        <v>11</v>
      </c>
    </row>
    <row r="33035" spans="1:8">
      <c r="A33035" t="n">
        <v>322532</v>
      </c>
      <c r="B33035" s="49" t="n">
        <v>116</v>
      </c>
      <c r="C33035" s="7" t="n">
        <v>2</v>
      </c>
      <c r="D33035" s="7" t="n">
        <v>1</v>
      </c>
    </row>
    <row r="33036" spans="1:8">
      <c r="A33036" t="s">
        <v>4</v>
      </c>
      <c r="B33036" s="4" t="s">
        <v>5</v>
      </c>
      <c r="C33036" s="4" t="s">
        <v>7</v>
      </c>
      <c r="D33036" s="4" t="s">
        <v>15</v>
      </c>
    </row>
    <row r="33037" spans="1:8">
      <c r="A33037" t="n">
        <v>322536</v>
      </c>
      <c r="B33037" s="49" t="n">
        <v>116</v>
      </c>
      <c r="C33037" s="7" t="n">
        <v>5</v>
      </c>
      <c r="D33037" s="7" t="n">
        <v>1106247680</v>
      </c>
    </row>
    <row r="33038" spans="1:8">
      <c r="A33038" t="s">
        <v>4</v>
      </c>
      <c r="B33038" s="4" t="s">
        <v>5</v>
      </c>
      <c r="C33038" s="4" t="s">
        <v>7</v>
      </c>
      <c r="D33038" s="4" t="s">
        <v>11</v>
      </c>
    </row>
    <row r="33039" spans="1:8">
      <c r="A33039" t="n">
        <v>322542</v>
      </c>
      <c r="B33039" s="49" t="n">
        <v>116</v>
      </c>
      <c r="C33039" s="7" t="n">
        <v>6</v>
      </c>
      <c r="D33039" s="7" t="n">
        <v>1</v>
      </c>
    </row>
    <row r="33040" spans="1:8">
      <c r="A33040" t="s">
        <v>4</v>
      </c>
      <c r="B33040" s="4" t="s">
        <v>5</v>
      </c>
      <c r="C33040" s="4" t="s">
        <v>7</v>
      </c>
      <c r="D33040" s="4" t="s">
        <v>7</v>
      </c>
      <c r="E33040" s="4" t="s">
        <v>13</v>
      </c>
      <c r="F33040" s="4" t="s">
        <v>13</v>
      </c>
      <c r="G33040" s="4" t="s">
        <v>13</v>
      </c>
      <c r="H33040" s="4" t="s">
        <v>11</v>
      </c>
    </row>
    <row r="33041" spans="1:8">
      <c r="A33041" t="n">
        <v>322546</v>
      </c>
      <c r="B33041" s="51" t="n">
        <v>45</v>
      </c>
      <c r="C33041" s="7" t="n">
        <v>2</v>
      </c>
      <c r="D33041" s="7" t="n">
        <v>3</v>
      </c>
      <c r="E33041" s="7" t="n">
        <v>4.53000020980835</v>
      </c>
      <c r="F33041" s="7" t="n">
        <v>1.30999994277954</v>
      </c>
      <c r="G33041" s="7" t="n">
        <v>46.2700004577637</v>
      </c>
      <c r="H33041" s="7" t="n">
        <v>0</v>
      </c>
    </row>
    <row r="33042" spans="1:8">
      <c r="A33042" t="s">
        <v>4</v>
      </c>
      <c r="B33042" s="4" t="s">
        <v>5</v>
      </c>
      <c r="C33042" s="4" t="s">
        <v>7</v>
      </c>
      <c r="D33042" s="4" t="s">
        <v>7</v>
      </c>
      <c r="E33042" s="4" t="s">
        <v>13</v>
      </c>
      <c r="F33042" s="4" t="s">
        <v>13</v>
      </c>
      <c r="G33042" s="4" t="s">
        <v>13</v>
      </c>
      <c r="H33042" s="4" t="s">
        <v>11</v>
      </c>
      <c r="I33042" s="4" t="s">
        <v>7</v>
      </c>
    </row>
    <row r="33043" spans="1:8">
      <c r="A33043" t="n">
        <v>322563</v>
      </c>
      <c r="B33043" s="51" t="n">
        <v>45</v>
      </c>
      <c r="C33043" s="7" t="n">
        <v>4</v>
      </c>
      <c r="D33043" s="7" t="n">
        <v>3</v>
      </c>
      <c r="E33043" s="7" t="n">
        <v>12.8699998855591</v>
      </c>
      <c r="F33043" s="7" t="n">
        <v>80.0199966430664</v>
      </c>
      <c r="G33043" s="7" t="n">
        <v>0</v>
      </c>
      <c r="H33043" s="7" t="n">
        <v>0</v>
      </c>
      <c r="I33043" s="7" t="n">
        <v>0</v>
      </c>
    </row>
    <row r="33044" spans="1:8">
      <c r="A33044" t="s">
        <v>4</v>
      </c>
      <c r="B33044" s="4" t="s">
        <v>5</v>
      </c>
      <c r="C33044" s="4" t="s">
        <v>7</v>
      </c>
      <c r="D33044" s="4" t="s">
        <v>7</v>
      </c>
      <c r="E33044" s="4" t="s">
        <v>13</v>
      </c>
      <c r="F33044" s="4" t="s">
        <v>11</v>
      </c>
    </row>
    <row r="33045" spans="1:8">
      <c r="A33045" t="n">
        <v>322581</v>
      </c>
      <c r="B33045" s="51" t="n">
        <v>45</v>
      </c>
      <c r="C33045" s="7" t="n">
        <v>5</v>
      </c>
      <c r="D33045" s="7" t="n">
        <v>3</v>
      </c>
      <c r="E33045" s="7" t="n">
        <v>3</v>
      </c>
      <c r="F33045" s="7" t="n">
        <v>0</v>
      </c>
    </row>
    <row r="33046" spans="1:8">
      <c r="A33046" t="s">
        <v>4</v>
      </c>
      <c r="B33046" s="4" t="s">
        <v>5</v>
      </c>
      <c r="C33046" s="4" t="s">
        <v>7</v>
      </c>
      <c r="D33046" s="4" t="s">
        <v>7</v>
      </c>
      <c r="E33046" s="4" t="s">
        <v>13</v>
      </c>
      <c r="F33046" s="4" t="s">
        <v>11</v>
      </c>
    </row>
    <row r="33047" spans="1:8">
      <c r="A33047" t="n">
        <v>322590</v>
      </c>
      <c r="B33047" s="51" t="n">
        <v>45</v>
      </c>
      <c r="C33047" s="7" t="n">
        <v>11</v>
      </c>
      <c r="D33047" s="7" t="n">
        <v>3</v>
      </c>
      <c r="E33047" s="7" t="n">
        <v>34</v>
      </c>
      <c r="F33047" s="7" t="n">
        <v>0</v>
      </c>
    </row>
    <row r="33048" spans="1:8">
      <c r="A33048" t="s">
        <v>4</v>
      </c>
      <c r="B33048" s="4" t="s">
        <v>5</v>
      </c>
      <c r="C33048" s="4" t="s">
        <v>7</v>
      </c>
      <c r="D33048" s="4" t="s">
        <v>7</v>
      </c>
      <c r="E33048" s="4" t="s">
        <v>13</v>
      </c>
      <c r="F33048" s="4" t="s">
        <v>13</v>
      </c>
      <c r="G33048" s="4" t="s">
        <v>13</v>
      </c>
      <c r="H33048" s="4" t="s">
        <v>11</v>
      </c>
    </row>
    <row r="33049" spans="1:8">
      <c r="A33049" t="n">
        <v>322599</v>
      </c>
      <c r="B33049" s="51" t="n">
        <v>45</v>
      </c>
      <c r="C33049" s="7" t="n">
        <v>2</v>
      </c>
      <c r="D33049" s="7" t="n">
        <v>3</v>
      </c>
      <c r="E33049" s="7" t="n">
        <v>4.53000020980835</v>
      </c>
      <c r="F33049" s="7" t="n">
        <v>2.30999994277954</v>
      </c>
      <c r="G33049" s="7" t="n">
        <v>46.2700004577637</v>
      </c>
      <c r="H33049" s="7" t="n">
        <v>5000</v>
      </c>
    </row>
    <row r="33050" spans="1:8">
      <c r="A33050" t="s">
        <v>4</v>
      </c>
      <c r="B33050" s="4" t="s">
        <v>5</v>
      </c>
      <c r="C33050" s="4" t="s">
        <v>7</v>
      </c>
      <c r="D33050" s="4" t="s">
        <v>11</v>
      </c>
    </row>
    <row r="33051" spans="1:8">
      <c r="A33051" t="n">
        <v>322616</v>
      </c>
      <c r="B33051" s="23" t="n">
        <v>58</v>
      </c>
      <c r="C33051" s="7" t="n">
        <v>255</v>
      </c>
      <c r="D33051" s="7" t="n">
        <v>0</v>
      </c>
    </row>
    <row r="33052" spans="1:8">
      <c r="A33052" t="s">
        <v>4</v>
      </c>
      <c r="B33052" s="4" t="s">
        <v>5</v>
      </c>
      <c r="C33052" s="4" t="s">
        <v>11</v>
      </c>
      <c r="D33052" s="4" t="s">
        <v>13</v>
      </c>
      <c r="E33052" s="4" t="s">
        <v>13</v>
      </c>
      <c r="F33052" s="4" t="s">
        <v>7</v>
      </c>
    </row>
    <row r="33053" spans="1:8">
      <c r="A33053" t="n">
        <v>322620</v>
      </c>
      <c r="B33053" s="65" t="n">
        <v>52</v>
      </c>
      <c r="C33053" s="7" t="n">
        <v>0</v>
      </c>
      <c r="D33053" s="7" t="n">
        <v>255</v>
      </c>
      <c r="E33053" s="7" t="n">
        <v>5</v>
      </c>
      <c r="F33053" s="7" t="n">
        <v>0</v>
      </c>
    </row>
    <row r="33054" spans="1:8">
      <c r="A33054" t="s">
        <v>4</v>
      </c>
      <c r="B33054" s="4" t="s">
        <v>5</v>
      </c>
      <c r="C33054" s="4" t="s">
        <v>11</v>
      </c>
    </row>
    <row r="33055" spans="1:8">
      <c r="A33055" t="n">
        <v>322632</v>
      </c>
      <c r="B33055" s="29" t="n">
        <v>16</v>
      </c>
      <c r="C33055" s="7" t="n">
        <v>100</v>
      </c>
    </row>
    <row r="33056" spans="1:8">
      <c r="A33056" t="s">
        <v>4</v>
      </c>
      <c r="B33056" s="4" t="s">
        <v>5</v>
      </c>
      <c r="C33056" s="4" t="s">
        <v>11</v>
      </c>
      <c r="D33056" s="4" t="s">
        <v>13</v>
      </c>
      <c r="E33056" s="4" t="s">
        <v>13</v>
      </c>
      <c r="F33056" s="4" t="s">
        <v>7</v>
      </c>
    </row>
    <row r="33057" spans="1:9">
      <c r="A33057" t="n">
        <v>322635</v>
      </c>
      <c r="B33057" s="65" t="n">
        <v>52</v>
      </c>
      <c r="C33057" s="7" t="n">
        <v>18</v>
      </c>
      <c r="D33057" s="7" t="n">
        <v>255</v>
      </c>
      <c r="E33057" s="7" t="n">
        <v>5</v>
      </c>
      <c r="F33057" s="7" t="n">
        <v>0</v>
      </c>
    </row>
    <row r="33058" spans="1:9">
      <c r="A33058" t="s">
        <v>4</v>
      </c>
      <c r="B33058" s="4" t="s">
        <v>5</v>
      </c>
      <c r="C33058" s="4" t="s">
        <v>11</v>
      </c>
    </row>
    <row r="33059" spans="1:9">
      <c r="A33059" t="n">
        <v>322647</v>
      </c>
      <c r="B33059" s="66" t="n">
        <v>54</v>
      </c>
      <c r="C33059" s="7" t="n">
        <v>0</v>
      </c>
    </row>
    <row r="33060" spans="1:9">
      <c r="A33060" t="s">
        <v>4</v>
      </c>
      <c r="B33060" s="4" t="s">
        <v>5</v>
      </c>
      <c r="C33060" s="4" t="s">
        <v>11</v>
      </c>
      <c r="D33060" s="4" t="s">
        <v>11</v>
      </c>
      <c r="E33060" s="4" t="s">
        <v>13</v>
      </c>
      <c r="F33060" s="4" t="s">
        <v>13</v>
      </c>
      <c r="G33060" s="4" t="s">
        <v>13</v>
      </c>
      <c r="H33060" s="4" t="s">
        <v>13</v>
      </c>
      <c r="I33060" s="4" t="s">
        <v>7</v>
      </c>
      <c r="J33060" s="4" t="s">
        <v>11</v>
      </c>
    </row>
    <row r="33061" spans="1:9">
      <c r="A33061" t="n">
        <v>322650</v>
      </c>
      <c r="B33061" s="53" t="n">
        <v>55</v>
      </c>
      <c r="C33061" s="7" t="n">
        <v>0</v>
      </c>
      <c r="D33061" s="7" t="n">
        <v>65024</v>
      </c>
      <c r="E33061" s="7" t="n">
        <v>0</v>
      </c>
      <c r="F33061" s="7" t="n">
        <v>0</v>
      </c>
      <c r="G33061" s="7" t="n">
        <v>6</v>
      </c>
      <c r="H33061" s="7" t="n">
        <v>1.20000004768372</v>
      </c>
      <c r="I33061" s="7" t="n">
        <v>1</v>
      </c>
      <c r="J33061" s="7" t="n">
        <v>0</v>
      </c>
    </row>
    <row r="33062" spans="1:9">
      <c r="A33062" t="s">
        <v>4</v>
      </c>
      <c r="B33062" s="4" t="s">
        <v>5</v>
      </c>
      <c r="C33062" s="4" t="s">
        <v>11</v>
      </c>
    </row>
    <row r="33063" spans="1:9">
      <c r="A33063" t="n">
        <v>322674</v>
      </c>
      <c r="B33063" s="66" t="n">
        <v>54</v>
      </c>
      <c r="C33063" s="7" t="n">
        <v>18</v>
      </c>
    </row>
    <row r="33064" spans="1:9">
      <c r="A33064" t="s">
        <v>4</v>
      </c>
      <c r="B33064" s="4" t="s">
        <v>5</v>
      </c>
      <c r="C33064" s="4" t="s">
        <v>11</v>
      </c>
    </row>
    <row r="33065" spans="1:9">
      <c r="A33065" t="n">
        <v>322677</v>
      </c>
      <c r="B33065" s="29" t="n">
        <v>16</v>
      </c>
      <c r="C33065" s="7" t="n">
        <v>200</v>
      </c>
    </row>
    <row r="33066" spans="1:9">
      <c r="A33066" t="s">
        <v>4</v>
      </c>
      <c r="B33066" s="4" t="s">
        <v>5</v>
      </c>
      <c r="C33066" s="4" t="s">
        <v>11</v>
      </c>
      <c r="D33066" s="4" t="s">
        <v>11</v>
      </c>
      <c r="E33066" s="4" t="s">
        <v>13</v>
      </c>
      <c r="F33066" s="4" t="s">
        <v>13</v>
      </c>
      <c r="G33066" s="4" t="s">
        <v>13</v>
      </c>
      <c r="H33066" s="4" t="s">
        <v>13</v>
      </c>
      <c r="I33066" s="4" t="s">
        <v>7</v>
      </c>
      <c r="J33066" s="4" t="s">
        <v>11</v>
      </c>
    </row>
    <row r="33067" spans="1:9">
      <c r="A33067" t="n">
        <v>322680</v>
      </c>
      <c r="B33067" s="53" t="n">
        <v>55</v>
      </c>
      <c r="C33067" s="7" t="n">
        <v>18</v>
      </c>
      <c r="D33067" s="7" t="n">
        <v>65024</v>
      </c>
      <c r="E33067" s="7" t="n">
        <v>0</v>
      </c>
      <c r="F33067" s="7" t="n">
        <v>0</v>
      </c>
      <c r="G33067" s="7" t="n">
        <v>6</v>
      </c>
      <c r="H33067" s="7" t="n">
        <v>1.20000004768372</v>
      </c>
      <c r="I33067" s="7" t="n">
        <v>1</v>
      </c>
      <c r="J33067" s="7" t="n">
        <v>0</v>
      </c>
    </row>
    <row r="33068" spans="1:9">
      <c r="A33068" t="s">
        <v>4</v>
      </c>
      <c r="B33068" s="4" t="s">
        <v>5</v>
      </c>
      <c r="C33068" s="4" t="s">
        <v>11</v>
      </c>
    </row>
    <row r="33069" spans="1:9">
      <c r="A33069" t="n">
        <v>322704</v>
      </c>
      <c r="B33069" s="29" t="n">
        <v>16</v>
      </c>
      <c r="C33069" s="7" t="n">
        <v>2000</v>
      </c>
    </row>
    <row r="33070" spans="1:9">
      <c r="A33070" t="s">
        <v>4</v>
      </c>
      <c r="B33070" s="4" t="s">
        <v>5</v>
      </c>
      <c r="C33070" s="4" t="s">
        <v>7</v>
      </c>
      <c r="D33070" s="4" t="s">
        <v>11</v>
      </c>
      <c r="E33070" s="4" t="s">
        <v>13</v>
      </c>
    </row>
    <row r="33071" spans="1:9">
      <c r="A33071" t="n">
        <v>322707</v>
      </c>
      <c r="B33071" s="23" t="n">
        <v>58</v>
      </c>
      <c r="C33071" s="7" t="n">
        <v>0</v>
      </c>
      <c r="D33071" s="7" t="n">
        <v>1000</v>
      </c>
      <c r="E33071" s="7" t="n">
        <v>1</v>
      </c>
    </row>
    <row r="33072" spans="1:9">
      <c r="A33072" t="s">
        <v>4</v>
      </c>
      <c r="B33072" s="4" t="s">
        <v>5</v>
      </c>
      <c r="C33072" s="4" t="s">
        <v>7</v>
      </c>
      <c r="D33072" s="4" t="s">
        <v>11</v>
      </c>
    </row>
    <row r="33073" spans="1:10">
      <c r="A33073" t="n">
        <v>322715</v>
      </c>
      <c r="B33073" s="23" t="n">
        <v>58</v>
      </c>
      <c r="C33073" s="7" t="n">
        <v>255</v>
      </c>
      <c r="D33073" s="7" t="n">
        <v>0</v>
      </c>
    </row>
    <row r="33074" spans="1:10">
      <c r="A33074" t="s">
        <v>4</v>
      </c>
      <c r="B33074" s="4" t="s">
        <v>5</v>
      </c>
      <c r="C33074" s="4" t="s">
        <v>11</v>
      </c>
      <c r="D33074" s="4" t="s">
        <v>7</v>
      </c>
    </row>
    <row r="33075" spans="1:10">
      <c r="A33075" t="n">
        <v>322719</v>
      </c>
      <c r="B33075" s="54" t="n">
        <v>56</v>
      </c>
      <c r="C33075" s="7" t="n">
        <v>0</v>
      </c>
      <c r="D33075" s="7" t="n">
        <v>1</v>
      </c>
    </row>
    <row r="33076" spans="1:10">
      <c r="A33076" t="s">
        <v>4</v>
      </c>
      <c r="B33076" s="4" t="s">
        <v>5</v>
      </c>
      <c r="C33076" s="4" t="s">
        <v>11</v>
      </c>
      <c r="D33076" s="4" t="s">
        <v>7</v>
      </c>
    </row>
    <row r="33077" spans="1:10">
      <c r="A33077" t="n">
        <v>322723</v>
      </c>
      <c r="B33077" s="54" t="n">
        <v>56</v>
      </c>
      <c r="C33077" s="7" t="n">
        <v>18</v>
      </c>
      <c r="D33077" s="7" t="n">
        <v>1</v>
      </c>
    </row>
    <row r="33078" spans="1:10">
      <c r="A33078" t="s">
        <v>4</v>
      </c>
      <c r="B33078" s="4" t="s">
        <v>5</v>
      </c>
      <c r="C33078" s="4" t="s">
        <v>11</v>
      </c>
      <c r="D33078" s="4" t="s">
        <v>13</v>
      </c>
      <c r="E33078" s="4" t="s">
        <v>13</v>
      </c>
      <c r="F33078" s="4" t="s">
        <v>13</v>
      </c>
      <c r="G33078" s="4" t="s">
        <v>13</v>
      </c>
    </row>
    <row r="33079" spans="1:10">
      <c r="A33079" t="n">
        <v>322727</v>
      </c>
      <c r="B33079" s="36" t="n">
        <v>46</v>
      </c>
      <c r="C33079" s="7" t="n">
        <v>0</v>
      </c>
      <c r="D33079" s="7" t="n">
        <v>-7.67000007629395</v>
      </c>
      <c r="E33079" s="7" t="n">
        <v>5</v>
      </c>
      <c r="F33079" s="7" t="n">
        <v>41.2599983215332</v>
      </c>
      <c r="G33079" s="7" t="n">
        <v>18.7000007629395</v>
      </c>
    </row>
    <row r="33080" spans="1:10">
      <c r="A33080" t="s">
        <v>4</v>
      </c>
      <c r="B33080" s="4" t="s">
        <v>5</v>
      </c>
      <c r="C33080" s="4" t="s">
        <v>11</v>
      </c>
      <c r="D33080" s="4" t="s">
        <v>13</v>
      </c>
      <c r="E33080" s="4" t="s">
        <v>13</v>
      </c>
      <c r="F33080" s="4" t="s">
        <v>13</v>
      </c>
      <c r="G33080" s="4" t="s">
        <v>13</v>
      </c>
    </row>
    <row r="33081" spans="1:10">
      <c r="A33081" t="n">
        <v>322746</v>
      </c>
      <c r="B33081" s="36" t="n">
        <v>46</v>
      </c>
      <c r="C33081" s="7" t="n">
        <v>18</v>
      </c>
      <c r="D33081" s="7" t="n">
        <v>-7.15000009536743</v>
      </c>
      <c r="E33081" s="7" t="n">
        <v>5</v>
      </c>
      <c r="F33081" s="7" t="n">
        <v>42.0099983215332</v>
      </c>
      <c r="G33081" s="7" t="n">
        <v>4.30000019073486</v>
      </c>
    </row>
    <row r="33082" spans="1:10">
      <c r="A33082" t="s">
        <v>4</v>
      </c>
      <c r="B33082" s="4" t="s">
        <v>5</v>
      </c>
      <c r="C33082" s="4" t="s">
        <v>11</v>
      </c>
      <c r="D33082" s="4" t="s">
        <v>11</v>
      </c>
      <c r="E33082" s="4" t="s">
        <v>11</v>
      </c>
    </row>
    <row r="33083" spans="1:10">
      <c r="A33083" t="n">
        <v>322765</v>
      </c>
      <c r="B33083" s="72" t="n">
        <v>61</v>
      </c>
      <c r="C33083" s="7" t="n">
        <v>0</v>
      </c>
      <c r="D33083" s="7" t="n">
        <v>65533</v>
      </c>
      <c r="E33083" s="7" t="n">
        <v>0</v>
      </c>
    </row>
    <row r="33084" spans="1:10">
      <c r="A33084" t="s">
        <v>4</v>
      </c>
      <c r="B33084" s="4" t="s">
        <v>5</v>
      </c>
      <c r="C33084" s="4" t="s">
        <v>11</v>
      </c>
      <c r="D33084" s="4" t="s">
        <v>11</v>
      </c>
      <c r="E33084" s="4" t="s">
        <v>11</v>
      </c>
    </row>
    <row r="33085" spans="1:10">
      <c r="A33085" t="n">
        <v>322772</v>
      </c>
      <c r="B33085" s="72" t="n">
        <v>61</v>
      </c>
      <c r="C33085" s="7" t="n">
        <v>18</v>
      </c>
      <c r="D33085" s="7" t="n">
        <v>65533</v>
      </c>
      <c r="E33085" s="7" t="n">
        <v>0</v>
      </c>
    </row>
    <row r="33086" spans="1:10">
      <c r="A33086" t="s">
        <v>4</v>
      </c>
      <c r="B33086" s="4" t="s">
        <v>5</v>
      </c>
      <c r="C33086" s="4" t="s">
        <v>7</v>
      </c>
      <c r="D33086" s="4" t="s">
        <v>7</v>
      </c>
      <c r="E33086" s="4" t="s">
        <v>13</v>
      </c>
      <c r="F33086" s="4" t="s">
        <v>13</v>
      </c>
      <c r="G33086" s="4" t="s">
        <v>13</v>
      </c>
      <c r="H33086" s="4" t="s">
        <v>11</v>
      </c>
    </row>
    <row r="33087" spans="1:10">
      <c r="A33087" t="n">
        <v>322779</v>
      </c>
      <c r="B33087" s="51" t="n">
        <v>45</v>
      </c>
      <c r="C33087" s="7" t="n">
        <v>2</v>
      </c>
      <c r="D33087" s="7" t="n">
        <v>3</v>
      </c>
      <c r="E33087" s="7" t="n">
        <v>-6.92000007629395</v>
      </c>
      <c r="F33087" s="7" t="n">
        <v>6.55000019073486</v>
      </c>
      <c r="G33087" s="7" t="n">
        <v>46.4099998474121</v>
      </c>
      <c r="H33087" s="7" t="n">
        <v>0</v>
      </c>
    </row>
    <row r="33088" spans="1:10">
      <c r="A33088" t="s">
        <v>4</v>
      </c>
      <c r="B33088" s="4" t="s">
        <v>5</v>
      </c>
      <c r="C33088" s="4" t="s">
        <v>7</v>
      </c>
      <c r="D33088" s="4" t="s">
        <v>7</v>
      </c>
      <c r="E33088" s="4" t="s">
        <v>13</v>
      </c>
      <c r="F33088" s="4" t="s">
        <v>13</v>
      </c>
      <c r="G33088" s="4" t="s">
        <v>13</v>
      </c>
      <c r="H33088" s="4" t="s">
        <v>11</v>
      </c>
      <c r="I33088" s="4" t="s">
        <v>7</v>
      </c>
    </row>
    <row r="33089" spans="1:9">
      <c r="A33089" t="n">
        <v>322796</v>
      </c>
      <c r="B33089" s="51" t="n">
        <v>45</v>
      </c>
      <c r="C33089" s="7" t="n">
        <v>4</v>
      </c>
      <c r="D33089" s="7" t="n">
        <v>3</v>
      </c>
      <c r="E33089" s="7" t="n">
        <v>6.15000009536743</v>
      </c>
      <c r="F33089" s="7" t="n">
        <v>341.170013427734</v>
      </c>
      <c r="G33089" s="7" t="n">
        <v>0</v>
      </c>
      <c r="H33089" s="7" t="n">
        <v>0</v>
      </c>
      <c r="I33089" s="7" t="n">
        <v>0</v>
      </c>
    </row>
    <row r="33090" spans="1:9">
      <c r="A33090" t="s">
        <v>4</v>
      </c>
      <c r="B33090" s="4" t="s">
        <v>5</v>
      </c>
      <c r="C33090" s="4" t="s">
        <v>7</v>
      </c>
      <c r="D33090" s="4" t="s">
        <v>7</v>
      </c>
      <c r="E33090" s="4" t="s">
        <v>13</v>
      </c>
      <c r="F33090" s="4" t="s">
        <v>11</v>
      </c>
    </row>
    <row r="33091" spans="1:9">
      <c r="A33091" t="n">
        <v>322814</v>
      </c>
      <c r="B33091" s="51" t="n">
        <v>45</v>
      </c>
      <c r="C33091" s="7" t="n">
        <v>5</v>
      </c>
      <c r="D33091" s="7" t="n">
        <v>3</v>
      </c>
      <c r="E33091" s="7" t="n">
        <v>7.19999980926514</v>
      </c>
      <c r="F33091" s="7" t="n">
        <v>0</v>
      </c>
    </row>
    <row r="33092" spans="1:9">
      <c r="A33092" t="s">
        <v>4</v>
      </c>
      <c r="B33092" s="4" t="s">
        <v>5</v>
      </c>
      <c r="C33092" s="4" t="s">
        <v>7</v>
      </c>
      <c r="D33092" s="4" t="s">
        <v>7</v>
      </c>
      <c r="E33092" s="4" t="s">
        <v>13</v>
      </c>
      <c r="F33092" s="4" t="s">
        <v>11</v>
      </c>
    </row>
    <row r="33093" spans="1:9">
      <c r="A33093" t="n">
        <v>322823</v>
      </c>
      <c r="B33093" s="51" t="n">
        <v>45</v>
      </c>
      <c r="C33093" s="7" t="n">
        <v>11</v>
      </c>
      <c r="D33093" s="7" t="n">
        <v>3</v>
      </c>
      <c r="E33093" s="7" t="n">
        <v>34</v>
      </c>
      <c r="F33093" s="7" t="n">
        <v>0</v>
      </c>
    </row>
    <row r="33094" spans="1:9">
      <c r="A33094" t="s">
        <v>4</v>
      </c>
      <c r="B33094" s="4" t="s">
        <v>5</v>
      </c>
      <c r="C33094" s="4" t="s">
        <v>7</v>
      </c>
      <c r="D33094" s="4" t="s">
        <v>7</v>
      </c>
      <c r="E33094" s="4" t="s">
        <v>13</v>
      </c>
      <c r="F33094" s="4" t="s">
        <v>13</v>
      </c>
      <c r="G33094" s="4" t="s">
        <v>13</v>
      </c>
      <c r="H33094" s="4" t="s">
        <v>11</v>
      </c>
    </row>
    <row r="33095" spans="1:9">
      <c r="A33095" t="n">
        <v>322832</v>
      </c>
      <c r="B33095" s="51" t="n">
        <v>45</v>
      </c>
      <c r="C33095" s="7" t="n">
        <v>2</v>
      </c>
      <c r="D33095" s="7" t="n">
        <v>3</v>
      </c>
      <c r="E33095" s="7" t="n">
        <v>-7.32999992370605</v>
      </c>
      <c r="F33095" s="7" t="n">
        <v>6.19000005722046</v>
      </c>
      <c r="G33095" s="7" t="n">
        <v>41.7200012207031</v>
      </c>
      <c r="H33095" s="7" t="n">
        <v>6000</v>
      </c>
    </row>
    <row r="33096" spans="1:9">
      <c r="A33096" t="s">
        <v>4</v>
      </c>
      <c r="B33096" s="4" t="s">
        <v>5</v>
      </c>
      <c r="C33096" s="4" t="s">
        <v>7</v>
      </c>
      <c r="D33096" s="4" t="s">
        <v>7</v>
      </c>
      <c r="E33096" s="4" t="s">
        <v>13</v>
      </c>
      <c r="F33096" s="4" t="s">
        <v>13</v>
      </c>
      <c r="G33096" s="4" t="s">
        <v>13</v>
      </c>
      <c r="H33096" s="4" t="s">
        <v>11</v>
      </c>
      <c r="I33096" s="4" t="s">
        <v>7</v>
      </c>
    </row>
    <row r="33097" spans="1:9">
      <c r="A33097" t="n">
        <v>322849</v>
      </c>
      <c r="B33097" s="51" t="n">
        <v>45</v>
      </c>
      <c r="C33097" s="7" t="n">
        <v>4</v>
      </c>
      <c r="D33097" s="7" t="n">
        <v>3</v>
      </c>
      <c r="E33097" s="7" t="n">
        <v>359.339996337891</v>
      </c>
      <c r="F33097" s="7" t="n">
        <v>350.609985351563</v>
      </c>
      <c r="G33097" s="7" t="n">
        <v>0</v>
      </c>
      <c r="H33097" s="7" t="n">
        <v>6000</v>
      </c>
      <c r="I33097" s="7" t="n">
        <v>1</v>
      </c>
    </row>
    <row r="33098" spans="1:9">
      <c r="A33098" t="s">
        <v>4</v>
      </c>
      <c r="B33098" s="4" t="s">
        <v>5</v>
      </c>
      <c r="C33098" s="4" t="s">
        <v>7</v>
      </c>
      <c r="D33098" s="4" t="s">
        <v>7</v>
      </c>
      <c r="E33098" s="4" t="s">
        <v>13</v>
      </c>
      <c r="F33098" s="4" t="s">
        <v>11</v>
      </c>
    </row>
    <row r="33099" spans="1:9">
      <c r="A33099" t="n">
        <v>322867</v>
      </c>
      <c r="B33099" s="51" t="n">
        <v>45</v>
      </c>
      <c r="C33099" s="7" t="n">
        <v>5</v>
      </c>
      <c r="D33099" s="7" t="n">
        <v>3</v>
      </c>
      <c r="E33099" s="7" t="n">
        <v>3.79999995231628</v>
      </c>
      <c r="F33099" s="7" t="n">
        <v>6000</v>
      </c>
    </row>
    <row r="33100" spans="1:9">
      <c r="A33100" t="s">
        <v>4</v>
      </c>
      <c r="B33100" s="4" t="s">
        <v>5</v>
      </c>
      <c r="C33100" s="4" t="s">
        <v>7</v>
      </c>
      <c r="D33100" s="4" t="s">
        <v>11</v>
      </c>
      <c r="E33100" s="4" t="s">
        <v>13</v>
      </c>
    </row>
    <row r="33101" spans="1:9">
      <c r="A33101" t="n">
        <v>322876</v>
      </c>
      <c r="B33101" s="23" t="n">
        <v>58</v>
      </c>
      <c r="C33101" s="7" t="n">
        <v>100</v>
      </c>
      <c r="D33101" s="7" t="n">
        <v>1000</v>
      </c>
      <c r="E33101" s="7" t="n">
        <v>1</v>
      </c>
    </row>
    <row r="33102" spans="1:9">
      <c r="A33102" t="s">
        <v>4</v>
      </c>
      <c r="B33102" s="4" t="s">
        <v>5</v>
      </c>
      <c r="C33102" s="4" t="s">
        <v>7</v>
      </c>
      <c r="D33102" s="4" t="s">
        <v>11</v>
      </c>
    </row>
    <row r="33103" spans="1:9">
      <c r="A33103" t="n">
        <v>322884</v>
      </c>
      <c r="B33103" s="23" t="n">
        <v>58</v>
      </c>
      <c r="C33103" s="7" t="n">
        <v>255</v>
      </c>
      <c r="D33103" s="7" t="n">
        <v>0</v>
      </c>
    </row>
    <row r="33104" spans="1:9">
      <c r="A33104" t="s">
        <v>4</v>
      </c>
      <c r="B33104" s="4" t="s">
        <v>5</v>
      </c>
      <c r="C33104" s="4" t="s">
        <v>11</v>
      </c>
    </row>
    <row r="33105" spans="1:9">
      <c r="A33105" t="n">
        <v>322888</v>
      </c>
      <c r="B33105" s="29" t="n">
        <v>16</v>
      </c>
      <c r="C33105" s="7" t="n">
        <v>1500</v>
      </c>
    </row>
    <row r="33106" spans="1:9">
      <c r="A33106" t="s">
        <v>4</v>
      </c>
      <c r="B33106" s="4" t="s">
        <v>5</v>
      </c>
      <c r="C33106" s="4" t="s">
        <v>11</v>
      </c>
      <c r="D33106" s="4" t="s">
        <v>7</v>
      </c>
      <c r="E33106" s="4" t="s">
        <v>13</v>
      </c>
      <c r="F33106" s="4" t="s">
        <v>11</v>
      </c>
    </row>
    <row r="33107" spans="1:9">
      <c r="A33107" t="n">
        <v>322891</v>
      </c>
      <c r="B33107" s="56" t="n">
        <v>59</v>
      </c>
      <c r="C33107" s="7" t="n">
        <v>18</v>
      </c>
      <c r="D33107" s="7" t="n">
        <v>9</v>
      </c>
      <c r="E33107" s="7" t="n">
        <v>0.150000005960464</v>
      </c>
      <c r="F33107" s="7" t="n">
        <v>0</v>
      </c>
    </row>
    <row r="33108" spans="1:9">
      <c r="A33108" t="s">
        <v>4</v>
      </c>
      <c r="B33108" s="4" t="s">
        <v>5</v>
      </c>
      <c r="C33108" s="4" t="s">
        <v>11</v>
      </c>
      <c r="D33108" s="4" t="s">
        <v>13</v>
      </c>
      <c r="E33108" s="4" t="s">
        <v>13</v>
      </c>
      <c r="F33108" s="4" t="s">
        <v>13</v>
      </c>
      <c r="G33108" s="4" t="s">
        <v>11</v>
      </c>
      <c r="H33108" s="4" t="s">
        <v>11</v>
      </c>
    </row>
    <row r="33109" spans="1:9">
      <c r="A33109" t="n">
        <v>322901</v>
      </c>
      <c r="B33109" s="37" t="n">
        <v>60</v>
      </c>
      <c r="C33109" s="7" t="n">
        <v>18</v>
      </c>
      <c r="D33109" s="7" t="n">
        <v>-45</v>
      </c>
      <c r="E33109" s="7" t="n">
        <v>0</v>
      </c>
      <c r="F33109" s="7" t="n">
        <v>0</v>
      </c>
      <c r="G33109" s="7" t="n">
        <v>1000</v>
      </c>
      <c r="H33109" s="7" t="n">
        <v>0</v>
      </c>
    </row>
    <row r="33110" spans="1:9">
      <c r="A33110" t="s">
        <v>4</v>
      </c>
      <c r="B33110" s="4" t="s">
        <v>5</v>
      </c>
      <c r="C33110" s="4" t="s">
        <v>11</v>
      </c>
    </row>
    <row r="33111" spans="1:9">
      <c r="A33111" t="n">
        <v>322920</v>
      </c>
      <c r="B33111" s="29" t="n">
        <v>16</v>
      </c>
      <c r="C33111" s="7" t="n">
        <v>1000</v>
      </c>
    </row>
    <row r="33112" spans="1:9">
      <c r="A33112" t="s">
        <v>4</v>
      </c>
      <c r="B33112" s="4" t="s">
        <v>5</v>
      </c>
      <c r="C33112" s="4" t="s">
        <v>11</v>
      </c>
      <c r="D33112" s="4" t="s">
        <v>13</v>
      </c>
      <c r="E33112" s="4" t="s">
        <v>13</v>
      </c>
      <c r="F33112" s="4" t="s">
        <v>13</v>
      </c>
      <c r="G33112" s="4" t="s">
        <v>11</v>
      </c>
      <c r="H33112" s="4" t="s">
        <v>11</v>
      </c>
    </row>
    <row r="33113" spans="1:9">
      <c r="A33113" t="n">
        <v>322923</v>
      </c>
      <c r="B33113" s="37" t="n">
        <v>60</v>
      </c>
      <c r="C33113" s="7" t="n">
        <v>18</v>
      </c>
      <c r="D33113" s="7" t="n">
        <v>45</v>
      </c>
      <c r="E33113" s="7" t="n">
        <v>0</v>
      </c>
      <c r="F33113" s="7" t="n">
        <v>0</v>
      </c>
      <c r="G33113" s="7" t="n">
        <v>1000</v>
      </c>
      <c r="H33113" s="7" t="n">
        <v>0</v>
      </c>
    </row>
    <row r="33114" spans="1:9">
      <c r="A33114" t="s">
        <v>4</v>
      </c>
      <c r="B33114" s="4" t="s">
        <v>5</v>
      </c>
      <c r="C33114" s="4" t="s">
        <v>11</v>
      </c>
    </row>
    <row r="33115" spans="1:9">
      <c r="A33115" t="n">
        <v>322942</v>
      </c>
      <c r="B33115" s="29" t="n">
        <v>16</v>
      </c>
      <c r="C33115" s="7" t="n">
        <v>1000</v>
      </c>
    </row>
    <row r="33116" spans="1:9">
      <c r="A33116" t="s">
        <v>4</v>
      </c>
      <c r="B33116" s="4" t="s">
        <v>5</v>
      </c>
      <c r="C33116" s="4" t="s">
        <v>11</v>
      </c>
      <c r="D33116" s="4" t="s">
        <v>13</v>
      </c>
      <c r="E33116" s="4" t="s">
        <v>13</v>
      </c>
      <c r="F33116" s="4" t="s">
        <v>13</v>
      </c>
      <c r="G33116" s="4" t="s">
        <v>11</v>
      </c>
      <c r="H33116" s="4" t="s">
        <v>11</v>
      </c>
    </row>
    <row r="33117" spans="1:9">
      <c r="A33117" t="n">
        <v>322945</v>
      </c>
      <c r="B33117" s="37" t="n">
        <v>60</v>
      </c>
      <c r="C33117" s="7" t="n">
        <v>18</v>
      </c>
      <c r="D33117" s="7" t="n">
        <v>0</v>
      </c>
      <c r="E33117" s="7" t="n">
        <v>0</v>
      </c>
      <c r="F33117" s="7" t="n">
        <v>0</v>
      </c>
      <c r="G33117" s="7" t="n">
        <v>500</v>
      </c>
      <c r="H33117" s="7" t="n">
        <v>0</v>
      </c>
    </row>
    <row r="33118" spans="1:9">
      <c r="A33118" t="s">
        <v>4</v>
      </c>
      <c r="B33118" s="4" t="s">
        <v>5</v>
      </c>
      <c r="C33118" s="4" t="s">
        <v>11</v>
      </c>
    </row>
    <row r="33119" spans="1:9">
      <c r="A33119" t="n">
        <v>322964</v>
      </c>
      <c r="B33119" s="29" t="n">
        <v>16</v>
      </c>
      <c r="C33119" s="7" t="n">
        <v>1000</v>
      </c>
    </row>
    <row r="33120" spans="1:9">
      <c r="A33120" t="s">
        <v>4</v>
      </c>
      <c r="B33120" s="4" t="s">
        <v>5</v>
      </c>
      <c r="C33120" s="4" t="s">
        <v>7</v>
      </c>
      <c r="D33120" s="4" t="s">
        <v>11</v>
      </c>
    </row>
    <row r="33121" spans="1:8">
      <c r="A33121" t="n">
        <v>322967</v>
      </c>
      <c r="B33121" s="51" t="n">
        <v>45</v>
      </c>
      <c r="C33121" s="7" t="n">
        <v>7</v>
      </c>
      <c r="D33121" s="7" t="n">
        <v>255</v>
      </c>
    </row>
    <row r="33122" spans="1:8">
      <c r="A33122" t="s">
        <v>4</v>
      </c>
      <c r="B33122" s="4" t="s">
        <v>5</v>
      </c>
      <c r="C33122" s="4" t="s">
        <v>7</v>
      </c>
      <c r="D33122" s="4" t="s">
        <v>11</v>
      </c>
      <c r="E33122" s="4" t="s">
        <v>13</v>
      </c>
    </row>
    <row r="33123" spans="1:8">
      <c r="A33123" t="n">
        <v>322971</v>
      </c>
      <c r="B33123" s="23" t="n">
        <v>58</v>
      </c>
      <c r="C33123" s="7" t="n">
        <v>0</v>
      </c>
      <c r="D33123" s="7" t="n">
        <v>1000</v>
      </c>
      <c r="E33123" s="7" t="n">
        <v>1</v>
      </c>
    </row>
    <row r="33124" spans="1:8">
      <c r="A33124" t="s">
        <v>4</v>
      </c>
      <c r="B33124" s="4" t="s">
        <v>5</v>
      </c>
      <c r="C33124" s="4" t="s">
        <v>7</v>
      </c>
      <c r="D33124" s="4" t="s">
        <v>11</v>
      </c>
    </row>
    <row r="33125" spans="1:8">
      <c r="A33125" t="n">
        <v>322979</v>
      </c>
      <c r="B33125" s="23" t="n">
        <v>58</v>
      </c>
      <c r="C33125" s="7" t="n">
        <v>255</v>
      </c>
      <c r="D33125" s="7" t="n">
        <v>0</v>
      </c>
    </row>
    <row r="33126" spans="1:8">
      <c r="A33126" t="s">
        <v>4</v>
      </c>
      <c r="B33126" s="4" t="s">
        <v>5</v>
      </c>
      <c r="C33126" s="4" t="s">
        <v>11</v>
      </c>
      <c r="D33126" s="4" t="s">
        <v>11</v>
      </c>
      <c r="E33126" s="4" t="s">
        <v>11</v>
      </c>
    </row>
    <row r="33127" spans="1:8">
      <c r="A33127" t="n">
        <v>322983</v>
      </c>
      <c r="B33127" s="72" t="n">
        <v>61</v>
      </c>
      <c r="C33127" s="7" t="n">
        <v>0</v>
      </c>
      <c r="D33127" s="7" t="n">
        <v>65533</v>
      </c>
      <c r="E33127" s="7" t="n">
        <v>1000</v>
      </c>
    </row>
    <row r="33128" spans="1:8">
      <c r="A33128" t="s">
        <v>4</v>
      </c>
      <c r="B33128" s="4" t="s">
        <v>5</v>
      </c>
      <c r="C33128" s="4" t="s">
        <v>11</v>
      </c>
      <c r="D33128" s="4" t="s">
        <v>11</v>
      </c>
      <c r="E33128" s="4" t="s">
        <v>11</v>
      </c>
    </row>
    <row r="33129" spans="1:8">
      <c r="A33129" t="n">
        <v>322990</v>
      </c>
      <c r="B33129" s="72" t="n">
        <v>61</v>
      </c>
      <c r="C33129" s="7" t="n">
        <v>18</v>
      </c>
      <c r="D33129" s="7" t="n">
        <v>65533</v>
      </c>
      <c r="E33129" s="7" t="n">
        <v>1000</v>
      </c>
    </row>
    <row r="33130" spans="1:8">
      <c r="A33130" t="s">
        <v>4</v>
      </c>
      <c r="B33130" s="4" t="s">
        <v>5</v>
      </c>
      <c r="C33130" s="4" t="s">
        <v>11</v>
      </c>
      <c r="D33130" s="4" t="s">
        <v>13</v>
      </c>
      <c r="E33130" s="4" t="s">
        <v>13</v>
      </c>
      <c r="F33130" s="4" t="s">
        <v>13</v>
      </c>
      <c r="G33130" s="4" t="s">
        <v>13</v>
      </c>
    </row>
    <row r="33131" spans="1:8">
      <c r="A33131" t="n">
        <v>322997</v>
      </c>
      <c r="B33131" s="36" t="n">
        <v>46</v>
      </c>
      <c r="C33131" s="7" t="n">
        <v>0</v>
      </c>
      <c r="D33131" s="7" t="n">
        <v>-2.66000008583069</v>
      </c>
      <c r="E33131" s="7" t="n">
        <v>5.01000022888184</v>
      </c>
      <c r="F33131" s="7" t="n">
        <v>32.189998626709</v>
      </c>
      <c r="G33131" s="7" t="n">
        <v>90</v>
      </c>
    </row>
    <row r="33132" spans="1:8">
      <c r="A33132" t="s">
        <v>4</v>
      </c>
      <c r="B33132" s="4" t="s">
        <v>5</v>
      </c>
      <c r="C33132" s="4" t="s">
        <v>11</v>
      </c>
      <c r="D33132" s="4" t="s">
        <v>13</v>
      </c>
      <c r="E33132" s="4" t="s">
        <v>13</v>
      </c>
      <c r="F33132" s="4" t="s">
        <v>13</v>
      </c>
      <c r="G33132" s="4" t="s">
        <v>13</v>
      </c>
    </row>
    <row r="33133" spans="1:8">
      <c r="A33133" t="n">
        <v>323016</v>
      </c>
      <c r="B33133" s="36" t="n">
        <v>46</v>
      </c>
      <c r="C33133" s="7" t="n">
        <v>18</v>
      </c>
      <c r="D33133" s="7" t="n">
        <v>-3.16000008583069</v>
      </c>
      <c r="E33133" s="7" t="n">
        <v>5.01000022888184</v>
      </c>
      <c r="F33133" s="7" t="n">
        <v>31.7900009155273</v>
      </c>
      <c r="G33133" s="7" t="n">
        <v>90</v>
      </c>
    </row>
    <row r="33134" spans="1:8">
      <c r="A33134" t="s">
        <v>4</v>
      </c>
      <c r="B33134" s="4" t="s">
        <v>5</v>
      </c>
      <c r="C33134" s="4" t="s">
        <v>7</v>
      </c>
      <c r="D33134" s="4" t="s">
        <v>7</v>
      </c>
      <c r="E33134" s="4" t="s">
        <v>13</v>
      </c>
      <c r="F33134" s="4" t="s">
        <v>13</v>
      </c>
      <c r="G33134" s="4" t="s">
        <v>13</v>
      </c>
      <c r="H33134" s="4" t="s">
        <v>11</v>
      </c>
    </row>
    <row r="33135" spans="1:8">
      <c r="A33135" t="n">
        <v>323035</v>
      </c>
      <c r="B33135" s="51" t="n">
        <v>45</v>
      </c>
      <c r="C33135" s="7" t="n">
        <v>2</v>
      </c>
      <c r="D33135" s="7" t="n">
        <v>3</v>
      </c>
      <c r="E33135" s="7" t="n">
        <v>6.82000017166138</v>
      </c>
      <c r="F33135" s="7" t="n">
        <v>6.17999982833862</v>
      </c>
      <c r="G33135" s="7" t="n">
        <v>32.2799987792969</v>
      </c>
      <c r="H33135" s="7" t="n">
        <v>0</v>
      </c>
    </row>
    <row r="33136" spans="1:8">
      <c r="A33136" t="s">
        <v>4</v>
      </c>
      <c r="B33136" s="4" t="s">
        <v>5</v>
      </c>
      <c r="C33136" s="4" t="s">
        <v>7</v>
      </c>
      <c r="D33136" s="4" t="s">
        <v>7</v>
      </c>
      <c r="E33136" s="4" t="s">
        <v>13</v>
      </c>
      <c r="F33136" s="4" t="s">
        <v>13</v>
      </c>
      <c r="G33136" s="4" t="s">
        <v>13</v>
      </c>
      <c r="H33136" s="4" t="s">
        <v>11</v>
      </c>
      <c r="I33136" s="4" t="s">
        <v>7</v>
      </c>
    </row>
    <row r="33137" spans="1:9">
      <c r="A33137" t="n">
        <v>323052</v>
      </c>
      <c r="B33137" s="51" t="n">
        <v>45</v>
      </c>
      <c r="C33137" s="7" t="n">
        <v>4</v>
      </c>
      <c r="D33137" s="7" t="n">
        <v>3</v>
      </c>
      <c r="E33137" s="7" t="n">
        <v>358.239990234375</v>
      </c>
      <c r="F33137" s="7" t="n">
        <v>344.200012207031</v>
      </c>
      <c r="G33137" s="7" t="n">
        <v>0</v>
      </c>
      <c r="H33137" s="7" t="n">
        <v>0</v>
      </c>
      <c r="I33137" s="7" t="n">
        <v>0</v>
      </c>
    </row>
    <row r="33138" spans="1:9">
      <c r="A33138" t="s">
        <v>4</v>
      </c>
      <c r="B33138" s="4" t="s">
        <v>5</v>
      </c>
      <c r="C33138" s="4" t="s">
        <v>7</v>
      </c>
      <c r="D33138" s="4" t="s">
        <v>7</v>
      </c>
      <c r="E33138" s="4" t="s">
        <v>13</v>
      </c>
      <c r="F33138" s="4" t="s">
        <v>11</v>
      </c>
    </row>
    <row r="33139" spans="1:9">
      <c r="A33139" t="n">
        <v>323070</v>
      </c>
      <c r="B33139" s="51" t="n">
        <v>45</v>
      </c>
      <c r="C33139" s="7" t="n">
        <v>5</v>
      </c>
      <c r="D33139" s="7" t="n">
        <v>3</v>
      </c>
      <c r="E33139" s="7" t="n">
        <v>3.40000009536743</v>
      </c>
      <c r="F33139" s="7" t="n">
        <v>0</v>
      </c>
    </row>
    <row r="33140" spans="1:9">
      <c r="A33140" t="s">
        <v>4</v>
      </c>
      <c r="B33140" s="4" t="s">
        <v>5</v>
      </c>
      <c r="C33140" s="4" t="s">
        <v>7</v>
      </c>
      <c r="D33140" s="4" t="s">
        <v>7</v>
      </c>
      <c r="E33140" s="4" t="s">
        <v>13</v>
      </c>
      <c r="F33140" s="4" t="s">
        <v>11</v>
      </c>
    </row>
    <row r="33141" spans="1:9">
      <c r="A33141" t="n">
        <v>323079</v>
      </c>
      <c r="B33141" s="51" t="n">
        <v>45</v>
      </c>
      <c r="C33141" s="7" t="n">
        <v>11</v>
      </c>
      <c r="D33141" s="7" t="n">
        <v>3</v>
      </c>
      <c r="E33141" s="7" t="n">
        <v>40.2999992370605</v>
      </c>
      <c r="F33141" s="7" t="n">
        <v>0</v>
      </c>
    </row>
    <row r="33142" spans="1:9">
      <c r="A33142" t="s">
        <v>4</v>
      </c>
      <c r="B33142" s="4" t="s">
        <v>5</v>
      </c>
      <c r="C33142" s="4" t="s">
        <v>7</v>
      </c>
      <c r="D33142" s="4" t="s">
        <v>7</v>
      </c>
      <c r="E33142" s="4" t="s">
        <v>13</v>
      </c>
      <c r="F33142" s="4" t="s">
        <v>13</v>
      </c>
      <c r="G33142" s="4" t="s">
        <v>13</v>
      </c>
      <c r="H33142" s="4" t="s">
        <v>11</v>
      </c>
    </row>
    <row r="33143" spans="1:9">
      <c r="A33143" t="n">
        <v>323088</v>
      </c>
      <c r="B33143" s="51" t="n">
        <v>45</v>
      </c>
      <c r="C33143" s="7" t="n">
        <v>2</v>
      </c>
      <c r="D33143" s="7" t="n">
        <v>3</v>
      </c>
      <c r="E33143" s="7" t="n">
        <v>-2.55999994277954</v>
      </c>
      <c r="F33143" s="7" t="n">
        <v>6.17999982833862</v>
      </c>
      <c r="G33143" s="7" t="n">
        <v>32.1800003051758</v>
      </c>
      <c r="H33143" s="7" t="n">
        <v>6000</v>
      </c>
    </row>
    <row r="33144" spans="1:9">
      <c r="A33144" t="s">
        <v>4</v>
      </c>
      <c r="B33144" s="4" t="s">
        <v>5</v>
      </c>
      <c r="C33144" s="4" t="s">
        <v>7</v>
      </c>
      <c r="D33144" s="4" t="s">
        <v>7</v>
      </c>
      <c r="E33144" s="4" t="s">
        <v>13</v>
      </c>
      <c r="F33144" s="4" t="s">
        <v>13</v>
      </c>
      <c r="G33144" s="4" t="s">
        <v>13</v>
      </c>
      <c r="H33144" s="4" t="s">
        <v>11</v>
      </c>
      <c r="I33144" s="4" t="s">
        <v>7</v>
      </c>
    </row>
    <row r="33145" spans="1:9">
      <c r="A33145" t="n">
        <v>323105</v>
      </c>
      <c r="B33145" s="51" t="n">
        <v>45</v>
      </c>
      <c r="C33145" s="7" t="n">
        <v>4</v>
      </c>
      <c r="D33145" s="7" t="n">
        <v>3</v>
      </c>
      <c r="E33145" s="7" t="n">
        <v>12.2700004577637</v>
      </c>
      <c r="F33145" s="7" t="n">
        <v>75.7099990844727</v>
      </c>
      <c r="G33145" s="7" t="n">
        <v>0</v>
      </c>
      <c r="H33145" s="7" t="n">
        <v>6000</v>
      </c>
      <c r="I33145" s="7" t="n">
        <v>1</v>
      </c>
    </row>
    <row r="33146" spans="1:9">
      <c r="A33146" t="s">
        <v>4</v>
      </c>
      <c r="B33146" s="4" t="s">
        <v>5</v>
      </c>
      <c r="C33146" s="4" t="s">
        <v>7</v>
      </c>
      <c r="D33146" s="4" t="s">
        <v>7</v>
      </c>
      <c r="E33146" s="4" t="s">
        <v>13</v>
      </c>
      <c r="F33146" s="4" t="s">
        <v>11</v>
      </c>
    </row>
    <row r="33147" spans="1:9">
      <c r="A33147" t="n">
        <v>323123</v>
      </c>
      <c r="B33147" s="51" t="n">
        <v>45</v>
      </c>
      <c r="C33147" s="7" t="n">
        <v>5</v>
      </c>
      <c r="D33147" s="7" t="n">
        <v>3</v>
      </c>
      <c r="E33147" s="7" t="n">
        <v>2.70000004768372</v>
      </c>
      <c r="F33147" s="7" t="n">
        <v>6000</v>
      </c>
    </row>
    <row r="33148" spans="1:9">
      <c r="A33148" t="s">
        <v>4</v>
      </c>
      <c r="B33148" s="4" t="s">
        <v>5</v>
      </c>
      <c r="C33148" s="4" t="s">
        <v>7</v>
      </c>
      <c r="D33148" s="4" t="s">
        <v>11</v>
      </c>
      <c r="E33148" s="4" t="s">
        <v>13</v>
      </c>
    </row>
    <row r="33149" spans="1:9">
      <c r="A33149" t="n">
        <v>323132</v>
      </c>
      <c r="B33149" s="23" t="n">
        <v>58</v>
      </c>
      <c r="C33149" s="7" t="n">
        <v>100</v>
      </c>
      <c r="D33149" s="7" t="n">
        <v>1000</v>
      </c>
      <c r="E33149" s="7" t="n">
        <v>1</v>
      </c>
    </row>
    <row r="33150" spans="1:9">
      <c r="A33150" t="s">
        <v>4</v>
      </c>
      <c r="B33150" s="4" t="s">
        <v>5</v>
      </c>
      <c r="C33150" s="4" t="s">
        <v>7</v>
      </c>
      <c r="D33150" s="4" t="s">
        <v>11</v>
      </c>
    </row>
    <row r="33151" spans="1:9">
      <c r="A33151" t="n">
        <v>323140</v>
      </c>
      <c r="B33151" s="23" t="n">
        <v>58</v>
      </c>
      <c r="C33151" s="7" t="n">
        <v>255</v>
      </c>
      <c r="D33151" s="7" t="n">
        <v>0</v>
      </c>
    </row>
    <row r="33152" spans="1:9">
      <c r="A33152" t="s">
        <v>4</v>
      </c>
      <c r="B33152" s="4" t="s">
        <v>5</v>
      </c>
      <c r="C33152" s="4" t="s">
        <v>8</v>
      </c>
      <c r="D33152" s="4" t="s">
        <v>8</v>
      </c>
    </row>
    <row r="33153" spans="1:9">
      <c r="A33153" t="n">
        <v>323144</v>
      </c>
      <c r="B33153" s="52" t="n">
        <v>70</v>
      </c>
      <c r="C33153" s="7" t="s">
        <v>24</v>
      </c>
      <c r="D33153" s="7" t="s">
        <v>109</v>
      </c>
    </row>
    <row r="33154" spans="1:9">
      <c r="A33154" t="s">
        <v>4</v>
      </c>
      <c r="B33154" s="4" t="s">
        <v>5</v>
      </c>
      <c r="C33154" s="4" t="s">
        <v>11</v>
      </c>
    </row>
    <row r="33155" spans="1:9">
      <c r="A33155" t="n">
        <v>323161</v>
      </c>
      <c r="B33155" s="29" t="n">
        <v>16</v>
      </c>
      <c r="C33155" s="7" t="n">
        <v>4000</v>
      </c>
    </row>
    <row r="33156" spans="1:9">
      <c r="A33156" t="s">
        <v>4</v>
      </c>
      <c r="B33156" s="4" t="s">
        <v>5</v>
      </c>
      <c r="C33156" s="4" t="s">
        <v>11</v>
      </c>
      <c r="D33156" s="4" t="s">
        <v>7</v>
      </c>
      <c r="E33156" s="4" t="s">
        <v>13</v>
      </c>
      <c r="F33156" s="4" t="s">
        <v>11</v>
      </c>
    </row>
    <row r="33157" spans="1:9">
      <c r="A33157" t="n">
        <v>323164</v>
      </c>
      <c r="B33157" s="56" t="n">
        <v>59</v>
      </c>
      <c r="C33157" s="7" t="n">
        <v>0</v>
      </c>
      <c r="D33157" s="7" t="n">
        <v>9</v>
      </c>
      <c r="E33157" s="7" t="n">
        <v>0.150000005960464</v>
      </c>
      <c r="F33157" s="7" t="n">
        <v>0</v>
      </c>
    </row>
    <row r="33158" spans="1:9">
      <c r="A33158" t="s">
        <v>4</v>
      </c>
      <c r="B33158" s="4" t="s">
        <v>5</v>
      </c>
      <c r="C33158" s="4" t="s">
        <v>11</v>
      </c>
    </row>
    <row r="33159" spans="1:9">
      <c r="A33159" t="n">
        <v>323174</v>
      </c>
      <c r="B33159" s="29" t="n">
        <v>16</v>
      </c>
      <c r="C33159" s="7" t="n">
        <v>1800</v>
      </c>
    </row>
    <row r="33160" spans="1:9">
      <c r="A33160" t="s">
        <v>4</v>
      </c>
      <c r="B33160" s="4" t="s">
        <v>5</v>
      </c>
      <c r="C33160" s="4" t="s">
        <v>7</v>
      </c>
      <c r="D33160" s="4" t="s">
        <v>11</v>
      </c>
    </row>
    <row r="33161" spans="1:9">
      <c r="A33161" t="n">
        <v>323177</v>
      </c>
      <c r="B33161" s="51" t="n">
        <v>45</v>
      </c>
      <c r="C33161" s="7" t="n">
        <v>7</v>
      </c>
      <c r="D33161" s="7" t="n">
        <v>255</v>
      </c>
    </row>
    <row r="33162" spans="1:9">
      <c r="A33162" t="s">
        <v>4</v>
      </c>
      <c r="B33162" s="4" t="s">
        <v>5</v>
      </c>
      <c r="C33162" s="4" t="s">
        <v>7</v>
      </c>
      <c r="D33162" s="4" t="s">
        <v>11</v>
      </c>
      <c r="E33162" s="4" t="s">
        <v>13</v>
      </c>
    </row>
    <row r="33163" spans="1:9">
      <c r="A33163" t="n">
        <v>323181</v>
      </c>
      <c r="B33163" s="23" t="n">
        <v>58</v>
      </c>
      <c r="C33163" s="7" t="n">
        <v>0</v>
      </c>
      <c r="D33163" s="7" t="n">
        <v>1000</v>
      </c>
      <c r="E33163" s="7" t="n">
        <v>1</v>
      </c>
    </row>
    <row r="33164" spans="1:9">
      <c r="A33164" t="s">
        <v>4</v>
      </c>
      <c r="B33164" s="4" t="s">
        <v>5</v>
      </c>
      <c r="C33164" s="4" t="s">
        <v>7</v>
      </c>
      <c r="D33164" s="4" t="s">
        <v>11</v>
      </c>
    </row>
    <row r="33165" spans="1:9">
      <c r="A33165" t="n">
        <v>323189</v>
      </c>
      <c r="B33165" s="23" t="n">
        <v>58</v>
      </c>
      <c r="C33165" s="7" t="n">
        <v>255</v>
      </c>
      <c r="D33165" s="7" t="n">
        <v>0</v>
      </c>
    </row>
    <row r="33166" spans="1:9">
      <c r="A33166" t="s">
        <v>4</v>
      </c>
      <c r="B33166" s="4" t="s">
        <v>5</v>
      </c>
      <c r="C33166" s="4" t="s">
        <v>8</v>
      </c>
      <c r="D33166" s="4" t="s">
        <v>8</v>
      </c>
    </row>
    <row r="33167" spans="1:9">
      <c r="A33167" t="n">
        <v>323193</v>
      </c>
      <c r="B33167" s="52" t="n">
        <v>70</v>
      </c>
      <c r="C33167" s="7" t="s">
        <v>24</v>
      </c>
      <c r="D33167" s="7" t="s">
        <v>118</v>
      </c>
    </row>
    <row r="33168" spans="1:9">
      <c r="A33168" t="s">
        <v>4</v>
      </c>
      <c r="B33168" s="4" t="s">
        <v>5</v>
      </c>
      <c r="C33168" s="4" t="s">
        <v>11</v>
      </c>
      <c r="D33168" s="4" t="s">
        <v>13</v>
      </c>
      <c r="E33168" s="4" t="s">
        <v>13</v>
      </c>
      <c r="F33168" s="4" t="s">
        <v>13</v>
      </c>
      <c r="G33168" s="4" t="s">
        <v>13</v>
      </c>
    </row>
    <row r="33169" spans="1:7">
      <c r="A33169" t="n">
        <v>323209</v>
      </c>
      <c r="B33169" s="36" t="n">
        <v>46</v>
      </c>
      <c r="C33169" s="7" t="n">
        <v>0</v>
      </c>
      <c r="D33169" s="7" t="n">
        <v>-10.9899997711182</v>
      </c>
      <c r="E33169" s="7" t="n">
        <v>5.01000022888184</v>
      </c>
      <c r="F33169" s="7" t="n">
        <v>32.4300003051758</v>
      </c>
      <c r="G33169" s="7" t="n">
        <v>270</v>
      </c>
    </row>
    <row r="33170" spans="1:7">
      <c r="A33170" t="s">
        <v>4</v>
      </c>
      <c r="B33170" s="4" t="s">
        <v>5</v>
      </c>
      <c r="C33170" s="4" t="s">
        <v>11</v>
      </c>
      <c r="D33170" s="4" t="s">
        <v>13</v>
      </c>
      <c r="E33170" s="4" t="s">
        <v>13</v>
      </c>
      <c r="F33170" s="4" t="s">
        <v>13</v>
      </c>
      <c r="G33170" s="4" t="s">
        <v>13</v>
      </c>
    </row>
    <row r="33171" spans="1:7">
      <c r="A33171" t="n">
        <v>323228</v>
      </c>
      <c r="B33171" s="36" t="n">
        <v>46</v>
      </c>
      <c r="C33171" s="7" t="n">
        <v>18</v>
      </c>
      <c r="D33171" s="7" t="n">
        <v>-10.5500001907349</v>
      </c>
      <c r="E33171" s="7" t="n">
        <v>5.01000022888184</v>
      </c>
      <c r="F33171" s="7" t="n">
        <v>31.5499992370605</v>
      </c>
      <c r="G33171" s="7" t="n">
        <v>270</v>
      </c>
    </row>
    <row r="33172" spans="1:7">
      <c r="A33172" t="s">
        <v>4</v>
      </c>
      <c r="B33172" s="4" t="s">
        <v>5</v>
      </c>
      <c r="C33172" s="4" t="s">
        <v>7</v>
      </c>
      <c r="D33172" s="4" t="s">
        <v>7</v>
      </c>
      <c r="E33172" s="4" t="s">
        <v>13</v>
      </c>
      <c r="F33172" s="4" t="s">
        <v>13</v>
      </c>
      <c r="G33172" s="4" t="s">
        <v>13</v>
      </c>
      <c r="H33172" s="4" t="s">
        <v>11</v>
      </c>
    </row>
    <row r="33173" spans="1:7">
      <c r="A33173" t="n">
        <v>323247</v>
      </c>
      <c r="B33173" s="51" t="n">
        <v>45</v>
      </c>
      <c r="C33173" s="7" t="n">
        <v>2</v>
      </c>
      <c r="D33173" s="7" t="n">
        <v>3</v>
      </c>
      <c r="E33173" s="7" t="n">
        <v>-14.1199998855591</v>
      </c>
      <c r="F33173" s="7" t="n">
        <v>6.75</v>
      </c>
      <c r="G33173" s="7" t="n">
        <v>31.9300003051758</v>
      </c>
      <c r="H33173" s="7" t="n">
        <v>0</v>
      </c>
    </row>
    <row r="33174" spans="1:7">
      <c r="A33174" t="s">
        <v>4</v>
      </c>
      <c r="B33174" s="4" t="s">
        <v>5</v>
      </c>
      <c r="C33174" s="4" t="s">
        <v>7</v>
      </c>
      <c r="D33174" s="4" t="s">
        <v>7</v>
      </c>
      <c r="E33174" s="4" t="s">
        <v>13</v>
      </c>
      <c r="F33174" s="4" t="s">
        <v>13</v>
      </c>
      <c r="G33174" s="4" t="s">
        <v>13</v>
      </c>
      <c r="H33174" s="4" t="s">
        <v>11</v>
      </c>
      <c r="I33174" s="4" t="s">
        <v>7</v>
      </c>
    </row>
    <row r="33175" spans="1:7">
      <c r="A33175" t="n">
        <v>323264</v>
      </c>
      <c r="B33175" s="51" t="n">
        <v>45</v>
      </c>
      <c r="C33175" s="7" t="n">
        <v>4</v>
      </c>
      <c r="D33175" s="7" t="n">
        <v>3</v>
      </c>
      <c r="E33175" s="7" t="n">
        <v>7.63000011444092</v>
      </c>
      <c r="F33175" s="7" t="n">
        <v>90</v>
      </c>
      <c r="G33175" s="7" t="n">
        <v>0</v>
      </c>
      <c r="H33175" s="7" t="n">
        <v>0</v>
      </c>
      <c r="I33175" s="7" t="n">
        <v>0</v>
      </c>
    </row>
    <row r="33176" spans="1:7">
      <c r="A33176" t="s">
        <v>4</v>
      </c>
      <c r="B33176" s="4" t="s">
        <v>5</v>
      </c>
      <c r="C33176" s="4" t="s">
        <v>7</v>
      </c>
      <c r="D33176" s="4" t="s">
        <v>7</v>
      </c>
      <c r="E33176" s="4" t="s">
        <v>13</v>
      </c>
      <c r="F33176" s="4" t="s">
        <v>11</v>
      </c>
    </row>
    <row r="33177" spans="1:7">
      <c r="A33177" t="n">
        <v>323282</v>
      </c>
      <c r="B33177" s="51" t="n">
        <v>45</v>
      </c>
      <c r="C33177" s="7" t="n">
        <v>5</v>
      </c>
      <c r="D33177" s="7" t="n">
        <v>3</v>
      </c>
      <c r="E33177" s="7" t="n">
        <v>2.09999990463257</v>
      </c>
      <c r="F33177" s="7" t="n">
        <v>0</v>
      </c>
    </row>
    <row r="33178" spans="1:7">
      <c r="A33178" t="s">
        <v>4</v>
      </c>
      <c r="B33178" s="4" t="s">
        <v>5</v>
      </c>
      <c r="C33178" s="4" t="s">
        <v>7</v>
      </c>
      <c r="D33178" s="4" t="s">
        <v>7</v>
      </c>
      <c r="E33178" s="4" t="s">
        <v>13</v>
      </c>
      <c r="F33178" s="4" t="s">
        <v>11</v>
      </c>
    </row>
    <row r="33179" spans="1:7">
      <c r="A33179" t="n">
        <v>323291</v>
      </c>
      <c r="B33179" s="51" t="n">
        <v>45</v>
      </c>
      <c r="C33179" s="7" t="n">
        <v>11</v>
      </c>
      <c r="D33179" s="7" t="n">
        <v>3</v>
      </c>
      <c r="E33179" s="7" t="n">
        <v>40.2999992370605</v>
      </c>
      <c r="F33179" s="7" t="n">
        <v>0</v>
      </c>
    </row>
    <row r="33180" spans="1:7">
      <c r="A33180" t="s">
        <v>4</v>
      </c>
      <c r="B33180" s="4" t="s">
        <v>5</v>
      </c>
      <c r="C33180" s="4" t="s">
        <v>7</v>
      </c>
      <c r="D33180" s="4" t="s">
        <v>7</v>
      </c>
      <c r="E33180" s="4" t="s">
        <v>13</v>
      </c>
      <c r="F33180" s="4" t="s">
        <v>13</v>
      </c>
      <c r="G33180" s="4" t="s">
        <v>13</v>
      </c>
      <c r="H33180" s="4" t="s">
        <v>11</v>
      </c>
    </row>
    <row r="33181" spans="1:7">
      <c r="A33181" t="n">
        <v>323300</v>
      </c>
      <c r="B33181" s="51" t="n">
        <v>45</v>
      </c>
      <c r="C33181" s="7" t="n">
        <v>2</v>
      </c>
      <c r="D33181" s="7" t="n">
        <v>3</v>
      </c>
      <c r="E33181" s="7" t="n">
        <v>-9.10000038146973</v>
      </c>
      <c r="F33181" s="7" t="n">
        <v>6.75</v>
      </c>
      <c r="G33181" s="7" t="n">
        <v>31.9699993133545</v>
      </c>
      <c r="H33181" s="7" t="n">
        <v>6000</v>
      </c>
    </row>
    <row r="33182" spans="1:7">
      <c r="A33182" t="s">
        <v>4</v>
      </c>
      <c r="B33182" s="4" t="s">
        <v>5</v>
      </c>
      <c r="C33182" s="4" t="s">
        <v>7</v>
      </c>
      <c r="D33182" s="4" t="s">
        <v>7</v>
      </c>
      <c r="E33182" s="4" t="s">
        <v>13</v>
      </c>
      <c r="F33182" s="4" t="s">
        <v>13</v>
      </c>
      <c r="G33182" s="4" t="s">
        <v>13</v>
      </c>
      <c r="H33182" s="4" t="s">
        <v>11</v>
      </c>
      <c r="I33182" s="4" t="s">
        <v>7</v>
      </c>
    </row>
    <row r="33183" spans="1:7">
      <c r="A33183" t="n">
        <v>323317</v>
      </c>
      <c r="B33183" s="51" t="n">
        <v>45</v>
      </c>
      <c r="C33183" s="7" t="n">
        <v>4</v>
      </c>
      <c r="D33183" s="7" t="n">
        <v>3</v>
      </c>
      <c r="E33183" s="7" t="n">
        <v>0.0299999993294477</v>
      </c>
      <c r="F33183" s="7" t="n">
        <v>90</v>
      </c>
      <c r="G33183" s="7" t="n">
        <v>0</v>
      </c>
      <c r="H33183" s="7" t="n">
        <v>6000</v>
      </c>
      <c r="I33183" s="7" t="n">
        <v>0</v>
      </c>
    </row>
    <row r="33184" spans="1:7">
      <c r="A33184" t="s">
        <v>4</v>
      </c>
      <c r="B33184" s="4" t="s">
        <v>5</v>
      </c>
      <c r="C33184" s="4" t="s">
        <v>7</v>
      </c>
      <c r="D33184" s="4" t="s">
        <v>7</v>
      </c>
      <c r="E33184" s="4" t="s">
        <v>13</v>
      </c>
      <c r="F33184" s="4" t="s">
        <v>11</v>
      </c>
    </row>
    <row r="33185" spans="1:9">
      <c r="A33185" t="n">
        <v>323335</v>
      </c>
      <c r="B33185" s="51" t="n">
        <v>45</v>
      </c>
      <c r="C33185" s="7" t="n">
        <v>5</v>
      </c>
      <c r="D33185" s="7" t="n">
        <v>3</v>
      </c>
      <c r="E33185" s="7" t="n">
        <v>1.79999995231628</v>
      </c>
      <c r="F33185" s="7" t="n">
        <v>6000</v>
      </c>
    </row>
    <row r="33186" spans="1:9">
      <c r="A33186" t="s">
        <v>4</v>
      </c>
      <c r="B33186" s="4" t="s">
        <v>5</v>
      </c>
      <c r="C33186" s="4" t="s">
        <v>8</v>
      </c>
      <c r="D33186" s="4" t="s">
        <v>8</v>
      </c>
    </row>
    <row r="33187" spans="1:9">
      <c r="A33187" t="n">
        <v>323344</v>
      </c>
      <c r="B33187" s="52" t="n">
        <v>70</v>
      </c>
      <c r="C33187" s="7" t="s">
        <v>25</v>
      </c>
      <c r="D33187" s="7" t="s">
        <v>109</v>
      </c>
    </row>
    <row r="33188" spans="1:9">
      <c r="A33188" t="s">
        <v>4</v>
      </c>
      <c r="B33188" s="4" t="s">
        <v>5</v>
      </c>
      <c r="C33188" s="4" t="s">
        <v>7</v>
      </c>
      <c r="D33188" s="4" t="s">
        <v>11</v>
      </c>
      <c r="E33188" s="4" t="s">
        <v>13</v>
      </c>
    </row>
    <row r="33189" spans="1:9">
      <c r="A33189" t="n">
        <v>323361</v>
      </c>
      <c r="B33189" s="23" t="n">
        <v>58</v>
      </c>
      <c r="C33189" s="7" t="n">
        <v>100</v>
      </c>
      <c r="D33189" s="7" t="n">
        <v>1000</v>
      </c>
      <c r="E33189" s="7" t="n">
        <v>1</v>
      </c>
    </row>
    <row r="33190" spans="1:9">
      <c r="A33190" t="s">
        <v>4</v>
      </c>
      <c r="B33190" s="4" t="s">
        <v>5</v>
      </c>
      <c r="C33190" s="4" t="s">
        <v>7</v>
      </c>
      <c r="D33190" s="4" t="s">
        <v>11</v>
      </c>
    </row>
    <row r="33191" spans="1:9">
      <c r="A33191" t="n">
        <v>323369</v>
      </c>
      <c r="B33191" s="23" t="n">
        <v>58</v>
      </c>
      <c r="C33191" s="7" t="n">
        <v>255</v>
      </c>
      <c r="D33191" s="7" t="n">
        <v>0</v>
      </c>
    </row>
    <row r="33192" spans="1:9">
      <c r="A33192" t="s">
        <v>4</v>
      </c>
      <c r="B33192" s="4" t="s">
        <v>5</v>
      </c>
      <c r="C33192" s="4" t="s">
        <v>7</v>
      </c>
      <c r="D33192" s="4" t="s">
        <v>8</v>
      </c>
      <c r="E33192" s="4" t="s">
        <v>11</v>
      </c>
    </row>
    <row r="33193" spans="1:9">
      <c r="A33193" t="n">
        <v>323373</v>
      </c>
      <c r="B33193" s="15" t="n">
        <v>94</v>
      </c>
      <c r="C33193" s="7" t="n">
        <v>1</v>
      </c>
      <c r="D33193" s="7" t="s">
        <v>25</v>
      </c>
      <c r="E33193" s="7" t="n">
        <v>512</v>
      </c>
    </row>
    <row r="33194" spans="1:9">
      <c r="A33194" t="s">
        <v>4</v>
      </c>
      <c r="B33194" s="4" t="s">
        <v>5</v>
      </c>
      <c r="C33194" s="4" t="s">
        <v>11</v>
      </c>
    </row>
    <row r="33195" spans="1:9">
      <c r="A33195" t="n">
        <v>323387</v>
      </c>
      <c r="B33195" s="29" t="n">
        <v>16</v>
      </c>
      <c r="C33195" s="7" t="n">
        <v>4000</v>
      </c>
    </row>
    <row r="33196" spans="1:9">
      <c r="A33196" t="s">
        <v>4</v>
      </c>
      <c r="B33196" s="4" t="s">
        <v>5</v>
      </c>
      <c r="C33196" s="4" t="s">
        <v>11</v>
      </c>
      <c r="D33196" s="4" t="s">
        <v>7</v>
      </c>
      <c r="E33196" s="4" t="s">
        <v>13</v>
      </c>
      <c r="F33196" s="4" t="s">
        <v>11</v>
      </c>
    </row>
    <row r="33197" spans="1:9">
      <c r="A33197" t="n">
        <v>323390</v>
      </c>
      <c r="B33197" s="56" t="n">
        <v>59</v>
      </c>
      <c r="C33197" s="7" t="n">
        <v>0</v>
      </c>
      <c r="D33197" s="7" t="n">
        <v>9</v>
      </c>
      <c r="E33197" s="7" t="n">
        <v>0.150000005960464</v>
      </c>
      <c r="F33197" s="7" t="n">
        <v>0</v>
      </c>
    </row>
    <row r="33198" spans="1:9">
      <c r="A33198" t="s">
        <v>4</v>
      </c>
      <c r="B33198" s="4" t="s">
        <v>5</v>
      </c>
      <c r="C33198" s="4" t="s">
        <v>11</v>
      </c>
      <c r="D33198" s="4" t="s">
        <v>7</v>
      </c>
      <c r="E33198" s="4" t="s">
        <v>13</v>
      </c>
      <c r="F33198" s="4" t="s">
        <v>11</v>
      </c>
    </row>
    <row r="33199" spans="1:9">
      <c r="A33199" t="n">
        <v>323400</v>
      </c>
      <c r="B33199" s="56" t="n">
        <v>59</v>
      </c>
      <c r="C33199" s="7" t="n">
        <v>18</v>
      </c>
      <c r="D33199" s="7" t="n">
        <v>9</v>
      </c>
      <c r="E33199" s="7" t="n">
        <v>0.150000005960464</v>
      </c>
      <c r="F33199" s="7" t="n">
        <v>0</v>
      </c>
    </row>
    <row r="33200" spans="1:9">
      <c r="A33200" t="s">
        <v>4</v>
      </c>
      <c r="B33200" s="4" t="s">
        <v>5</v>
      </c>
      <c r="C33200" s="4" t="s">
        <v>11</v>
      </c>
    </row>
    <row r="33201" spans="1:6">
      <c r="A33201" t="n">
        <v>323410</v>
      </c>
      <c r="B33201" s="29" t="n">
        <v>16</v>
      </c>
      <c r="C33201" s="7" t="n">
        <v>1500</v>
      </c>
    </row>
    <row r="33202" spans="1:6">
      <c r="A33202" t="s">
        <v>4</v>
      </c>
      <c r="B33202" s="4" t="s">
        <v>5</v>
      </c>
      <c r="C33202" s="4" t="s">
        <v>7</v>
      </c>
      <c r="D33202" s="4" t="s">
        <v>11</v>
      </c>
    </row>
    <row r="33203" spans="1:6">
      <c r="A33203" t="n">
        <v>323413</v>
      </c>
      <c r="B33203" s="51" t="n">
        <v>45</v>
      </c>
      <c r="C33203" s="7" t="n">
        <v>7</v>
      </c>
      <c r="D33203" s="7" t="n">
        <v>255</v>
      </c>
    </row>
    <row r="33204" spans="1:6">
      <c r="A33204" t="s">
        <v>4</v>
      </c>
      <c r="B33204" s="4" t="s">
        <v>5</v>
      </c>
      <c r="C33204" s="4" t="s">
        <v>7</v>
      </c>
      <c r="D33204" s="4" t="s">
        <v>11</v>
      </c>
      <c r="E33204" s="4" t="s">
        <v>13</v>
      </c>
    </row>
    <row r="33205" spans="1:6">
      <c r="A33205" t="n">
        <v>323417</v>
      </c>
      <c r="B33205" s="23" t="n">
        <v>58</v>
      </c>
      <c r="C33205" s="7" t="n">
        <v>0</v>
      </c>
      <c r="D33205" s="7" t="n">
        <v>2000</v>
      </c>
      <c r="E33205" s="7" t="n">
        <v>1</v>
      </c>
    </row>
    <row r="33206" spans="1:6">
      <c r="A33206" t="s">
        <v>4</v>
      </c>
      <c r="B33206" s="4" t="s">
        <v>5</v>
      </c>
      <c r="C33206" s="4" t="s">
        <v>7</v>
      </c>
      <c r="D33206" s="4" t="s">
        <v>11</v>
      </c>
    </row>
    <row r="33207" spans="1:6">
      <c r="A33207" t="n">
        <v>323425</v>
      </c>
      <c r="B33207" s="23" t="n">
        <v>58</v>
      </c>
      <c r="C33207" s="7" t="n">
        <v>255</v>
      </c>
      <c r="D33207" s="7" t="n">
        <v>0</v>
      </c>
    </row>
    <row r="33208" spans="1:6">
      <c r="A33208" t="s">
        <v>4</v>
      </c>
      <c r="B33208" s="4" t="s">
        <v>5</v>
      </c>
      <c r="C33208" s="4" t="s">
        <v>11</v>
      </c>
      <c r="D33208" s="4" t="s">
        <v>11</v>
      </c>
      <c r="E33208" s="4" t="s">
        <v>11</v>
      </c>
    </row>
    <row r="33209" spans="1:6">
      <c r="A33209" t="n">
        <v>323429</v>
      </c>
      <c r="B33209" s="72" t="n">
        <v>61</v>
      </c>
      <c r="C33209" s="7" t="n">
        <v>18</v>
      </c>
      <c r="D33209" s="7" t="n">
        <v>0</v>
      </c>
      <c r="E33209" s="7" t="n">
        <v>0</v>
      </c>
    </row>
    <row r="33210" spans="1:6">
      <c r="A33210" t="s">
        <v>4</v>
      </c>
      <c r="B33210" s="4" t="s">
        <v>5</v>
      </c>
      <c r="C33210" s="4" t="s">
        <v>11</v>
      </c>
      <c r="D33210" s="4" t="s">
        <v>11</v>
      </c>
      <c r="E33210" s="4" t="s">
        <v>11</v>
      </c>
    </row>
    <row r="33211" spans="1:6">
      <c r="A33211" t="n">
        <v>323436</v>
      </c>
      <c r="B33211" s="72" t="n">
        <v>61</v>
      </c>
      <c r="C33211" s="7" t="n">
        <v>0</v>
      </c>
      <c r="D33211" s="7" t="n">
        <v>18</v>
      </c>
      <c r="E33211" s="7" t="n">
        <v>0</v>
      </c>
    </row>
    <row r="33212" spans="1:6">
      <c r="A33212" t="s">
        <v>4</v>
      </c>
      <c r="B33212" s="4" t="s">
        <v>5</v>
      </c>
      <c r="C33212" s="4" t="s">
        <v>7</v>
      </c>
      <c r="D33212" s="4" t="s">
        <v>7</v>
      </c>
      <c r="E33212" s="4" t="s">
        <v>13</v>
      </c>
      <c r="F33212" s="4" t="s">
        <v>13</v>
      </c>
      <c r="G33212" s="4" t="s">
        <v>13</v>
      </c>
      <c r="H33212" s="4" t="s">
        <v>11</v>
      </c>
    </row>
    <row r="33213" spans="1:6">
      <c r="A33213" t="n">
        <v>323443</v>
      </c>
      <c r="B33213" s="51" t="n">
        <v>45</v>
      </c>
      <c r="C33213" s="7" t="n">
        <v>2</v>
      </c>
      <c r="D33213" s="7" t="n">
        <v>3</v>
      </c>
      <c r="E33213" s="7" t="n">
        <v>-7.84000015258789</v>
      </c>
      <c r="F33213" s="7" t="n">
        <v>7.17000007629395</v>
      </c>
      <c r="G33213" s="7" t="n">
        <v>31.6599998474121</v>
      </c>
      <c r="H33213" s="7" t="n">
        <v>0</v>
      </c>
    </row>
    <row r="33214" spans="1:6">
      <c r="A33214" t="s">
        <v>4</v>
      </c>
      <c r="B33214" s="4" t="s">
        <v>5</v>
      </c>
      <c r="C33214" s="4" t="s">
        <v>7</v>
      </c>
      <c r="D33214" s="4" t="s">
        <v>7</v>
      </c>
      <c r="E33214" s="4" t="s">
        <v>13</v>
      </c>
      <c r="F33214" s="4" t="s">
        <v>13</v>
      </c>
      <c r="G33214" s="4" t="s">
        <v>13</v>
      </c>
      <c r="H33214" s="4" t="s">
        <v>11</v>
      </c>
      <c r="I33214" s="4" t="s">
        <v>7</v>
      </c>
    </row>
    <row r="33215" spans="1:6">
      <c r="A33215" t="n">
        <v>323460</v>
      </c>
      <c r="B33215" s="51" t="n">
        <v>45</v>
      </c>
      <c r="C33215" s="7" t="n">
        <v>4</v>
      </c>
      <c r="D33215" s="7" t="n">
        <v>3</v>
      </c>
      <c r="E33215" s="7" t="n">
        <v>9.01000022888184</v>
      </c>
      <c r="F33215" s="7" t="n">
        <v>55.7900009155273</v>
      </c>
      <c r="G33215" s="7" t="n">
        <v>0</v>
      </c>
      <c r="H33215" s="7" t="n">
        <v>0</v>
      </c>
      <c r="I33215" s="7" t="n">
        <v>0</v>
      </c>
    </row>
    <row r="33216" spans="1:6">
      <c r="A33216" t="s">
        <v>4</v>
      </c>
      <c r="B33216" s="4" t="s">
        <v>5</v>
      </c>
      <c r="C33216" s="4" t="s">
        <v>7</v>
      </c>
      <c r="D33216" s="4" t="s">
        <v>7</v>
      </c>
      <c r="E33216" s="4" t="s">
        <v>13</v>
      </c>
      <c r="F33216" s="4" t="s">
        <v>11</v>
      </c>
    </row>
    <row r="33217" spans="1:9">
      <c r="A33217" t="n">
        <v>323478</v>
      </c>
      <c r="B33217" s="51" t="n">
        <v>45</v>
      </c>
      <c r="C33217" s="7" t="n">
        <v>5</v>
      </c>
      <c r="D33217" s="7" t="n">
        <v>3</v>
      </c>
      <c r="E33217" s="7" t="n">
        <v>2.40000009536743</v>
      </c>
      <c r="F33217" s="7" t="n">
        <v>0</v>
      </c>
    </row>
    <row r="33218" spans="1:9">
      <c r="A33218" t="s">
        <v>4</v>
      </c>
      <c r="B33218" s="4" t="s">
        <v>5</v>
      </c>
      <c r="C33218" s="4" t="s">
        <v>7</v>
      </c>
      <c r="D33218" s="4" t="s">
        <v>7</v>
      </c>
      <c r="E33218" s="4" t="s">
        <v>13</v>
      </c>
      <c r="F33218" s="4" t="s">
        <v>11</v>
      </c>
    </row>
    <row r="33219" spans="1:9">
      <c r="A33219" t="n">
        <v>323487</v>
      </c>
      <c r="B33219" s="51" t="n">
        <v>45</v>
      </c>
      <c r="C33219" s="7" t="n">
        <v>11</v>
      </c>
      <c r="D33219" s="7" t="n">
        <v>3</v>
      </c>
      <c r="E33219" s="7" t="n">
        <v>40.2999992370605</v>
      </c>
      <c r="F33219" s="7" t="n">
        <v>0</v>
      </c>
    </row>
    <row r="33220" spans="1:9">
      <c r="A33220" t="s">
        <v>4</v>
      </c>
      <c r="B33220" s="4" t="s">
        <v>5</v>
      </c>
      <c r="C33220" s="4" t="s">
        <v>7</v>
      </c>
      <c r="D33220" s="4" t="s">
        <v>7</v>
      </c>
      <c r="E33220" s="4" t="s">
        <v>13</v>
      </c>
      <c r="F33220" s="4" t="s">
        <v>13</v>
      </c>
      <c r="G33220" s="4" t="s">
        <v>13</v>
      </c>
      <c r="H33220" s="4" t="s">
        <v>11</v>
      </c>
    </row>
    <row r="33221" spans="1:9">
      <c r="A33221" t="n">
        <v>323496</v>
      </c>
      <c r="B33221" s="51" t="n">
        <v>45</v>
      </c>
      <c r="C33221" s="7" t="n">
        <v>2</v>
      </c>
      <c r="D33221" s="7" t="n">
        <v>3</v>
      </c>
      <c r="E33221" s="7" t="n">
        <v>-6.8899998664856</v>
      </c>
      <c r="F33221" s="7" t="n">
        <v>6.26999998092651</v>
      </c>
      <c r="G33221" s="7" t="n">
        <v>30.0599994659424</v>
      </c>
      <c r="H33221" s="7" t="n">
        <v>6000</v>
      </c>
    </row>
    <row r="33222" spans="1:9">
      <c r="A33222" t="s">
        <v>4</v>
      </c>
      <c r="B33222" s="4" t="s">
        <v>5</v>
      </c>
      <c r="C33222" s="4" t="s">
        <v>7</v>
      </c>
      <c r="D33222" s="4" t="s">
        <v>7</v>
      </c>
      <c r="E33222" s="4" t="s">
        <v>13</v>
      </c>
      <c r="F33222" s="4" t="s">
        <v>13</v>
      </c>
      <c r="G33222" s="4" t="s">
        <v>13</v>
      </c>
      <c r="H33222" s="4" t="s">
        <v>11</v>
      </c>
      <c r="I33222" s="4" t="s">
        <v>7</v>
      </c>
    </row>
    <row r="33223" spans="1:9">
      <c r="A33223" t="n">
        <v>323513</v>
      </c>
      <c r="B33223" s="51" t="n">
        <v>45</v>
      </c>
      <c r="C33223" s="7" t="n">
        <v>4</v>
      </c>
      <c r="D33223" s="7" t="n">
        <v>3</v>
      </c>
      <c r="E33223" s="7" t="n">
        <v>6.73999977111816</v>
      </c>
      <c r="F33223" s="7" t="n">
        <v>13.6199998855591</v>
      </c>
      <c r="G33223" s="7" t="n">
        <v>0</v>
      </c>
      <c r="H33223" s="7" t="n">
        <v>6000</v>
      </c>
      <c r="I33223" s="7" t="n">
        <v>1</v>
      </c>
    </row>
    <row r="33224" spans="1:9">
      <c r="A33224" t="s">
        <v>4</v>
      </c>
      <c r="B33224" s="4" t="s">
        <v>5</v>
      </c>
      <c r="C33224" s="4" t="s">
        <v>11</v>
      </c>
      <c r="D33224" s="4" t="s">
        <v>13</v>
      </c>
      <c r="E33224" s="4" t="s">
        <v>13</v>
      </c>
      <c r="F33224" s="4" t="s">
        <v>13</v>
      </c>
      <c r="G33224" s="4" t="s">
        <v>13</v>
      </c>
    </row>
    <row r="33225" spans="1:9">
      <c r="A33225" t="n">
        <v>323531</v>
      </c>
      <c r="B33225" s="36" t="n">
        <v>46</v>
      </c>
      <c r="C33225" s="7" t="n">
        <v>0</v>
      </c>
      <c r="D33225" s="7" t="n">
        <v>-6.51000022888184</v>
      </c>
      <c r="E33225" s="7" t="n">
        <v>5</v>
      </c>
      <c r="F33225" s="7" t="n">
        <v>29.8999996185303</v>
      </c>
      <c r="G33225" s="7" t="n">
        <v>208</v>
      </c>
    </row>
    <row r="33226" spans="1:9">
      <c r="A33226" t="s">
        <v>4</v>
      </c>
      <c r="B33226" s="4" t="s">
        <v>5</v>
      </c>
      <c r="C33226" s="4" t="s">
        <v>11</v>
      </c>
      <c r="D33226" s="4" t="s">
        <v>13</v>
      </c>
      <c r="E33226" s="4" t="s">
        <v>13</v>
      </c>
      <c r="F33226" s="4" t="s">
        <v>13</v>
      </c>
      <c r="G33226" s="4" t="s">
        <v>13</v>
      </c>
    </row>
    <row r="33227" spans="1:9">
      <c r="A33227" t="n">
        <v>323550</v>
      </c>
      <c r="B33227" s="36" t="n">
        <v>46</v>
      </c>
      <c r="C33227" s="7" t="n">
        <v>18</v>
      </c>
      <c r="D33227" s="7" t="n">
        <v>-7.44999980926514</v>
      </c>
      <c r="E33227" s="7" t="n">
        <v>5</v>
      </c>
      <c r="F33227" s="7" t="n">
        <v>29.7999992370605</v>
      </c>
      <c r="G33227" s="7" t="n">
        <v>151.199996948242</v>
      </c>
    </row>
    <row r="33228" spans="1:9">
      <c r="A33228" t="s">
        <v>4</v>
      </c>
      <c r="B33228" s="4" t="s">
        <v>5</v>
      </c>
      <c r="C33228" s="4" t="s">
        <v>8</v>
      </c>
      <c r="D33228" s="4" t="s">
        <v>8</v>
      </c>
    </row>
    <row r="33229" spans="1:9">
      <c r="A33229" t="n">
        <v>323569</v>
      </c>
      <c r="B33229" s="52" t="n">
        <v>70</v>
      </c>
      <c r="C33229" s="7" t="s">
        <v>25</v>
      </c>
      <c r="D33229" s="7" t="s">
        <v>118</v>
      </c>
    </row>
    <row r="33230" spans="1:9">
      <c r="A33230" t="s">
        <v>4</v>
      </c>
      <c r="B33230" s="4" t="s">
        <v>5</v>
      </c>
      <c r="C33230" s="4" t="s">
        <v>7</v>
      </c>
      <c r="D33230" s="4" t="s">
        <v>11</v>
      </c>
      <c r="E33230" s="4" t="s">
        <v>13</v>
      </c>
    </row>
    <row r="33231" spans="1:9">
      <c r="A33231" t="n">
        <v>323585</v>
      </c>
      <c r="B33231" s="23" t="n">
        <v>58</v>
      </c>
      <c r="C33231" s="7" t="n">
        <v>100</v>
      </c>
      <c r="D33231" s="7" t="n">
        <v>1000</v>
      </c>
      <c r="E33231" s="7" t="n">
        <v>1</v>
      </c>
    </row>
    <row r="33232" spans="1:9">
      <c r="A33232" t="s">
        <v>4</v>
      </c>
      <c r="B33232" s="4" t="s">
        <v>5</v>
      </c>
      <c r="C33232" s="4" t="s">
        <v>7</v>
      </c>
      <c r="D33232" s="4" t="s">
        <v>11</v>
      </c>
    </row>
    <row r="33233" spans="1:9">
      <c r="A33233" t="n">
        <v>323593</v>
      </c>
      <c r="B33233" s="23" t="n">
        <v>58</v>
      </c>
      <c r="C33233" s="7" t="n">
        <v>255</v>
      </c>
      <c r="D33233" s="7" t="n">
        <v>0</v>
      </c>
    </row>
    <row r="33234" spans="1:9">
      <c r="A33234" t="s">
        <v>4</v>
      </c>
      <c r="B33234" s="4" t="s">
        <v>5</v>
      </c>
      <c r="C33234" s="4" t="s">
        <v>11</v>
      </c>
    </row>
    <row r="33235" spans="1:9">
      <c r="A33235" t="n">
        <v>323597</v>
      </c>
      <c r="B33235" s="29" t="n">
        <v>16</v>
      </c>
      <c r="C33235" s="7" t="n">
        <v>1000</v>
      </c>
    </row>
    <row r="33236" spans="1:9">
      <c r="A33236" t="s">
        <v>4</v>
      </c>
      <c r="B33236" s="4" t="s">
        <v>5</v>
      </c>
      <c r="C33236" s="4" t="s">
        <v>7</v>
      </c>
      <c r="D33236" s="4" t="s">
        <v>11</v>
      </c>
    </row>
    <row r="33237" spans="1:9">
      <c r="A33237" t="n">
        <v>323600</v>
      </c>
      <c r="B33237" s="51" t="n">
        <v>45</v>
      </c>
      <c r="C33237" s="7" t="n">
        <v>7</v>
      </c>
      <c r="D33237" s="7" t="n">
        <v>255</v>
      </c>
    </row>
    <row r="33238" spans="1:9">
      <c r="A33238" t="s">
        <v>4</v>
      </c>
      <c r="B33238" s="4" t="s">
        <v>5</v>
      </c>
      <c r="C33238" s="4" t="s">
        <v>7</v>
      </c>
      <c r="D33238" s="4" t="s">
        <v>11</v>
      </c>
      <c r="E33238" s="4" t="s">
        <v>13</v>
      </c>
    </row>
    <row r="33239" spans="1:9">
      <c r="A33239" t="n">
        <v>323604</v>
      </c>
      <c r="B33239" s="23" t="n">
        <v>58</v>
      </c>
      <c r="C33239" s="7" t="n">
        <v>101</v>
      </c>
      <c r="D33239" s="7" t="n">
        <v>500</v>
      </c>
      <c r="E33239" s="7" t="n">
        <v>1</v>
      </c>
    </row>
    <row r="33240" spans="1:9">
      <c r="A33240" t="s">
        <v>4</v>
      </c>
      <c r="B33240" s="4" t="s">
        <v>5</v>
      </c>
      <c r="C33240" s="4" t="s">
        <v>7</v>
      </c>
      <c r="D33240" s="4" t="s">
        <v>11</v>
      </c>
    </row>
    <row r="33241" spans="1:9">
      <c r="A33241" t="n">
        <v>323612</v>
      </c>
      <c r="B33241" s="23" t="n">
        <v>58</v>
      </c>
      <c r="C33241" s="7" t="n">
        <v>254</v>
      </c>
      <c r="D33241" s="7" t="n">
        <v>0</v>
      </c>
    </row>
    <row r="33242" spans="1:9">
      <c r="A33242" t="s">
        <v>4</v>
      </c>
      <c r="B33242" s="4" t="s">
        <v>5</v>
      </c>
      <c r="C33242" s="4" t="s">
        <v>7</v>
      </c>
      <c r="D33242" s="4" t="s">
        <v>11</v>
      </c>
      <c r="E33242" s="4" t="s">
        <v>8</v>
      </c>
      <c r="F33242" s="4" t="s">
        <v>8</v>
      </c>
      <c r="G33242" s="4" t="s">
        <v>8</v>
      </c>
      <c r="H33242" s="4" t="s">
        <v>8</v>
      </c>
    </row>
    <row r="33243" spans="1:9">
      <c r="A33243" t="n">
        <v>323616</v>
      </c>
      <c r="B33243" s="38" t="n">
        <v>51</v>
      </c>
      <c r="C33243" s="7" t="n">
        <v>3</v>
      </c>
      <c r="D33243" s="7" t="n">
        <v>18</v>
      </c>
      <c r="E33243" s="7" t="s">
        <v>99</v>
      </c>
      <c r="F33243" s="7" t="s">
        <v>218</v>
      </c>
      <c r="G33243" s="7" t="s">
        <v>78</v>
      </c>
      <c r="H33243" s="7" t="s">
        <v>79</v>
      </c>
    </row>
    <row r="33244" spans="1:9">
      <c r="A33244" t="s">
        <v>4</v>
      </c>
      <c r="B33244" s="4" t="s">
        <v>5</v>
      </c>
      <c r="C33244" s="4" t="s">
        <v>7</v>
      </c>
      <c r="D33244" s="4" t="s">
        <v>11</v>
      </c>
      <c r="E33244" s="4" t="s">
        <v>11</v>
      </c>
      <c r="F33244" s="4" t="s">
        <v>15</v>
      </c>
      <c r="G33244" s="4" t="s">
        <v>15</v>
      </c>
      <c r="H33244" s="4" t="s">
        <v>15</v>
      </c>
    </row>
    <row r="33245" spans="1:9">
      <c r="A33245" t="n">
        <v>323629</v>
      </c>
      <c r="B33245" s="77" t="n">
        <v>97</v>
      </c>
      <c r="C33245" s="7" t="n">
        <v>6</v>
      </c>
      <c r="D33245" s="7" t="n">
        <v>0</v>
      </c>
      <c r="E33245" s="7" t="n">
        <v>0</v>
      </c>
      <c r="F33245" s="7" t="n">
        <v>-1065143501</v>
      </c>
      <c r="G33245" s="7" t="n">
        <v>1101004800</v>
      </c>
      <c r="H33245" s="7" t="n">
        <v>1101004800</v>
      </c>
    </row>
    <row r="33246" spans="1:9">
      <c r="A33246" t="s">
        <v>4</v>
      </c>
      <c r="B33246" s="4" t="s">
        <v>5</v>
      </c>
      <c r="C33246" s="4" t="s">
        <v>7</v>
      </c>
      <c r="D33246" s="4" t="s">
        <v>7</v>
      </c>
      <c r="E33246" s="4" t="s">
        <v>13</v>
      </c>
      <c r="F33246" s="4" t="s">
        <v>13</v>
      </c>
      <c r="G33246" s="4" t="s">
        <v>13</v>
      </c>
      <c r="H33246" s="4" t="s">
        <v>11</v>
      </c>
    </row>
    <row r="33247" spans="1:9">
      <c r="A33247" t="n">
        <v>323647</v>
      </c>
      <c r="B33247" s="51" t="n">
        <v>45</v>
      </c>
      <c r="C33247" s="7" t="n">
        <v>2</v>
      </c>
      <c r="D33247" s="7" t="n">
        <v>3</v>
      </c>
      <c r="E33247" s="7" t="n">
        <v>-6.86999988555908</v>
      </c>
      <c r="F33247" s="7" t="n">
        <v>6.3600001335144</v>
      </c>
      <c r="G33247" s="7" t="n">
        <v>29.8400001525879</v>
      </c>
      <c r="H33247" s="7" t="n">
        <v>0</v>
      </c>
    </row>
    <row r="33248" spans="1:9">
      <c r="A33248" t="s">
        <v>4</v>
      </c>
      <c r="B33248" s="4" t="s">
        <v>5</v>
      </c>
      <c r="C33248" s="4" t="s">
        <v>7</v>
      </c>
      <c r="D33248" s="4" t="s">
        <v>7</v>
      </c>
      <c r="E33248" s="4" t="s">
        <v>13</v>
      </c>
      <c r="F33248" s="4" t="s">
        <v>13</v>
      </c>
      <c r="G33248" s="4" t="s">
        <v>13</v>
      </c>
      <c r="H33248" s="4" t="s">
        <v>11</v>
      </c>
      <c r="I33248" s="4" t="s">
        <v>7</v>
      </c>
    </row>
    <row r="33249" spans="1:9">
      <c r="A33249" t="n">
        <v>323664</v>
      </c>
      <c r="B33249" s="51" t="n">
        <v>45</v>
      </c>
      <c r="C33249" s="7" t="n">
        <v>4</v>
      </c>
      <c r="D33249" s="7" t="n">
        <v>3</v>
      </c>
      <c r="E33249" s="7" t="n">
        <v>18.2999992370605</v>
      </c>
      <c r="F33249" s="7" t="n">
        <v>135.5</v>
      </c>
      <c r="G33249" s="7" t="n">
        <v>0</v>
      </c>
      <c r="H33249" s="7" t="n">
        <v>0</v>
      </c>
      <c r="I33249" s="7" t="n">
        <v>0</v>
      </c>
    </row>
    <row r="33250" spans="1:9">
      <c r="A33250" t="s">
        <v>4</v>
      </c>
      <c r="B33250" s="4" t="s">
        <v>5</v>
      </c>
      <c r="C33250" s="4" t="s">
        <v>7</v>
      </c>
      <c r="D33250" s="4" t="s">
        <v>7</v>
      </c>
      <c r="E33250" s="4" t="s">
        <v>13</v>
      </c>
      <c r="F33250" s="4" t="s">
        <v>11</v>
      </c>
    </row>
    <row r="33251" spans="1:9">
      <c r="A33251" t="n">
        <v>323682</v>
      </c>
      <c r="B33251" s="51" t="n">
        <v>45</v>
      </c>
      <c r="C33251" s="7" t="n">
        <v>5</v>
      </c>
      <c r="D33251" s="7" t="n">
        <v>3</v>
      </c>
      <c r="E33251" s="7" t="n">
        <v>1.29999995231628</v>
      </c>
      <c r="F33251" s="7" t="n">
        <v>0</v>
      </c>
    </row>
    <row r="33252" spans="1:9">
      <c r="A33252" t="s">
        <v>4</v>
      </c>
      <c r="B33252" s="4" t="s">
        <v>5</v>
      </c>
      <c r="C33252" s="4" t="s">
        <v>7</v>
      </c>
      <c r="D33252" s="4" t="s">
        <v>7</v>
      </c>
      <c r="E33252" s="4" t="s">
        <v>13</v>
      </c>
      <c r="F33252" s="4" t="s">
        <v>11</v>
      </c>
    </row>
    <row r="33253" spans="1:9">
      <c r="A33253" t="n">
        <v>323691</v>
      </c>
      <c r="B33253" s="51" t="n">
        <v>45</v>
      </c>
      <c r="C33253" s="7" t="n">
        <v>11</v>
      </c>
      <c r="D33253" s="7" t="n">
        <v>3</v>
      </c>
      <c r="E33253" s="7" t="n">
        <v>40.2999992370605</v>
      </c>
      <c r="F33253" s="7" t="n">
        <v>0</v>
      </c>
    </row>
    <row r="33254" spans="1:9">
      <c r="A33254" t="s">
        <v>4</v>
      </c>
      <c r="B33254" s="4" t="s">
        <v>5</v>
      </c>
      <c r="C33254" s="4" t="s">
        <v>7</v>
      </c>
      <c r="D33254" s="4" t="s">
        <v>11</v>
      </c>
    </row>
    <row r="33255" spans="1:9">
      <c r="A33255" t="n">
        <v>323700</v>
      </c>
      <c r="B33255" s="23" t="n">
        <v>58</v>
      </c>
      <c r="C33255" s="7" t="n">
        <v>255</v>
      </c>
      <c r="D33255" s="7" t="n">
        <v>0</v>
      </c>
    </row>
    <row r="33256" spans="1:9">
      <c r="A33256" t="s">
        <v>4</v>
      </c>
      <c r="B33256" s="4" t="s">
        <v>5</v>
      </c>
      <c r="C33256" s="4" t="s">
        <v>7</v>
      </c>
      <c r="D33256" s="4" t="s">
        <v>11</v>
      </c>
      <c r="E33256" s="4" t="s">
        <v>8</v>
      </c>
    </row>
    <row r="33257" spans="1:9">
      <c r="A33257" t="n">
        <v>323704</v>
      </c>
      <c r="B33257" s="38" t="n">
        <v>51</v>
      </c>
      <c r="C33257" s="7" t="n">
        <v>4</v>
      </c>
      <c r="D33257" s="7" t="n">
        <v>18</v>
      </c>
      <c r="E33257" s="7" t="s">
        <v>569</v>
      </c>
    </row>
    <row r="33258" spans="1:9">
      <c r="A33258" t="s">
        <v>4</v>
      </c>
      <c r="B33258" s="4" t="s">
        <v>5</v>
      </c>
      <c r="C33258" s="4" t="s">
        <v>11</v>
      </c>
    </row>
    <row r="33259" spans="1:9">
      <c r="A33259" t="n">
        <v>323717</v>
      </c>
      <c r="B33259" s="29" t="n">
        <v>16</v>
      </c>
      <c r="C33259" s="7" t="n">
        <v>0</v>
      </c>
    </row>
    <row r="33260" spans="1:9">
      <c r="A33260" t="s">
        <v>4</v>
      </c>
      <c r="B33260" s="4" t="s">
        <v>5</v>
      </c>
      <c r="C33260" s="4" t="s">
        <v>11</v>
      </c>
      <c r="D33260" s="4" t="s">
        <v>7</v>
      </c>
      <c r="E33260" s="4" t="s">
        <v>15</v>
      </c>
      <c r="F33260" s="4" t="s">
        <v>55</v>
      </c>
      <c r="G33260" s="4" t="s">
        <v>7</v>
      </c>
      <c r="H33260" s="4" t="s">
        <v>7</v>
      </c>
      <c r="I33260" s="4" t="s">
        <v>7</v>
      </c>
      <c r="J33260" s="4" t="s">
        <v>15</v>
      </c>
      <c r="K33260" s="4" t="s">
        <v>55</v>
      </c>
      <c r="L33260" s="4" t="s">
        <v>7</v>
      </c>
      <c r="M33260" s="4" t="s">
        <v>7</v>
      </c>
    </row>
    <row r="33261" spans="1:9">
      <c r="A33261" t="n">
        <v>323720</v>
      </c>
      <c r="B33261" s="55" t="n">
        <v>26</v>
      </c>
      <c r="C33261" s="7" t="n">
        <v>18</v>
      </c>
      <c r="D33261" s="7" t="n">
        <v>17</v>
      </c>
      <c r="E33261" s="7" t="n">
        <v>64073</v>
      </c>
      <c r="F33261" s="7" t="s">
        <v>868</v>
      </c>
      <c r="G33261" s="7" t="n">
        <v>2</v>
      </c>
      <c r="H33261" s="7" t="n">
        <v>3</v>
      </c>
      <c r="I33261" s="7" t="n">
        <v>17</v>
      </c>
      <c r="J33261" s="7" t="n">
        <v>64074</v>
      </c>
      <c r="K33261" s="7" t="s">
        <v>869</v>
      </c>
      <c r="L33261" s="7" t="n">
        <v>2</v>
      </c>
      <c r="M33261" s="7" t="n">
        <v>0</v>
      </c>
    </row>
    <row r="33262" spans="1:9">
      <c r="A33262" t="s">
        <v>4</v>
      </c>
      <c r="B33262" s="4" t="s">
        <v>5</v>
      </c>
    </row>
    <row r="33263" spans="1:9">
      <c r="A33263" t="n">
        <v>323813</v>
      </c>
      <c r="B33263" s="27" t="n">
        <v>28</v>
      </c>
    </row>
    <row r="33264" spans="1:9">
      <c r="A33264" t="s">
        <v>4</v>
      </c>
      <c r="B33264" s="4" t="s">
        <v>5</v>
      </c>
      <c r="C33264" s="4" t="s">
        <v>7</v>
      </c>
      <c r="D33264" s="4" t="s">
        <v>11</v>
      </c>
      <c r="E33264" s="4" t="s">
        <v>8</v>
      </c>
    </row>
    <row r="33265" spans="1:13">
      <c r="A33265" t="n">
        <v>323814</v>
      </c>
      <c r="B33265" s="38" t="n">
        <v>51</v>
      </c>
      <c r="C33265" s="7" t="n">
        <v>4</v>
      </c>
      <c r="D33265" s="7" t="n">
        <v>0</v>
      </c>
      <c r="E33265" s="7" t="s">
        <v>173</v>
      </c>
    </row>
    <row r="33266" spans="1:13">
      <c r="A33266" t="s">
        <v>4</v>
      </c>
      <c r="B33266" s="4" t="s">
        <v>5</v>
      </c>
      <c r="C33266" s="4" t="s">
        <v>11</v>
      </c>
    </row>
    <row r="33267" spans="1:13">
      <c r="A33267" t="n">
        <v>323827</v>
      </c>
      <c r="B33267" s="29" t="n">
        <v>16</v>
      </c>
      <c r="C33267" s="7" t="n">
        <v>0</v>
      </c>
    </row>
    <row r="33268" spans="1:13">
      <c r="A33268" t="s">
        <v>4</v>
      </c>
      <c r="B33268" s="4" t="s">
        <v>5</v>
      </c>
      <c r="C33268" s="4" t="s">
        <v>11</v>
      </c>
      <c r="D33268" s="4" t="s">
        <v>7</v>
      </c>
      <c r="E33268" s="4" t="s">
        <v>15</v>
      </c>
      <c r="F33268" s="4" t="s">
        <v>55</v>
      </c>
      <c r="G33268" s="4" t="s">
        <v>7</v>
      </c>
      <c r="H33268" s="4" t="s">
        <v>7</v>
      </c>
      <c r="I33268" s="4" t="s">
        <v>7</v>
      </c>
      <c r="J33268" s="4" t="s">
        <v>15</v>
      </c>
      <c r="K33268" s="4" t="s">
        <v>55</v>
      </c>
      <c r="L33268" s="4" t="s">
        <v>7</v>
      </c>
      <c r="M33268" s="4" t="s">
        <v>7</v>
      </c>
      <c r="N33268" s="4" t="s">
        <v>7</v>
      </c>
      <c r="O33268" s="4" t="s">
        <v>15</v>
      </c>
      <c r="P33268" s="4" t="s">
        <v>55</v>
      </c>
      <c r="Q33268" s="4" t="s">
        <v>7</v>
      </c>
      <c r="R33268" s="4" t="s">
        <v>7</v>
      </c>
    </row>
    <row r="33269" spans="1:13">
      <c r="A33269" t="n">
        <v>323830</v>
      </c>
      <c r="B33269" s="55" t="n">
        <v>26</v>
      </c>
      <c r="C33269" s="7" t="n">
        <v>0</v>
      </c>
      <c r="D33269" s="7" t="n">
        <v>17</v>
      </c>
      <c r="E33269" s="7" t="n">
        <v>64075</v>
      </c>
      <c r="F33269" s="7" t="s">
        <v>870</v>
      </c>
      <c r="G33269" s="7" t="n">
        <v>2</v>
      </c>
      <c r="H33269" s="7" t="n">
        <v>3</v>
      </c>
      <c r="I33269" s="7" t="n">
        <v>17</v>
      </c>
      <c r="J33269" s="7" t="n">
        <v>64076</v>
      </c>
      <c r="K33269" s="7" t="s">
        <v>871</v>
      </c>
      <c r="L33269" s="7" t="n">
        <v>2</v>
      </c>
      <c r="M33269" s="7" t="n">
        <v>3</v>
      </c>
      <c r="N33269" s="7" t="n">
        <v>17</v>
      </c>
      <c r="O33269" s="7" t="n">
        <v>64077</v>
      </c>
      <c r="P33269" s="7" t="s">
        <v>872</v>
      </c>
      <c r="Q33269" s="7" t="n">
        <v>2</v>
      </c>
      <c r="R33269" s="7" t="n">
        <v>0</v>
      </c>
    </row>
    <row r="33270" spans="1:13">
      <c r="A33270" t="s">
        <v>4</v>
      </c>
      <c r="B33270" s="4" t="s">
        <v>5</v>
      </c>
    </row>
    <row r="33271" spans="1:13">
      <c r="A33271" t="n">
        <v>324142</v>
      </c>
      <c r="B33271" s="27" t="n">
        <v>28</v>
      </c>
    </row>
    <row r="33272" spans="1:13">
      <c r="A33272" t="s">
        <v>4</v>
      </c>
      <c r="B33272" s="4" t="s">
        <v>5</v>
      </c>
      <c r="C33272" s="4" t="s">
        <v>7</v>
      </c>
      <c r="D33272" s="4" t="s">
        <v>11</v>
      </c>
      <c r="E33272" s="4" t="s">
        <v>8</v>
      </c>
    </row>
    <row r="33273" spans="1:13">
      <c r="A33273" t="n">
        <v>324143</v>
      </c>
      <c r="B33273" s="38" t="n">
        <v>51</v>
      </c>
      <c r="C33273" s="7" t="n">
        <v>4</v>
      </c>
      <c r="D33273" s="7" t="n">
        <v>18</v>
      </c>
      <c r="E33273" s="7" t="s">
        <v>235</v>
      </c>
    </row>
    <row r="33274" spans="1:13">
      <c r="A33274" t="s">
        <v>4</v>
      </c>
      <c r="B33274" s="4" t="s">
        <v>5</v>
      </c>
      <c r="C33274" s="4" t="s">
        <v>11</v>
      </c>
    </row>
    <row r="33275" spans="1:13">
      <c r="A33275" t="n">
        <v>324157</v>
      </c>
      <c r="B33275" s="29" t="n">
        <v>16</v>
      </c>
      <c r="C33275" s="7" t="n">
        <v>0</v>
      </c>
    </row>
    <row r="33276" spans="1:13">
      <c r="A33276" t="s">
        <v>4</v>
      </c>
      <c r="B33276" s="4" t="s">
        <v>5</v>
      </c>
      <c r="C33276" s="4" t="s">
        <v>11</v>
      </c>
      <c r="D33276" s="4" t="s">
        <v>7</v>
      </c>
      <c r="E33276" s="4" t="s">
        <v>15</v>
      </c>
      <c r="F33276" s="4" t="s">
        <v>55</v>
      </c>
      <c r="G33276" s="4" t="s">
        <v>7</v>
      </c>
      <c r="H33276" s="4" t="s">
        <v>7</v>
      </c>
      <c r="I33276" s="4" t="s">
        <v>7</v>
      </c>
      <c r="J33276" s="4" t="s">
        <v>15</v>
      </c>
      <c r="K33276" s="4" t="s">
        <v>55</v>
      </c>
      <c r="L33276" s="4" t="s">
        <v>7</v>
      </c>
      <c r="M33276" s="4" t="s">
        <v>7</v>
      </c>
      <c r="N33276" s="4" t="s">
        <v>7</v>
      </c>
      <c r="O33276" s="4" t="s">
        <v>15</v>
      </c>
      <c r="P33276" s="4" t="s">
        <v>55</v>
      </c>
      <c r="Q33276" s="4" t="s">
        <v>7</v>
      </c>
      <c r="R33276" s="4" t="s">
        <v>7</v>
      </c>
    </row>
    <row r="33277" spans="1:13">
      <c r="A33277" t="n">
        <v>324160</v>
      </c>
      <c r="B33277" s="55" t="n">
        <v>26</v>
      </c>
      <c r="C33277" s="7" t="n">
        <v>18</v>
      </c>
      <c r="D33277" s="7" t="n">
        <v>17</v>
      </c>
      <c r="E33277" s="7" t="n">
        <v>64078</v>
      </c>
      <c r="F33277" s="7" t="s">
        <v>873</v>
      </c>
      <c r="G33277" s="7" t="n">
        <v>2</v>
      </c>
      <c r="H33277" s="7" t="n">
        <v>3</v>
      </c>
      <c r="I33277" s="7" t="n">
        <v>17</v>
      </c>
      <c r="J33277" s="7" t="n">
        <v>64079</v>
      </c>
      <c r="K33277" s="7" t="s">
        <v>874</v>
      </c>
      <c r="L33277" s="7" t="n">
        <v>2</v>
      </c>
      <c r="M33277" s="7" t="n">
        <v>3</v>
      </c>
      <c r="N33277" s="7" t="n">
        <v>17</v>
      </c>
      <c r="O33277" s="7" t="n">
        <v>64080</v>
      </c>
      <c r="P33277" s="7" t="s">
        <v>875</v>
      </c>
      <c r="Q33277" s="7" t="n">
        <v>2</v>
      </c>
      <c r="R33277" s="7" t="n">
        <v>0</v>
      </c>
    </row>
    <row r="33278" spans="1:13">
      <c r="A33278" t="s">
        <v>4</v>
      </c>
      <c r="B33278" s="4" t="s">
        <v>5</v>
      </c>
    </row>
    <row r="33279" spans="1:13">
      <c r="A33279" t="n">
        <v>324452</v>
      </c>
      <c r="B33279" s="27" t="n">
        <v>28</v>
      </c>
    </row>
    <row r="33280" spans="1:13">
      <c r="A33280" t="s">
        <v>4</v>
      </c>
      <c r="B33280" s="4" t="s">
        <v>5</v>
      </c>
      <c r="C33280" s="4" t="s">
        <v>7</v>
      </c>
      <c r="D33280" s="4" t="s">
        <v>11</v>
      </c>
      <c r="E33280" s="4" t="s">
        <v>8</v>
      </c>
    </row>
    <row r="33281" spans="1:18">
      <c r="A33281" t="n">
        <v>324453</v>
      </c>
      <c r="B33281" s="38" t="n">
        <v>51</v>
      </c>
      <c r="C33281" s="7" t="n">
        <v>4</v>
      </c>
      <c r="D33281" s="7" t="n">
        <v>0</v>
      </c>
      <c r="E33281" s="7" t="s">
        <v>179</v>
      </c>
    </row>
    <row r="33282" spans="1:18">
      <c r="A33282" t="s">
        <v>4</v>
      </c>
      <c r="B33282" s="4" t="s">
        <v>5</v>
      </c>
      <c r="C33282" s="4" t="s">
        <v>11</v>
      </c>
    </row>
    <row r="33283" spans="1:18">
      <c r="A33283" t="n">
        <v>324467</v>
      </c>
      <c r="B33283" s="29" t="n">
        <v>16</v>
      </c>
      <c r="C33283" s="7" t="n">
        <v>0</v>
      </c>
    </row>
    <row r="33284" spans="1:18">
      <c r="A33284" t="s">
        <v>4</v>
      </c>
      <c r="B33284" s="4" t="s">
        <v>5</v>
      </c>
      <c r="C33284" s="4" t="s">
        <v>11</v>
      </c>
      <c r="D33284" s="4" t="s">
        <v>7</v>
      </c>
      <c r="E33284" s="4" t="s">
        <v>15</v>
      </c>
      <c r="F33284" s="4" t="s">
        <v>55</v>
      </c>
      <c r="G33284" s="4" t="s">
        <v>7</v>
      </c>
      <c r="H33284" s="4" t="s">
        <v>7</v>
      </c>
      <c r="I33284" s="4" t="s">
        <v>7</v>
      </c>
      <c r="J33284" s="4" t="s">
        <v>15</v>
      </c>
      <c r="K33284" s="4" t="s">
        <v>55</v>
      </c>
      <c r="L33284" s="4" t="s">
        <v>7</v>
      </c>
      <c r="M33284" s="4" t="s">
        <v>7</v>
      </c>
      <c r="N33284" s="4" t="s">
        <v>7</v>
      </c>
      <c r="O33284" s="4" t="s">
        <v>15</v>
      </c>
      <c r="P33284" s="4" t="s">
        <v>55</v>
      </c>
      <c r="Q33284" s="4" t="s">
        <v>7</v>
      </c>
      <c r="R33284" s="4" t="s">
        <v>7</v>
      </c>
    </row>
    <row r="33285" spans="1:18">
      <c r="A33285" t="n">
        <v>324470</v>
      </c>
      <c r="B33285" s="55" t="n">
        <v>26</v>
      </c>
      <c r="C33285" s="7" t="n">
        <v>0</v>
      </c>
      <c r="D33285" s="7" t="n">
        <v>17</v>
      </c>
      <c r="E33285" s="7" t="n">
        <v>64081</v>
      </c>
      <c r="F33285" s="7" t="s">
        <v>876</v>
      </c>
      <c r="G33285" s="7" t="n">
        <v>2</v>
      </c>
      <c r="H33285" s="7" t="n">
        <v>3</v>
      </c>
      <c r="I33285" s="7" t="n">
        <v>17</v>
      </c>
      <c r="J33285" s="7" t="n">
        <v>64082</v>
      </c>
      <c r="K33285" s="7" t="s">
        <v>877</v>
      </c>
      <c r="L33285" s="7" t="n">
        <v>2</v>
      </c>
      <c r="M33285" s="7" t="n">
        <v>3</v>
      </c>
      <c r="N33285" s="7" t="n">
        <v>17</v>
      </c>
      <c r="O33285" s="7" t="n">
        <v>64083</v>
      </c>
      <c r="P33285" s="7" t="s">
        <v>878</v>
      </c>
      <c r="Q33285" s="7" t="n">
        <v>2</v>
      </c>
      <c r="R33285" s="7" t="n">
        <v>0</v>
      </c>
    </row>
    <row r="33286" spans="1:18">
      <c r="A33286" t="s">
        <v>4</v>
      </c>
      <c r="B33286" s="4" t="s">
        <v>5</v>
      </c>
    </row>
    <row r="33287" spans="1:18">
      <c r="A33287" t="n">
        <v>324686</v>
      </c>
      <c r="B33287" s="27" t="n">
        <v>28</v>
      </c>
    </row>
    <row r="33288" spans="1:18">
      <c r="A33288" t="s">
        <v>4</v>
      </c>
      <c r="B33288" s="4" t="s">
        <v>5</v>
      </c>
      <c r="C33288" s="4" t="s">
        <v>7</v>
      </c>
      <c r="D33288" s="4" t="s">
        <v>11</v>
      </c>
      <c r="E33288" s="4" t="s">
        <v>8</v>
      </c>
    </row>
    <row r="33289" spans="1:18">
      <c r="A33289" t="n">
        <v>324687</v>
      </c>
      <c r="B33289" s="38" t="n">
        <v>51</v>
      </c>
      <c r="C33289" s="7" t="n">
        <v>4</v>
      </c>
      <c r="D33289" s="7" t="n">
        <v>18</v>
      </c>
      <c r="E33289" s="7" t="s">
        <v>879</v>
      </c>
    </row>
    <row r="33290" spans="1:18">
      <c r="A33290" t="s">
        <v>4</v>
      </c>
      <c r="B33290" s="4" t="s">
        <v>5</v>
      </c>
      <c r="C33290" s="4" t="s">
        <v>11</v>
      </c>
    </row>
    <row r="33291" spans="1:18">
      <c r="A33291" t="n">
        <v>324705</v>
      </c>
      <c r="B33291" s="29" t="n">
        <v>16</v>
      </c>
      <c r="C33291" s="7" t="n">
        <v>0</v>
      </c>
    </row>
    <row r="33292" spans="1:18">
      <c r="A33292" t="s">
        <v>4</v>
      </c>
      <c r="B33292" s="4" t="s">
        <v>5</v>
      </c>
      <c r="C33292" s="4" t="s">
        <v>11</v>
      </c>
      <c r="D33292" s="4" t="s">
        <v>7</v>
      </c>
      <c r="E33292" s="4" t="s">
        <v>15</v>
      </c>
      <c r="F33292" s="4" t="s">
        <v>55</v>
      </c>
      <c r="G33292" s="4" t="s">
        <v>7</v>
      </c>
      <c r="H33292" s="4" t="s">
        <v>7</v>
      </c>
    </row>
    <row r="33293" spans="1:18">
      <c r="A33293" t="n">
        <v>324708</v>
      </c>
      <c r="B33293" s="55" t="n">
        <v>26</v>
      </c>
      <c r="C33293" s="7" t="n">
        <v>18</v>
      </c>
      <c r="D33293" s="7" t="n">
        <v>17</v>
      </c>
      <c r="E33293" s="7" t="n">
        <v>64084</v>
      </c>
      <c r="F33293" s="7" t="s">
        <v>880</v>
      </c>
      <c r="G33293" s="7" t="n">
        <v>2</v>
      </c>
      <c r="H33293" s="7" t="n">
        <v>0</v>
      </c>
    </row>
    <row r="33294" spans="1:18">
      <c r="A33294" t="s">
        <v>4</v>
      </c>
      <c r="B33294" s="4" t="s">
        <v>5</v>
      </c>
    </row>
    <row r="33295" spans="1:18">
      <c r="A33295" t="n">
        <v>324750</v>
      </c>
      <c r="B33295" s="27" t="n">
        <v>28</v>
      </c>
    </row>
    <row r="33296" spans="1:18">
      <c r="A33296" t="s">
        <v>4</v>
      </c>
      <c r="B33296" s="4" t="s">
        <v>5</v>
      </c>
      <c r="C33296" s="4" t="s">
        <v>11</v>
      </c>
      <c r="D33296" s="4" t="s">
        <v>7</v>
      </c>
    </row>
    <row r="33297" spans="1:18">
      <c r="A33297" t="n">
        <v>324751</v>
      </c>
      <c r="B33297" s="68" t="n">
        <v>89</v>
      </c>
      <c r="C33297" s="7" t="n">
        <v>65533</v>
      </c>
      <c r="D33297" s="7" t="n">
        <v>1</v>
      </c>
    </row>
    <row r="33298" spans="1:18">
      <c r="A33298" t="s">
        <v>4</v>
      </c>
      <c r="B33298" s="4" t="s">
        <v>5</v>
      </c>
      <c r="C33298" s="4" t="s">
        <v>7</v>
      </c>
      <c r="D33298" s="4" t="s">
        <v>11</v>
      </c>
      <c r="E33298" s="4" t="s">
        <v>7</v>
      </c>
    </row>
    <row r="33299" spans="1:18">
      <c r="A33299" t="n">
        <v>324755</v>
      </c>
      <c r="B33299" s="13" t="n">
        <v>49</v>
      </c>
      <c r="C33299" s="7" t="n">
        <v>1</v>
      </c>
      <c r="D33299" s="7" t="n">
        <v>3000</v>
      </c>
      <c r="E33299" s="7" t="n">
        <v>0</v>
      </c>
    </row>
    <row r="33300" spans="1:18">
      <c r="A33300" t="s">
        <v>4</v>
      </c>
      <c r="B33300" s="4" t="s">
        <v>5</v>
      </c>
      <c r="C33300" s="4" t="s">
        <v>7</v>
      </c>
      <c r="D33300" s="4" t="s">
        <v>11</v>
      </c>
      <c r="E33300" s="4" t="s">
        <v>8</v>
      </c>
      <c r="F33300" s="4" t="s">
        <v>8</v>
      </c>
      <c r="G33300" s="4" t="s">
        <v>8</v>
      </c>
      <c r="H33300" s="4" t="s">
        <v>8</v>
      </c>
    </row>
    <row r="33301" spans="1:18">
      <c r="A33301" t="n">
        <v>324760</v>
      </c>
      <c r="B33301" s="38" t="n">
        <v>51</v>
      </c>
      <c r="C33301" s="7" t="n">
        <v>3</v>
      </c>
      <c r="D33301" s="7" t="n">
        <v>18</v>
      </c>
      <c r="E33301" s="7" t="s">
        <v>881</v>
      </c>
      <c r="F33301" s="7" t="s">
        <v>218</v>
      </c>
      <c r="G33301" s="7" t="s">
        <v>78</v>
      </c>
      <c r="H33301" s="7" t="s">
        <v>79</v>
      </c>
    </row>
    <row r="33302" spans="1:18">
      <c r="A33302" t="s">
        <v>4</v>
      </c>
      <c r="B33302" s="4" t="s">
        <v>5</v>
      </c>
      <c r="C33302" s="4" t="s">
        <v>11</v>
      </c>
      <c r="D33302" s="4" t="s">
        <v>7</v>
      </c>
      <c r="E33302" s="4" t="s">
        <v>13</v>
      </c>
      <c r="F33302" s="4" t="s">
        <v>11</v>
      </c>
    </row>
    <row r="33303" spans="1:18">
      <c r="A33303" t="n">
        <v>324773</v>
      </c>
      <c r="B33303" s="56" t="n">
        <v>59</v>
      </c>
      <c r="C33303" s="7" t="n">
        <v>18</v>
      </c>
      <c r="D33303" s="7" t="n">
        <v>9</v>
      </c>
      <c r="E33303" s="7" t="n">
        <v>0.150000005960464</v>
      </c>
      <c r="F33303" s="7" t="n">
        <v>0</v>
      </c>
    </row>
    <row r="33304" spans="1:18">
      <c r="A33304" t="s">
        <v>4</v>
      </c>
      <c r="B33304" s="4" t="s">
        <v>5</v>
      </c>
      <c r="C33304" s="4" t="s">
        <v>11</v>
      </c>
    </row>
    <row r="33305" spans="1:18">
      <c r="A33305" t="n">
        <v>324783</v>
      </c>
      <c r="B33305" s="29" t="n">
        <v>16</v>
      </c>
      <c r="C33305" s="7" t="n">
        <v>1800</v>
      </c>
    </row>
    <row r="33306" spans="1:18">
      <c r="A33306" t="s">
        <v>4</v>
      </c>
      <c r="B33306" s="4" t="s">
        <v>5</v>
      </c>
      <c r="C33306" s="4" t="s">
        <v>7</v>
      </c>
      <c r="D33306" s="4" t="s">
        <v>11</v>
      </c>
      <c r="E33306" s="4" t="s">
        <v>13</v>
      </c>
    </row>
    <row r="33307" spans="1:18">
      <c r="A33307" t="n">
        <v>324786</v>
      </c>
      <c r="B33307" s="23" t="n">
        <v>58</v>
      </c>
      <c r="C33307" s="7" t="n">
        <v>101</v>
      </c>
      <c r="D33307" s="7" t="n">
        <v>800</v>
      </c>
      <c r="E33307" s="7" t="n">
        <v>1</v>
      </c>
    </row>
    <row r="33308" spans="1:18">
      <c r="A33308" t="s">
        <v>4</v>
      </c>
      <c r="B33308" s="4" t="s">
        <v>5</v>
      </c>
      <c r="C33308" s="4" t="s">
        <v>7</v>
      </c>
      <c r="D33308" s="4" t="s">
        <v>11</v>
      </c>
    </row>
    <row r="33309" spans="1:18">
      <c r="A33309" t="n">
        <v>324794</v>
      </c>
      <c r="B33309" s="23" t="n">
        <v>58</v>
      </c>
      <c r="C33309" s="7" t="n">
        <v>254</v>
      </c>
      <c r="D33309" s="7" t="n">
        <v>0</v>
      </c>
    </row>
    <row r="33310" spans="1:18">
      <c r="A33310" t="s">
        <v>4</v>
      </c>
      <c r="B33310" s="4" t="s">
        <v>5</v>
      </c>
      <c r="C33310" s="4" t="s">
        <v>7</v>
      </c>
      <c r="D33310" s="4" t="s">
        <v>7</v>
      </c>
      <c r="E33310" s="4" t="s">
        <v>13</v>
      </c>
      <c r="F33310" s="4" t="s">
        <v>13</v>
      </c>
      <c r="G33310" s="4" t="s">
        <v>13</v>
      </c>
      <c r="H33310" s="4" t="s">
        <v>11</v>
      </c>
    </row>
    <row r="33311" spans="1:18">
      <c r="A33311" t="n">
        <v>324798</v>
      </c>
      <c r="B33311" s="51" t="n">
        <v>45</v>
      </c>
      <c r="C33311" s="7" t="n">
        <v>2</v>
      </c>
      <c r="D33311" s="7" t="n">
        <v>3</v>
      </c>
      <c r="E33311" s="7" t="n">
        <v>-7.36999988555908</v>
      </c>
      <c r="F33311" s="7" t="n">
        <v>6.32999992370605</v>
      </c>
      <c r="G33311" s="7" t="n">
        <v>29.8199996948242</v>
      </c>
      <c r="H33311" s="7" t="n">
        <v>0</v>
      </c>
    </row>
    <row r="33312" spans="1:18">
      <c r="A33312" t="s">
        <v>4</v>
      </c>
      <c r="B33312" s="4" t="s">
        <v>5</v>
      </c>
      <c r="C33312" s="4" t="s">
        <v>7</v>
      </c>
      <c r="D33312" s="4" t="s">
        <v>7</v>
      </c>
      <c r="E33312" s="4" t="s">
        <v>13</v>
      </c>
      <c r="F33312" s="4" t="s">
        <v>13</v>
      </c>
      <c r="G33312" s="4" t="s">
        <v>13</v>
      </c>
      <c r="H33312" s="4" t="s">
        <v>11</v>
      </c>
      <c r="I33312" s="4" t="s">
        <v>7</v>
      </c>
    </row>
    <row r="33313" spans="1:9">
      <c r="A33313" t="n">
        <v>324815</v>
      </c>
      <c r="B33313" s="51" t="n">
        <v>45</v>
      </c>
      <c r="C33313" s="7" t="n">
        <v>4</v>
      </c>
      <c r="D33313" s="7" t="n">
        <v>3</v>
      </c>
      <c r="E33313" s="7" t="n">
        <v>10.3299999237061</v>
      </c>
      <c r="F33313" s="7" t="n">
        <v>61.2000007629395</v>
      </c>
      <c r="G33313" s="7" t="n">
        <v>356</v>
      </c>
      <c r="H33313" s="7" t="n">
        <v>0</v>
      </c>
      <c r="I33313" s="7" t="n">
        <v>0</v>
      </c>
    </row>
    <row r="33314" spans="1:9">
      <c r="A33314" t="s">
        <v>4</v>
      </c>
      <c r="B33314" s="4" t="s">
        <v>5</v>
      </c>
      <c r="C33314" s="4" t="s">
        <v>7</v>
      </c>
      <c r="D33314" s="4" t="s">
        <v>7</v>
      </c>
      <c r="E33314" s="4" t="s">
        <v>13</v>
      </c>
      <c r="F33314" s="4" t="s">
        <v>11</v>
      </c>
    </row>
    <row r="33315" spans="1:9">
      <c r="A33315" t="n">
        <v>324833</v>
      </c>
      <c r="B33315" s="51" t="n">
        <v>45</v>
      </c>
      <c r="C33315" s="7" t="n">
        <v>5</v>
      </c>
      <c r="D33315" s="7" t="n">
        <v>3</v>
      </c>
      <c r="E33315" s="7" t="n">
        <v>0.800000011920929</v>
      </c>
      <c r="F33315" s="7" t="n">
        <v>0</v>
      </c>
    </row>
    <row r="33316" spans="1:9">
      <c r="A33316" t="s">
        <v>4</v>
      </c>
      <c r="B33316" s="4" t="s">
        <v>5</v>
      </c>
      <c r="C33316" s="4" t="s">
        <v>7</v>
      </c>
      <c r="D33316" s="4" t="s">
        <v>7</v>
      </c>
      <c r="E33316" s="4" t="s">
        <v>13</v>
      </c>
      <c r="F33316" s="4" t="s">
        <v>11</v>
      </c>
    </row>
    <row r="33317" spans="1:9">
      <c r="A33317" t="n">
        <v>324842</v>
      </c>
      <c r="B33317" s="51" t="n">
        <v>45</v>
      </c>
      <c r="C33317" s="7" t="n">
        <v>11</v>
      </c>
      <c r="D33317" s="7" t="n">
        <v>3</v>
      </c>
      <c r="E33317" s="7" t="n">
        <v>40.2999992370605</v>
      </c>
      <c r="F33317" s="7" t="n">
        <v>0</v>
      </c>
    </row>
    <row r="33318" spans="1:9">
      <c r="A33318" t="s">
        <v>4</v>
      </c>
      <c r="B33318" s="4" t="s">
        <v>5</v>
      </c>
      <c r="C33318" s="4" t="s">
        <v>7</v>
      </c>
    </row>
    <row r="33319" spans="1:9">
      <c r="A33319" t="n">
        <v>324851</v>
      </c>
      <c r="B33319" s="49" t="n">
        <v>116</v>
      </c>
      <c r="C33319" s="7" t="n">
        <v>0</v>
      </c>
    </row>
    <row r="33320" spans="1:9">
      <c r="A33320" t="s">
        <v>4</v>
      </c>
      <c r="B33320" s="4" t="s">
        <v>5</v>
      </c>
      <c r="C33320" s="4" t="s">
        <v>7</v>
      </c>
      <c r="D33320" s="4" t="s">
        <v>11</v>
      </c>
    </row>
    <row r="33321" spans="1:9">
      <c r="A33321" t="n">
        <v>324853</v>
      </c>
      <c r="B33321" s="49" t="n">
        <v>116</v>
      </c>
      <c r="C33321" s="7" t="n">
        <v>2</v>
      </c>
      <c r="D33321" s="7" t="n">
        <v>1</v>
      </c>
    </row>
    <row r="33322" spans="1:9">
      <c r="A33322" t="s">
        <v>4</v>
      </c>
      <c r="B33322" s="4" t="s">
        <v>5</v>
      </c>
      <c r="C33322" s="4" t="s">
        <v>7</v>
      </c>
      <c r="D33322" s="4" t="s">
        <v>15</v>
      </c>
    </row>
    <row r="33323" spans="1:9">
      <c r="A33323" t="n">
        <v>324857</v>
      </c>
      <c r="B33323" s="49" t="n">
        <v>116</v>
      </c>
      <c r="C33323" s="7" t="n">
        <v>5</v>
      </c>
      <c r="D33323" s="7" t="n">
        <v>1077936128</v>
      </c>
    </row>
    <row r="33324" spans="1:9">
      <c r="A33324" t="s">
        <v>4</v>
      </c>
      <c r="B33324" s="4" t="s">
        <v>5</v>
      </c>
      <c r="C33324" s="4" t="s">
        <v>7</v>
      </c>
      <c r="D33324" s="4" t="s">
        <v>11</v>
      </c>
    </row>
    <row r="33325" spans="1:9">
      <c r="A33325" t="n">
        <v>324863</v>
      </c>
      <c r="B33325" s="49" t="n">
        <v>116</v>
      </c>
      <c r="C33325" s="7" t="n">
        <v>6</v>
      </c>
      <c r="D33325" s="7" t="n">
        <v>1</v>
      </c>
    </row>
    <row r="33326" spans="1:9">
      <c r="A33326" t="s">
        <v>4</v>
      </c>
      <c r="B33326" s="4" t="s">
        <v>5</v>
      </c>
      <c r="C33326" s="4" t="s">
        <v>11</v>
      </c>
      <c r="D33326" s="4" t="s">
        <v>11</v>
      </c>
      <c r="E33326" s="4" t="s">
        <v>13</v>
      </c>
      <c r="F33326" s="4" t="s">
        <v>7</v>
      </c>
    </row>
    <row r="33327" spans="1:9">
      <c r="A33327" t="n">
        <v>324867</v>
      </c>
      <c r="B33327" s="73" t="n">
        <v>53</v>
      </c>
      <c r="C33327" s="7" t="n">
        <v>0</v>
      </c>
      <c r="D33327" s="7" t="n">
        <v>18</v>
      </c>
      <c r="E33327" s="7" t="n">
        <v>0</v>
      </c>
      <c r="F33327" s="7" t="n">
        <v>0</v>
      </c>
    </row>
    <row r="33328" spans="1:9">
      <c r="A33328" t="s">
        <v>4</v>
      </c>
      <c r="B33328" s="4" t="s">
        <v>5</v>
      </c>
      <c r="C33328" s="4" t="s">
        <v>7</v>
      </c>
      <c r="D33328" s="4" t="s">
        <v>11</v>
      </c>
    </row>
    <row r="33329" spans="1:9">
      <c r="A33329" t="n">
        <v>324877</v>
      </c>
      <c r="B33329" s="23" t="n">
        <v>58</v>
      </c>
      <c r="C33329" s="7" t="n">
        <v>255</v>
      </c>
      <c r="D33329" s="7" t="n">
        <v>0</v>
      </c>
    </row>
    <row r="33330" spans="1:9">
      <c r="A33330" t="s">
        <v>4</v>
      </c>
      <c r="B33330" s="4" t="s">
        <v>5</v>
      </c>
      <c r="C33330" s="4" t="s">
        <v>7</v>
      </c>
      <c r="D33330" s="4" t="s">
        <v>11</v>
      </c>
      <c r="E33330" s="4" t="s">
        <v>8</v>
      </c>
      <c r="F33330" s="4" t="s">
        <v>8</v>
      </c>
      <c r="G33330" s="4" t="s">
        <v>8</v>
      </c>
      <c r="H33330" s="4" t="s">
        <v>8</v>
      </c>
    </row>
    <row r="33331" spans="1:9">
      <c r="A33331" t="n">
        <v>324881</v>
      </c>
      <c r="B33331" s="38" t="n">
        <v>51</v>
      </c>
      <c r="C33331" s="7" t="n">
        <v>3</v>
      </c>
      <c r="D33331" s="7" t="n">
        <v>18</v>
      </c>
      <c r="E33331" s="7" t="s">
        <v>99</v>
      </c>
      <c r="F33331" s="7" t="s">
        <v>218</v>
      </c>
      <c r="G33331" s="7" t="s">
        <v>78</v>
      </c>
      <c r="H33331" s="7" t="s">
        <v>79</v>
      </c>
    </row>
    <row r="33332" spans="1:9">
      <c r="A33332" t="s">
        <v>4</v>
      </c>
      <c r="B33332" s="4" t="s">
        <v>5</v>
      </c>
      <c r="C33332" s="4" t="s">
        <v>11</v>
      </c>
      <c r="D33332" s="4" t="s">
        <v>11</v>
      </c>
      <c r="E33332" s="4" t="s">
        <v>13</v>
      </c>
      <c r="F33332" s="4" t="s">
        <v>7</v>
      </c>
    </row>
    <row r="33333" spans="1:9">
      <c r="A33333" t="n">
        <v>324894</v>
      </c>
      <c r="B33333" s="73" t="n">
        <v>53</v>
      </c>
      <c r="C33333" s="7" t="n">
        <v>18</v>
      </c>
      <c r="D33333" s="7" t="n">
        <v>0</v>
      </c>
      <c r="E33333" s="7" t="n">
        <v>5</v>
      </c>
      <c r="F33333" s="7" t="n">
        <v>0</v>
      </c>
    </row>
    <row r="33334" spans="1:9">
      <c r="A33334" t="s">
        <v>4</v>
      </c>
      <c r="B33334" s="4" t="s">
        <v>5</v>
      </c>
      <c r="C33334" s="4" t="s">
        <v>11</v>
      </c>
    </row>
    <row r="33335" spans="1:9">
      <c r="A33335" t="n">
        <v>324904</v>
      </c>
      <c r="B33335" s="66" t="n">
        <v>54</v>
      </c>
      <c r="C33335" s="7" t="n">
        <v>18</v>
      </c>
    </row>
    <row r="33336" spans="1:9">
      <c r="A33336" t="s">
        <v>4</v>
      </c>
      <c r="B33336" s="4" t="s">
        <v>5</v>
      </c>
      <c r="C33336" s="4" t="s">
        <v>7</v>
      </c>
      <c r="D33336" s="4" t="s">
        <v>7</v>
      </c>
    </row>
    <row r="33337" spans="1:9">
      <c r="A33337" t="n">
        <v>324907</v>
      </c>
      <c r="B33337" s="13" t="n">
        <v>49</v>
      </c>
      <c r="C33337" s="7" t="n">
        <v>2</v>
      </c>
      <c r="D33337" s="7" t="n">
        <v>0</v>
      </c>
    </row>
    <row r="33338" spans="1:9">
      <c r="A33338" t="s">
        <v>4</v>
      </c>
      <c r="B33338" s="4" t="s">
        <v>5</v>
      </c>
      <c r="C33338" s="4" t="s">
        <v>7</v>
      </c>
      <c r="D33338" s="4" t="s">
        <v>11</v>
      </c>
      <c r="E33338" s="4" t="s">
        <v>15</v>
      </c>
      <c r="F33338" s="4" t="s">
        <v>11</v>
      </c>
      <c r="G33338" s="4" t="s">
        <v>15</v>
      </c>
      <c r="H33338" s="4" t="s">
        <v>7</v>
      </c>
    </row>
    <row r="33339" spans="1:9">
      <c r="A33339" t="n">
        <v>324910</v>
      </c>
      <c r="B33339" s="13" t="n">
        <v>49</v>
      </c>
      <c r="C33339" s="7" t="n">
        <v>0</v>
      </c>
      <c r="D33339" s="7" t="n">
        <v>551</v>
      </c>
      <c r="E33339" s="7" t="n">
        <v>1061997773</v>
      </c>
      <c r="F33339" s="7" t="n">
        <v>0</v>
      </c>
      <c r="G33339" s="7" t="n">
        <v>0</v>
      </c>
      <c r="H33339" s="7" t="n">
        <v>0</v>
      </c>
    </row>
    <row r="33340" spans="1:9">
      <c r="A33340" t="s">
        <v>4</v>
      </c>
      <c r="B33340" s="4" t="s">
        <v>5</v>
      </c>
      <c r="C33340" s="4" t="s">
        <v>7</v>
      </c>
      <c r="D33340" s="4" t="s">
        <v>11</v>
      </c>
    </row>
    <row r="33341" spans="1:9">
      <c r="A33341" t="n">
        <v>324925</v>
      </c>
      <c r="B33341" s="13" t="n">
        <v>49</v>
      </c>
      <c r="C33341" s="7" t="n">
        <v>6</v>
      </c>
      <c r="D33341" s="7" t="n">
        <v>551</v>
      </c>
    </row>
    <row r="33342" spans="1:9">
      <c r="A33342" t="s">
        <v>4</v>
      </c>
      <c r="B33342" s="4" t="s">
        <v>5</v>
      </c>
      <c r="C33342" s="4" t="s">
        <v>11</v>
      </c>
    </row>
    <row r="33343" spans="1:9">
      <c r="A33343" t="n">
        <v>324929</v>
      </c>
      <c r="B33343" s="29" t="n">
        <v>16</v>
      </c>
      <c r="C33343" s="7" t="n">
        <v>500</v>
      </c>
    </row>
    <row r="33344" spans="1:9">
      <c r="A33344" t="s">
        <v>4</v>
      </c>
      <c r="B33344" s="4" t="s">
        <v>5</v>
      </c>
      <c r="C33344" s="4" t="s">
        <v>7</v>
      </c>
      <c r="D33344" s="4" t="s">
        <v>11</v>
      </c>
      <c r="E33344" s="4" t="s">
        <v>8</v>
      </c>
    </row>
    <row r="33345" spans="1:8">
      <c r="A33345" t="n">
        <v>324932</v>
      </c>
      <c r="B33345" s="38" t="n">
        <v>51</v>
      </c>
      <c r="C33345" s="7" t="n">
        <v>4</v>
      </c>
      <c r="D33345" s="7" t="n">
        <v>18</v>
      </c>
      <c r="E33345" s="7" t="s">
        <v>658</v>
      </c>
    </row>
    <row r="33346" spans="1:8">
      <c r="A33346" t="s">
        <v>4</v>
      </c>
      <c r="B33346" s="4" t="s">
        <v>5</v>
      </c>
      <c r="C33346" s="4" t="s">
        <v>11</v>
      </c>
    </row>
    <row r="33347" spans="1:8">
      <c r="A33347" t="n">
        <v>324946</v>
      </c>
      <c r="B33347" s="29" t="n">
        <v>16</v>
      </c>
      <c r="C33347" s="7" t="n">
        <v>0</v>
      </c>
    </row>
    <row r="33348" spans="1:8">
      <c r="A33348" t="s">
        <v>4</v>
      </c>
      <c r="B33348" s="4" t="s">
        <v>5</v>
      </c>
      <c r="C33348" s="4" t="s">
        <v>11</v>
      </c>
      <c r="D33348" s="4" t="s">
        <v>7</v>
      </c>
      <c r="E33348" s="4" t="s">
        <v>15</v>
      </c>
      <c r="F33348" s="4" t="s">
        <v>55</v>
      </c>
      <c r="G33348" s="4" t="s">
        <v>7</v>
      </c>
      <c r="H33348" s="4" t="s">
        <v>7</v>
      </c>
    </row>
    <row r="33349" spans="1:8">
      <c r="A33349" t="n">
        <v>324949</v>
      </c>
      <c r="B33349" s="55" t="n">
        <v>26</v>
      </c>
      <c r="C33349" s="7" t="n">
        <v>18</v>
      </c>
      <c r="D33349" s="7" t="n">
        <v>17</v>
      </c>
      <c r="E33349" s="7" t="n">
        <v>17800</v>
      </c>
      <c r="F33349" s="7" t="s">
        <v>882</v>
      </c>
      <c r="G33349" s="7" t="n">
        <v>2</v>
      </c>
      <c r="H33349" s="7" t="n">
        <v>0</v>
      </c>
    </row>
    <row r="33350" spans="1:8">
      <c r="A33350" t="s">
        <v>4</v>
      </c>
      <c r="B33350" s="4" t="s">
        <v>5</v>
      </c>
    </row>
    <row r="33351" spans="1:8">
      <c r="A33351" t="n">
        <v>325023</v>
      </c>
      <c r="B33351" s="27" t="n">
        <v>28</v>
      </c>
    </row>
    <row r="33352" spans="1:8">
      <c r="A33352" t="s">
        <v>4</v>
      </c>
      <c r="B33352" s="4" t="s">
        <v>5</v>
      </c>
      <c r="C33352" s="4" t="s">
        <v>7</v>
      </c>
      <c r="D33352" s="4" t="s">
        <v>11</v>
      </c>
      <c r="E33352" s="4" t="s">
        <v>8</v>
      </c>
    </row>
    <row r="33353" spans="1:8">
      <c r="A33353" t="n">
        <v>325024</v>
      </c>
      <c r="B33353" s="38" t="n">
        <v>51</v>
      </c>
      <c r="C33353" s="7" t="n">
        <v>4</v>
      </c>
      <c r="D33353" s="7" t="n">
        <v>0</v>
      </c>
      <c r="E33353" s="7" t="s">
        <v>883</v>
      </c>
    </row>
    <row r="33354" spans="1:8">
      <c r="A33354" t="s">
        <v>4</v>
      </c>
      <c r="B33354" s="4" t="s">
        <v>5</v>
      </c>
      <c r="C33354" s="4" t="s">
        <v>11</v>
      </c>
    </row>
    <row r="33355" spans="1:8">
      <c r="A33355" t="n">
        <v>325038</v>
      </c>
      <c r="B33355" s="29" t="n">
        <v>16</v>
      </c>
      <c r="C33355" s="7" t="n">
        <v>0</v>
      </c>
    </row>
    <row r="33356" spans="1:8">
      <c r="A33356" t="s">
        <v>4</v>
      </c>
      <c r="B33356" s="4" t="s">
        <v>5</v>
      </c>
      <c r="C33356" s="4" t="s">
        <v>11</v>
      </c>
      <c r="D33356" s="4" t="s">
        <v>7</v>
      </c>
      <c r="E33356" s="4" t="s">
        <v>15</v>
      </c>
      <c r="F33356" s="4" t="s">
        <v>55</v>
      </c>
      <c r="G33356" s="4" t="s">
        <v>7</v>
      </c>
      <c r="H33356" s="4" t="s">
        <v>7</v>
      </c>
    </row>
    <row r="33357" spans="1:8">
      <c r="A33357" t="n">
        <v>325041</v>
      </c>
      <c r="B33357" s="55" t="n">
        <v>26</v>
      </c>
      <c r="C33357" s="7" t="n">
        <v>0</v>
      </c>
      <c r="D33357" s="7" t="n">
        <v>17</v>
      </c>
      <c r="E33357" s="7" t="n">
        <v>64085</v>
      </c>
      <c r="F33357" s="7" t="s">
        <v>884</v>
      </c>
      <c r="G33357" s="7" t="n">
        <v>2</v>
      </c>
      <c r="H33357" s="7" t="n">
        <v>0</v>
      </c>
    </row>
    <row r="33358" spans="1:8">
      <c r="A33358" t="s">
        <v>4</v>
      </c>
      <c r="B33358" s="4" t="s">
        <v>5</v>
      </c>
    </row>
    <row r="33359" spans="1:8">
      <c r="A33359" t="n">
        <v>325061</v>
      </c>
      <c r="B33359" s="27" t="n">
        <v>28</v>
      </c>
    </row>
    <row r="33360" spans="1:8">
      <c r="A33360" t="s">
        <v>4</v>
      </c>
      <c r="B33360" s="4" t="s">
        <v>5</v>
      </c>
      <c r="C33360" s="4" t="s">
        <v>7</v>
      </c>
      <c r="D33360" s="4" t="s">
        <v>11</v>
      </c>
      <c r="E33360" s="4" t="s">
        <v>8</v>
      </c>
    </row>
    <row r="33361" spans="1:8">
      <c r="A33361" t="n">
        <v>325062</v>
      </c>
      <c r="B33361" s="38" t="n">
        <v>51</v>
      </c>
      <c r="C33361" s="7" t="n">
        <v>4</v>
      </c>
      <c r="D33361" s="7" t="n">
        <v>18</v>
      </c>
      <c r="E33361" s="7" t="s">
        <v>885</v>
      </c>
    </row>
    <row r="33362" spans="1:8">
      <c r="A33362" t="s">
        <v>4</v>
      </c>
      <c r="B33362" s="4" t="s">
        <v>5</v>
      </c>
      <c r="C33362" s="4" t="s">
        <v>11</v>
      </c>
    </row>
    <row r="33363" spans="1:8">
      <c r="A33363" t="n">
        <v>325075</v>
      </c>
      <c r="B33363" s="29" t="n">
        <v>16</v>
      </c>
      <c r="C33363" s="7" t="n">
        <v>0</v>
      </c>
    </row>
    <row r="33364" spans="1:8">
      <c r="A33364" t="s">
        <v>4</v>
      </c>
      <c r="B33364" s="4" t="s">
        <v>5</v>
      </c>
      <c r="C33364" s="4" t="s">
        <v>11</v>
      </c>
      <c r="D33364" s="4" t="s">
        <v>7</v>
      </c>
      <c r="E33364" s="4" t="s">
        <v>15</v>
      </c>
      <c r="F33364" s="4" t="s">
        <v>55</v>
      </c>
      <c r="G33364" s="4" t="s">
        <v>7</v>
      </c>
      <c r="H33364" s="4" t="s">
        <v>7</v>
      </c>
      <c r="I33364" s="4" t="s">
        <v>7</v>
      </c>
      <c r="J33364" s="4" t="s">
        <v>15</v>
      </c>
      <c r="K33364" s="4" t="s">
        <v>55</v>
      </c>
      <c r="L33364" s="4" t="s">
        <v>7</v>
      </c>
      <c r="M33364" s="4" t="s">
        <v>7</v>
      </c>
      <c r="N33364" s="4" t="s">
        <v>7</v>
      </c>
      <c r="O33364" s="4" t="s">
        <v>15</v>
      </c>
      <c r="P33364" s="4" t="s">
        <v>55</v>
      </c>
      <c r="Q33364" s="4" t="s">
        <v>7</v>
      </c>
      <c r="R33364" s="4" t="s">
        <v>7</v>
      </c>
      <c r="S33364" s="4" t="s">
        <v>7</v>
      </c>
      <c r="T33364" s="4" t="s">
        <v>15</v>
      </c>
      <c r="U33364" s="4" t="s">
        <v>55</v>
      </c>
      <c r="V33364" s="4" t="s">
        <v>7</v>
      </c>
      <c r="W33364" s="4" t="s">
        <v>7</v>
      </c>
    </row>
    <row r="33365" spans="1:8">
      <c r="A33365" t="n">
        <v>325078</v>
      </c>
      <c r="B33365" s="55" t="n">
        <v>26</v>
      </c>
      <c r="C33365" s="7" t="n">
        <v>18</v>
      </c>
      <c r="D33365" s="7" t="n">
        <v>17</v>
      </c>
      <c r="E33365" s="7" t="n">
        <v>17801</v>
      </c>
      <c r="F33365" s="7" t="s">
        <v>886</v>
      </c>
      <c r="G33365" s="7" t="n">
        <v>2</v>
      </c>
      <c r="H33365" s="7" t="n">
        <v>3</v>
      </c>
      <c r="I33365" s="7" t="n">
        <v>17</v>
      </c>
      <c r="J33365" s="7" t="n">
        <v>17802</v>
      </c>
      <c r="K33365" s="7" t="s">
        <v>887</v>
      </c>
      <c r="L33365" s="7" t="n">
        <v>2</v>
      </c>
      <c r="M33365" s="7" t="n">
        <v>3</v>
      </c>
      <c r="N33365" s="7" t="n">
        <v>17</v>
      </c>
      <c r="O33365" s="7" t="n">
        <v>17803</v>
      </c>
      <c r="P33365" s="7" t="s">
        <v>888</v>
      </c>
      <c r="Q33365" s="7" t="n">
        <v>2</v>
      </c>
      <c r="R33365" s="7" t="n">
        <v>3</v>
      </c>
      <c r="S33365" s="7" t="n">
        <v>17</v>
      </c>
      <c r="T33365" s="7" t="n">
        <v>17804</v>
      </c>
      <c r="U33365" s="7" t="s">
        <v>889</v>
      </c>
      <c r="V33365" s="7" t="n">
        <v>2</v>
      </c>
      <c r="W33365" s="7" t="n">
        <v>0</v>
      </c>
    </row>
    <row r="33366" spans="1:8">
      <c r="A33366" t="s">
        <v>4</v>
      </c>
      <c r="B33366" s="4" t="s">
        <v>5</v>
      </c>
    </row>
    <row r="33367" spans="1:8">
      <c r="A33367" t="n">
        <v>325510</v>
      </c>
      <c r="B33367" s="27" t="n">
        <v>28</v>
      </c>
    </row>
    <row r="33368" spans="1:8">
      <c r="A33368" t="s">
        <v>4</v>
      </c>
      <c r="B33368" s="4" t="s">
        <v>5</v>
      </c>
      <c r="C33368" s="4" t="s">
        <v>7</v>
      </c>
      <c r="D33368" s="4" t="s">
        <v>11</v>
      </c>
      <c r="E33368" s="4" t="s">
        <v>8</v>
      </c>
    </row>
    <row r="33369" spans="1:8">
      <c r="A33369" t="n">
        <v>325511</v>
      </c>
      <c r="B33369" s="38" t="n">
        <v>51</v>
      </c>
      <c r="C33369" s="7" t="n">
        <v>4</v>
      </c>
      <c r="D33369" s="7" t="n">
        <v>0</v>
      </c>
      <c r="E33369" s="7" t="s">
        <v>147</v>
      </c>
    </row>
    <row r="33370" spans="1:8">
      <c r="A33370" t="s">
        <v>4</v>
      </c>
      <c r="B33370" s="4" t="s">
        <v>5</v>
      </c>
      <c r="C33370" s="4" t="s">
        <v>11</v>
      </c>
    </row>
    <row r="33371" spans="1:8">
      <c r="A33371" t="n">
        <v>325525</v>
      </c>
      <c r="B33371" s="29" t="n">
        <v>16</v>
      </c>
      <c r="C33371" s="7" t="n">
        <v>0</v>
      </c>
    </row>
    <row r="33372" spans="1:8">
      <c r="A33372" t="s">
        <v>4</v>
      </c>
      <c r="B33372" s="4" t="s">
        <v>5</v>
      </c>
      <c r="C33372" s="4" t="s">
        <v>11</v>
      </c>
      <c r="D33372" s="4" t="s">
        <v>7</v>
      </c>
      <c r="E33372" s="4" t="s">
        <v>15</v>
      </c>
      <c r="F33372" s="4" t="s">
        <v>55</v>
      </c>
      <c r="G33372" s="4" t="s">
        <v>7</v>
      </c>
      <c r="H33372" s="4" t="s">
        <v>7</v>
      </c>
    </row>
    <row r="33373" spans="1:8">
      <c r="A33373" t="n">
        <v>325528</v>
      </c>
      <c r="B33373" s="55" t="n">
        <v>26</v>
      </c>
      <c r="C33373" s="7" t="n">
        <v>0</v>
      </c>
      <c r="D33373" s="7" t="n">
        <v>17</v>
      </c>
      <c r="E33373" s="7" t="n">
        <v>64086</v>
      </c>
      <c r="F33373" s="7" t="s">
        <v>890</v>
      </c>
      <c r="G33373" s="7" t="n">
        <v>2</v>
      </c>
      <c r="H33373" s="7" t="n">
        <v>0</v>
      </c>
    </row>
    <row r="33374" spans="1:8">
      <c r="A33374" t="s">
        <v>4</v>
      </c>
      <c r="B33374" s="4" t="s">
        <v>5</v>
      </c>
    </row>
    <row r="33375" spans="1:8">
      <c r="A33375" t="n">
        <v>325570</v>
      </c>
      <c r="B33375" s="27" t="n">
        <v>28</v>
      </c>
    </row>
    <row r="33376" spans="1:8">
      <c r="A33376" t="s">
        <v>4</v>
      </c>
      <c r="B33376" s="4" t="s">
        <v>5</v>
      </c>
      <c r="C33376" s="4" t="s">
        <v>7</v>
      </c>
      <c r="D33376" s="4" t="s">
        <v>11</v>
      </c>
      <c r="E33376" s="4" t="s">
        <v>8</v>
      </c>
    </row>
    <row r="33377" spans="1:23">
      <c r="A33377" t="n">
        <v>325571</v>
      </c>
      <c r="B33377" s="38" t="n">
        <v>51</v>
      </c>
      <c r="C33377" s="7" t="n">
        <v>4</v>
      </c>
      <c r="D33377" s="7" t="n">
        <v>18</v>
      </c>
      <c r="E33377" s="7" t="s">
        <v>891</v>
      </c>
    </row>
    <row r="33378" spans="1:23">
      <c r="A33378" t="s">
        <v>4</v>
      </c>
      <c r="B33378" s="4" t="s">
        <v>5</v>
      </c>
      <c r="C33378" s="4" t="s">
        <v>11</v>
      </c>
    </row>
    <row r="33379" spans="1:23">
      <c r="A33379" t="n">
        <v>325585</v>
      </c>
      <c r="B33379" s="29" t="n">
        <v>16</v>
      </c>
      <c r="C33379" s="7" t="n">
        <v>0</v>
      </c>
    </row>
    <row r="33380" spans="1:23">
      <c r="A33380" t="s">
        <v>4</v>
      </c>
      <c r="B33380" s="4" t="s">
        <v>5</v>
      </c>
      <c r="C33380" s="4" t="s">
        <v>11</v>
      </c>
      <c r="D33380" s="4" t="s">
        <v>7</v>
      </c>
      <c r="E33380" s="4" t="s">
        <v>15</v>
      </c>
      <c r="F33380" s="4" t="s">
        <v>55</v>
      </c>
      <c r="G33380" s="4" t="s">
        <v>7</v>
      </c>
      <c r="H33380" s="4" t="s">
        <v>7</v>
      </c>
      <c r="I33380" s="4" t="s">
        <v>7</v>
      </c>
      <c r="J33380" s="4" t="s">
        <v>15</v>
      </c>
      <c r="K33380" s="4" t="s">
        <v>55</v>
      </c>
      <c r="L33380" s="4" t="s">
        <v>7</v>
      </c>
      <c r="M33380" s="4" t="s">
        <v>7</v>
      </c>
    </row>
    <row r="33381" spans="1:23">
      <c r="A33381" t="n">
        <v>325588</v>
      </c>
      <c r="B33381" s="55" t="n">
        <v>26</v>
      </c>
      <c r="C33381" s="7" t="n">
        <v>18</v>
      </c>
      <c r="D33381" s="7" t="n">
        <v>17</v>
      </c>
      <c r="E33381" s="7" t="n">
        <v>17805</v>
      </c>
      <c r="F33381" s="7" t="s">
        <v>892</v>
      </c>
      <c r="G33381" s="7" t="n">
        <v>2</v>
      </c>
      <c r="H33381" s="7" t="n">
        <v>3</v>
      </c>
      <c r="I33381" s="7" t="n">
        <v>17</v>
      </c>
      <c r="J33381" s="7" t="n">
        <v>17806</v>
      </c>
      <c r="K33381" s="7" t="s">
        <v>893</v>
      </c>
      <c r="L33381" s="7" t="n">
        <v>2</v>
      </c>
      <c r="M33381" s="7" t="n">
        <v>0</v>
      </c>
    </row>
    <row r="33382" spans="1:23">
      <c r="A33382" t="s">
        <v>4</v>
      </c>
      <c r="B33382" s="4" t="s">
        <v>5</v>
      </c>
    </row>
    <row r="33383" spans="1:23">
      <c r="A33383" t="n">
        <v>325783</v>
      </c>
      <c r="B33383" s="27" t="n">
        <v>28</v>
      </c>
    </row>
    <row r="33384" spans="1:23">
      <c r="A33384" t="s">
        <v>4</v>
      </c>
      <c r="B33384" s="4" t="s">
        <v>5</v>
      </c>
      <c r="C33384" s="4" t="s">
        <v>11</v>
      </c>
      <c r="D33384" s="4" t="s">
        <v>7</v>
      </c>
    </row>
    <row r="33385" spans="1:23">
      <c r="A33385" t="n">
        <v>325784</v>
      </c>
      <c r="B33385" s="68" t="n">
        <v>89</v>
      </c>
      <c r="C33385" s="7" t="n">
        <v>65533</v>
      </c>
      <c r="D33385" s="7" t="n">
        <v>1</v>
      </c>
    </row>
    <row r="33386" spans="1:23">
      <c r="A33386" t="s">
        <v>4</v>
      </c>
      <c r="B33386" s="4" t="s">
        <v>5</v>
      </c>
      <c r="C33386" s="4" t="s">
        <v>7</v>
      </c>
      <c r="D33386" s="4" t="s">
        <v>11</v>
      </c>
      <c r="E33386" s="4" t="s">
        <v>8</v>
      </c>
    </row>
    <row r="33387" spans="1:23">
      <c r="A33387" t="n">
        <v>325788</v>
      </c>
      <c r="B33387" s="38" t="n">
        <v>51</v>
      </c>
      <c r="C33387" s="7" t="n">
        <v>4</v>
      </c>
      <c r="D33387" s="7" t="n">
        <v>0</v>
      </c>
      <c r="E33387" s="7" t="s">
        <v>894</v>
      </c>
    </row>
    <row r="33388" spans="1:23">
      <c r="A33388" t="s">
        <v>4</v>
      </c>
      <c r="B33388" s="4" t="s">
        <v>5</v>
      </c>
      <c r="C33388" s="4" t="s">
        <v>11</v>
      </c>
    </row>
    <row r="33389" spans="1:23">
      <c r="A33389" t="n">
        <v>325802</v>
      </c>
      <c r="B33389" s="29" t="n">
        <v>16</v>
      </c>
      <c r="C33389" s="7" t="n">
        <v>0</v>
      </c>
    </row>
    <row r="33390" spans="1:23">
      <c r="A33390" t="s">
        <v>4</v>
      </c>
      <c r="B33390" s="4" t="s">
        <v>5</v>
      </c>
      <c r="C33390" s="4" t="s">
        <v>11</v>
      </c>
      <c r="D33390" s="4" t="s">
        <v>7</v>
      </c>
      <c r="E33390" s="4" t="s">
        <v>15</v>
      </c>
      <c r="F33390" s="4" t="s">
        <v>55</v>
      </c>
      <c r="G33390" s="4" t="s">
        <v>7</v>
      </c>
      <c r="H33390" s="4" t="s">
        <v>7</v>
      </c>
    </row>
    <row r="33391" spans="1:23">
      <c r="A33391" t="n">
        <v>325805</v>
      </c>
      <c r="B33391" s="55" t="n">
        <v>26</v>
      </c>
      <c r="C33391" s="7" t="n">
        <v>0</v>
      </c>
      <c r="D33391" s="7" t="n">
        <v>17</v>
      </c>
      <c r="E33391" s="7" t="n">
        <v>64268</v>
      </c>
      <c r="F33391" s="7" t="s">
        <v>446</v>
      </c>
      <c r="G33391" s="7" t="n">
        <v>2</v>
      </c>
      <c r="H33391" s="7" t="n">
        <v>0</v>
      </c>
    </row>
    <row r="33392" spans="1:23">
      <c r="A33392" t="s">
        <v>4</v>
      </c>
      <c r="B33392" s="4" t="s">
        <v>5</v>
      </c>
    </row>
    <row r="33393" spans="1:13">
      <c r="A33393" t="n">
        <v>325821</v>
      </c>
      <c r="B33393" s="27" t="n">
        <v>28</v>
      </c>
    </row>
    <row r="33394" spans="1:13">
      <c r="A33394" t="s">
        <v>4</v>
      </c>
      <c r="B33394" s="4" t="s">
        <v>5</v>
      </c>
      <c r="C33394" s="4" t="s">
        <v>11</v>
      </c>
      <c r="D33394" s="4" t="s">
        <v>7</v>
      </c>
    </row>
    <row r="33395" spans="1:13">
      <c r="A33395" t="n">
        <v>325822</v>
      </c>
      <c r="B33395" s="68" t="n">
        <v>89</v>
      </c>
      <c r="C33395" s="7" t="n">
        <v>65533</v>
      </c>
      <c r="D33395" s="7" t="n">
        <v>1</v>
      </c>
    </row>
    <row r="33396" spans="1:13">
      <c r="A33396" t="s">
        <v>4</v>
      </c>
      <c r="B33396" s="4" t="s">
        <v>5</v>
      </c>
      <c r="C33396" s="4" t="s">
        <v>7</v>
      </c>
      <c r="D33396" s="4" t="s">
        <v>11</v>
      </c>
      <c r="E33396" s="4" t="s">
        <v>13</v>
      </c>
    </row>
    <row r="33397" spans="1:13">
      <c r="A33397" t="n">
        <v>325826</v>
      </c>
      <c r="B33397" s="23" t="n">
        <v>58</v>
      </c>
      <c r="C33397" s="7" t="n">
        <v>101</v>
      </c>
      <c r="D33397" s="7" t="n">
        <v>500</v>
      </c>
      <c r="E33397" s="7" t="n">
        <v>1</v>
      </c>
    </row>
    <row r="33398" spans="1:13">
      <c r="A33398" t="s">
        <v>4</v>
      </c>
      <c r="B33398" s="4" t="s">
        <v>5</v>
      </c>
      <c r="C33398" s="4" t="s">
        <v>7</v>
      </c>
      <c r="D33398" s="4" t="s">
        <v>11</v>
      </c>
    </row>
    <row r="33399" spans="1:13">
      <c r="A33399" t="n">
        <v>325834</v>
      </c>
      <c r="B33399" s="23" t="n">
        <v>58</v>
      </c>
      <c r="C33399" s="7" t="n">
        <v>254</v>
      </c>
      <c r="D33399" s="7" t="n">
        <v>0</v>
      </c>
    </row>
    <row r="33400" spans="1:13">
      <c r="A33400" t="s">
        <v>4</v>
      </c>
      <c r="B33400" s="4" t="s">
        <v>5</v>
      </c>
      <c r="C33400" s="4" t="s">
        <v>11</v>
      </c>
      <c r="D33400" s="4" t="s">
        <v>13</v>
      </c>
      <c r="E33400" s="4" t="s">
        <v>13</v>
      </c>
      <c r="F33400" s="4" t="s">
        <v>13</v>
      </c>
      <c r="G33400" s="4" t="s">
        <v>11</v>
      </c>
      <c r="H33400" s="4" t="s">
        <v>11</v>
      </c>
    </row>
    <row r="33401" spans="1:13">
      <c r="A33401" t="n">
        <v>325838</v>
      </c>
      <c r="B33401" s="37" t="n">
        <v>60</v>
      </c>
      <c r="C33401" s="7" t="n">
        <v>18</v>
      </c>
      <c r="D33401" s="7" t="n">
        <v>0</v>
      </c>
      <c r="E33401" s="7" t="n">
        <v>0</v>
      </c>
      <c r="F33401" s="7" t="n">
        <v>0</v>
      </c>
      <c r="G33401" s="7" t="n">
        <v>0</v>
      </c>
      <c r="H33401" s="7" t="n">
        <v>1</v>
      </c>
    </row>
    <row r="33402" spans="1:13">
      <c r="A33402" t="s">
        <v>4</v>
      </c>
      <c r="B33402" s="4" t="s">
        <v>5</v>
      </c>
      <c r="C33402" s="4" t="s">
        <v>11</v>
      </c>
      <c r="D33402" s="4" t="s">
        <v>13</v>
      </c>
      <c r="E33402" s="4" t="s">
        <v>13</v>
      </c>
      <c r="F33402" s="4" t="s">
        <v>13</v>
      </c>
      <c r="G33402" s="4" t="s">
        <v>11</v>
      </c>
      <c r="H33402" s="4" t="s">
        <v>11</v>
      </c>
    </row>
    <row r="33403" spans="1:13">
      <c r="A33403" t="n">
        <v>325857</v>
      </c>
      <c r="B33403" s="37" t="n">
        <v>60</v>
      </c>
      <c r="C33403" s="7" t="n">
        <v>18</v>
      </c>
      <c r="D33403" s="7" t="n">
        <v>0</v>
      </c>
      <c r="E33403" s="7" t="n">
        <v>0</v>
      </c>
      <c r="F33403" s="7" t="n">
        <v>0</v>
      </c>
      <c r="G33403" s="7" t="n">
        <v>0</v>
      </c>
      <c r="H33403" s="7" t="n">
        <v>0</v>
      </c>
    </row>
    <row r="33404" spans="1:13">
      <c r="A33404" t="s">
        <v>4</v>
      </c>
      <c r="B33404" s="4" t="s">
        <v>5</v>
      </c>
      <c r="C33404" s="4" t="s">
        <v>11</v>
      </c>
      <c r="D33404" s="4" t="s">
        <v>11</v>
      </c>
      <c r="E33404" s="4" t="s">
        <v>11</v>
      </c>
    </row>
    <row r="33405" spans="1:13">
      <c r="A33405" t="n">
        <v>325876</v>
      </c>
      <c r="B33405" s="72" t="n">
        <v>61</v>
      </c>
      <c r="C33405" s="7" t="n">
        <v>18</v>
      </c>
      <c r="D33405" s="7" t="n">
        <v>65533</v>
      </c>
      <c r="E33405" s="7" t="n">
        <v>0</v>
      </c>
    </row>
    <row r="33406" spans="1:13">
      <c r="A33406" t="s">
        <v>4</v>
      </c>
      <c r="B33406" s="4" t="s">
        <v>5</v>
      </c>
      <c r="C33406" s="4" t="s">
        <v>7</v>
      </c>
      <c r="D33406" s="4" t="s">
        <v>7</v>
      </c>
      <c r="E33406" s="4" t="s">
        <v>13</v>
      </c>
      <c r="F33406" s="4" t="s">
        <v>13</v>
      </c>
      <c r="G33406" s="4" t="s">
        <v>13</v>
      </c>
      <c r="H33406" s="4" t="s">
        <v>11</v>
      </c>
    </row>
    <row r="33407" spans="1:13">
      <c r="A33407" t="n">
        <v>325883</v>
      </c>
      <c r="B33407" s="51" t="n">
        <v>45</v>
      </c>
      <c r="C33407" s="7" t="n">
        <v>2</v>
      </c>
      <c r="D33407" s="7" t="n">
        <v>3</v>
      </c>
      <c r="E33407" s="7" t="n">
        <v>-6.86999988555908</v>
      </c>
      <c r="F33407" s="7" t="n">
        <v>6.46000003814697</v>
      </c>
      <c r="G33407" s="7" t="n">
        <v>29.9200000762939</v>
      </c>
      <c r="H33407" s="7" t="n">
        <v>0</v>
      </c>
    </row>
    <row r="33408" spans="1:13">
      <c r="A33408" t="s">
        <v>4</v>
      </c>
      <c r="B33408" s="4" t="s">
        <v>5</v>
      </c>
      <c r="C33408" s="4" t="s">
        <v>7</v>
      </c>
      <c r="D33408" s="4" t="s">
        <v>7</v>
      </c>
      <c r="E33408" s="4" t="s">
        <v>13</v>
      </c>
      <c r="F33408" s="4" t="s">
        <v>13</v>
      </c>
      <c r="G33408" s="4" t="s">
        <v>13</v>
      </c>
      <c r="H33408" s="4" t="s">
        <v>11</v>
      </c>
      <c r="I33408" s="4" t="s">
        <v>7</v>
      </c>
    </row>
    <row r="33409" spans="1:9">
      <c r="A33409" t="n">
        <v>325900</v>
      </c>
      <c r="B33409" s="51" t="n">
        <v>45</v>
      </c>
      <c r="C33409" s="7" t="n">
        <v>4</v>
      </c>
      <c r="D33409" s="7" t="n">
        <v>3</v>
      </c>
      <c r="E33409" s="7" t="n">
        <v>9.21000003814697</v>
      </c>
      <c r="F33409" s="7" t="n">
        <v>50.6699981689453</v>
      </c>
      <c r="G33409" s="7" t="n">
        <v>8</v>
      </c>
      <c r="H33409" s="7" t="n">
        <v>0</v>
      </c>
      <c r="I33409" s="7" t="n">
        <v>0</v>
      </c>
    </row>
    <row r="33410" spans="1:9">
      <c r="A33410" t="s">
        <v>4</v>
      </c>
      <c r="B33410" s="4" t="s">
        <v>5</v>
      </c>
      <c r="C33410" s="4" t="s">
        <v>7</v>
      </c>
      <c r="D33410" s="4" t="s">
        <v>7</v>
      </c>
      <c r="E33410" s="4" t="s">
        <v>13</v>
      </c>
      <c r="F33410" s="4" t="s">
        <v>11</v>
      </c>
    </row>
    <row r="33411" spans="1:9">
      <c r="A33411" t="n">
        <v>325918</v>
      </c>
      <c r="B33411" s="51" t="n">
        <v>45</v>
      </c>
      <c r="C33411" s="7" t="n">
        <v>5</v>
      </c>
      <c r="D33411" s="7" t="n">
        <v>3</v>
      </c>
      <c r="E33411" s="7" t="n">
        <v>1.10000002384186</v>
      </c>
      <c r="F33411" s="7" t="n">
        <v>0</v>
      </c>
    </row>
    <row r="33412" spans="1:9">
      <c r="A33412" t="s">
        <v>4</v>
      </c>
      <c r="B33412" s="4" t="s">
        <v>5</v>
      </c>
      <c r="C33412" s="4" t="s">
        <v>7</v>
      </c>
      <c r="D33412" s="4" t="s">
        <v>7</v>
      </c>
      <c r="E33412" s="4" t="s">
        <v>13</v>
      </c>
      <c r="F33412" s="4" t="s">
        <v>11</v>
      </c>
    </row>
    <row r="33413" spans="1:9">
      <c r="A33413" t="n">
        <v>325927</v>
      </c>
      <c r="B33413" s="51" t="n">
        <v>45</v>
      </c>
      <c r="C33413" s="7" t="n">
        <v>11</v>
      </c>
      <c r="D33413" s="7" t="n">
        <v>3</v>
      </c>
      <c r="E33413" s="7" t="n">
        <v>40.2999992370605</v>
      </c>
      <c r="F33413" s="7" t="n">
        <v>0</v>
      </c>
    </row>
    <row r="33414" spans="1:9">
      <c r="A33414" t="s">
        <v>4</v>
      </c>
      <c r="B33414" s="4" t="s">
        <v>5</v>
      </c>
      <c r="C33414" s="4" t="s">
        <v>7</v>
      </c>
      <c r="D33414" s="4" t="s">
        <v>11</v>
      </c>
    </row>
    <row r="33415" spans="1:9">
      <c r="A33415" t="n">
        <v>325936</v>
      </c>
      <c r="B33415" s="23" t="n">
        <v>58</v>
      </c>
      <c r="C33415" s="7" t="n">
        <v>255</v>
      </c>
      <c r="D33415" s="7" t="n">
        <v>0</v>
      </c>
    </row>
    <row r="33416" spans="1:9">
      <c r="A33416" t="s">
        <v>4</v>
      </c>
      <c r="B33416" s="4" t="s">
        <v>5</v>
      </c>
      <c r="C33416" s="4" t="s">
        <v>11</v>
      </c>
      <c r="D33416" s="4" t="s">
        <v>13</v>
      </c>
      <c r="E33416" s="4" t="s">
        <v>13</v>
      </c>
      <c r="F33416" s="4" t="s">
        <v>13</v>
      </c>
      <c r="G33416" s="4" t="s">
        <v>11</v>
      </c>
      <c r="H33416" s="4" t="s">
        <v>11</v>
      </c>
    </row>
    <row r="33417" spans="1:9">
      <c r="A33417" t="n">
        <v>325940</v>
      </c>
      <c r="B33417" s="37" t="n">
        <v>60</v>
      </c>
      <c r="C33417" s="7" t="n">
        <v>18</v>
      </c>
      <c r="D33417" s="7" t="n">
        <v>0</v>
      </c>
      <c r="E33417" s="7" t="n">
        <v>-10</v>
      </c>
      <c r="F33417" s="7" t="n">
        <v>0</v>
      </c>
      <c r="G33417" s="7" t="n">
        <v>1000</v>
      </c>
      <c r="H33417" s="7" t="n">
        <v>0</v>
      </c>
    </row>
    <row r="33418" spans="1:9">
      <c r="A33418" t="s">
        <v>4</v>
      </c>
      <c r="B33418" s="4" t="s">
        <v>5</v>
      </c>
      <c r="C33418" s="4" t="s">
        <v>7</v>
      </c>
      <c r="D33418" s="4" t="s">
        <v>11</v>
      </c>
      <c r="E33418" s="4" t="s">
        <v>8</v>
      </c>
      <c r="F33418" s="4" t="s">
        <v>8</v>
      </c>
      <c r="G33418" s="4" t="s">
        <v>8</v>
      </c>
      <c r="H33418" s="4" t="s">
        <v>8</v>
      </c>
    </row>
    <row r="33419" spans="1:9">
      <c r="A33419" t="n">
        <v>325959</v>
      </c>
      <c r="B33419" s="38" t="n">
        <v>51</v>
      </c>
      <c r="C33419" s="7" t="n">
        <v>3</v>
      </c>
      <c r="D33419" s="7" t="n">
        <v>18</v>
      </c>
      <c r="E33419" s="7" t="s">
        <v>372</v>
      </c>
      <c r="F33419" s="7" t="s">
        <v>218</v>
      </c>
      <c r="G33419" s="7" t="s">
        <v>78</v>
      </c>
      <c r="H33419" s="7" t="s">
        <v>79</v>
      </c>
    </row>
    <row r="33420" spans="1:9">
      <c r="A33420" t="s">
        <v>4</v>
      </c>
      <c r="B33420" s="4" t="s">
        <v>5</v>
      </c>
      <c r="C33420" s="4" t="s">
        <v>11</v>
      </c>
      <c r="D33420" s="4" t="s">
        <v>7</v>
      </c>
      <c r="E33420" s="4" t="s">
        <v>13</v>
      </c>
      <c r="F33420" s="4" t="s">
        <v>11</v>
      </c>
    </row>
    <row r="33421" spans="1:9">
      <c r="A33421" t="n">
        <v>325972</v>
      </c>
      <c r="B33421" s="56" t="n">
        <v>59</v>
      </c>
      <c r="C33421" s="7" t="n">
        <v>0</v>
      </c>
      <c r="D33421" s="7" t="n">
        <v>9</v>
      </c>
      <c r="E33421" s="7" t="n">
        <v>0.150000005960464</v>
      </c>
      <c r="F33421" s="7" t="n">
        <v>0</v>
      </c>
    </row>
    <row r="33422" spans="1:9">
      <c r="A33422" t="s">
        <v>4</v>
      </c>
      <c r="B33422" s="4" t="s">
        <v>5</v>
      </c>
      <c r="C33422" s="4" t="s">
        <v>11</v>
      </c>
    </row>
    <row r="33423" spans="1:9">
      <c r="A33423" t="n">
        <v>325982</v>
      </c>
      <c r="B33423" s="29" t="n">
        <v>16</v>
      </c>
      <c r="C33423" s="7" t="n">
        <v>1800</v>
      </c>
    </row>
    <row r="33424" spans="1:9">
      <c r="A33424" t="s">
        <v>4</v>
      </c>
      <c r="B33424" s="4" t="s">
        <v>5</v>
      </c>
      <c r="C33424" s="4" t="s">
        <v>11</v>
      </c>
      <c r="D33424" s="4" t="s">
        <v>11</v>
      </c>
      <c r="E33424" s="4" t="s">
        <v>13</v>
      </c>
      <c r="F33424" s="4" t="s">
        <v>13</v>
      </c>
      <c r="G33424" s="4" t="s">
        <v>13</v>
      </c>
      <c r="H33424" s="4" t="s">
        <v>13</v>
      </c>
      <c r="I33424" s="4" t="s">
        <v>7</v>
      </c>
      <c r="J33424" s="4" t="s">
        <v>11</v>
      </c>
    </row>
    <row r="33425" spans="1:10">
      <c r="A33425" t="n">
        <v>325985</v>
      </c>
      <c r="B33425" s="53" t="n">
        <v>55</v>
      </c>
      <c r="C33425" s="7" t="n">
        <v>0</v>
      </c>
      <c r="D33425" s="7" t="n">
        <v>65533</v>
      </c>
      <c r="E33425" s="7" t="n">
        <v>-6.88000011444092</v>
      </c>
      <c r="F33425" s="7" t="n">
        <v>5</v>
      </c>
      <c r="G33425" s="7" t="n">
        <v>29.8600006103516</v>
      </c>
      <c r="H33425" s="7" t="n">
        <v>1.20000004768372</v>
      </c>
      <c r="I33425" s="7" t="n">
        <v>1</v>
      </c>
      <c r="J33425" s="7" t="n">
        <v>0</v>
      </c>
    </row>
    <row r="33426" spans="1:10">
      <c r="A33426" t="s">
        <v>4</v>
      </c>
      <c r="B33426" s="4" t="s">
        <v>5</v>
      </c>
      <c r="C33426" s="4" t="s">
        <v>11</v>
      </c>
    </row>
    <row r="33427" spans="1:10">
      <c r="A33427" t="n">
        <v>326009</v>
      </c>
      <c r="B33427" s="29" t="n">
        <v>16</v>
      </c>
      <c r="C33427" s="7" t="n">
        <v>500</v>
      </c>
    </row>
    <row r="33428" spans="1:10">
      <c r="A33428" t="s">
        <v>4</v>
      </c>
      <c r="B33428" s="4" t="s">
        <v>5</v>
      </c>
      <c r="C33428" s="4" t="s">
        <v>7</v>
      </c>
      <c r="D33428" s="4" t="s">
        <v>11</v>
      </c>
      <c r="E33428" s="4" t="s">
        <v>13</v>
      </c>
    </row>
    <row r="33429" spans="1:10">
      <c r="A33429" t="n">
        <v>326012</v>
      </c>
      <c r="B33429" s="23" t="n">
        <v>58</v>
      </c>
      <c r="C33429" s="7" t="n">
        <v>101</v>
      </c>
      <c r="D33429" s="7" t="n">
        <v>500</v>
      </c>
      <c r="E33429" s="7" t="n">
        <v>1</v>
      </c>
    </row>
    <row r="33430" spans="1:10">
      <c r="A33430" t="s">
        <v>4</v>
      </c>
      <c r="B33430" s="4" t="s">
        <v>5</v>
      </c>
      <c r="C33430" s="4" t="s">
        <v>7</v>
      </c>
      <c r="D33430" s="4" t="s">
        <v>11</v>
      </c>
    </row>
    <row r="33431" spans="1:10">
      <c r="A33431" t="n">
        <v>326020</v>
      </c>
      <c r="B33431" s="23" t="n">
        <v>58</v>
      </c>
      <c r="C33431" s="7" t="n">
        <v>254</v>
      </c>
      <c r="D33431" s="7" t="n">
        <v>0</v>
      </c>
    </row>
    <row r="33432" spans="1:10">
      <c r="A33432" t="s">
        <v>4</v>
      </c>
      <c r="B33432" s="4" t="s">
        <v>5</v>
      </c>
      <c r="C33432" s="4" t="s">
        <v>7</v>
      </c>
      <c r="D33432" s="4" t="s">
        <v>7</v>
      </c>
      <c r="E33432" s="4" t="s">
        <v>13</v>
      </c>
      <c r="F33432" s="4" t="s">
        <v>13</v>
      </c>
      <c r="G33432" s="4" t="s">
        <v>13</v>
      </c>
      <c r="H33432" s="4" t="s">
        <v>11</v>
      </c>
    </row>
    <row r="33433" spans="1:10">
      <c r="A33433" t="n">
        <v>326024</v>
      </c>
      <c r="B33433" s="51" t="n">
        <v>45</v>
      </c>
      <c r="C33433" s="7" t="n">
        <v>2</v>
      </c>
      <c r="D33433" s="7" t="n">
        <v>3</v>
      </c>
      <c r="E33433" s="7" t="n">
        <v>-7.28999996185303</v>
      </c>
      <c r="F33433" s="7" t="n">
        <v>6.36999988555908</v>
      </c>
      <c r="G33433" s="7" t="n">
        <v>29.9200000762939</v>
      </c>
      <c r="H33433" s="7" t="n">
        <v>0</v>
      </c>
    </row>
    <row r="33434" spans="1:10">
      <c r="A33434" t="s">
        <v>4</v>
      </c>
      <c r="B33434" s="4" t="s">
        <v>5</v>
      </c>
      <c r="C33434" s="4" t="s">
        <v>7</v>
      </c>
      <c r="D33434" s="4" t="s">
        <v>7</v>
      </c>
      <c r="E33434" s="4" t="s">
        <v>13</v>
      </c>
      <c r="F33434" s="4" t="s">
        <v>13</v>
      </c>
      <c r="G33434" s="4" t="s">
        <v>13</v>
      </c>
      <c r="H33434" s="4" t="s">
        <v>11</v>
      </c>
      <c r="I33434" s="4" t="s">
        <v>7</v>
      </c>
    </row>
    <row r="33435" spans="1:10">
      <c r="A33435" t="n">
        <v>326041</v>
      </c>
      <c r="B33435" s="51" t="n">
        <v>45</v>
      </c>
      <c r="C33435" s="7" t="n">
        <v>4</v>
      </c>
      <c r="D33435" s="7" t="n">
        <v>3</v>
      </c>
      <c r="E33435" s="7" t="n">
        <v>16.5100002288818</v>
      </c>
      <c r="F33435" s="7" t="n">
        <v>119.300003051758</v>
      </c>
      <c r="G33435" s="7" t="n">
        <v>8</v>
      </c>
      <c r="H33435" s="7" t="n">
        <v>0</v>
      </c>
      <c r="I33435" s="7" t="n">
        <v>0</v>
      </c>
    </row>
    <row r="33436" spans="1:10">
      <c r="A33436" t="s">
        <v>4</v>
      </c>
      <c r="B33436" s="4" t="s">
        <v>5</v>
      </c>
      <c r="C33436" s="4" t="s">
        <v>7</v>
      </c>
      <c r="D33436" s="4" t="s">
        <v>7</v>
      </c>
      <c r="E33436" s="4" t="s">
        <v>13</v>
      </c>
      <c r="F33436" s="4" t="s">
        <v>11</v>
      </c>
    </row>
    <row r="33437" spans="1:10">
      <c r="A33437" t="n">
        <v>326059</v>
      </c>
      <c r="B33437" s="51" t="n">
        <v>45</v>
      </c>
      <c r="C33437" s="7" t="n">
        <v>5</v>
      </c>
      <c r="D33437" s="7" t="n">
        <v>3</v>
      </c>
      <c r="E33437" s="7" t="n">
        <v>1.29999995231628</v>
      </c>
      <c r="F33437" s="7" t="n">
        <v>0</v>
      </c>
    </row>
    <row r="33438" spans="1:10">
      <c r="A33438" t="s">
        <v>4</v>
      </c>
      <c r="B33438" s="4" t="s">
        <v>5</v>
      </c>
      <c r="C33438" s="4" t="s">
        <v>7</v>
      </c>
      <c r="D33438" s="4" t="s">
        <v>7</v>
      </c>
      <c r="E33438" s="4" t="s">
        <v>13</v>
      </c>
      <c r="F33438" s="4" t="s">
        <v>11</v>
      </c>
    </row>
    <row r="33439" spans="1:10">
      <c r="A33439" t="n">
        <v>326068</v>
      </c>
      <c r="B33439" s="51" t="n">
        <v>45</v>
      </c>
      <c r="C33439" s="7" t="n">
        <v>5</v>
      </c>
      <c r="D33439" s="7" t="n">
        <v>3</v>
      </c>
      <c r="E33439" s="7" t="n">
        <v>1.10000002384186</v>
      </c>
      <c r="F33439" s="7" t="n">
        <v>3000</v>
      </c>
    </row>
    <row r="33440" spans="1:10">
      <c r="A33440" t="s">
        <v>4</v>
      </c>
      <c r="B33440" s="4" t="s">
        <v>5</v>
      </c>
      <c r="C33440" s="4" t="s">
        <v>7</v>
      </c>
      <c r="D33440" s="4" t="s">
        <v>7</v>
      </c>
      <c r="E33440" s="4" t="s">
        <v>13</v>
      </c>
      <c r="F33440" s="4" t="s">
        <v>11</v>
      </c>
    </row>
    <row r="33441" spans="1:10">
      <c r="A33441" t="n">
        <v>326077</v>
      </c>
      <c r="B33441" s="51" t="n">
        <v>45</v>
      </c>
      <c r="C33441" s="7" t="n">
        <v>11</v>
      </c>
      <c r="D33441" s="7" t="n">
        <v>3</v>
      </c>
      <c r="E33441" s="7" t="n">
        <v>40.2999992370605</v>
      </c>
      <c r="F33441" s="7" t="n">
        <v>0</v>
      </c>
    </row>
    <row r="33442" spans="1:10">
      <c r="A33442" t="s">
        <v>4</v>
      </c>
      <c r="B33442" s="4" t="s">
        <v>5</v>
      </c>
      <c r="C33442" s="4" t="s">
        <v>11</v>
      </c>
      <c r="D33442" s="4" t="s">
        <v>13</v>
      </c>
      <c r="E33442" s="4" t="s">
        <v>13</v>
      </c>
      <c r="F33442" s="4" t="s">
        <v>13</v>
      </c>
      <c r="G33442" s="4" t="s">
        <v>11</v>
      </c>
      <c r="H33442" s="4" t="s">
        <v>11</v>
      </c>
    </row>
    <row r="33443" spans="1:10">
      <c r="A33443" t="n">
        <v>326086</v>
      </c>
      <c r="B33443" s="37" t="n">
        <v>60</v>
      </c>
      <c r="C33443" s="7" t="n">
        <v>18</v>
      </c>
      <c r="D33443" s="7" t="n">
        <v>0</v>
      </c>
      <c r="E33443" s="7" t="n">
        <v>-5</v>
      </c>
      <c r="F33443" s="7" t="n">
        <v>0</v>
      </c>
      <c r="G33443" s="7" t="n">
        <v>0</v>
      </c>
      <c r="H33443" s="7" t="n">
        <v>0</v>
      </c>
    </row>
    <row r="33444" spans="1:10">
      <c r="A33444" t="s">
        <v>4</v>
      </c>
      <c r="B33444" s="4" t="s">
        <v>5</v>
      </c>
      <c r="C33444" s="4" t="s">
        <v>7</v>
      </c>
      <c r="D33444" s="4" t="s">
        <v>11</v>
      </c>
    </row>
    <row r="33445" spans="1:10">
      <c r="A33445" t="n">
        <v>326105</v>
      </c>
      <c r="B33445" s="23" t="n">
        <v>58</v>
      </c>
      <c r="C33445" s="7" t="n">
        <v>255</v>
      </c>
      <c r="D33445" s="7" t="n">
        <v>0</v>
      </c>
    </row>
    <row r="33446" spans="1:10">
      <c r="A33446" t="s">
        <v>4</v>
      </c>
      <c r="B33446" s="4" t="s">
        <v>5</v>
      </c>
      <c r="C33446" s="4" t="s">
        <v>11</v>
      </c>
      <c r="D33446" s="4" t="s">
        <v>7</v>
      </c>
    </row>
    <row r="33447" spans="1:10">
      <c r="A33447" t="n">
        <v>326109</v>
      </c>
      <c r="B33447" s="54" t="n">
        <v>56</v>
      </c>
      <c r="C33447" s="7" t="n">
        <v>0</v>
      </c>
      <c r="D33447" s="7" t="n">
        <v>0</v>
      </c>
    </row>
    <row r="33448" spans="1:10">
      <c r="A33448" t="s">
        <v>4</v>
      </c>
      <c r="B33448" s="4" t="s">
        <v>5</v>
      </c>
      <c r="C33448" s="4" t="s">
        <v>7</v>
      </c>
      <c r="D33448" s="4" t="s">
        <v>11</v>
      </c>
      <c r="E33448" s="4" t="s">
        <v>8</v>
      </c>
      <c r="F33448" s="4" t="s">
        <v>8</v>
      </c>
      <c r="G33448" s="4" t="s">
        <v>8</v>
      </c>
      <c r="H33448" s="4" t="s">
        <v>8</v>
      </c>
    </row>
    <row r="33449" spans="1:10">
      <c r="A33449" t="n">
        <v>326113</v>
      </c>
      <c r="B33449" s="38" t="n">
        <v>51</v>
      </c>
      <c r="C33449" s="7" t="n">
        <v>3</v>
      </c>
      <c r="D33449" s="7" t="n">
        <v>0</v>
      </c>
      <c r="E33449" s="7" t="s">
        <v>86</v>
      </c>
      <c r="F33449" s="7" t="s">
        <v>99</v>
      </c>
      <c r="G33449" s="7" t="s">
        <v>78</v>
      </c>
      <c r="H33449" s="7" t="s">
        <v>79</v>
      </c>
    </row>
    <row r="33450" spans="1:10">
      <c r="A33450" t="s">
        <v>4</v>
      </c>
      <c r="B33450" s="4" t="s">
        <v>5</v>
      </c>
      <c r="C33450" s="4" t="s">
        <v>11</v>
      </c>
      <c r="D33450" s="4" t="s">
        <v>7</v>
      </c>
      <c r="E33450" s="4" t="s">
        <v>8</v>
      </c>
      <c r="F33450" s="4" t="s">
        <v>13</v>
      </c>
      <c r="G33450" s="4" t="s">
        <v>13</v>
      </c>
      <c r="H33450" s="4" t="s">
        <v>13</v>
      </c>
    </row>
    <row r="33451" spans="1:10">
      <c r="A33451" t="n">
        <v>326126</v>
      </c>
      <c r="B33451" s="42" t="n">
        <v>48</v>
      </c>
      <c r="C33451" s="7" t="n">
        <v>0</v>
      </c>
      <c r="D33451" s="7" t="n">
        <v>0</v>
      </c>
      <c r="E33451" s="7" t="s">
        <v>853</v>
      </c>
      <c r="F33451" s="7" t="n">
        <v>-1</v>
      </c>
      <c r="G33451" s="7" t="n">
        <v>1</v>
      </c>
      <c r="H33451" s="7" t="n">
        <v>0</v>
      </c>
    </row>
    <row r="33452" spans="1:10">
      <c r="A33452" t="s">
        <v>4</v>
      </c>
      <c r="B33452" s="4" t="s">
        <v>5</v>
      </c>
      <c r="C33452" s="4" t="s">
        <v>11</v>
      </c>
    </row>
    <row r="33453" spans="1:10">
      <c r="A33453" t="n">
        <v>326152</v>
      </c>
      <c r="B33453" s="29" t="n">
        <v>16</v>
      </c>
      <c r="C33453" s="7" t="n">
        <v>500</v>
      </c>
    </row>
    <row r="33454" spans="1:10">
      <c r="A33454" t="s">
        <v>4</v>
      </c>
      <c r="B33454" s="4" t="s">
        <v>5</v>
      </c>
      <c r="C33454" s="4" t="s">
        <v>7</v>
      </c>
      <c r="D33454" s="4" t="s">
        <v>11</v>
      </c>
      <c r="E33454" s="4" t="s">
        <v>13</v>
      </c>
      <c r="F33454" s="4" t="s">
        <v>11</v>
      </c>
      <c r="G33454" s="4" t="s">
        <v>15</v>
      </c>
      <c r="H33454" s="4" t="s">
        <v>15</v>
      </c>
      <c r="I33454" s="4" t="s">
        <v>11</v>
      </c>
      <c r="J33454" s="4" t="s">
        <v>11</v>
      </c>
      <c r="K33454" s="4" t="s">
        <v>15</v>
      </c>
      <c r="L33454" s="4" t="s">
        <v>15</v>
      </c>
      <c r="M33454" s="4" t="s">
        <v>15</v>
      </c>
      <c r="N33454" s="4" t="s">
        <v>15</v>
      </c>
      <c r="O33454" s="4" t="s">
        <v>8</v>
      </c>
    </row>
    <row r="33455" spans="1:10">
      <c r="A33455" t="n">
        <v>326155</v>
      </c>
      <c r="B33455" s="57" t="n">
        <v>50</v>
      </c>
      <c r="C33455" s="7" t="n">
        <v>0</v>
      </c>
      <c r="D33455" s="7" t="n">
        <v>2000</v>
      </c>
      <c r="E33455" s="7" t="n">
        <v>0.400000005960464</v>
      </c>
      <c r="F33455" s="7" t="n">
        <v>200</v>
      </c>
      <c r="G33455" s="7" t="n">
        <v>0</v>
      </c>
      <c r="H33455" s="7" t="n">
        <v>0</v>
      </c>
      <c r="I33455" s="7" t="n">
        <v>0</v>
      </c>
      <c r="J33455" s="7" t="n">
        <v>65533</v>
      </c>
      <c r="K33455" s="7" t="n">
        <v>0</v>
      </c>
      <c r="L33455" s="7" t="n">
        <v>0</v>
      </c>
      <c r="M33455" s="7" t="n">
        <v>0</v>
      </c>
      <c r="N33455" s="7" t="n">
        <v>0</v>
      </c>
      <c r="O33455" s="7" t="s">
        <v>16</v>
      </c>
    </row>
    <row r="33456" spans="1:10">
      <c r="A33456" t="s">
        <v>4</v>
      </c>
      <c r="B33456" s="4" t="s">
        <v>5</v>
      </c>
      <c r="C33456" s="4" t="s">
        <v>11</v>
      </c>
    </row>
    <row r="33457" spans="1:15">
      <c r="A33457" t="n">
        <v>326194</v>
      </c>
      <c r="B33457" s="29" t="n">
        <v>16</v>
      </c>
      <c r="C33457" s="7" t="n">
        <v>500</v>
      </c>
    </row>
    <row r="33458" spans="1:15">
      <c r="A33458" t="s">
        <v>4</v>
      </c>
      <c r="B33458" s="4" t="s">
        <v>5</v>
      </c>
      <c r="C33458" s="4" t="s">
        <v>11</v>
      </c>
      <c r="D33458" s="4" t="s">
        <v>13</v>
      </c>
      <c r="E33458" s="4" t="s">
        <v>13</v>
      </c>
      <c r="F33458" s="4" t="s">
        <v>13</v>
      </c>
      <c r="G33458" s="4" t="s">
        <v>11</v>
      </c>
      <c r="H33458" s="4" t="s">
        <v>11</v>
      </c>
    </row>
    <row r="33459" spans="1:15">
      <c r="A33459" t="n">
        <v>326197</v>
      </c>
      <c r="B33459" s="37" t="n">
        <v>60</v>
      </c>
      <c r="C33459" s="7" t="n">
        <v>18</v>
      </c>
      <c r="D33459" s="7" t="n">
        <v>0</v>
      </c>
      <c r="E33459" s="7" t="n">
        <v>0</v>
      </c>
      <c r="F33459" s="7" t="n">
        <v>0</v>
      </c>
      <c r="G33459" s="7" t="n">
        <v>1000</v>
      </c>
      <c r="H33459" s="7" t="n">
        <v>0</v>
      </c>
    </row>
    <row r="33460" spans="1:15">
      <c r="A33460" t="s">
        <v>4</v>
      </c>
      <c r="B33460" s="4" t="s">
        <v>5</v>
      </c>
      <c r="C33460" s="4" t="s">
        <v>11</v>
      </c>
      <c r="D33460" s="4" t="s">
        <v>11</v>
      </c>
      <c r="E33460" s="4" t="s">
        <v>11</v>
      </c>
    </row>
    <row r="33461" spans="1:15">
      <c r="A33461" t="n">
        <v>326216</v>
      </c>
      <c r="B33461" s="72" t="n">
        <v>61</v>
      </c>
      <c r="C33461" s="7" t="n">
        <v>18</v>
      </c>
      <c r="D33461" s="7" t="n">
        <v>0</v>
      </c>
      <c r="E33461" s="7" t="n">
        <v>1000</v>
      </c>
    </row>
    <row r="33462" spans="1:15">
      <c r="A33462" t="s">
        <v>4</v>
      </c>
      <c r="B33462" s="4" t="s">
        <v>5</v>
      </c>
      <c r="C33462" s="4" t="s">
        <v>7</v>
      </c>
      <c r="D33462" s="4" t="s">
        <v>11</v>
      </c>
      <c r="E33462" s="4" t="s">
        <v>8</v>
      </c>
      <c r="F33462" s="4" t="s">
        <v>8</v>
      </c>
      <c r="G33462" s="4" t="s">
        <v>8</v>
      </c>
      <c r="H33462" s="4" t="s">
        <v>8</v>
      </c>
    </row>
    <row r="33463" spans="1:15">
      <c r="A33463" t="n">
        <v>326223</v>
      </c>
      <c r="B33463" s="38" t="n">
        <v>51</v>
      </c>
      <c r="C33463" s="7" t="n">
        <v>3</v>
      </c>
      <c r="D33463" s="7" t="n">
        <v>18</v>
      </c>
      <c r="E33463" s="7" t="s">
        <v>154</v>
      </c>
      <c r="F33463" s="7" t="s">
        <v>155</v>
      </c>
      <c r="G33463" s="7" t="s">
        <v>78</v>
      </c>
      <c r="H33463" s="7" t="s">
        <v>79</v>
      </c>
    </row>
    <row r="33464" spans="1:15">
      <c r="A33464" t="s">
        <v>4</v>
      </c>
      <c r="B33464" s="4" t="s">
        <v>5</v>
      </c>
      <c r="C33464" s="4" t="s">
        <v>11</v>
      </c>
    </row>
    <row r="33465" spans="1:15">
      <c r="A33465" t="n">
        <v>326236</v>
      </c>
      <c r="B33465" s="29" t="n">
        <v>16</v>
      </c>
      <c r="C33465" s="7" t="n">
        <v>1000</v>
      </c>
    </row>
    <row r="33466" spans="1:15">
      <c r="A33466" t="s">
        <v>4</v>
      </c>
      <c r="B33466" s="4" t="s">
        <v>5</v>
      </c>
      <c r="C33466" s="4" t="s">
        <v>7</v>
      </c>
      <c r="D33466" s="4" t="s">
        <v>11</v>
      </c>
      <c r="E33466" s="4" t="s">
        <v>8</v>
      </c>
    </row>
    <row r="33467" spans="1:15">
      <c r="A33467" t="n">
        <v>326239</v>
      </c>
      <c r="B33467" s="38" t="n">
        <v>51</v>
      </c>
      <c r="C33467" s="7" t="n">
        <v>4</v>
      </c>
      <c r="D33467" s="7" t="n">
        <v>18</v>
      </c>
      <c r="E33467" s="7" t="s">
        <v>206</v>
      </c>
    </row>
    <row r="33468" spans="1:15">
      <c r="A33468" t="s">
        <v>4</v>
      </c>
      <c r="B33468" s="4" t="s">
        <v>5</v>
      </c>
      <c r="C33468" s="4" t="s">
        <v>11</v>
      </c>
    </row>
    <row r="33469" spans="1:15">
      <c r="A33469" t="n">
        <v>326254</v>
      </c>
      <c r="B33469" s="29" t="n">
        <v>16</v>
      </c>
      <c r="C33469" s="7" t="n">
        <v>0</v>
      </c>
    </row>
    <row r="33470" spans="1:15">
      <c r="A33470" t="s">
        <v>4</v>
      </c>
      <c r="B33470" s="4" t="s">
        <v>5</v>
      </c>
      <c r="C33470" s="4" t="s">
        <v>11</v>
      </c>
      <c r="D33470" s="4" t="s">
        <v>7</v>
      </c>
      <c r="E33470" s="4" t="s">
        <v>15</v>
      </c>
      <c r="F33470" s="4" t="s">
        <v>55</v>
      </c>
      <c r="G33470" s="4" t="s">
        <v>7</v>
      </c>
      <c r="H33470" s="4" t="s">
        <v>7</v>
      </c>
    </row>
    <row r="33471" spans="1:15">
      <c r="A33471" t="n">
        <v>326257</v>
      </c>
      <c r="B33471" s="55" t="n">
        <v>26</v>
      </c>
      <c r="C33471" s="7" t="n">
        <v>18</v>
      </c>
      <c r="D33471" s="7" t="n">
        <v>17</v>
      </c>
      <c r="E33471" s="7" t="n">
        <v>17807</v>
      </c>
      <c r="F33471" s="7" t="s">
        <v>462</v>
      </c>
      <c r="G33471" s="7" t="n">
        <v>2</v>
      </c>
      <c r="H33471" s="7" t="n">
        <v>0</v>
      </c>
    </row>
    <row r="33472" spans="1:15">
      <c r="A33472" t="s">
        <v>4</v>
      </c>
      <c r="B33472" s="4" t="s">
        <v>5</v>
      </c>
    </row>
    <row r="33473" spans="1:8">
      <c r="A33473" t="n">
        <v>326276</v>
      </c>
      <c r="B33473" s="27" t="n">
        <v>28</v>
      </c>
    </row>
    <row r="33474" spans="1:8">
      <c r="A33474" t="s">
        <v>4</v>
      </c>
      <c r="B33474" s="4" t="s">
        <v>5</v>
      </c>
      <c r="C33474" s="4" t="s">
        <v>7</v>
      </c>
      <c r="D33474" s="4" t="s">
        <v>11</v>
      </c>
      <c r="E33474" s="4" t="s">
        <v>8</v>
      </c>
    </row>
    <row r="33475" spans="1:8">
      <c r="A33475" t="n">
        <v>326277</v>
      </c>
      <c r="B33475" s="38" t="n">
        <v>51</v>
      </c>
      <c r="C33475" s="7" t="n">
        <v>4</v>
      </c>
      <c r="D33475" s="7" t="n">
        <v>0</v>
      </c>
      <c r="E33475" s="7" t="s">
        <v>179</v>
      </c>
    </row>
    <row r="33476" spans="1:8">
      <c r="A33476" t="s">
        <v>4</v>
      </c>
      <c r="B33476" s="4" t="s">
        <v>5</v>
      </c>
      <c r="C33476" s="4" t="s">
        <v>11</v>
      </c>
    </row>
    <row r="33477" spans="1:8">
      <c r="A33477" t="n">
        <v>326291</v>
      </c>
      <c r="B33477" s="29" t="n">
        <v>16</v>
      </c>
      <c r="C33477" s="7" t="n">
        <v>0</v>
      </c>
    </row>
    <row r="33478" spans="1:8">
      <c r="A33478" t="s">
        <v>4</v>
      </c>
      <c r="B33478" s="4" t="s">
        <v>5</v>
      </c>
      <c r="C33478" s="4" t="s">
        <v>11</v>
      </c>
      <c r="D33478" s="4" t="s">
        <v>7</v>
      </c>
      <c r="E33478" s="4" t="s">
        <v>15</v>
      </c>
      <c r="F33478" s="4" t="s">
        <v>55</v>
      </c>
      <c r="G33478" s="4" t="s">
        <v>7</v>
      </c>
      <c r="H33478" s="4" t="s">
        <v>7</v>
      </c>
      <c r="I33478" s="4" t="s">
        <v>7</v>
      </c>
      <c r="J33478" s="4" t="s">
        <v>15</v>
      </c>
      <c r="K33478" s="4" t="s">
        <v>55</v>
      </c>
      <c r="L33478" s="4" t="s">
        <v>7</v>
      </c>
      <c r="M33478" s="4" t="s">
        <v>7</v>
      </c>
    </row>
    <row r="33479" spans="1:8">
      <c r="A33479" t="n">
        <v>326294</v>
      </c>
      <c r="B33479" s="55" t="n">
        <v>26</v>
      </c>
      <c r="C33479" s="7" t="n">
        <v>0</v>
      </c>
      <c r="D33479" s="7" t="n">
        <v>17</v>
      </c>
      <c r="E33479" s="7" t="n">
        <v>64087</v>
      </c>
      <c r="F33479" s="7" t="s">
        <v>895</v>
      </c>
      <c r="G33479" s="7" t="n">
        <v>2</v>
      </c>
      <c r="H33479" s="7" t="n">
        <v>3</v>
      </c>
      <c r="I33479" s="7" t="n">
        <v>17</v>
      </c>
      <c r="J33479" s="7" t="n">
        <v>64088</v>
      </c>
      <c r="K33479" s="7" t="s">
        <v>896</v>
      </c>
      <c r="L33479" s="7" t="n">
        <v>2</v>
      </c>
      <c r="M33479" s="7" t="n">
        <v>0</v>
      </c>
    </row>
    <row r="33480" spans="1:8">
      <c r="A33480" t="s">
        <v>4</v>
      </c>
      <c r="B33480" s="4" t="s">
        <v>5</v>
      </c>
    </row>
    <row r="33481" spans="1:8">
      <c r="A33481" t="n">
        <v>326459</v>
      </c>
      <c r="B33481" s="27" t="n">
        <v>28</v>
      </c>
    </row>
    <row r="33482" spans="1:8">
      <c r="A33482" t="s">
        <v>4</v>
      </c>
      <c r="B33482" s="4" t="s">
        <v>5</v>
      </c>
      <c r="C33482" s="4" t="s">
        <v>7</v>
      </c>
      <c r="D33482" s="4" t="s">
        <v>11</v>
      </c>
      <c r="E33482" s="4" t="s">
        <v>8</v>
      </c>
    </row>
    <row r="33483" spans="1:8">
      <c r="A33483" t="n">
        <v>326460</v>
      </c>
      <c r="B33483" s="38" t="n">
        <v>51</v>
      </c>
      <c r="C33483" s="7" t="n">
        <v>4</v>
      </c>
      <c r="D33483" s="7" t="n">
        <v>18</v>
      </c>
      <c r="E33483" s="7" t="s">
        <v>897</v>
      </c>
    </row>
    <row r="33484" spans="1:8">
      <c r="A33484" t="s">
        <v>4</v>
      </c>
      <c r="B33484" s="4" t="s">
        <v>5</v>
      </c>
      <c r="C33484" s="4" t="s">
        <v>11</v>
      </c>
    </row>
    <row r="33485" spans="1:8">
      <c r="A33485" t="n">
        <v>326473</v>
      </c>
      <c r="B33485" s="29" t="n">
        <v>16</v>
      </c>
      <c r="C33485" s="7" t="n">
        <v>0</v>
      </c>
    </row>
    <row r="33486" spans="1:8">
      <c r="A33486" t="s">
        <v>4</v>
      </c>
      <c r="B33486" s="4" t="s">
        <v>5</v>
      </c>
      <c r="C33486" s="4" t="s">
        <v>11</v>
      </c>
      <c r="D33486" s="4" t="s">
        <v>7</v>
      </c>
      <c r="E33486" s="4" t="s">
        <v>15</v>
      </c>
      <c r="F33486" s="4" t="s">
        <v>55</v>
      </c>
      <c r="G33486" s="4" t="s">
        <v>7</v>
      </c>
      <c r="H33486" s="4" t="s">
        <v>7</v>
      </c>
    </row>
    <row r="33487" spans="1:8">
      <c r="A33487" t="n">
        <v>326476</v>
      </c>
      <c r="B33487" s="55" t="n">
        <v>26</v>
      </c>
      <c r="C33487" s="7" t="n">
        <v>18</v>
      </c>
      <c r="D33487" s="7" t="n">
        <v>17</v>
      </c>
      <c r="E33487" s="7" t="n">
        <v>17808</v>
      </c>
      <c r="F33487" s="7" t="s">
        <v>898</v>
      </c>
      <c r="G33487" s="7" t="n">
        <v>2</v>
      </c>
      <c r="H33487" s="7" t="n">
        <v>0</v>
      </c>
    </row>
    <row r="33488" spans="1:8">
      <c r="A33488" t="s">
        <v>4</v>
      </c>
      <c r="B33488" s="4" t="s">
        <v>5</v>
      </c>
    </row>
    <row r="33489" spans="1:13">
      <c r="A33489" t="n">
        <v>326497</v>
      </c>
      <c r="B33489" s="27" t="n">
        <v>28</v>
      </c>
    </row>
    <row r="33490" spans="1:13">
      <c r="A33490" t="s">
        <v>4</v>
      </c>
      <c r="B33490" s="4" t="s">
        <v>5</v>
      </c>
      <c r="C33490" s="4" t="s">
        <v>11</v>
      </c>
      <c r="D33490" s="4" t="s">
        <v>7</v>
      </c>
    </row>
    <row r="33491" spans="1:13">
      <c r="A33491" t="n">
        <v>326498</v>
      </c>
      <c r="B33491" s="68" t="n">
        <v>89</v>
      </c>
      <c r="C33491" s="7" t="n">
        <v>65533</v>
      </c>
      <c r="D33491" s="7" t="n">
        <v>1</v>
      </c>
    </row>
    <row r="33492" spans="1:13">
      <c r="A33492" t="s">
        <v>4</v>
      </c>
      <c r="B33492" s="4" t="s">
        <v>5</v>
      </c>
      <c r="C33492" s="4" t="s">
        <v>7</v>
      </c>
      <c r="D33492" s="4" t="s">
        <v>11</v>
      </c>
      <c r="E33492" s="4" t="s">
        <v>13</v>
      </c>
    </row>
    <row r="33493" spans="1:13">
      <c r="A33493" t="n">
        <v>326502</v>
      </c>
      <c r="B33493" s="23" t="n">
        <v>58</v>
      </c>
      <c r="C33493" s="7" t="n">
        <v>101</v>
      </c>
      <c r="D33493" s="7" t="n">
        <v>500</v>
      </c>
      <c r="E33493" s="7" t="n">
        <v>1</v>
      </c>
    </row>
    <row r="33494" spans="1:13">
      <c r="A33494" t="s">
        <v>4</v>
      </c>
      <c r="B33494" s="4" t="s">
        <v>5</v>
      </c>
      <c r="C33494" s="4" t="s">
        <v>7</v>
      </c>
      <c r="D33494" s="4" t="s">
        <v>11</v>
      </c>
    </row>
    <row r="33495" spans="1:13">
      <c r="A33495" t="n">
        <v>326510</v>
      </c>
      <c r="B33495" s="23" t="n">
        <v>58</v>
      </c>
      <c r="C33495" s="7" t="n">
        <v>254</v>
      </c>
      <c r="D33495" s="7" t="n">
        <v>0</v>
      </c>
    </row>
    <row r="33496" spans="1:13">
      <c r="A33496" t="s">
        <v>4</v>
      </c>
      <c r="B33496" s="4" t="s">
        <v>5</v>
      </c>
      <c r="C33496" s="4" t="s">
        <v>7</v>
      </c>
      <c r="D33496" s="4" t="s">
        <v>7</v>
      </c>
      <c r="E33496" s="4" t="s">
        <v>13</v>
      </c>
      <c r="F33496" s="4" t="s">
        <v>13</v>
      </c>
      <c r="G33496" s="4" t="s">
        <v>13</v>
      </c>
      <c r="H33496" s="4" t="s">
        <v>11</v>
      </c>
    </row>
    <row r="33497" spans="1:13">
      <c r="A33497" t="n">
        <v>326514</v>
      </c>
      <c r="B33497" s="51" t="n">
        <v>45</v>
      </c>
      <c r="C33497" s="7" t="n">
        <v>2</v>
      </c>
      <c r="D33497" s="7" t="n">
        <v>3</v>
      </c>
      <c r="E33497" s="7" t="n">
        <v>-7.3899998664856</v>
      </c>
      <c r="F33497" s="7" t="n">
        <v>6.3600001335144</v>
      </c>
      <c r="G33497" s="7" t="n">
        <v>29.8400001525879</v>
      </c>
      <c r="H33497" s="7" t="n">
        <v>0</v>
      </c>
    </row>
    <row r="33498" spans="1:13">
      <c r="A33498" t="s">
        <v>4</v>
      </c>
      <c r="B33498" s="4" t="s">
        <v>5</v>
      </c>
      <c r="C33498" s="4" t="s">
        <v>7</v>
      </c>
      <c r="D33498" s="4" t="s">
        <v>7</v>
      </c>
      <c r="E33498" s="4" t="s">
        <v>13</v>
      </c>
      <c r="F33498" s="4" t="s">
        <v>13</v>
      </c>
      <c r="G33498" s="4" t="s">
        <v>13</v>
      </c>
      <c r="H33498" s="4" t="s">
        <v>11</v>
      </c>
      <c r="I33498" s="4" t="s">
        <v>7</v>
      </c>
    </row>
    <row r="33499" spans="1:13">
      <c r="A33499" t="n">
        <v>326531</v>
      </c>
      <c r="B33499" s="51" t="n">
        <v>45</v>
      </c>
      <c r="C33499" s="7" t="n">
        <v>4</v>
      </c>
      <c r="D33499" s="7" t="n">
        <v>3</v>
      </c>
      <c r="E33499" s="7" t="n">
        <v>355.489990234375</v>
      </c>
      <c r="F33499" s="7" t="n">
        <v>315.920013427734</v>
      </c>
      <c r="G33499" s="7" t="n">
        <v>10</v>
      </c>
      <c r="H33499" s="7" t="n">
        <v>0</v>
      </c>
      <c r="I33499" s="7" t="n">
        <v>0</v>
      </c>
    </row>
    <row r="33500" spans="1:13">
      <c r="A33500" t="s">
        <v>4</v>
      </c>
      <c r="B33500" s="4" t="s">
        <v>5</v>
      </c>
      <c r="C33500" s="4" t="s">
        <v>7</v>
      </c>
      <c r="D33500" s="4" t="s">
        <v>7</v>
      </c>
      <c r="E33500" s="4" t="s">
        <v>13</v>
      </c>
      <c r="F33500" s="4" t="s">
        <v>11</v>
      </c>
    </row>
    <row r="33501" spans="1:13">
      <c r="A33501" t="n">
        <v>326549</v>
      </c>
      <c r="B33501" s="51" t="n">
        <v>45</v>
      </c>
      <c r="C33501" s="7" t="n">
        <v>5</v>
      </c>
      <c r="D33501" s="7" t="n">
        <v>3</v>
      </c>
      <c r="E33501" s="7" t="n">
        <v>0.899999976158142</v>
      </c>
      <c r="F33501" s="7" t="n">
        <v>0</v>
      </c>
    </row>
    <row r="33502" spans="1:13">
      <c r="A33502" t="s">
        <v>4</v>
      </c>
      <c r="B33502" s="4" t="s">
        <v>5</v>
      </c>
      <c r="C33502" s="4" t="s">
        <v>7</v>
      </c>
      <c r="D33502" s="4" t="s">
        <v>7</v>
      </c>
      <c r="E33502" s="4" t="s">
        <v>13</v>
      </c>
      <c r="F33502" s="4" t="s">
        <v>11</v>
      </c>
    </row>
    <row r="33503" spans="1:13">
      <c r="A33503" t="n">
        <v>326558</v>
      </c>
      <c r="B33503" s="51" t="n">
        <v>45</v>
      </c>
      <c r="C33503" s="7" t="n">
        <v>11</v>
      </c>
      <c r="D33503" s="7" t="n">
        <v>3</v>
      </c>
      <c r="E33503" s="7" t="n">
        <v>40.2999992370605</v>
      </c>
      <c r="F33503" s="7" t="n">
        <v>0</v>
      </c>
    </row>
    <row r="33504" spans="1:13">
      <c r="A33504" t="s">
        <v>4</v>
      </c>
      <c r="B33504" s="4" t="s">
        <v>5</v>
      </c>
      <c r="C33504" s="4" t="s">
        <v>11</v>
      </c>
      <c r="D33504" s="4" t="s">
        <v>13</v>
      </c>
      <c r="E33504" s="4" t="s">
        <v>13</v>
      </c>
      <c r="F33504" s="4" t="s">
        <v>13</v>
      </c>
      <c r="G33504" s="4" t="s">
        <v>13</v>
      </c>
    </row>
    <row r="33505" spans="1:9">
      <c r="A33505" t="n">
        <v>326567</v>
      </c>
      <c r="B33505" s="36" t="n">
        <v>46</v>
      </c>
      <c r="C33505" s="7" t="n">
        <v>0</v>
      </c>
      <c r="D33505" s="7" t="n">
        <v>-6.94000005722046</v>
      </c>
      <c r="E33505" s="7" t="n">
        <v>5</v>
      </c>
      <c r="F33505" s="7" t="n">
        <v>29.8500003814697</v>
      </c>
      <c r="G33505" s="7" t="n">
        <v>-96.5999984741211</v>
      </c>
    </row>
    <row r="33506" spans="1:9">
      <c r="A33506" t="s">
        <v>4</v>
      </c>
      <c r="B33506" s="4" t="s">
        <v>5</v>
      </c>
      <c r="C33506" s="4" t="s">
        <v>7</v>
      </c>
      <c r="D33506" s="4" t="s">
        <v>11</v>
      </c>
    </row>
    <row r="33507" spans="1:9">
      <c r="A33507" t="n">
        <v>326586</v>
      </c>
      <c r="B33507" s="23" t="n">
        <v>58</v>
      </c>
      <c r="C33507" s="7" t="n">
        <v>255</v>
      </c>
      <c r="D33507" s="7" t="n">
        <v>0</v>
      </c>
    </row>
    <row r="33508" spans="1:9">
      <c r="A33508" t="s">
        <v>4</v>
      </c>
      <c r="B33508" s="4" t="s">
        <v>5</v>
      </c>
      <c r="C33508" s="4" t="s">
        <v>7</v>
      </c>
      <c r="D33508" s="4" t="s">
        <v>11</v>
      </c>
      <c r="E33508" s="4" t="s">
        <v>8</v>
      </c>
    </row>
    <row r="33509" spans="1:9">
      <c r="A33509" t="n">
        <v>326590</v>
      </c>
      <c r="B33509" s="38" t="n">
        <v>51</v>
      </c>
      <c r="C33509" s="7" t="n">
        <v>4</v>
      </c>
      <c r="D33509" s="7" t="n">
        <v>0</v>
      </c>
      <c r="E33509" s="7" t="s">
        <v>179</v>
      </c>
    </row>
    <row r="33510" spans="1:9">
      <c r="A33510" t="s">
        <v>4</v>
      </c>
      <c r="B33510" s="4" t="s">
        <v>5</v>
      </c>
      <c r="C33510" s="4" t="s">
        <v>11</v>
      </c>
    </row>
    <row r="33511" spans="1:9">
      <c r="A33511" t="n">
        <v>326604</v>
      </c>
      <c r="B33511" s="29" t="n">
        <v>16</v>
      </c>
      <c r="C33511" s="7" t="n">
        <v>0</v>
      </c>
    </row>
    <row r="33512" spans="1:9">
      <c r="A33512" t="s">
        <v>4</v>
      </c>
      <c r="B33512" s="4" t="s">
        <v>5</v>
      </c>
      <c r="C33512" s="4" t="s">
        <v>11</v>
      </c>
      <c r="D33512" s="4" t="s">
        <v>7</v>
      </c>
      <c r="E33512" s="4" t="s">
        <v>15</v>
      </c>
      <c r="F33512" s="4" t="s">
        <v>55</v>
      </c>
      <c r="G33512" s="4" t="s">
        <v>7</v>
      </c>
      <c r="H33512" s="4" t="s">
        <v>7</v>
      </c>
      <c r="I33512" s="4" t="s">
        <v>7</v>
      </c>
      <c r="J33512" s="4" t="s">
        <v>15</v>
      </c>
      <c r="K33512" s="4" t="s">
        <v>55</v>
      </c>
      <c r="L33512" s="4" t="s">
        <v>7</v>
      </c>
      <c r="M33512" s="4" t="s">
        <v>7</v>
      </c>
      <c r="N33512" s="4" t="s">
        <v>7</v>
      </c>
      <c r="O33512" s="4" t="s">
        <v>15</v>
      </c>
      <c r="P33512" s="4" t="s">
        <v>55</v>
      </c>
      <c r="Q33512" s="4" t="s">
        <v>7</v>
      </c>
      <c r="R33512" s="4" t="s">
        <v>7</v>
      </c>
    </row>
    <row r="33513" spans="1:9">
      <c r="A33513" t="n">
        <v>326607</v>
      </c>
      <c r="B33513" s="55" t="n">
        <v>26</v>
      </c>
      <c r="C33513" s="7" t="n">
        <v>0</v>
      </c>
      <c r="D33513" s="7" t="n">
        <v>17</v>
      </c>
      <c r="E33513" s="7" t="n">
        <v>64089</v>
      </c>
      <c r="F33513" s="7" t="s">
        <v>899</v>
      </c>
      <c r="G33513" s="7" t="n">
        <v>2</v>
      </c>
      <c r="H33513" s="7" t="n">
        <v>3</v>
      </c>
      <c r="I33513" s="7" t="n">
        <v>17</v>
      </c>
      <c r="J33513" s="7" t="n">
        <v>64090</v>
      </c>
      <c r="K33513" s="7" t="s">
        <v>900</v>
      </c>
      <c r="L33513" s="7" t="n">
        <v>2</v>
      </c>
      <c r="M33513" s="7" t="n">
        <v>3</v>
      </c>
      <c r="N33513" s="7" t="n">
        <v>17</v>
      </c>
      <c r="O33513" s="7" t="n">
        <v>64091</v>
      </c>
      <c r="P33513" s="7" t="s">
        <v>901</v>
      </c>
      <c r="Q33513" s="7" t="n">
        <v>2</v>
      </c>
      <c r="R33513" s="7" t="n">
        <v>0</v>
      </c>
    </row>
    <row r="33514" spans="1:9">
      <c r="A33514" t="s">
        <v>4</v>
      </c>
      <c r="B33514" s="4" t="s">
        <v>5</v>
      </c>
    </row>
    <row r="33515" spans="1:9">
      <c r="A33515" t="n">
        <v>326979</v>
      </c>
      <c r="B33515" s="27" t="n">
        <v>28</v>
      </c>
    </row>
    <row r="33516" spans="1:9">
      <c r="A33516" t="s">
        <v>4</v>
      </c>
      <c r="B33516" s="4" t="s">
        <v>5</v>
      </c>
      <c r="C33516" s="4" t="s">
        <v>11</v>
      </c>
      <c r="D33516" s="4" t="s">
        <v>7</v>
      </c>
      <c r="E33516" s="4" t="s">
        <v>13</v>
      </c>
      <c r="F33516" s="4" t="s">
        <v>11</v>
      </c>
    </row>
    <row r="33517" spans="1:9">
      <c r="A33517" t="n">
        <v>326980</v>
      </c>
      <c r="B33517" s="56" t="n">
        <v>59</v>
      </c>
      <c r="C33517" s="7" t="n">
        <v>18</v>
      </c>
      <c r="D33517" s="7" t="n">
        <v>8</v>
      </c>
      <c r="E33517" s="7" t="n">
        <v>0.150000005960464</v>
      </c>
      <c r="F33517" s="7" t="n">
        <v>0</v>
      </c>
    </row>
    <row r="33518" spans="1:9">
      <c r="A33518" t="s">
        <v>4</v>
      </c>
      <c r="B33518" s="4" t="s">
        <v>5</v>
      </c>
      <c r="C33518" s="4" t="s">
        <v>11</v>
      </c>
    </row>
    <row r="33519" spans="1:9">
      <c r="A33519" t="n">
        <v>326990</v>
      </c>
      <c r="B33519" s="29" t="n">
        <v>16</v>
      </c>
      <c r="C33519" s="7" t="n">
        <v>1500</v>
      </c>
    </row>
    <row r="33520" spans="1:9">
      <c r="A33520" t="s">
        <v>4</v>
      </c>
      <c r="B33520" s="4" t="s">
        <v>5</v>
      </c>
      <c r="C33520" s="4" t="s">
        <v>11</v>
      </c>
      <c r="D33520" s="4" t="s">
        <v>7</v>
      </c>
      <c r="E33520" s="4" t="s">
        <v>13</v>
      </c>
      <c r="F33520" s="4" t="s">
        <v>11</v>
      </c>
    </row>
    <row r="33521" spans="1:18">
      <c r="A33521" t="n">
        <v>326993</v>
      </c>
      <c r="B33521" s="56" t="n">
        <v>59</v>
      </c>
      <c r="C33521" s="7" t="n">
        <v>18</v>
      </c>
      <c r="D33521" s="7" t="n">
        <v>255</v>
      </c>
      <c r="E33521" s="7" t="n">
        <v>0</v>
      </c>
      <c r="F33521" s="7" t="n">
        <v>0</v>
      </c>
    </row>
    <row r="33522" spans="1:18">
      <c r="A33522" t="s">
        <v>4</v>
      </c>
      <c r="B33522" s="4" t="s">
        <v>5</v>
      </c>
      <c r="C33522" s="4" t="s">
        <v>11</v>
      </c>
    </row>
    <row r="33523" spans="1:18">
      <c r="A33523" t="n">
        <v>327003</v>
      </c>
      <c r="B33523" s="29" t="n">
        <v>16</v>
      </c>
      <c r="C33523" s="7" t="n">
        <v>300</v>
      </c>
    </row>
    <row r="33524" spans="1:18">
      <c r="A33524" t="s">
        <v>4</v>
      </c>
      <c r="B33524" s="4" t="s">
        <v>5</v>
      </c>
      <c r="C33524" s="4" t="s">
        <v>7</v>
      </c>
      <c r="D33524" s="4" t="s">
        <v>11</v>
      </c>
      <c r="E33524" s="4" t="s">
        <v>13</v>
      </c>
    </row>
    <row r="33525" spans="1:18">
      <c r="A33525" t="n">
        <v>327006</v>
      </c>
      <c r="B33525" s="23" t="n">
        <v>58</v>
      </c>
      <c r="C33525" s="7" t="n">
        <v>101</v>
      </c>
      <c r="D33525" s="7" t="n">
        <v>500</v>
      </c>
      <c r="E33525" s="7" t="n">
        <v>1</v>
      </c>
    </row>
    <row r="33526" spans="1:18">
      <c r="A33526" t="s">
        <v>4</v>
      </c>
      <c r="B33526" s="4" t="s">
        <v>5</v>
      </c>
      <c r="C33526" s="4" t="s">
        <v>7</v>
      </c>
      <c r="D33526" s="4" t="s">
        <v>11</v>
      </c>
    </row>
    <row r="33527" spans="1:18">
      <c r="A33527" t="n">
        <v>327014</v>
      </c>
      <c r="B33527" s="23" t="n">
        <v>58</v>
      </c>
      <c r="C33527" s="7" t="n">
        <v>254</v>
      </c>
      <c r="D33527" s="7" t="n">
        <v>0</v>
      </c>
    </row>
    <row r="33528" spans="1:18">
      <c r="A33528" t="s">
        <v>4</v>
      </c>
      <c r="B33528" s="4" t="s">
        <v>5</v>
      </c>
      <c r="C33528" s="4" t="s">
        <v>7</v>
      </c>
      <c r="D33528" s="4" t="s">
        <v>7</v>
      </c>
      <c r="E33528" s="4" t="s">
        <v>13</v>
      </c>
      <c r="F33528" s="4" t="s">
        <v>13</v>
      </c>
      <c r="G33528" s="4" t="s">
        <v>13</v>
      </c>
      <c r="H33528" s="4" t="s">
        <v>11</v>
      </c>
    </row>
    <row r="33529" spans="1:18">
      <c r="A33529" t="n">
        <v>327018</v>
      </c>
      <c r="B33529" s="51" t="n">
        <v>45</v>
      </c>
      <c r="C33529" s="7" t="n">
        <v>2</v>
      </c>
      <c r="D33529" s="7" t="n">
        <v>3</v>
      </c>
      <c r="E33529" s="7" t="n">
        <v>-7.28999996185303</v>
      </c>
      <c r="F33529" s="7" t="n">
        <v>6.34000015258789</v>
      </c>
      <c r="G33529" s="7" t="n">
        <v>29.7900009155273</v>
      </c>
      <c r="H33529" s="7" t="n">
        <v>0</v>
      </c>
    </row>
    <row r="33530" spans="1:18">
      <c r="A33530" t="s">
        <v>4</v>
      </c>
      <c r="B33530" s="4" t="s">
        <v>5</v>
      </c>
      <c r="C33530" s="4" t="s">
        <v>7</v>
      </c>
      <c r="D33530" s="4" t="s">
        <v>7</v>
      </c>
      <c r="E33530" s="4" t="s">
        <v>13</v>
      </c>
      <c r="F33530" s="4" t="s">
        <v>13</v>
      </c>
      <c r="G33530" s="4" t="s">
        <v>13</v>
      </c>
      <c r="H33530" s="4" t="s">
        <v>11</v>
      </c>
      <c r="I33530" s="4" t="s">
        <v>7</v>
      </c>
    </row>
    <row r="33531" spans="1:18">
      <c r="A33531" t="n">
        <v>327035</v>
      </c>
      <c r="B33531" s="51" t="n">
        <v>45</v>
      </c>
      <c r="C33531" s="7" t="n">
        <v>4</v>
      </c>
      <c r="D33531" s="7" t="n">
        <v>3</v>
      </c>
      <c r="E33531" s="7" t="n">
        <v>23.2700004577637</v>
      </c>
      <c r="F33531" s="7" t="n">
        <v>51.2000007629395</v>
      </c>
      <c r="G33531" s="7" t="n">
        <v>354</v>
      </c>
      <c r="H33531" s="7" t="n">
        <v>0</v>
      </c>
      <c r="I33531" s="7" t="n">
        <v>0</v>
      </c>
    </row>
    <row r="33532" spans="1:18">
      <c r="A33532" t="s">
        <v>4</v>
      </c>
      <c r="B33532" s="4" t="s">
        <v>5</v>
      </c>
      <c r="C33532" s="4" t="s">
        <v>7</v>
      </c>
      <c r="D33532" s="4" t="s">
        <v>7</v>
      </c>
      <c r="E33532" s="4" t="s">
        <v>13</v>
      </c>
      <c r="F33532" s="4" t="s">
        <v>11</v>
      </c>
    </row>
    <row r="33533" spans="1:18">
      <c r="A33533" t="n">
        <v>327053</v>
      </c>
      <c r="B33533" s="51" t="n">
        <v>45</v>
      </c>
      <c r="C33533" s="7" t="n">
        <v>5</v>
      </c>
      <c r="D33533" s="7" t="n">
        <v>3</v>
      </c>
      <c r="E33533" s="7" t="n">
        <v>1.20000004768372</v>
      </c>
      <c r="F33533" s="7" t="n">
        <v>0</v>
      </c>
    </row>
    <row r="33534" spans="1:18">
      <c r="A33534" t="s">
        <v>4</v>
      </c>
      <c r="B33534" s="4" t="s">
        <v>5</v>
      </c>
      <c r="C33534" s="4" t="s">
        <v>7</v>
      </c>
      <c r="D33534" s="4" t="s">
        <v>7</v>
      </c>
      <c r="E33534" s="4" t="s">
        <v>13</v>
      </c>
      <c r="F33534" s="4" t="s">
        <v>11</v>
      </c>
    </row>
    <row r="33535" spans="1:18">
      <c r="A33535" t="n">
        <v>327062</v>
      </c>
      <c r="B33535" s="51" t="n">
        <v>45</v>
      </c>
      <c r="C33535" s="7" t="n">
        <v>11</v>
      </c>
      <c r="D33535" s="7" t="n">
        <v>3</v>
      </c>
      <c r="E33535" s="7" t="n">
        <v>40.2999992370605</v>
      </c>
      <c r="F33535" s="7" t="n">
        <v>0</v>
      </c>
    </row>
    <row r="33536" spans="1:18">
      <c r="A33536" t="s">
        <v>4</v>
      </c>
      <c r="B33536" s="4" t="s">
        <v>5</v>
      </c>
      <c r="C33536" s="4" t="s">
        <v>7</v>
      </c>
      <c r="D33536" s="4" t="s">
        <v>7</v>
      </c>
      <c r="E33536" s="4" t="s">
        <v>13</v>
      </c>
      <c r="F33536" s="4" t="s">
        <v>11</v>
      </c>
    </row>
    <row r="33537" spans="1:9">
      <c r="A33537" t="n">
        <v>327071</v>
      </c>
      <c r="B33537" s="51" t="n">
        <v>45</v>
      </c>
      <c r="C33537" s="7" t="n">
        <v>5</v>
      </c>
      <c r="D33537" s="7" t="n">
        <v>3</v>
      </c>
      <c r="E33537" s="7" t="n">
        <v>1.03999996185303</v>
      </c>
      <c r="F33537" s="7" t="n">
        <v>1000</v>
      </c>
    </row>
    <row r="33538" spans="1:9">
      <c r="A33538" t="s">
        <v>4</v>
      </c>
      <c r="B33538" s="4" t="s">
        <v>5</v>
      </c>
      <c r="C33538" s="4" t="s">
        <v>7</v>
      </c>
      <c r="D33538" s="4" t="s">
        <v>11</v>
      </c>
      <c r="E33538" s="4" t="s">
        <v>8</v>
      </c>
      <c r="F33538" s="4" t="s">
        <v>8</v>
      </c>
      <c r="G33538" s="4" t="s">
        <v>8</v>
      </c>
      <c r="H33538" s="4" t="s">
        <v>8</v>
      </c>
    </row>
    <row r="33539" spans="1:9">
      <c r="A33539" t="n">
        <v>327080</v>
      </c>
      <c r="B33539" s="38" t="n">
        <v>51</v>
      </c>
      <c r="C33539" s="7" t="n">
        <v>3</v>
      </c>
      <c r="D33539" s="7" t="n">
        <v>18</v>
      </c>
      <c r="E33539" s="7" t="s">
        <v>155</v>
      </c>
      <c r="F33539" s="7" t="s">
        <v>218</v>
      </c>
      <c r="G33539" s="7" t="s">
        <v>16</v>
      </c>
      <c r="H33539" s="7" t="s">
        <v>86</v>
      </c>
    </row>
    <row r="33540" spans="1:9">
      <c r="A33540" t="s">
        <v>4</v>
      </c>
      <c r="B33540" s="4" t="s">
        <v>5</v>
      </c>
      <c r="C33540" s="4" t="s">
        <v>11</v>
      </c>
      <c r="D33540" s="4" t="s">
        <v>7</v>
      </c>
      <c r="E33540" s="4" t="s">
        <v>8</v>
      </c>
      <c r="F33540" s="4" t="s">
        <v>13</v>
      </c>
      <c r="G33540" s="4" t="s">
        <v>13</v>
      </c>
      <c r="H33540" s="4" t="s">
        <v>13</v>
      </c>
    </row>
    <row r="33541" spans="1:9">
      <c r="A33541" t="n">
        <v>327091</v>
      </c>
      <c r="B33541" s="42" t="n">
        <v>48</v>
      </c>
      <c r="C33541" s="7" t="n">
        <v>18</v>
      </c>
      <c r="D33541" s="7" t="n">
        <v>0</v>
      </c>
      <c r="E33541" s="7" t="s">
        <v>854</v>
      </c>
      <c r="F33541" s="7" t="n">
        <v>-1</v>
      </c>
      <c r="G33541" s="7" t="n">
        <v>1</v>
      </c>
      <c r="H33541" s="7" t="n">
        <v>0</v>
      </c>
    </row>
    <row r="33542" spans="1:9">
      <c r="A33542" t="s">
        <v>4</v>
      </c>
      <c r="B33542" s="4" t="s">
        <v>5</v>
      </c>
      <c r="C33542" s="4" t="s">
        <v>7</v>
      </c>
      <c r="D33542" s="4" t="s">
        <v>11</v>
      </c>
    </row>
    <row r="33543" spans="1:9">
      <c r="A33543" t="n">
        <v>327119</v>
      </c>
      <c r="B33543" s="23" t="n">
        <v>58</v>
      </c>
      <c r="C33543" s="7" t="n">
        <v>255</v>
      </c>
      <c r="D33543" s="7" t="n">
        <v>0</v>
      </c>
    </row>
    <row r="33544" spans="1:9">
      <c r="A33544" t="s">
        <v>4</v>
      </c>
      <c r="B33544" s="4" t="s">
        <v>5</v>
      </c>
      <c r="C33544" s="4" t="s">
        <v>7</v>
      </c>
      <c r="D33544" s="4" t="s">
        <v>13</v>
      </c>
      <c r="E33544" s="4" t="s">
        <v>13</v>
      </c>
      <c r="F33544" s="4" t="s">
        <v>13</v>
      </c>
    </row>
    <row r="33545" spans="1:9">
      <c r="A33545" t="n">
        <v>327123</v>
      </c>
      <c r="B33545" s="51" t="n">
        <v>45</v>
      </c>
      <c r="C33545" s="7" t="n">
        <v>9</v>
      </c>
      <c r="D33545" s="7" t="n">
        <v>0.00999999977648258</v>
      </c>
      <c r="E33545" s="7" t="n">
        <v>0.00999999977648258</v>
      </c>
      <c r="F33545" s="7" t="n">
        <v>0.5</v>
      </c>
    </row>
    <row r="33546" spans="1:9">
      <c r="A33546" t="s">
        <v>4</v>
      </c>
      <c r="B33546" s="4" t="s">
        <v>5</v>
      </c>
      <c r="C33546" s="4" t="s">
        <v>7</v>
      </c>
      <c r="D33546" s="4" t="s">
        <v>11</v>
      </c>
      <c r="E33546" s="4" t="s">
        <v>8</v>
      </c>
    </row>
    <row r="33547" spans="1:9">
      <c r="A33547" t="n">
        <v>327137</v>
      </c>
      <c r="B33547" s="38" t="n">
        <v>51</v>
      </c>
      <c r="C33547" s="7" t="n">
        <v>4</v>
      </c>
      <c r="D33547" s="7" t="n">
        <v>18</v>
      </c>
      <c r="E33547" s="7" t="s">
        <v>902</v>
      </c>
    </row>
    <row r="33548" spans="1:9">
      <c r="A33548" t="s">
        <v>4</v>
      </c>
      <c r="B33548" s="4" t="s">
        <v>5</v>
      </c>
      <c r="C33548" s="4" t="s">
        <v>11</v>
      </c>
    </row>
    <row r="33549" spans="1:9">
      <c r="A33549" t="n">
        <v>327165</v>
      </c>
      <c r="B33549" s="29" t="n">
        <v>16</v>
      </c>
      <c r="C33549" s="7" t="n">
        <v>0</v>
      </c>
    </row>
    <row r="33550" spans="1:9">
      <c r="A33550" t="s">
        <v>4</v>
      </c>
      <c r="B33550" s="4" t="s">
        <v>5</v>
      </c>
      <c r="C33550" s="4" t="s">
        <v>11</v>
      </c>
      <c r="D33550" s="4" t="s">
        <v>7</v>
      </c>
      <c r="E33550" s="4" t="s">
        <v>15</v>
      </c>
      <c r="F33550" s="4" t="s">
        <v>55</v>
      </c>
      <c r="G33550" s="4" t="s">
        <v>7</v>
      </c>
      <c r="H33550" s="4" t="s">
        <v>7</v>
      </c>
      <c r="I33550" s="4" t="s">
        <v>7</v>
      </c>
      <c r="J33550" s="4" t="s">
        <v>15</v>
      </c>
      <c r="K33550" s="4" t="s">
        <v>55</v>
      </c>
      <c r="L33550" s="4" t="s">
        <v>7</v>
      </c>
      <c r="M33550" s="4" t="s">
        <v>7</v>
      </c>
      <c r="N33550" s="4" t="s">
        <v>7</v>
      </c>
      <c r="O33550" s="4" t="s">
        <v>15</v>
      </c>
      <c r="P33550" s="4" t="s">
        <v>55</v>
      </c>
      <c r="Q33550" s="4" t="s">
        <v>7</v>
      </c>
      <c r="R33550" s="4" t="s">
        <v>7</v>
      </c>
    </row>
    <row r="33551" spans="1:9">
      <c r="A33551" t="n">
        <v>327168</v>
      </c>
      <c r="B33551" s="55" t="n">
        <v>26</v>
      </c>
      <c r="C33551" s="7" t="n">
        <v>18</v>
      </c>
      <c r="D33551" s="7" t="n">
        <v>17</v>
      </c>
      <c r="E33551" s="7" t="n">
        <v>17809</v>
      </c>
      <c r="F33551" s="7" t="s">
        <v>1848</v>
      </c>
      <c r="G33551" s="7" t="n">
        <v>2</v>
      </c>
      <c r="H33551" s="7" t="n">
        <v>3</v>
      </c>
      <c r="I33551" s="7" t="n">
        <v>17</v>
      </c>
      <c r="J33551" s="7" t="n">
        <v>17810</v>
      </c>
      <c r="K33551" s="7" t="s">
        <v>904</v>
      </c>
      <c r="L33551" s="7" t="n">
        <v>2</v>
      </c>
      <c r="M33551" s="7" t="n">
        <v>3</v>
      </c>
      <c r="N33551" s="7" t="n">
        <v>17</v>
      </c>
      <c r="O33551" s="7" t="n">
        <v>17811</v>
      </c>
      <c r="P33551" s="7" t="s">
        <v>905</v>
      </c>
      <c r="Q33551" s="7" t="n">
        <v>2</v>
      </c>
      <c r="R33551" s="7" t="n">
        <v>0</v>
      </c>
    </row>
    <row r="33552" spans="1:9">
      <c r="A33552" t="s">
        <v>4</v>
      </c>
      <c r="B33552" s="4" t="s">
        <v>5</v>
      </c>
    </row>
    <row r="33553" spans="1:18">
      <c r="A33553" t="n">
        <v>327414</v>
      </c>
      <c r="B33553" s="27" t="n">
        <v>28</v>
      </c>
    </row>
    <row r="33554" spans="1:18">
      <c r="A33554" t="s">
        <v>4</v>
      </c>
      <c r="B33554" s="4" t="s">
        <v>5</v>
      </c>
      <c r="C33554" s="4" t="s">
        <v>11</v>
      </c>
      <c r="D33554" s="4" t="s">
        <v>7</v>
      </c>
    </row>
    <row r="33555" spans="1:18">
      <c r="A33555" t="n">
        <v>327415</v>
      </c>
      <c r="B33555" s="68" t="n">
        <v>89</v>
      </c>
      <c r="C33555" s="7" t="n">
        <v>65533</v>
      </c>
      <c r="D33555" s="7" t="n">
        <v>1</v>
      </c>
    </row>
    <row r="33556" spans="1:18">
      <c r="A33556" t="s">
        <v>4</v>
      </c>
      <c r="B33556" s="4" t="s">
        <v>5</v>
      </c>
      <c r="C33556" s="4" t="s">
        <v>11</v>
      </c>
      <c r="D33556" s="4" t="s">
        <v>11</v>
      </c>
      <c r="E33556" s="4" t="s">
        <v>11</v>
      </c>
    </row>
    <row r="33557" spans="1:18">
      <c r="A33557" t="n">
        <v>327419</v>
      </c>
      <c r="B33557" s="72" t="n">
        <v>61</v>
      </c>
      <c r="C33557" s="7" t="n">
        <v>18</v>
      </c>
      <c r="D33557" s="7" t="n">
        <v>65533</v>
      </c>
      <c r="E33557" s="7" t="n">
        <v>1000</v>
      </c>
    </row>
    <row r="33558" spans="1:18">
      <c r="A33558" t="s">
        <v>4</v>
      </c>
      <c r="B33558" s="4" t="s">
        <v>5</v>
      </c>
      <c r="C33558" s="4" t="s">
        <v>11</v>
      </c>
      <c r="D33558" s="4" t="s">
        <v>13</v>
      </c>
      <c r="E33558" s="4" t="s">
        <v>13</v>
      </c>
      <c r="F33558" s="4" t="s">
        <v>13</v>
      </c>
      <c r="G33558" s="4" t="s">
        <v>11</v>
      </c>
      <c r="H33558" s="4" t="s">
        <v>11</v>
      </c>
    </row>
    <row r="33559" spans="1:18">
      <c r="A33559" t="n">
        <v>327426</v>
      </c>
      <c r="B33559" s="37" t="n">
        <v>60</v>
      </c>
      <c r="C33559" s="7" t="n">
        <v>18</v>
      </c>
      <c r="D33559" s="7" t="n">
        <v>20</v>
      </c>
      <c r="E33559" s="7" t="n">
        <v>-10</v>
      </c>
      <c r="F33559" s="7" t="n">
        <v>0</v>
      </c>
      <c r="G33559" s="7" t="n">
        <v>1000</v>
      </c>
      <c r="H33559" s="7" t="n">
        <v>0</v>
      </c>
    </row>
    <row r="33560" spans="1:18">
      <c r="A33560" t="s">
        <v>4</v>
      </c>
      <c r="B33560" s="4" t="s">
        <v>5</v>
      </c>
      <c r="C33560" s="4" t="s">
        <v>11</v>
      </c>
    </row>
    <row r="33561" spans="1:18">
      <c r="A33561" t="n">
        <v>327445</v>
      </c>
      <c r="B33561" s="29" t="n">
        <v>16</v>
      </c>
      <c r="C33561" s="7" t="n">
        <v>500</v>
      </c>
    </row>
    <row r="33562" spans="1:18">
      <c r="A33562" t="s">
        <v>4</v>
      </c>
      <c r="B33562" s="4" t="s">
        <v>5</v>
      </c>
      <c r="C33562" s="4" t="s">
        <v>7</v>
      </c>
      <c r="D33562" s="4" t="s">
        <v>11</v>
      </c>
      <c r="E33562" s="4" t="s">
        <v>8</v>
      </c>
    </row>
    <row r="33563" spans="1:18">
      <c r="A33563" t="n">
        <v>327448</v>
      </c>
      <c r="B33563" s="38" t="n">
        <v>51</v>
      </c>
      <c r="C33563" s="7" t="n">
        <v>4</v>
      </c>
      <c r="D33563" s="7" t="n">
        <v>18</v>
      </c>
      <c r="E33563" s="7" t="s">
        <v>906</v>
      </c>
    </row>
    <row r="33564" spans="1:18">
      <c r="A33564" t="s">
        <v>4</v>
      </c>
      <c r="B33564" s="4" t="s">
        <v>5</v>
      </c>
      <c r="C33564" s="4" t="s">
        <v>11</v>
      </c>
    </row>
    <row r="33565" spans="1:18">
      <c r="A33565" t="n">
        <v>327467</v>
      </c>
      <c r="B33565" s="29" t="n">
        <v>16</v>
      </c>
      <c r="C33565" s="7" t="n">
        <v>0</v>
      </c>
    </row>
    <row r="33566" spans="1:18">
      <c r="A33566" t="s">
        <v>4</v>
      </c>
      <c r="B33566" s="4" t="s">
        <v>5</v>
      </c>
      <c r="C33566" s="4" t="s">
        <v>11</v>
      </c>
      <c r="D33566" s="4" t="s">
        <v>7</v>
      </c>
      <c r="E33566" s="4" t="s">
        <v>15</v>
      </c>
      <c r="F33566" s="4" t="s">
        <v>55</v>
      </c>
      <c r="G33566" s="4" t="s">
        <v>7</v>
      </c>
      <c r="H33566" s="4" t="s">
        <v>7</v>
      </c>
      <c r="I33566" s="4" t="s">
        <v>7</v>
      </c>
      <c r="J33566" s="4" t="s">
        <v>15</v>
      </c>
      <c r="K33566" s="4" t="s">
        <v>55</v>
      </c>
      <c r="L33566" s="4" t="s">
        <v>7</v>
      </c>
      <c r="M33566" s="4" t="s">
        <v>7</v>
      </c>
    </row>
    <row r="33567" spans="1:18">
      <c r="A33567" t="n">
        <v>327470</v>
      </c>
      <c r="B33567" s="55" t="n">
        <v>26</v>
      </c>
      <c r="C33567" s="7" t="n">
        <v>18</v>
      </c>
      <c r="D33567" s="7" t="n">
        <v>17</v>
      </c>
      <c r="E33567" s="7" t="n">
        <v>17812</v>
      </c>
      <c r="F33567" s="7" t="s">
        <v>907</v>
      </c>
      <c r="G33567" s="7" t="n">
        <v>2</v>
      </c>
      <c r="H33567" s="7" t="n">
        <v>3</v>
      </c>
      <c r="I33567" s="7" t="n">
        <v>17</v>
      </c>
      <c r="J33567" s="7" t="n">
        <v>17813</v>
      </c>
      <c r="K33567" s="7" t="s">
        <v>908</v>
      </c>
      <c r="L33567" s="7" t="n">
        <v>2</v>
      </c>
      <c r="M33567" s="7" t="n">
        <v>0</v>
      </c>
    </row>
    <row r="33568" spans="1:18">
      <c r="A33568" t="s">
        <v>4</v>
      </c>
      <c r="B33568" s="4" t="s">
        <v>5</v>
      </c>
    </row>
    <row r="33569" spans="1:13">
      <c r="A33569" t="n">
        <v>327675</v>
      </c>
      <c r="B33569" s="27" t="n">
        <v>28</v>
      </c>
    </row>
    <row r="33570" spans="1:13">
      <c r="A33570" t="s">
        <v>4</v>
      </c>
      <c r="B33570" s="4" t="s">
        <v>5</v>
      </c>
      <c r="C33570" s="4" t="s">
        <v>11</v>
      </c>
      <c r="D33570" s="4" t="s">
        <v>7</v>
      </c>
      <c r="E33570" s="4" t="s">
        <v>13</v>
      </c>
      <c r="F33570" s="4" t="s">
        <v>11</v>
      </c>
    </row>
    <row r="33571" spans="1:13">
      <c r="A33571" t="n">
        <v>327676</v>
      </c>
      <c r="B33571" s="56" t="n">
        <v>59</v>
      </c>
      <c r="C33571" s="7" t="n">
        <v>0</v>
      </c>
      <c r="D33571" s="7" t="n">
        <v>6</v>
      </c>
      <c r="E33571" s="7" t="n">
        <v>0</v>
      </c>
      <c r="F33571" s="7" t="n">
        <v>0</v>
      </c>
    </row>
    <row r="33572" spans="1:13">
      <c r="A33572" t="s">
        <v>4</v>
      </c>
      <c r="B33572" s="4" t="s">
        <v>5</v>
      </c>
      <c r="C33572" s="4" t="s">
        <v>11</v>
      </c>
    </row>
    <row r="33573" spans="1:13">
      <c r="A33573" t="n">
        <v>327686</v>
      </c>
      <c r="B33573" s="29" t="n">
        <v>16</v>
      </c>
      <c r="C33573" s="7" t="n">
        <v>1000</v>
      </c>
    </row>
    <row r="33574" spans="1:13">
      <c r="A33574" t="s">
        <v>4</v>
      </c>
      <c r="B33574" s="4" t="s">
        <v>5</v>
      </c>
      <c r="C33574" s="4" t="s">
        <v>7</v>
      </c>
      <c r="D33574" s="4" t="s">
        <v>11</v>
      </c>
      <c r="E33574" s="4" t="s">
        <v>8</v>
      </c>
    </row>
    <row r="33575" spans="1:13">
      <c r="A33575" t="n">
        <v>327689</v>
      </c>
      <c r="B33575" s="38" t="n">
        <v>51</v>
      </c>
      <c r="C33575" s="7" t="n">
        <v>4</v>
      </c>
      <c r="D33575" s="7" t="n">
        <v>0</v>
      </c>
      <c r="E33575" s="7" t="s">
        <v>909</v>
      </c>
    </row>
    <row r="33576" spans="1:13">
      <c r="A33576" t="s">
        <v>4</v>
      </c>
      <c r="B33576" s="4" t="s">
        <v>5</v>
      </c>
      <c r="C33576" s="4" t="s">
        <v>11</v>
      </c>
    </row>
    <row r="33577" spans="1:13">
      <c r="A33577" t="n">
        <v>327703</v>
      </c>
      <c r="B33577" s="29" t="n">
        <v>16</v>
      </c>
      <c r="C33577" s="7" t="n">
        <v>0</v>
      </c>
    </row>
    <row r="33578" spans="1:13">
      <c r="A33578" t="s">
        <v>4</v>
      </c>
      <c r="B33578" s="4" t="s">
        <v>5</v>
      </c>
      <c r="C33578" s="4" t="s">
        <v>11</v>
      </c>
      <c r="D33578" s="4" t="s">
        <v>7</v>
      </c>
      <c r="E33578" s="4" t="s">
        <v>15</v>
      </c>
      <c r="F33578" s="4" t="s">
        <v>55</v>
      </c>
      <c r="G33578" s="4" t="s">
        <v>7</v>
      </c>
      <c r="H33578" s="4" t="s">
        <v>7</v>
      </c>
    </row>
    <row r="33579" spans="1:13">
      <c r="A33579" t="n">
        <v>327706</v>
      </c>
      <c r="B33579" s="55" t="n">
        <v>26</v>
      </c>
      <c r="C33579" s="7" t="n">
        <v>0</v>
      </c>
      <c r="D33579" s="7" t="n">
        <v>17</v>
      </c>
      <c r="E33579" s="7" t="n">
        <v>64092</v>
      </c>
      <c r="F33579" s="7" t="s">
        <v>910</v>
      </c>
      <c r="G33579" s="7" t="n">
        <v>2</v>
      </c>
      <c r="H33579" s="7" t="n">
        <v>0</v>
      </c>
    </row>
    <row r="33580" spans="1:13">
      <c r="A33580" t="s">
        <v>4</v>
      </c>
      <c r="B33580" s="4" t="s">
        <v>5</v>
      </c>
    </row>
    <row r="33581" spans="1:13">
      <c r="A33581" t="n">
        <v>327782</v>
      </c>
      <c r="B33581" s="27" t="n">
        <v>28</v>
      </c>
    </row>
    <row r="33582" spans="1:13">
      <c r="A33582" t="s">
        <v>4</v>
      </c>
      <c r="B33582" s="4" t="s">
        <v>5</v>
      </c>
      <c r="C33582" s="4" t="s">
        <v>11</v>
      </c>
      <c r="D33582" s="4" t="s">
        <v>7</v>
      </c>
    </row>
    <row r="33583" spans="1:13">
      <c r="A33583" t="n">
        <v>327783</v>
      </c>
      <c r="B33583" s="68" t="n">
        <v>89</v>
      </c>
      <c r="C33583" s="7" t="n">
        <v>65533</v>
      </c>
      <c r="D33583" s="7" t="n">
        <v>1</v>
      </c>
    </row>
    <row r="33584" spans="1:13">
      <c r="A33584" t="s">
        <v>4</v>
      </c>
      <c r="B33584" s="4" t="s">
        <v>5</v>
      </c>
      <c r="C33584" s="4" t="s">
        <v>7</v>
      </c>
      <c r="D33584" s="4" t="s">
        <v>11</v>
      </c>
      <c r="E33584" s="4" t="s">
        <v>13</v>
      </c>
    </row>
    <row r="33585" spans="1:8">
      <c r="A33585" t="n">
        <v>327787</v>
      </c>
      <c r="B33585" s="23" t="n">
        <v>58</v>
      </c>
      <c r="C33585" s="7" t="n">
        <v>101</v>
      </c>
      <c r="D33585" s="7" t="n">
        <v>500</v>
      </c>
      <c r="E33585" s="7" t="n">
        <v>1</v>
      </c>
    </row>
    <row r="33586" spans="1:8">
      <c r="A33586" t="s">
        <v>4</v>
      </c>
      <c r="B33586" s="4" t="s">
        <v>5</v>
      </c>
      <c r="C33586" s="4" t="s">
        <v>7</v>
      </c>
      <c r="D33586" s="4" t="s">
        <v>11</v>
      </c>
    </row>
    <row r="33587" spans="1:8">
      <c r="A33587" t="n">
        <v>327795</v>
      </c>
      <c r="B33587" s="23" t="n">
        <v>58</v>
      </c>
      <c r="C33587" s="7" t="n">
        <v>254</v>
      </c>
      <c r="D33587" s="7" t="n">
        <v>0</v>
      </c>
    </row>
    <row r="33588" spans="1:8">
      <c r="A33588" t="s">
        <v>4</v>
      </c>
      <c r="B33588" s="4" t="s">
        <v>5</v>
      </c>
      <c r="C33588" s="4" t="s">
        <v>7</v>
      </c>
      <c r="D33588" s="4" t="s">
        <v>7</v>
      </c>
      <c r="E33588" s="4" t="s">
        <v>13</v>
      </c>
      <c r="F33588" s="4" t="s">
        <v>13</v>
      </c>
      <c r="G33588" s="4" t="s">
        <v>13</v>
      </c>
      <c r="H33588" s="4" t="s">
        <v>11</v>
      </c>
    </row>
    <row r="33589" spans="1:8">
      <c r="A33589" t="n">
        <v>327799</v>
      </c>
      <c r="B33589" s="51" t="n">
        <v>45</v>
      </c>
      <c r="C33589" s="7" t="n">
        <v>2</v>
      </c>
      <c r="D33589" s="7" t="n">
        <v>3</v>
      </c>
      <c r="E33589" s="7" t="n">
        <v>-7.40999984741211</v>
      </c>
      <c r="F33589" s="7" t="n">
        <v>6.30000019073486</v>
      </c>
      <c r="G33589" s="7" t="n">
        <v>29.7999992370605</v>
      </c>
      <c r="H33589" s="7" t="n">
        <v>0</v>
      </c>
    </row>
    <row r="33590" spans="1:8">
      <c r="A33590" t="s">
        <v>4</v>
      </c>
      <c r="B33590" s="4" t="s">
        <v>5</v>
      </c>
      <c r="C33590" s="4" t="s">
        <v>7</v>
      </c>
      <c r="D33590" s="4" t="s">
        <v>7</v>
      </c>
      <c r="E33590" s="4" t="s">
        <v>13</v>
      </c>
      <c r="F33590" s="4" t="s">
        <v>13</v>
      </c>
      <c r="G33590" s="4" t="s">
        <v>13</v>
      </c>
      <c r="H33590" s="4" t="s">
        <v>11</v>
      </c>
      <c r="I33590" s="4" t="s">
        <v>7</v>
      </c>
    </row>
    <row r="33591" spans="1:8">
      <c r="A33591" t="n">
        <v>327816</v>
      </c>
      <c r="B33591" s="51" t="n">
        <v>45</v>
      </c>
      <c r="C33591" s="7" t="n">
        <v>4</v>
      </c>
      <c r="D33591" s="7" t="n">
        <v>3</v>
      </c>
      <c r="E33591" s="7" t="n">
        <v>7.30999994277954</v>
      </c>
      <c r="F33591" s="7" t="n">
        <v>63.060001373291</v>
      </c>
      <c r="G33591" s="7" t="n">
        <v>356</v>
      </c>
      <c r="H33591" s="7" t="n">
        <v>0</v>
      </c>
      <c r="I33591" s="7" t="n">
        <v>0</v>
      </c>
    </row>
    <row r="33592" spans="1:8">
      <c r="A33592" t="s">
        <v>4</v>
      </c>
      <c r="B33592" s="4" t="s">
        <v>5</v>
      </c>
      <c r="C33592" s="4" t="s">
        <v>7</v>
      </c>
      <c r="D33592" s="4" t="s">
        <v>7</v>
      </c>
      <c r="E33592" s="4" t="s">
        <v>13</v>
      </c>
      <c r="F33592" s="4" t="s">
        <v>11</v>
      </c>
    </row>
    <row r="33593" spans="1:8">
      <c r="A33593" t="n">
        <v>327834</v>
      </c>
      <c r="B33593" s="51" t="n">
        <v>45</v>
      </c>
      <c r="C33593" s="7" t="n">
        <v>5</v>
      </c>
      <c r="D33593" s="7" t="n">
        <v>3</v>
      </c>
      <c r="E33593" s="7" t="n">
        <v>0.800000011920929</v>
      </c>
      <c r="F33593" s="7" t="n">
        <v>0</v>
      </c>
    </row>
    <row r="33594" spans="1:8">
      <c r="A33594" t="s">
        <v>4</v>
      </c>
      <c r="B33594" s="4" t="s">
        <v>5</v>
      </c>
      <c r="C33594" s="4" t="s">
        <v>7</v>
      </c>
      <c r="D33594" s="4" t="s">
        <v>7</v>
      </c>
      <c r="E33594" s="4" t="s">
        <v>13</v>
      </c>
      <c r="F33594" s="4" t="s">
        <v>11</v>
      </c>
    </row>
    <row r="33595" spans="1:8">
      <c r="A33595" t="n">
        <v>327843</v>
      </c>
      <c r="B33595" s="51" t="n">
        <v>45</v>
      </c>
      <c r="C33595" s="7" t="n">
        <v>11</v>
      </c>
      <c r="D33595" s="7" t="n">
        <v>3</v>
      </c>
      <c r="E33595" s="7" t="n">
        <v>40.2999992370605</v>
      </c>
      <c r="F33595" s="7" t="n">
        <v>0</v>
      </c>
    </row>
    <row r="33596" spans="1:8">
      <c r="A33596" t="s">
        <v>4</v>
      </c>
      <c r="B33596" s="4" t="s">
        <v>5</v>
      </c>
      <c r="C33596" s="4" t="s">
        <v>7</v>
      </c>
      <c r="D33596" s="4" t="s">
        <v>7</v>
      </c>
      <c r="E33596" s="4" t="s">
        <v>13</v>
      </c>
      <c r="F33596" s="4" t="s">
        <v>13</v>
      </c>
      <c r="G33596" s="4" t="s">
        <v>13</v>
      </c>
      <c r="H33596" s="4" t="s">
        <v>11</v>
      </c>
    </row>
    <row r="33597" spans="1:8">
      <c r="A33597" t="n">
        <v>327852</v>
      </c>
      <c r="B33597" s="51" t="n">
        <v>45</v>
      </c>
      <c r="C33597" s="7" t="n">
        <v>2</v>
      </c>
      <c r="D33597" s="7" t="n">
        <v>3</v>
      </c>
      <c r="E33597" s="7" t="n">
        <v>-7.40999984741211</v>
      </c>
      <c r="F33597" s="7" t="n">
        <v>6.34999990463257</v>
      </c>
      <c r="G33597" s="7" t="n">
        <v>29.7999992370605</v>
      </c>
      <c r="H33597" s="7" t="n">
        <v>25000</v>
      </c>
    </row>
    <row r="33598" spans="1:8">
      <c r="A33598" t="s">
        <v>4</v>
      </c>
      <c r="B33598" s="4" t="s">
        <v>5</v>
      </c>
      <c r="C33598" s="4" t="s">
        <v>7</v>
      </c>
      <c r="D33598" s="4" t="s">
        <v>7</v>
      </c>
      <c r="E33598" s="4" t="s">
        <v>13</v>
      </c>
      <c r="F33598" s="4" t="s">
        <v>13</v>
      </c>
      <c r="G33598" s="4" t="s">
        <v>13</v>
      </c>
      <c r="H33598" s="4" t="s">
        <v>11</v>
      </c>
      <c r="I33598" s="4" t="s">
        <v>7</v>
      </c>
    </row>
    <row r="33599" spans="1:8">
      <c r="A33599" t="n">
        <v>327869</v>
      </c>
      <c r="B33599" s="51" t="n">
        <v>45</v>
      </c>
      <c r="C33599" s="7" t="n">
        <v>4</v>
      </c>
      <c r="D33599" s="7" t="n">
        <v>3</v>
      </c>
      <c r="E33599" s="7" t="n">
        <v>18.3899993896484</v>
      </c>
      <c r="F33599" s="7" t="n">
        <v>71.7099990844727</v>
      </c>
      <c r="G33599" s="7" t="n">
        <v>356</v>
      </c>
      <c r="H33599" s="7" t="n">
        <v>25000</v>
      </c>
      <c r="I33599" s="7" t="n">
        <v>1</v>
      </c>
    </row>
    <row r="33600" spans="1:8">
      <c r="A33600" t="s">
        <v>4</v>
      </c>
      <c r="B33600" s="4" t="s">
        <v>5</v>
      </c>
      <c r="C33600" s="4" t="s">
        <v>7</v>
      </c>
      <c r="D33600" s="4" t="s">
        <v>7</v>
      </c>
      <c r="E33600" s="4" t="s">
        <v>13</v>
      </c>
      <c r="F33600" s="4" t="s">
        <v>11</v>
      </c>
    </row>
    <row r="33601" spans="1:9">
      <c r="A33601" t="n">
        <v>327887</v>
      </c>
      <c r="B33601" s="51" t="n">
        <v>45</v>
      </c>
      <c r="C33601" s="7" t="n">
        <v>5</v>
      </c>
      <c r="D33601" s="7" t="n">
        <v>3</v>
      </c>
      <c r="E33601" s="7" t="n">
        <v>0.699999988079071</v>
      </c>
      <c r="F33601" s="7" t="n">
        <v>25000</v>
      </c>
    </row>
    <row r="33602" spans="1:9">
      <c r="A33602" t="s">
        <v>4</v>
      </c>
      <c r="B33602" s="4" t="s">
        <v>5</v>
      </c>
      <c r="C33602" s="4" t="s">
        <v>7</v>
      </c>
      <c r="D33602" s="4" t="s">
        <v>7</v>
      </c>
      <c r="E33602" s="4" t="s">
        <v>13</v>
      </c>
      <c r="F33602" s="4" t="s">
        <v>11</v>
      </c>
    </row>
    <row r="33603" spans="1:9">
      <c r="A33603" t="n">
        <v>327896</v>
      </c>
      <c r="B33603" s="51" t="n">
        <v>45</v>
      </c>
      <c r="C33603" s="7" t="n">
        <v>11</v>
      </c>
      <c r="D33603" s="7" t="n">
        <v>3</v>
      </c>
      <c r="E33603" s="7" t="n">
        <v>40.2999992370605</v>
      </c>
      <c r="F33603" s="7" t="n">
        <v>25000</v>
      </c>
    </row>
    <row r="33604" spans="1:9">
      <c r="A33604" t="s">
        <v>4</v>
      </c>
      <c r="B33604" s="4" t="s">
        <v>5</v>
      </c>
      <c r="C33604" s="4" t="s">
        <v>7</v>
      </c>
      <c r="D33604" s="4" t="s">
        <v>11</v>
      </c>
      <c r="E33604" s="4" t="s">
        <v>8</v>
      </c>
      <c r="F33604" s="4" t="s">
        <v>8</v>
      </c>
      <c r="G33604" s="4" t="s">
        <v>8</v>
      </c>
      <c r="H33604" s="4" t="s">
        <v>8</v>
      </c>
    </row>
    <row r="33605" spans="1:9">
      <c r="A33605" t="n">
        <v>327905</v>
      </c>
      <c r="B33605" s="38" t="n">
        <v>51</v>
      </c>
      <c r="C33605" s="7" t="n">
        <v>3</v>
      </c>
      <c r="D33605" s="7" t="n">
        <v>18</v>
      </c>
      <c r="E33605" s="7" t="s">
        <v>769</v>
      </c>
      <c r="F33605" s="7" t="s">
        <v>218</v>
      </c>
      <c r="G33605" s="7" t="s">
        <v>16</v>
      </c>
      <c r="H33605" s="7" t="s">
        <v>68</v>
      </c>
    </row>
    <row r="33606" spans="1:9">
      <c r="A33606" t="s">
        <v>4</v>
      </c>
      <c r="B33606" s="4" t="s">
        <v>5</v>
      </c>
      <c r="C33606" s="4" t="s">
        <v>7</v>
      </c>
      <c r="D33606" s="4" t="s">
        <v>11</v>
      </c>
    </row>
    <row r="33607" spans="1:9">
      <c r="A33607" t="n">
        <v>327916</v>
      </c>
      <c r="B33607" s="23" t="n">
        <v>58</v>
      </c>
      <c r="C33607" s="7" t="n">
        <v>255</v>
      </c>
      <c r="D33607" s="7" t="n">
        <v>0</v>
      </c>
    </row>
    <row r="33608" spans="1:9">
      <c r="A33608" t="s">
        <v>4</v>
      </c>
      <c r="B33608" s="4" t="s">
        <v>5</v>
      </c>
      <c r="C33608" s="4" t="s">
        <v>11</v>
      </c>
      <c r="D33608" s="4" t="s">
        <v>11</v>
      </c>
      <c r="E33608" s="4" t="s">
        <v>11</v>
      </c>
    </row>
    <row r="33609" spans="1:9">
      <c r="A33609" t="n">
        <v>327920</v>
      </c>
      <c r="B33609" s="72" t="n">
        <v>61</v>
      </c>
      <c r="C33609" s="7" t="n">
        <v>18</v>
      </c>
      <c r="D33609" s="7" t="n">
        <v>0</v>
      </c>
      <c r="E33609" s="7" t="n">
        <v>1000</v>
      </c>
    </row>
    <row r="33610" spans="1:9">
      <c r="A33610" t="s">
        <v>4</v>
      </c>
      <c r="B33610" s="4" t="s">
        <v>5</v>
      </c>
      <c r="C33610" s="4" t="s">
        <v>11</v>
      </c>
      <c r="D33610" s="4" t="s">
        <v>13</v>
      </c>
      <c r="E33610" s="4" t="s">
        <v>13</v>
      </c>
      <c r="F33610" s="4" t="s">
        <v>13</v>
      </c>
      <c r="G33610" s="4" t="s">
        <v>11</v>
      </c>
      <c r="H33610" s="4" t="s">
        <v>11</v>
      </c>
    </row>
    <row r="33611" spans="1:9">
      <c r="A33611" t="n">
        <v>327927</v>
      </c>
      <c r="B33611" s="37" t="n">
        <v>60</v>
      </c>
      <c r="C33611" s="7" t="n">
        <v>18</v>
      </c>
      <c r="D33611" s="7" t="n">
        <v>0</v>
      </c>
      <c r="E33611" s="7" t="n">
        <v>0</v>
      </c>
      <c r="F33611" s="7" t="n">
        <v>0</v>
      </c>
      <c r="G33611" s="7" t="n">
        <v>500</v>
      </c>
      <c r="H33611" s="7" t="n">
        <v>0</v>
      </c>
    </row>
    <row r="33612" spans="1:9">
      <c r="A33612" t="s">
        <v>4</v>
      </c>
      <c r="B33612" s="4" t="s">
        <v>5</v>
      </c>
      <c r="C33612" s="4" t="s">
        <v>11</v>
      </c>
    </row>
    <row r="33613" spans="1:9">
      <c r="A33613" t="n">
        <v>327946</v>
      </c>
      <c r="B33613" s="29" t="n">
        <v>16</v>
      </c>
      <c r="C33613" s="7" t="n">
        <v>500</v>
      </c>
    </row>
    <row r="33614" spans="1:9">
      <c r="A33614" t="s">
        <v>4</v>
      </c>
      <c r="B33614" s="4" t="s">
        <v>5</v>
      </c>
      <c r="C33614" s="4" t="s">
        <v>7</v>
      </c>
      <c r="D33614" s="4" t="s">
        <v>11</v>
      </c>
      <c r="E33614" s="4" t="s">
        <v>8</v>
      </c>
    </row>
    <row r="33615" spans="1:9">
      <c r="A33615" t="n">
        <v>327949</v>
      </c>
      <c r="B33615" s="38" t="n">
        <v>51</v>
      </c>
      <c r="C33615" s="7" t="n">
        <v>4</v>
      </c>
      <c r="D33615" s="7" t="n">
        <v>18</v>
      </c>
      <c r="E33615" s="7" t="s">
        <v>911</v>
      </c>
    </row>
    <row r="33616" spans="1:9">
      <c r="A33616" t="s">
        <v>4</v>
      </c>
      <c r="B33616" s="4" t="s">
        <v>5</v>
      </c>
      <c r="C33616" s="4" t="s">
        <v>11</v>
      </c>
    </row>
    <row r="33617" spans="1:8">
      <c r="A33617" t="n">
        <v>327962</v>
      </c>
      <c r="B33617" s="29" t="n">
        <v>16</v>
      </c>
      <c r="C33617" s="7" t="n">
        <v>0</v>
      </c>
    </row>
    <row r="33618" spans="1:8">
      <c r="A33618" t="s">
        <v>4</v>
      </c>
      <c r="B33618" s="4" t="s">
        <v>5</v>
      </c>
      <c r="C33618" s="4" t="s">
        <v>11</v>
      </c>
      <c r="D33618" s="4" t="s">
        <v>7</v>
      </c>
      <c r="E33618" s="4" t="s">
        <v>15</v>
      </c>
      <c r="F33618" s="4" t="s">
        <v>55</v>
      </c>
      <c r="G33618" s="4" t="s">
        <v>7</v>
      </c>
      <c r="H33618" s="4" t="s">
        <v>7</v>
      </c>
      <c r="I33618" s="4" t="s">
        <v>7</v>
      </c>
      <c r="J33618" s="4" t="s">
        <v>15</v>
      </c>
      <c r="K33618" s="4" t="s">
        <v>55</v>
      </c>
      <c r="L33618" s="4" t="s">
        <v>7</v>
      </c>
      <c r="M33618" s="4" t="s">
        <v>7</v>
      </c>
      <c r="N33618" s="4" t="s">
        <v>7</v>
      </c>
      <c r="O33618" s="4" t="s">
        <v>15</v>
      </c>
      <c r="P33618" s="4" t="s">
        <v>55</v>
      </c>
      <c r="Q33618" s="4" t="s">
        <v>7</v>
      </c>
      <c r="R33618" s="4" t="s">
        <v>7</v>
      </c>
    </row>
    <row r="33619" spans="1:8">
      <c r="A33619" t="n">
        <v>327965</v>
      </c>
      <c r="B33619" s="55" t="n">
        <v>26</v>
      </c>
      <c r="C33619" s="7" t="n">
        <v>18</v>
      </c>
      <c r="D33619" s="7" t="n">
        <v>17</v>
      </c>
      <c r="E33619" s="7" t="n">
        <v>17814</v>
      </c>
      <c r="F33619" s="7" t="s">
        <v>912</v>
      </c>
      <c r="G33619" s="7" t="n">
        <v>2</v>
      </c>
      <c r="H33619" s="7" t="n">
        <v>3</v>
      </c>
      <c r="I33619" s="7" t="n">
        <v>17</v>
      </c>
      <c r="J33619" s="7" t="n">
        <v>17815</v>
      </c>
      <c r="K33619" s="7" t="s">
        <v>913</v>
      </c>
      <c r="L33619" s="7" t="n">
        <v>2</v>
      </c>
      <c r="M33619" s="7" t="n">
        <v>3</v>
      </c>
      <c r="N33619" s="7" t="n">
        <v>17</v>
      </c>
      <c r="O33619" s="7" t="n">
        <v>17816</v>
      </c>
      <c r="P33619" s="7" t="s">
        <v>914</v>
      </c>
      <c r="Q33619" s="7" t="n">
        <v>2</v>
      </c>
      <c r="R33619" s="7" t="n">
        <v>0</v>
      </c>
    </row>
    <row r="33620" spans="1:8">
      <c r="A33620" t="s">
        <v>4</v>
      </c>
      <c r="B33620" s="4" t="s">
        <v>5</v>
      </c>
    </row>
    <row r="33621" spans="1:8">
      <c r="A33621" t="n">
        <v>328137</v>
      </c>
      <c r="B33621" s="27" t="n">
        <v>28</v>
      </c>
    </row>
    <row r="33622" spans="1:8">
      <c r="A33622" t="s">
        <v>4</v>
      </c>
      <c r="B33622" s="4" t="s">
        <v>5</v>
      </c>
      <c r="C33622" s="4" t="s">
        <v>7</v>
      </c>
      <c r="D33622" s="4" t="s">
        <v>11</v>
      </c>
      <c r="E33622" s="4" t="s">
        <v>8</v>
      </c>
    </row>
    <row r="33623" spans="1:8">
      <c r="A33623" t="n">
        <v>328138</v>
      </c>
      <c r="B33623" s="38" t="n">
        <v>51</v>
      </c>
      <c r="C33623" s="7" t="n">
        <v>4</v>
      </c>
      <c r="D33623" s="7" t="n">
        <v>0</v>
      </c>
      <c r="E33623" s="7" t="s">
        <v>206</v>
      </c>
    </row>
    <row r="33624" spans="1:8">
      <c r="A33624" t="s">
        <v>4</v>
      </c>
      <c r="B33624" s="4" t="s">
        <v>5</v>
      </c>
      <c r="C33624" s="4" t="s">
        <v>11</v>
      </c>
    </row>
    <row r="33625" spans="1:8">
      <c r="A33625" t="n">
        <v>328153</v>
      </c>
      <c r="B33625" s="29" t="n">
        <v>16</v>
      </c>
      <c r="C33625" s="7" t="n">
        <v>0</v>
      </c>
    </row>
    <row r="33626" spans="1:8">
      <c r="A33626" t="s">
        <v>4</v>
      </c>
      <c r="B33626" s="4" t="s">
        <v>5</v>
      </c>
      <c r="C33626" s="4" t="s">
        <v>11</v>
      </c>
      <c r="D33626" s="4" t="s">
        <v>55</v>
      </c>
      <c r="E33626" s="4" t="s">
        <v>7</v>
      </c>
      <c r="F33626" s="4" t="s">
        <v>7</v>
      </c>
      <c r="G33626" s="4" t="s">
        <v>7</v>
      </c>
      <c r="H33626" s="4" t="s">
        <v>15</v>
      </c>
      <c r="I33626" s="4" t="s">
        <v>55</v>
      </c>
      <c r="J33626" s="4" t="s">
        <v>7</v>
      </c>
      <c r="K33626" s="4" t="s">
        <v>7</v>
      </c>
      <c r="L33626" s="4" t="s">
        <v>7</v>
      </c>
      <c r="M33626" s="4" t="s">
        <v>15</v>
      </c>
      <c r="N33626" s="4" t="s">
        <v>55</v>
      </c>
      <c r="O33626" s="4" t="s">
        <v>7</v>
      </c>
      <c r="P33626" s="4" t="s">
        <v>7</v>
      </c>
    </row>
    <row r="33627" spans="1:8">
      <c r="A33627" t="n">
        <v>328156</v>
      </c>
      <c r="B33627" s="55" t="n">
        <v>26</v>
      </c>
      <c r="C33627" s="7" t="n">
        <v>0</v>
      </c>
      <c r="D33627" s="7" t="s">
        <v>446</v>
      </c>
      <c r="E33627" s="7" t="n">
        <v>2</v>
      </c>
      <c r="F33627" s="7" t="n">
        <v>3</v>
      </c>
      <c r="G33627" s="7" t="n">
        <v>17</v>
      </c>
      <c r="H33627" s="7" t="n">
        <v>64093</v>
      </c>
      <c r="I33627" s="7" t="s">
        <v>915</v>
      </c>
      <c r="J33627" s="7" t="n">
        <v>2</v>
      </c>
      <c r="K33627" s="7" t="n">
        <v>3</v>
      </c>
      <c r="L33627" s="7" t="n">
        <v>17</v>
      </c>
      <c r="M33627" s="7" t="n">
        <v>64094</v>
      </c>
      <c r="N33627" s="7" t="s">
        <v>916</v>
      </c>
      <c r="O33627" s="7" t="n">
        <v>2</v>
      </c>
      <c r="P33627" s="7" t="n">
        <v>0</v>
      </c>
    </row>
    <row r="33628" spans="1:8">
      <c r="A33628" t="s">
        <v>4</v>
      </c>
      <c r="B33628" s="4" t="s">
        <v>5</v>
      </c>
    </row>
    <row r="33629" spans="1:8">
      <c r="A33629" t="n">
        <v>328311</v>
      </c>
      <c r="B33629" s="27" t="n">
        <v>28</v>
      </c>
    </row>
    <row r="33630" spans="1:8">
      <c r="A33630" t="s">
        <v>4</v>
      </c>
      <c r="B33630" s="4" t="s">
        <v>5</v>
      </c>
      <c r="C33630" s="4" t="s">
        <v>7</v>
      </c>
      <c r="D33630" s="4" t="s">
        <v>11</v>
      </c>
      <c r="E33630" s="4" t="s">
        <v>8</v>
      </c>
      <c r="F33630" s="4" t="s">
        <v>8</v>
      </c>
      <c r="G33630" s="4" t="s">
        <v>8</v>
      </c>
      <c r="H33630" s="4" t="s">
        <v>8</v>
      </c>
    </row>
    <row r="33631" spans="1:8">
      <c r="A33631" t="n">
        <v>328312</v>
      </c>
      <c r="B33631" s="38" t="n">
        <v>51</v>
      </c>
      <c r="C33631" s="7" t="n">
        <v>3</v>
      </c>
      <c r="D33631" s="7" t="n">
        <v>18</v>
      </c>
      <c r="E33631" s="7" t="s">
        <v>86</v>
      </c>
      <c r="F33631" s="7" t="s">
        <v>79</v>
      </c>
      <c r="G33631" s="7" t="s">
        <v>16</v>
      </c>
      <c r="H33631" s="7" t="s">
        <v>68</v>
      </c>
    </row>
    <row r="33632" spans="1:8">
      <c r="A33632" t="s">
        <v>4</v>
      </c>
      <c r="B33632" s="4" t="s">
        <v>5</v>
      </c>
      <c r="C33632" s="4" t="s">
        <v>11</v>
      </c>
      <c r="D33632" s="4" t="s">
        <v>7</v>
      </c>
      <c r="E33632" s="4" t="s">
        <v>7</v>
      </c>
      <c r="F33632" s="4" t="s">
        <v>8</v>
      </c>
    </row>
    <row r="33633" spans="1:18">
      <c r="A33633" t="n">
        <v>328323</v>
      </c>
      <c r="B33633" s="50" t="n">
        <v>20</v>
      </c>
      <c r="C33633" s="7" t="n">
        <v>18</v>
      </c>
      <c r="D33633" s="7" t="n">
        <v>2</v>
      </c>
      <c r="E33633" s="7" t="n">
        <v>10</v>
      </c>
      <c r="F33633" s="7" t="s">
        <v>223</v>
      </c>
    </row>
    <row r="33634" spans="1:18">
      <c r="A33634" t="s">
        <v>4</v>
      </c>
      <c r="B33634" s="4" t="s">
        <v>5</v>
      </c>
      <c r="C33634" s="4" t="s">
        <v>11</v>
      </c>
    </row>
    <row r="33635" spans="1:18">
      <c r="A33635" t="n">
        <v>328344</v>
      </c>
      <c r="B33635" s="29" t="n">
        <v>16</v>
      </c>
      <c r="C33635" s="7" t="n">
        <v>600</v>
      </c>
    </row>
    <row r="33636" spans="1:18">
      <c r="A33636" t="s">
        <v>4</v>
      </c>
      <c r="B33636" s="4" t="s">
        <v>5</v>
      </c>
      <c r="C33636" s="4" t="s">
        <v>7</v>
      </c>
      <c r="D33636" s="4" t="s">
        <v>11</v>
      </c>
      <c r="E33636" s="4" t="s">
        <v>11</v>
      </c>
      <c r="F33636" s="4" t="s">
        <v>11</v>
      </c>
      <c r="G33636" s="4" t="s">
        <v>11</v>
      </c>
      <c r="H33636" s="4" t="s">
        <v>11</v>
      </c>
      <c r="I33636" s="4" t="s">
        <v>8</v>
      </c>
      <c r="J33636" s="4" t="s">
        <v>13</v>
      </c>
      <c r="K33636" s="4" t="s">
        <v>13</v>
      </c>
      <c r="L33636" s="4" t="s">
        <v>13</v>
      </c>
      <c r="M33636" s="4" t="s">
        <v>15</v>
      </c>
      <c r="N33636" s="4" t="s">
        <v>15</v>
      </c>
      <c r="O33636" s="4" t="s">
        <v>13</v>
      </c>
      <c r="P33636" s="4" t="s">
        <v>13</v>
      </c>
      <c r="Q33636" s="4" t="s">
        <v>13</v>
      </c>
      <c r="R33636" s="4" t="s">
        <v>13</v>
      </c>
      <c r="S33636" s="4" t="s">
        <v>7</v>
      </c>
    </row>
    <row r="33637" spans="1:18">
      <c r="A33637" t="n">
        <v>328347</v>
      </c>
      <c r="B33637" s="81" t="n">
        <v>39</v>
      </c>
      <c r="C33637" s="7" t="n">
        <v>12</v>
      </c>
      <c r="D33637" s="7" t="n">
        <v>18</v>
      </c>
      <c r="E33637" s="7" t="n">
        <v>201</v>
      </c>
      <c r="F33637" s="7" t="n">
        <v>0</v>
      </c>
      <c r="G33637" s="7" t="n">
        <v>18</v>
      </c>
      <c r="H33637" s="7" t="n">
        <v>3</v>
      </c>
      <c r="I33637" s="7" t="s">
        <v>917</v>
      </c>
      <c r="J33637" s="7" t="n">
        <v>0</v>
      </c>
      <c r="K33637" s="7" t="n">
        <v>0</v>
      </c>
      <c r="L33637" s="7" t="n">
        <v>0</v>
      </c>
      <c r="M33637" s="7" t="n">
        <v>0</v>
      </c>
      <c r="N33637" s="7" t="n">
        <v>0</v>
      </c>
      <c r="O33637" s="7" t="n">
        <v>0</v>
      </c>
      <c r="P33637" s="7" t="n">
        <v>1</v>
      </c>
      <c r="Q33637" s="7" t="n">
        <v>1</v>
      </c>
      <c r="R33637" s="7" t="n">
        <v>1</v>
      </c>
      <c r="S33637" s="7" t="n">
        <v>100</v>
      </c>
    </row>
    <row r="33638" spans="1:18">
      <c r="A33638" t="s">
        <v>4</v>
      </c>
      <c r="B33638" s="4" t="s">
        <v>5</v>
      </c>
      <c r="C33638" s="4" t="s">
        <v>7</v>
      </c>
      <c r="D33638" s="4" t="s">
        <v>11</v>
      </c>
      <c r="E33638" s="4" t="s">
        <v>8</v>
      </c>
    </row>
    <row r="33639" spans="1:18">
      <c r="A33639" t="n">
        <v>328417</v>
      </c>
      <c r="B33639" s="38" t="n">
        <v>51</v>
      </c>
      <c r="C33639" s="7" t="n">
        <v>4</v>
      </c>
      <c r="D33639" s="7" t="n">
        <v>18</v>
      </c>
      <c r="E33639" s="7" t="s">
        <v>375</v>
      </c>
    </row>
    <row r="33640" spans="1:18">
      <c r="A33640" t="s">
        <v>4</v>
      </c>
      <c r="B33640" s="4" t="s">
        <v>5</v>
      </c>
      <c r="C33640" s="4" t="s">
        <v>11</v>
      </c>
    </row>
    <row r="33641" spans="1:18">
      <c r="A33641" t="n">
        <v>328431</v>
      </c>
      <c r="B33641" s="29" t="n">
        <v>16</v>
      </c>
      <c r="C33641" s="7" t="n">
        <v>0</v>
      </c>
    </row>
    <row r="33642" spans="1:18">
      <c r="A33642" t="s">
        <v>4</v>
      </c>
      <c r="B33642" s="4" t="s">
        <v>5</v>
      </c>
      <c r="C33642" s="4" t="s">
        <v>11</v>
      </c>
      <c r="D33642" s="4" t="s">
        <v>7</v>
      </c>
      <c r="E33642" s="4" t="s">
        <v>15</v>
      </c>
      <c r="F33642" s="4" t="s">
        <v>55</v>
      </c>
      <c r="G33642" s="4" t="s">
        <v>7</v>
      </c>
      <c r="H33642" s="4" t="s">
        <v>7</v>
      </c>
    </row>
    <row r="33643" spans="1:18">
      <c r="A33643" t="n">
        <v>328434</v>
      </c>
      <c r="B33643" s="55" t="n">
        <v>26</v>
      </c>
      <c r="C33643" s="7" t="n">
        <v>18</v>
      </c>
      <c r="D33643" s="7" t="n">
        <v>17</v>
      </c>
      <c r="E33643" s="7" t="n">
        <v>17817</v>
      </c>
      <c r="F33643" s="7" t="s">
        <v>918</v>
      </c>
      <c r="G33643" s="7" t="n">
        <v>2</v>
      </c>
      <c r="H33643" s="7" t="n">
        <v>0</v>
      </c>
    </row>
    <row r="33644" spans="1:18">
      <c r="A33644" t="s">
        <v>4</v>
      </c>
      <c r="B33644" s="4" t="s">
        <v>5</v>
      </c>
    </row>
    <row r="33645" spans="1:18">
      <c r="A33645" t="n">
        <v>328460</v>
      </c>
      <c r="B33645" s="27" t="n">
        <v>28</v>
      </c>
    </row>
    <row r="33646" spans="1:18">
      <c r="A33646" t="s">
        <v>4</v>
      </c>
      <c r="B33646" s="4" t="s">
        <v>5</v>
      </c>
      <c r="C33646" s="4" t="s">
        <v>11</v>
      </c>
      <c r="D33646" s="4" t="s">
        <v>7</v>
      </c>
    </row>
    <row r="33647" spans="1:18">
      <c r="A33647" t="n">
        <v>328461</v>
      </c>
      <c r="B33647" s="68" t="n">
        <v>89</v>
      </c>
      <c r="C33647" s="7" t="n">
        <v>65533</v>
      </c>
      <c r="D33647" s="7" t="n">
        <v>1</v>
      </c>
    </row>
    <row r="33648" spans="1:18">
      <c r="A33648" t="s">
        <v>4</v>
      </c>
      <c r="B33648" s="4" t="s">
        <v>5</v>
      </c>
      <c r="C33648" s="4" t="s">
        <v>11</v>
      </c>
    </row>
    <row r="33649" spans="1:19">
      <c r="A33649" t="n">
        <v>328465</v>
      </c>
      <c r="B33649" s="29" t="n">
        <v>16</v>
      </c>
      <c r="C33649" s="7" t="n">
        <v>1000</v>
      </c>
    </row>
    <row r="33650" spans="1:19">
      <c r="A33650" t="s">
        <v>4</v>
      </c>
      <c r="B33650" s="4" t="s">
        <v>5</v>
      </c>
      <c r="C33650" s="4" t="s">
        <v>7</v>
      </c>
      <c r="D33650" s="4" t="s">
        <v>13</v>
      </c>
      <c r="E33650" s="4" t="s">
        <v>11</v>
      </c>
      <c r="F33650" s="4" t="s">
        <v>7</v>
      </c>
    </row>
    <row r="33651" spans="1:19">
      <c r="A33651" t="n">
        <v>328468</v>
      </c>
      <c r="B33651" s="13" t="n">
        <v>49</v>
      </c>
      <c r="C33651" s="7" t="n">
        <v>3</v>
      </c>
      <c r="D33651" s="7" t="n">
        <v>1</v>
      </c>
      <c r="E33651" s="7" t="n">
        <v>500</v>
      </c>
      <c r="F33651" s="7" t="n">
        <v>0</v>
      </c>
    </row>
    <row r="33652" spans="1:19">
      <c r="A33652" t="s">
        <v>4</v>
      </c>
      <c r="B33652" s="4" t="s">
        <v>5</v>
      </c>
      <c r="C33652" s="4" t="s">
        <v>7</v>
      </c>
      <c r="D33652" s="4" t="s">
        <v>11</v>
      </c>
      <c r="E33652" s="4" t="s">
        <v>13</v>
      </c>
    </row>
    <row r="33653" spans="1:19">
      <c r="A33653" t="n">
        <v>328477</v>
      </c>
      <c r="B33653" s="23" t="n">
        <v>58</v>
      </c>
      <c r="C33653" s="7" t="n">
        <v>101</v>
      </c>
      <c r="D33653" s="7" t="n">
        <v>1000</v>
      </c>
      <c r="E33653" s="7" t="n">
        <v>1</v>
      </c>
    </row>
    <row r="33654" spans="1:19">
      <c r="A33654" t="s">
        <v>4</v>
      </c>
      <c r="B33654" s="4" t="s">
        <v>5</v>
      </c>
      <c r="C33654" s="4" t="s">
        <v>7</v>
      </c>
      <c r="D33654" s="4" t="s">
        <v>11</v>
      </c>
    </row>
    <row r="33655" spans="1:19">
      <c r="A33655" t="n">
        <v>328485</v>
      </c>
      <c r="B33655" s="23" t="n">
        <v>58</v>
      </c>
      <c r="C33655" s="7" t="n">
        <v>254</v>
      </c>
      <c r="D33655" s="7" t="n">
        <v>0</v>
      </c>
    </row>
    <row r="33656" spans="1:19">
      <c r="A33656" t="s">
        <v>4</v>
      </c>
      <c r="B33656" s="4" t="s">
        <v>5</v>
      </c>
      <c r="C33656" s="4" t="s">
        <v>7</v>
      </c>
    </row>
    <row r="33657" spans="1:19">
      <c r="A33657" t="n">
        <v>328489</v>
      </c>
      <c r="B33657" s="49" t="n">
        <v>116</v>
      </c>
      <c r="C33657" s="7" t="n">
        <v>0</v>
      </c>
    </row>
    <row r="33658" spans="1:19">
      <c r="A33658" t="s">
        <v>4</v>
      </c>
      <c r="B33658" s="4" t="s">
        <v>5</v>
      </c>
      <c r="C33658" s="4" t="s">
        <v>7</v>
      </c>
      <c r="D33658" s="4" t="s">
        <v>11</v>
      </c>
    </row>
    <row r="33659" spans="1:19">
      <c r="A33659" t="n">
        <v>328491</v>
      </c>
      <c r="B33659" s="49" t="n">
        <v>116</v>
      </c>
      <c r="C33659" s="7" t="n">
        <v>2</v>
      </c>
      <c r="D33659" s="7" t="n">
        <v>1</v>
      </c>
    </row>
    <row r="33660" spans="1:19">
      <c r="A33660" t="s">
        <v>4</v>
      </c>
      <c r="B33660" s="4" t="s">
        <v>5</v>
      </c>
      <c r="C33660" s="4" t="s">
        <v>7</v>
      </c>
      <c r="D33660" s="4" t="s">
        <v>15</v>
      </c>
    </row>
    <row r="33661" spans="1:19">
      <c r="A33661" t="n">
        <v>328495</v>
      </c>
      <c r="B33661" s="49" t="n">
        <v>116</v>
      </c>
      <c r="C33661" s="7" t="n">
        <v>5</v>
      </c>
      <c r="D33661" s="7" t="n">
        <v>1092616192</v>
      </c>
    </row>
    <row r="33662" spans="1:19">
      <c r="A33662" t="s">
        <v>4</v>
      </c>
      <c r="B33662" s="4" t="s">
        <v>5</v>
      </c>
      <c r="C33662" s="4" t="s">
        <v>7</v>
      </c>
      <c r="D33662" s="4" t="s">
        <v>11</v>
      </c>
    </row>
    <row r="33663" spans="1:19">
      <c r="A33663" t="n">
        <v>328501</v>
      </c>
      <c r="B33663" s="49" t="n">
        <v>116</v>
      </c>
      <c r="C33663" s="7" t="n">
        <v>6</v>
      </c>
      <c r="D33663" s="7" t="n">
        <v>1</v>
      </c>
    </row>
    <row r="33664" spans="1:19">
      <c r="A33664" t="s">
        <v>4</v>
      </c>
      <c r="B33664" s="4" t="s">
        <v>5</v>
      </c>
      <c r="C33664" s="4" t="s">
        <v>7</v>
      </c>
      <c r="D33664" s="4" t="s">
        <v>7</v>
      </c>
      <c r="E33664" s="4" t="s">
        <v>13</v>
      </c>
      <c r="F33664" s="4" t="s">
        <v>13</v>
      </c>
      <c r="G33664" s="4" t="s">
        <v>13</v>
      </c>
      <c r="H33664" s="4" t="s">
        <v>11</v>
      </c>
    </row>
    <row r="33665" spans="1:8">
      <c r="A33665" t="n">
        <v>328505</v>
      </c>
      <c r="B33665" s="51" t="n">
        <v>45</v>
      </c>
      <c r="C33665" s="7" t="n">
        <v>2</v>
      </c>
      <c r="D33665" s="7" t="n">
        <v>3</v>
      </c>
      <c r="E33665" s="7" t="n">
        <v>-6.67000007629395</v>
      </c>
      <c r="F33665" s="7" t="n">
        <v>6.42000007629395</v>
      </c>
      <c r="G33665" s="7" t="n">
        <v>29.8899993896484</v>
      </c>
      <c r="H33665" s="7" t="n">
        <v>0</v>
      </c>
    </row>
    <row r="33666" spans="1:8">
      <c r="A33666" t="s">
        <v>4</v>
      </c>
      <c r="B33666" s="4" t="s">
        <v>5</v>
      </c>
      <c r="C33666" s="4" t="s">
        <v>7</v>
      </c>
      <c r="D33666" s="4" t="s">
        <v>7</v>
      </c>
      <c r="E33666" s="4" t="s">
        <v>13</v>
      </c>
      <c r="F33666" s="4" t="s">
        <v>13</v>
      </c>
      <c r="G33666" s="4" t="s">
        <v>13</v>
      </c>
      <c r="H33666" s="4" t="s">
        <v>11</v>
      </c>
      <c r="I33666" s="4" t="s">
        <v>7</v>
      </c>
    </row>
    <row r="33667" spans="1:8">
      <c r="A33667" t="n">
        <v>328522</v>
      </c>
      <c r="B33667" s="51" t="n">
        <v>45</v>
      </c>
      <c r="C33667" s="7" t="n">
        <v>4</v>
      </c>
      <c r="D33667" s="7" t="n">
        <v>3</v>
      </c>
      <c r="E33667" s="7" t="n">
        <v>15.4700002670288</v>
      </c>
      <c r="F33667" s="7" t="n">
        <v>56.1100006103516</v>
      </c>
      <c r="G33667" s="7" t="n">
        <v>354</v>
      </c>
      <c r="H33667" s="7" t="n">
        <v>0</v>
      </c>
      <c r="I33667" s="7" t="n">
        <v>0</v>
      </c>
    </row>
    <row r="33668" spans="1:8">
      <c r="A33668" t="s">
        <v>4</v>
      </c>
      <c r="B33668" s="4" t="s">
        <v>5</v>
      </c>
      <c r="C33668" s="4" t="s">
        <v>7</v>
      </c>
      <c r="D33668" s="4" t="s">
        <v>7</v>
      </c>
      <c r="E33668" s="4" t="s">
        <v>13</v>
      </c>
      <c r="F33668" s="4" t="s">
        <v>11</v>
      </c>
    </row>
    <row r="33669" spans="1:8">
      <c r="A33669" t="n">
        <v>328540</v>
      </c>
      <c r="B33669" s="51" t="n">
        <v>45</v>
      </c>
      <c r="C33669" s="7" t="n">
        <v>5</v>
      </c>
      <c r="D33669" s="7" t="n">
        <v>3</v>
      </c>
      <c r="E33669" s="7" t="n">
        <v>1.5</v>
      </c>
      <c r="F33669" s="7" t="n">
        <v>0</v>
      </c>
    </row>
    <row r="33670" spans="1:8">
      <c r="A33670" t="s">
        <v>4</v>
      </c>
      <c r="B33670" s="4" t="s">
        <v>5</v>
      </c>
      <c r="C33670" s="4" t="s">
        <v>7</v>
      </c>
      <c r="D33670" s="4" t="s">
        <v>7</v>
      </c>
      <c r="E33670" s="4" t="s">
        <v>13</v>
      </c>
      <c r="F33670" s="4" t="s">
        <v>11</v>
      </c>
    </row>
    <row r="33671" spans="1:8">
      <c r="A33671" t="n">
        <v>328549</v>
      </c>
      <c r="B33671" s="51" t="n">
        <v>45</v>
      </c>
      <c r="C33671" s="7" t="n">
        <v>11</v>
      </c>
      <c r="D33671" s="7" t="n">
        <v>3</v>
      </c>
      <c r="E33671" s="7" t="n">
        <v>40.2999992370605</v>
      </c>
      <c r="F33671" s="7" t="n">
        <v>0</v>
      </c>
    </row>
    <row r="33672" spans="1:8">
      <c r="A33672" t="s">
        <v>4</v>
      </c>
      <c r="B33672" s="4" t="s">
        <v>5</v>
      </c>
      <c r="C33672" s="4" t="s">
        <v>7</v>
      </c>
      <c r="D33672" s="4" t="s">
        <v>7</v>
      </c>
      <c r="E33672" s="4" t="s">
        <v>13</v>
      </c>
      <c r="F33672" s="4" t="s">
        <v>13</v>
      </c>
      <c r="G33672" s="4" t="s">
        <v>13</v>
      </c>
      <c r="H33672" s="4" t="s">
        <v>11</v>
      </c>
    </row>
    <row r="33673" spans="1:8">
      <c r="A33673" t="n">
        <v>328558</v>
      </c>
      <c r="B33673" s="51" t="n">
        <v>45</v>
      </c>
      <c r="C33673" s="7" t="n">
        <v>2</v>
      </c>
      <c r="D33673" s="7" t="n">
        <v>3</v>
      </c>
      <c r="E33673" s="7" t="n">
        <v>-6.34000015258789</v>
      </c>
      <c r="F33673" s="7" t="n">
        <v>6.59000015258789</v>
      </c>
      <c r="G33673" s="7" t="n">
        <v>28.8899993896484</v>
      </c>
      <c r="H33673" s="7" t="n">
        <v>6000</v>
      </c>
    </row>
    <row r="33674" spans="1:8">
      <c r="A33674" t="s">
        <v>4</v>
      </c>
      <c r="B33674" s="4" t="s">
        <v>5</v>
      </c>
      <c r="C33674" s="4" t="s">
        <v>7</v>
      </c>
      <c r="D33674" s="4" t="s">
        <v>7</v>
      </c>
      <c r="E33674" s="4" t="s">
        <v>13</v>
      </c>
      <c r="F33674" s="4" t="s">
        <v>13</v>
      </c>
      <c r="G33674" s="4" t="s">
        <v>13</v>
      </c>
      <c r="H33674" s="4" t="s">
        <v>11</v>
      </c>
      <c r="I33674" s="4" t="s">
        <v>7</v>
      </c>
    </row>
    <row r="33675" spans="1:8">
      <c r="A33675" t="n">
        <v>328575</v>
      </c>
      <c r="B33675" s="51" t="n">
        <v>45</v>
      </c>
      <c r="C33675" s="7" t="n">
        <v>4</v>
      </c>
      <c r="D33675" s="7" t="n">
        <v>3</v>
      </c>
      <c r="E33675" s="7" t="n">
        <v>10.7700004577637</v>
      </c>
      <c r="F33675" s="7" t="n">
        <v>43.6100006103516</v>
      </c>
      <c r="G33675" s="7" t="n">
        <v>360</v>
      </c>
      <c r="H33675" s="7" t="n">
        <v>6000</v>
      </c>
      <c r="I33675" s="7" t="n">
        <v>1</v>
      </c>
    </row>
    <row r="33676" spans="1:8">
      <c r="A33676" t="s">
        <v>4</v>
      </c>
      <c r="B33676" s="4" t="s">
        <v>5</v>
      </c>
      <c r="C33676" s="4" t="s">
        <v>7</v>
      </c>
      <c r="D33676" s="4" t="s">
        <v>11</v>
      </c>
    </row>
    <row r="33677" spans="1:8">
      <c r="A33677" t="n">
        <v>328593</v>
      </c>
      <c r="B33677" s="23" t="n">
        <v>58</v>
      </c>
      <c r="C33677" s="7" t="n">
        <v>255</v>
      </c>
      <c r="D33677" s="7" t="n">
        <v>0</v>
      </c>
    </row>
    <row r="33678" spans="1:8">
      <c r="A33678" t="s">
        <v>4</v>
      </c>
      <c r="B33678" s="4" t="s">
        <v>5</v>
      </c>
      <c r="C33678" s="4" t="s">
        <v>7</v>
      </c>
      <c r="D33678" s="4" t="s">
        <v>11</v>
      </c>
    </row>
    <row r="33679" spans="1:8">
      <c r="A33679" t="n">
        <v>328597</v>
      </c>
      <c r="B33679" s="51" t="n">
        <v>45</v>
      </c>
      <c r="C33679" s="7" t="n">
        <v>7</v>
      </c>
      <c r="D33679" s="7" t="n">
        <v>255</v>
      </c>
    </row>
    <row r="33680" spans="1:8">
      <c r="A33680" t="s">
        <v>4</v>
      </c>
      <c r="B33680" s="4" t="s">
        <v>5</v>
      </c>
      <c r="C33680" s="4" t="s">
        <v>7</v>
      </c>
      <c r="D33680" s="4" t="s">
        <v>11</v>
      </c>
      <c r="E33680" s="4" t="s">
        <v>13</v>
      </c>
    </row>
    <row r="33681" spans="1:9">
      <c r="A33681" t="n">
        <v>328601</v>
      </c>
      <c r="B33681" s="23" t="n">
        <v>58</v>
      </c>
      <c r="C33681" s="7" t="n">
        <v>0</v>
      </c>
      <c r="D33681" s="7" t="n">
        <v>2000</v>
      </c>
      <c r="E33681" s="7" t="n">
        <v>1</v>
      </c>
    </row>
    <row r="33682" spans="1:9">
      <c r="A33682" t="s">
        <v>4</v>
      </c>
      <c r="B33682" s="4" t="s">
        <v>5</v>
      </c>
      <c r="C33682" s="4" t="s">
        <v>7</v>
      </c>
      <c r="D33682" s="4" t="s">
        <v>11</v>
      </c>
    </row>
    <row r="33683" spans="1:9">
      <c r="A33683" t="n">
        <v>328609</v>
      </c>
      <c r="B33683" s="23" t="n">
        <v>58</v>
      </c>
      <c r="C33683" s="7" t="n">
        <v>255</v>
      </c>
      <c r="D33683" s="7" t="n">
        <v>0</v>
      </c>
    </row>
    <row r="33684" spans="1:9">
      <c r="A33684" t="s">
        <v>4</v>
      </c>
      <c r="B33684" s="4" t="s">
        <v>5</v>
      </c>
      <c r="C33684" s="4" t="s">
        <v>7</v>
      </c>
      <c r="D33684" s="4" t="s">
        <v>11</v>
      </c>
      <c r="E33684" s="4" t="s">
        <v>11</v>
      </c>
      <c r="F33684" s="4" t="s">
        <v>15</v>
      </c>
    </row>
    <row r="33685" spans="1:9">
      <c r="A33685" t="n">
        <v>328613</v>
      </c>
      <c r="B33685" s="76" t="n">
        <v>84</v>
      </c>
      <c r="C33685" s="7" t="n">
        <v>1</v>
      </c>
      <c r="D33685" s="7" t="n">
        <v>0</v>
      </c>
      <c r="E33685" s="7" t="n">
        <v>0</v>
      </c>
      <c r="F33685" s="7" t="n">
        <v>0</v>
      </c>
    </row>
    <row r="33686" spans="1:9">
      <c r="A33686" t="s">
        <v>4</v>
      </c>
      <c r="B33686" s="4" t="s">
        <v>5</v>
      </c>
      <c r="C33686" s="4" t="s">
        <v>7</v>
      </c>
    </row>
    <row r="33687" spans="1:9">
      <c r="A33687" t="n">
        <v>328623</v>
      </c>
      <c r="B33687" s="28" t="n">
        <v>78</v>
      </c>
      <c r="C33687" s="7" t="n">
        <v>255</v>
      </c>
    </row>
    <row r="33688" spans="1:9">
      <c r="A33688" t="s">
        <v>4</v>
      </c>
      <c r="B33688" s="4" t="s">
        <v>5</v>
      </c>
      <c r="C33688" s="4" t="s">
        <v>7</v>
      </c>
      <c r="D33688" s="4" t="s">
        <v>11</v>
      </c>
      <c r="E33688" s="4" t="s">
        <v>7</v>
      </c>
    </row>
    <row r="33689" spans="1:9">
      <c r="A33689" t="n">
        <v>328625</v>
      </c>
      <c r="B33689" s="81" t="n">
        <v>39</v>
      </c>
      <c r="C33689" s="7" t="n">
        <v>11</v>
      </c>
      <c r="D33689" s="7" t="n">
        <v>65533</v>
      </c>
      <c r="E33689" s="7" t="n">
        <v>201</v>
      </c>
    </row>
    <row r="33690" spans="1:9">
      <c r="A33690" t="s">
        <v>4</v>
      </c>
      <c r="B33690" s="4" t="s">
        <v>5</v>
      </c>
      <c r="C33690" s="4" t="s">
        <v>7</v>
      </c>
      <c r="D33690" s="4" t="s">
        <v>11</v>
      </c>
      <c r="E33690" s="4" t="s">
        <v>7</v>
      </c>
    </row>
    <row r="33691" spans="1:9">
      <c r="A33691" t="n">
        <v>328630</v>
      </c>
      <c r="B33691" s="40" t="n">
        <v>36</v>
      </c>
      <c r="C33691" s="7" t="n">
        <v>9</v>
      </c>
      <c r="D33691" s="7" t="n">
        <v>0</v>
      </c>
      <c r="E33691" s="7" t="n">
        <v>0</v>
      </c>
    </row>
    <row r="33692" spans="1:9">
      <c r="A33692" t="s">
        <v>4</v>
      </c>
      <c r="B33692" s="4" t="s">
        <v>5</v>
      </c>
      <c r="C33692" s="4" t="s">
        <v>7</v>
      </c>
      <c r="D33692" s="4" t="s">
        <v>11</v>
      </c>
      <c r="E33692" s="4" t="s">
        <v>7</v>
      </c>
    </row>
    <row r="33693" spans="1:9">
      <c r="A33693" t="n">
        <v>328635</v>
      </c>
      <c r="B33693" s="40" t="n">
        <v>36</v>
      </c>
      <c r="C33693" s="7" t="n">
        <v>9</v>
      </c>
      <c r="D33693" s="7" t="n">
        <v>18</v>
      </c>
      <c r="E33693" s="7" t="n">
        <v>0</v>
      </c>
    </row>
    <row r="33694" spans="1:9">
      <c r="A33694" t="s">
        <v>4</v>
      </c>
      <c r="B33694" s="4" t="s">
        <v>5</v>
      </c>
      <c r="C33694" s="4" t="s">
        <v>7</v>
      </c>
      <c r="D33694" s="4" t="s">
        <v>11</v>
      </c>
      <c r="E33694" s="4" t="s">
        <v>11</v>
      </c>
      <c r="F33694" s="4" t="s">
        <v>15</v>
      </c>
      <c r="G33694" s="4" t="s">
        <v>15</v>
      </c>
      <c r="H33694" s="4" t="s">
        <v>15</v>
      </c>
    </row>
    <row r="33695" spans="1:9">
      <c r="A33695" t="n">
        <v>328640</v>
      </c>
      <c r="B33695" s="77" t="n">
        <v>97</v>
      </c>
      <c r="C33695" s="7" t="n">
        <v>7</v>
      </c>
      <c r="D33695" s="7" t="n">
        <v>0</v>
      </c>
      <c r="E33695" s="7" t="n">
        <v>0</v>
      </c>
      <c r="F33695" s="7" t="n">
        <v>0</v>
      </c>
      <c r="G33695" s="7" t="n">
        <v>0</v>
      </c>
      <c r="H33695" s="7" t="n">
        <v>0</v>
      </c>
    </row>
    <row r="33696" spans="1:9">
      <c r="A33696" t="s">
        <v>4</v>
      </c>
      <c r="B33696" s="4" t="s">
        <v>5</v>
      </c>
      <c r="C33696" s="4" t="s">
        <v>11</v>
      </c>
      <c r="D33696" s="4" t="s">
        <v>13</v>
      </c>
      <c r="E33696" s="4" t="s">
        <v>13</v>
      </c>
      <c r="F33696" s="4" t="s">
        <v>13</v>
      </c>
      <c r="G33696" s="4" t="s">
        <v>13</v>
      </c>
    </row>
    <row r="33697" spans="1:8">
      <c r="A33697" t="n">
        <v>328658</v>
      </c>
      <c r="B33697" s="36" t="n">
        <v>46</v>
      </c>
      <c r="C33697" s="7" t="n">
        <v>61456</v>
      </c>
      <c r="D33697" s="7" t="n">
        <v>0</v>
      </c>
      <c r="E33697" s="7" t="n">
        <v>0</v>
      </c>
      <c r="F33697" s="7" t="n">
        <v>0</v>
      </c>
      <c r="G33697" s="7" t="n">
        <v>0</v>
      </c>
    </row>
    <row r="33698" spans="1:8">
      <c r="A33698" t="s">
        <v>4</v>
      </c>
      <c r="B33698" s="4" t="s">
        <v>5</v>
      </c>
      <c r="C33698" s="4" t="s">
        <v>7</v>
      </c>
      <c r="D33698" s="4" t="s">
        <v>8</v>
      </c>
    </row>
    <row r="33699" spans="1:8">
      <c r="A33699" t="n">
        <v>328677</v>
      </c>
      <c r="B33699" s="6" t="n">
        <v>2</v>
      </c>
      <c r="C33699" s="7" t="n">
        <v>10</v>
      </c>
      <c r="D33699" s="7" t="s">
        <v>1834</v>
      </c>
    </row>
    <row r="33700" spans="1:8">
      <c r="A33700" t="s">
        <v>4</v>
      </c>
      <c r="B33700" s="4" t="s">
        <v>5</v>
      </c>
    </row>
    <row r="33701" spans="1:8">
      <c r="A33701" t="n">
        <v>328698</v>
      </c>
      <c r="B33701" s="5" t="n">
        <v>1</v>
      </c>
    </row>
    <row r="33702" spans="1:8" s="3" customFormat="1" customHeight="0">
      <c r="A33702" s="3" t="s">
        <v>2</v>
      </c>
      <c r="B33702" s="3" t="s">
        <v>1849</v>
      </c>
    </row>
    <row r="33703" spans="1:8">
      <c r="A33703" t="s">
        <v>4</v>
      </c>
      <c r="B33703" s="4" t="s">
        <v>5</v>
      </c>
      <c r="C33703" s="4" t="s">
        <v>7</v>
      </c>
      <c r="D33703" s="4" t="s">
        <v>7</v>
      </c>
      <c r="E33703" s="4" t="s">
        <v>7</v>
      </c>
      <c r="F33703" s="4" t="s">
        <v>7</v>
      </c>
    </row>
    <row r="33704" spans="1:8">
      <c r="A33704" t="n">
        <v>328700</v>
      </c>
      <c r="B33704" s="9" t="n">
        <v>14</v>
      </c>
      <c r="C33704" s="7" t="n">
        <v>2</v>
      </c>
      <c r="D33704" s="7" t="n">
        <v>0</v>
      </c>
      <c r="E33704" s="7" t="n">
        <v>0</v>
      </c>
      <c r="F33704" s="7" t="n">
        <v>0</v>
      </c>
    </row>
    <row r="33705" spans="1:8">
      <c r="A33705" t="s">
        <v>4</v>
      </c>
      <c r="B33705" s="4" t="s">
        <v>5</v>
      </c>
      <c r="C33705" s="4" t="s">
        <v>7</v>
      </c>
      <c r="D33705" s="20" t="s">
        <v>35</v>
      </c>
      <c r="E33705" s="4" t="s">
        <v>5</v>
      </c>
      <c r="F33705" s="4" t="s">
        <v>7</v>
      </c>
      <c r="G33705" s="4" t="s">
        <v>11</v>
      </c>
      <c r="H33705" s="20" t="s">
        <v>36</v>
      </c>
      <c r="I33705" s="4" t="s">
        <v>7</v>
      </c>
      <c r="J33705" s="4" t="s">
        <v>15</v>
      </c>
      <c r="K33705" s="4" t="s">
        <v>7</v>
      </c>
      <c r="L33705" s="4" t="s">
        <v>7</v>
      </c>
      <c r="M33705" s="20" t="s">
        <v>35</v>
      </c>
      <c r="N33705" s="4" t="s">
        <v>5</v>
      </c>
      <c r="O33705" s="4" t="s">
        <v>7</v>
      </c>
      <c r="P33705" s="4" t="s">
        <v>11</v>
      </c>
      <c r="Q33705" s="20" t="s">
        <v>36</v>
      </c>
      <c r="R33705" s="4" t="s">
        <v>7</v>
      </c>
      <c r="S33705" s="4" t="s">
        <v>15</v>
      </c>
      <c r="T33705" s="4" t="s">
        <v>7</v>
      </c>
      <c r="U33705" s="4" t="s">
        <v>7</v>
      </c>
      <c r="V33705" s="4" t="s">
        <v>7</v>
      </c>
      <c r="W33705" s="4" t="s">
        <v>12</v>
      </c>
    </row>
    <row r="33706" spans="1:8">
      <c r="A33706" t="n">
        <v>328705</v>
      </c>
      <c r="B33706" s="10" t="n">
        <v>5</v>
      </c>
      <c r="C33706" s="7" t="n">
        <v>28</v>
      </c>
      <c r="D33706" s="20" t="s">
        <v>3</v>
      </c>
      <c r="E33706" s="8" t="n">
        <v>162</v>
      </c>
      <c r="F33706" s="7" t="n">
        <v>3</v>
      </c>
      <c r="G33706" s="7" t="n">
        <v>36868</v>
      </c>
      <c r="H33706" s="20" t="s">
        <v>3</v>
      </c>
      <c r="I33706" s="7" t="n">
        <v>0</v>
      </c>
      <c r="J33706" s="7" t="n">
        <v>1</v>
      </c>
      <c r="K33706" s="7" t="n">
        <v>2</v>
      </c>
      <c r="L33706" s="7" t="n">
        <v>28</v>
      </c>
      <c r="M33706" s="20" t="s">
        <v>3</v>
      </c>
      <c r="N33706" s="8" t="n">
        <v>162</v>
      </c>
      <c r="O33706" s="7" t="n">
        <v>3</v>
      </c>
      <c r="P33706" s="7" t="n">
        <v>36868</v>
      </c>
      <c r="Q33706" s="20" t="s">
        <v>3</v>
      </c>
      <c r="R33706" s="7" t="n">
        <v>0</v>
      </c>
      <c r="S33706" s="7" t="n">
        <v>2</v>
      </c>
      <c r="T33706" s="7" t="n">
        <v>2</v>
      </c>
      <c r="U33706" s="7" t="n">
        <v>11</v>
      </c>
      <c r="V33706" s="7" t="n">
        <v>1</v>
      </c>
      <c r="W33706" s="11" t="n">
        <f t="normal" ca="1">A33710</f>
        <v>0</v>
      </c>
    </row>
    <row r="33707" spans="1:8">
      <c r="A33707" t="s">
        <v>4</v>
      </c>
      <c r="B33707" s="4" t="s">
        <v>5</v>
      </c>
      <c r="C33707" s="4" t="s">
        <v>7</v>
      </c>
      <c r="D33707" s="4" t="s">
        <v>11</v>
      </c>
      <c r="E33707" s="4" t="s">
        <v>13</v>
      </c>
    </row>
    <row r="33708" spans="1:8">
      <c r="A33708" t="n">
        <v>328734</v>
      </c>
      <c r="B33708" s="23" t="n">
        <v>58</v>
      </c>
      <c r="C33708" s="7" t="n">
        <v>0</v>
      </c>
      <c r="D33708" s="7" t="n">
        <v>0</v>
      </c>
      <c r="E33708" s="7" t="n">
        <v>1</v>
      </c>
    </row>
    <row r="33709" spans="1:8">
      <c r="A33709" t="s">
        <v>4</v>
      </c>
      <c r="B33709" s="4" t="s">
        <v>5</v>
      </c>
      <c r="C33709" s="4" t="s">
        <v>7</v>
      </c>
      <c r="D33709" s="20" t="s">
        <v>35</v>
      </c>
      <c r="E33709" s="4" t="s">
        <v>5</v>
      </c>
      <c r="F33709" s="4" t="s">
        <v>7</v>
      </c>
      <c r="G33709" s="4" t="s">
        <v>11</v>
      </c>
      <c r="H33709" s="20" t="s">
        <v>36</v>
      </c>
      <c r="I33709" s="4" t="s">
        <v>7</v>
      </c>
      <c r="J33709" s="4" t="s">
        <v>15</v>
      </c>
      <c r="K33709" s="4" t="s">
        <v>7</v>
      </c>
      <c r="L33709" s="4" t="s">
        <v>7</v>
      </c>
      <c r="M33709" s="20" t="s">
        <v>35</v>
      </c>
      <c r="N33709" s="4" t="s">
        <v>5</v>
      </c>
      <c r="O33709" s="4" t="s">
        <v>7</v>
      </c>
      <c r="P33709" s="4" t="s">
        <v>11</v>
      </c>
      <c r="Q33709" s="20" t="s">
        <v>36</v>
      </c>
      <c r="R33709" s="4" t="s">
        <v>7</v>
      </c>
      <c r="S33709" s="4" t="s">
        <v>15</v>
      </c>
      <c r="T33709" s="4" t="s">
        <v>7</v>
      </c>
      <c r="U33709" s="4" t="s">
        <v>7</v>
      </c>
      <c r="V33709" s="4" t="s">
        <v>7</v>
      </c>
      <c r="W33709" s="4" t="s">
        <v>12</v>
      </c>
    </row>
    <row r="33710" spans="1:8">
      <c r="A33710" t="n">
        <v>328742</v>
      </c>
      <c r="B33710" s="10" t="n">
        <v>5</v>
      </c>
      <c r="C33710" s="7" t="n">
        <v>28</v>
      </c>
      <c r="D33710" s="20" t="s">
        <v>3</v>
      </c>
      <c r="E33710" s="8" t="n">
        <v>162</v>
      </c>
      <c r="F33710" s="7" t="n">
        <v>3</v>
      </c>
      <c r="G33710" s="7" t="n">
        <v>36868</v>
      </c>
      <c r="H33710" s="20" t="s">
        <v>3</v>
      </c>
      <c r="I33710" s="7" t="n">
        <v>0</v>
      </c>
      <c r="J33710" s="7" t="n">
        <v>1</v>
      </c>
      <c r="K33710" s="7" t="n">
        <v>3</v>
      </c>
      <c r="L33710" s="7" t="n">
        <v>28</v>
      </c>
      <c r="M33710" s="20" t="s">
        <v>3</v>
      </c>
      <c r="N33710" s="8" t="n">
        <v>162</v>
      </c>
      <c r="O33710" s="7" t="n">
        <v>3</v>
      </c>
      <c r="P33710" s="7" t="n">
        <v>36868</v>
      </c>
      <c r="Q33710" s="20" t="s">
        <v>3</v>
      </c>
      <c r="R33710" s="7" t="n">
        <v>0</v>
      </c>
      <c r="S33710" s="7" t="n">
        <v>2</v>
      </c>
      <c r="T33710" s="7" t="n">
        <v>3</v>
      </c>
      <c r="U33710" s="7" t="n">
        <v>9</v>
      </c>
      <c r="V33710" s="7" t="n">
        <v>1</v>
      </c>
      <c r="W33710" s="11" t="n">
        <f t="normal" ca="1">A33720</f>
        <v>0</v>
      </c>
    </row>
    <row r="33711" spans="1:8">
      <c r="A33711" t="s">
        <v>4</v>
      </c>
      <c r="B33711" s="4" t="s">
        <v>5</v>
      </c>
      <c r="C33711" s="4" t="s">
        <v>7</v>
      </c>
      <c r="D33711" s="20" t="s">
        <v>35</v>
      </c>
      <c r="E33711" s="4" t="s">
        <v>5</v>
      </c>
      <c r="F33711" s="4" t="s">
        <v>11</v>
      </c>
      <c r="G33711" s="4" t="s">
        <v>7</v>
      </c>
      <c r="H33711" s="4" t="s">
        <v>7</v>
      </c>
      <c r="I33711" s="4" t="s">
        <v>8</v>
      </c>
      <c r="J33711" s="20" t="s">
        <v>36</v>
      </c>
      <c r="K33711" s="4" t="s">
        <v>7</v>
      </c>
      <c r="L33711" s="4" t="s">
        <v>7</v>
      </c>
      <c r="M33711" s="20" t="s">
        <v>35</v>
      </c>
      <c r="N33711" s="4" t="s">
        <v>5</v>
      </c>
      <c r="O33711" s="4" t="s">
        <v>7</v>
      </c>
      <c r="P33711" s="20" t="s">
        <v>36</v>
      </c>
      <c r="Q33711" s="4" t="s">
        <v>7</v>
      </c>
      <c r="R33711" s="4" t="s">
        <v>15</v>
      </c>
      <c r="S33711" s="4" t="s">
        <v>7</v>
      </c>
      <c r="T33711" s="4" t="s">
        <v>7</v>
      </c>
      <c r="U33711" s="4" t="s">
        <v>7</v>
      </c>
      <c r="V33711" s="20" t="s">
        <v>35</v>
      </c>
      <c r="W33711" s="4" t="s">
        <v>5</v>
      </c>
      <c r="X33711" s="4" t="s">
        <v>7</v>
      </c>
      <c r="Y33711" s="20" t="s">
        <v>36</v>
      </c>
      <c r="Z33711" s="4" t="s">
        <v>7</v>
      </c>
      <c r="AA33711" s="4" t="s">
        <v>15</v>
      </c>
      <c r="AB33711" s="4" t="s">
        <v>7</v>
      </c>
      <c r="AC33711" s="4" t="s">
        <v>7</v>
      </c>
      <c r="AD33711" s="4" t="s">
        <v>7</v>
      </c>
      <c r="AE33711" s="4" t="s">
        <v>12</v>
      </c>
    </row>
    <row r="33712" spans="1:8">
      <c r="A33712" t="n">
        <v>328771</v>
      </c>
      <c r="B33712" s="10" t="n">
        <v>5</v>
      </c>
      <c r="C33712" s="7" t="n">
        <v>28</v>
      </c>
      <c r="D33712" s="20" t="s">
        <v>3</v>
      </c>
      <c r="E33712" s="41" t="n">
        <v>47</v>
      </c>
      <c r="F33712" s="7" t="n">
        <v>61456</v>
      </c>
      <c r="G33712" s="7" t="n">
        <v>2</v>
      </c>
      <c r="H33712" s="7" t="n">
        <v>0</v>
      </c>
      <c r="I33712" s="7" t="s">
        <v>105</v>
      </c>
      <c r="J33712" s="20" t="s">
        <v>3</v>
      </c>
      <c r="K33712" s="7" t="n">
        <v>8</v>
      </c>
      <c r="L33712" s="7" t="n">
        <v>28</v>
      </c>
      <c r="M33712" s="20" t="s">
        <v>3</v>
      </c>
      <c r="N33712" s="45" t="n">
        <v>74</v>
      </c>
      <c r="O33712" s="7" t="n">
        <v>65</v>
      </c>
      <c r="P33712" s="20" t="s">
        <v>3</v>
      </c>
      <c r="Q33712" s="7" t="n">
        <v>0</v>
      </c>
      <c r="R33712" s="7" t="n">
        <v>1</v>
      </c>
      <c r="S33712" s="7" t="n">
        <v>3</v>
      </c>
      <c r="T33712" s="7" t="n">
        <v>9</v>
      </c>
      <c r="U33712" s="7" t="n">
        <v>28</v>
      </c>
      <c r="V33712" s="20" t="s">
        <v>3</v>
      </c>
      <c r="W33712" s="45" t="n">
        <v>74</v>
      </c>
      <c r="X33712" s="7" t="n">
        <v>65</v>
      </c>
      <c r="Y33712" s="20" t="s">
        <v>3</v>
      </c>
      <c r="Z33712" s="7" t="n">
        <v>0</v>
      </c>
      <c r="AA33712" s="7" t="n">
        <v>2</v>
      </c>
      <c r="AB33712" s="7" t="n">
        <v>3</v>
      </c>
      <c r="AC33712" s="7" t="n">
        <v>9</v>
      </c>
      <c r="AD33712" s="7" t="n">
        <v>1</v>
      </c>
      <c r="AE33712" s="11" t="n">
        <f t="normal" ca="1">A33716</f>
        <v>0</v>
      </c>
    </row>
    <row r="33713" spans="1:31">
      <c r="A33713" t="s">
        <v>4</v>
      </c>
      <c r="B33713" s="4" t="s">
        <v>5</v>
      </c>
      <c r="C33713" s="4" t="s">
        <v>11</v>
      </c>
      <c r="D33713" s="4" t="s">
        <v>7</v>
      </c>
      <c r="E33713" s="4" t="s">
        <v>7</v>
      </c>
      <c r="F33713" s="4" t="s">
        <v>8</v>
      </c>
    </row>
    <row r="33714" spans="1:31">
      <c r="A33714" t="n">
        <v>328819</v>
      </c>
      <c r="B33714" s="41" t="n">
        <v>47</v>
      </c>
      <c r="C33714" s="7" t="n">
        <v>61456</v>
      </c>
      <c r="D33714" s="7" t="n">
        <v>0</v>
      </c>
      <c r="E33714" s="7" t="n">
        <v>0</v>
      </c>
      <c r="F33714" s="7" t="s">
        <v>106</v>
      </c>
    </row>
    <row r="33715" spans="1:31">
      <c r="A33715" t="s">
        <v>4</v>
      </c>
      <c r="B33715" s="4" t="s">
        <v>5</v>
      </c>
      <c r="C33715" s="4" t="s">
        <v>7</v>
      </c>
      <c r="D33715" s="4" t="s">
        <v>11</v>
      </c>
      <c r="E33715" s="4" t="s">
        <v>13</v>
      </c>
    </row>
    <row r="33716" spans="1:31">
      <c r="A33716" t="n">
        <v>328832</v>
      </c>
      <c r="B33716" s="23" t="n">
        <v>58</v>
      </c>
      <c r="C33716" s="7" t="n">
        <v>0</v>
      </c>
      <c r="D33716" s="7" t="n">
        <v>300</v>
      </c>
      <c r="E33716" s="7" t="n">
        <v>1</v>
      </c>
    </row>
    <row r="33717" spans="1:31">
      <c r="A33717" t="s">
        <v>4</v>
      </c>
      <c r="B33717" s="4" t="s">
        <v>5</v>
      </c>
      <c r="C33717" s="4" t="s">
        <v>7</v>
      </c>
      <c r="D33717" s="4" t="s">
        <v>11</v>
      </c>
    </row>
    <row r="33718" spans="1:31">
      <c r="A33718" t="n">
        <v>328840</v>
      </c>
      <c r="B33718" s="23" t="n">
        <v>58</v>
      </c>
      <c r="C33718" s="7" t="n">
        <v>255</v>
      </c>
      <c r="D33718" s="7" t="n">
        <v>0</v>
      </c>
    </row>
    <row r="33719" spans="1:31">
      <c r="A33719" t="s">
        <v>4</v>
      </c>
      <c r="B33719" s="4" t="s">
        <v>5</v>
      </c>
      <c r="C33719" s="4" t="s">
        <v>7</v>
      </c>
      <c r="D33719" s="4" t="s">
        <v>7</v>
      </c>
      <c r="E33719" s="4" t="s">
        <v>7</v>
      </c>
      <c r="F33719" s="4" t="s">
        <v>7</v>
      </c>
    </row>
    <row r="33720" spans="1:31">
      <c r="A33720" t="n">
        <v>328844</v>
      </c>
      <c r="B33720" s="9" t="n">
        <v>14</v>
      </c>
      <c r="C33720" s="7" t="n">
        <v>0</v>
      </c>
      <c r="D33720" s="7" t="n">
        <v>0</v>
      </c>
      <c r="E33720" s="7" t="n">
        <v>0</v>
      </c>
      <c r="F33720" s="7" t="n">
        <v>64</v>
      </c>
    </row>
    <row r="33721" spans="1:31">
      <c r="A33721" t="s">
        <v>4</v>
      </c>
      <c r="B33721" s="4" t="s">
        <v>5</v>
      </c>
      <c r="C33721" s="4" t="s">
        <v>7</v>
      </c>
      <c r="D33721" s="4" t="s">
        <v>11</v>
      </c>
    </row>
    <row r="33722" spans="1:31">
      <c r="A33722" t="n">
        <v>328849</v>
      </c>
      <c r="B33722" s="22" t="n">
        <v>22</v>
      </c>
      <c r="C33722" s="7" t="n">
        <v>0</v>
      </c>
      <c r="D33722" s="7" t="n">
        <v>36868</v>
      </c>
    </row>
    <row r="33723" spans="1:31">
      <c r="A33723" t="s">
        <v>4</v>
      </c>
      <c r="B33723" s="4" t="s">
        <v>5</v>
      </c>
      <c r="C33723" s="4" t="s">
        <v>7</v>
      </c>
      <c r="D33723" s="4" t="s">
        <v>11</v>
      </c>
    </row>
    <row r="33724" spans="1:31">
      <c r="A33724" t="n">
        <v>328853</v>
      </c>
      <c r="B33724" s="23" t="n">
        <v>58</v>
      </c>
      <c r="C33724" s="7" t="n">
        <v>5</v>
      </c>
      <c r="D33724" s="7" t="n">
        <v>300</v>
      </c>
    </row>
    <row r="33725" spans="1:31">
      <c r="A33725" t="s">
        <v>4</v>
      </c>
      <c r="B33725" s="4" t="s">
        <v>5</v>
      </c>
      <c r="C33725" s="4" t="s">
        <v>13</v>
      </c>
      <c r="D33725" s="4" t="s">
        <v>11</v>
      </c>
    </row>
    <row r="33726" spans="1:31">
      <c r="A33726" t="n">
        <v>328857</v>
      </c>
      <c r="B33726" s="46" t="n">
        <v>103</v>
      </c>
      <c r="C33726" s="7" t="n">
        <v>0</v>
      </c>
      <c r="D33726" s="7" t="n">
        <v>300</v>
      </c>
    </row>
    <row r="33727" spans="1:31">
      <c r="A33727" t="s">
        <v>4</v>
      </c>
      <c r="B33727" s="4" t="s">
        <v>5</v>
      </c>
      <c r="C33727" s="4" t="s">
        <v>7</v>
      </c>
    </row>
    <row r="33728" spans="1:31">
      <c r="A33728" t="n">
        <v>328864</v>
      </c>
      <c r="B33728" s="47" t="n">
        <v>64</v>
      </c>
      <c r="C33728" s="7" t="n">
        <v>7</v>
      </c>
    </row>
    <row r="33729" spans="1:6">
      <c r="A33729" t="s">
        <v>4</v>
      </c>
      <c r="B33729" s="4" t="s">
        <v>5</v>
      </c>
      <c r="C33729" s="4" t="s">
        <v>7</v>
      </c>
      <c r="D33729" s="4" t="s">
        <v>11</v>
      </c>
    </row>
    <row r="33730" spans="1:6">
      <c r="A33730" t="n">
        <v>328866</v>
      </c>
      <c r="B33730" s="48" t="n">
        <v>72</v>
      </c>
      <c r="C33730" s="7" t="n">
        <v>5</v>
      </c>
      <c r="D33730" s="7" t="n">
        <v>0</v>
      </c>
    </row>
    <row r="33731" spans="1:6">
      <c r="A33731" t="s">
        <v>4</v>
      </c>
      <c r="B33731" s="4" t="s">
        <v>5</v>
      </c>
      <c r="C33731" s="4" t="s">
        <v>7</v>
      </c>
      <c r="D33731" s="20" t="s">
        <v>35</v>
      </c>
      <c r="E33731" s="4" t="s">
        <v>5</v>
      </c>
      <c r="F33731" s="4" t="s">
        <v>7</v>
      </c>
      <c r="G33731" s="4" t="s">
        <v>11</v>
      </c>
      <c r="H33731" s="20" t="s">
        <v>36</v>
      </c>
      <c r="I33731" s="4" t="s">
        <v>7</v>
      </c>
      <c r="J33731" s="4" t="s">
        <v>15</v>
      </c>
      <c r="K33731" s="4" t="s">
        <v>7</v>
      </c>
      <c r="L33731" s="4" t="s">
        <v>7</v>
      </c>
      <c r="M33731" s="4" t="s">
        <v>12</v>
      </c>
    </row>
    <row r="33732" spans="1:6">
      <c r="A33732" t="n">
        <v>328870</v>
      </c>
      <c r="B33732" s="10" t="n">
        <v>5</v>
      </c>
      <c r="C33732" s="7" t="n">
        <v>28</v>
      </c>
      <c r="D33732" s="20" t="s">
        <v>3</v>
      </c>
      <c r="E33732" s="8" t="n">
        <v>162</v>
      </c>
      <c r="F33732" s="7" t="n">
        <v>4</v>
      </c>
      <c r="G33732" s="7" t="n">
        <v>36868</v>
      </c>
      <c r="H33732" s="20" t="s">
        <v>3</v>
      </c>
      <c r="I33732" s="7" t="n">
        <v>0</v>
      </c>
      <c r="J33732" s="7" t="n">
        <v>1</v>
      </c>
      <c r="K33732" s="7" t="n">
        <v>2</v>
      </c>
      <c r="L33732" s="7" t="n">
        <v>1</v>
      </c>
      <c r="M33732" s="11" t="n">
        <f t="normal" ca="1">A33738</f>
        <v>0</v>
      </c>
    </row>
    <row r="33733" spans="1:6">
      <c r="A33733" t="s">
        <v>4</v>
      </c>
      <c r="B33733" s="4" t="s">
        <v>5</v>
      </c>
      <c r="C33733" s="4" t="s">
        <v>7</v>
      </c>
      <c r="D33733" s="4" t="s">
        <v>8</v>
      </c>
    </row>
    <row r="33734" spans="1:6">
      <c r="A33734" t="n">
        <v>328887</v>
      </c>
      <c r="B33734" s="6" t="n">
        <v>2</v>
      </c>
      <c r="C33734" s="7" t="n">
        <v>10</v>
      </c>
      <c r="D33734" s="7" t="s">
        <v>107</v>
      </c>
    </row>
    <row r="33735" spans="1:6">
      <c r="A33735" t="s">
        <v>4</v>
      </c>
      <c r="B33735" s="4" t="s">
        <v>5</v>
      </c>
      <c r="C33735" s="4" t="s">
        <v>11</v>
      </c>
    </row>
    <row r="33736" spans="1:6">
      <c r="A33736" t="n">
        <v>328904</v>
      </c>
      <c r="B33736" s="29" t="n">
        <v>16</v>
      </c>
      <c r="C33736" s="7" t="n">
        <v>0</v>
      </c>
    </row>
    <row r="33737" spans="1:6">
      <c r="A33737" t="s">
        <v>4</v>
      </c>
      <c r="B33737" s="4" t="s">
        <v>5</v>
      </c>
      <c r="C33737" s="4" t="s">
        <v>7</v>
      </c>
      <c r="D33737" s="4" t="s">
        <v>11</v>
      </c>
      <c r="E33737" s="4" t="s">
        <v>11</v>
      </c>
      <c r="F33737" s="4" t="s">
        <v>11</v>
      </c>
      <c r="G33737" s="4" t="s">
        <v>11</v>
      </c>
      <c r="H33737" s="4" t="s">
        <v>11</v>
      </c>
      <c r="I33737" s="4" t="s">
        <v>11</v>
      </c>
      <c r="J33737" s="4" t="s">
        <v>11</v>
      </c>
      <c r="K33737" s="4" t="s">
        <v>11</v>
      </c>
      <c r="L33737" s="4" t="s">
        <v>11</v>
      </c>
      <c r="M33737" s="4" t="s">
        <v>11</v>
      </c>
      <c r="N33737" s="4" t="s">
        <v>15</v>
      </c>
      <c r="O33737" s="4" t="s">
        <v>15</v>
      </c>
      <c r="P33737" s="4" t="s">
        <v>15</v>
      </c>
      <c r="Q33737" s="4" t="s">
        <v>15</v>
      </c>
      <c r="R33737" s="4" t="s">
        <v>7</v>
      </c>
      <c r="S33737" s="4" t="s">
        <v>8</v>
      </c>
    </row>
    <row r="33738" spans="1:6">
      <c r="A33738" t="n">
        <v>328907</v>
      </c>
      <c r="B33738" s="24" t="n">
        <v>75</v>
      </c>
      <c r="C33738" s="7" t="n">
        <v>0</v>
      </c>
      <c r="D33738" s="7" t="n">
        <v>484</v>
      </c>
      <c r="E33738" s="7" t="n">
        <v>328</v>
      </c>
      <c r="F33738" s="7" t="n">
        <v>996</v>
      </c>
      <c r="G33738" s="7" t="n">
        <v>392</v>
      </c>
      <c r="H33738" s="7" t="n">
        <v>0</v>
      </c>
      <c r="I33738" s="7" t="n">
        <v>0</v>
      </c>
      <c r="J33738" s="7" t="n">
        <v>0</v>
      </c>
      <c r="K33738" s="7" t="n">
        <v>448</v>
      </c>
      <c r="L33738" s="7" t="n">
        <v>512</v>
      </c>
      <c r="M33738" s="7" t="n">
        <v>512</v>
      </c>
      <c r="N33738" s="7" t="n">
        <v>1065353216</v>
      </c>
      <c r="O33738" s="7" t="n">
        <v>1065353216</v>
      </c>
      <c r="P33738" s="7" t="n">
        <v>1065353216</v>
      </c>
      <c r="Q33738" s="7" t="n">
        <v>0</v>
      </c>
      <c r="R33738" s="7" t="n">
        <v>0</v>
      </c>
      <c r="S33738" s="7" t="s">
        <v>271</v>
      </c>
    </row>
    <row r="33739" spans="1:6">
      <c r="A33739" t="s">
        <v>4</v>
      </c>
      <c r="B33739" s="4" t="s">
        <v>5</v>
      </c>
      <c r="C33739" s="4" t="s">
        <v>7</v>
      </c>
      <c r="D33739" s="4" t="s">
        <v>11</v>
      </c>
      <c r="E33739" s="4" t="s">
        <v>11</v>
      </c>
      <c r="F33739" s="4" t="s">
        <v>11</v>
      </c>
      <c r="G33739" s="4" t="s">
        <v>11</v>
      </c>
      <c r="H33739" s="4" t="s">
        <v>11</v>
      </c>
      <c r="I33739" s="4" t="s">
        <v>11</v>
      </c>
      <c r="J33739" s="4" t="s">
        <v>11</v>
      </c>
      <c r="K33739" s="4" t="s">
        <v>11</v>
      </c>
      <c r="L33739" s="4" t="s">
        <v>11</v>
      </c>
      <c r="M33739" s="4" t="s">
        <v>11</v>
      </c>
      <c r="N33739" s="4" t="s">
        <v>15</v>
      </c>
      <c r="O33739" s="4" t="s">
        <v>15</v>
      </c>
      <c r="P33739" s="4" t="s">
        <v>15</v>
      </c>
      <c r="Q33739" s="4" t="s">
        <v>15</v>
      </c>
      <c r="R33739" s="4" t="s">
        <v>7</v>
      </c>
      <c r="S33739" s="4" t="s">
        <v>8</v>
      </c>
    </row>
    <row r="33740" spans="1:6">
      <c r="A33740" t="n">
        <v>328956</v>
      </c>
      <c r="B33740" s="24" t="n">
        <v>75</v>
      </c>
      <c r="C33740" s="7" t="n">
        <v>1</v>
      </c>
      <c r="D33740" s="7" t="n">
        <v>0</v>
      </c>
      <c r="E33740" s="7" t="n">
        <v>0</v>
      </c>
      <c r="F33740" s="7" t="n">
        <v>1024</v>
      </c>
      <c r="G33740" s="7" t="n">
        <v>720</v>
      </c>
      <c r="H33740" s="7" t="n">
        <v>0</v>
      </c>
      <c r="I33740" s="7" t="n">
        <v>0</v>
      </c>
      <c r="J33740" s="7" t="n">
        <v>0</v>
      </c>
      <c r="K33740" s="7" t="n">
        <v>0</v>
      </c>
      <c r="L33740" s="7" t="n">
        <v>1024</v>
      </c>
      <c r="M33740" s="7" t="n">
        <v>720</v>
      </c>
      <c r="N33740" s="7" t="n">
        <v>1065353216</v>
      </c>
      <c r="O33740" s="7" t="n">
        <v>1065353216</v>
      </c>
      <c r="P33740" s="7" t="n">
        <v>1065353216</v>
      </c>
      <c r="Q33740" s="7" t="n">
        <v>0</v>
      </c>
      <c r="R33740" s="7" t="n">
        <v>0</v>
      </c>
      <c r="S33740" s="7" t="s">
        <v>920</v>
      </c>
    </row>
    <row r="33741" spans="1:6">
      <c r="A33741" t="s">
        <v>4</v>
      </c>
      <c r="B33741" s="4" t="s">
        <v>5</v>
      </c>
      <c r="C33741" s="4" t="s">
        <v>7</v>
      </c>
      <c r="D33741" s="4" t="s">
        <v>7</v>
      </c>
      <c r="E33741" s="4" t="s">
        <v>7</v>
      </c>
      <c r="F33741" s="4" t="s">
        <v>13</v>
      </c>
      <c r="G33741" s="4" t="s">
        <v>13</v>
      </c>
      <c r="H33741" s="4" t="s">
        <v>13</v>
      </c>
      <c r="I33741" s="4" t="s">
        <v>13</v>
      </c>
      <c r="J33741" s="4" t="s">
        <v>13</v>
      </c>
    </row>
    <row r="33742" spans="1:6">
      <c r="A33742" t="n">
        <v>329005</v>
      </c>
      <c r="B33742" s="25" t="n">
        <v>76</v>
      </c>
      <c r="C33742" s="7" t="n">
        <v>1</v>
      </c>
      <c r="D33742" s="7" t="n">
        <v>9</v>
      </c>
      <c r="E33742" s="7" t="n">
        <v>2</v>
      </c>
      <c r="F33742" s="7" t="n">
        <v>0</v>
      </c>
      <c r="G33742" s="7" t="n">
        <v>0</v>
      </c>
      <c r="H33742" s="7" t="n">
        <v>0</v>
      </c>
      <c r="I33742" s="7" t="n">
        <v>0</v>
      </c>
      <c r="J33742" s="7" t="n">
        <v>0</v>
      </c>
    </row>
    <row r="33743" spans="1:6">
      <c r="A33743" t="s">
        <v>4</v>
      </c>
      <c r="B33743" s="4" t="s">
        <v>5</v>
      </c>
      <c r="C33743" s="4" t="s">
        <v>11</v>
      </c>
      <c r="D33743" s="4" t="s">
        <v>8</v>
      </c>
      <c r="E33743" s="4" t="s">
        <v>8</v>
      </c>
      <c r="F33743" s="4" t="s">
        <v>8</v>
      </c>
      <c r="G33743" s="4" t="s">
        <v>7</v>
      </c>
      <c r="H33743" s="4" t="s">
        <v>15</v>
      </c>
      <c r="I33743" s="4" t="s">
        <v>13</v>
      </c>
      <c r="J33743" s="4" t="s">
        <v>13</v>
      </c>
      <c r="K33743" s="4" t="s">
        <v>13</v>
      </c>
      <c r="L33743" s="4" t="s">
        <v>13</v>
      </c>
      <c r="M33743" s="4" t="s">
        <v>13</v>
      </c>
      <c r="N33743" s="4" t="s">
        <v>13</v>
      </c>
      <c r="O33743" s="4" t="s">
        <v>13</v>
      </c>
      <c r="P33743" s="4" t="s">
        <v>8</v>
      </c>
      <c r="Q33743" s="4" t="s">
        <v>8</v>
      </c>
      <c r="R33743" s="4" t="s">
        <v>15</v>
      </c>
      <c r="S33743" s="4" t="s">
        <v>7</v>
      </c>
      <c r="T33743" s="4" t="s">
        <v>15</v>
      </c>
      <c r="U33743" s="4" t="s">
        <v>15</v>
      </c>
      <c r="V33743" s="4" t="s">
        <v>11</v>
      </c>
    </row>
    <row r="33744" spans="1:6">
      <c r="A33744" t="n">
        <v>329029</v>
      </c>
      <c r="B33744" s="62" t="n">
        <v>19</v>
      </c>
      <c r="C33744" s="7" t="n">
        <v>2</v>
      </c>
      <c r="D33744" s="7" t="s">
        <v>921</v>
      </c>
      <c r="E33744" s="7" t="s">
        <v>922</v>
      </c>
      <c r="F33744" s="7" t="s">
        <v>16</v>
      </c>
      <c r="G33744" s="7" t="n">
        <v>0</v>
      </c>
      <c r="H33744" s="7" t="n">
        <v>1</v>
      </c>
      <c r="I33744" s="7" t="n">
        <v>0</v>
      </c>
      <c r="J33744" s="7" t="n">
        <v>0</v>
      </c>
      <c r="K33744" s="7" t="n">
        <v>0</v>
      </c>
      <c r="L33744" s="7" t="n">
        <v>0</v>
      </c>
      <c r="M33744" s="7" t="n">
        <v>1</v>
      </c>
      <c r="N33744" s="7" t="n">
        <v>1.60000002384186</v>
      </c>
      <c r="O33744" s="7" t="n">
        <v>0.0900000035762787</v>
      </c>
      <c r="P33744" s="7" t="s">
        <v>16</v>
      </c>
      <c r="Q33744" s="7" t="s">
        <v>16</v>
      </c>
      <c r="R33744" s="7" t="n">
        <v>-1</v>
      </c>
      <c r="S33744" s="7" t="n">
        <v>0</v>
      </c>
      <c r="T33744" s="7" t="n">
        <v>0</v>
      </c>
      <c r="U33744" s="7" t="n">
        <v>0</v>
      </c>
      <c r="V33744" s="7" t="n">
        <v>0</v>
      </c>
    </row>
    <row r="33745" spans="1:22">
      <c r="A33745" t="s">
        <v>4</v>
      </c>
      <c r="B33745" s="4" t="s">
        <v>5</v>
      </c>
      <c r="C33745" s="4" t="s">
        <v>11</v>
      </c>
      <c r="D33745" s="4" t="s">
        <v>7</v>
      </c>
      <c r="E33745" s="4" t="s">
        <v>7</v>
      </c>
      <c r="F33745" s="4" t="s">
        <v>8</v>
      </c>
    </row>
    <row r="33746" spans="1:22">
      <c r="A33746" t="n">
        <v>329103</v>
      </c>
      <c r="B33746" s="50" t="n">
        <v>20</v>
      </c>
      <c r="C33746" s="7" t="n">
        <v>0</v>
      </c>
      <c r="D33746" s="7" t="n">
        <v>3</v>
      </c>
      <c r="E33746" s="7" t="n">
        <v>10</v>
      </c>
      <c r="F33746" s="7" t="s">
        <v>108</v>
      </c>
    </row>
    <row r="33747" spans="1:22">
      <c r="A33747" t="s">
        <v>4</v>
      </c>
      <c r="B33747" s="4" t="s">
        <v>5</v>
      </c>
      <c r="C33747" s="4" t="s">
        <v>11</v>
      </c>
    </row>
    <row r="33748" spans="1:22">
      <c r="A33748" t="n">
        <v>329121</v>
      </c>
      <c r="B33748" s="29" t="n">
        <v>16</v>
      </c>
      <c r="C33748" s="7" t="n">
        <v>0</v>
      </c>
    </row>
    <row r="33749" spans="1:22">
      <c r="A33749" t="s">
        <v>4</v>
      </c>
      <c r="B33749" s="4" t="s">
        <v>5</v>
      </c>
      <c r="C33749" s="4" t="s">
        <v>11</v>
      </c>
      <c r="D33749" s="4" t="s">
        <v>7</v>
      </c>
      <c r="E33749" s="4" t="s">
        <v>7</v>
      </c>
      <c r="F33749" s="4" t="s">
        <v>8</v>
      </c>
    </row>
    <row r="33750" spans="1:22">
      <c r="A33750" t="n">
        <v>329124</v>
      </c>
      <c r="B33750" s="50" t="n">
        <v>20</v>
      </c>
      <c r="C33750" s="7" t="n">
        <v>2</v>
      </c>
      <c r="D33750" s="7" t="n">
        <v>3</v>
      </c>
      <c r="E33750" s="7" t="n">
        <v>10</v>
      </c>
      <c r="F33750" s="7" t="s">
        <v>108</v>
      </c>
    </row>
    <row r="33751" spans="1:22">
      <c r="A33751" t="s">
        <v>4</v>
      </c>
      <c r="B33751" s="4" t="s">
        <v>5</v>
      </c>
      <c r="C33751" s="4" t="s">
        <v>11</v>
      </c>
    </row>
    <row r="33752" spans="1:22">
      <c r="A33752" t="n">
        <v>329142</v>
      </c>
      <c r="B33752" s="29" t="n">
        <v>16</v>
      </c>
      <c r="C33752" s="7" t="n">
        <v>0</v>
      </c>
    </row>
    <row r="33753" spans="1:22">
      <c r="A33753" t="s">
        <v>4</v>
      </c>
      <c r="B33753" s="4" t="s">
        <v>5</v>
      </c>
      <c r="C33753" s="4" t="s">
        <v>11</v>
      </c>
      <c r="D33753" s="4" t="s">
        <v>15</v>
      </c>
    </row>
    <row r="33754" spans="1:22">
      <c r="A33754" t="n">
        <v>329145</v>
      </c>
      <c r="B33754" s="39" t="n">
        <v>43</v>
      </c>
      <c r="C33754" s="7" t="n">
        <v>2</v>
      </c>
      <c r="D33754" s="7" t="n">
        <v>1</v>
      </c>
    </row>
    <row r="33755" spans="1:22">
      <c r="A33755" t="s">
        <v>4</v>
      </c>
      <c r="B33755" s="4" t="s">
        <v>5</v>
      </c>
      <c r="C33755" s="4" t="s">
        <v>7</v>
      </c>
    </row>
    <row r="33756" spans="1:22">
      <c r="A33756" t="n">
        <v>329152</v>
      </c>
      <c r="B33756" s="49" t="n">
        <v>116</v>
      </c>
      <c r="C33756" s="7" t="n">
        <v>0</v>
      </c>
    </row>
    <row r="33757" spans="1:22">
      <c r="A33757" t="s">
        <v>4</v>
      </c>
      <c r="B33757" s="4" t="s">
        <v>5</v>
      </c>
      <c r="C33757" s="4" t="s">
        <v>7</v>
      </c>
      <c r="D33757" s="4" t="s">
        <v>11</v>
      </c>
    </row>
    <row r="33758" spans="1:22">
      <c r="A33758" t="n">
        <v>329154</v>
      </c>
      <c r="B33758" s="49" t="n">
        <v>116</v>
      </c>
      <c r="C33758" s="7" t="n">
        <v>2</v>
      </c>
      <c r="D33758" s="7" t="n">
        <v>1</v>
      </c>
    </row>
    <row r="33759" spans="1:22">
      <c r="A33759" t="s">
        <v>4</v>
      </c>
      <c r="B33759" s="4" t="s">
        <v>5</v>
      </c>
      <c r="C33759" s="4" t="s">
        <v>7</v>
      </c>
      <c r="D33759" s="4" t="s">
        <v>15</v>
      </c>
    </row>
    <row r="33760" spans="1:22">
      <c r="A33760" t="n">
        <v>329158</v>
      </c>
      <c r="B33760" s="49" t="n">
        <v>116</v>
      </c>
      <c r="C33760" s="7" t="n">
        <v>5</v>
      </c>
      <c r="D33760" s="7" t="n">
        <v>1106247680</v>
      </c>
    </row>
    <row r="33761" spans="1:6">
      <c r="A33761" t="s">
        <v>4</v>
      </c>
      <c r="B33761" s="4" t="s">
        <v>5</v>
      </c>
      <c r="C33761" s="4" t="s">
        <v>7</v>
      </c>
      <c r="D33761" s="4" t="s">
        <v>11</v>
      </c>
    </row>
    <row r="33762" spans="1:6">
      <c r="A33762" t="n">
        <v>329164</v>
      </c>
      <c r="B33762" s="49" t="n">
        <v>116</v>
      </c>
      <c r="C33762" s="7" t="n">
        <v>6</v>
      </c>
      <c r="D33762" s="7" t="n">
        <v>1</v>
      </c>
    </row>
    <row r="33763" spans="1:6">
      <c r="A33763" t="s">
        <v>4</v>
      </c>
      <c r="B33763" s="4" t="s">
        <v>5</v>
      </c>
      <c r="C33763" s="4" t="s">
        <v>7</v>
      </c>
      <c r="D33763" s="4" t="s">
        <v>11</v>
      </c>
      <c r="E33763" s="4" t="s">
        <v>11</v>
      </c>
      <c r="F33763" s="4" t="s">
        <v>15</v>
      </c>
    </row>
    <row r="33764" spans="1:6">
      <c r="A33764" t="n">
        <v>329168</v>
      </c>
      <c r="B33764" s="76" t="n">
        <v>84</v>
      </c>
      <c r="C33764" s="7" t="n">
        <v>0</v>
      </c>
      <c r="D33764" s="7" t="n">
        <v>0</v>
      </c>
      <c r="E33764" s="7" t="n">
        <v>0</v>
      </c>
      <c r="F33764" s="7" t="n">
        <v>1045220557</v>
      </c>
    </row>
    <row r="33765" spans="1:6">
      <c r="A33765" t="s">
        <v>4</v>
      </c>
      <c r="B33765" s="4" t="s">
        <v>5</v>
      </c>
      <c r="C33765" s="4" t="s">
        <v>11</v>
      </c>
      <c r="D33765" s="4" t="s">
        <v>13</v>
      </c>
      <c r="E33765" s="4" t="s">
        <v>13</v>
      </c>
      <c r="F33765" s="4" t="s">
        <v>13</v>
      </c>
      <c r="G33765" s="4" t="s">
        <v>13</v>
      </c>
    </row>
    <row r="33766" spans="1:6">
      <c r="A33766" t="n">
        <v>329178</v>
      </c>
      <c r="B33766" s="36" t="n">
        <v>46</v>
      </c>
      <c r="C33766" s="7" t="n">
        <v>2</v>
      </c>
      <c r="D33766" s="7" t="n">
        <v>7.6100001335144</v>
      </c>
      <c r="E33766" s="7" t="n">
        <v>0</v>
      </c>
      <c r="F33766" s="7" t="n">
        <v>46.0200004577637</v>
      </c>
      <c r="G33766" s="7" t="n">
        <v>272.200012207031</v>
      </c>
    </row>
    <row r="33767" spans="1:6">
      <c r="A33767" t="s">
        <v>4</v>
      </c>
      <c r="B33767" s="4" t="s">
        <v>5</v>
      </c>
      <c r="C33767" s="4" t="s">
        <v>11</v>
      </c>
      <c r="D33767" s="4" t="s">
        <v>13</v>
      </c>
      <c r="E33767" s="4" t="s">
        <v>13</v>
      </c>
      <c r="F33767" s="4" t="s">
        <v>13</v>
      </c>
      <c r="G33767" s="4" t="s">
        <v>13</v>
      </c>
    </row>
    <row r="33768" spans="1:6">
      <c r="A33768" t="n">
        <v>329197</v>
      </c>
      <c r="B33768" s="36" t="n">
        <v>46</v>
      </c>
      <c r="C33768" s="7" t="n">
        <v>0</v>
      </c>
      <c r="D33768" s="7" t="n">
        <v>4.78000020980835</v>
      </c>
      <c r="E33768" s="7" t="n">
        <v>0</v>
      </c>
      <c r="F33768" s="7" t="n">
        <v>45.3300018310547</v>
      </c>
      <c r="G33768" s="7" t="n">
        <v>-102.300003051758</v>
      </c>
    </row>
    <row r="33769" spans="1:6">
      <c r="A33769" t="s">
        <v>4</v>
      </c>
      <c r="B33769" s="4" t="s">
        <v>5</v>
      </c>
      <c r="C33769" s="4" t="s">
        <v>11</v>
      </c>
      <c r="D33769" s="4" t="s">
        <v>7</v>
      </c>
      <c r="E33769" s="4" t="s">
        <v>8</v>
      </c>
      <c r="F33769" s="4" t="s">
        <v>13</v>
      </c>
      <c r="G33769" s="4" t="s">
        <v>13</v>
      </c>
      <c r="H33769" s="4" t="s">
        <v>13</v>
      </c>
    </row>
    <row r="33770" spans="1:6">
      <c r="A33770" t="n">
        <v>329216</v>
      </c>
      <c r="B33770" s="42" t="n">
        <v>48</v>
      </c>
      <c r="C33770" s="7" t="n">
        <v>0</v>
      </c>
      <c r="D33770" s="7" t="n">
        <v>0</v>
      </c>
      <c r="E33770" s="7" t="s">
        <v>275</v>
      </c>
      <c r="F33770" s="7" t="n">
        <v>0</v>
      </c>
      <c r="G33770" s="7" t="n">
        <v>1</v>
      </c>
      <c r="H33770" s="7" t="n">
        <v>0</v>
      </c>
    </row>
    <row r="33771" spans="1:6">
      <c r="A33771" t="s">
        <v>4</v>
      </c>
      <c r="B33771" s="4" t="s">
        <v>5</v>
      </c>
      <c r="C33771" s="4" t="s">
        <v>7</v>
      </c>
      <c r="D33771" s="4" t="s">
        <v>11</v>
      </c>
      <c r="E33771" s="4" t="s">
        <v>8</v>
      </c>
      <c r="F33771" s="4" t="s">
        <v>8</v>
      </c>
      <c r="G33771" s="4" t="s">
        <v>8</v>
      </c>
      <c r="H33771" s="4" t="s">
        <v>8</v>
      </c>
    </row>
    <row r="33772" spans="1:6">
      <c r="A33772" t="n">
        <v>329241</v>
      </c>
      <c r="B33772" s="38" t="n">
        <v>51</v>
      </c>
      <c r="C33772" s="7" t="n">
        <v>3</v>
      </c>
      <c r="D33772" s="7" t="n">
        <v>0</v>
      </c>
      <c r="E33772" s="7" t="s">
        <v>101</v>
      </c>
      <c r="F33772" s="7" t="s">
        <v>99</v>
      </c>
      <c r="G33772" s="7" t="s">
        <v>78</v>
      </c>
      <c r="H33772" s="7" t="s">
        <v>79</v>
      </c>
    </row>
    <row r="33773" spans="1:6">
      <c r="A33773" t="s">
        <v>4</v>
      </c>
      <c r="B33773" s="4" t="s">
        <v>5</v>
      </c>
      <c r="C33773" s="4" t="s">
        <v>7</v>
      </c>
      <c r="D33773" s="4" t="s">
        <v>11</v>
      </c>
      <c r="E33773" s="4" t="s">
        <v>8</v>
      </c>
      <c r="F33773" s="4" t="s">
        <v>8</v>
      </c>
      <c r="G33773" s="4" t="s">
        <v>8</v>
      </c>
      <c r="H33773" s="4" t="s">
        <v>8</v>
      </c>
    </row>
    <row r="33774" spans="1:6">
      <c r="A33774" t="n">
        <v>329262</v>
      </c>
      <c r="B33774" s="38" t="n">
        <v>51</v>
      </c>
      <c r="C33774" s="7" t="n">
        <v>3</v>
      </c>
      <c r="D33774" s="7" t="n">
        <v>2</v>
      </c>
      <c r="E33774" s="7" t="s">
        <v>101</v>
      </c>
      <c r="F33774" s="7" t="s">
        <v>79</v>
      </c>
      <c r="G33774" s="7" t="s">
        <v>78</v>
      </c>
      <c r="H33774" s="7" t="s">
        <v>79</v>
      </c>
    </row>
    <row r="33775" spans="1:6">
      <c r="A33775" t="s">
        <v>4</v>
      </c>
      <c r="B33775" s="4" t="s">
        <v>5</v>
      </c>
      <c r="C33775" s="4" t="s">
        <v>7</v>
      </c>
      <c r="D33775" s="4" t="s">
        <v>11</v>
      </c>
      <c r="E33775" s="4" t="s">
        <v>7</v>
      </c>
      <c r="F33775" s="4" t="s">
        <v>8</v>
      </c>
      <c r="G33775" s="4" t="s">
        <v>8</v>
      </c>
      <c r="H33775" s="4" t="s">
        <v>8</v>
      </c>
      <c r="I33775" s="4" t="s">
        <v>8</v>
      </c>
      <c r="J33775" s="4" t="s">
        <v>8</v>
      </c>
      <c r="K33775" s="4" t="s">
        <v>8</v>
      </c>
      <c r="L33775" s="4" t="s">
        <v>8</v>
      </c>
      <c r="M33775" s="4" t="s">
        <v>8</v>
      </c>
      <c r="N33775" s="4" t="s">
        <v>8</v>
      </c>
      <c r="O33775" s="4" t="s">
        <v>8</v>
      </c>
      <c r="P33775" s="4" t="s">
        <v>8</v>
      </c>
      <c r="Q33775" s="4" t="s">
        <v>8</v>
      </c>
      <c r="R33775" s="4" t="s">
        <v>8</v>
      </c>
      <c r="S33775" s="4" t="s">
        <v>8</v>
      </c>
      <c r="T33775" s="4" t="s">
        <v>8</v>
      </c>
      <c r="U33775" s="4" t="s">
        <v>8</v>
      </c>
    </row>
    <row r="33776" spans="1:6">
      <c r="A33776" t="n">
        <v>329283</v>
      </c>
      <c r="B33776" s="40" t="n">
        <v>36</v>
      </c>
      <c r="C33776" s="7" t="n">
        <v>8</v>
      </c>
      <c r="D33776" s="7" t="n">
        <v>0</v>
      </c>
      <c r="E33776" s="7" t="n">
        <v>0</v>
      </c>
      <c r="F33776" s="7" t="s">
        <v>923</v>
      </c>
      <c r="G33776" s="7" t="s">
        <v>16</v>
      </c>
      <c r="H33776" s="7" t="s">
        <v>16</v>
      </c>
      <c r="I33776" s="7" t="s">
        <v>16</v>
      </c>
      <c r="J33776" s="7" t="s">
        <v>16</v>
      </c>
      <c r="K33776" s="7" t="s">
        <v>16</v>
      </c>
      <c r="L33776" s="7" t="s">
        <v>16</v>
      </c>
      <c r="M33776" s="7" t="s">
        <v>16</v>
      </c>
      <c r="N33776" s="7" t="s">
        <v>16</v>
      </c>
      <c r="O33776" s="7" t="s">
        <v>16</v>
      </c>
      <c r="P33776" s="7" t="s">
        <v>16</v>
      </c>
      <c r="Q33776" s="7" t="s">
        <v>16</v>
      </c>
      <c r="R33776" s="7" t="s">
        <v>16</v>
      </c>
      <c r="S33776" s="7" t="s">
        <v>16</v>
      </c>
      <c r="T33776" s="7" t="s">
        <v>16</v>
      </c>
      <c r="U33776" s="7" t="s">
        <v>16</v>
      </c>
    </row>
    <row r="33777" spans="1:21">
      <c r="A33777" t="s">
        <v>4</v>
      </c>
      <c r="B33777" s="4" t="s">
        <v>5</v>
      </c>
      <c r="C33777" s="4" t="s">
        <v>7</v>
      </c>
      <c r="D33777" s="4" t="s">
        <v>11</v>
      </c>
      <c r="E33777" s="4" t="s">
        <v>7</v>
      </c>
      <c r="F33777" s="4" t="s">
        <v>8</v>
      </c>
      <c r="G33777" s="4" t="s">
        <v>8</v>
      </c>
      <c r="H33777" s="4" t="s">
        <v>8</v>
      </c>
      <c r="I33777" s="4" t="s">
        <v>8</v>
      </c>
      <c r="J33777" s="4" t="s">
        <v>8</v>
      </c>
      <c r="K33777" s="4" t="s">
        <v>8</v>
      </c>
      <c r="L33777" s="4" t="s">
        <v>8</v>
      </c>
      <c r="M33777" s="4" t="s">
        <v>8</v>
      </c>
      <c r="N33777" s="4" t="s">
        <v>8</v>
      </c>
      <c r="O33777" s="4" t="s">
        <v>8</v>
      </c>
      <c r="P33777" s="4" t="s">
        <v>8</v>
      </c>
      <c r="Q33777" s="4" t="s">
        <v>8</v>
      </c>
      <c r="R33777" s="4" t="s">
        <v>8</v>
      </c>
      <c r="S33777" s="4" t="s">
        <v>8</v>
      </c>
      <c r="T33777" s="4" t="s">
        <v>8</v>
      </c>
      <c r="U33777" s="4" t="s">
        <v>8</v>
      </c>
    </row>
    <row r="33778" spans="1:21">
      <c r="A33778" t="n">
        <v>329313</v>
      </c>
      <c r="B33778" s="40" t="n">
        <v>36</v>
      </c>
      <c r="C33778" s="7" t="n">
        <v>8</v>
      </c>
      <c r="D33778" s="7" t="n">
        <v>2</v>
      </c>
      <c r="E33778" s="7" t="n">
        <v>0</v>
      </c>
      <c r="F33778" s="7" t="s">
        <v>923</v>
      </c>
      <c r="G33778" s="7" t="s">
        <v>16</v>
      </c>
      <c r="H33778" s="7" t="s">
        <v>16</v>
      </c>
      <c r="I33778" s="7" t="s">
        <v>16</v>
      </c>
      <c r="J33778" s="7" t="s">
        <v>16</v>
      </c>
      <c r="K33778" s="7" t="s">
        <v>16</v>
      </c>
      <c r="L33778" s="7" t="s">
        <v>16</v>
      </c>
      <c r="M33778" s="7" t="s">
        <v>16</v>
      </c>
      <c r="N33778" s="7" t="s">
        <v>16</v>
      </c>
      <c r="O33778" s="7" t="s">
        <v>16</v>
      </c>
      <c r="P33778" s="7" t="s">
        <v>16</v>
      </c>
      <c r="Q33778" s="7" t="s">
        <v>16</v>
      </c>
      <c r="R33778" s="7" t="s">
        <v>16</v>
      </c>
      <c r="S33778" s="7" t="s">
        <v>16</v>
      </c>
      <c r="T33778" s="7" t="s">
        <v>16</v>
      </c>
      <c r="U33778" s="7" t="s">
        <v>16</v>
      </c>
    </row>
    <row r="33779" spans="1:21">
      <c r="A33779" t="s">
        <v>4</v>
      </c>
      <c r="B33779" s="4" t="s">
        <v>5</v>
      </c>
      <c r="C33779" s="4" t="s">
        <v>7</v>
      </c>
      <c r="D33779" s="4" t="s">
        <v>7</v>
      </c>
      <c r="E33779" s="4" t="s">
        <v>13</v>
      </c>
      <c r="F33779" s="4" t="s">
        <v>13</v>
      </c>
      <c r="G33779" s="4" t="s">
        <v>13</v>
      </c>
      <c r="H33779" s="4" t="s">
        <v>11</v>
      </c>
    </row>
    <row r="33780" spans="1:21">
      <c r="A33780" t="n">
        <v>329343</v>
      </c>
      <c r="B33780" s="51" t="n">
        <v>45</v>
      </c>
      <c r="C33780" s="7" t="n">
        <v>2</v>
      </c>
      <c r="D33780" s="7" t="n">
        <v>3</v>
      </c>
      <c r="E33780" s="7" t="n">
        <v>-3</v>
      </c>
      <c r="F33780" s="7" t="n">
        <v>2.89000010490417</v>
      </c>
      <c r="G33780" s="7" t="n">
        <v>41.3699989318848</v>
      </c>
      <c r="H33780" s="7" t="n">
        <v>0</v>
      </c>
    </row>
    <row r="33781" spans="1:21">
      <c r="A33781" t="s">
        <v>4</v>
      </c>
      <c r="B33781" s="4" t="s">
        <v>5</v>
      </c>
      <c r="C33781" s="4" t="s">
        <v>7</v>
      </c>
      <c r="D33781" s="4" t="s">
        <v>7</v>
      </c>
      <c r="E33781" s="4" t="s">
        <v>13</v>
      </c>
      <c r="F33781" s="4" t="s">
        <v>13</v>
      </c>
      <c r="G33781" s="4" t="s">
        <v>13</v>
      </c>
      <c r="H33781" s="4" t="s">
        <v>11</v>
      </c>
      <c r="I33781" s="4" t="s">
        <v>7</v>
      </c>
    </row>
    <row r="33782" spans="1:21">
      <c r="A33782" t="n">
        <v>329360</v>
      </c>
      <c r="B33782" s="51" t="n">
        <v>45</v>
      </c>
      <c r="C33782" s="7" t="n">
        <v>4</v>
      </c>
      <c r="D33782" s="7" t="n">
        <v>3</v>
      </c>
      <c r="E33782" s="7" t="n">
        <v>0.649999976158142</v>
      </c>
      <c r="F33782" s="7" t="n">
        <v>105.529998779297</v>
      </c>
      <c r="G33782" s="7" t="n">
        <v>0</v>
      </c>
      <c r="H33782" s="7" t="n">
        <v>0</v>
      </c>
      <c r="I33782" s="7" t="n">
        <v>0</v>
      </c>
    </row>
    <row r="33783" spans="1:21">
      <c r="A33783" t="s">
        <v>4</v>
      </c>
      <c r="B33783" s="4" t="s">
        <v>5</v>
      </c>
      <c r="C33783" s="4" t="s">
        <v>7</v>
      </c>
      <c r="D33783" s="4" t="s">
        <v>7</v>
      </c>
      <c r="E33783" s="4" t="s">
        <v>13</v>
      </c>
      <c r="F33783" s="4" t="s">
        <v>11</v>
      </c>
    </row>
    <row r="33784" spans="1:21">
      <c r="A33784" t="n">
        <v>329378</v>
      </c>
      <c r="B33784" s="51" t="n">
        <v>45</v>
      </c>
      <c r="C33784" s="7" t="n">
        <v>5</v>
      </c>
      <c r="D33784" s="7" t="n">
        <v>3</v>
      </c>
      <c r="E33784" s="7" t="n">
        <v>2.40000009536743</v>
      </c>
      <c r="F33784" s="7" t="n">
        <v>0</v>
      </c>
    </row>
    <row r="33785" spans="1:21">
      <c r="A33785" t="s">
        <v>4</v>
      </c>
      <c r="B33785" s="4" t="s">
        <v>5</v>
      </c>
      <c r="C33785" s="4" t="s">
        <v>7</v>
      </c>
      <c r="D33785" s="4" t="s">
        <v>7</v>
      </c>
      <c r="E33785" s="4" t="s">
        <v>13</v>
      </c>
      <c r="F33785" s="4" t="s">
        <v>11</v>
      </c>
    </row>
    <row r="33786" spans="1:21">
      <c r="A33786" t="n">
        <v>329387</v>
      </c>
      <c r="B33786" s="51" t="n">
        <v>45</v>
      </c>
      <c r="C33786" s="7" t="n">
        <v>11</v>
      </c>
      <c r="D33786" s="7" t="n">
        <v>3</v>
      </c>
      <c r="E33786" s="7" t="n">
        <v>33.4000015258789</v>
      </c>
      <c r="F33786" s="7" t="n">
        <v>0</v>
      </c>
    </row>
    <row r="33787" spans="1:21">
      <c r="A33787" t="s">
        <v>4</v>
      </c>
      <c r="B33787" s="4" t="s">
        <v>5</v>
      </c>
      <c r="C33787" s="4" t="s">
        <v>11</v>
      </c>
      <c r="D33787" s="4" t="s">
        <v>13</v>
      </c>
      <c r="E33787" s="4" t="s">
        <v>13</v>
      </c>
      <c r="F33787" s="4" t="s">
        <v>13</v>
      </c>
      <c r="G33787" s="4" t="s">
        <v>11</v>
      </c>
      <c r="H33787" s="4" t="s">
        <v>11</v>
      </c>
    </row>
    <row r="33788" spans="1:21">
      <c r="A33788" t="n">
        <v>329396</v>
      </c>
      <c r="B33788" s="37" t="n">
        <v>60</v>
      </c>
      <c r="C33788" s="7" t="n">
        <v>0</v>
      </c>
      <c r="D33788" s="7" t="n">
        <v>0</v>
      </c>
      <c r="E33788" s="7" t="n">
        <v>20</v>
      </c>
      <c r="F33788" s="7" t="n">
        <v>0</v>
      </c>
      <c r="G33788" s="7" t="n">
        <v>0</v>
      </c>
      <c r="H33788" s="7" t="n">
        <v>0</v>
      </c>
    </row>
    <row r="33789" spans="1:21">
      <c r="A33789" t="s">
        <v>4</v>
      </c>
      <c r="B33789" s="4" t="s">
        <v>5</v>
      </c>
      <c r="C33789" s="4" t="s">
        <v>7</v>
      </c>
      <c r="D33789" s="4" t="s">
        <v>7</v>
      </c>
      <c r="E33789" s="4" t="s">
        <v>7</v>
      </c>
      <c r="F33789" s="4" t="s">
        <v>13</v>
      </c>
      <c r="G33789" s="4" t="s">
        <v>13</v>
      </c>
      <c r="H33789" s="4" t="s">
        <v>13</v>
      </c>
      <c r="I33789" s="4" t="s">
        <v>13</v>
      </c>
      <c r="J33789" s="4" t="s">
        <v>13</v>
      </c>
    </row>
    <row r="33790" spans="1:21">
      <c r="A33790" t="n">
        <v>329415</v>
      </c>
      <c r="B33790" s="25" t="n">
        <v>76</v>
      </c>
      <c r="C33790" s="7" t="n">
        <v>0</v>
      </c>
      <c r="D33790" s="7" t="n">
        <v>3</v>
      </c>
      <c r="E33790" s="7" t="n">
        <v>2</v>
      </c>
      <c r="F33790" s="7" t="n">
        <v>1</v>
      </c>
      <c r="G33790" s="7" t="n">
        <v>1</v>
      </c>
      <c r="H33790" s="7" t="n">
        <v>1</v>
      </c>
      <c r="I33790" s="7" t="n">
        <v>1</v>
      </c>
      <c r="J33790" s="7" t="n">
        <v>2000</v>
      </c>
    </row>
    <row r="33791" spans="1:21">
      <c r="A33791" t="s">
        <v>4</v>
      </c>
      <c r="B33791" s="4" t="s">
        <v>5</v>
      </c>
      <c r="C33791" s="4" t="s">
        <v>7</v>
      </c>
      <c r="D33791" s="4" t="s">
        <v>7</v>
      </c>
      <c r="E33791" s="4" t="s">
        <v>7</v>
      </c>
      <c r="F33791" s="4" t="s">
        <v>13</v>
      </c>
      <c r="G33791" s="4" t="s">
        <v>13</v>
      </c>
      <c r="H33791" s="4" t="s">
        <v>13</v>
      </c>
      <c r="I33791" s="4" t="s">
        <v>13</v>
      </c>
      <c r="J33791" s="4" t="s">
        <v>13</v>
      </c>
    </row>
    <row r="33792" spans="1:21">
      <c r="A33792" t="n">
        <v>329439</v>
      </c>
      <c r="B33792" s="25" t="n">
        <v>76</v>
      </c>
      <c r="C33792" s="7" t="n">
        <v>0</v>
      </c>
      <c r="D33792" s="7" t="n">
        <v>0</v>
      </c>
      <c r="E33792" s="7" t="n">
        <v>2</v>
      </c>
      <c r="F33792" s="7" t="n">
        <v>64</v>
      </c>
      <c r="G33792" s="7" t="n">
        <v>0</v>
      </c>
      <c r="H33792" s="7" t="n">
        <v>2000</v>
      </c>
      <c r="I33792" s="7" t="n">
        <v>0</v>
      </c>
      <c r="J33792" s="7" t="n">
        <v>0</v>
      </c>
    </row>
    <row r="33793" spans="1:21">
      <c r="A33793" t="s">
        <v>4</v>
      </c>
      <c r="B33793" s="4" t="s">
        <v>5</v>
      </c>
      <c r="C33793" s="4" t="s">
        <v>7</v>
      </c>
      <c r="D33793" s="4" t="s">
        <v>7</v>
      </c>
    </row>
    <row r="33794" spans="1:21">
      <c r="A33794" t="n">
        <v>329463</v>
      </c>
      <c r="B33794" s="26" t="n">
        <v>77</v>
      </c>
      <c r="C33794" s="7" t="n">
        <v>0</v>
      </c>
      <c r="D33794" s="7" t="n">
        <v>3</v>
      </c>
    </row>
    <row r="33795" spans="1:21">
      <c r="A33795" t="s">
        <v>4</v>
      </c>
      <c r="B33795" s="4" t="s">
        <v>5</v>
      </c>
      <c r="C33795" s="4" t="s">
        <v>7</v>
      </c>
      <c r="D33795" s="4" t="s">
        <v>7</v>
      </c>
    </row>
    <row r="33796" spans="1:21">
      <c r="A33796" t="n">
        <v>329466</v>
      </c>
      <c r="B33796" s="26" t="n">
        <v>77</v>
      </c>
      <c r="C33796" s="7" t="n">
        <v>0</v>
      </c>
      <c r="D33796" s="7" t="n">
        <v>0</v>
      </c>
    </row>
    <row r="33797" spans="1:21">
      <c r="A33797" t="s">
        <v>4</v>
      </c>
      <c r="B33797" s="4" t="s">
        <v>5</v>
      </c>
      <c r="C33797" s="4" t="s">
        <v>11</v>
      </c>
    </row>
    <row r="33798" spans="1:21">
      <c r="A33798" t="n">
        <v>329469</v>
      </c>
      <c r="B33798" s="29" t="n">
        <v>16</v>
      </c>
      <c r="C33798" s="7" t="n">
        <v>2000</v>
      </c>
    </row>
    <row r="33799" spans="1:21">
      <c r="A33799" t="s">
        <v>4</v>
      </c>
      <c r="B33799" s="4" t="s">
        <v>5</v>
      </c>
      <c r="C33799" s="4" t="s">
        <v>7</v>
      </c>
      <c r="D33799" s="4" t="s">
        <v>11</v>
      </c>
      <c r="E33799" s="4" t="s">
        <v>15</v>
      </c>
      <c r="F33799" s="4" t="s">
        <v>11</v>
      </c>
      <c r="G33799" s="4" t="s">
        <v>15</v>
      </c>
      <c r="H33799" s="4" t="s">
        <v>7</v>
      </c>
    </row>
    <row r="33800" spans="1:21">
      <c r="A33800" t="n">
        <v>329472</v>
      </c>
      <c r="B33800" s="13" t="n">
        <v>49</v>
      </c>
      <c r="C33800" s="7" t="n">
        <v>0</v>
      </c>
      <c r="D33800" s="7" t="n">
        <v>514</v>
      </c>
      <c r="E33800" s="7" t="n">
        <v>1065353216</v>
      </c>
      <c r="F33800" s="7" t="n">
        <v>0</v>
      </c>
      <c r="G33800" s="7" t="n">
        <v>0</v>
      </c>
      <c r="H33800" s="7" t="n">
        <v>0</v>
      </c>
    </row>
    <row r="33801" spans="1:21">
      <c r="A33801" t="s">
        <v>4</v>
      </c>
      <c r="B33801" s="4" t="s">
        <v>5</v>
      </c>
      <c r="C33801" s="4" t="s">
        <v>7</v>
      </c>
      <c r="D33801" s="4" t="s">
        <v>7</v>
      </c>
      <c r="E33801" s="4" t="s">
        <v>7</v>
      </c>
      <c r="F33801" s="4" t="s">
        <v>13</v>
      </c>
      <c r="G33801" s="4" t="s">
        <v>13</v>
      </c>
      <c r="H33801" s="4" t="s">
        <v>13</v>
      </c>
      <c r="I33801" s="4" t="s">
        <v>13</v>
      </c>
      <c r="J33801" s="4" t="s">
        <v>13</v>
      </c>
    </row>
    <row r="33802" spans="1:21">
      <c r="A33802" t="n">
        <v>329487</v>
      </c>
      <c r="B33802" s="25" t="n">
        <v>76</v>
      </c>
      <c r="C33802" s="7" t="n">
        <v>0</v>
      </c>
      <c r="D33802" s="7" t="n">
        <v>3</v>
      </c>
      <c r="E33802" s="7" t="n">
        <v>1</v>
      </c>
      <c r="F33802" s="7" t="n">
        <v>1</v>
      </c>
      <c r="G33802" s="7" t="n">
        <v>1</v>
      </c>
      <c r="H33802" s="7" t="n">
        <v>1</v>
      </c>
      <c r="I33802" s="7" t="n">
        <v>0</v>
      </c>
      <c r="J33802" s="7" t="n">
        <v>2000</v>
      </c>
    </row>
    <row r="33803" spans="1:21">
      <c r="A33803" t="s">
        <v>4</v>
      </c>
      <c r="B33803" s="4" t="s">
        <v>5</v>
      </c>
      <c r="C33803" s="4" t="s">
        <v>7</v>
      </c>
      <c r="D33803" s="4" t="s">
        <v>7</v>
      </c>
      <c r="E33803" s="4" t="s">
        <v>7</v>
      </c>
      <c r="F33803" s="4" t="s">
        <v>13</v>
      </c>
      <c r="G33803" s="4" t="s">
        <v>13</v>
      </c>
      <c r="H33803" s="4" t="s">
        <v>13</v>
      </c>
      <c r="I33803" s="4" t="s">
        <v>13</v>
      </c>
      <c r="J33803" s="4" t="s">
        <v>13</v>
      </c>
    </row>
    <row r="33804" spans="1:21">
      <c r="A33804" t="n">
        <v>329511</v>
      </c>
      <c r="B33804" s="25" t="n">
        <v>76</v>
      </c>
      <c r="C33804" s="7" t="n">
        <v>0</v>
      </c>
      <c r="D33804" s="7" t="n">
        <v>0</v>
      </c>
      <c r="E33804" s="7" t="n">
        <v>1</v>
      </c>
      <c r="F33804" s="7" t="n">
        <v>128</v>
      </c>
      <c r="G33804" s="7" t="n">
        <v>0</v>
      </c>
      <c r="H33804" s="7" t="n">
        <v>2000</v>
      </c>
      <c r="I33804" s="7" t="n">
        <v>0</v>
      </c>
      <c r="J33804" s="7" t="n">
        <v>0</v>
      </c>
    </row>
    <row r="33805" spans="1:21">
      <c r="A33805" t="s">
        <v>4</v>
      </c>
      <c r="B33805" s="4" t="s">
        <v>5</v>
      </c>
      <c r="C33805" s="4" t="s">
        <v>7</v>
      </c>
      <c r="D33805" s="4" t="s">
        <v>7</v>
      </c>
    </row>
    <row r="33806" spans="1:21">
      <c r="A33806" t="n">
        <v>329535</v>
      </c>
      <c r="B33806" s="26" t="n">
        <v>77</v>
      </c>
      <c r="C33806" s="7" t="n">
        <v>0</v>
      </c>
      <c r="D33806" s="7" t="n">
        <v>3</v>
      </c>
    </row>
    <row r="33807" spans="1:21">
      <c r="A33807" t="s">
        <v>4</v>
      </c>
      <c r="B33807" s="4" t="s">
        <v>5</v>
      </c>
      <c r="C33807" s="4" t="s">
        <v>7</v>
      </c>
      <c r="D33807" s="4" t="s">
        <v>7</v>
      </c>
    </row>
    <row r="33808" spans="1:21">
      <c r="A33808" t="n">
        <v>329538</v>
      </c>
      <c r="B33808" s="26" t="n">
        <v>77</v>
      </c>
      <c r="C33808" s="7" t="n">
        <v>0</v>
      </c>
      <c r="D33808" s="7" t="n">
        <v>0</v>
      </c>
    </row>
    <row r="33809" spans="1:10">
      <c r="A33809" t="s">
        <v>4</v>
      </c>
      <c r="B33809" s="4" t="s">
        <v>5</v>
      </c>
      <c r="C33809" s="4" t="s">
        <v>7</v>
      </c>
      <c r="D33809" s="4" t="s">
        <v>7</v>
      </c>
      <c r="E33809" s="4" t="s">
        <v>13</v>
      </c>
      <c r="F33809" s="4" t="s">
        <v>13</v>
      </c>
      <c r="G33809" s="4" t="s">
        <v>13</v>
      </c>
      <c r="H33809" s="4" t="s">
        <v>11</v>
      </c>
    </row>
    <row r="33810" spans="1:10">
      <c r="A33810" t="n">
        <v>329541</v>
      </c>
      <c r="B33810" s="51" t="n">
        <v>45</v>
      </c>
      <c r="C33810" s="7" t="n">
        <v>2</v>
      </c>
      <c r="D33810" s="7" t="n">
        <v>3</v>
      </c>
      <c r="E33810" s="7" t="n">
        <v>5.23999977111816</v>
      </c>
      <c r="F33810" s="7" t="n">
        <v>2.15000009536743</v>
      </c>
      <c r="G33810" s="7" t="n">
        <v>43.8600006103516</v>
      </c>
      <c r="H33810" s="7" t="n">
        <v>8000</v>
      </c>
    </row>
    <row r="33811" spans="1:10">
      <c r="A33811" t="s">
        <v>4</v>
      </c>
      <c r="B33811" s="4" t="s">
        <v>5</v>
      </c>
      <c r="C33811" s="4" t="s">
        <v>7</v>
      </c>
      <c r="D33811" s="4" t="s">
        <v>7</v>
      </c>
      <c r="E33811" s="4" t="s">
        <v>13</v>
      </c>
      <c r="F33811" s="4" t="s">
        <v>13</v>
      </c>
      <c r="G33811" s="4" t="s">
        <v>13</v>
      </c>
      <c r="H33811" s="4" t="s">
        <v>11</v>
      </c>
      <c r="I33811" s="4" t="s">
        <v>7</v>
      </c>
    </row>
    <row r="33812" spans="1:10">
      <c r="A33812" t="n">
        <v>329558</v>
      </c>
      <c r="B33812" s="51" t="n">
        <v>45</v>
      </c>
      <c r="C33812" s="7" t="n">
        <v>4</v>
      </c>
      <c r="D33812" s="7" t="n">
        <v>3</v>
      </c>
      <c r="E33812" s="7" t="n">
        <v>12.4799995422363</v>
      </c>
      <c r="F33812" s="7" t="n">
        <v>144.25</v>
      </c>
      <c r="G33812" s="7" t="n">
        <v>0</v>
      </c>
      <c r="H33812" s="7" t="n">
        <v>8000</v>
      </c>
      <c r="I33812" s="7" t="n">
        <v>0</v>
      </c>
    </row>
    <row r="33813" spans="1:10">
      <c r="A33813" t="s">
        <v>4</v>
      </c>
      <c r="B33813" s="4" t="s">
        <v>5</v>
      </c>
      <c r="C33813" s="4" t="s">
        <v>7</v>
      </c>
      <c r="D33813" s="4" t="s">
        <v>7</v>
      </c>
      <c r="E33813" s="4" t="s">
        <v>13</v>
      </c>
      <c r="F33813" s="4" t="s">
        <v>11</v>
      </c>
    </row>
    <row r="33814" spans="1:10">
      <c r="A33814" t="n">
        <v>329576</v>
      </c>
      <c r="B33814" s="51" t="n">
        <v>45</v>
      </c>
      <c r="C33814" s="7" t="n">
        <v>5</v>
      </c>
      <c r="D33814" s="7" t="n">
        <v>3</v>
      </c>
      <c r="E33814" s="7" t="n">
        <v>2.40000009536743</v>
      </c>
      <c r="F33814" s="7" t="n">
        <v>8000</v>
      </c>
    </row>
    <row r="33815" spans="1:10">
      <c r="A33815" t="s">
        <v>4</v>
      </c>
      <c r="B33815" s="4" t="s">
        <v>5</v>
      </c>
      <c r="C33815" s="4" t="s">
        <v>7</v>
      </c>
      <c r="D33815" s="4" t="s">
        <v>7</v>
      </c>
      <c r="E33815" s="4" t="s">
        <v>13</v>
      </c>
      <c r="F33815" s="4" t="s">
        <v>11</v>
      </c>
    </row>
    <row r="33816" spans="1:10">
      <c r="A33816" t="n">
        <v>329585</v>
      </c>
      <c r="B33816" s="51" t="n">
        <v>45</v>
      </c>
      <c r="C33816" s="7" t="n">
        <v>11</v>
      </c>
      <c r="D33816" s="7" t="n">
        <v>3</v>
      </c>
      <c r="E33816" s="7" t="n">
        <v>33.4000015258789</v>
      </c>
      <c r="F33816" s="7" t="n">
        <v>8000</v>
      </c>
    </row>
    <row r="33817" spans="1:10">
      <c r="A33817" t="s">
        <v>4</v>
      </c>
      <c r="B33817" s="4" t="s">
        <v>5</v>
      </c>
      <c r="C33817" s="4" t="s">
        <v>7</v>
      </c>
      <c r="D33817" s="4" t="s">
        <v>11</v>
      </c>
      <c r="E33817" s="4" t="s">
        <v>13</v>
      </c>
    </row>
    <row r="33818" spans="1:10">
      <c r="A33818" t="n">
        <v>329594</v>
      </c>
      <c r="B33818" s="23" t="n">
        <v>58</v>
      </c>
      <c r="C33818" s="7" t="n">
        <v>100</v>
      </c>
      <c r="D33818" s="7" t="n">
        <v>1000</v>
      </c>
      <c r="E33818" s="7" t="n">
        <v>1</v>
      </c>
    </row>
    <row r="33819" spans="1:10">
      <c r="A33819" t="s">
        <v>4</v>
      </c>
      <c r="B33819" s="4" t="s">
        <v>5</v>
      </c>
      <c r="C33819" s="4" t="s">
        <v>7</v>
      </c>
      <c r="D33819" s="4" t="s">
        <v>11</v>
      </c>
    </row>
    <row r="33820" spans="1:10">
      <c r="A33820" t="n">
        <v>329602</v>
      </c>
      <c r="B33820" s="23" t="n">
        <v>58</v>
      </c>
      <c r="C33820" s="7" t="n">
        <v>255</v>
      </c>
      <c r="D33820" s="7" t="n">
        <v>0</v>
      </c>
    </row>
    <row r="33821" spans="1:10">
      <c r="A33821" t="s">
        <v>4</v>
      </c>
      <c r="B33821" s="4" t="s">
        <v>5</v>
      </c>
      <c r="C33821" s="4" t="s">
        <v>7</v>
      </c>
      <c r="D33821" s="4" t="s">
        <v>11</v>
      </c>
    </row>
    <row r="33822" spans="1:10">
      <c r="A33822" t="n">
        <v>329606</v>
      </c>
      <c r="B33822" s="51" t="n">
        <v>45</v>
      </c>
      <c r="C33822" s="7" t="n">
        <v>7</v>
      </c>
      <c r="D33822" s="7" t="n">
        <v>255</v>
      </c>
    </row>
    <row r="33823" spans="1:10">
      <c r="A33823" t="s">
        <v>4</v>
      </c>
      <c r="B33823" s="4" t="s">
        <v>5</v>
      </c>
      <c r="C33823" s="4" t="s">
        <v>7</v>
      </c>
      <c r="D33823" s="4" t="s">
        <v>11</v>
      </c>
      <c r="E33823" s="4" t="s">
        <v>13</v>
      </c>
    </row>
    <row r="33824" spans="1:10">
      <c r="A33824" t="n">
        <v>329610</v>
      </c>
      <c r="B33824" s="23" t="n">
        <v>58</v>
      </c>
      <c r="C33824" s="7" t="n">
        <v>101</v>
      </c>
      <c r="D33824" s="7" t="n">
        <v>800</v>
      </c>
      <c r="E33824" s="7" t="n">
        <v>1</v>
      </c>
    </row>
    <row r="33825" spans="1:9">
      <c r="A33825" t="s">
        <v>4</v>
      </c>
      <c r="B33825" s="4" t="s">
        <v>5</v>
      </c>
      <c r="C33825" s="4" t="s">
        <v>7</v>
      </c>
      <c r="D33825" s="4" t="s">
        <v>11</v>
      </c>
    </row>
    <row r="33826" spans="1:9">
      <c r="A33826" t="n">
        <v>329618</v>
      </c>
      <c r="B33826" s="23" t="n">
        <v>58</v>
      </c>
      <c r="C33826" s="7" t="n">
        <v>254</v>
      </c>
      <c r="D33826" s="7" t="n">
        <v>0</v>
      </c>
    </row>
    <row r="33827" spans="1:9">
      <c r="A33827" t="s">
        <v>4</v>
      </c>
      <c r="B33827" s="4" t="s">
        <v>5</v>
      </c>
      <c r="C33827" s="4" t="s">
        <v>7</v>
      </c>
      <c r="D33827" s="4" t="s">
        <v>7</v>
      </c>
      <c r="E33827" s="4" t="s">
        <v>13</v>
      </c>
      <c r="F33827" s="4" t="s">
        <v>13</v>
      </c>
      <c r="G33827" s="4" t="s">
        <v>13</v>
      </c>
      <c r="H33827" s="4" t="s">
        <v>11</v>
      </c>
    </row>
    <row r="33828" spans="1:9">
      <c r="A33828" t="n">
        <v>329622</v>
      </c>
      <c r="B33828" s="51" t="n">
        <v>45</v>
      </c>
      <c r="C33828" s="7" t="n">
        <v>2</v>
      </c>
      <c r="D33828" s="7" t="n">
        <v>3</v>
      </c>
      <c r="E33828" s="7" t="n">
        <v>4.26999998092651</v>
      </c>
      <c r="F33828" s="7" t="n">
        <v>2.44000005722046</v>
      </c>
      <c r="G33828" s="7" t="n">
        <v>44.1500015258789</v>
      </c>
      <c r="H33828" s="7" t="n">
        <v>0</v>
      </c>
    </row>
    <row r="33829" spans="1:9">
      <c r="A33829" t="s">
        <v>4</v>
      </c>
      <c r="B33829" s="4" t="s">
        <v>5</v>
      </c>
      <c r="C33829" s="4" t="s">
        <v>7</v>
      </c>
      <c r="D33829" s="4" t="s">
        <v>7</v>
      </c>
      <c r="E33829" s="4" t="s">
        <v>13</v>
      </c>
      <c r="F33829" s="4" t="s">
        <v>13</v>
      </c>
      <c r="G33829" s="4" t="s">
        <v>13</v>
      </c>
      <c r="H33829" s="4" t="s">
        <v>11</v>
      </c>
      <c r="I33829" s="4" t="s">
        <v>7</v>
      </c>
    </row>
    <row r="33830" spans="1:9">
      <c r="A33830" t="n">
        <v>329639</v>
      </c>
      <c r="B33830" s="51" t="n">
        <v>45</v>
      </c>
      <c r="C33830" s="7" t="n">
        <v>4</v>
      </c>
      <c r="D33830" s="7" t="n">
        <v>3</v>
      </c>
      <c r="E33830" s="7" t="n">
        <v>357.880004882813</v>
      </c>
      <c r="F33830" s="7" t="n">
        <v>321.779998779297</v>
      </c>
      <c r="G33830" s="7" t="n">
        <v>0</v>
      </c>
      <c r="H33830" s="7" t="n">
        <v>0</v>
      </c>
      <c r="I33830" s="7" t="n">
        <v>0</v>
      </c>
    </row>
    <row r="33831" spans="1:9">
      <c r="A33831" t="s">
        <v>4</v>
      </c>
      <c r="B33831" s="4" t="s">
        <v>5</v>
      </c>
      <c r="C33831" s="4" t="s">
        <v>7</v>
      </c>
      <c r="D33831" s="4" t="s">
        <v>7</v>
      </c>
      <c r="E33831" s="4" t="s">
        <v>13</v>
      </c>
      <c r="F33831" s="4" t="s">
        <v>11</v>
      </c>
    </row>
    <row r="33832" spans="1:9">
      <c r="A33832" t="n">
        <v>329657</v>
      </c>
      <c r="B33832" s="51" t="n">
        <v>45</v>
      </c>
      <c r="C33832" s="7" t="n">
        <v>5</v>
      </c>
      <c r="D33832" s="7" t="n">
        <v>3</v>
      </c>
      <c r="E33832" s="7" t="n">
        <v>2.40000009536743</v>
      </c>
      <c r="F33832" s="7" t="n">
        <v>0</v>
      </c>
    </row>
    <row r="33833" spans="1:9">
      <c r="A33833" t="s">
        <v>4</v>
      </c>
      <c r="B33833" s="4" t="s">
        <v>5</v>
      </c>
      <c r="C33833" s="4" t="s">
        <v>7</v>
      </c>
      <c r="D33833" s="4" t="s">
        <v>7</v>
      </c>
      <c r="E33833" s="4" t="s">
        <v>13</v>
      </c>
      <c r="F33833" s="4" t="s">
        <v>11</v>
      </c>
    </row>
    <row r="33834" spans="1:9">
      <c r="A33834" t="n">
        <v>329666</v>
      </c>
      <c r="B33834" s="51" t="n">
        <v>45</v>
      </c>
      <c r="C33834" s="7" t="n">
        <v>11</v>
      </c>
      <c r="D33834" s="7" t="n">
        <v>3</v>
      </c>
      <c r="E33834" s="7" t="n">
        <v>33.4000015258789</v>
      </c>
      <c r="F33834" s="7" t="n">
        <v>0</v>
      </c>
    </row>
    <row r="33835" spans="1:9">
      <c r="A33835" t="s">
        <v>4</v>
      </c>
      <c r="B33835" s="4" t="s">
        <v>5</v>
      </c>
      <c r="C33835" s="4" t="s">
        <v>7</v>
      </c>
      <c r="D33835" s="4" t="s">
        <v>7</v>
      </c>
      <c r="E33835" s="4" t="s">
        <v>13</v>
      </c>
      <c r="F33835" s="4" t="s">
        <v>13</v>
      </c>
      <c r="G33835" s="4" t="s">
        <v>13</v>
      </c>
      <c r="H33835" s="4" t="s">
        <v>11</v>
      </c>
    </row>
    <row r="33836" spans="1:9">
      <c r="A33836" t="n">
        <v>329675</v>
      </c>
      <c r="B33836" s="51" t="n">
        <v>45</v>
      </c>
      <c r="C33836" s="7" t="n">
        <v>2</v>
      </c>
      <c r="D33836" s="7" t="n">
        <v>3</v>
      </c>
      <c r="E33836" s="7" t="n">
        <v>4.76999998092651</v>
      </c>
      <c r="F33836" s="7" t="n">
        <v>1.45000004768372</v>
      </c>
      <c r="G33836" s="7" t="n">
        <v>45.2599983215332</v>
      </c>
      <c r="H33836" s="7" t="n">
        <v>8000</v>
      </c>
    </row>
    <row r="33837" spans="1:9">
      <c r="A33837" t="s">
        <v>4</v>
      </c>
      <c r="B33837" s="4" t="s">
        <v>5</v>
      </c>
      <c r="C33837" s="4" t="s">
        <v>7</v>
      </c>
      <c r="D33837" s="4" t="s">
        <v>7</v>
      </c>
      <c r="E33837" s="4" t="s">
        <v>13</v>
      </c>
      <c r="F33837" s="4" t="s">
        <v>13</v>
      </c>
      <c r="G33837" s="4" t="s">
        <v>13</v>
      </c>
      <c r="H33837" s="4" t="s">
        <v>11</v>
      </c>
      <c r="I33837" s="4" t="s">
        <v>7</v>
      </c>
    </row>
    <row r="33838" spans="1:9">
      <c r="A33838" t="n">
        <v>329692</v>
      </c>
      <c r="B33838" s="51" t="n">
        <v>45</v>
      </c>
      <c r="C33838" s="7" t="n">
        <v>4</v>
      </c>
      <c r="D33838" s="7" t="n">
        <v>3</v>
      </c>
      <c r="E33838" s="7" t="n">
        <v>358.660003662109</v>
      </c>
      <c r="F33838" s="7" t="n">
        <v>283.079986572266</v>
      </c>
      <c r="G33838" s="7" t="n">
        <v>0</v>
      </c>
      <c r="H33838" s="7" t="n">
        <v>8000</v>
      </c>
      <c r="I33838" s="7" t="n">
        <v>0</v>
      </c>
    </row>
    <row r="33839" spans="1:9">
      <c r="A33839" t="s">
        <v>4</v>
      </c>
      <c r="B33839" s="4" t="s">
        <v>5</v>
      </c>
      <c r="C33839" s="4" t="s">
        <v>7</v>
      </c>
      <c r="D33839" s="4" t="s">
        <v>7</v>
      </c>
      <c r="E33839" s="4" t="s">
        <v>13</v>
      </c>
      <c r="F33839" s="4" t="s">
        <v>11</v>
      </c>
    </row>
    <row r="33840" spans="1:9">
      <c r="A33840" t="n">
        <v>329710</v>
      </c>
      <c r="B33840" s="51" t="n">
        <v>45</v>
      </c>
      <c r="C33840" s="7" t="n">
        <v>5</v>
      </c>
      <c r="D33840" s="7" t="n">
        <v>3</v>
      </c>
      <c r="E33840" s="7" t="n">
        <v>2</v>
      </c>
      <c r="F33840" s="7" t="n">
        <v>8000</v>
      </c>
    </row>
    <row r="33841" spans="1:9">
      <c r="A33841" t="s">
        <v>4</v>
      </c>
      <c r="B33841" s="4" t="s">
        <v>5</v>
      </c>
      <c r="C33841" s="4" t="s">
        <v>7</v>
      </c>
      <c r="D33841" s="4" t="s">
        <v>11</v>
      </c>
    </row>
    <row r="33842" spans="1:9">
      <c r="A33842" t="n">
        <v>329719</v>
      </c>
      <c r="B33842" s="23" t="n">
        <v>58</v>
      </c>
      <c r="C33842" s="7" t="n">
        <v>255</v>
      </c>
      <c r="D33842" s="7" t="n">
        <v>0</v>
      </c>
    </row>
    <row r="33843" spans="1:9">
      <c r="A33843" t="s">
        <v>4</v>
      </c>
      <c r="B33843" s="4" t="s">
        <v>5</v>
      </c>
      <c r="C33843" s="4" t="s">
        <v>7</v>
      </c>
      <c r="D33843" s="4" t="s">
        <v>11</v>
      </c>
    </row>
    <row r="33844" spans="1:9">
      <c r="A33844" t="n">
        <v>329723</v>
      </c>
      <c r="B33844" s="51" t="n">
        <v>45</v>
      </c>
      <c r="C33844" s="7" t="n">
        <v>7</v>
      </c>
      <c r="D33844" s="7" t="n">
        <v>255</v>
      </c>
    </row>
    <row r="33845" spans="1:9">
      <c r="A33845" t="s">
        <v>4</v>
      </c>
      <c r="B33845" s="4" t="s">
        <v>5</v>
      </c>
      <c r="C33845" s="4" t="s">
        <v>7</v>
      </c>
      <c r="D33845" s="4" t="s">
        <v>11</v>
      </c>
      <c r="E33845" s="4" t="s">
        <v>13</v>
      </c>
    </row>
    <row r="33846" spans="1:9">
      <c r="A33846" t="n">
        <v>329727</v>
      </c>
      <c r="B33846" s="23" t="n">
        <v>58</v>
      </c>
      <c r="C33846" s="7" t="n">
        <v>101</v>
      </c>
      <c r="D33846" s="7" t="n">
        <v>800</v>
      </c>
      <c r="E33846" s="7" t="n">
        <v>1</v>
      </c>
    </row>
    <row r="33847" spans="1:9">
      <c r="A33847" t="s">
        <v>4</v>
      </c>
      <c r="B33847" s="4" t="s">
        <v>5</v>
      </c>
      <c r="C33847" s="4" t="s">
        <v>7</v>
      </c>
      <c r="D33847" s="4" t="s">
        <v>11</v>
      </c>
    </row>
    <row r="33848" spans="1:9">
      <c r="A33848" t="n">
        <v>329735</v>
      </c>
      <c r="B33848" s="23" t="n">
        <v>58</v>
      </c>
      <c r="C33848" s="7" t="n">
        <v>254</v>
      </c>
      <c r="D33848" s="7" t="n">
        <v>0</v>
      </c>
    </row>
    <row r="33849" spans="1:9">
      <c r="A33849" t="s">
        <v>4</v>
      </c>
      <c r="B33849" s="4" t="s">
        <v>5</v>
      </c>
      <c r="C33849" s="4" t="s">
        <v>7</v>
      </c>
      <c r="D33849" s="4" t="s">
        <v>7</v>
      </c>
      <c r="E33849" s="4" t="s">
        <v>13</v>
      </c>
      <c r="F33849" s="4" t="s">
        <v>13</v>
      </c>
      <c r="G33849" s="4" t="s">
        <v>13</v>
      </c>
      <c r="H33849" s="4" t="s">
        <v>11</v>
      </c>
    </row>
    <row r="33850" spans="1:9">
      <c r="A33850" t="n">
        <v>329739</v>
      </c>
      <c r="B33850" s="51" t="n">
        <v>45</v>
      </c>
      <c r="C33850" s="7" t="n">
        <v>2</v>
      </c>
      <c r="D33850" s="7" t="n">
        <v>3</v>
      </c>
      <c r="E33850" s="7" t="n">
        <v>4.73999977111816</v>
      </c>
      <c r="F33850" s="7" t="n">
        <v>1.37000000476837</v>
      </c>
      <c r="G33850" s="7" t="n">
        <v>45.310001373291</v>
      </c>
      <c r="H33850" s="7" t="n">
        <v>0</v>
      </c>
    </row>
    <row r="33851" spans="1:9">
      <c r="A33851" t="s">
        <v>4</v>
      </c>
      <c r="B33851" s="4" t="s">
        <v>5</v>
      </c>
      <c r="C33851" s="4" t="s">
        <v>7</v>
      </c>
      <c r="D33851" s="4" t="s">
        <v>7</v>
      </c>
      <c r="E33851" s="4" t="s">
        <v>13</v>
      </c>
      <c r="F33851" s="4" t="s">
        <v>13</v>
      </c>
      <c r="G33851" s="4" t="s">
        <v>13</v>
      </c>
      <c r="H33851" s="4" t="s">
        <v>11</v>
      </c>
      <c r="I33851" s="4" t="s">
        <v>7</v>
      </c>
    </row>
    <row r="33852" spans="1:9">
      <c r="A33852" t="n">
        <v>329756</v>
      </c>
      <c r="B33852" s="51" t="n">
        <v>45</v>
      </c>
      <c r="C33852" s="7" t="n">
        <v>4</v>
      </c>
      <c r="D33852" s="7" t="n">
        <v>3</v>
      </c>
      <c r="E33852" s="7" t="n">
        <v>4.3899998664856</v>
      </c>
      <c r="F33852" s="7" t="n">
        <v>107.779998779297</v>
      </c>
      <c r="G33852" s="7" t="n">
        <v>0</v>
      </c>
      <c r="H33852" s="7" t="n">
        <v>0</v>
      </c>
      <c r="I33852" s="7" t="n">
        <v>0</v>
      </c>
    </row>
    <row r="33853" spans="1:9">
      <c r="A33853" t="s">
        <v>4</v>
      </c>
      <c r="B33853" s="4" t="s">
        <v>5</v>
      </c>
      <c r="C33853" s="4" t="s">
        <v>7</v>
      </c>
      <c r="D33853" s="4" t="s">
        <v>7</v>
      </c>
      <c r="E33853" s="4" t="s">
        <v>13</v>
      </c>
      <c r="F33853" s="4" t="s">
        <v>11</v>
      </c>
    </row>
    <row r="33854" spans="1:9">
      <c r="A33854" t="n">
        <v>329774</v>
      </c>
      <c r="B33854" s="51" t="n">
        <v>45</v>
      </c>
      <c r="C33854" s="7" t="n">
        <v>5</v>
      </c>
      <c r="D33854" s="7" t="n">
        <v>3</v>
      </c>
      <c r="E33854" s="7" t="n">
        <v>2</v>
      </c>
      <c r="F33854" s="7" t="n">
        <v>0</v>
      </c>
    </row>
    <row r="33855" spans="1:9">
      <c r="A33855" t="s">
        <v>4</v>
      </c>
      <c r="B33855" s="4" t="s">
        <v>5</v>
      </c>
      <c r="C33855" s="4" t="s">
        <v>7</v>
      </c>
      <c r="D33855" s="4" t="s">
        <v>7</v>
      </c>
      <c r="E33855" s="4" t="s">
        <v>13</v>
      </c>
      <c r="F33855" s="4" t="s">
        <v>11</v>
      </c>
    </row>
    <row r="33856" spans="1:9">
      <c r="A33856" t="n">
        <v>329783</v>
      </c>
      <c r="B33856" s="51" t="n">
        <v>45</v>
      </c>
      <c r="C33856" s="7" t="n">
        <v>11</v>
      </c>
      <c r="D33856" s="7" t="n">
        <v>3</v>
      </c>
      <c r="E33856" s="7" t="n">
        <v>33.4000015258789</v>
      </c>
      <c r="F33856" s="7" t="n">
        <v>0</v>
      </c>
    </row>
    <row r="33857" spans="1:9">
      <c r="A33857" t="s">
        <v>4</v>
      </c>
      <c r="B33857" s="4" t="s">
        <v>5</v>
      </c>
      <c r="C33857" s="4" t="s">
        <v>11</v>
      </c>
      <c r="D33857" s="4" t="s">
        <v>15</v>
      </c>
    </row>
    <row r="33858" spans="1:9">
      <c r="A33858" t="n">
        <v>329792</v>
      </c>
      <c r="B33858" s="63" t="n">
        <v>44</v>
      </c>
      <c r="C33858" s="7" t="n">
        <v>2</v>
      </c>
      <c r="D33858" s="7" t="n">
        <v>1</v>
      </c>
    </row>
    <row r="33859" spans="1:9">
      <c r="A33859" t="s">
        <v>4</v>
      </c>
      <c r="B33859" s="4" t="s">
        <v>5</v>
      </c>
      <c r="C33859" s="4" t="s">
        <v>7</v>
      </c>
      <c r="D33859" s="4" t="s">
        <v>11</v>
      </c>
    </row>
    <row r="33860" spans="1:9">
      <c r="A33860" t="n">
        <v>329799</v>
      </c>
      <c r="B33860" s="23" t="n">
        <v>58</v>
      </c>
      <c r="C33860" s="7" t="n">
        <v>255</v>
      </c>
      <c r="D33860" s="7" t="n">
        <v>0</v>
      </c>
    </row>
    <row r="33861" spans="1:9">
      <c r="A33861" t="s">
        <v>4</v>
      </c>
      <c r="B33861" s="4" t="s">
        <v>5</v>
      </c>
      <c r="C33861" s="4" t="s">
        <v>8</v>
      </c>
      <c r="D33861" s="4" t="s">
        <v>8</v>
      </c>
    </row>
    <row r="33862" spans="1:9">
      <c r="A33862" t="n">
        <v>329803</v>
      </c>
      <c r="B33862" s="52" t="n">
        <v>70</v>
      </c>
      <c r="C33862" s="7" t="s">
        <v>279</v>
      </c>
      <c r="D33862" s="7" t="s">
        <v>280</v>
      </c>
    </row>
    <row r="33863" spans="1:9">
      <c r="A33863" t="s">
        <v>4</v>
      </c>
      <c r="B33863" s="4" t="s">
        <v>5</v>
      </c>
      <c r="C33863" s="4" t="s">
        <v>11</v>
      </c>
    </row>
    <row r="33864" spans="1:9">
      <c r="A33864" t="n">
        <v>329820</v>
      </c>
      <c r="B33864" s="29" t="n">
        <v>16</v>
      </c>
      <c r="C33864" s="7" t="n">
        <v>1000</v>
      </c>
    </row>
    <row r="33865" spans="1:9">
      <c r="A33865" t="s">
        <v>4</v>
      </c>
      <c r="B33865" s="4" t="s">
        <v>5</v>
      </c>
      <c r="C33865" s="4" t="s">
        <v>7</v>
      </c>
      <c r="D33865" s="4" t="s">
        <v>11</v>
      </c>
      <c r="E33865" s="4" t="s">
        <v>11</v>
      </c>
      <c r="F33865" s="4" t="s">
        <v>7</v>
      </c>
    </row>
    <row r="33866" spans="1:9">
      <c r="A33866" t="n">
        <v>329823</v>
      </c>
      <c r="B33866" s="31" t="n">
        <v>25</v>
      </c>
      <c r="C33866" s="7" t="n">
        <v>1</v>
      </c>
      <c r="D33866" s="7" t="n">
        <v>100</v>
      </c>
      <c r="E33866" s="7" t="n">
        <v>500</v>
      </c>
      <c r="F33866" s="7" t="n">
        <v>5</v>
      </c>
    </row>
    <row r="33867" spans="1:9">
      <c r="A33867" t="s">
        <v>4</v>
      </c>
      <c r="B33867" s="4" t="s">
        <v>5</v>
      </c>
      <c r="C33867" s="4" t="s">
        <v>8</v>
      </c>
      <c r="D33867" s="4" t="s">
        <v>11</v>
      </c>
    </row>
    <row r="33868" spans="1:9">
      <c r="A33868" t="n">
        <v>329830</v>
      </c>
      <c r="B33868" s="67" t="n">
        <v>29</v>
      </c>
      <c r="C33868" s="7" t="s">
        <v>281</v>
      </c>
      <c r="D33868" s="7" t="n">
        <v>65533</v>
      </c>
    </row>
    <row r="33869" spans="1:9">
      <c r="A33869" t="s">
        <v>4</v>
      </c>
      <c r="B33869" s="4" t="s">
        <v>5</v>
      </c>
      <c r="C33869" s="4" t="s">
        <v>7</v>
      </c>
      <c r="D33869" s="4" t="s">
        <v>11</v>
      </c>
      <c r="E33869" s="4" t="s">
        <v>8</v>
      </c>
    </row>
    <row r="33870" spans="1:9">
      <c r="A33870" t="n">
        <v>329839</v>
      </c>
      <c r="B33870" s="38" t="n">
        <v>51</v>
      </c>
      <c r="C33870" s="7" t="n">
        <v>4</v>
      </c>
      <c r="D33870" s="7" t="n">
        <v>2</v>
      </c>
      <c r="E33870" s="7" t="s">
        <v>137</v>
      </c>
    </row>
    <row r="33871" spans="1:9">
      <c r="A33871" t="s">
        <v>4</v>
      </c>
      <c r="B33871" s="4" t="s">
        <v>5</v>
      </c>
      <c r="C33871" s="4" t="s">
        <v>11</v>
      </c>
    </row>
    <row r="33872" spans="1:9">
      <c r="A33872" t="n">
        <v>329852</v>
      </c>
      <c r="B33872" s="29" t="n">
        <v>16</v>
      </c>
      <c r="C33872" s="7" t="n">
        <v>0</v>
      </c>
    </row>
    <row r="33873" spans="1:6">
      <c r="A33873" t="s">
        <v>4</v>
      </c>
      <c r="B33873" s="4" t="s">
        <v>5</v>
      </c>
      <c r="C33873" s="4" t="s">
        <v>11</v>
      </c>
      <c r="D33873" s="4" t="s">
        <v>7</v>
      </c>
      <c r="E33873" s="4" t="s">
        <v>15</v>
      </c>
      <c r="F33873" s="4" t="s">
        <v>55</v>
      </c>
      <c r="G33873" s="4" t="s">
        <v>7</v>
      </c>
      <c r="H33873" s="4" t="s">
        <v>7</v>
      </c>
    </row>
    <row r="33874" spans="1:6">
      <c r="A33874" t="n">
        <v>329855</v>
      </c>
      <c r="B33874" s="55" t="n">
        <v>26</v>
      </c>
      <c r="C33874" s="7" t="n">
        <v>2</v>
      </c>
      <c r="D33874" s="7" t="n">
        <v>17</v>
      </c>
      <c r="E33874" s="7" t="n">
        <v>64095</v>
      </c>
      <c r="F33874" s="7" t="s">
        <v>924</v>
      </c>
      <c r="G33874" s="7" t="n">
        <v>2</v>
      </c>
      <c r="H33874" s="7" t="n">
        <v>0</v>
      </c>
    </row>
    <row r="33875" spans="1:6">
      <c r="A33875" t="s">
        <v>4</v>
      </c>
      <c r="B33875" s="4" t="s">
        <v>5</v>
      </c>
    </row>
    <row r="33876" spans="1:6">
      <c r="A33876" t="n">
        <v>329914</v>
      </c>
      <c r="B33876" s="27" t="n">
        <v>28</v>
      </c>
    </row>
    <row r="33877" spans="1:6">
      <c r="A33877" t="s">
        <v>4</v>
      </c>
      <c r="B33877" s="4" t="s">
        <v>5</v>
      </c>
      <c r="C33877" s="4" t="s">
        <v>11</v>
      </c>
      <c r="D33877" s="4" t="s">
        <v>7</v>
      </c>
    </row>
    <row r="33878" spans="1:6">
      <c r="A33878" t="n">
        <v>329915</v>
      </c>
      <c r="B33878" s="68" t="n">
        <v>89</v>
      </c>
      <c r="C33878" s="7" t="n">
        <v>65533</v>
      </c>
      <c r="D33878" s="7" t="n">
        <v>1</v>
      </c>
    </row>
    <row r="33879" spans="1:6">
      <c r="A33879" t="s">
        <v>4</v>
      </c>
      <c r="B33879" s="4" t="s">
        <v>5</v>
      </c>
      <c r="C33879" s="4" t="s">
        <v>7</v>
      </c>
      <c r="D33879" s="4" t="s">
        <v>11</v>
      </c>
      <c r="E33879" s="4" t="s">
        <v>11</v>
      </c>
      <c r="F33879" s="4" t="s">
        <v>7</v>
      </c>
    </row>
    <row r="33880" spans="1:6">
      <c r="A33880" t="n">
        <v>329919</v>
      </c>
      <c r="B33880" s="31" t="n">
        <v>25</v>
      </c>
      <c r="C33880" s="7" t="n">
        <v>1</v>
      </c>
      <c r="D33880" s="7" t="n">
        <v>65535</v>
      </c>
      <c r="E33880" s="7" t="n">
        <v>65535</v>
      </c>
      <c r="F33880" s="7" t="n">
        <v>0</v>
      </c>
    </row>
    <row r="33881" spans="1:6">
      <c r="A33881" t="s">
        <v>4</v>
      </c>
      <c r="B33881" s="4" t="s">
        <v>5</v>
      </c>
      <c r="C33881" s="4" t="s">
        <v>8</v>
      </c>
      <c r="D33881" s="4" t="s">
        <v>11</v>
      </c>
    </row>
    <row r="33882" spans="1:6">
      <c r="A33882" t="n">
        <v>329926</v>
      </c>
      <c r="B33882" s="67" t="n">
        <v>29</v>
      </c>
      <c r="C33882" s="7" t="s">
        <v>16</v>
      </c>
      <c r="D33882" s="7" t="n">
        <v>65533</v>
      </c>
    </row>
    <row r="33883" spans="1:6">
      <c r="A33883" t="s">
        <v>4</v>
      </c>
      <c r="B33883" s="4" t="s">
        <v>5</v>
      </c>
      <c r="C33883" s="4" t="s">
        <v>11</v>
      </c>
      <c r="D33883" s="4" t="s">
        <v>7</v>
      </c>
      <c r="E33883" s="4" t="s">
        <v>13</v>
      </c>
      <c r="F33883" s="4" t="s">
        <v>11</v>
      </c>
    </row>
    <row r="33884" spans="1:6">
      <c r="A33884" t="n">
        <v>329930</v>
      </c>
      <c r="B33884" s="56" t="n">
        <v>59</v>
      </c>
      <c r="C33884" s="7" t="n">
        <v>0</v>
      </c>
      <c r="D33884" s="7" t="n">
        <v>13</v>
      </c>
      <c r="E33884" s="7" t="n">
        <v>0.150000005960464</v>
      </c>
      <c r="F33884" s="7" t="n">
        <v>0</v>
      </c>
    </row>
    <row r="33885" spans="1:6">
      <c r="A33885" t="s">
        <v>4</v>
      </c>
      <c r="B33885" s="4" t="s">
        <v>5</v>
      </c>
      <c r="C33885" s="4" t="s">
        <v>11</v>
      </c>
    </row>
    <row r="33886" spans="1:6">
      <c r="A33886" t="n">
        <v>329940</v>
      </c>
      <c r="B33886" s="29" t="n">
        <v>16</v>
      </c>
      <c r="C33886" s="7" t="n">
        <v>1000</v>
      </c>
    </row>
    <row r="33887" spans="1:6">
      <c r="A33887" t="s">
        <v>4</v>
      </c>
      <c r="B33887" s="4" t="s">
        <v>5</v>
      </c>
      <c r="C33887" s="4" t="s">
        <v>11</v>
      </c>
      <c r="D33887" s="4" t="s">
        <v>13</v>
      </c>
      <c r="E33887" s="4" t="s">
        <v>13</v>
      </c>
      <c r="F33887" s="4" t="s">
        <v>13</v>
      </c>
      <c r="G33887" s="4" t="s">
        <v>11</v>
      </c>
      <c r="H33887" s="4" t="s">
        <v>11</v>
      </c>
    </row>
    <row r="33888" spans="1:6">
      <c r="A33888" t="n">
        <v>329943</v>
      </c>
      <c r="B33888" s="37" t="n">
        <v>60</v>
      </c>
      <c r="C33888" s="7" t="n">
        <v>0</v>
      </c>
      <c r="D33888" s="7" t="n">
        <v>0</v>
      </c>
      <c r="E33888" s="7" t="n">
        <v>0</v>
      </c>
      <c r="F33888" s="7" t="n">
        <v>0</v>
      </c>
      <c r="G33888" s="7" t="n">
        <v>1000</v>
      </c>
      <c r="H33888" s="7" t="n">
        <v>0</v>
      </c>
    </row>
    <row r="33889" spans="1:8">
      <c r="A33889" t="s">
        <v>4</v>
      </c>
      <c r="B33889" s="4" t="s">
        <v>5</v>
      </c>
      <c r="C33889" s="4" t="s">
        <v>11</v>
      </c>
      <c r="D33889" s="4" t="s">
        <v>11</v>
      </c>
      <c r="E33889" s="4" t="s">
        <v>11</v>
      </c>
    </row>
    <row r="33890" spans="1:8">
      <c r="A33890" t="n">
        <v>329962</v>
      </c>
      <c r="B33890" s="72" t="n">
        <v>61</v>
      </c>
      <c r="C33890" s="7" t="n">
        <v>0</v>
      </c>
      <c r="D33890" s="7" t="n">
        <v>2</v>
      </c>
      <c r="E33890" s="7" t="n">
        <v>1000</v>
      </c>
    </row>
    <row r="33891" spans="1:8">
      <c r="A33891" t="s">
        <v>4</v>
      </c>
      <c r="B33891" s="4" t="s">
        <v>5</v>
      </c>
      <c r="C33891" s="4" t="s">
        <v>11</v>
      </c>
      <c r="D33891" s="4" t="s">
        <v>11</v>
      </c>
      <c r="E33891" s="4" t="s">
        <v>11</v>
      </c>
    </row>
    <row r="33892" spans="1:8">
      <c r="A33892" t="n">
        <v>329969</v>
      </c>
      <c r="B33892" s="72" t="n">
        <v>61</v>
      </c>
      <c r="C33892" s="7" t="n">
        <v>2</v>
      </c>
      <c r="D33892" s="7" t="n">
        <v>0</v>
      </c>
      <c r="E33892" s="7" t="n">
        <v>1000</v>
      </c>
    </row>
    <row r="33893" spans="1:8">
      <c r="A33893" t="s">
        <v>4</v>
      </c>
      <c r="B33893" s="4" t="s">
        <v>5</v>
      </c>
      <c r="C33893" s="4" t="s">
        <v>11</v>
      </c>
      <c r="D33893" s="4" t="s">
        <v>13</v>
      </c>
      <c r="E33893" s="4" t="s">
        <v>13</v>
      </c>
      <c r="F33893" s="4" t="s">
        <v>7</v>
      </c>
    </row>
    <row r="33894" spans="1:8">
      <c r="A33894" t="n">
        <v>329976</v>
      </c>
      <c r="B33894" s="65" t="n">
        <v>52</v>
      </c>
      <c r="C33894" s="7" t="n">
        <v>0</v>
      </c>
      <c r="D33894" s="7" t="n">
        <v>332.399993896484</v>
      </c>
      <c r="E33894" s="7" t="n">
        <v>5</v>
      </c>
      <c r="F33894" s="7" t="n">
        <v>0</v>
      </c>
    </row>
    <row r="33895" spans="1:8">
      <c r="A33895" t="s">
        <v>4</v>
      </c>
      <c r="B33895" s="4" t="s">
        <v>5</v>
      </c>
      <c r="C33895" s="4" t="s">
        <v>11</v>
      </c>
    </row>
    <row r="33896" spans="1:8">
      <c r="A33896" t="n">
        <v>329988</v>
      </c>
      <c r="B33896" s="66" t="n">
        <v>54</v>
      </c>
      <c r="C33896" s="7" t="n">
        <v>0</v>
      </c>
    </row>
    <row r="33897" spans="1:8">
      <c r="A33897" t="s">
        <v>4</v>
      </c>
      <c r="B33897" s="4" t="s">
        <v>5</v>
      </c>
      <c r="C33897" s="4" t="s">
        <v>7</v>
      </c>
      <c r="D33897" s="4" t="s">
        <v>11</v>
      </c>
      <c r="E33897" s="4" t="s">
        <v>13</v>
      </c>
    </row>
    <row r="33898" spans="1:8">
      <c r="A33898" t="n">
        <v>329991</v>
      </c>
      <c r="B33898" s="23" t="n">
        <v>58</v>
      </c>
      <c r="C33898" s="7" t="n">
        <v>101</v>
      </c>
      <c r="D33898" s="7" t="n">
        <v>500</v>
      </c>
      <c r="E33898" s="7" t="n">
        <v>1</v>
      </c>
    </row>
    <row r="33899" spans="1:8">
      <c r="A33899" t="s">
        <v>4</v>
      </c>
      <c r="B33899" s="4" t="s">
        <v>5</v>
      </c>
      <c r="C33899" s="4" t="s">
        <v>7</v>
      </c>
      <c r="D33899" s="4" t="s">
        <v>11</v>
      </c>
    </row>
    <row r="33900" spans="1:8">
      <c r="A33900" t="n">
        <v>329999</v>
      </c>
      <c r="B33900" s="23" t="n">
        <v>58</v>
      </c>
      <c r="C33900" s="7" t="n">
        <v>254</v>
      </c>
      <c r="D33900" s="7" t="n">
        <v>0</v>
      </c>
    </row>
    <row r="33901" spans="1:8">
      <c r="A33901" t="s">
        <v>4</v>
      </c>
      <c r="B33901" s="4" t="s">
        <v>5</v>
      </c>
      <c r="C33901" s="4" t="s">
        <v>7</v>
      </c>
      <c r="D33901" s="4" t="s">
        <v>7</v>
      </c>
      <c r="E33901" s="4" t="s">
        <v>13</v>
      </c>
      <c r="F33901" s="4" t="s">
        <v>13</v>
      </c>
      <c r="G33901" s="4" t="s">
        <v>13</v>
      </c>
      <c r="H33901" s="4" t="s">
        <v>11</v>
      </c>
    </row>
    <row r="33902" spans="1:8">
      <c r="A33902" t="n">
        <v>330003</v>
      </c>
      <c r="B33902" s="51" t="n">
        <v>45</v>
      </c>
      <c r="C33902" s="7" t="n">
        <v>2</v>
      </c>
      <c r="D33902" s="7" t="n">
        <v>3</v>
      </c>
      <c r="E33902" s="7" t="n">
        <v>4.92999982833862</v>
      </c>
      <c r="F33902" s="7" t="n">
        <v>1.46000003814697</v>
      </c>
      <c r="G33902" s="7" t="n">
        <v>45.6699981689453</v>
      </c>
      <c r="H33902" s="7" t="n">
        <v>0</v>
      </c>
    </row>
    <row r="33903" spans="1:8">
      <c r="A33903" t="s">
        <v>4</v>
      </c>
      <c r="B33903" s="4" t="s">
        <v>5</v>
      </c>
      <c r="C33903" s="4" t="s">
        <v>7</v>
      </c>
      <c r="D33903" s="4" t="s">
        <v>7</v>
      </c>
      <c r="E33903" s="4" t="s">
        <v>13</v>
      </c>
      <c r="F33903" s="4" t="s">
        <v>13</v>
      </c>
      <c r="G33903" s="4" t="s">
        <v>13</v>
      </c>
      <c r="H33903" s="4" t="s">
        <v>11</v>
      </c>
      <c r="I33903" s="4" t="s">
        <v>7</v>
      </c>
    </row>
    <row r="33904" spans="1:8">
      <c r="A33904" t="n">
        <v>330020</v>
      </c>
      <c r="B33904" s="51" t="n">
        <v>45</v>
      </c>
      <c r="C33904" s="7" t="n">
        <v>4</v>
      </c>
      <c r="D33904" s="7" t="n">
        <v>3</v>
      </c>
      <c r="E33904" s="7" t="n">
        <v>5.69000005722046</v>
      </c>
      <c r="F33904" s="7" t="n">
        <v>260.239990234375</v>
      </c>
      <c r="G33904" s="7" t="n">
        <v>0</v>
      </c>
      <c r="H33904" s="7" t="n">
        <v>0</v>
      </c>
      <c r="I33904" s="7" t="n">
        <v>0</v>
      </c>
    </row>
    <row r="33905" spans="1:9">
      <c r="A33905" t="s">
        <v>4</v>
      </c>
      <c r="B33905" s="4" t="s">
        <v>5</v>
      </c>
      <c r="C33905" s="4" t="s">
        <v>7</v>
      </c>
      <c r="D33905" s="4" t="s">
        <v>7</v>
      </c>
      <c r="E33905" s="4" t="s">
        <v>13</v>
      </c>
      <c r="F33905" s="4" t="s">
        <v>11</v>
      </c>
    </row>
    <row r="33906" spans="1:9">
      <c r="A33906" t="n">
        <v>330038</v>
      </c>
      <c r="B33906" s="51" t="n">
        <v>45</v>
      </c>
      <c r="C33906" s="7" t="n">
        <v>5</v>
      </c>
      <c r="D33906" s="7" t="n">
        <v>3</v>
      </c>
      <c r="E33906" s="7" t="n">
        <v>1.70000004768372</v>
      </c>
      <c r="F33906" s="7" t="n">
        <v>0</v>
      </c>
    </row>
    <row r="33907" spans="1:9">
      <c r="A33907" t="s">
        <v>4</v>
      </c>
      <c r="B33907" s="4" t="s">
        <v>5</v>
      </c>
      <c r="C33907" s="4" t="s">
        <v>7</v>
      </c>
      <c r="D33907" s="4" t="s">
        <v>7</v>
      </c>
      <c r="E33907" s="4" t="s">
        <v>13</v>
      </c>
      <c r="F33907" s="4" t="s">
        <v>11</v>
      </c>
    </row>
    <row r="33908" spans="1:9">
      <c r="A33908" t="n">
        <v>330047</v>
      </c>
      <c r="B33908" s="51" t="n">
        <v>45</v>
      </c>
      <c r="C33908" s="7" t="n">
        <v>11</v>
      </c>
      <c r="D33908" s="7" t="n">
        <v>3</v>
      </c>
      <c r="E33908" s="7" t="n">
        <v>34</v>
      </c>
      <c r="F33908" s="7" t="n">
        <v>0</v>
      </c>
    </row>
    <row r="33909" spans="1:9">
      <c r="A33909" t="s">
        <v>4</v>
      </c>
      <c r="B33909" s="4" t="s">
        <v>5</v>
      </c>
      <c r="C33909" s="4" t="s">
        <v>7</v>
      </c>
      <c r="D33909" s="4" t="s">
        <v>7</v>
      </c>
      <c r="E33909" s="4" t="s">
        <v>13</v>
      </c>
      <c r="F33909" s="4" t="s">
        <v>13</v>
      </c>
      <c r="G33909" s="4" t="s">
        <v>13</v>
      </c>
      <c r="H33909" s="4" t="s">
        <v>11</v>
      </c>
    </row>
    <row r="33910" spans="1:9">
      <c r="A33910" t="n">
        <v>330056</v>
      </c>
      <c r="B33910" s="51" t="n">
        <v>45</v>
      </c>
      <c r="C33910" s="7" t="n">
        <v>2</v>
      </c>
      <c r="D33910" s="7" t="n">
        <v>3</v>
      </c>
      <c r="E33910" s="7" t="n">
        <v>4.84999990463257</v>
      </c>
      <c r="F33910" s="7" t="n">
        <v>1.4099999666214</v>
      </c>
      <c r="G33910" s="7" t="n">
        <v>45.7999992370605</v>
      </c>
      <c r="H33910" s="7" t="n">
        <v>5500</v>
      </c>
    </row>
    <row r="33911" spans="1:9">
      <c r="A33911" t="s">
        <v>4</v>
      </c>
      <c r="B33911" s="4" t="s">
        <v>5</v>
      </c>
      <c r="C33911" s="4" t="s">
        <v>7</v>
      </c>
      <c r="D33911" s="4" t="s">
        <v>7</v>
      </c>
      <c r="E33911" s="4" t="s">
        <v>13</v>
      </c>
      <c r="F33911" s="4" t="s">
        <v>13</v>
      </c>
      <c r="G33911" s="4" t="s">
        <v>13</v>
      </c>
      <c r="H33911" s="4" t="s">
        <v>11</v>
      </c>
      <c r="I33911" s="4" t="s">
        <v>7</v>
      </c>
    </row>
    <row r="33912" spans="1:9">
      <c r="A33912" t="n">
        <v>330073</v>
      </c>
      <c r="B33912" s="51" t="n">
        <v>45</v>
      </c>
      <c r="C33912" s="7" t="n">
        <v>4</v>
      </c>
      <c r="D33912" s="7" t="n">
        <v>3</v>
      </c>
      <c r="E33912" s="7" t="n">
        <v>5.46999979019165</v>
      </c>
      <c r="F33912" s="7" t="n">
        <v>232.490005493164</v>
      </c>
      <c r="G33912" s="7" t="n">
        <v>0</v>
      </c>
      <c r="H33912" s="7" t="n">
        <v>5500</v>
      </c>
      <c r="I33912" s="7" t="n">
        <v>0</v>
      </c>
    </row>
    <row r="33913" spans="1:9">
      <c r="A33913" t="s">
        <v>4</v>
      </c>
      <c r="B33913" s="4" t="s">
        <v>5</v>
      </c>
      <c r="C33913" s="4" t="s">
        <v>11</v>
      </c>
      <c r="D33913" s="4" t="s">
        <v>7</v>
      </c>
      <c r="E33913" s="4" t="s">
        <v>7</v>
      </c>
      <c r="F33913" s="4" t="s">
        <v>8</v>
      </c>
    </row>
    <row r="33914" spans="1:9">
      <c r="A33914" t="n">
        <v>330091</v>
      </c>
      <c r="B33914" s="50" t="n">
        <v>20</v>
      </c>
      <c r="C33914" s="7" t="n">
        <v>2</v>
      </c>
      <c r="D33914" s="7" t="n">
        <v>2</v>
      </c>
      <c r="E33914" s="7" t="n">
        <v>11</v>
      </c>
      <c r="F33914" s="7" t="s">
        <v>283</v>
      </c>
    </row>
    <row r="33915" spans="1:9">
      <c r="A33915" t="s">
        <v>4</v>
      </c>
      <c r="B33915" s="4" t="s">
        <v>5</v>
      </c>
      <c r="C33915" s="4" t="s">
        <v>7</v>
      </c>
    </row>
    <row r="33916" spans="1:9">
      <c r="A33916" t="n">
        <v>330118</v>
      </c>
      <c r="B33916" s="49" t="n">
        <v>116</v>
      </c>
      <c r="C33916" s="7" t="n">
        <v>0</v>
      </c>
    </row>
    <row r="33917" spans="1:9">
      <c r="A33917" t="s">
        <v>4</v>
      </c>
      <c r="B33917" s="4" t="s">
        <v>5</v>
      </c>
      <c r="C33917" s="4" t="s">
        <v>7</v>
      </c>
      <c r="D33917" s="4" t="s">
        <v>11</v>
      </c>
    </row>
    <row r="33918" spans="1:9">
      <c r="A33918" t="n">
        <v>330120</v>
      </c>
      <c r="B33918" s="49" t="n">
        <v>116</v>
      </c>
      <c r="C33918" s="7" t="n">
        <v>2</v>
      </c>
      <c r="D33918" s="7" t="n">
        <v>1</v>
      </c>
    </row>
    <row r="33919" spans="1:9">
      <c r="A33919" t="s">
        <v>4</v>
      </c>
      <c r="B33919" s="4" t="s">
        <v>5</v>
      </c>
      <c r="C33919" s="4" t="s">
        <v>7</v>
      </c>
      <c r="D33919" s="4" t="s">
        <v>15</v>
      </c>
    </row>
    <row r="33920" spans="1:9">
      <c r="A33920" t="n">
        <v>330124</v>
      </c>
      <c r="B33920" s="49" t="n">
        <v>116</v>
      </c>
      <c r="C33920" s="7" t="n">
        <v>5</v>
      </c>
      <c r="D33920" s="7" t="n">
        <v>1084227584</v>
      </c>
    </row>
    <row r="33921" spans="1:9">
      <c r="A33921" t="s">
        <v>4</v>
      </c>
      <c r="B33921" s="4" t="s">
        <v>5</v>
      </c>
      <c r="C33921" s="4" t="s">
        <v>7</v>
      </c>
      <c r="D33921" s="4" t="s">
        <v>11</v>
      </c>
    </row>
    <row r="33922" spans="1:9">
      <c r="A33922" t="n">
        <v>330130</v>
      </c>
      <c r="B33922" s="49" t="n">
        <v>116</v>
      </c>
      <c r="C33922" s="7" t="n">
        <v>6</v>
      </c>
      <c r="D33922" s="7" t="n">
        <v>1</v>
      </c>
    </row>
    <row r="33923" spans="1:9">
      <c r="A33923" t="s">
        <v>4</v>
      </c>
      <c r="B33923" s="4" t="s">
        <v>5</v>
      </c>
      <c r="C33923" s="4" t="s">
        <v>7</v>
      </c>
      <c r="D33923" s="4" t="s">
        <v>11</v>
      </c>
    </row>
    <row r="33924" spans="1:9">
      <c r="A33924" t="n">
        <v>330134</v>
      </c>
      <c r="B33924" s="23" t="n">
        <v>58</v>
      </c>
      <c r="C33924" s="7" t="n">
        <v>255</v>
      </c>
      <c r="D33924" s="7" t="n">
        <v>0</v>
      </c>
    </row>
    <row r="33925" spans="1:9">
      <c r="A33925" t="s">
        <v>4</v>
      </c>
      <c r="B33925" s="4" t="s">
        <v>5</v>
      </c>
      <c r="C33925" s="4" t="s">
        <v>11</v>
      </c>
    </row>
    <row r="33926" spans="1:9">
      <c r="A33926" t="n">
        <v>330138</v>
      </c>
      <c r="B33926" s="29" t="n">
        <v>16</v>
      </c>
      <c r="C33926" s="7" t="n">
        <v>800</v>
      </c>
    </row>
    <row r="33927" spans="1:9">
      <c r="A33927" t="s">
        <v>4</v>
      </c>
      <c r="B33927" s="4" t="s">
        <v>5</v>
      </c>
      <c r="C33927" s="4" t="s">
        <v>8</v>
      </c>
      <c r="D33927" s="4" t="s">
        <v>8</v>
      </c>
    </row>
    <row r="33928" spans="1:9">
      <c r="A33928" t="n">
        <v>330141</v>
      </c>
      <c r="B33928" s="52" t="n">
        <v>70</v>
      </c>
      <c r="C33928" s="7" t="s">
        <v>279</v>
      </c>
      <c r="D33928" s="7" t="s">
        <v>284</v>
      </c>
    </row>
    <row r="33929" spans="1:9">
      <c r="A33929" t="s">
        <v>4</v>
      </c>
      <c r="B33929" s="4" t="s">
        <v>5</v>
      </c>
      <c r="C33929" s="4" t="s">
        <v>7</v>
      </c>
      <c r="D33929" s="4" t="s">
        <v>11</v>
      </c>
    </row>
    <row r="33930" spans="1:9">
      <c r="A33930" t="n">
        <v>330159</v>
      </c>
      <c r="B33930" s="51" t="n">
        <v>45</v>
      </c>
      <c r="C33930" s="7" t="n">
        <v>7</v>
      </c>
      <c r="D33930" s="7" t="n">
        <v>255</v>
      </c>
    </row>
    <row r="33931" spans="1:9">
      <c r="A33931" t="s">
        <v>4</v>
      </c>
      <c r="B33931" s="4" t="s">
        <v>5</v>
      </c>
      <c r="C33931" s="4" t="s">
        <v>7</v>
      </c>
      <c r="D33931" s="4" t="s">
        <v>11</v>
      </c>
      <c r="E33931" s="4" t="s">
        <v>8</v>
      </c>
    </row>
    <row r="33932" spans="1:9">
      <c r="A33932" t="n">
        <v>330163</v>
      </c>
      <c r="B33932" s="38" t="n">
        <v>51</v>
      </c>
      <c r="C33932" s="7" t="n">
        <v>4</v>
      </c>
      <c r="D33932" s="7" t="n">
        <v>0</v>
      </c>
      <c r="E33932" s="7" t="s">
        <v>179</v>
      </c>
    </row>
    <row r="33933" spans="1:9">
      <c r="A33933" t="s">
        <v>4</v>
      </c>
      <c r="B33933" s="4" t="s">
        <v>5</v>
      </c>
      <c r="C33933" s="4" t="s">
        <v>11</v>
      </c>
    </row>
    <row r="33934" spans="1:9">
      <c r="A33934" t="n">
        <v>330177</v>
      </c>
      <c r="B33934" s="29" t="n">
        <v>16</v>
      </c>
      <c r="C33934" s="7" t="n">
        <v>0</v>
      </c>
    </row>
    <row r="33935" spans="1:9">
      <c r="A33935" t="s">
        <v>4</v>
      </c>
      <c r="B33935" s="4" t="s">
        <v>5</v>
      </c>
      <c r="C33935" s="4" t="s">
        <v>11</v>
      </c>
      <c r="D33935" s="4" t="s">
        <v>7</v>
      </c>
      <c r="E33935" s="4" t="s">
        <v>15</v>
      </c>
      <c r="F33935" s="4" t="s">
        <v>55</v>
      </c>
      <c r="G33935" s="4" t="s">
        <v>7</v>
      </c>
      <c r="H33935" s="4" t="s">
        <v>7</v>
      </c>
      <c r="I33935" s="4" t="s">
        <v>7</v>
      </c>
      <c r="J33935" s="4" t="s">
        <v>15</v>
      </c>
      <c r="K33935" s="4" t="s">
        <v>55</v>
      </c>
      <c r="L33935" s="4" t="s">
        <v>7</v>
      </c>
      <c r="M33935" s="4" t="s">
        <v>7</v>
      </c>
    </row>
    <row r="33936" spans="1:9">
      <c r="A33936" t="n">
        <v>330180</v>
      </c>
      <c r="B33936" s="55" t="n">
        <v>26</v>
      </c>
      <c r="C33936" s="7" t="n">
        <v>0</v>
      </c>
      <c r="D33936" s="7" t="n">
        <v>17</v>
      </c>
      <c r="E33936" s="7" t="n">
        <v>64096</v>
      </c>
      <c r="F33936" s="7" t="s">
        <v>925</v>
      </c>
      <c r="G33936" s="7" t="n">
        <v>2</v>
      </c>
      <c r="H33936" s="7" t="n">
        <v>3</v>
      </c>
      <c r="I33936" s="7" t="n">
        <v>17</v>
      </c>
      <c r="J33936" s="7" t="n">
        <v>64097</v>
      </c>
      <c r="K33936" s="7" t="s">
        <v>926</v>
      </c>
      <c r="L33936" s="7" t="n">
        <v>2</v>
      </c>
      <c r="M33936" s="7" t="n">
        <v>0</v>
      </c>
    </row>
    <row r="33937" spans="1:13">
      <c r="A33937" t="s">
        <v>4</v>
      </c>
      <c r="B33937" s="4" t="s">
        <v>5</v>
      </c>
    </row>
    <row r="33938" spans="1:13">
      <c r="A33938" t="n">
        <v>330324</v>
      </c>
      <c r="B33938" s="27" t="n">
        <v>28</v>
      </c>
    </row>
    <row r="33939" spans="1:13">
      <c r="A33939" t="s">
        <v>4</v>
      </c>
      <c r="B33939" s="4" t="s">
        <v>5</v>
      </c>
      <c r="C33939" s="4" t="s">
        <v>7</v>
      </c>
      <c r="D33939" s="4" t="s">
        <v>11</v>
      </c>
      <c r="E33939" s="4" t="s">
        <v>13</v>
      </c>
    </row>
    <row r="33940" spans="1:13">
      <c r="A33940" t="n">
        <v>330325</v>
      </c>
      <c r="B33940" s="23" t="n">
        <v>58</v>
      </c>
      <c r="C33940" s="7" t="n">
        <v>101</v>
      </c>
      <c r="D33940" s="7" t="n">
        <v>500</v>
      </c>
      <c r="E33940" s="7" t="n">
        <v>1</v>
      </c>
    </row>
    <row r="33941" spans="1:13">
      <c r="A33941" t="s">
        <v>4</v>
      </c>
      <c r="B33941" s="4" t="s">
        <v>5</v>
      </c>
      <c r="C33941" s="4" t="s">
        <v>7</v>
      </c>
      <c r="D33941" s="4" t="s">
        <v>11</v>
      </c>
    </row>
    <row r="33942" spans="1:13">
      <c r="A33942" t="n">
        <v>330333</v>
      </c>
      <c r="B33942" s="23" t="n">
        <v>58</v>
      </c>
      <c r="C33942" s="7" t="n">
        <v>254</v>
      </c>
      <c r="D33942" s="7" t="n">
        <v>0</v>
      </c>
    </row>
    <row r="33943" spans="1:13">
      <c r="A33943" t="s">
        <v>4</v>
      </c>
      <c r="B33943" s="4" t="s">
        <v>5</v>
      </c>
      <c r="C33943" s="4" t="s">
        <v>7</v>
      </c>
      <c r="D33943" s="4" t="s">
        <v>7</v>
      </c>
      <c r="E33943" s="4" t="s">
        <v>13</v>
      </c>
      <c r="F33943" s="4" t="s">
        <v>13</v>
      </c>
      <c r="G33943" s="4" t="s">
        <v>13</v>
      </c>
      <c r="H33943" s="4" t="s">
        <v>11</v>
      </c>
    </row>
    <row r="33944" spans="1:13">
      <c r="A33944" t="n">
        <v>330337</v>
      </c>
      <c r="B33944" s="51" t="n">
        <v>45</v>
      </c>
      <c r="C33944" s="7" t="n">
        <v>2</v>
      </c>
      <c r="D33944" s="7" t="n">
        <v>3</v>
      </c>
      <c r="E33944" s="7" t="n">
        <v>4.96999979019165</v>
      </c>
      <c r="F33944" s="7" t="n">
        <v>1.41999995708466</v>
      </c>
      <c r="G33944" s="7" t="n">
        <v>46.3800010681152</v>
      </c>
      <c r="H33944" s="7" t="n">
        <v>0</v>
      </c>
    </row>
    <row r="33945" spans="1:13">
      <c r="A33945" t="s">
        <v>4</v>
      </c>
      <c r="B33945" s="4" t="s">
        <v>5</v>
      </c>
      <c r="C33945" s="4" t="s">
        <v>7</v>
      </c>
      <c r="D33945" s="4" t="s">
        <v>7</v>
      </c>
      <c r="E33945" s="4" t="s">
        <v>13</v>
      </c>
      <c r="F33945" s="4" t="s">
        <v>13</v>
      </c>
      <c r="G33945" s="4" t="s">
        <v>13</v>
      </c>
      <c r="H33945" s="4" t="s">
        <v>11</v>
      </c>
      <c r="I33945" s="4" t="s">
        <v>7</v>
      </c>
    </row>
    <row r="33946" spans="1:13">
      <c r="A33946" t="n">
        <v>330354</v>
      </c>
      <c r="B33946" s="51" t="n">
        <v>45</v>
      </c>
      <c r="C33946" s="7" t="n">
        <v>4</v>
      </c>
      <c r="D33946" s="7" t="n">
        <v>3</v>
      </c>
      <c r="E33946" s="7" t="n">
        <v>8.30000019073486</v>
      </c>
      <c r="F33946" s="7" t="n">
        <v>213.210006713867</v>
      </c>
      <c r="G33946" s="7" t="n">
        <v>0</v>
      </c>
      <c r="H33946" s="7" t="n">
        <v>0</v>
      </c>
      <c r="I33946" s="7" t="n">
        <v>0</v>
      </c>
    </row>
    <row r="33947" spans="1:13">
      <c r="A33947" t="s">
        <v>4</v>
      </c>
      <c r="B33947" s="4" t="s">
        <v>5</v>
      </c>
      <c r="C33947" s="4" t="s">
        <v>7</v>
      </c>
      <c r="D33947" s="4" t="s">
        <v>7</v>
      </c>
      <c r="E33947" s="4" t="s">
        <v>13</v>
      </c>
      <c r="F33947" s="4" t="s">
        <v>11</v>
      </c>
    </row>
    <row r="33948" spans="1:13">
      <c r="A33948" t="n">
        <v>330372</v>
      </c>
      <c r="B33948" s="51" t="n">
        <v>45</v>
      </c>
      <c r="C33948" s="7" t="n">
        <v>5</v>
      </c>
      <c r="D33948" s="7" t="n">
        <v>3</v>
      </c>
      <c r="E33948" s="7" t="n">
        <v>1</v>
      </c>
      <c r="F33948" s="7" t="n">
        <v>0</v>
      </c>
    </row>
    <row r="33949" spans="1:13">
      <c r="A33949" t="s">
        <v>4</v>
      </c>
      <c r="B33949" s="4" t="s">
        <v>5</v>
      </c>
      <c r="C33949" s="4" t="s">
        <v>7</v>
      </c>
      <c r="D33949" s="4" t="s">
        <v>7</v>
      </c>
      <c r="E33949" s="4" t="s">
        <v>13</v>
      </c>
      <c r="F33949" s="4" t="s">
        <v>11</v>
      </c>
    </row>
    <row r="33950" spans="1:13">
      <c r="A33950" t="n">
        <v>330381</v>
      </c>
      <c r="B33950" s="51" t="n">
        <v>45</v>
      </c>
      <c r="C33950" s="7" t="n">
        <v>11</v>
      </c>
      <c r="D33950" s="7" t="n">
        <v>3</v>
      </c>
      <c r="E33950" s="7" t="n">
        <v>34</v>
      </c>
      <c r="F33950" s="7" t="n">
        <v>0</v>
      </c>
    </row>
    <row r="33951" spans="1:13">
      <c r="A33951" t="s">
        <v>4</v>
      </c>
      <c r="B33951" s="4" t="s">
        <v>5</v>
      </c>
      <c r="C33951" s="4" t="s">
        <v>7</v>
      </c>
      <c r="D33951" s="4" t="s">
        <v>11</v>
      </c>
    </row>
    <row r="33952" spans="1:13">
      <c r="A33952" t="n">
        <v>330390</v>
      </c>
      <c r="B33952" s="23" t="n">
        <v>58</v>
      </c>
      <c r="C33952" s="7" t="n">
        <v>255</v>
      </c>
      <c r="D33952" s="7" t="n">
        <v>0</v>
      </c>
    </row>
    <row r="33953" spans="1:9">
      <c r="A33953" t="s">
        <v>4</v>
      </c>
      <c r="B33953" s="4" t="s">
        <v>5</v>
      </c>
      <c r="C33953" s="4" t="s">
        <v>7</v>
      </c>
      <c r="D33953" s="4" t="s">
        <v>11</v>
      </c>
      <c r="E33953" s="4" t="s">
        <v>8</v>
      </c>
    </row>
    <row r="33954" spans="1:9">
      <c r="A33954" t="n">
        <v>330394</v>
      </c>
      <c r="B33954" s="38" t="n">
        <v>51</v>
      </c>
      <c r="C33954" s="7" t="n">
        <v>4</v>
      </c>
      <c r="D33954" s="7" t="n">
        <v>2</v>
      </c>
      <c r="E33954" s="7" t="s">
        <v>137</v>
      </c>
    </row>
    <row r="33955" spans="1:9">
      <c r="A33955" t="s">
        <v>4</v>
      </c>
      <c r="B33955" s="4" t="s">
        <v>5</v>
      </c>
      <c r="C33955" s="4" t="s">
        <v>11</v>
      </c>
    </row>
    <row r="33956" spans="1:9">
      <c r="A33956" t="n">
        <v>330407</v>
      </c>
      <c r="B33956" s="29" t="n">
        <v>16</v>
      </c>
      <c r="C33956" s="7" t="n">
        <v>0</v>
      </c>
    </row>
    <row r="33957" spans="1:9">
      <c r="A33957" t="s">
        <v>4</v>
      </c>
      <c r="B33957" s="4" t="s">
        <v>5</v>
      </c>
      <c r="C33957" s="4" t="s">
        <v>11</v>
      </c>
      <c r="D33957" s="4" t="s">
        <v>7</v>
      </c>
      <c r="E33957" s="4" t="s">
        <v>15</v>
      </c>
      <c r="F33957" s="4" t="s">
        <v>55</v>
      </c>
      <c r="G33957" s="4" t="s">
        <v>7</v>
      </c>
      <c r="H33957" s="4" t="s">
        <v>7</v>
      </c>
      <c r="I33957" s="4" t="s">
        <v>7</v>
      </c>
      <c r="J33957" s="4" t="s">
        <v>15</v>
      </c>
      <c r="K33957" s="4" t="s">
        <v>55</v>
      </c>
      <c r="L33957" s="4" t="s">
        <v>7</v>
      </c>
      <c r="M33957" s="4" t="s">
        <v>7</v>
      </c>
    </row>
    <row r="33958" spans="1:9">
      <c r="A33958" t="n">
        <v>330410</v>
      </c>
      <c r="B33958" s="55" t="n">
        <v>26</v>
      </c>
      <c r="C33958" s="7" t="n">
        <v>2</v>
      </c>
      <c r="D33958" s="7" t="n">
        <v>17</v>
      </c>
      <c r="E33958" s="7" t="n">
        <v>64098</v>
      </c>
      <c r="F33958" s="7" t="s">
        <v>927</v>
      </c>
      <c r="G33958" s="7" t="n">
        <v>2</v>
      </c>
      <c r="H33958" s="7" t="n">
        <v>3</v>
      </c>
      <c r="I33958" s="7" t="n">
        <v>17</v>
      </c>
      <c r="J33958" s="7" t="n">
        <v>64099</v>
      </c>
      <c r="K33958" s="7" t="s">
        <v>928</v>
      </c>
      <c r="L33958" s="7" t="n">
        <v>2</v>
      </c>
      <c r="M33958" s="7" t="n">
        <v>0</v>
      </c>
    </row>
    <row r="33959" spans="1:9">
      <c r="A33959" t="s">
        <v>4</v>
      </c>
      <c r="B33959" s="4" t="s">
        <v>5</v>
      </c>
    </row>
    <row r="33960" spans="1:9">
      <c r="A33960" t="n">
        <v>330521</v>
      </c>
      <c r="B33960" s="27" t="n">
        <v>28</v>
      </c>
    </row>
    <row r="33961" spans="1:9">
      <c r="A33961" t="s">
        <v>4</v>
      </c>
      <c r="B33961" s="4" t="s">
        <v>5</v>
      </c>
      <c r="C33961" s="4" t="s">
        <v>7</v>
      </c>
      <c r="D33961" s="4" t="s">
        <v>11</v>
      </c>
      <c r="E33961" s="4" t="s">
        <v>8</v>
      </c>
      <c r="F33961" s="4" t="s">
        <v>8</v>
      </c>
      <c r="G33961" s="4" t="s">
        <v>8</v>
      </c>
      <c r="H33961" s="4" t="s">
        <v>8</v>
      </c>
    </row>
    <row r="33962" spans="1:9">
      <c r="A33962" t="n">
        <v>330522</v>
      </c>
      <c r="B33962" s="38" t="n">
        <v>51</v>
      </c>
      <c r="C33962" s="7" t="n">
        <v>3</v>
      </c>
      <c r="D33962" s="7" t="n">
        <v>2</v>
      </c>
      <c r="E33962" s="7" t="s">
        <v>295</v>
      </c>
      <c r="F33962" s="7" t="s">
        <v>79</v>
      </c>
      <c r="G33962" s="7" t="s">
        <v>78</v>
      </c>
      <c r="H33962" s="7" t="s">
        <v>79</v>
      </c>
    </row>
    <row r="33963" spans="1:9">
      <c r="A33963" t="s">
        <v>4</v>
      </c>
      <c r="B33963" s="4" t="s">
        <v>5</v>
      </c>
      <c r="C33963" s="4" t="s">
        <v>11</v>
      </c>
      <c r="D33963" s="4" t="s">
        <v>13</v>
      </c>
      <c r="E33963" s="4" t="s">
        <v>13</v>
      </c>
      <c r="F33963" s="4" t="s">
        <v>13</v>
      </c>
      <c r="G33963" s="4" t="s">
        <v>11</v>
      </c>
      <c r="H33963" s="4" t="s">
        <v>11</v>
      </c>
    </row>
    <row r="33964" spans="1:9">
      <c r="A33964" t="n">
        <v>330535</v>
      </c>
      <c r="B33964" s="37" t="n">
        <v>60</v>
      </c>
      <c r="C33964" s="7" t="n">
        <v>2</v>
      </c>
      <c r="D33964" s="7" t="n">
        <v>-45</v>
      </c>
      <c r="E33964" s="7" t="n">
        <v>0</v>
      </c>
      <c r="F33964" s="7" t="n">
        <v>0</v>
      </c>
      <c r="G33964" s="7" t="n">
        <v>1000</v>
      </c>
      <c r="H33964" s="7" t="n">
        <v>0</v>
      </c>
    </row>
    <row r="33965" spans="1:9">
      <c r="A33965" t="s">
        <v>4</v>
      </c>
      <c r="B33965" s="4" t="s">
        <v>5</v>
      </c>
      <c r="C33965" s="4" t="s">
        <v>11</v>
      </c>
    </row>
    <row r="33966" spans="1:9">
      <c r="A33966" t="n">
        <v>330554</v>
      </c>
      <c r="B33966" s="29" t="n">
        <v>16</v>
      </c>
      <c r="C33966" s="7" t="n">
        <v>1000</v>
      </c>
    </row>
    <row r="33967" spans="1:9">
      <c r="A33967" t="s">
        <v>4</v>
      </c>
      <c r="B33967" s="4" t="s">
        <v>5</v>
      </c>
      <c r="C33967" s="4" t="s">
        <v>7</v>
      </c>
      <c r="D33967" s="4" t="s">
        <v>11</v>
      </c>
      <c r="E33967" s="4" t="s">
        <v>8</v>
      </c>
      <c r="F33967" s="4" t="s">
        <v>8</v>
      </c>
      <c r="G33967" s="4" t="s">
        <v>8</v>
      </c>
      <c r="H33967" s="4" t="s">
        <v>8</v>
      </c>
    </row>
    <row r="33968" spans="1:9">
      <c r="A33968" t="n">
        <v>330557</v>
      </c>
      <c r="B33968" s="38" t="n">
        <v>51</v>
      </c>
      <c r="C33968" s="7" t="n">
        <v>3</v>
      </c>
      <c r="D33968" s="7" t="n">
        <v>2</v>
      </c>
      <c r="E33968" s="7" t="s">
        <v>296</v>
      </c>
      <c r="F33968" s="7" t="s">
        <v>79</v>
      </c>
      <c r="G33968" s="7" t="s">
        <v>78</v>
      </c>
      <c r="H33968" s="7" t="s">
        <v>79</v>
      </c>
    </row>
    <row r="33969" spans="1:13">
      <c r="A33969" t="s">
        <v>4</v>
      </c>
      <c r="B33969" s="4" t="s">
        <v>5</v>
      </c>
      <c r="C33969" s="4" t="s">
        <v>11</v>
      </c>
      <c r="D33969" s="4" t="s">
        <v>13</v>
      </c>
      <c r="E33969" s="4" t="s">
        <v>13</v>
      </c>
      <c r="F33969" s="4" t="s">
        <v>13</v>
      </c>
      <c r="G33969" s="4" t="s">
        <v>11</v>
      </c>
      <c r="H33969" s="4" t="s">
        <v>11</v>
      </c>
    </row>
    <row r="33970" spans="1:13">
      <c r="A33970" t="n">
        <v>330571</v>
      </c>
      <c r="B33970" s="37" t="n">
        <v>60</v>
      </c>
      <c r="C33970" s="7" t="n">
        <v>2</v>
      </c>
      <c r="D33970" s="7" t="n">
        <v>45</v>
      </c>
      <c r="E33970" s="7" t="n">
        <v>0</v>
      </c>
      <c r="F33970" s="7" t="n">
        <v>0</v>
      </c>
      <c r="G33970" s="7" t="n">
        <v>1000</v>
      </c>
      <c r="H33970" s="7" t="n">
        <v>0</v>
      </c>
    </row>
    <row r="33971" spans="1:13">
      <c r="A33971" t="s">
        <v>4</v>
      </c>
      <c r="B33971" s="4" t="s">
        <v>5</v>
      </c>
      <c r="C33971" s="4" t="s">
        <v>11</v>
      </c>
    </row>
    <row r="33972" spans="1:13">
      <c r="A33972" t="n">
        <v>330590</v>
      </c>
      <c r="B33972" s="29" t="n">
        <v>16</v>
      </c>
      <c r="C33972" s="7" t="n">
        <v>1200</v>
      </c>
    </row>
    <row r="33973" spans="1:13">
      <c r="A33973" t="s">
        <v>4</v>
      </c>
      <c r="B33973" s="4" t="s">
        <v>5</v>
      </c>
      <c r="C33973" s="4" t="s">
        <v>7</v>
      </c>
      <c r="D33973" s="4" t="s">
        <v>11</v>
      </c>
      <c r="E33973" s="4" t="s">
        <v>8</v>
      </c>
      <c r="F33973" s="4" t="s">
        <v>8</v>
      </c>
      <c r="G33973" s="4" t="s">
        <v>8</v>
      </c>
      <c r="H33973" s="4" t="s">
        <v>8</v>
      </c>
    </row>
    <row r="33974" spans="1:13">
      <c r="A33974" t="n">
        <v>330593</v>
      </c>
      <c r="B33974" s="38" t="n">
        <v>51</v>
      </c>
      <c r="C33974" s="7" t="n">
        <v>3</v>
      </c>
      <c r="D33974" s="7" t="n">
        <v>2</v>
      </c>
      <c r="E33974" s="7" t="s">
        <v>86</v>
      </c>
      <c r="F33974" s="7" t="s">
        <v>16</v>
      </c>
      <c r="G33974" s="7" t="s">
        <v>78</v>
      </c>
      <c r="H33974" s="7" t="s">
        <v>79</v>
      </c>
    </row>
    <row r="33975" spans="1:13">
      <c r="A33975" t="s">
        <v>4</v>
      </c>
      <c r="B33975" s="4" t="s">
        <v>5</v>
      </c>
      <c r="C33975" s="4" t="s">
        <v>11</v>
      </c>
      <c r="D33975" s="4" t="s">
        <v>13</v>
      </c>
      <c r="E33975" s="4" t="s">
        <v>13</v>
      </c>
      <c r="F33975" s="4" t="s">
        <v>13</v>
      </c>
      <c r="G33975" s="4" t="s">
        <v>11</v>
      </c>
      <c r="H33975" s="4" t="s">
        <v>11</v>
      </c>
    </row>
    <row r="33976" spans="1:13">
      <c r="A33976" t="n">
        <v>330605</v>
      </c>
      <c r="B33976" s="37" t="n">
        <v>60</v>
      </c>
      <c r="C33976" s="7" t="n">
        <v>2</v>
      </c>
      <c r="D33976" s="7" t="n">
        <v>0</v>
      </c>
      <c r="E33976" s="7" t="n">
        <v>0</v>
      </c>
      <c r="F33976" s="7" t="n">
        <v>0</v>
      </c>
      <c r="G33976" s="7" t="n">
        <v>1000</v>
      </c>
      <c r="H33976" s="7" t="n">
        <v>0</v>
      </c>
    </row>
    <row r="33977" spans="1:13">
      <c r="A33977" t="s">
        <v>4</v>
      </c>
      <c r="B33977" s="4" t="s">
        <v>5</v>
      </c>
      <c r="C33977" s="4" t="s">
        <v>11</v>
      </c>
    </row>
    <row r="33978" spans="1:13">
      <c r="A33978" t="n">
        <v>330624</v>
      </c>
      <c r="B33978" s="29" t="n">
        <v>16</v>
      </c>
      <c r="C33978" s="7" t="n">
        <v>1000</v>
      </c>
    </row>
    <row r="33979" spans="1:13">
      <c r="A33979" t="s">
        <v>4</v>
      </c>
      <c r="B33979" s="4" t="s">
        <v>5</v>
      </c>
      <c r="C33979" s="4" t="s">
        <v>7</v>
      </c>
      <c r="D33979" s="4" t="s">
        <v>11</v>
      </c>
      <c r="E33979" s="4" t="s">
        <v>8</v>
      </c>
    </row>
    <row r="33980" spans="1:13">
      <c r="A33980" t="n">
        <v>330627</v>
      </c>
      <c r="B33980" s="38" t="n">
        <v>51</v>
      </c>
      <c r="C33980" s="7" t="n">
        <v>4</v>
      </c>
      <c r="D33980" s="7" t="n">
        <v>2</v>
      </c>
      <c r="E33980" s="7" t="s">
        <v>242</v>
      </c>
    </row>
    <row r="33981" spans="1:13">
      <c r="A33981" t="s">
        <v>4</v>
      </c>
      <c r="B33981" s="4" t="s">
        <v>5</v>
      </c>
      <c r="C33981" s="4" t="s">
        <v>11</v>
      </c>
    </row>
    <row r="33982" spans="1:13">
      <c r="A33982" t="n">
        <v>330641</v>
      </c>
      <c r="B33982" s="29" t="n">
        <v>16</v>
      </c>
      <c r="C33982" s="7" t="n">
        <v>0</v>
      </c>
    </row>
    <row r="33983" spans="1:13">
      <c r="A33983" t="s">
        <v>4</v>
      </c>
      <c r="B33983" s="4" t="s">
        <v>5</v>
      </c>
      <c r="C33983" s="4" t="s">
        <v>11</v>
      </c>
      <c r="D33983" s="4" t="s">
        <v>7</v>
      </c>
      <c r="E33983" s="4" t="s">
        <v>15</v>
      </c>
      <c r="F33983" s="4" t="s">
        <v>55</v>
      </c>
      <c r="G33983" s="4" t="s">
        <v>7</v>
      </c>
      <c r="H33983" s="4" t="s">
        <v>7</v>
      </c>
      <c r="I33983" s="4" t="s">
        <v>7</v>
      </c>
      <c r="J33983" s="4" t="s">
        <v>15</v>
      </c>
      <c r="K33983" s="4" t="s">
        <v>55</v>
      </c>
      <c r="L33983" s="4" t="s">
        <v>7</v>
      </c>
      <c r="M33983" s="4" t="s">
        <v>7</v>
      </c>
    </row>
    <row r="33984" spans="1:13">
      <c r="A33984" t="n">
        <v>330644</v>
      </c>
      <c r="B33984" s="55" t="n">
        <v>26</v>
      </c>
      <c r="C33984" s="7" t="n">
        <v>2</v>
      </c>
      <c r="D33984" s="7" t="n">
        <v>17</v>
      </c>
      <c r="E33984" s="7" t="n">
        <v>64100</v>
      </c>
      <c r="F33984" s="7" t="s">
        <v>929</v>
      </c>
      <c r="G33984" s="7" t="n">
        <v>2</v>
      </c>
      <c r="H33984" s="7" t="n">
        <v>3</v>
      </c>
      <c r="I33984" s="7" t="n">
        <v>17</v>
      </c>
      <c r="J33984" s="7" t="n">
        <v>64101</v>
      </c>
      <c r="K33984" s="7" t="s">
        <v>930</v>
      </c>
      <c r="L33984" s="7" t="n">
        <v>2</v>
      </c>
      <c r="M33984" s="7" t="n">
        <v>0</v>
      </c>
    </row>
    <row r="33985" spans="1:13">
      <c r="A33985" t="s">
        <v>4</v>
      </c>
      <c r="B33985" s="4" t="s">
        <v>5</v>
      </c>
    </row>
    <row r="33986" spans="1:13">
      <c r="A33986" t="n">
        <v>330738</v>
      </c>
      <c r="B33986" s="27" t="n">
        <v>28</v>
      </c>
    </row>
    <row r="33987" spans="1:13">
      <c r="A33987" t="s">
        <v>4</v>
      </c>
      <c r="B33987" s="4" t="s">
        <v>5</v>
      </c>
      <c r="C33987" s="4" t="s">
        <v>7</v>
      </c>
      <c r="D33987" s="4" t="s">
        <v>11</v>
      </c>
      <c r="E33987" s="4" t="s">
        <v>8</v>
      </c>
    </row>
    <row r="33988" spans="1:13">
      <c r="A33988" t="n">
        <v>330739</v>
      </c>
      <c r="B33988" s="38" t="n">
        <v>51</v>
      </c>
      <c r="C33988" s="7" t="n">
        <v>4</v>
      </c>
      <c r="D33988" s="7" t="n">
        <v>0</v>
      </c>
      <c r="E33988" s="7" t="s">
        <v>179</v>
      </c>
    </row>
    <row r="33989" spans="1:13">
      <c r="A33989" t="s">
        <v>4</v>
      </c>
      <c r="B33989" s="4" t="s">
        <v>5</v>
      </c>
      <c r="C33989" s="4" t="s">
        <v>11</v>
      </c>
    </row>
    <row r="33990" spans="1:13">
      <c r="A33990" t="n">
        <v>330753</v>
      </c>
      <c r="B33990" s="29" t="n">
        <v>16</v>
      </c>
      <c r="C33990" s="7" t="n">
        <v>0</v>
      </c>
    </row>
    <row r="33991" spans="1:13">
      <c r="A33991" t="s">
        <v>4</v>
      </c>
      <c r="B33991" s="4" t="s">
        <v>5</v>
      </c>
      <c r="C33991" s="4" t="s">
        <v>11</v>
      </c>
      <c r="D33991" s="4" t="s">
        <v>7</v>
      </c>
      <c r="E33991" s="4" t="s">
        <v>15</v>
      </c>
      <c r="F33991" s="4" t="s">
        <v>55</v>
      </c>
      <c r="G33991" s="4" t="s">
        <v>7</v>
      </c>
      <c r="H33991" s="4" t="s">
        <v>7</v>
      </c>
      <c r="I33991" s="4" t="s">
        <v>7</v>
      </c>
      <c r="J33991" s="4" t="s">
        <v>15</v>
      </c>
      <c r="K33991" s="4" t="s">
        <v>55</v>
      </c>
      <c r="L33991" s="4" t="s">
        <v>7</v>
      </c>
      <c r="M33991" s="4" t="s">
        <v>7</v>
      </c>
      <c r="N33991" s="4" t="s">
        <v>7</v>
      </c>
      <c r="O33991" s="4" t="s">
        <v>15</v>
      </c>
      <c r="P33991" s="4" t="s">
        <v>55</v>
      </c>
      <c r="Q33991" s="4" t="s">
        <v>7</v>
      </c>
      <c r="R33991" s="4" t="s">
        <v>7</v>
      </c>
    </row>
    <row r="33992" spans="1:13">
      <c r="A33992" t="n">
        <v>330756</v>
      </c>
      <c r="B33992" s="55" t="n">
        <v>26</v>
      </c>
      <c r="C33992" s="7" t="n">
        <v>0</v>
      </c>
      <c r="D33992" s="7" t="n">
        <v>17</v>
      </c>
      <c r="E33992" s="7" t="n">
        <v>64102</v>
      </c>
      <c r="F33992" s="7" t="s">
        <v>931</v>
      </c>
      <c r="G33992" s="7" t="n">
        <v>2</v>
      </c>
      <c r="H33992" s="7" t="n">
        <v>3</v>
      </c>
      <c r="I33992" s="7" t="n">
        <v>17</v>
      </c>
      <c r="J33992" s="7" t="n">
        <v>64103</v>
      </c>
      <c r="K33992" s="7" t="s">
        <v>932</v>
      </c>
      <c r="L33992" s="7" t="n">
        <v>2</v>
      </c>
      <c r="M33992" s="7" t="n">
        <v>3</v>
      </c>
      <c r="N33992" s="7" t="n">
        <v>17</v>
      </c>
      <c r="O33992" s="7" t="n">
        <v>64104</v>
      </c>
      <c r="P33992" s="7" t="s">
        <v>933</v>
      </c>
      <c r="Q33992" s="7" t="n">
        <v>2</v>
      </c>
      <c r="R33992" s="7" t="n">
        <v>0</v>
      </c>
    </row>
    <row r="33993" spans="1:13">
      <c r="A33993" t="s">
        <v>4</v>
      </c>
      <c r="B33993" s="4" t="s">
        <v>5</v>
      </c>
    </row>
    <row r="33994" spans="1:13">
      <c r="A33994" t="n">
        <v>330982</v>
      </c>
      <c r="B33994" s="27" t="n">
        <v>28</v>
      </c>
    </row>
    <row r="33995" spans="1:13">
      <c r="A33995" t="s">
        <v>4</v>
      </c>
      <c r="B33995" s="4" t="s">
        <v>5</v>
      </c>
      <c r="C33995" s="4" t="s">
        <v>7</v>
      </c>
      <c r="D33995" s="4" t="s">
        <v>11</v>
      </c>
      <c r="E33995" s="4" t="s">
        <v>8</v>
      </c>
    </row>
    <row r="33996" spans="1:13">
      <c r="A33996" t="n">
        <v>330983</v>
      </c>
      <c r="B33996" s="38" t="n">
        <v>51</v>
      </c>
      <c r="C33996" s="7" t="n">
        <v>4</v>
      </c>
      <c r="D33996" s="7" t="n">
        <v>2</v>
      </c>
      <c r="E33996" s="7" t="s">
        <v>491</v>
      </c>
    </row>
    <row r="33997" spans="1:13">
      <c r="A33997" t="s">
        <v>4</v>
      </c>
      <c r="B33997" s="4" t="s">
        <v>5</v>
      </c>
      <c r="C33997" s="4" t="s">
        <v>11</v>
      </c>
    </row>
    <row r="33998" spans="1:13">
      <c r="A33998" t="n">
        <v>330997</v>
      </c>
      <c r="B33998" s="29" t="n">
        <v>16</v>
      </c>
      <c r="C33998" s="7" t="n">
        <v>0</v>
      </c>
    </row>
    <row r="33999" spans="1:13">
      <c r="A33999" t="s">
        <v>4</v>
      </c>
      <c r="B33999" s="4" t="s">
        <v>5</v>
      </c>
      <c r="C33999" s="4" t="s">
        <v>11</v>
      </c>
      <c r="D33999" s="4" t="s">
        <v>7</v>
      </c>
      <c r="E33999" s="4" t="s">
        <v>15</v>
      </c>
      <c r="F33999" s="4" t="s">
        <v>55</v>
      </c>
      <c r="G33999" s="4" t="s">
        <v>7</v>
      </c>
      <c r="H33999" s="4" t="s">
        <v>7</v>
      </c>
    </row>
    <row r="34000" spans="1:13">
      <c r="A34000" t="n">
        <v>331000</v>
      </c>
      <c r="B34000" s="55" t="n">
        <v>26</v>
      </c>
      <c r="C34000" s="7" t="n">
        <v>2</v>
      </c>
      <c r="D34000" s="7" t="n">
        <v>17</v>
      </c>
      <c r="E34000" s="7" t="n">
        <v>64105</v>
      </c>
      <c r="F34000" s="7" t="s">
        <v>566</v>
      </c>
      <c r="G34000" s="7" t="n">
        <v>2</v>
      </c>
      <c r="H34000" s="7" t="n">
        <v>0</v>
      </c>
    </row>
    <row r="34001" spans="1:18">
      <c r="A34001" t="s">
        <v>4</v>
      </c>
      <c r="B34001" s="4" t="s">
        <v>5</v>
      </c>
    </row>
    <row r="34002" spans="1:18">
      <c r="A34002" t="n">
        <v>331028</v>
      </c>
      <c r="B34002" s="27" t="n">
        <v>28</v>
      </c>
    </row>
    <row r="34003" spans="1:18">
      <c r="A34003" t="s">
        <v>4</v>
      </c>
      <c r="B34003" s="4" t="s">
        <v>5</v>
      </c>
      <c r="C34003" s="4" t="s">
        <v>11</v>
      </c>
      <c r="D34003" s="4" t="s">
        <v>7</v>
      </c>
    </row>
    <row r="34004" spans="1:18">
      <c r="A34004" t="n">
        <v>331029</v>
      </c>
      <c r="B34004" s="68" t="n">
        <v>89</v>
      </c>
      <c r="C34004" s="7" t="n">
        <v>65533</v>
      </c>
      <c r="D34004" s="7" t="n">
        <v>1</v>
      </c>
    </row>
    <row r="34005" spans="1:18">
      <c r="A34005" t="s">
        <v>4</v>
      </c>
      <c r="B34005" s="4" t="s">
        <v>5</v>
      </c>
      <c r="C34005" s="4" t="s">
        <v>7</v>
      </c>
      <c r="D34005" s="4" t="s">
        <v>11</v>
      </c>
      <c r="E34005" s="4" t="s">
        <v>13</v>
      </c>
    </row>
    <row r="34006" spans="1:18">
      <c r="A34006" t="n">
        <v>331033</v>
      </c>
      <c r="B34006" s="23" t="n">
        <v>58</v>
      </c>
      <c r="C34006" s="7" t="n">
        <v>101</v>
      </c>
      <c r="D34006" s="7" t="n">
        <v>500</v>
      </c>
      <c r="E34006" s="7" t="n">
        <v>1</v>
      </c>
    </row>
    <row r="34007" spans="1:18">
      <c r="A34007" t="s">
        <v>4</v>
      </c>
      <c r="B34007" s="4" t="s">
        <v>5</v>
      </c>
      <c r="C34007" s="4" t="s">
        <v>7</v>
      </c>
      <c r="D34007" s="4" t="s">
        <v>11</v>
      </c>
    </row>
    <row r="34008" spans="1:18">
      <c r="A34008" t="n">
        <v>331041</v>
      </c>
      <c r="B34008" s="23" t="n">
        <v>58</v>
      </c>
      <c r="C34008" s="7" t="n">
        <v>254</v>
      </c>
      <c r="D34008" s="7" t="n">
        <v>0</v>
      </c>
    </row>
    <row r="34009" spans="1:18">
      <c r="A34009" t="s">
        <v>4</v>
      </c>
      <c r="B34009" s="4" t="s">
        <v>5</v>
      </c>
      <c r="C34009" s="4" t="s">
        <v>7</v>
      </c>
      <c r="D34009" s="4" t="s">
        <v>11</v>
      </c>
      <c r="E34009" s="4" t="s">
        <v>8</v>
      </c>
      <c r="F34009" s="4" t="s">
        <v>8</v>
      </c>
      <c r="G34009" s="4" t="s">
        <v>8</v>
      </c>
      <c r="H34009" s="4" t="s">
        <v>8</v>
      </c>
    </row>
    <row r="34010" spans="1:18">
      <c r="A34010" t="n">
        <v>331045</v>
      </c>
      <c r="B34010" s="38" t="n">
        <v>51</v>
      </c>
      <c r="C34010" s="7" t="n">
        <v>3</v>
      </c>
      <c r="D34010" s="7" t="n">
        <v>0</v>
      </c>
      <c r="E34010" s="7" t="s">
        <v>65</v>
      </c>
      <c r="F34010" s="7" t="s">
        <v>99</v>
      </c>
      <c r="G34010" s="7" t="s">
        <v>78</v>
      </c>
      <c r="H34010" s="7" t="s">
        <v>79</v>
      </c>
    </row>
    <row r="34011" spans="1:18">
      <c r="A34011" t="s">
        <v>4</v>
      </c>
      <c r="B34011" s="4" t="s">
        <v>5</v>
      </c>
      <c r="C34011" s="4" t="s">
        <v>7</v>
      </c>
      <c r="D34011" s="4" t="s">
        <v>11</v>
      </c>
      <c r="E34011" s="4" t="s">
        <v>8</v>
      </c>
      <c r="F34011" s="4" t="s">
        <v>8</v>
      </c>
      <c r="G34011" s="4" t="s">
        <v>8</v>
      </c>
      <c r="H34011" s="4" t="s">
        <v>8</v>
      </c>
    </row>
    <row r="34012" spans="1:18">
      <c r="A34012" t="n">
        <v>331066</v>
      </c>
      <c r="B34012" s="38" t="n">
        <v>51</v>
      </c>
      <c r="C34012" s="7" t="n">
        <v>3</v>
      </c>
      <c r="D34012" s="7" t="n">
        <v>2</v>
      </c>
      <c r="E34012" s="7" t="s">
        <v>101</v>
      </c>
      <c r="F34012" s="7" t="s">
        <v>232</v>
      </c>
      <c r="G34012" s="7" t="s">
        <v>78</v>
      </c>
      <c r="H34012" s="7" t="s">
        <v>79</v>
      </c>
    </row>
    <row r="34013" spans="1:18">
      <c r="A34013" t="s">
        <v>4</v>
      </c>
      <c r="B34013" s="4" t="s">
        <v>5</v>
      </c>
      <c r="C34013" s="4" t="s">
        <v>11</v>
      </c>
      <c r="D34013" s="4" t="s">
        <v>11</v>
      </c>
      <c r="E34013" s="4" t="s">
        <v>11</v>
      </c>
    </row>
    <row r="34014" spans="1:18">
      <c r="A34014" t="n">
        <v>331087</v>
      </c>
      <c r="B34014" s="72" t="n">
        <v>61</v>
      </c>
      <c r="C34014" s="7" t="n">
        <v>0</v>
      </c>
      <c r="D34014" s="7" t="n">
        <v>65533</v>
      </c>
      <c r="E34014" s="7" t="n">
        <v>0</v>
      </c>
    </row>
    <row r="34015" spans="1:18">
      <c r="A34015" t="s">
        <v>4</v>
      </c>
      <c r="B34015" s="4" t="s">
        <v>5</v>
      </c>
      <c r="C34015" s="4" t="s">
        <v>11</v>
      </c>
      <c r="D34015" s="4" t="s">
        <v>11</v>
      </c>
      <c r="E34015" s="4" t="s">
        <v>11</v>
      </c>
    </row>
    <row r="34016" spans="1:18">
      <c r="A34016" t="n">
        <v>331094</v>
      </c>
      <c r="B34016" s="72" t="n">
        <v>61</v>
      </c>
      <c r="C34016" s="7" t="n">
        <v>2</v>
      </c>
      <c r="D34016" s="7" t="n">
        <v>65533</v>
      </c>
      <c r="E34016" s="7" t="n">
        <v>0</v>
      </c>
    </row>
    <row r="34017" spans="1:8">
      <c r="A34017" t="s">
        <v>4</v>
      </c>
      <c r="B34017" s="4" t="s">
        <v>5</v>
      </c>
      <c r="C34017" s="4" t="s">
        <v>7</v>
      </c>
    </row>
    <row r="34018" spans="1:8">
      <c r="A34018" t="n">
        <v>331101</v>
      </c>
      <c r="B34018" s="49" t="n">
        <v>116</v>
      </c>
      <c r="C34018" s="7" t="n">
        <v>0</v>
      </c>
    </row>
    <row r="34019" spans="1:8">
      <c r="A34019" t="s">
        <v>4</v>
      </c>
      <c r="B34019" s="4" t="s">
        <v>5</v>
      </c>
      <c r="C34019" s="4" t="s">
        <v>7</v>
      </c>
      <c r="D34019" s="4" t="s">
        <v>11</v>
      </c>
    </row>
    <row r="34020" spans="1:8">
      <c r="A34020" t="n">
        <v>331103</v>
      </c>
      <c r="B34020" s="49" t="n">
        <v>116</v>
      </c>
      <c r="C34020" s="7" t="n">
        <v>2</v>
      </c>
      <c r="D34020" s="7" t="n">
        <v>1</v>
      </c>
    </row>
    <row r="34021" spans="1:8">
      <c r="A34021" t="s">
        <v>4</v>
      </c>
      <c r="B34021" s="4" t="s">
        <v>5</v>
      </c>
      <c r="C34021" s="4" t="s">
        <v>7</v>
      </c>
      <c r="D34021" s="4" t="s">
        <v>15</v>
      </c>
    </row>
    <row r="34022" spans="1:8">
      <c r="A34022" t="n">
        <v>331107</v>
      </c>
      <c r="B34022" s="49" t="n">
        <v>116</v>
      </c>
      <c r="C34022" s="7" t="n">
        <v>5</v>
      </c>
      <c r="D34022" s="7" t="n">
        <v>1106247680</v>
      </c>
    </row>
    <row r="34023" spans="1:8">
      <c r="A34023" t="s">
        <v>4</v>
      </c>
      <c r="B34023" s="4" t="s">
        <v>5</v>
      </c>
      <c r="C34023" s="4" t="s">
        <v>7</v>
      </c>
      <c r="D34023" s="4" t="s">
        <v>11</v>
      </c>
    </row>
    <row r="34024" spans="1:8">
      <c r="A34024" t="n">
        <v>331113</v>
      </c>
      <c r="B34024" s="49" t="n">
        <v>116</v>
      </c>
      <c r="C34024" s="7" t="n">
        <v>6</v>
      </c>
      <c r="D34024" s="7" t="n">
        <v>1</v>
      </c>
    </row>
    <row r="34025" spans="1:8">
      <c r="A34025" t="s">
        <v>4</v>
      </c>
      <c r="B34025" s="4" t="s">
        <v>5</v>
      </c>
      <c r="C34025" s="4" t="s">
        <v>7</v>
      </c>
      <c r="D34025" s="4" t="s">
        <v>7</v>
      </c>
      <c r="E34025" s="4" t="s">
        <v>13</v>
      </c>
      <c r="F34025" s="4" t="s">
        <v>13</v>
      </c>
      <c r="G34025" s="4" t="s">
        <v>13</v>
      </c>
      <c r="H34025" s="4" t="s">
        <v>11</v>
      </c>
    </row>
    <row r="34026" spans="1:8">
      <c r="A34026" t="n">
        <v>331117</v>
      </c>
      <c r="B34026" s="51" t="n">
        <v>45</v>
      </c>
      <c r="C34026" s="7" t="n">
        <v>2</v>
      </c>
      <c r="D34026" s="7" t="n">
        <v>3</v>
      </c>
      <c r="E34026" s="7" t="n">
        <v>4.53000020980835</v>
      </c>
      <c r="F34026" s="7" t="n">
        <v>1.30999994277954</v>
      </c>
      <c r="G34026" s="7" t="n">
        <v>46.2700004577637</v>
      </c>
      <c r="H34026" s="7" t="n">
        <v>0</v>
      </c>
    </row>
    <row r="34027" spans="1:8">
      <c r="A34027" t="s">
        <v>4</v>
      </c>
      <c r="B34027" s="4" t="s">
        <v>5</v>
      </c>
      <c r="C34027" s="4" t="s">
        <v>7</v>
      </c>
      <c r="D34027" s="4" t="s">
        <v>7</v>
      </c>
      <c r="E34027" s="4" t="s">
        <v>13</v>
      </c>
      <c r="F34027" s="4" t="s">
        <v>13</v>
      </c>
      <c r="G34027" s="4" t="s">
        <v>13</v>
      </c>
      <c r="H34027" s="4" t="s">
        <v>11</v>
      </c>
      <c r="I34027" s="4" t="s">
        <v>7</v>
      </c>
    </row>
    <row r="34028" spans="1:8">
      <c r="A34028" t="n">
        <v>331134</v>
      </c>
      <c r="B34028" s="51" t="n">
        <v>45</v>
      </c>
      <c r="C34028" s="7" t="n">
        <v>4</v>
      </c>
      <c r="D34028" s="7" t="n">
        <v>3</v>
      </c>
      <c r="E34028" s="7" t="n">
        <v>12.8699998855591</v>
      </c>
      <c r="F34028" s="7" t="n">
        <v>80.0199966430664</v>
      </c>
      <c r="G34028" s="7" t="n">
        <v>0</v>
      </c>
      <c r="H34028" s="7" t="n">
        <v>0</v>
      </c>
      <c r="I34028" s="7" t="n">
        <v>0</v>
      </c>
    </row>
    <row r="34029" spans="1:8">
      <c r="A34029" t="s">
        <v>4</v>
      </c>
      <c r="B34029" s="4" t="s">
        <v>5</v>
      </c>
      <c r="C34029" s="4" t="s">
        <v>7</v>
      </c>
      <c r="D34029" s="4" t="s">
        <v>7</v>
      </c>
      <c r="E34029" s="4" t="s">
        <v>13</v>
      </c>
      <c r="F34029" s="4" t="s">
        <v>11</v>
      </c>
    </row>
    <row r="34030" spans="1:8">
      <c r="A34030" t="n">
        <v>331152</v>
      </c>
      <c r="B34030" s="51" t="n">
        <v>45</v>
      </c>
      <c r="C34030" s="7" t="n">
        <v>5</v>
      </c>
      <c r="D34030" s="7" t="n">
        <v>3</v>
      </c>
      <c r="E34030" s="7" t="n">
        <v>3</v>
      </c>
      <c r="F34030" s="7" t="n">
        <v>0</v>
      </c>
    </row>
    <row r="34031" spans="1:8">
      <c r="A34031" t="s">
        <v>4</v>
      </c>
      <c r="B34031" s="4" t="s">
        <v>5</v>
      </c>
      <c r="C34031" s="4" t="s">
        <v>7</v>
      </c>
      <c r="D34031" s="4" t="s">
        <v>7</v>
      </c>
      <c r="E34031" s="4" t="s">
        <v>13</v>
      </c>
      <c r="F34031" s="4" t="s">
        <v>11</v>
      </c>
    </row>
    <row r="34032" spans="1:8">
      <c r="A34032" t="n">
        <v>331161</v>
      </c>
      <c r="B34032" s="51" t="n">
        <v>45</v>
      </c>
      <c r="C34032" s="7" t="n">
        <v>11</v>
      </c>
      <c r="D34032" s="7" t="n">
        <v>3</v>
      </c>
      <c r="E34032" s="7" t="n">
        <v>34</v>
      </c>
      <c r="F34032" s="7" t="n">
        <v>0</v>
      </c>
    </row>
    <row r="34033" spans="1:9">
      <c r="A34033" t="s">
        <v>4</v>
      </c>
      <c r="B34033" s="4" t="s">
        <v>5</v>
      </c>
      <c r="C34033" s="4" t="s">
        <v>7</v>
      </c>
      <c r="D34033" s="4" t="s">
        <v>7</v>
      </c>
      <c r="E34033" s="4" t="s">
        <v>13</v>
      </c>
      <c r="F34033" s="4" t="s">
        <v>13</v>
      </c>
      <c r="G34033" s="4" t="s">
        <v>13</v>
      </c>
      <c r="H34033" s="4" t="s">
        <v>11</v>
      </c>
    </row>
    <row r="34034" spans="1:9">
      <c r="A34034" t="n">
        <v>331170</v>
      </c>
      <c r="B34034" s="51" t="n">
        <v>45</v>
      </c>
      <c r="C34034" s="7" t="n">
        <v>2</v>
      </c>
      <c r="D34034" s="7" t="n">
        <v>3</v>
      </c>
      <c r="E34034" s="7" t="n">
        <v>4.53000020980835</v>
      </c>
      <c r="F34034" s="7" t="n">
        <v>2.30999994277954</v>
      </c>
      <c r="G34034" s="7" t="n">
        <v>46.2700004577637</v>
      </c>
      <c r="H34034" s="7" t="n">
        <v>5000</v>
      </c>
    </row>
    <row r="34035" spans="1:9">
      <c r="A34035" t="s">
        <v>4</v>
      </c>
      <c r="B34035" s="4" t="s">
        <v>5</v>
      </c>
      <c r="C34035" s="4" t="s">
        <v>7</v>
      </c>
      <c r="D34035" s="4" t="s">
        <v>11</v>
      </c>
    </row>
    <row r="34036" spans="1:9">
      <c r="A34036" t="n">
        <v>331187</v>
      </c>
      <c r="B34036" s="23" t="n">
        <v>58</v>
      </c>
      <c r="C34036" s="7" t="n">
        <v>255</v>
      </c>
      <c r="D34036" s="7" t="n">
        <v>0</v>
      </c>
    </row>
    <row r="34037" spans="1:9">
      <c r="A34037" t="s">
        <v>4</v>
      </c>
      <c r="B34037" s="4" t="s">
        <v>5</v>
      </c>
      <c r="C34037" s="4" t="s">
        <v>11</v>
      </c>
      <c r="D34037" s="4" t="s">
        <v>13</v>
      </c>
      <c r="E34037" s="4" t="s">
        <v>13</v>
      </c>
      <c r="F34037" s="4" t="s">
        <v>7</v>
      </c>
    </row>
    <row r="34038" spans="1:9">
      <c r="A34038" t="n">
        <v>331191</v>
      </c>
      <c r="B34038" s="65" t="n">
        <v>52</v>
      </c>
      <c r="C34038" s="7" t="n">
        <v>0</v>
      </c>
      <c r="D34038" s="7" t="n">
        <v>255</v>
      </c>
      <c r="E34038" s="7" t="n">
        <v>5</v>
      </c>
      <c r="F34038" s="7" t="n">
        <v>0</v>
      </c>
    </row>
    <row r="34039" spans="1:9">
      <c r="A34039" t="s">
        <v>4</v>
      </c>
      <c r="B34039" s="4" t="s">
        <v>5</v>
      </c>
      <c r="C34039" s="4" t="s">
        <v>11</v>
      </c>
    </row>
    <row r="34040" spans="1:9">
      <c r="A34040" t="n">
        <v>331203</v>
      </c>
      <c r="B34040" s="29" t="n">
        <v>16</v>
      </c>
      <c r="C34040" s="7" t="n">
        <v>100</v>
      </c>
    </row>
    <row r="34041" spans="1:9">
      <c r="A34041" t="s">
        <v>4</v>
      </c>
      <c r="B34041" s="4" t="s">
        <v>5</v>
      </c>
      <c r="C34041" s="4" t="s">
        <v>11</v>
      </c>
      <c r="D34041" s="4" t="s">
        <v>13</v>
      </c>
      <c r="E34041" s="4" t="s">
        <v>13</v>
      </c>
      <c r="F34041" s="4" t="s">
        <v>7</v>
      </c>
    </row>
    <row r="34042" spans="1:9">
      <c r="A34042" t="n">
        <v>331206</v>
      </c>
      <c r="B34042" s="65" t="n">
        <v>52</v>
      </c>
      <c r="C34042" s="7" t="n">
        <v>2</v>
      </c>
      <c r="D34042" s="7" t="n">
        <v>255</v>
      </c>
      <c r="E34042" s="7" t="n">
        <v>5</v>
      </c>
      <c r="F34042" s="7" t="n">
        <v>0</v>
      </c>
    </row>
    <row r="34043" spans="1:9">
      <c r="A34043" t="s">
        <v>4</v>
      </c>
      <c r="B34043" s="4" t="s">
        <v>5</v>
      </c>
      <c r="C34043" s="4" t="s">
        <v>11</v>
      </c>
    </row>
    <row r="34044" spans="1:9">
      <c r="A34044" t="n">
        <v>331218</v>
      </c>
      <c r="B34044" s="66" t="n">
        <v>54</v>
      </c>
      <c r="C34044" s="7" t="n">
        <v>0</v>
      </c>
    </row>
    <row r="34045" spans="1:9">
      <c r="A34045" t="s">
        <v>4</v>
      </c>
      <c r="B34045" s="4" t="s">
        <v>5</v>
      </c>
      <c r="C34045" s="4" t="s">
        <v>11</v>
      </c>
      <c r="D34045" s="4" t="s">
        <v>11</v>
      </c>
      <c r="E34045" s="4" t="s">
        <v>13</v>
      </c>
      <c r="F34045" s="4" t="s">
        <v>13</v>
      </c>
      <c r="G34045" s="4" t="s">
        <v>13</v>
      </c>
      <c r="H34045" s="4" t="s">
        <v>13</v>
      </c>
      <c r="I34045" s="4" t="s">
        <v>7</v>
      </c>
      <c r="J34045" s="4" t="s">
        <v>11</v>
      </c>
    </row>
    <row r="34046" spans="1:9">
      <c r="A34046" t="n">
        <v>331221</v>
      </c>
      <c r="B34046" s="53" t="n">
        <v>55</v>
      </c>
      <c r="C34046" s="7" t="n">
        <v>0</v>
      </c>
      <c r="D34046" s="7" t="n">
        <v>65024</v>
      </c>
      <c r="E34046" s="7" t="n">
        <v>0</v>
      </c>
      <c r="F34046" s="7" t="n">
        <v>0</v>
      </c>
      <c r="G34046" s="7" t="n">
        <v>6</v>
      </c>
      <c r="H34046" s="7" t="n">
        <v>1.20000004768372</v>
      </c>
      <c r="I34046" s="7" t="n">
        <v>1</v>
      </c>
      <c r="J34046" s="7" t="n">
        <v>0</v>
      </c>
    </row>
    <row r="34047" spans="1:9">
      <c r="A34047" t="s">
        <v>4</v>
      </c>
      <c r="B34047" s="4" t="s">
        <v>5</v>
      </c>
      <c r="C34047" s="4" t="s">
        <v>11</v>
      </c>
    </row>
    <row r="34048" spans="1:9">
      <c r="A34048" t="n">
        <v>331245</v>
      </c>
      <c r="B34048" s="66" t="n">
        <v>54</v>
      </c>
      <c r="C34048" s="7" t="n">
        <v>2</v>
      </c>
    </row>
    <row r="34049" spans="1:10">
      <c r="A34049" t="s">
        <v>4</v>
      </c>
      <c r="B34049" s="4" t="s">
        <v>5</v>
      </c>
      <c r="C34049" s="4" t="s">
        <v>11</v>
      </c>
    </row>
    <row r="34050" spans="1:10">
      <c r="A34050" t="n">
        <v>331248</v>
      </c>
      <c r="B34050" s="29" t="n">
        <v>16</v>
      </c>
      <c r="C34050" s="7" t="n">
        <v>200</v>
      </c>
    </row>
    <row r="34051" spans="1:10">
      <c r="A34051" t="s">
        <v>4</v>
      </c>
      <c r="B34051" s="4" t="s">
        <v>5</v>
      </c>
      <c r="C34051" s="4" t="s">
        <v>11</v>
      </c>
      <c r="D34051" s="4" t="s">
        <v>11</v>
      </c>
      <c r="E34051" s="4" t="s">
        <v>13</v>
      </c>
      <c r="F34051" s="4" t="s">
        <v>13</v>
      </c>
      <c r="G34051" s="4" t="s">
        <v>13</v>
      </c>
      <c r="H34051" s="4" t="s">
        <v>13</v>
      </c>
      <c r="I34051" s="4" t="s">
        <v>7</v>
      </c>
      <c r="J34051" s="4" t="s">
        <v>11</v>
      </c>
    </row>
    <row r="34052" spans="1:10">
      <c r="A34052" t="n">
        <v>331251</v>
      </c>
      <c r="B34052" s="53" t="n">
        <v>55</v>
      </c>
      <c r="C34052" s="7" t="n">
        <v>2</v>
      </c>
      <c r="D34052" s="7" t="n">
        <v>65024</v>
      </c>
      <c r="E34052" s="7" t="n">
        <v>0</v>
      </c>
      <c r="F34052" s="7" t="n">
        <v>0</v>
      </c>
      <c r="G34052" s="7" t="n">
        <v>6</v>
      </c>
      <c r="H34052" s="7" t="n">
        <v>1.20000004768372</v>
      </c>
      <c r="I34052" s="7" t="n">
        <v>1</v>
      </c>
      <c r="J34052" s="7" t="n">
        <v>0</v>
      </c>
    </row>
    <row r="34053" spans="1:10">
      <c r="A34053" t="s">
        <v>4</v>
      </c>
      <c r="B34053" s="4" t="s">
        <v>5</v>
      </c>
      <c r="C34053" s="4" t="s">
        <v>11</v>
      </c>
    </row>
    <row r="34054" spans="1:10">
      <c r="A34054" t="n">
        <v>331275</v>
      </c>
      <c r="B34054" s="29" t="n">
        <v>16</v>
      </c>
      <c r="C34054" s="7" t="n">
        <v>2000</v>
      </c>
    </row>
    <row r="34055" spans="1:10">
      <c r="A34055" t="s">
        <v>4</v>
      </c>
      <c r="B34055" s="4" t="s">
        <v>5</v>
      </c>
      <c r="C34055" s="4" t="s">
        <v>7</v>
      </c>
      <c r="D34055" s="4" t="s">
        <v>11</v>
      </c>
      <c r="E34055" s="4" t="s">
        <v>13</v>
      </c>
    </row>
    <row r="34056" spans="1:10">
      <c r="A34056" t="n">
        <v>331278</v>
      </c>
      <c r="B34056" s="23" t="n">
        <v>58</v>
      </c>
      <c r="C34056" s="7" t="n">
        <v>0</v>
      </c>
      <c r="D34056" s="7" t="n">
        <v>1000</v>
      </c>
      <c r="E34056" s="7" t="n">
        <v>1</v>
      </c>
    </row>
    <row r="34057" spans="1:10">
      <c r="A34057" t="s">
        <v>4</v>
      </c>
      <c r="B34057" s="4" t="s">
        <v>5</v>
      </c>
      <c r="C34057" s="4" t="s">
        <v>7</v>
      </c>
      <c r="D34057" s="4" t="s">
        <v>11</v>
      </c>
    </row>
    <row r="34058" spans="1:10">
      <c r="A34058" t="n">
        <v>331286</v>
      </c>
      <c r="B34058" s="23" t="n">
        <v>58</v>
      </c>
      <c r="C34058" s="7" t="n">
        <v>255</v>
      </c>
      <c r="D34058" s="7" t="n">
        <v>0</v>
      </c>
    </row>
    <row r="34059" spans="1:10">
      <c r="A34059" t="s">
        <v>4</v>
      </c>
      <c r="B34059" s="4" t="s">
        <v>5</v>
      </c>
      <c r="C34059" s="4" t="s">
        <v>11</v>
      </c>
      <c r="D34059" s="4" t="s">
        <v>7</v>
      </c>
    </row>
    <row r="34060" spans="1:10">
      <c r="A34060" t="n">
        <v>331290</v>
      </c>
      <c r="B34060" s="54" t="n">
        <v>56</v>
      </c>
      <c r="C34060" s="7" t="n">
        <v>0</v>
      </c>
      <c r="D34060" s="7" t="n">
        <v>1</v>
      </c>
    </row>
    <row r="34061" spans="1:10">
      <c r="A34061" t="s">
        <v>4</v>
      </c>
      <c r="B34061" s="4" t="s">
        <v>5</v>
      </c>
      <c r="C34061" s="4" t="s">
        <v>11</v>
      </c>
      <c r="D34061" s="4" t="s">
        <v>7</v>
      </c>
    </row>
    <row r="34062" spans="1:10">
      <c r="A34062" t="n">
        <v>331294</v>
      </c>
      <c r="B34062" s="54" t="n">
        <v>56</v>
      </c>
      <c r="C34062" s="7" t="n">
        <v>2</v>
      </c>
      <c r="D34062" s="7" t="n">
        <v>1</v>
      </c>
    </row>
    <row r="34063" spans="1:10">
      <c r="A34063" t="s">
        <v>4</v>
      </c>
      <c r="B34063" s="4" t="s">
        <v>5</v>
      </c>
      <c r="C34063" s="4" t="s">
        <v>11</v>
      </c>
      <c r="D34063" s="4" t="s">
        <v>13</v>
      </c>
      <c r="E34063" s="4" t="s">
        <v>13</v>
      </c>
      <c r="F34063" s="4" t="s">
        <v>13</v>
      </c>
      <c r="G34063" s="4" t="s">
        <v>13</v>
      </c>
    </row>
    <row r="34064" spans="1:10">
      <c r="A34064" t="n">
        <v>331298</v>
      </c>
      <c r="B34064" s="36" t="n">
        <v>46</v>
      </c>
      <c r="C34064" s="7" t="n">
        <v>0</v>
      </c>
      <c r="D34064" s="7" t="n">
        <v>-2.79999995231628</v>
      </c>
      <c r="E34064" s="7" t="n">
        <v>5.01000022888184</v>
      </c>
      <c r="F34064" s="7" t="n">
        <v>47.7099990844727</v>
      </c>
      <c r="G34064" s="7" t="n">
        <v>93.1999969482422</v>
      </c>
    </row>
    <row r="34065" spans="1:10">
      <c r="A34065" t="s">
        <v>4</v>
      </c>
      <c r="B34065" s="4" t="s">
        <v>5</v>
      </c>
      <c r="C34065" s="4" t="s">
        <v>11</v>
      </c>
      <c r="D34065" s="4" t="s">
        <v>13</v>
      </c>
      <c r="E34065" s="4" t="s">
        <v>13</v>
      </c>
      <c r="F34065" s="4" t="s">
        <v>13</v>
      </c>
      <c r="G34065" s="4" t="s">
        <v>13</v>
      </c>
    </row>
    <row r="34066" spans="1:10">
      <c r="A34066" t="n">
        <v>331317</v>
      </c>
      <c r="B34066" s="36" t="n">
        <v>46</v>
      </c>
      <c r="C34066" s="7" t="n">
        <v>2</v>
      </c>
      <c r="D34066" s="7" t="n">
        <v>-2.52999997138977</v>
      </c>
      <c r="E34066" s="7" t="n">
        <v>5.01000022888184</v>
      </c>
      <c r="F34066" s="7" t="n">
        <v>48.3499984741211</v>
      </c>
      <c r="G34066" s="7" t="n">
        <v>92.0999984741211</v>
      </c>
    </row>
    <row r="34067" spans="1:10">
      <c r="A34067" t="s">
        <v>4</v>
      </c>
      <c r="B34067" s="4" t="s">
        <v>5</v>
      </c>
      <c r="C34067" s="4" t="s">
        <v>11</v>
      </c>
      <c r="D34067" s="4" t="s">
        <v>11</v>
      </c>
      <c r="E34067" s="4" t="s">
        <v>11</v>
      </c>
    </row>
    <row r="34068" spans="1:10">
      <c r="A34068" t="n">
        <v>331336</v>
      </c>
      <c r="B34068" s="72" t="n">
        <v>61</v>
      </c>
      <c r="C34068" s="7" t="n">
        <v>0</v>
      </c>
      <c r="D34068" s="7" t="n">
        <v>65533</v>
      </c>
      <c r="E34068" s="7" t="n">
        <v>0</v>
      </c>
    </row>
    <row r="34069" spans="1:10">
      <c r="A34069" t="s">
        <v>4</v>
      </c>
      <c r="B34069" s="4" t="s">
        <v>5</v>
      </c>
      <c r="C34069" s="4" t="s">
        <v>11</v>
      </c>
      <c r="D34069" s="4" t="s">
        <v>11</v>
      </c>
      <c r="E34069" s="4" t="s">
        <v>11</v>
      </c>
    </row>
    <row r="34070" spans="1:10">
      <c r="A34070" t="n">
        <v>331343</v>
      </c>
      <c r="B34070" s="72" t="n">
        <v>61</v>
      </c>
      <c r="C34070" s="7" t="n">
        <v>2</v>
      </c>
      <c r="D34070" s="7" t="n">
        <v>65533</v>
      </c>
      <c r="E34070" s="7" t="n">
        <v>0</v>
      </c>
    </row>
    <row r="34071" spans="1:10">
      <c r="A34071" t="s">
        <v>4</v>
      </c>
      <c r="B34071" s="4" t="s">
        <v>5</v>
      </c>
      <c r="C34071" s="4" t="s">
        <v>7</v>
      </c>
      <c r="D34071" s="4" t="s">
        <v>7</v>
      </c>
      <c r="E34071" s="4" t="s">
        <v>13</v>
      </c>
      <c r="F34071" s="4" t="s">
        <v>13</v>
      </c>
      <c r="G34071" s="4" t="s">
        <v>13</v>
      </c>
      <c r="H34071" s="4" t="s">
        <v>11</v>
      </c>
    </row>
    <row r="34072" spans="1:10">
      <c r="A34072" t="n">
        <v>331350</v>
      </c>
      <c r="B34072" s="51" t="n">
        <v>45</v>
      </c>
      <c r="C34072" s="7" t="n">
        <v>2</v>
      </c>
      <c r="D34072" s="7" t="n">
        <v>3</v>
      </c>
      <c r="E34072" s="7" t="n">
        <v>4.63000011444092</v>
      </c>
      <c r="F34072" s="7" t="n">
        <v>7.19000005722046</v>
      </c>
      <c r="G34072" s="7" t="n">
        <v>46.8600006103516</v>
      </c>
      <c r="H34072" s="7" t="n">
        <v>0</v>
      </c>
    </row>
    <row r="34073" spans="1:10">
      <c r="A34073" t="s">
        <v>4</v>
      </c>
      <c r="B34073" s="4" t="s">
        <v>5</v>
      </c>
      <c r="C34073" s="4" t="s">
        <v>7</v>
      </c>
      <c r="D34073" s="4" t="s">
        <v>7</v>
      </c>
      <c r="E34073" s="4" t="s">
        <v>13</v>
      </c>
      <c r="F34073" s="4" t="s">
        <v>13</v>
      </c>
      <c r="G34073" s="4" t="s">
        <v>13</v>
      </c>
      <c r="H34073" s="4" t="s">
        <v>11</v>
      </c>
      <c r="I34073" s="4" t="s">
        <v>7</v>
      </c>
    </row>
    <row r="34074" spans="1:10">
      <c r="A34074" t="n">
        <v>331367</v>
      </c>
      <c r="B34074" s="51" t="n">
        <v>45</v>
      </c>
      <c r="C34074" s="7" t="n">
        <v>4</v>
      </c>
      <c r="D34074" s="7" t="n">
        <v>3</v>
      </c>
      <c r="E34074" s="7" t="n">
        <v>8</v>
      </c>
      <c r="F34074" s="7" t="n">
        <v>248.259994506836</v>
      </c>
      <c r="G34074" s="7" t="n">
        <v>0</v>
      </c>
      <c r="H34074" s="7" t="n">
        <v>0</v>
      </c>
      <c r="I34074" s="7" t="n">
        <v>0</v>
      </c>
    </row>
    <row r="34075" spans="1:10">
      <c r="A34075" t="s">
        <v>4</v>
      </c>
      <c r="B34075" s="4" t="s">
        <v>5</v>
      </c>
      <c r="C34075" s="4" t="s">
        <v>7</v>
      </c>
      <c r="D34075" s="4" t="s">
        <v>7</v>
      </c>
      <c r="E34075" s="4" t="s">
        <v>13</v>
      </c>
      <c r="F34075" s="4" t="s">
        <v>11</v>
      </c>
    </row>
    <row r="34076" spans="1:10">
      <c r="A34076" t="n">
        <v>331385</v>
      </c>
      <c r="B34076" s="51" t="n">
        <v>45</v>
      </c>
      <c r="C34076" s="7" t="n">
        <v>5</v>
      </c>
      <c r="D34076" s="7" t="n">
        <v>3</v>
      </c>
      <c r="E34076" s="7" t="n">
        <v>2.29999995231628</v>
      </c>
      <c r="F34076" s="7" t="n">
        <v>0</v>
      </c>
    </row>
    <row r="34077" spans="1:10">
      <c r="A34077" t="s">
        <v>4</v>
      </c>
      <c r="B34077" s="4" t="s">
        <v>5</v>
      </c>
      <c r="C34077" s="4" t="s">
        <v>7</v>
      </c>
      <c r="D34077" s="4" t="s">
        <v>7</v>
      </c>
      <c r="E34077" s="4" t="s">
        <v>13</v>
      </c>
      <c r="F34077" s="4" t="s">
        <v>11</v>
      </c>
    </row>
    <row r="34078" spans="1:10">
      <c r="A34078" t="n">
        <v>331394</v>
      </c>
      <c r="B34078" s="51" t="n">
        <v>45</v>
      </c>
      <c r="C34078" s="7" t="n">
        <v>11</v>
      </c>
      <c r="D34078" s="7" t="n">
        <v>3</v>
      </c>
      <c r="E34078" s="7" t="n">
        <v>34</v>
      </c>
      <c r="F34078" s="7" t="n">
        <v>0</v>
      </c>
    </row>
    <row r="34079" spans="1:10">
      <c r="A34079" t="s">
        <v>4</v>
      </c>
      <c r="B34079" s="4" t="s">
        <v>5</v>
      </c>
      <c r="C34079" s="4" t="s">
        <v>7</v>
      </c>
      <c r="D34079" s="4" t="s">
        <v>7</v>
      </c>
      <c r="E34079" s="4" t="s">
        <v>13</v>
      </c>
      <c r="F34079" s="4" t="s">
        <v>13</v>
      </c>
      <c r="G34079" s="4" t="s">
        <v>13</v>
      </c>
      <c r="H34079" s="4" t="s">
        <v>11</v>
      </c>
    </row>
    <row r="34080" spans="1:10">
      <c r="A34080" t="n">
        <v>331403</v>
      </c>
      <c r="B34080" s="51" t="n">
        <v>45</v>
      </c>
      <c r="C34080" s="7" t="n">
        <v>2</v>
      </c>
      <c r="D34080" s="7" t="n">
        <v>3</v>
      </c>
      <c r="E34080" s="7" t="n">
        <v>-0.560000002384186</v>
      </c>
      <c r="F34080" s="7" t="n">
        <v>6.34000015258789</v>
      </c>
      <c r="G34080" s="7" t="n">
        <v>47.1399993896484</v>
      </c>
      <c r="H34080" s="7" t="n">
        <v>6000</v>
      </c>
    </row>
    <row r="34081" spans="1:9">
      <c r="A34081" t="s">
        <v>4</v>
      </c>
      <c r="B34081" s="4" t="s">
        <v>5</v>
      </c>
      <c r="C34081" s="4" t="s">
        <v>7</v>
      </c>
      <c r="D34081" s="4" t="s">
        <v>7</v>
      </c>
      <c r="E34081" s="4" t="s">
        <v>13</v>
      </c>
      <c r="F34081" s="4" t="s">
        <v>13</v>
      </c>
      <c r="G34081" s="4" t="s">
        <v>13</v>
      </c>
      <c r="H34081" s="4" t="s">
        <v>11</v>
      </c>
      <c r="I34081" s="4" t="s">
        <v>7</v>
      </c>
    </row>
    <row r="34082" spans="1:9">
      <c r="A34082" t="n">
        <v>331420</v>
      </c>
      <c r="B34082" s="51" t="n">
        <v>45</v>
      </c>
      <c r="C34082" s="7" t="n">
        <v>4</v>
      </c>
      <c r="D34082" s="7" t="n">
        <v>3</v>
      </c>
      <c r="E34082" s="7" t="n">
        <v>5.32999992370605</v>
      </c>
      <c r="F34082" s="7" t="n">
        <v>130.860000610352</v>
      </c>
      <c r="G34082" s="7" t="n">
        <v>0</v>
      </c>
      <c r="H34082" s="7" t="n">
        <v>6000</v>
      </c>
      <c r="I34082" s="7" t="n">
        <v>0</v>
      </c>
    </row>
    <row r="34083" spans="1:9">
      <c r="A34083" t="s">
        <v>4</v>
      </c>
      <c r="B34083" s="4" t="s">
        <v>5</v>
      </c>
      <c r="C34083" s="4" t="s">
        <v>7</v>
      </c>
      <c r="D34083" s="4" t="s">
        <v>11</v>
      </c>
      <c r="E34083" s="4" t="s">
        <v>13</v>
      </c>
    </row>
    <row r="34084" spans="1:9">
      <c r="A34084" t="n">
        <v>331438</v>
      </c>
      <c r="B34084" s="23" t="n">
        <v>58</v>
      </c>
      <c r="C34084" s="7" t="n">
        <v>100</v>
      </c>
      <c r="D34084" s="7" t="n">
        <v>1000</v>
      </c>
      <c r="E34084" s="7" t="n">
        <v>1</v>
      </c>
    </row>
    <row r="34085" spans="1:9">
      <c r="A34085" t="s">
        <v>4</v>
      </c>
      <c r="B34085" s="4" t="s">
        <v>5</v>
      </c>
      <c r="C34085" s="4" t="s">
        <v>7</v>
      </c>
      <c r="D34085" s="4" t="s">
        <v>11</v>
      </c>
    </row>
    <row r="34086" spans="1:9">
      <c r="A34086" t="n">
        <v>331446</v>
      </c>
      <c r="B34086" s="23" t="n">
        <v>58</v>
      </c>
      <c r="C34086" s="7" t="n">
        <v>255</v>
      </c>
      <c r="D34086" s="7" t="n">
        <v>0</v>
      </c>
    </row>
    <row r="34087" spans="1:9">
      <c r="A34087" t="s">
        <v>4</v>
      </c>
      <c r="B34087" s="4" t="s">
        <v>5</v>
      </c>
      <c r="C34087" s="4" t="s">
        <v>8</v>
      </c>
      <c r="D34087" s="4" t="s">
        <v>8</v>
      </c>
    </row>
    <row r="34088" spans="1:9">
      <c r="A34088" t="n">
        <v>331450</v>
      </c>
      <c r="B34088" s="52" t="n">
        <v>70</v>
      </c>
      <c r="C34088" s="7" t="s">
        <v>934</v>
      </c>
      <c r="D34088" s="7" t="s">
        <v>109</v>
      </c>
    </row>
    <row r="34089" spans="1:9">
      <c r="A34089" t="s">
        <v>4</v>
      </c>
      <c r="B34089" s="4" t="s">
        <v>5</v>
      </c>
      <c r="C34089" s="4" t="s">
        <v>11</v>
      </c>
    </row>
    <row r="34090" spans="1:9">
      <c r="A34090" t="n">
        <v>331467</v>
      </c>
      <c r="B34090" s="29" t="n">
        <v>16</v>
      </c>
      <c r="C34090" s="7" t="n">
        <v>3000</v>
      </c>
    </row>
    <row r="34091" spans="1:9">
      <c r="A34091" t="s">
        <v>4</v>
      </c>
      <c r="B34091" s="4" t="s">
        <v>5</v>
      </c>
      <c r="C34091" s="4" t="s">
        <v>11</v>
      </c>
      <c r="D34091" s="4" t="s">
        <v>7</v>
      </c>
      <c r="E34091" s="4" t="s">
        <v>13</v>
      </c>
      <c r="F34091" s="4" t="s">
        <v>11</v>
      </c>
    </row>
    <row r="34092" spans="1:9">
      <c r="A34092" t="n">
        <v>331470</v>
      </c>
      <c r="B34092" s="56" t="n">
        <v>59</v>
      </c>
      <c r="C34092" s="7" t="n">
        <v>2</v>
      </c>
      <c r="D34092" s="7" t="n">
        <v>9</v>
      </c>
      <c r="E34092" s="7" t="n">
        <v>0.150000005960464</v>
      </c>
      <c r="F34092" s="7" t="n">
        <v>0</v>
      </c>
    </row>
    <row r="34093" spans="1:9">
      <c r="A34093" t="s">
        <v>4</v>
      </c>
      <c r="B34093" s="4" t="s">
        <v>5</v>
      </c>
      <c r="C34093" s="4" t="s">
        <v>11</v>
      </c>
      <c r="D34093" s="4" t="s">
        <v>13</v>
      </c>
      <c r="E34093" s="4" t="s">
        <v>13</v>
      </c>
      <c r="F34093" s="4" t="s">
        <v>13</v>
      </c>
      <c r="G34093" s="4" t="s">
        <v>11</v>
      </c>
      <c r="H34093" s="4" t="s">
        <v>11</v>
      </c>
    </row>
    <row r="34094" spans="1:9">
      <c r="A34094" t="n">
        <v>331480</v>
      </c>
      <c r="B34094" s="37" t="n">
        <v>60</v>
      </c>
      <c r="C34094" s="7" t="n">
        <v>2</v>
      </c>
      <c r="D34094" s="7" t="n">
        <v>-45</v>
      </c>
      <c r="E34094" s="7" t="n">
        <v>0</v>
      </c>
      <c r="F34094" s="7" t="n">
        <v>0</v>
      </c>
      <c r="G34094" s="7" t="n">
        <v>1000</v>
      </c>
      <c r="H34094" s="7" t="n">
        <v>0</v>
      </c>
    </row>
    <row r="34095" spans="1:9">
      <c r="A34095" t="s">
        <v>4</v>
      </c>
      <c r="B34095" s="4" t="s">
        <v>5</v>
      </c>
      <c r="C34095" s="4" t="s">
        <v>11</v>
      </c>
    </row>
    <row r="34096" spans="1:9">
      <c r="A34096" t="n">
        <v>331499</v>
      </c>
      <c r="B34096" s="29" t="n">
        <v>16</v>
      </c>
      <c r="C34096" s="7" t="n">
        <v>1000</v>
      </c>
    </row>
    <row r="34097" spans="1:9">
      <c r="A34097" t="s">
        <v>4</v>
      </c>
      <c r="B34097" s="4" t="s">
        <v>5</v>
      </c>
      <c r="C34097" s="4" t="s">
        <v>11</v>
      </c>
      <c r="D34097" s="4" t="s">
        <v>13</v>
      </c>
      <c r="E34097" s="4" t="s">
        <v>13</v>
      </c>
      <c r="F34097" s="4" t="s">
        <v>13</v>
      </c>
      <c r="G34097" s="4" t="s">
        <v>11</v>
      </c>
      <c r="H34097" s="4" t="s">
        <v>11</v>
      </c>
    </row>
    <row r="34098" spans="1:9">
      <c r="A34098" t="n">
        <v>331502</v>
      </c>
      <c r="B34098" s="37" t="n">
        <v>60</v>
      </c>
      <c r="C34098" s="7" t="n">
        <v>2</v>
      </c>
      <c r="D34098" s="7" t="n">
        <v>45</v>
      </c>
      <c r="E34098" s="7" t="n">
        <v>0</v>
      </c>
      <c r="F34098" s="7" t="n">
        <v>0</v>
      </c>
      <c r="G34098" s="7" t="n">
        <v>1000</v>
      </c>
      <c r="H34098" s="7" t="n">
        <v>0</v>
      </c>
    </row>
    <row r="34099" spans="1:9">
      <c r="A34099" t="s">
        <v>4</v>
      </c>
      <c r="B34099" s="4" t="s">
        <v>5</v>
      </c>
      <c r="C34099" s="4" t="s">
        <v>11</v>
      </c>
    </row>
    <row r="34100" spans="1:9">
      <c r="A34100" t="n">
        <v>331521</v>
      </c>
      <c r="B34100" s="29" t="n">
        <v>16</v>
      </c>
      <c r="C34100" s="7" t="n">
        <v>1000</v>
      </c>
    </row>
    <row r="34101" spans="1:9">
      <c r="A34101" t="s">
        <v>4</v>
      </c>
      <c r="B34101" s="4" t="s">
        <v>5</v>
      </c>
      <c r="C34101" s="4" t="s">
        <v>11</v>
      </c>
      <c r="D34101" s="4" t="s">
        <v>13</v>
      </c>
      <c r="E34101" s="4" t="s">
        <v>13</v>
      </c>
      <c r="F34101" s="4" t="s">
        <v>13</v>
      </c>
      <c r="G34101" s="4" t="s">
        <v>11</v>
      </c>
      <c r="H34101" s="4" t="s">
        <v>11</v>
      </c>
    </row>
    <row r="34102" spans="1:9">
      <c r="A34102" t="n">
        <v>331524</v>
      </c>
      <c r="B34102" s="37" t="n">
        <v>60</v>
      </c>
      <c r="C34102" s="7" t="n">
        <v>2</v>
      </c>
      <c r="D34102" s="7" t="n">
        <v>0</v>
      </c>
      <c r="E34102" s="7" t="n">
        <v>0</v>
      </c>
      <c r="F34102" s="7" t="n">
        <v>0</v>
      </c>
      <c r="G34102" s="7" t="n">
        <v>500</v>
      </c>
      <c r="H34102" s="7" t="n">
        <v>0</v>
      </c>
    </row>
    <row r="34103" spans="1:9">
      <c r="A34103" t="s">
        <v>4</v>
      </c>
      <c r="B34103" s="4" t="s">
        <v>5</v>
      </c>
      <c r="C34103" s="4" t="s">
        <v>11</v>
      </c>
    </row>
    <row r="34104" spans="1:9">
      <c r="A34104" t="n">
        <v>331543</v>
      </c>
      <c r="B34104" s="29" t="n">
        <v>16</v>
      </c>
      <c r="C34104" s="7" t="n">
        <v>1000</v>
      </c>
    </row>
    <row r="34105" spans="1:9">
      <c r="A34105" t="s">
        <v>4</v>
      </c>
      <c r="B34105" s="4" t="s">
        <v>5</v>
      </c>
      <c r="C34105" s="4" t="s">
        <v>7</v>
      </c>
      <c r="D34105" s="4" t="s">
        <v>11</v>
      </c>
    </row>
    <row r="34106" spans="1:9">
      <c r="A34106" t="n">
        <v>331546</v>
      </c>
      <c r="B34106" s="51" t="n">
        <v>45</v>
      </c>
      <c r="C34106" s="7" t="n">
        <v>7</v>
      </c>
      <c r="D34106" s="7" t="n">
        <v>255</v>
      </c>
    </row>
    <row r="34107" spans="1:9">
      <c r="A34107" t="s">
        <v>4</v>
      </c>
      <c r="B34107" s="4" t="s">
        <v>5</v>
      </c>
      <c r="C34107" s="4" t="s">
        <v>7</v>
      </c>
      <c r="D34107" s="4" t="s">
        <v>11</v>
      </c>
      <c r="E34107" s="4" t="s">
        <v>13</v>
      </c>
    </row>
    <row r="34108" spans="1:9">
      <c r="A34108" t="n">
        <v>331550</v>
      </c>
      <c r="B34108" s="23" t="n">
        <v>58</v>
      </c>
      <c r="C34108" s="7" t="n">
        <v>0</v>
      </c>
      <c r="D34108" s="7" t="n">
        <v>1000</v>
      </c>
      <c r="E34108" s="7" t="n">
        <v>1</v>
      </c>
    </row>
    <row r="34109" spans="1:9">
      <c r="A34109" t="s">
        <v>4</v>
      </c>
      <c r="B34109" s="4" t="s">
        <v>5</v>
      </c>
      <c r="C34109" s="4" t="s">
        <v>7</v>
      </c>
      <c r="D34109" s="4" t="s">
        <v>11</v>
      </c>
    </row>
    <row r="34110" spans="1:9">
      <c r="A34110" t="n">
        <v>331558</v>
      </c>
      <c r="B34110" s="23" t="n">
        <v>58</v>
      </c>
      <c r="C34110" s="7" t="n">
        <v>255</v>
      </c>
      <c r="D34110" s="7" t="n">
        <v>0</v>
      </c>
    </row>
    <row r="34111" spans="1:9">
      <c r="A34111" t="s">
        <v>4</v>
      </c>
      <c r="B34111" s="4" t="s">
        <v>5</v>
      </c>
      <c r="C34111" s="4" t="s">
        <v>8</v>
      </c>
      <c r="D34111" s="4" t="s">
        <v>8</v>
      </c>
    </row>
    <row r="34112" spans="1:9">
      <c r="A34112" t="n">
        <v>331562</v>
      </c>
      <c r="B34112" s="52" t="n">
        <v>70</v>
      </c>
      <c r="C34112" s="7" t="s">
        <v>934</v>
      </c>
      <c r="D34112" s="7" t="s">
        <v>118</v>
      </c>
    </row>
    <row r="34113" spans="1:8">
      <c r="A34113" t="s">
        <v>4</v>
      </c>
      <c r="B34113" s="4" t="s">
        <v>5</v>
      </c>
      <c r="C34113" s="4" t="s">
        <v>11</v>
      </c>
      <c r="D34113" s="4" t="s">
        <v>11</v>
      </c>
      <c r="E34113" s="4" t="s">
        <v>11</v>
      </c>
    </row>
    <row r="34114" spans="1:8">
      <c r="A34114" t="n">
        <v>331578</v>
      </c>
      <c r="B34114" s="72" t="n">
        <v>61</v>
      </c>
      <c r="C34114" s="7" t="n">
        <v>0</v>
      </c>
      <c r="D34114" s="7" t="n">
        <v>65533</v>
      </c>
      <c r="E34114" s="7" t="n">
        <v>1000</v>
      </c>
    </row>
    <row r="34115" spans="1:8">
      <c r="A34115" t="s">
        <v>4</v>
      </c>
      <c r="B34115" s="4" t="s">
        <v>5</v>
      </c>
      <c r="C34115" s="4" t="s">
        <v>11</v>
      </c>
      <c r="D34115" s="4" t="s">
        <v>11</v>
      </c>
      <c r="E34115" s="4" t="s">
        <v>11</v>
      </c>
    </row>
    <row r="34116" spans="1:8">
      <c r="A34116" t="n">
        <v>331585</v>
      </c>
      <c r="B34116" s="72" t="n">
        <v>61</v>
      </c>
      <c r="C34116" s="7" t="n">
        <v>2</v>
      </c>
      <c r="D34116" s="7" t="n">
        <v>65533</v>
      </c>
      <c r="E34116" s="7" t="n">
        <v>1000</v>
      </c>
    </row>
    <row r="34117" spans="1:8">
      <c r="A34117" t="s">
        <v>4</v>
      </c>
      <c r="B34117" s="4" t="s">
        <v>5</v>
      </c>
      <c r="C34117" s="4" t="s">
        <v>11</v>
      </c>
      <c r="D34117" s="4" t="s">
        <v>13</v>
      </c>
      <c r="E34117" s="4" t="s">
        <v>13</v>
      </c>
      <c r="F34117" s="4" t="s">
        <v>13</v>
      </c>
      <c r="G34117" s="4" t="s">
        <v>13</v>
      </c>
    </row>
    <row r="34118" spans="1:8">
      <c r="A34118" t="n">
        <v>331592</v>
      </c>
      <c r="B34118" s="36" t="n">
        <v>46</v>
      </c>
      <c r="C34118" s="7" t="n">
        <v>0</v>
      </c>
      <c r="D34118" s="7" t="n">
        <v>-2.66000008583069</v>
      </c>
      <c r="E34118" s="7" t="n">
        <v>5.01000022888184</v>
      </c>
      <c r="F34118" s="7" t="n">
        <v>32.189998626709</v>
      </c>
      <c r="G34118" s="7" t="n">
        <v>90</v>
      </c>
    </row>
    <row r="34119" spans="1:8">
      <c r="A34119" t="s">
        <v>4</v>
      </c>
      <c r="B34119" s="4" t="s">
        <v>5</v>
      </c>
      <c r="C34119" s="4" t="s">
        <v>11</v>
      </c>
      <c r="D34119" s="4" t="s">
        <v>13</v>
      </c>
      <c r="E34119" s="4" t="s">
        <v>13</v>
      </c>
      <c r="F34119" s="4" t="s">
        <v>13</v>
      </c>
      <c r="G34119" s="4" t="s">
        <v>13</v>
      </c>
    </row>
    <row r="34120" spans="1:8">
      <c r="A34120" t="n">
        <v>331611</v>
      </c>
      <c r="B34120" s="36" t="n">
        <v>46</v>
      </c>
      <c r="C34120" s="7" t="n">
        <v>2</v>
      </c>
      <c r="D34120" s="7" t="n">
        <v>-3.16000008583069</v>
      </c>
      <c r="E34120" s="7" t="n">
        <v>5.01000022888184</v>
      </c>
      <c r="F34120" s="7" t="n">
        <v>31.7900009155273</v>
      </c>
      <c r="G34120" s="7" t="n">
        <v>90</v>
      </c>
    </row>
    <row r="34121" spans="1:8">
      <c r="A34121" t="s">
        <v>4</v>
      </c>
      <c r="B34121" s="4" t="s">
        <v>5</v>
      </c>
      <c r="C34121" s="4" t="s">
        <v>7</v>
      </c>
      <c r="D34121" s="4" t="s">
        <v>7</v>
      </c>
      <c r="E34121" s="4" t="s">
        <v>13</v>
      </c>
      <c r="F34121" s="4" t="s">
        <v>13</v>
      </c>
      <c r="G34121" s="4" t="s">
        <v>13</v>
      </c>
      <c r="H34121" s="4" t="s">
        <v>11</v>
      </c>
    </row>
    <row r="34122" spans="1:8">
      <c r="A34122" t="n">
        <v>331630</v>
      </c>
      <c r="B34122" s="51" t="n">
        <v>45</v>
      </c>
      <c r="C34122" s="7" t="n">
        <v>2</v>
      </c>
      <c r="D34122" s="7" t="n">
        <v>3</v>
      </c>
      <c r="E34122" s="7" t="n">
        <v>6.82000017166138</v>
      </c>
      <c r="F34122" s="7" t="n">
        <v>6.17999982833862</v>
      </c>
      <c r="G34122" s="7" t="n">
        <v>32.2799987792969</v>
      </c>
      <c r="H34122" s="7" t="n">
        <v>0</v>
      </c>
    </row>
    <row r="34123" spans="1:8">
      <c r="A34123" t="s">
        <v>4</v>
      </c>
      <c r="B34123" s="4" t="s">
        <v>5</v>
      </c>
      <c r="C34123" s="4" t="s">
        <v>7</v>
      </c>
      <c r="D34123" s="4" t="s">
        <v>7</v>
      </c>
      <c r="E34123" s="4" t="s">
        <v>13</v>
      </c>
      <c r="F34123" s="4" t="s">
        <v>13</v>
      </c>
      <c r="G34123" s="4" t="s">
        <v>13</v>
      </c>
      <c r="H34123" s="4" t="s">
        <v>11</v>
      </c>
      <c r="I34123" s="4" t="s">
        <v>7</v>
      </c>
    </row>
    <row r="34124" spans="1:8">
      <c r="A34124" t="n">
        <v>331647</v>
      </c>
      <c r="B34124" s="51" t="n">
        <v>45</v>
      </c>
      <c r="C34124" s="7" t="n">
        <v>4</v>
      </c>
      <c r="D34124" s="7" t="n">
        <v>3</v>
      </c>
      <c r="E34124" s="7" t="n">
        <v>358.239990234375</v>
      </c>
      <c r="F34124" s="7" t="n">
        <v>344.200012207031</v>
      </c>
      <c r="G34124" s="7" t="n">
        <v>0</v>
      </c>
      <c r="H34124" s="7" t="n">
        <v>0</v>
      </c>
      <c r="I34124" s="7" t="n">
        <v>0</v>
      </c>
    </row>
    <row r="34125" spans="1:8">
      <c r="A34125" t="s">
        <v>4</v>
      </c>
      <c r="B34125" s="4" t="s">
        <v>5</v>
      </c>
      <c r="C34125" s="4" t="s">
        <v>7</v>
      </c>
      <c r="D34125" s="4" t="s">
        <v>7</v>
      </c>
      <c r="E34125" s="4" t="s">
        <v>13</v>
      </c>
      <c r="F34125" s="4" t="s">
        <v>11</v>
      </c>
    </row>
    <row r="34126" spans="1:8">
      <c r="A34126" t="n">
        <v>331665</v>
      </c>
      <c r="B34126" s="51" t="n">
        <v>45</v>
      </c>
      <c r="C34126" s="7" t="n">
        <v>5</v>
      </c>
      <c r="D34126" s="7" t="n">
        <v>3</v>
      </c>
      <c r="E34126" s="7" t="n">
        <v>3.40000009536743</v>
      </c>
      <c r="F34126" s="7" t="n">
        <v>0</v>
      </c>
    </row>
    <row r="34127" spans="1:8">
      <c r="A34127" t="s">
        <v>4</v>
      </c>
      <c r="B34127" s="4" t="s">
        <v>5</v>
      </c>
      <c r="C34127" s="4" t="s">
        <v>7</v>
      </c>
      <c r="D34127" s="4" t="s">
        <v>7</v>
      </c>
      <c r="E34127" s="4" t="s">
        <v>13</v>
      </c>
      <c r="F34127" s="4" t="s">
        <v>11</v>
      </c>
    </row>
    <row r="34128" spans="1:8">
      <c r="A34128" t="n">
        <v>331674</v>
      </c>
      <c r="B34128" s="51" t="n">
        <v>45</v>
      </c>
      <c r="C34128" s="7" t="n">
        <v>11</v>
      </c>
      <c r="D34128" s="7" t="n">
        <v>3</v>
      </c>
      <c r="E34128" s="7" t="n">
        <v>40.2999992370605</v>
      </c>
      <c r="F34128" s="7" t="n">
        <v>0</v>
      </c>
    </row>
    <row r="34129" spans="1:9">
      <c r="A34129" t="s">
        <v>4</v>
      </c>
      <c r="B34129" s="4" t="s">
        <v>5</v>
      </c>
      <c r="C34129" s="4" t="s">
        <v>7</v>
      </c>
      <c r="D34129" s="4" t="s">
        <v>7</v>
      </c>
      <c r="E34129" s="4" t="s">
        <v>13</v>
      </c>
      <c r="F34129" s="4" t="s">
        <v>13</v>
      </c>
      <c r="G34129" s="4" t="s">
        <v>13</v>
      </c>
      <c r="H34129" s="4" t="s">
        <v>11</v>
      </c>
    </row>
    <row r="34130" spans="1:9">
      <c r="A34130" t="n">
        <v>331683</v>
      </c>
      <c r="B34130" s="51" t="n">
        <v>45</v>
      </c>
      <c r="C34130" s="7" t="n">
        <v>2</v>
      </c>
      <c r="D34130" s="7" t="n">
        <v>3</v>
      </c>
      <c r="E34130" s="7" t="n">
        <v>-2.55999994277954</v>
      </c>
      <c r="F34130" s="7" t="n">
        <v>6.17999982833862</v>
      </c>
      <c r="G34130" s="7" t="n">
        <v>32.1800003051758</v>
      </c>
      <c r="H34130" s="7" t="n">
        <v>6000</v>
      </c>
    </row>
    <row r="34131" spans="1:9">
      <c r="A34131" t="s">
        <v>4</v>
      </c>
      <c r="B34131" s="4" t="s">
        <v>5</v>
      </c>
      <c r="C34131" s="4" t="s">
        <v>7</v>
      </c>
      <c r="D34131" s="4" t="s">
        <v>7</v>
      </c>
      <c r="E34131" s="4" t="s">
        <v>13</v>
      </c>
      <c r="F34131" s="4" t="s">
        <v>13</v>
      </c>
      <c r="G34131" s="4" t="s">
        <v>13</v>
      </c>
      <c r="H34131" s="4" t="s">
        <v>11</v>
      </c>
      <c r="I34131" s="4" t="s">
        <v>7</v>
      </c>
    </row>
    <row r="34132" spans="1:9">
      <c r="A34132" t="n">
        <v>331700</v>
      </c>
      <c r="B34132" s="51" t="n">
        <v>45</v>
      </c>
      <c r="C34132" s="7" t="n">
        <v>4</v>
      </c>
      <c r="D34132" s="7" t="n">
        <v>3</v>
      </c>
      <c r="E34132" s="7" t="n">
        <v>12.2700004577637</v>
      </c>
      <c r="F34132" s="7" t="n">
        <v>75.7099990844727</v>
      </c>
      <c r="G34132" s="7" t="n">
        <v>0</v>
      </c>
      <c r="H34132" s="7" t="n">
        <v>6000</v>
      </c>
      <c r="I34132" s="7" t="n">
        <v>1</v>
      </c>
    </row>
    <row r="34133" spans="1:9">
      <c r="A34133" t="s">
        <v>4</v>
      </c>
      <c r="B34133" s="4" t="s">
        <v>5</v>
      </c>
      <c r="C34133" s="4" t="s">
        <v>7</v>
      </c>
      <c r="D34133" s="4" t="s">
        <v>7</v>
      </c>
      <c r="E34133" s="4" t="s">
        <v>13</v>
      </c>
      <c r="F34133" s="4" t="s">
        <v>11</v>
      </c>
    </row>
    <row r="34134" spans="1:9">
      <c r="A34134" t="n">
        <v>331718</v>
      </c>
      <c r="B34134" s="51" t="n">
        <v>45</v>
      </c>
      <c r="C34134" s="7" t="n">
        <v>5</v>
      </c>
      <c r="D34134" s="7" t="n">
        <v>3</v>
      </c>
      <c r="E34134" s="7" t="n">
        <v>2.70000004768372</v>
      </c>
      <c r="F34134" s="7" t="n">
        <v>6000</v>
      </c>
    </row>
    <row r="34135" spans="1:9">
      <c r="A34135" t="s">
        <v>4</v>
      </c>
      <c r="B34135" s="4" t="s">
        <v>5</v>
      </c>
      <c r="C34135" s="4" t="s">
        <v>7</v>
      </c>
      <c r="D34135" s="4" t="s">
        <v>11</v>
      </c>
      <c r="E34135" s="4" t="s">
        <v>13</v>
      </c>
    </row>
    <row r="34136" spans="1:9">
      <c r="A34136" t="n">
        <v>331727</v>
      </c>
      <c r="B34136" s="23" t="n">
        <v>58</v>
      </c>
      <c r="C34136" s="7" t="n">
        <v>100</v>
      </c>
      <c r="D34136" s="7" t="n">
        <v>1000</v>
      </c>
      <c r="E34136" s="7" t="n">
        <v>1</v>
      </c>
    </row>
    <row r="34137" spans="1:9">
      <c r="A34137" t="s">
        <v>4</v>
      </c>
      <c r="B34137" s="4" t="s">
        <v>5</v>
      </c>
      <c r="C34137" s="4" t="s">
        <v>7</v>
      </c>
      <c r="D34137" s="4" t="s">
        <v>11</v>
      </c>
    </row>
    <row r="34138" spans="1:9">
      <c r="A34138" t="n">
        <v>331735</v>
      </c>
      <c r="B34138" s="23" t="n">
        <v>58</v>
      </c>
      <c r="C34138" s="7" t="n">
        <v>255</v>
      </c>
      <c r="D34138" s="7" t="n">
        <v>0</v>
      </c>
    </row>
    <row r="34139" spans="1:9">
      <c r="A34139" t="s">
        <v>4</v>
      </c>
      <c r="B34139" s="4" t="s">
        <v>5</v>
      </c>
      <c r="C34139" s="4" t="s">
        <v>8</v>
      </c>
      <c r="D34139" s="4" t="s">
        <v>8</v>
      </c>
    </row>
    <row r="34140" spans="1:9">
      <c r="A34140" t="n">
        <v>331739</v>
      </c>
      <c r="B34140" s="52" t="n">
        <v>70</v>
      </c>
      <c r="C34140" s="7" t="s">
        <v>24</v>
      </c>
      <c r="D34140" s="7" t="s">
        <v>109</v>
      </c>
    </row>
    <row r="34141" spans="1:9">
      <c r="A34141" t="s">
        <v>4</v>
      </c>
      <c r="B34141" s="4" t="s">
        <v>5</v>
      </c>
      <c r="C34141" s="4" t="s">
        <v>11</v>
      </c>
    </row>
    <row r="34142" spans="1:9">
      <c r="A34142" t="n">
        <v>331756</v>
      </c>
      <c r="B34142" s="29" t="n">
        <v>16</v>
      </c>
      <c r="C34142" s="7" t="n">
        <v>4000</v>
      </c>
    </row>
    <row r="34143" spans="1:9">
      <c r="A34143" t="s">
        <v>4</v>
      </c>
      <c r="B34143" s="4" t="s">
        <v>5</v>
      </c>
      <c r="C34143" s="4" t="s">
        <v>11</v>
      </c>
      <c r="D34143" s="4" t="s">
        <v>7</v>
      </c>
      <c r="E34143" s="4" t="s">
        <v>13</v>
      </c>
      <c r="F34143" s="4" t="s">
        <v>11</v>
      </c>
    </row>
    <row r="34144" spans="1:9">
      <c r="A34144" t="n">
        <v>331759</v>
      </c>
      <c r="B34144" s="56" t="n">
        <v>59</v>
      </c>
      <c r="C34144" s="7" t="n">
        <v>0</v>
      </c>
      <c r="D34144" s="7" t="n">
        <v>9</v>
      </c>
      <c r="E34144" s="7" t="n">
        <v>0.150000005960464</v>
      </c>
      <c r="F34144" s="7" t="n">
        <v>0</v>
      </c>
    </row>
    <row r="34145" spans="1:9">
      <c r="A34145" t="s">
        <v>4</v>
      </c>
      <c r="B34145" s="4" t="s">
        <v>5</v>
      </c>
      <c r="C34145" s="4" t="s">
        <v>11</v>
      </c>
    </row>
    <row r="34146" spans="1:9">
      <c r="A34146" t="n">
        <v>331769</v>
      </c>
      <c r="B34146" s="29" t="n">
        <v>16</v>
      </c>
      <c r="C34146" s="7" t="n">
        <v>1800</v>
      </c>
    </row>
    <row r="34147" spans="1:9">
      <c r="A34147" t="s">
        <v>4</v>
      </c>
      <c r="B34147" s="4" t="s">
        <v>5</v>
      </c>
      <c r="C34147" s="4" t="s">
        <v>7</v>
      </c>
      <c r="D34147" s="4" t="s">
        <v>11</v>
      </c>
    </row>
    <row r="34148" spans="1:9">
      <c r="A34148" t="n">
        <v>331772</v>
      </c>
      <c r="B34148" s="51" t="n">
        <v>45</v>
      </c>
      <c r="C34148" s="7" t="n">
        <v>7</v>
      </c>
      <c r="D34148" s="7" t="n">
        <v>255</v>
      </c>
    </row>
    <row r="34149" spans="1:9">
      <c r="A34149" t="s">
        <v>4</v>
      </c>
      <c r="B34149" s="4" t="s">
        <v>5</v>
      </c>
      <c r="C34149" s="4" t="s">
        <v>7</v>
      </c>
      <c r="D34149" s="4" t="s">
        <v>11</v>
      </c>
      <c r="E34149" s="4" t="s">
        <v>13</v>
      </c>
    </row>
    <row r="34150" spans="1:9">
      <c r="A34150" t="n">
        <v>331776</v>
      </c>
      <c r="B34150" s="23" t="n">
        <v>58</v>
      </c>
      <c r="C34150" s="7" t="n">
        <v>0</v>
      </c>
      <c r="D34150" s="7" t="n">
        <v>1000</v>
      </c>
      <c r="E34150" s="7" t="n">
        <v>1</v>
      </c>
    </row>
    <row r="34151" spans="1:9">
      <c r="A34151" t="s">
        <v>4</v>
      </c>
      <c r="B34151" s="4" t="s">
        <v>5</v>
      </c>
      <c r="C34151" s="4" t="s">
        <v>7</v>
      </c>
      <c r="D34151" s="4" t="s">
        <v>11</v>
      </c>
    </row>
    <row r="34152" spans="1:9">
      <c r="A34152" t="n">
        <v>331784</v>
      </c>
      <c r="B34152" s="23" t="n">
        <v>58</v>
      </c>
      <c r="C34152" s="7" t="n">
        <v>255</v>
      </c>
      <c r="D34152" s="7" t="n">
        <v>0</v>
      </c>
    </row>
    <row r="34153" spans="1:9">
      <c r="A34153" t="s">
        <v>4</v>
      </c>
      <c r="B34153" s="4" t="s">
        <v>5</v>
      </c>
      <c r="C34153" s="4" t="s">
        <v>8</v>
      </c>
      <c r="D34153" s="4" t="s">
        <v>8</v>
      </c>
    </row>
    <row r="34154" spans="1:9">
      <c r="A34154" t="n">
        <v>331788</v>
      </c>
      <c r="B34154" s="52" t="n">
        <v>70</v>
      </c>
      <c r="C34154" s="7" t="s">
        <v>24</v>
      </c>
      <c r="D34154" s="7" t="s">
        <v>118</v>
      </c>
    </row>
    <row r="34155" spans="1:9">
      <c r="A34155" t="s">
        <v>4</v>
      </c>
      <c r="B34155" s="4" t="s">
        <v>5</v>
      </c>
      <c r="C34155" s="4" t="s">
        <v>11</v>
      </c>
      <c r="D34155" s="4" t="s">
        <v>13</v>
      </c>
      <c r="E34155" s="4" t="s">
        <v>13</v>
      </c>
      <c r="F34155" s="4" t="s">
        <v>13</v>
      </c>
      <c r="G34155" s="4" t="s">
        <v>13</v>
      </c>
    </row>
    <row r="34156" spans="1:9">
      <c r="A34156" t="n">
        <v>331804</v>
      </c>
      <c r="B34156" s="36" t="n">
        <v>46</v>
      </c>
      <c r="C34156" s="7" t="n">
        <v>0</v>
      </c>
      <c r="D34156" s="7" t="n">
        <v>-10.9899997711182</v>
      </c>
      <c r="E34156" s="7" t="n">
        <v>5.01000022888184</v>
      </c>
      <c r="F34156" s="7" t="n">
        <v>32.4300003051758</v>
      </c>
      <c r="G34156" s="7" t="n">
        <v>270</v>
      </c>
    </row>
    <row r="34157" spans="1:9">
      <c r="A34157" t="s">
        <v>4</v>
      </c>
      <c r="B34157" s="4" t="s">
        <v>5</v>
      </c>
      <c r="C34157" s="4" t="s">
        <v>11</v>
      </c>
      <c r="D34157" s="4" t="s">
        <v>13</v>
      </c>
      <c r="E34157" s="4" t="s">
        <v>13</v>
      </c>
      <c r="F34157" s="4" t="s">
        <v>13</v>
      </c>
      <c r="G34157" s="4" t="s">
        <v>13</v>
      </c>
    </row>
    <row r="34158" spans="1:9">
      <c r="A34158" t="n">
        <v>331823</v>
      </c>
      <c r="B34158" s="36" t="n">
        <v>46</v>
      </c>
      <c r="C34158" s="7" t="n">
        <v>2</v>
      </c>
      <c r="D34158" s="7" t="n">
        <v>-10.5500001907349</v>
      </c>
      <c r="E34158" s="7" t="n">
        <v>5.01000022888184</v>
      </c>
      <c r="F34158" s="7" t="n">
        <v>31.5499992370605</v>
      </c>
      <c r="G34158" s="7" t="n">
        <v>270</v>
      </c>
    </row>
    <row r="34159" spans="1:9">
      <c r="A34159" t="s">
        <v>4</v>
      </c>
      <c r="B34159" s="4" t="s">
        <v>5</v>
      </c>
      <c r="C34159" s="4" t="s">
        <v>7</v>
      </c>
      <c r="D34159" s="4" t="s">
        <v>7</v>
      </c>
      <c r="E34159" s="4" t="s">
        <v>13</v>
      </c>
      <c r="F34159" s="4" t="s">
        <v>13</v>
      </c>
      <c r="G34159" s="4" t="s">
        <v>13</v>
      </c>
      <c r="H34159" s="4" t="s">
        <v>11</v>
      </c>
    </row>
    <row r="34160" spans="1:9">
      <c r="A34160" t="n">
        <v>331842</v>
      </c>
      <c r="B34160" s="51" t="n">
        <v>45</v>
      </c>
      <c r="C34160" s="7" t="n">
        <v>2</v>
      </c>
      <c r="D34160" s="7" t="n">
        <v>3</v>
      </c>
      <c r="E34160" s="7" t="n">
        <v>-14.1199998855591</v>
      </c>
      <c r="F34160" s="7" t="n">
        <v>6.75</v>
      </c>
      <c r="G34160" s="7" t="n">
        <v>31.9300003051758</v>
      </c>
      <c r="H34160" s="7" t="n">
        <v>0</v>
      </c>
    </row>
    <row r="34161" spans="1:8">
      <c r="A34161" t="s">
        <v>4</v>
      </c>
      <c r="B34161" s="4" t="s">
        <v>5</v>
      </c>
      <c r="C34161" s="4" t="s">
        <v>7</v>
      </c>
      <c r="D34161" s="4" t="s">
        <v>7</v>
      </c>
      <c r="E34161" s="4" t="s">
        <v>13</v>
      </c>
      <c r="F34161" s="4" t="s">
        <v>13</v>
      </c>
      <c r="G34161" s="4" t="s">
        <v>13</v>
      </c>
      <c r="H34161" s="4" t="s">
        <v>11</v>
      </c>
      <c r="I34161" s="4" t="s">
        <v>7</v>
      </c>
    </row>
    <row r="34162" spans="1:8">
      <c r="A34162" t="n">
        <v>331859</v>
      </c>
      <c r="B34162" s="51" t="n">
        <v>45</v>
      </c>
      <c r="C34162" s="7" t="n">
        <v>4</v>
      </c>
      <c r="D34162" s="7" t="n">
        <v>3</v>
      </c>
      <c r="E34162" s="7" t="n">
        <v>7.63000011444092</v>
      </c>
      <c r="F34162" s="7" t="n">
        <v>90</v>
      </c>
      <c r="G34162" s="7" t="n">
        <v>0</v>
      </c>
      <c r="H34162" s="7" t="n">
        <v>0</v>
      </c>
      <c r="I34162" s="7" t="n">
        <v>0</v>
      </c>
    </row>
    <row r="34163" spans="1:8">
      <c r="A34163" t="s">
        <v>4</v>
      </c>
      <c r="B34163" s="4" t="s">
        <v>5</v>
      </c>
      <c r="C34163" s="4" t="s">
        <v>7</v>
      </c>
      <c r="D34163" s="4" t="s">
        <v>7</v>
      </c>
      <c r="E34163" s="4" t="s">
        <v>13</v>
      </c>
      <c r="F34163" s="4" t="s">
        <v>11</v>
      </c>
    </row>
    <row r="34164" spans="1:8">
      <c r="A34164" t="n">
        <v>331877</v>
      </c>
      <c r="B34164" s="51" t="n">
        <v>45</v>
      </c>
      <c r="C34164" s="7" t="n">
        <v>5</v>
      </c>
      <c r="D34164" s="7" t="n">
        <v>3</v>
      </c>
      <c r="E34164" s="7" t="n">
        <v>2.09999990463257</v>
      </c>
      <c r="F34164" s="7" t="n">
        <v>0</v>
      </c>
    </row>
    <row r="34165" spans="1:8">
      <c r="A34165" t="s">
        <v>4</v>
      </c>
      <c r="B34165" s="4" t="s">
        <v>5</v>
      </c>
      <c r="C34165" s="4" t="s">
        <v>7</v>
      </c>
      <c r="D34165" s="4" t="s">
        <v>7</v>
      </c>
      <c r="E34165" s="4" t="s">
        <v>13</v>
      </c>
      <c r="F34165" s="4" t="s">
        <v>11</v>
      </c>
    </row>
    <row r="34166" spans="1:8">
      <c r="A34166" t="n">
        <v>331886</v>
      </c>
      <c r="B34166" s="51" t="n">
        <v>45</v>
      </c>
      <c r="C34166" s="7" t="n">
        <v>11</v>
      </c>
      <c r="D34166" s="7" t="n">
        <v>3</v>
      </c>
      <c r="E34166" s="7" t="n">
        <v>40.2999992370605</v>
      </c>
      <c r="F34166" s="7" t="n">
        <v>0</v>
      </c>
    </row>
    <row r="34167" spans="1:8">
      <c r="A34167" t="s">
        <v>4</v>
      </c>
      <c r="B34167" s="4" t="s">
        <v>5</v>
      </c>
      <c r="C34167" s="4" t="s">
        <v>7</v>
      </c>
      <c r="D34167" s="4" t="s">
        <v>7</v>
      </c>
      <c r="E34167" s="4" t="s">
        <v>13</v>
      </c>
      <c r="F34167" s="4" t="s">
        <v>13</v>
      </c>
      <c r="G34167" s="4" t="s">
        <v>13</v>
      </c>
      <c r="H34167" s="4" t="s">
        <v>11</v>
      </c>
    </row>
    <row r="34168" spans="1:8">
      <c r="A34168" t="n">
        <v>331895</v>
      </c>
      <c r="B34168" s="51" t="n">
        <v>45</v>
      </c>
      <c r="C34168" s="7" t="n">
        <v>2</v>
      </c>
      <c r="D34168" s="7" t="n">
        <v>3</v>
      </c>
      <c r="E34168" s="7" t="n">
        <v>-9.10000038146973</v>
      </c>
      <c r="F34168" s="7" t="n">
        <v>6.75</v>
      </c>
      <c r="G34168" s="7" t="n">
        <v>31.9699993133545</v>
      </c>
      <c r="H34168" s="7" t="n">
        <v>6000</v>
      </c>
    </row>
    <row r="34169" spans="1:8">
      <c r="A34169" t="s">
        <v>4</v>
      </c>
      <c r="B34169" s="4" t="s">
        <v>5</v>
      </c>
      <c r="C34169" s="4" t="s">
        <v>7</v>
      </c>
      <c r="D34169" s="4" t="s">
        <v>7</v>
      </c>
      <c r="E34169" s="4" t="s">
        <v>13</v>
      </c>
      <c r="F34169" s="4" t="s">
        <v>13</v>
      </c>
      <c r="G34169" s="4" t="s">
        <v>13</v>
      </c>
      <c r="H34169" s="4" t="s">
        <v>11</v>
      </c>
      <c r="I34169" s="4" t="s">
        <v>7</v>
      </c>
    </row>
    <row r="34170" spans="1:8">
      <c r="A34170" t="n">
        <v>331912</v>
      </c>
      <c r="B34170" s="51" t="n">
        <v>45</v>
      </c>
      <c r="C34170" s="7" t="n">
        <v>4</v>
      </c>
      <c r="D34170" s="7" t="n">
        <v>3</v>
      </c>
      <c r="E34170" s="7" t="n">
        <v>0.0299999993294477</v>
      </c>
      <c r="F34170" s="7" t="n">
        <v>90</v>
      </c>
      <c r="G34170" s="7" t="n">
        <v>0</v>
      </c>
      <c r="H34170" s="7" t="n">
        <v>6000</v>
      </c>
      <c r="I34170" s="7" t="n">
        <v>0</v>
      </c>
    </row>
    <row r="34171" spans="1:8">
      <c r="A34171" t="s">
        <v>4</v>
      </c>
      <c r="B34171" s="4" t="s">
        <v>5</v>
      </c>
      <c r="C34171" s="4" t="s">
        <v>7</v>
      </c>
      <c r="D34171" s="4" t="s">
        <v>7</v>
      </c>
      <c r="E34171" s="4" t="s">
        <v>13</v>
      </c>
      <c r="F34171" s="4" t="s">
        <v>11</v>
      </c>
    </row>
    <row r="34172" spans="1:8">
      <c r="A34172" t="n">
        <v>331930</v>
      </c>
      <c r="B34172" s="51" t="n">
        <v>45</v>
      </c>
      <c r="C34172" s="7" t="n">
        <v>5</v>
      </c>
      <c r="D34172" s="7" t="n">
        <v>3</v>
      </c>
      <c r="E34172" s="7" t="n">
        <v>1.79999995231628</v>
      </c>
      <c r="F34172" s="7" t="n">
        <v>6000</v>
      </c>
    </row>
    <row r="34173" spans="1:8">
      <c r="A34173" t="s">
        <v>4</v>
      </c>
      <c r="B34173" s="4" t="s">
        <v>5</v>
      </c>
      <c r="C34173" s="4" t="s">
        <v>8</v>
      </c>
      <c r="D34173" s="4" t="s">
        <v>8</v>
      </c>
    </row>
    <row r="34174" spans="1:8">
      <c r="A34174" t="n">
        <v>331939</v>
      </c>
      <c r="B34174" s="52" t="n">
        <v>70</v>
      </c>
      <c r="C34174" s="7" t="s">
        <v>25</v>
      </c>
      <c r="D34174" s="7" t="s">
        <v>109</v>
      </c>
    </row>
    <row r="34175" spans="1:8">
      <c r="A34175" t="s">
        <v>4</v>
      </c>
      <c r="B34175" s="4" t="s">
        <v>5</v>
      </c>
      <c r="C34175" s="4" t="s">
        <v>7</v>
      </c>
      <c r="D34175" s="4" t="s">
        <v>11</v>
      </c>
      <c r="E34175" s="4" t="s">
        <v>13</v>
      </c>
    </row>
    <row r="34176" spans="1:8">
      <c r="A34176" t="n">
        <v>331956</v>
      </c>
      <c r="B34176" s="23" t="n">
        <v>58</v>
      </c>
      <c r="C34176" s="7" t="n">
        <v>100</v>
      </c>
      <c r="D34176" s="7" t="n">
        <v>1000</v>
      </c>
      <c r="E34176" s="7" t="n">
        <v>1</v>
      </c>
    </row>
    <row r="34177" spans="1:9">
      <c r="A34177" t="s">
        <v>4</v>
      </c>
      <c r="B34177" s="4" t="s">
        <v>5</v>
      </c>
      <c r="C34177" s="4" t="s">
        <v>7</v>
      </c>
      <c r="D34177" s="4" t="s">
        <v>11</v>
      </c>
    </row>
    <row r="34178" spans="1:9">
      <c r="A34178" t="n">
        <v>331964</v>
      </c>
      <c r="B34178" s="23" t="n">
        <v>58</v>
      </c>
      <c r="C34178" s="7" t="n">
        <v>255</v>
      </c>
      <c r="D34178" s="7" t="n">
        <v>0</v>
      </c>
    </row>
    <row r="34179" spans="1:9">
      <c r="A34179" t="s">
        <v>4</v>
      </c>
      <c r="B34179" s="4" t="s">
        <v>5</v>
      </c>
      <c r="C34179" s="4" t="s">
        <v>7</v>
      </c>
      <c r="D34179" s="4" t="s">
        <v>8</v>
      </c>
      <c r="E34179" s="4" t="s">
        <v>11</v>
      </c>
    </row>
    <row r="34180" spans="1:9">
      <c r="A34180" t="n">
        <v>331968</v>
      </c>
      <c r="B34180" s="15" t="n">
        <v>94</v>
      </c>
      <c r="C34180" s="7" t="n">
        <v>1</v>
      </c>
      <c r="D34180" s="7" t="s">
        <v>25</v>
      </c>
      <c r="E34180" s="7" t="n">
        <v>512</v>
      </c>
    </row>
    <row r="34181" spans="1:9">
      <c r="A34181" t="s">
        <v>4</v>
      </c>
      <c r="B34181" s="4" t="s">
        <v>5</v>
      </c>
      <c r="C34181" s="4" t="s">
        <v>11</v>
      </c>
    </row>
    <row r="34182" spans="1:9">
      <c r="A34182" t="n">
        <v>331982</v>
      </c>
      <c r="B34182" s="29" t="n">
        <v>16</v>
      </c>
      <c r="C34182" s="7" t="n">
        <v>4000</v>
      </c>
    </row>
    <row r="34183" spans="1:9">
      <c r="A34183" t="s">
        <v>4</v>
      </c>
      <c r="B34183" s="4" t="s">
        <v>5</v>
      </c>
      <c r="C34183" s="4" t="s">
        <v>11</v>
      </c>
      <c r="D34183" s="4" t="s">
        <v>7</v>
      </c>
      <c r="E34183" s="4" t="s">
        <v>13</v>
      </c>
      <c r="F34183" s="4" t="s">
        <v>11</v>
      </c>
    </row>
    <row r="34184" spans="1:9">
      <c r="A34184" t="n">
        <v>331985</v>
      </c>
      <c r="B34184" s="56" t="n">
        <v>59</v>
      </c>
      <c r="C34184" s="7" t="n">
        <v>0</v>
      </c>
      <c r="D34184" s="7" t="n">
        <v>9</v>
      </c>
      <c r="E34184" s="7" t="n">
        <v>0.150000005960464</v>
      </c>
      <c r="F34184" s="7" t="n">
        <v>0</v>
      </c>
    </row>
    <row r="34185" spans="1:9">
      <c r="A34185" t="s">
        <v>4</v>
      </c>
      <c r="B34185" s="4" t="s">
        <v>5</v>
      </c>
      <c r="C34185" s="4" t="s">
        <v>11</v>
      </c>
      <c r="D34185" s="4" t="s">
        <v>7</v>
      </c>
      <c r="E34185" s="4" t="s">
        <v>13</v>
      </c>
      <c r="F34185" s="4" t="s">
        <v>11</v>
      </c>
    </row>
    <row r="34186" spans="1:9">
      <c r="A34186" t="n">
        <v>331995</v>
      </c>
      <c r="B34186" s="56" t="n">
        <v>59</v>
      </c>
      <c r="C34186" s="7" t="n">
        <v>2</v>
      </c>
      <c r="D34186" s="7" t="n">
        <v>9</v>
      </c>
      <c r="E34186" s="7" t="n">
        <v>0.150000005960464</v>
      </c>
      <c r="F34186" s="7" t="n">
        <v>0</v>
      </c>
    </row>
    <row r="34187" spans="1:9">
      <c r="A34187" t="s">
        <v>4</v>
      </c>
      <c r="B34187" s="4" t="s">
        <v>5</v>
      </c>
      <c r="C34187" s="4" t="s">
        <v>11</v>
      </c>
    </row>
    <row r="34188" spans="1:9">
      <c r="A34188" t="n">
        <v>332005</v>
      </c>
      <c r="B34188" s="29" t="n">
        <v>16</v>
      </c>
      <c r="C34188" s="7" t="n">
        <v>1500</v>
      </c>
    </row>
    <row r="34189" spans="1:9">
      <c r="A34189" t="s">
        <v>4</v>
      </c>
      <c r="B34189" s="4" t="s">
        <v>5</v>
      </c>
      <c r="C34189" s="4" t="s">
        <v>7</v>
      </c>
      <c r="D34189" s="4" t="s">
        <v>11</v>
      </c>
    </row>
    <row r="34190" spans="1:9">
      <c r="A34190" t="n">
        <v>332008</v>
      </c>
      <c r="B34190" s="51" t="n">
        <v>45</v>
      </c>
      <c r="C34190" s="7" t="n">
        <v>7</v>
      </c>
      <c r="D34190" s="7" t="n">
        <v>255</v>
      </c>
    </row>
    <row r="34191" spans="1:9">
      <c r="A34191" t="s">
        <v>4</v>
      </c>
      <c r="B34191" s="4" t="s">
        <v>5</v>
      </c>
      <c r="C34191" s="4" t="s">
        <v>7</v>
      </c>
      <c r="D34191" s="4" t="s">
        <v>11</v>
      </c>
      <c r="E34191" s="4" t="s">
        <v>13</v>
      </c>
    </row>
    <row r="34192" spans="1:9">
      <c r="A34192" t="n">
        <v>332012</v>
      </c>
      <c r="B34192" s="23" t="n">
        <v>58</v>
      </c>
      <c r="C34192" s="7" t="n">
        <v>0</v>
      </c>
      <c r="D34192" s="7" t="n">
        <v>2000</v>
      </c>
      <c r="E34192" s="7" t="n">
        <v>1</v>
      </c>
    </row>
    <row r="34193" spans="1:6">
      <c r="A34193" t="s">
        <v>4</v>
      </c>
      <c r="B34193" s="4" t="s">
        <v>5</v>
      </c>
      <c r="C34193" s="4" t="s">
        <v>7</v>
      </c>
      <c r="D34193" s="4" t="s">
        <v>11</v>
      </c>
    </row>
    <row r="34194" spans="1:6">
      <c r="A34194" t="n">
        <v>332020</v>
      </c>
      <c r="B34194" s="23" t="n">
        <v>58</v>
      </c>
      <c r="C34194" s="7" t="n">
        <v>255</v>
      </c>
      <c r="D34194" s="7" t="n">
        <v>0</v>
      </c>
    </row>
    <row r="34195" spans="1:6">
      <c r="A34195" t="s">
        <v>4</v>
      </c>
      <c r="B34195" s="4" t="s">
        <v>5</v>
      </c>
      <c r="C34195" s="4" t="s">
        <v>7</v>
      </c>
      <c r="D34195" s="4" t="s">
        <v>7</v>
      </c>
      <c r="E34195" s="4" t="s">
        <v>13</v>
      </c>
      <c r="F34195" s="4" t="s">
        <v>13</v>
      </c>
      <c r="G34195" s="4" t="s">
        <v>13</v>
      </c>
      <c r="H34195" s="4" t="s">
        <v>11</v>
      </c>
    </row>
    <row r="34196" spans="1:6">
      <c r="A34196" t="n">
        <v>332024</v>
      </c>
      <c r="B34196" s="51" t="n">
        <v>45</v>
      </c>
      <c r="C34196" s="7" t="n">
        <v>2</v>
      </c>
      <c r="D34196" s="7" t="n">
        <v>3</v>
      </c>
      <c r="E34196" s="7" t="n">
        <v>-7.84000015258789</v>
      </c>
      <c r="F34196" s="7" t="n">
        <v>7.17000007629395</v>
      </c>
      <c r="G34196" s="7" t="n">
        <v>31.6599998474121</v>
      </c>
      <c r="H34196" s="7" t="n">
        <v>0</v>
      </c>
    </row>
    <row r="34197" spans="1:6">
      <c r="A34197" t="s">
        <v>4</v>
      </c>
      <c r="B34197" s="4" t="s">
        <v>5</v>
      </c>
      <c r="C34197" s="4" t="s">
        <v>7</v>
      </c>
      <c r="D34197" s="4" t="s">
        <v>7</v>
      </c>
      <c r="E34197" s="4" t="s">
        <v>13</v>
      </c>
      <c r="F34197" s="4" t="s">
        <v>13</v>
      </c>
      <c r="G34197" s="4" t="s">
        <v>13</v>
      </c>
      <c r="H34197" s="4" t="s">
        <v>11</v>
      </c>
      <c r="I34197" s="4" t="s">
        <v>7</v>
      </c>
    </row>
    <row r="34198" spans="1:6">
      <c r="A34198" t="n">
        <v>332041</v>
      </c>
      <c r="B34198" s="51" t="n">
        <v>45</v>
      </c>
      <c r="C34198" s="7" t="n">
        <v>4</v>
      </c>
      <c r="D34198" s="7" t="n">
        <v>3</v>
      </c>
      <c r="E34198" s="7" t="n">
        <v>9.01000022888184</v>
      </c>
      <c r="F34198" s="7" t="n">
        <v>55.7900009155273</v>
      </c>
      <c r="G34198" s="7" t="n">
        <v>0</v>
      </c>
      <c r="H34198" s="7" t="n">
        <v>0</v>
      </c>
      <c r="I34198" s="7" t="n">
        <v>0</v>
      </c>
    </row>
    <row r="34199" spans="1:6">
      <c r="A34199" t="s">
        <v>4</v>
      </c>
      <c r="B34199" s="4" t="s">
        <v>5</v>
      </c>
      <c r="C34199" s="4" t="s">
        <v>7</v>
      </c>
      <c r="D34199" s="4" t="s">
        <v>7</v>
      </c>
      <c r="E34199" s="4" t="s">
        <v>13</v>
      </c>
      <c r="F34199" s="4" t="s">
        <v>11</v>
      </c>
    </row>
    <row r="34200" spans="1:6">
      <c r="A34200" t="n">
        <v>332059</v>
      </c>
      <c r="B34200" s="51" t="n">
        <v>45</v>
      </c>
      <c r="C34200" s="7" t="n">
        <v>5</v>
      </c>
      <c r="D34200" s="7" t="n">
        <v>3</v>
      </c>
      <c r="E34200" s="7" t="n">
        <v>2.40000009536743</v>
      </c>
      <c r="F34200" s="7" t="n">
        <v>0</v>
      </c>
    </row>
    <row r="34201" spans="1:6">
      <c r="A34201" t="s">
        <v>4</v>
      </c>
      <c r="B34201" s="4" t="s">
        <v>5</v>
      </c>
      <c r="C34201" s="4" t="s">
        <v>7</v>
      </c>
      <c r="D34201" s="4" t="s">
        <v>7</v>
      </c>
      <c r="E34201" s="4" t="s">
        <v>13</v>
      </c>
      <c r="F34201" s="4" t="s">
        <v>11</v>
      </c>
    </row>
    <row r="34202" spans="1:6">
      <c r="A34202" t="n">
        <v>332068</v>
      </c>
      <c r="B34202" s="51" t="n">
        <v>45</v>
      </c>
      <c r="C34202" s="7" t="n">
        <v>11</v>
      </c>
      <c r="D34202" s="7" t="n">
        <v>3</v>
      </c>
      <c r="E34202" s="7" t="n">
        <v>40.2999992370605</v>
      </c>
      <c r="F34202" s="7" t="n">
        <v>0</v>
      </c>
    </row>
    <row r="34203" spans="1:6">
      <c r="A34203" t="s">
        <v>4</v>
      </c>
      <c r="B34203" s="4" t="s">
        <v>5</v>
      </c>
      <c r="C34203" s="4" t="s">
        <v>7</v>
      </c>
      <c r="D34203" s="4" t="s">
        <v>7</v>
      </c>
      <c r="E34203" s="4" t="s">
        <v>13</v>
      </c>
      <c r="F34203" s="4" t="s">
        <v>13</v>
      </c>
      <c r="G34203" s="4" t="s">
        <v>13</v>
      </c>
      <c r="H34203" s="4" t="s">
        <v>11</v>
      </c>
    </row>
    <row r="34204" spans="1:6">
      <c r="A34204" t="n">
        <v>332077</v>
      </c>
      <c r="B34204" s="51" t="n">
        <v>45</v>
      </c>
      <c r="C34204" s="7" t="n">
        <v>2</v>
      </c>
      <c r="D34204" s="7" t="n">
        <v>3</v>
      </c>
      <c r="E34204" s="7" t="n">
        <v>-6.8899998664856</v>
      </c>
      <c r="F34204" s="7" t="n">
        <v>6.26999998092651</v>
      </c>
      <c r="G34204" s="7" t="n">
        <v>30.0599994659424</v>
      </c>
      <c r="H34204" s="7" t="n">
        <v>6000</v>
      </c>
    </row>
    <row r="34205" spans="1:6">
      <c r="A34205" t="s">
        <v>4</v>
      </c>
      <c r="B34205" s="4" t="s">
        <v>5</v>
      </c>
      <c r="C34205" s="4" t="s">
        <v>7</v>
      </c>
      <c r="D34205" s="4" t="s">
        <v>7</v>
      </c>
      <c r="E34205" s="4" t="s">
        <v>13</v>
      </c>
      <c r="F34205" s="4" t="s">
        <v>13</v>
      </c>
      <c r="G34205" s="4" t="s">
        <v>13</v>
      </c>
      <c r="H34205" s="4" t="s">
        <v>11</v>
      </c>
      <c r="I34205" s="4" t="s">
        <v>7</v>
      </c>
    </row>
    <row r="34206" spans="1:6">
      <c r="A34206" t="n">
        <v>332094</v>
      </c>
      <c r="B34206" s="51" t="n">
        <v>45</v>
      </c>
      <c r="C34206" s="7" t="n">
        <v>4</v>
      </c>
      <c r="D34206" s="7" t="n">
        <v>3</v>
      </c>
      <c r="E34206" s="7" t="n">
        <v>6.73999977111816</v>
      </c>
      <c r="F34206" s="7" t="n">
        <v>13.6199998855591</v>
      </c>
      <c r="G34206" s="7" t="n">
        <v>0</v>
      </c>
      <c r="H34206" s="7" t="n">
        <v>6000</v>
      </c>
      <c r="I34206" s="7" t="n">
        <v>1</v>
      </c>
    </row>
    <row r="34207" spans="1:6">
      <c r="A34207" t="s">
        <v>4</v>
      </c>
      <c r="B34207" s="4" t="s">
        <v>5</v>
      </c>
      <c r="C34207" s="4" t="s">
        <v>11</v>
      </c>
      <c r="D34207" s="4" t="s">
        <v>13</v>
      </c>
      <c r="E34207" s="4" t="s">
        <v>13</v>
      </c>
      <c r="F34207" s="4" t="s">
        <v>13</v>
      </c>
      <c r="G34207" s="4" t="s">
        <v>13</v>
      </c>
    </row>
    <row r="34208" spans="1:6">
      <c r="A34208" t="n">
        <v>332112</v>
      </c>
      <c r="B34208" s="36" t="n">
        <v>46</v>
      </c>
      <c r="C34208" s="7" t="n">
        <v>0</v>
      </c>
      <c r="D34208" s="7" t="n">
        <v>-6.51000022888184</v>
      </c>
      <c r="E34208" s="7" t="n">
        <v>5</v>
      </c>
      <c r="F34208" s="7" t="n">
        <v>29.8999996185303</v>
      </c>
      <c r="G34208" s="7" t="n">
        <v>208</v>
      </c>
    </row>
    <row r="34209" spans="1:9">
      <c r="A34209" t="s">
        <v>4</v>
      </c>
      <c r="B34209" s="4" t="s">
        <v>5</v>
      </c>
      <c r="C34209" s="4" t="s">
        <v>11</v>
      </c>
      <c r="D34209" s="4" t="s">
        <v>13</v>
      </c>
      <c r="E34209" s="4" t="s">
        <v>13</v>
      </c>
      <c r="F34209" s="4" t="s">
        <v>13</v>
      </c>
      <c r="G34209" s="4" t="s">
        <v>13</v>
      </c>
    </row>
    <row r="34210" spans="1:9">
      <c r="A34210" t="n">
        <v>332131</v>
      </c>
      <c r="B34210" s="36" t="n">
        <v>46</v>
      </c>
      <c r="C34210" s="7" t="n">
        <v>2</v>
      </c>
      <c r="D34210" s="7" t="n">
        <v>-7.44999980926514</v>
      </c>
      <c r="E34210" s="7" t="n">
        <v>5</v>
      </c>
      <c r="F34210" s="7" t="n">
        <v>29.7999992370605</v>
      </c>
      <c r="G34210" s="7" t="n">
        <v>151.199996948242</v>
      </c>
    </row>
    <row r="34211" spans="1:9">
      <c r="A34211" t="s">
        <v>4</v>
      </c>
      <c r="B34211" s="4" t="s">
        <v>5</v>
      </c>
      <c r="C34211" s="4" t="s">
        <v>8</v>
      </c>
      <c r="D34211" s="4" t="s">
        <v>8</v>
      </c>
    </row>
    <row r="34212" spans="1:9">
      <c r="A34212" t="n">
        <v>332150</v>
      </c>
      <c r="B34212" s="52" t="n">
        <v>70</v>
      </c>
      <c r="C34212" s="7" t="s">
        <v>25</v>
      </c>
      <c r="D34212" s="7" t="s">
        <v>118</v>
      </c>
    </row>
    <row r="34213" spans="1:9">
      <c r="A34213" t="s">
        <v>4</v>
      </c>
      <c r="B34213" s="4" t="s">
        <v>5</v>
      </c>
      <c r="C34213" s="4" t="s">
        <v>11</v>
      </c>
      <c r="D34213" s="4" t="s">
        <v>11</v>
      </c>
      <c r="E34213" s="4" t="s">
        <v>11</v>
      </c>
    </row>
    <row r="34214" spans="1:9">
      <c r="A34214" t="n">
        <v>332166</v>
      </c>
      <c r="B34214" s="72" t="n">
        <v>61</v>
      </c>
      <c r="C34214" s="7" t="n">
        <v>2</v>
      </c>
      <c r="D34214" s="7" t="n">
        <v>0</v>
      </c>
      <c r="E34214" s="7" t="n">
        <v>0</v>
      </c>
    </row>
    <row r="34215" spans="1:9">
      <c r="A34215" t="s">
        <v>4</v>
      </c>
      <c r="B34215" s="4" t="s">
        <v>5</v>
      </c>
      <c r="C34215" s="4" t="s">
        <v>11</v>
      </c>
      <c r="D34215" s="4" t="s">
        <v>11</v>
      </c>
      <c r="E34215" s="4" t="s">
        <v>11</v>
      </c>
    </row>
    <row r="34216" spans="1:9">
      <c r="A34216" t="n">
        <v>332173</v>
      </c>
      <c r="B34216" s="72" t="n">
        <v>61</v>
      </c>
      <c r="C34216" s="7" t="n">
        <v>0</v>
      </c>
      <c r="D34216" s="7" t="n">
        <v>2</v>
      </c>
      <c r="E34216" s="7" t="n">
        <v>0</v>
      </c>
    </row>
    <row r="34217" spans="1:9">
      <c r="A34217" t="s">
        <v>4</v>
      </c>
      <c r="B34217" s="4" t="s">
        <v>5</v>
      </c>
      <c r="C34217" s="4" t="s">
        <v>7</v>
      </c>
      <c r="D34217" s="4" t="s">
        <v>11</v>
      </c>
      <c r="E34217" s="4" t="s">
        <v>13</v>
      </c>
    </row>
    <row r="34218" spans="1:9">
      <c r="A34218" t="n">
        <v>332180</v>
      </c>
      <c r="B34218" s="23" t="n">
        <v>58</v>
      </c>
      <c r="C34218" s="7" t="n">
        <v>100</v>
      </c>
      <c r="D34218" s="7" t="n">
        <v>1000</v>
      </c>
      <c r="E34218" s="7" t="n">
        <v>1</v>
      </c>
    </row>
    <row r="34219" spans="1:9">
      <c r="A34219" t="s">
        <v>4</v>
      </c>
      <c r="B34219" s="4" t="s">
        <v>5</v>
      </c>
      <c r="C34219" s="4" t="s">
        <v>7</v>
      </c>
      <c r="D34219" s="4" t="s">
        <v>11</v>
      </c>
    </row>
    <row r="34220" spans="1:9">
      <c r="A34220" t="n">
        <v>332188</v>
      </c>
      <c r="B34220" s="23" t="n">
        <v>58</v>
      </c>
      <c r="C34220" s="7" t="n">
        <v>255</v>
      </c>
      <c r="D34220" s="7" t="n">
        <v>0</v>
      </c>
    </row>
    <row r="34221" spans="1:9">
      <c r="A34221" t="s">
        <v>4</v>
      </c>
      <c r="B34221" s="4" t="s">
        <v>5</v>
      </c>
      <c r="C34221" s="4" t="s">
        <v>11</v>
      </c>
    </row>
    <row r="34222" spans="1:9">
      <c r="A34222" t="n">
        <v>332192</v>
      </c>
      <c r="B34222" s="29" t="n">
        <v>16</v>
      </c>
      <c r="C34222" s="7" t="n">
        <v>1000</v>
      </c>
    </row>
    <row r="34223" spans="1:9">
      <c r="A34223" t="s">
        <v>4</v>
      </c>
      <c r="B34223" s="4" t="s">
        <v>5</v>
      </c>
      <c r="C34223" s="4" t="s">
        <v>7</v>
      </c>
      <c r="D34223" s="4" t="s">
        <v>11</v>
      </c>
    </row>
    <row r="34224" spans="1:9">
      <c r="A34224" t="n">
        <v>332195</v>
      </c>
      <c r="B34224" s="51" t="n">
        <v>45</v>
      </c>
      <c r="C34224" s="7" t="n">
        <v>7</v>
      </c>
      <c r="D34224" s="7" t="n">
        <v>255</v>
      </c>
    </row>
    <row r="34225" spans="1:7">
      <c r="A34225" t="s">
        <v>4</v>
      </c>
      <c r="B34225" s="4" t="s">
        <v>5</v>
      </c>
      <c r="C34225" s="4" t="s">
        <v>7</v>
      </c>
      <c r="D34225" s="4" t="s">
        <v>11</v>
      </c>
      <c r="E34225" s="4" t="s">
        <v>13</v>
      </c>
    </row>
    <row r="34226" spans="1:7">
      <c r="A34226" t="n">
        <v>332199</v>
      </c>
      <c r="B34226" s="23" t="n">
        <v>58</v>
      </c>
      <c r="C34226" s="7" t="n">
        <v>101</v>
      </c>
      <c r="D34226" s="7" t="n">
        <v>500</v>
      </c>
      <c r="E34226" s="7" t="n">
        <v>1</v>
      </c>
    </row>
    <row r="34227" spans="1:7">
      <c r="A34227" t="s">
        <v>4</v>
      </c>
      <c r="B34227" s="4" t="s">
        <v>5</v>
      </c>
      <c r="C34227" s="4" t="s">
        <v>7</v>
      </c>
      <c r="D34227" s="4" t="s">
        <v>11</v>
      </c>
    </row>
    <row r="34228" spans="1:7">
      <c r="A34228" t="n">
        <v>332207</v>
      </c>
      <c r="B34228" s="23" t="n">
        <v>58</v>
      </c>
      <c r="C34228" s="7" t="n">
        <v>254</v>
      </c>
      <c r="D34228" s="7" t="n">
        <v>0</v>
      </c>
    </row>
    <row r="34229" spans="1:7">
      <c r="A34229" t="s">
        <v>4</v>
      </c>
      <c r="B34229" s="4" t="s">
        <v>5</v>
      </c>
      <c r="C34229" s="4" t="s">
        <v>7</v>
      </c>
      <c r="D34229" s="4" t="s">
        <v>11</v>
      </c>
      <c r="E34229" s="4" t="s">
        <v>8</v>
      </c>
      <c r="F34229" s="4" t="s">
        <v>8</v>
      </c>
      <c r="G34229" s="4" t="s">
        <v>8</v>
      </c>
      <c r="H34229" s="4" t="s">
        <v>8</v>
      </c>
    </row>
    <row r="34230" spans="1:7">
      <c r="A34230" t="n">
        <v>332211</v>
      </c>
      <c r="B34230" s="38" t="n">
        <v>51</v>
      </c>
      <c r="C34230" s="7" t="n">
        <v>3</v>
      </c>
      <c r="D34230" s="7" t="n">
        <v>2</v>
      </c>
      <c r="E34230" s="7" t="s">
        <v>79</v>
      </c>
      <c r="F34230" s="7" t="s">
        <v>79</v>
      </c>
      <c r="G34230" s="7" t="s">
        <v>78</v>
      </c>
      <c r="H34230" s="7" t="s">
        <v>79</v>
      </c>
    </row>
    <row r="34231" spans="1:7">
      <c r="A34231" t="s">
        <v>4</v>
      </c>
      <c r="B34231" s="4" t="s">
        <v>5</v>
      </c>
      <c r="C34231" s="4" t="s">
        <v>7</v>
      </c>
      <c r="D34231" s="4" t="s">
        <v>11</v>
      </c>
      <c r="E34231" s="4" t="s">
        <v>11</v>
      </c>
      <c r="F34231" s="4" t="s">
        <v>15</v>
      </c>
      <c r="G34231" s="4" t="s">
        <v>15</v>
      </c>
      <c r="H34231" s="4" t="s">
        <v>15</v>
      </c>
    </row>
    <row r="34232" spans="1:7">
      <c r="A34232" t="n">
        <v>332224</v>
      </c>
      <c r="B34232" s="77" t="n">
        <v>97</v>
      </c>
      <c r="C34232" s="7" t="n">
        <v>6</v>
      </c>
      <c r="D34232" s="7" t="n">
        <v>0</v>
      </c>
      <c r="E34232" s="7" t="n">
        <v>0</v>
      </c>
      <c r="F34232" s="7" t="n">
        <v>-1065143501</v>
      </c>
      <c r="G34232" s="7" t="n">
        <v>1101004800</v>
      </c>
      <c r="H34232" s="7" t="n">
        <v>1101004800</v>
      </c>
    </row>
    <row r="34233" spans="1:7">
      <c r="A34233" t="s">
        <v>4</v>
      </c>
      <c r="B34233" s="4" t="s">
        <v>5</v>
      </c>
      <c r="C34233" s="4" t="s">
        <v>7</v>
      </c>
      <c r="D34233" s="4" t="s">
        <v>7</v>
      </c>
      <c r="E34233" s="4" t="s">
        <v>13</v>
      </c>
      <c r="F34233" s="4" t="s">
        <v>13</v>
      </c>
      <c r="G34233" s="4" t="s">
        <v>13</v>
      </c>
      <c r="H34233" s="4" t="s">
        <v>11</v>
      </c>
    </row>
    <row r="34234" spans="1:7">
      <c r="A34234" t="n">
        <v>332242</v>
      </c>
      <c r="B34234" s="51" t="n">
        <v>45</v>
      </c>
      <c r="C34234" s="7" t="n">
        <v>2</v>
      </c>
      <c r="D34234" s="7" t="n">
        <v>3</v>
      </c>
      <c r="E34234" s="7" t="n">
        <v>-6.86999988555908</v>
      </c>
      <c r="F34234" s="7" t="n">
        <v>6.42999982833862</v>
      </c>
      <c r="G34234" s="7" t="n">
        <v>29.8400001525879</v>
      </c>
      <c r="H34234" s="7" t="n">
        <v>0</v>
      </c>
    </row>
    <row r="34235" spans="1:7">
      <c r="A34235" t="s">
        <v>4</v>
      </c>
      <c r="B34235" s="4" t="s">
        <v>5</v>
      </c>
      <c r="C34235" s="4" t="s">
        <v>7</v>
      </c>
      <c r="D34235" s="4" t="s">
        <v>7</v>
      </c>
      <c r="E34235" s="4" t="s">
        <v>13</v>
      </c>
      <c r="F34235" s="4" t="s">
        <v>13</v>
      </c>
      <c r="G34235" s="4" t="s">
        <v>13</v>
      </c>
      <c r="H34235" s="4" t="s">
        <v>11</v>
      </c>
      <c r="I34235" s="4" t="s">
        <v>7</v>
      </c>
    </row>
    <row r="34236" spans="1:7">
      <c r="A34236" t="n">
        <v>332259</v>
      </c>
      <c r="B34236" s="51" t="n">
        <v>45</v>
      </c>
      <c r="C34236" s="7" t="n">
        <v>4</v>
      </c>
      <c r="D34236" s="7" t="n">
        <v>3</v>
      </c>
      <c r="E34236" s="7" t="n">
        <v>18.2999992370605</v>
      </c>
      <c r="F34236" s="7" t="n">
        <v>135.5</v>
      </c>
      <c r="G34236" s="7" t="n">
        <v>0</v>
      </c>
      <c r="H34236" s="7" t="n">
        <v>0</v>
      </c>
      <c r="I34236" s="7" t="n">
        <v>0</v>
      </c>
    </row>
    <row r="34237" spans="1:7">
      <c r="A34237" t="s">
        <v>4</v>
      </c>
      <c r="B34237" s="4" t="s">
        <v>5</v>
      </c>
      <c r="C34237" s="4" t="s">
        <v>7</v>
      </c>
      <c r="D34237" s="4" t="s">
        <v>7</v>
      </c>
      <c r="E34237" s="4" t="s">
        <v>13</v>
      </c>
      <c r="F34237" s="4" t="s">
        <v>11</v>
      </c>
    </row>
    <row r="34238" spans="1:7">
      <c r="A34238" t="n">
        <v>332277</v>
      </c>
      <c r="B34238" s="51" t="n">
        <v>45</v>
      </c>
      <c r="C34238" s="7" t="n">
        <v>5</v>
      </c>
      <c r="D34238" s="7" t="n">
        <v>3</v>
      </c>
      <c r="E34238" s="7" t="n">
        <v>1.29999995231628</v>
      </c>
      <c r="F34238" s="7" t="n">
        <v>0</v>
      </c>
    </row>
    <row r="34239" spans="1:7">
      <c r="A34239" t="s">
        <v>4</v>
      </c>
      <c r="B34239" s="4" t="s">
        <v>5</v>
      </c>
      <c r="C34239" s="4" t="s">
        <v>7</v>
      </c>
      <c r="D34239" s="4" t="s">
        <v>7</v>
      </c>
      <c r="E34239" s="4" t="s">
        <v>13</v>
      </c>
      <c r="F34239" s="4" t="s">
        <v>11</v>
      </c>
    </row>
    <row r="34240" spans="1:7">
      <c r="A34240" t="n">
        <v>332286</v>
      </c>
      <c r="B34240" s="51" t="n">
        <v>45</v>
      </c>
      <c r="C34240" s="7" t="n">
        <v>11</v>
      </c>
      <c r="D34240" s="7" t="n">
        <v>3</v>
      </c>
      <c r="E34240" s="7" t="n">
        <v>40.2999992370605</v>
      </c>
      <c r="F34240" s="7" t="n">
        <v>0</v>
      </c>
    </row>
    <row r="34241" spans="1:9">
      <c r="A34241" t="s">
        <v>4</v>
      </c>
      <c r="B34241" s="4" t="s">
        <v>5</v>
      </c>
      <c r="C34241" s="4" t="s">
        <v>7</v>
      </c>
      <c r="D34241" s="4" t="s">
        <v>11</v>
      </c>
    </row>
    <row r="34242" spans="1:9">
      <c r="A34242" t="n">
        <v>332295</v>
      </c>
      <c r="B34242" s="23" t="n">
        <v>58</v>
      </c>
      <c r="C34242" s="7" t="n">
        <v>255</v>
      </c>
      <c r="D34242" s="7" t="n">
        <v>0</v>
      </c>
    </row>
    <row r="34243" spans="1:9">
      <c r="A34243" t="s">
        <v>4</v>
      </c>
      <c r="B34243" s="4" t="s">
        <v>5</v>
      </c>
      <c r="C34243" s="4" t="s">
        <v>7</v>
      </c>
      <c r="D34243" s="4" t="s">
        <v>11</v>
      </c>
      <c r="E34243" s="4" t="s">
        <v>8</v>
      </c>
    </row>
    <row r="34244" spans="1:9">
      <c r="A34244" t="n">
        <v>332299</v>
      </c>
      <c r="B34244" s="38" t="n">
        <v>51</v>
      </c>
      <c r="C34244" s="7" t="n">
        <v>4</v>
      </c>
      <c r="D34244" s="7" t="n">
        <v>2</v>
      </c>
      <c r="E34244" s="7" t="s">
        <v>224</v>
      </c>
    </row>
    <row r="34245" spans="1:9">
      <c r="A34245" t="s">
        <v>4</v>
      </c>
      <c r="B34245" s="4" t="s">
        <v>5</v>
      </c>
      <c r="C34245" s="4" t="s">
        <v>11</v>
      </c>
    </row>
    <row r="34246" spans="1:9">
      <c r="A34246" t="n">
        <v>332313</v>
      </c>
      <c r="B34246" s="29" t="n">
        <v>16</v>
      </c>
      <c r="C34246" s="7" t="n">
        <v>0</v>
      </c>
    </row>
    <row r="34247" spans="1:9">
      <c r="A34247" t="s">
        <v>4</v>
      </c>
      <c r="B34247" s="4" t="s">
        <v>5</v>
      </c>
      <c r="C34247" s="4" t="s">
        <v>11</v>
      </c>
      <c r="D34247" s="4" t="s">
        <v>7</v>
      </c>
      <c r="E34247" s="4" t="s">
        <v>15</v>
      </c>
      <c r="F34247" s="4" t="s">
        <v>55</v>
      </c>
      <c r="G34247" s="4" t="s">
        <v>7</v>
      </c>
      <c r="H34247" s="4" t="s">
        <v>7</v>
      </c>
      <c r="I34247" s="4" t="s">
        <v>7</v>
      </c>
      <c r="J34247" s="4" t="s">
        <v>15</v>
      </c>
      <c r="K34247" s="4" t="s">
        <v>55</v>
      </c>
      <c r="L34247" s="4" t="s">
        <v>7</v>
      </c>
      <c r="M34247" s="4" t="s">
        <v>7</v>
      </c>
    </row>
    <row r="34248" spans="1:9">
      <c r="A34248" t="n">
        <v>332316</v>
      </c>
      <c r="B34248" s="55" t="n">
        <v>26</v>
      </c>
      <c r="C34248" s="7" t="n">
        <v>2</v>
      </c>
      <c r="D34248" s="7" t="n">
        <v>17</v>
      </c>
      <c r="E34248" s="7" t="n">
        <v>64106</v>
      </c>
      <c r="F34248" s="7" t="s">
        <v>935</v>
      </c>
      <c r="G34248" s="7" t="n">
        <v>2</v>
      </c>
      <c r="H34248" s="7" t="n">
        <v>3</v>
      </c>
      <c r="I34248" s="7" t="n">
        <v>17</v>
      </c>
      <c r="J34248" s="7" t="n">
        <v>64107</v>
      </c>
      <c r="K34248" s="7" t="s">
        <v>936</v>
      </c>
      <c r="L34248" s="7" t="n">
        <v>2</v>
      </c>
      <c r="M34248" s="7" t="n">
        <v>0</v>
      </c>
    </row>
    <row r="34249" spans="1:9">
      <c r="A34249" t="s">
        <v>4</v>
      </c>
      <c r="B34249" s="4" t="s">
        <v>5</v>
      </c>
    </row>
    <row r="34250" spans="1:9">
      <c r="A34250" t="n">
        <v>332512</v>
      </c>
      <c r="B34250" s="27" t="n">
        <v>28</v>
      </c>
    </row>
    <row r="34251" spans="1:9">
      <c r="A34251" t="s">
        <v>4</v>
      </c>
      <c r="B34251" s="4" t="s">
        <v>5</v>
      </c>
      <c r="C34251" s="4" t="s">
        <v>7</v>
      </c>
      <c r="D34251" s="4" t="s">
        <v>11</v>
      </c>
      <c r="E34251" s="4" t="s">
        <v>8</v>
      </c>
    </row>
    <row r="34252" spans="1:9">
      <c r="A34252" t="n">
        <v>332513</v>
      </c>
      <c r="B34252" s="38" t="n">
        <v>51</v>
      </c>
      <c r="C34252" s="7" t="n">
        <v>4</v>
      </c>
      <c r="D34252" s="7" t="n">
        <v>0</v>
      </c>
      <c r="E34252" s="7" t="s">
        <v>242</v>
      </c>
    </row>
    <row r="34253" spans="1:9">
      <c r="A34253" t="s">
        <v>4</v>
      </c>
      <c r="B34253" s="4" t="s">
        <v>5</v>
      </c>
      <c r="C34253" s="4" t="s">
        <v>11</v>
      </c>
    </row>
    <row r="34254" spans="1:9">
      <c r="A34254" t="n">
        <v>332527</v>
      </c>
      <c r="B34254" s="29" t="n">
        <v>16</v>
      </c>
      <c r="C34254" s="7" t="n">
        <v>0</v>
      </c>
    </row>
    <row r="34255" spans="1:9">
      <c r="A34255" t="s">
        <v>4</v>
      </c>
      <c r="B34255" s="4" t="s">
        <v>5</v>
      </c>
      <c r="C34255" s="4" t="s">
        <v>11</v>
      </c>
      <c r="D34255" s="4" t="s">
        <v>7</v>
      </c>
      <c r="E34255" s="4" t="s">
        <v>15</v>
      </c>
      <c r="F34255" s="4" t="s">
        <v>55</v>
      </c>
      <c r="G34255" s="4" t="s">
        <v>7</v>
      </c>
      <c r="H34255" s="4" t="s">
        <v>7</v>
      </c>
      <c r="I34255" s="4" t="s">
        <v>7</v>
      </c>
      <c r="J34255" s="4" t="s">
        <v>15</v>
      </c>
      <c r="K34255" s="4" t="s">
        <v>55</v>
      </c>
      <c r="L34255" s="4" t="s">
        <v>7</v>
      </c>
      <c r="M34255" s="4" t="s">
        <v>7</v>
      </c>
    </row>
    <row r="34256" spans="1:9">
      <c r="A34256" t="n">
        <v>332530</v>
      </c>
      <c r="B34256" s="55" t="n">
        <v>26</v>
      </c>
      <c r="C34256" s="7" t="n">
        <v>0</v>
      </c>
      <c r="D34256" s="7" t="n">
        <v>17</v>
      </c>
      <c r="E34256" s="7" t="n">
        <v>64108</v>
      </c>
      <c r="F34256" s="7" t="s">
        <v>937</v>
      </c>
      <c r="G34256" s="7" t="n">
        <v>2</v>
      </c>
      <c r="H34256" s="7" t="n">
        <v>3</v>
      </c>
      <c r="I34256" s="7" t="n">
        <v>17</v>
      </c>
      <c r="J34256" s="7" t="n">
        <v>64109</v>
      </c>
      <c r="K34256" s="7" t="s">
        <v>938</v>
      </c>
      <c r="L34256" s="7" t="n">
        <v>2</v>
      </c>
      <c r="M34256" s="7" t="n">
        <v>0</v>
      </c>
    </row>
    <row r="34257" spans="1:13">
      <c r="A34257" t="s">
        <v>4</v>
      </c>
      <c r="B34257" s="4" t="s">
        <v>5</v>
      </c>
    </row>
    <row r="34258" spans="1:13">
      <c r="A34258" t="n">
        <v>332677</v>
      </c>
      <c r="B34258" s="27" t="n">
        <v>28</v>
      </c>
    </row>
    <row r="34259" spans="1:13">
      <c r="A34259" t="s">
        <v>4</v>
      </c>
      <c r="B34259" s="4" t="s">
        <v>5</v>
      </c>
      <c r="C34259" s="4" t="s">
        <v>7</v>
      </c>
      <c r="D34259" s="4" t="s">
        <v>11</v>
      </c>
      <c r="E34259" s="4" t="s">
        <v>8</v>
      </c>
    </row>
    <row r="34260" spans="1:13">
      <c r="A34260" t="n">
        <v>332678</v>
      </c>
      <c r="B34260" s="38" t="n">
        <v>51</v>
      </c>
      <c r="C34260" s="7" t="n">
        <v>4</v>
      </c>
      <c r="D34260" s="7" t="n">
        <v>2</v>
      </c>
      <c r="E34260" s="7" t="s">
        <v>219</v>
      </c>
    </row>
    <row r="34261" spans="1:13">
      <c r="A34261" t="s">
        <v>4</v>
      </c>
      <c r="B34261" s="4" t="s">
        <v>5</v>
      </c>
      <c r="C34261" s="4" t="s">
        <v>11</v>
      </c>
    </row>
    <row r="34262" spans="1:13">
      <c r="A34262" t="n">
        <v>332691</v>
      </c>
      <c r="B34262" s="29" t="n">
        <v>16</v>
      </c>
      <c r="C34262" s="7" t="n">
        <v>0</v>
      </c>
    </row>
    <row r="34263" spans="1:13">
      <c r="A34263" t="s">
        <v>4</v>
      </c>
      <c r="B34263" s="4" t="s">
        <v>5</v>
      </c>
      <c r="C34263" s="4" t="s">
        <v>11</v>
      </c>
      <c r="D34263" s="4" t="s">
        <v>7</v>
      </c>
      <c r="E34263" s="4" t="s">
        <v>15</v>
      </c>
      <c r="F34263" s="4" t="s">
        <v>55</v>
      </c>
      <c r="G34263" s="4" t="s">
        <v>7</v>
      </c>
      <c r="H34263" s="4" t="s">
        <v>7</v>
      </c>
      <c r="I34263" s="4" t="s">
        <v>7</v>
      </c>
      <c r="J34263" s="4" t="s">
        <v>15</v>
      </c>
      <c r="K34263" s="4" t="s">
        <v>55</v>
      </c>
      <c r="L34263" s="4" t="s">
        <v>7</v>
      </c>
      <c r="M34263" s="4" t="s">
        <v>7</v>
      </c>
    </row>
    <row r="34264" spans="1:13">
      <c r="A34264" t="n">
        <v>332694</v>
      </c>
      <c r="B34264" s="55" t="n">
        <v>26</v>
      </c>
      <c r="C34264" s="7" t="n">
        <v>2</v>
      </c>
      <c r="D34264" s="7" t="n">
        <v>17</v>
      </c>
      <c r="E34264" s="7" t="n">
        <v>64110</v>
      </c>
      <c r="F34264" s="7" t="s">
        <v>939</v>
      </c>
      <c r="G34264" s="7" t="n">
        <v>2</v>
      </c>
      <c r="H34264" s="7" t="n">
        <v>3</v>
      </c>
      <c r="I34264" s="7" t="n">
        <v>17</v>
      </c>
      <c r="J34264" s="7" t="n">
        <v>64111</v>
      </c>
      <c r="K34264" s="7" t="s">
        <v>940</v>
      </c>
      <c r="L34264" s="7" t="n">
        <v>2</v>
      </c>
      <c r="M34264" s="7" t="n">
        <v>0</v>
      </c>
    </row>
    <row r="34265" spans="1:13">
      <c r="A34265" t="s">
        <v>4</v>
      </c>
      <c r="B34265" s="4" t="s">
        <v>5</v>
      </c>
    </row>
    <row r="34266" spans="1:13">
      <c r="A34266" t="n">
        <v>332877</v>
      </c>
      <c r="B34266" s="27" t="n">
        <v>28</v>
      </c>
    </row>
    <row r="34267" spans="1:13">
      <c r="A34267" t="s">
        <v>4</v>
      </c>
      <c r="B34267" s="4" t="s">
        <v>5</v>
      </c>
      <c r="C34267" s="4" t="s">
        <v>7</v>
      </c>
      <c r="D34267" s="4" t="s">
        <v>11</v>
      </c>
      <c r="E34267" s="4" t="s">
        <v>8</v>
      </c>
    </row>
    <row r="34268" spans="1:13">
      <c r="A34268" t="n">
        <v>332878</v>
      </c>
      <c r="B34268" s="38" t="n">
        <v>51</v>
      </c>
      <c r="C34268" s="7" t="n">
        <v>4</v>
      </c>
      <c r="D34268" s="7" t="n">
        <v>0</v>
      </c>
      <c r="E34268" s="7" t="s">
        <v>242</v>
      </c>
    </row>
    <row r="34269" spans="1:13">
      <c r="A34269" t="s">
        <v>4</v>
      </c>
      <c r="B34269" s="4" t="s">
        <v>5</v>
      </c>
      <c r="C34269" s="4" t="s">
        <v>11</v>
      </c>
    </row>
    <row r="34270" spans="1:13">
      <c r="A34270" t="n">
        <v>332892</v>
      </c>
      <c r="B34270" s="29" t="n">
        <v>16</v>
      </c>
      <c r="C34270" s="7" t="n">
        <v>0</v>
      </c>
    </row>
    <row r="34271" spans="1:13">
      <c r="A34271" t="s">
        <v>4</v>
      </c>
      <c r="B34271" s="4" t="s">
        <v>5</v>
      </c>
      <c r="C34271" s="4" t="s">
        <v>11</v>
      </c>
      <c r="D34271" s="4" t="s">
        <v>7</v>
      </c>
      <c r="E34271" s="4" t="s">
        <v>15</v>
      </c>
      <c r="F34271" s="4" t="s">
        <v>55</v>
      </c>
      <c r="G34271" s="4" t="s">
        <v>7</v>
      </c>
      <c r="H34271" s="4" t="s">
        <v>7</v>
      </c>
      <c r="I34271" s="4" t="s">
        <v>7</v>
      </c>
      <c r="J34271" s="4" t="s">
        <v>15</v>
      </c>
      <c r="K34271" s="4" t="s">
        <v>55</v>
      </c>
      <c r="L34271" s="4" t="s">
        <v>7</v>
      </c>
      <c r="M34271" s="4" t="s">
        <v>7</v>
      </c>
      <c r="N34271" s="4" t="s">
        <v>7</v>
      </c>
      <c r="O34271" s="4" t="s">
        <v>15</v>
      </c>
      <c r="P34271" s="4" t="s">
        <v>55</v>
      </c>
      <c r="Q34271" s="4" t="s">
        <v>7</v>
      </c>
      <c r="R34271" s="4" t="s">
        <v>7</v>
      </c>
    </row>
    <row r="34272" spans="1:13">
      <c r="A34272" t="n">
        <v>332895</v>
      </c>
      <c r="B34272" s="55" t="n">
        <v>26</v>
      </c>
      <c r="C34272" s="7" t="n">
        <v>0</v>
      </c>
      <c r="D34272" s="7" t="n">
        <v>17</v>
      </c>
      <c r="E34272" s="7" t="n">
        <v>64112</v>
      </c>
      <c r="F34272" s="7" t="s">
        <v>941</v>
      </c>
      <c r="G34272" s="7" t="n">
        <v>2</v>
      </c>
      <c r="H34272" s="7" t="n">
        <v>3</v>
      </c>
      <c r="I34272" s="7" t="n">
        <v>17</v>
      </c>
      <c r="J34272" s="7" t="n">
        <v>64113</v>
      </c>
      <c r="K34272" s="7" t="s">
        <v>942</v>
      </c>
      <c r="L34272" s="7" t="n">
        <v>2</v>
      </c>
      <c r="M34272" s="7" t="n">
        <v>3</v>
      </c>
      <c r="N34272" s="7" t="n">
        <v>17</v>
      </c>
      <c r="O34272" s="7" t="n">
        <v>64114</v>
      </c>
      <c r="P34272" s="7" t="s">
        <v>943</v>
      </c>
      <c r="Q34272" s="7" t="n">
        <v>2</v>
      </c>
      <c r="R34272" s="7" t="n">
        <v>0</v>
      </c>
    </row>
    <row r="34273" spans="1:18">
      <c r="A34273" t="s">
        <v>4</v>
      </c>
      <c r="B34273" s="4" t="s">
        <v>5</v>
      </c>
    </row>
    <row r="34274" spans="1:18">
      <c r="A34274" t="n">
        <v>333208</v>
      </c>
      <c r="B34274" s="27" t="n">
        <v>28</v>
      </c>
    </row>
    <row r="34275" spans="1:18">
      <c r="A34275" t="s">
        <v>4</v>
      </c>
      <c r="B34275" s="4" t="s">
        <v>5</v>
      </c>
      <c r="C34275" s="4" t="s">
        <v>7</v>
      </c>
      <c r="D34275" s="4" t="s">
        <v>11</v>
      </c>
      <c r="E34275" s="4" t="s">
        <v>8</v>
      </c>
    </row>
    <row r="34276" spans="1:18">
      <c r="A34276" t="n">
        <v>333209</v>
      </c>
      <c r="B34276" s="38" t="n">
        <v>51</v>
      </c>
      <c r="C34276" s="7" t="n">
        <v>4</v>
      </c>
      <c r="D34276" s="7" t="n">
        <v>2</v>
      </c>
      <c r="E34276" s="7" t="s">
        <v>574</v>
      </c>
    </row>
    <row r="34277" spans="1:18">
      <c r="A34277" t="s">
        <v>4</v>
      </c>
      <c r="B34277" s="4" t="s">
        <v>5</v>
      </c>
      <c r="C34277" s="4" t="s">
        <v>11</v>
      </c>
    </row>
    <row r="34278" spans="1:18">
      <c r="A34278" t="n">
        <v>333222</v>
      </c>
      <c r="B34278" s="29" t="n">
        <v>16</v>
      </c>
      <c r="C34278" s="7" t="n">
        <v>0</v>
      </c>
    </row>
    <row r="34279" spans="1:18">
      <c r="A34279" t="s">
        <v>4</v>
      </c>
      <c r="B34279" s="4" t="s">
        <v>5</v>
      </c>
      <c r="C34279" s="4" t="s">
        <v>11</v>
      </c>
      <c r="D34279" s="4" t="s">
        <v>7</v>
      </c>
      <c r="E34279" s="4" t="s">
        <v>15</v>
      </c>
      <c r="F34279" s="4" t="s">
        <v>55</v>
      </c>
      <c r="G34279" s="4" t="s">
        <v>7</v>
      </c>
      <c r="H34279" s="4" t="s">
        <v>7</v>
      </c>
    </row>
    <row r="34280" spans="1:18">
      <c r="A34280" t="n">
        <v>333225</v>
      </c>
      <c r="B34280" s="55" t="n">
        <v>26</v>
      </c>
      <c r="C34280" s="7" t="n">
        <v>2</v>
      </c>
      <c r="D34280" s="7" t="n">
        <v>17</v>
      </c>
      <c r="E34280" s="7" t="n">
        <v>64115</v>
      </c>
      <c r="F34280" s="7" t="s">
        <v>944</v>
      </c>
      <c r="G34280" s="7" t="n">
        <v>2</v>
      </c>
      <c r="H34280" s="7" t="n">
        <v>0</v>
      </c>
    </row>
    <row r="34281" spans="1:18">
      <c r="A34281" t="s">
        <v>4</v>
      </c>
      <c r="B34281" s="4" t="s">
        <v>5</v>
      </c>
    </row>
    <row r="34282" spans="1:18">
      <c r="A34282" t="n">
        <v>333241</v>
      </c>
      <c r="B34282" s="27" t="n">
        <v>28</v>
      </c>
    </row>
    <row r="34283" spans="1:18">
      <c r="A34283" t="s">
        <v>4</v>
      </c>
      <c r="B34283" s="4" t="s">
        <v>5</v>
      </c>
      <c r="C34283" s="4" t="s">
        <v>11</v>
      </c>
      <c r="D34283" s="4" t="s">
        <v>7</v>
      </c>
    </row>
    <row r="34284" spans="1:18">
      <c r="A34284" t="n">
        <v>333242</v>
      </c>
      <c r="B34284" s="68" t="n">
        <v>89</v>
      </c>
      <c r="C34284" s="7" t="n">
        <v>65533</v>
      </c>
      <c r="D34284" s="7" t="n">
        <v>1</v>
      </c>
    </row>
    <row r="34285" spans="1:18">
      <c r="A34285" t="s">
        <v>4</v>
      </c>
      <c r="B34285" s="4" t="s">
        <v>5</v>
      </c>
      <c r="C34285" s="4" t="s">
        <v>7</v>
      </c>
      <c r="D34285" s="4" t="s">
        <v>11</v>
      </c>
      <c r="E34285" s="4" t="s">
        <v>7</v>
      </c>
    </row>
    <row r="34286" spans="1:18">
      <c r="A34286" t="n">
        <v>333246</v>
      </c>
      <c r="B34286" s="13" t="n">
        <v>49</v>
      </c>
      <c r="C34286" s="7" t="n">
        <v>1</v>
      </c>
      <c r="D34286" s="7" t="n">
        <v>3000</v>
      </c>
      <c r="E34286" s="7" t="n">
        <v>0</v>
      </c>
    </row>
    <row r="34287" spans="1:18">
      <c r="A34287" t="s">
        <v>4</v>
      </c>
      <c r="B34287" s="4" t="s">
        <v>5</v>
      </c>
      <c r="C34287" s="4" t="s">
        <v>7</v>
      </c>
      <c r="D34287" s="4" t="s">
        <v>11</v>
      </c>
      <c r="E34287" s="4" t="s">
        <v>8</v>
      </c>
      <c r="F34287" s="4" t="s">
        <v>8</v>
      </c>
      <c r="G34287" s="4" t="s">
        <v>8</v>
      </c>
      <c r="H34287" s="4" t="s">
        <v>8</v>
      </c>
    </row>
    <row r="34288" spans="1:18">
      <c r="A34288" t="n">
        <v>333251</v>
      </c>
      <c r="B34288" s="38" t="n">
        <v>51</v>
      </c>
      <c r="C34288" s="7" t="n">
        <v>3</v>
      </c>
      <c r="D34288" s="7" t="n">
        <v>2</v>
      </c>
      <c r="E34288" s="7" t="s">
        <v>319</v>
      </c>
      <c r="F34288" s="7" t="s">
        <v>79</v>
      </c>
      <c r="G34288" s="7" t="s">
        <v>78</v>
      </c>
      <c r="H34288" s="7" t="s">
        <v>79</v>
      </c>
    </row>
    <row r="34289" spans="1:8">
      <c r="A34289" t="s">
        <v>4</v>
      </c>
      <c r="B34289" s="4" t="s">
        <v>5</v>
      </c>
      <c r="C34289" s="4" t="s">
        <v>11</v>
      </c>
      <c r="D34289" s="4" t="s">
        <v>7</v>
      </c>
      <c r="E34289" s="4" t="s">
        <v>13</v>
      </c>
      <c r="F34289" s="4" t="s">
        <v>11</v>
      </c>
    </row>
    <row r="34290" spans="1:8">
      <c r="A34290" t="n">
        <v>333264</v>
      </c>
      <c r="B34290" s="56" t="n">
        <v>59</v>
      </c>
      <c r="C34290" s="7" t="n">
        <v>2</v>
      </c>
      <c r="D34290" s="7" t="n">
        <v>9</v>
      </c>
      <c r="E34290" s="7" t="n">
        <v>0.150000005960464</v>
      </c>
      <c r="F34290" s="7" t="n">
        <v>0</v>
      </c>
    </row>
    <row r="34291" spans="1:8">
      <c r="A34291" t="s">
        <v>4</v>
      </c>
      <c r="B34291" s="4" t="s">
        <v>5</v>
      </c>
      <c r="C34291" s="4" t="s">
        <v>11</v>
      </c>
    </row>
    <row r="34292" spans="1:8">
      <c r="A34292" t="n">
        <v>333274</v>
      </c>
      <c r="B34292" s="29" t="n">
        <v>16</v>
      </c>
      <c r="C34292" s="7" t="n">
        <v>1800</v>
      </c>
    </row>
    <row r="34293" spans="1:8">
      <c r="A34293" t="s">
        <v>4</v>
      </c>
      <c r="B34293" s="4" t="s">
        <v>5</v>
      </c>
      <c r="C34293" s="4" t="s">
        <v>7</v>
      </c>
      <c r="D34293" s="4" t="s">
        <v>11</v>
      </c>
      <c r="E34293" s="4" t="s">
        <v>13</v>
      </c>
    </row>
    <row r="34294" spans="1:8">
      <c r="A34294" t="n">
        <v>333277</v>
      </c>
      <c r="B34294" s="23" t="n">
        <v>58</v>
      </c>
      <c r="C34294" s="7" t="n">
        <v>101</v>
      </c>
      <c r="D34294" s="7" t="n">
        <v>800</v>
      </c>
      <c r="E34294" s="7" t="n">
        <v>1</v>
      </c>
    </row>
    <row r="34295" spans="1:8">
      <c r="A34295" t="s">
        <v>4</v>
      </c>
      <c r="B34295" s="4" t="s">
        <v>5</v>
      </c>
      <c r="C34295" s="4" t="s">
        <v>7</v>
      </c>
      <c r="D34295" s="4" t="s">
        <v>11</v>
      </c>
    </row>
    <row r="34296" spans="1:8">
      <c r="A34296" t="n">
        <v>333285</v>
      </c>
      <c r="B34296" s="23" t="n">
        <v>58</v>
      </c>
      <c r="C34296" s="7" t="n">
        <v>254</v>
      </c>
      <c r="D34296" s="7" t="n">
        <v>0</v>
      </c>
    </row>
    <row r="34297" spans="1:8">
      <c r="A34297" t="s">
        <v>4</v>
      </c>
      <c r="B34297" s="4" t="s">
        <v>5</v>
      </c>
      <c r="C34297" s="4" t="s">
        <v>7</v>
      </c>
      <c r="D34297" s="4" t="s">
        <v>7</v>
      </c>
      <c r="E34297" s="4" t="s">
        <v>13</v>
      </c>
      <c r="F34297" s="4" t="s">
        <v>13</v>
      </c>
      <c r="G34297" s="4" t="s">
        <v>13</v>
      </c>
      <c r="H34297" s="4" t="s">
        <v>11</v>
      </c>
    </row>
    <row r="34298" spans="1:8">
      <c r="A34298" t="n">
        <v>333289</v>
      </c>
      <c r="B34298" s="51" t="n">
        <v>45</v>
      </c>
      <c r="C34298" s="7" t="n">
        <v>2</v>
      </c>
      <c r="D34298" s="7" t="n">
        <v>3</v>
      </c>
      <c r="E34298" s="7" t="n">
        <v>-7.36999988555908</v>
      </c>
      <c r="F34298" s="7" t="n">
        <v>6.42999982833862</v>
      </c>
      <c r="G34298" s="7" t="n">
        <v>29.8199996948242</v>
      </c>
      <c r="H34298" s="7" t="n">
        <v>0</v>
      </c>
    </row>
    <row r="34299" spans="1:8">
      <c r="A34299" t="s">
        <v>4</v>
      </c>
      <c r="B34299" s="4" t="s">
        <v>5</v>
      </c>
      <c r="C34299" s="4" t="s">
        <v>7</v>
      </c>
      <c r="D34299" s="4" t="s">
        <v>7</v>
      </c>
      <c r="E34299" s="4" t="s">
        <v>13</v>
      </c>
      <c r="F34299" s="4" t="s">
        <v>13</v>
      </c>
      <c r="G34299" s="4" t="s">
        <v>13</v>
      </c>
      <c r="H34299" s="4" t="s">
        <v>11</v>
      </c>
      <c r="I34299" s="4" t="s">
        <v>7</v>
      </c>
    </row>
    <row r="34300" spans="1:8">
      <c r="A34300" t="n">
        <v>333306</v>
      </c>
      <c r="B34300" s="51" t="n">
        <v>45</v>
      </c>
      <c r="C34300" s="7" t="n">
        <v>4</v>
      </c>
      <c r="D34300" s="7" t="n">
        <v>3</v>
      </c>
      <c r="E34300" s="7" t="n">
        <v>5.6100001335144</v>
      </c>
      <c r="F34300" s="7" t="n">
        <v>70.7099990844727</v>
      </c>
      <c r="G34300" s="7" t="n">
        <v>356</v>
      </c>
      <c r="H34300" s="7" t="n">
        <v>0</v>
      </c>
      <c r="I34300" s="7" t="n">
        <v>0</v>
      </c>
    </row>
    <row r="34301" spans="1:8">
      <c r="A34301" t="s">
        <v>4</v>
      </c>
      <c r="B34301" s="4" t="s">
        <v>5</v>
      </c>
      <c r="C34301" s="4" t="s">
        <v>7</v>
      </c>
      <c r="D34301" s="4" t="s">
        <v>7</v>
      </c>
      <c r="E34301" s="4" t="s">
        <v>13</v>
      </c>
      <c r="F34301" s="4" t="s">
        <v>11</v>
      </c>
    </row>
    <row r="34302" spans="1:8">
      <c r="A34302" t="n">
        <v>333324</v>
      </c>
      <c r="B34302" s="51" t="n">
        <v>45</v>
      </c>
      <c r="C34302" s="7" t="n">
        <v>5</v>
      </c>
      <c r="D34302" s="7" t="n">
        <v>3</v>
      </c>
      <c r="E34302" s="7" t="n">
        <v>0.800000011920929</v>
      </c>
      <c r="F34302" s="7" t="n">
        <v>0</v>
      </c>
    </row>
    <row r="34303" spans="1:8">
      <c r="A34303" t="s">
        <v>4</v>
      </c>
      <c r="B34303" s="4" t="s">
        <v>5</v>
      </c>
      <c r="C34303" s="4" t="s">
        <v>7</v>
      </c>
      <c r="D34303" s="4" t="s">
        <v>7</v>
      </c>
      <c r="E34303" s="4" t="s">
        <v>13</v>
      </c>
      <c r="F34303" s="4" t="s">
        <v>11</v>
      </c>
    </row>
    <row r="34304" spans="1:8">
      <c r="A34304" t="n">
        <v>333333</v>
      </c>
      <c r="B34304" s="51" t="n">
        <v>45</v>
      </c>
      <c r="C34304" s="7" t="n">
        <v>11</v>
      </c>
      <c r="D34304" s="7" t="n">
        <v>3</v>
      </c>
      <c r="E34304" s="7" t="n">
        <v>40.2999992370605</v>
      </c>
      <c r="F34304" s="7" t="n">
        <v>0</v>
      </c>
    </row>
    <row r="34305" spans="1:9">
      <c r="A34305" t="s">
        <v>4</v>
      </c>
      <c r="B34305" s="4" t="s">
        <v>5</v>
      </c>
      <c r="C34305" s="4" t="s">
        <v>7</v>
      </c>
    </row>
    <row r="34306" spans="1:9">
      <c r="A34306" t="n">
        <v>333342</v>
      </c>
      <c r="B34306" s="49" t="n">
        <v>116</v>
      </c>
      <c r="C34306" s="7" t="n">
        <v>0</v>
      </c>
    </row>
    <row r="34307" spans="1:9">
      <c r="A34307" t="s">
        <v>4</v>
      </c>
      <c r="B34307" s="4" t="s">
        <v>5</v>
      </c>
      <c r="C34307" s="4" t="s">
        <v>7</v>
      </c>
      <c r="D34307" s="4" t="s">
        <v>11</v>
      </c>
    </row>
    <row r="34308" spans="1:9">
      <c r="A34308" t="n">
        <v>333344</v>
      </c>
      <c r="B34308" s="49" t="n">
        <v>116</v>
      </c>
      <c r="C34308" s="7" t="n">
        <v>2</v>
      </c>
      <c r="D34308" s="7" t="n">
        <v>1</v>
      </c>
    </row>
    <row r="34309" spans="1:9">
      <c r="A34309" t="s">
        <v>4</v>
      </c>
      <c r="B34309" s="4" t="s">
        <v>5</v>
      </c>
      <c r="C34309" s="4" t="s">
        <v>7</v>
      </c>
      <c r="D34309" s="4" t="s">
        <v>15</v>
      </c>
    </row>
    <row r="34310" spans="1:9">
      <c r="A34310" t="n">
        <v>333348</v>
      </c>
      <c r="B34310" s="49" t="n">
        <v>116</v>
      </c>
      <c r="C34310" s="7" t="n">
        <v>5</v>
      </c>
      <c r="D34310" s="7" t="n">
        <v>1077936128</v>
      </c>
    </row>
    <row r="34311" spans="1:9">
      <c r="A34311" t="s">
        <v>4</v>
      </c>
      <c r="B34311" s="4" t="s">
        <v>5</v>
      </c>
      <c r="C34311" s="4" t="s">
        <v>7</v>
      </c>
      <c r="D34311" s="4" t="s">
        <v>11</v>
      </c>
    </row>
    <row r="34312" spans="1:9">
      <c r="A34312" t="n">
        <v>333354</v>
      </c>
      <c r="B34312" s="49" t="n">
        <v>116</v>
      </c>
      <c r="C34312" s="7" t="n">
        <v>6</v>
      </c>
      <c r="D34312" s="7" t="n">
        <v>1</v>
      </c>
    </row>
    <row r="34313" spans="1:9">
      <c r="A34313" t="s">
        <v>4</v>
      </c>
      <c r="B34313" s="4" t="s">
        <v>5</v>
      </c>
      <c r="C34313" s="4" t="s">
        <v>11</v>
      </c>
      <c r="D34313" s="4" t="s">
        <v>11</v>
      </c>
      <c r="E34313" s="4" t="s">
        <v>13</v>
      </c>
      <c r="F34313" s="4" t="s">
        <v>7</v>
      </c>
    </row>
    <row r="34314" spans="1:9">
      <c r="A34314" t="n">
        <v>333358</v>
      </c>
      <c r="B34314" s="73" t="n">
        <v>53</v>
      </c>
      <c r="C34314" s="7" t="n">
        <v>0</v>
      </c>
      <c r="D34314" s="7" t="n">
        <v>2</v>
      </c>
      <c r="E34314" s="7" t="n">
        <v>0</v>
      </c>
      <c r="F34314" s="7" t="n">
        <v>0</v>
      </c>
    </row>
    <row r="34315" spans="1:9">
      <c r="A34315" t="s">
        <v>4</v>
      </c>
      <c r="B34315" s="4" t="s">
        <v>5</v>
      </c>
      <c r="C34315" s="4" t="s">
        <v>7</v>
      </c>
      <c r="D34315" s="4" t="s">
        <v>11</v>
      </c>
    </row>
    <row r="34316" spans="1:9">
      <c r="A34316" t="n">
        <v>333368</v>
      </c>
      <c r="B34316" s="23" t="n">
        <v>58</v>
      </c>
      <c r="C34316" s="7" t="n">
        <v>255</v>
      </c>
      <c r="D34316" s="7" t="n">
        <v>0</v>
      </c>
    </row>
    <row r="34317" spans="1:9">
      <c r="A34317" t="s">
        <v>4</v>
      </c>
      <c r="B34317" s="4" t="s">
        <v>5</v>
      </c>
      <c r="C34317" s="4" t="s">
        <v>11</v>
      </c>
      <c r="D34317" s="4" t="s">
        <v>11</v>
      </c>
      <c r="E34317" s="4" t="s">
        <v>13</v>
      </c>
      <c r="F34317" s="4" t="s">
        <v>7</v>
      </c>
    </row>
    <row r="34318" spans="1:9">
      <c r="A34318" t="n">
        <v>333372</v>
      </c>
      <c r="B34318" s="73" t="n">
        <v>53</v>
      </c>
      <c r="C34318" s="7" t="n">
        <v>2</v>
      </c>
      <c r="D34318" s="7" t="n">
        <v>0</v>
      </c>
      <c r="E34318" s="7" t="n">
        <v>5</v>
      </c>
      <c r="F34318" s="7" t="n">
        <v>0</v>
      </c>
    </row>
    <row r="34319" spans="1:9">
      <c r="A34319" t="s">
        <v>4</v>
      </c>
      <c r="B34319" s="4" t="s">
        <v>5</v>
      </c>
      <c r="C34319" s="4" t="s">
        <v>11</v>
      </c>
    </row>
    <row r="34320" spans="1:9">
      <c r="A34320" t="n">
        <v>333382</v>
      </c>
      <c r="B34320" s="66" t="n">
        <v>54</v>
      </c>
      <c r="C34320" s="7" t="n">
        <v>2</v>
      </c>
    </row>
    <row r="34321" spans="1:6">
      <c r="A34321" t="s">
        <v>4</v>
      </c>
      <c r="B34321" s="4" t="s">
        <v>5</v>
      </c>
      <c r="C34321" s="4" t="s">
        <v>7</v>
      </c>
      <c r="D34321" s="4" t="s">
        <v>7</v>
      </c>
    </row>
    <row r="34322" spans="1:6">
      <c r="A34322" t="n">
        <v>333385</v>
      </c>
      <c r="B34322" s="13" t="n">
        <v>49</v>
      </c>
      <c r="C34322" s="7" t="n">
        <v>2</v>
      </c>
      <c r="D34322" s="7" t="n">
        <v>0</v>
      </c>
    </row>
    <row r="34323" spans="1:6">
      <c r="A34323" t="s">
        <v>4</v>
      </c>
      <c r="B34323" s="4" t="s">
        <v>5</v>
      </c>
      <c r="C34323" s="4" t="s">
        <v>7</v>
      </c>
      <c r="D34323" s="4" t="s">
        <v>11</v>
      </c>
      <c r="E34323" s="4" t="s">
        <v>15</v>
      </c>
      <c r="F34323" s="4" t="s">
        <v>11</v>
      </c>
      <c r="G34323" s="4" t="s">
        <v>15</v>
      </c>
      <c r="H34323" s="4" t="s">
        <v>7</v>
      </c>
    </row>
    <row r="34324" spans="1:6">
      <c r="A34324" t="n">
        <v>333388</v>
      </c>
      <c r="B34324" s="13" t="n">
        <v>49</v>
      </c>
      <c r="C34324" s="7" t="n">
        <v>0</v>
      </c>
      <c r="D34324" s="7" t="n">
        <v>551</v>
      </c>
      <c r="E34324" s="7" t="n">
        <v>1061997773</v>
      </c>
      <c r="F34324" s="7" t="n">
        <v>0</v>
      </c>
      <c r="G34324" s="7" t="n">
        <v>0</v>
      </c>
      <c r="H34324" s="7" t="n">
        <v>0</v>
      </c>
    </row>
    <row r="34325" spans="1:6">
      <c r="A34325" t="s">
        <v>4</v>
      </c>
      <c r="B34325" s="4" t="s">
        <v>5</v>
      </c>
      <c r="C34325" s="4" t="s">
        <v>7</v>
      </c>
      <c r="D34325" s="4" t="s">
        <v>11</v>
      </c>
    </row>
    <row r="34326" spans="1:6">
      <c r="A34326" t="n">
        <v>333403</v>
      </c>
      <c r="B34326" s="13" t="n">
        <v>49</v>
      </c>
      <c r="C34326" s="7" t="n">
        <v>6</v>
      </c>
      <c r="D34326" s="7" t="n">
        <v>551</v>
      </c>
    </row>
    <row r="34327" spans="1:6">
      <c r="A34327" t="s">
        <v>4</v>
      </c>
      <c r="B34327" s="4" t="s">
        <v>5</v>
      </c>
      <c r="C34327" s="4" t="s">
        <v>11</v>
      </c>
    </row>
    <row r="34328" spans="1:6">
      <c r="A34328" t="n">
        <v>333407</v>
      </c>
      <c r="B34328" s="29" t="n">
        <v>16</v>
      </c>
      <c r="C34328" s="7" t="n">
        <v>500</v>
      </c>
    </row>
    <row r="34329" spans="1:6">
      <c r="A34329" t="s">
        <v>4</v>
      </c>
      <c r="B34329" s="4" t="s">
        <v>5</v>
      </c>
      <c r="C34329" s="4" t="s">
        <v>7</v>
      </c>
      <c r="D34329" s="4" t="s">
        <v>11</v>
      </c>
      <c r="E34329" s="4" t="s">
        <v>8</v>
      </c>
    </row>
    <row r="34330" spans="1:6">
      <c r="A34330" t="n">
        <v>333410</v>
      </c>
      <c r="B34330" s="38" t="n">
        <v>51</v>
      </c>
      <c r="C34330" s="7" t="n">
        <v>4</v>
      </c>
      <c r="D34330" s="7" t="n">
        <v>2</v>
      </c>
      <c r="E34330" s="7" t="s">
        <v>709</v>
      </c>
    </row>
    <row r="34331" spans="1:6">
      <c r="A34331" t="s">
        <v>4</v>
      </c>
      <c r="B34331" s="4" t="s">
        <v>5</v>
      </c>
      <c r="C34331" s="4" t="s">
        <v>11</v>
      </c>
    </row>
    <row r="34332" spans="1:6">
      <c r="A34332" t="n">
        <v>333424</v>
      </c>
      <c r="B34332" s="29" t="n">
        <v>16</v>
      </c>
      <c r="C34332" s="7" t="n">
        <v>0</v>
      </c>
    </row>
    <row r="34333" spans="1:6">
      <c r="A34333" t="s">
        <v>4</v>
      </c>
      <c r="B34333" s="4" t="s">
        <v>5</v>
      </c>
      <c r="C34333" s="4" t="s">
        <v>11</v>
      </c>
      <c r="D34333" s="4" t="s">
        <v>7</v>
      </c>
      <c r="E34333" s="4" t="s">
        <v>15</v>
      </c>
      <c r="F34333" s="4" t="s">
        <v>55</v>
      </c>
      <c r="G34333" s="4" t="s">
        <v>7</v>
      </c>
      <c r="H34333" s="4" t="s">
        <v>7</v>
      </c>
      <c r="I34333" s="4" t="s">
        <v>7</v>
      </c>
      <c r="J34333" s="4" t="s">
        <v>15</v>
      </c>
      <c r="K34333" s="4" t="s">
        <v>55</v>
      </c>
      <c r="L34333" s="4" t="s">
        <v>7</v>
      </c>
      <c r="M34333" s="4" t="s">
        <v>7</v>
      </c>
    </row>
    <row r="34334" spans="1:6">
      <c r="A34334" t="n">
        <v>333427</v>
      </c>
      <c r="B34334" s="55" t="n">
        <v>26</v>
      </c>
      <c r="C34334" s="7" t="n">
        <v>2</v>
      </c>
      <c r="D34334" s="7" t="n">
        <v>17</v>
      </c>
      <c r="E34334" s="7" t="n">
        <v>6800</v>
      </c>
      <c r="F34334" s="7" t="s">
        <v>945</v>
      </c>
      <c r="G34334" s="7" t="n">
        <v>2</v>
      </c>
      <c r="H34334" s="7" t="n">
        <v>3</v>
      </c>
      <c r="I34334" s="7" t="n">
        <v>17</v>
      </c>
      <c r="J34334" s="7" t="n">
        <v>6801</v>
      </c>
      <c r="K34334" s="7" t="s">
        <v>946</v>
      </c>
      <c r="L34334" s="7" t="n">
        <v>2</v>
      </c>
      <c r="M34334" s="7" t="n">
        <v>0</v>
      </c>
    </row>
    <row r="34335" spans="1:6">
      <c r="A34335" t="s">
        <v>4</v>
      </c>
      <c r="B34335" s="4" t="s">
        <v>5</v>
      </c>
    </row>
    <row r="34336" spans="1:6">
      <c r="A34336" t="n">
        <v>333542</v>
      </c>
      <c r="B34336" s="27" t="n">
        <v>28</v>
      </c>
    </row>
    <row r="34337" spans="1:13">
      <c r="A34337" t="s">
        <v>4</v>
      </c>
      <c r="B34337" s="4" t="s">
        <v>5</v>
      </c>
      <c r="C34337" s="4" t="s">
        <v>7</v>
      </c>
      <c r="D34337" s="4" t="s">
        <v>11</v>
      </c>
      <c r="E34337" s="4" t="s">
        <v>8</v>
      </c>
    </row>
    <row r="34338" spans="1:13">
      <c r="A34338" t="n">
        <v>333543</v>
      </c>
      <c r="B34338" s="38" t="n">
        <v>51</v>
      </c>
      <c r="C34338" s="7" t="n">
        <v>4</v>
      </c>
      <c r="D34338" s="7" t="n">
        <v>0</v>
      </c>
      <c r="E34338" s="7" t="s">
        <v>179</v>
      </c>
    </row>
    <row r="34339" spans="1:13">
      <c r="A34339" t="s">
        <v>4</v>
      </c>
      <c r="B34339" s="4" t="s">
        <v>5</v>
      </c>
      <c r="C34339" s="4" t="s">
        <v>11</v>
      </c>
    </row>
    <row r="34340" spans="1:13">
      <c r="A34340" t="n">
        <v>333557</v>
      </c>
      <c r="B34340" s="29" t="n">
        <v>16</v>
      </c>
      <c r="C34340" s="7" t="n">
        <v>0</v>
      </c>
    </row>
    <row r="34341" spans="1:13">
      <c r="A34341" t="s">
        <v>4</v>
      </c>
      <c r="B34341" s="4" t="s">
        <v>5</v>
      </c>
      <c r="C34341" s="4" t="s">
        <v>11</v>
      </c>
      <c r="D34341" s="4" t="s">
        <v>7</v>
      </c>
      <c r="E34341" s="4" t="s">
        <v>15</v>
      </c>
      <c r="F34341" s="4" t="s">
        <v>55</v>
      </c>
      <c r="G34341" s="4" t="s">
        <v>7</v>
      </c>
      <c r="H34341" s="4" t="s">
        <v>7</v>
      </c>
    </row>
    <row r="34342" spans="1:13">
      <c r="A34342" t="n">
        <v>333560</v>
      </c>
      <c r="B34342" s="55" t="n">
        <v>26</v>
      </c>
      <c r="C34342" s="7" t="n">
        <v>0</v>
      </c>
      <c r="D34342" s="7" t="n">
        <v>17</v>
      </c>
      <c r="E34342" s="7" t="n">
        <v>64116</v>
      </c>
      <c r="F34342" s="7" t="s">
        <v>947</v>
      </c>
      <c r="G34342" s="7" t="n">
        <v>2</v>
      </c>
      <c r="H34342" s="7" t="n">
        <v>0</v>
      </c>
    </row>
    <row r="34343" spans="1:13">
      <c r="A34343" t="s">
        <v>4</v>
      </c>
      <c r="B34343" s="4" t="s">
        <v>5</v>
      </c>
    </row>
    <row r="34344" spans="1:13">
      <c r="A34344" t="n">
        <v>333592</v>
      </c>
      <c r="B34344" s="27" t="n">
        <v>28</v>
      </c>
    </row>
    <row r="34345" spans="1:13">
      <c r="A34345" t="s">
        <v>4</v>
      </c>
      <c r="B34345" s="4" t="s">
        <v>5</v>
      </c>
      <c r="C34345" s="4" t="s">
        <v>11</v>
      </c>
      <c r="D34345" s="4" t="s">
        <v>7</v>
      </c>
    </row>
    <row r="34346" spans="1:13">
      <c r="A34346" t="n">
        <v>333593</v>
      </c>
      <c r="B34346" s="68" t="n">
        <v>89</v>
      </c>
      <c r="C34346" s="7" t="n">
        <v>65533</v>
      </c>
      <c r="D34346" s="7" t="n">
        <v>1</v>
      </c>
    </row>
    <row r="34347" spans="1:13">
      <c r="A34347" t="s">
        <v>4</v>
      </c>
      <c r="B34347" s="4" t="s">
        <v>5</v>
      </c>
      <c r="C34347" s="4" t="s">
        <v>7</v>
      </c>
      <c r="D34347" s="4" t="s">
        <v>13</v>
      </c>
      <c r="E34347" s="4" t="s">
        <v>11</v>
      </c>
      <c r="F34347" s="4" t="s">
        <v>7</v>
      </c>
    </row>
    <row r="34348" spans="1:13">
      <c r="A34348" t="n">
        <v>333597</v>
      </c>
      <c r="B34348" s="13" t="n">
        <v>49</v>
      </c>
      <c r="C34348" s="7" t="n">
        <v>3</v>
      </c>
      <c r="D34348" s="7" t="n">
        <v>0.600000023841858</v>
      </c>
      <c r="E34348" s="7" t="n">
        <v>500</v>
      </c>
      <c r="F34348" s="7" t="n">
        <v>0</v>
      </c>
    </row>
    <row r="34349" spans="1:13">
      <c r="A34349" t="s">
        <v>4</v>
      </c>
      <c r="B34349" s="4" t="s">
        <v>5</v>
      </c>
      <c r="C34349" s="4" t="s">
        <v>7</v>
      </c>
      <c r="D34349" s="4" t="s">
        <v>7</v>
      </c>
      <c r="E34349" s="4" t="s">
        <v>7</v>
      </c>
      <c r="F34349" s="4" t="s">
        <v>13</v>
      </c>
      <c r="G34349" s="4" t="s">
        <v>13</v>
      </c>
      <c r="H34349" s="4" t="s">
        <v>13</v>
      </c>
      <c r="I34349" s="4" t="s">
        <v>13</v>
      </c>
      <c r="J34349" s="4" t="s">
        <v>13</v>
      </c>
    </row>
    <row r="34350" spans="1:13">
      <c r="A34350" t="n">
        <v>333606</v>
      </c>
      <c r="B34350" s="25" t="n">
        <v>76</v>
      </c>
      <c r="C34350" s="7" t="n">
        <v>1</v>
      </c>
      <c r="D34350" s="7" t="n">
        <v>3</v>
      </c>
      <c r="E34350" s="7" t="n">
        <v>0</v>
      </c>
      <c r="F34350" s="7" t="n">
        <v>1</v>
      </c>
      <c r="G34350" s="7" t="n">
        <v>1</v>
      </c>
      <c r="H34350" s="7" t="n">
        <v>1</v>
      </c>
      <c r="I34350" s="7" t="n">
        <v>1</v>
      </c>
      <c r="J34350" s="7" t="n">
        <v>1000</v>
      </c>
    </row>
    <row r="34351" spans="1:13">
      <c r="A34351" t="s">
        <v>4</v>
      </c>
      <c r="B34351" s="4" t="s">
        <v>5</v>
      </c>
      <c r="C34351" s="4" t="s">
        <v>7</v>
      </c>
      <c r="D34351" s="4" t="s">
        <v>7</v>
      </c>
    </row>
    <row r="34352" spans="1:13">
      <c r="A34352" t="n">
        <v>333630</v>
      </c>
      <c r="B34352" s="26" t="n">
        <v>77</v>
      </c>
      <c r="C34352" s="7" t="n">
        <v>1</v>
      </c>
      <c r="D34352" s="7" t="n">
        <v>3</v>
      </c>
    </row>
    <row r="34353" spans="1:10">
      <c r="A34353" t="s">
        <v>4</v>
      </c>
      <c r="B34353" s="4" t="s">
        <v>5</v>
      </c>
      <c r="C34353" s="4" t="s">
        <v>11</v>
      </c>
    </row>
    <row r="34354" spans="1:10">
      <c r="A34354" t="n">
        <v>333633</v>
      </c>
      <c r="B34354" s="29" t="n">
        <v>16</v>
      </c>
      <c r="C34354" s="7" t="n">
        <v>2000</v>
      </c>
    </row>
    <row r="34355" spans="1:10">
      <c r="A34355" t="s">
        <v>4</v>
      </c>
      <c r="B34355" s="4" t="s">
        <v>5</v>
      </c>
      <c r="C34355" s="4" t="s">
        <v>7</v>
      </c>
      <c r="D34355" s="4" t="s">
        <v>13</v>
      </c>
      <c r="E34355" s="4" t="s">
        <v>11</v>
      </c>
      <c r="F34355" s="4" t="s">
        <v>7</v>
      </c>
    </row>
    <row r="34356" spans="1:10">
      <c r="A34356" t="n">
        <v>333636</v>
      </c>
      <c r="B34356" s="13" t="n">
        <v>49</v>
      </c>
      <c r="C34356" s="7" t="n">
        <v>3</v>
      </c>
      <c r="D34356" s="7" t="n">
        <v>0.800000011920929</v>
      </c>
      <c r="E34356" s="7" t="n">
        <v>1000</v>
      </c>
      <c r="F34356" s="7" t="n">
        <v>0</v>
      </c>
    </row>
    <row r="34357" spans="1:10">
      <c r="A34357" t="s">
        <v>4</v>
      </c>
      <c r="B34357" s="4" t="s">
        <v>5</v>
      </c>
      <c r="C34357" s="4" t="s">
        <v>7</v>
      </c>
      <c r="D34357" s="4" t="s">
        <v>7</v>
      </c>
      <c r="E34357" s="4" t="s">
        <v>7</v>
      </c>
      <c r="F34357" s="4" t="s">
        <v>13</v>
      </c>
      <c r="G34357" s="4" t="s">
        <v>13</v>
      </c>
      <c r="H34357" s="4" t="s">
        <v>13</v>
      </c>
      <c r="I34357" s="4" t="s">
        <v>13</v>
      </c>
      <c r="J34357" s="4" t="s">
        <v>13</v>
      </c>
    </row>
    <row r="34358" spans="1:10">
      <c r="A34358" t="n">
        <v>333645</v>
      </c>
      <c r="B34358" s="25" t="n">
        <v>76</v>
      </c>
      <c r="C34358" s="7" t="n">
        <v>1</v>
      </c>
      <c r="D34358" s="7" t="n">
        <v>3</v>
      </c>
      <c r="E34358" s="7" t="n">
        <v>0</v>
      </c>
      <c r="F34358" s="7" t="n">
        <v>1</v>
      </c>
      <c r="G34358" s="7" t="n">
        <v>1</v>
      </c>
      <c r="H34358" s="7" t="n">
        <v>1</v>
      </c>
      <c r="I34358" s="7" t="n">
        <v>0</v>
      </c>
      <c r="J34358" s="7" t="n">
        <v>1000</v>
      </c>
    </row>
    <row r="34359" spans="1:10">
      <c r="A34359" t="s">
        <v>4</v>
      </c>
      <c r="B34359" s="4" t="s">
        <v>5</v>
      </c>
      <c r="C34359" s="4" t="s">
        <v>7</v>
      </c>
      <c r="D34359" s="4" t="s">
        <v>7</v>
      </c>
    </row>
    <row r="34360" spans="1:10">
      <c r="A34360" t="n">
        <v>333669</v>
      </c>
      <c r="B34360" s="26" t="n">
        <v>77</v>
      </c>
      <c r="C34360" s="7" t="n">
        <v>1</v>
      </c>
      <c r="D34360" s="7" t="n">
        <v>3</v>
      </c>
    </row>
    <row r="34361" spans="1:10">
      <c r="A34361" t="s">
        <v>4</v>
      </c>
      <c r="B34361" s="4" t="s">
        <v>5</v>
      </c>
      <c r="C34361" s="4" t="s">
        <v>7</v>
      </c>
      <c r="D34361" s="4" t="s">
        <v>11</v>
      </c>
      <c r="E34361" s="4" t="s">
        <v>8</v>
      </c>
    </row>
    <row r="34362" spans="1:10">
      <c r="A34362" t="n">
        <v>333672</v>
      </c>
      <c r="B34362" s="38" t="n">
        <v>51</v>
      </c>
      <c r="C34362" s="7" t="n">
        <v>4</v>
      </c>
      <c r="D34362" s="7" t="n">
        <v>0</v>
      </c>
      <c r="E34362" s="7" t="s">
        <v>179</v>
      </c>
    </row>
    <row r="34363" spans="1:10">
      <c r="A34363" t="s">
        <v>4</v>
      </c>
      <c r="B34363" s="4" t="s">
        <v>5</v>
      </c>
      <c r="C34363" s="4" t="s">
        <v>11</v>
      </c>
    </row>
    <row r="34364" spans="1:10">
      <c r="A34364" t="n">
        <v>333686</v>
      </c>
      <c r="B34364" s="29" t="n">
        <v>16</v>
      </c>
      <c r="C34364" s="7" t="n">
        <v>0</v>
      </c>
    </row>
    <row r="34365" spans="1:10">
      <c r="A34365" t="s">
        <v>4</v>
      </c>
      <c r="B34365" s="4" t="s">
        <v>5</v>
      </c>
      <c r="C34365" s="4" t="s">
        <v>11</v>
      </c>
      <c r="D34365" s="4" t="s">
        <v>7</v>
      </c>
      <c r="E34365" s="4" t="s">
        <v>15</v>
      </c>
      <c r="F34365" s="4" t="s">
        <v>55</v>
      </c>
      <c r="G34365" s="4" t="s">
        <v>7</v>
      </c>
      <c r="H34365" s="4" t="s">
        <v>7</v>
      </c>
      <c r="I34365" s="4" t="s">
        <v>7</v>
      </c>
      <c r="J34365" s="4" t="s">
        <v>15</v>
      </c>
      <c r="K34365" s="4" t="s">
        <v>55</v>
      </c>
      <c r="L34365" s="4" t="s">
        <v>7</v>
      </c>
      <c r="M34365" s="4" t="s">
        <v>7</v>
      </c>
    </row>
    <row r="34366" spans="1:10">
      <c r="A34366" t="n">
        <v>333689</v>
      </c>
      <c r="B34366" s="55" t="n">
        <v>26</v>
      </c>
      <c r="C34366" s="7" t="n">
        <v>0</v>
      </c>
      <c r="D34366" s="7" t="n">
        <v>17</v>
      </c>
      <c r="E34366" s="7" t="n">
        <v>64117</v>
      </c>
      <c r="F34366" s="7" t="s">
        <v>948</v>
      </c>
      <c r="G34366" s="7" t="n">
        <v>2</v>
      </c>
      <c r="H34366" s="7" t="n">
        <v>3</v>
      </c>
      <c r="I34366" s="7" t="n">
        <v>17</v>
      </c>
      <c r="J34366" s="7" t="n">
        <v>64118</v>
      </c>
      <c r="K34366" s="7" t="s">
        <v>949</v>
      </c>
      <c r="L34366" s="7" t="n">
        <v>2</v>
      </c>
      <c r="M34366" s="7" t="n">
        <v>0</v>
      </c>
    </row>
    <row r="34367" spans="1:10">
      <c r="A34367" t="s">
        <v>4</v>
      </c>
      <c r="B34367" s="4" t="s">
        <v>5</v>
      </c>
    </row>
    <row r="34368" spans="1:10">
      <c r="A34368" t="n">
        <v>333902</v>
      </c>
      <c r="B34368" s="27" t="n">
        <v>28</v>
      </c>
    </row>
    <row r="34369" spans="1:13">
      <c r="A34369" t="s">
        <v>4</v>
      </c>
      <c r="B34369" s="4" t="s">
        <v>5</v>
      </c>
      <c r="C34369" s="4" t="s">
        <v>7</v>
      </c>
      <c r="D34369" s="4" t="s">
        <v>11</v>
      </c>
      <c r="E34369" s="4" t="s">
        <v>8</v>
      </c>
    </row>
    <row r="34370" spans="1:13">
      <c r="A34370" t="n">
        <v>333903</v>
      </c>
      <c r="B34370" s="38" t="n">
        <v>51</v>
      </c>
      <c r="C34370" s="7" t="n">
        <v>4</v>
      </c>
      <c r="D34370" s="7" t="n">
        <v>2</v>
      </c>
      <c r="E34370" s="7" t="s">
        <v>491</v>
      </c>
    </row>
    <row r="34371" spans="1:13">
      <c r="A34371" t="s">
        <v>4</v>
      </c>
      <c r="B34371" s="4" t="s">
        <v>5</v>
      </c>
      <c r="C34371" s="4" t="s">
        <v>11</v>
      </c>
    </row>
    <row r="34372" spans="1:13">
      <c r="A34372" t="n">
        <v>333917</v>
      </c>
      <c r="B34372" s="29" t="n">
        <v>16</v>
      </c>
      <c r="C34372" s="7" t="n">
        <v>0</v>
      </c>
    </row>
    <row r="34373" spans="1:13">
      <c r="A34373" t="s">
        <v>4</v>
      </c>
      <c r="B34373" s="4" t="s">
        <v>5</v>
      </c>
      <c r="C34373" s="4" t="s">
        <v>11</v>
      </c>
      <c r="D34373" s="4" t="s">
        <v>7</v>
      </c>
      <c r="E34373" s="4" t="s">
        <v>15</v>
      </c>
      <c r="F34373" s="4" t="s">
        <v>55</v>
      </c>
      <c r="G34373" s="4" t="s">
        <v>7</v>
      </c>
      <c r="H34373" s="4" t="s">
        <v>7</v>
      </c>
      <c r="I34373" s="4" t="s">
        <v>7</v>
      </c>
      <c r="J34373" s="4" t="s">
        <v>15</v>
      </c>
      <c r="K34373" s="4" t="s">
        <v>55</v>
      </c>
      <c r="L34373" s="4" t="s">
        <v>7</v>
      </c>
      <c r="M34373" s="4" t="s">
        <v>7</v>
      </c>
      <c r="N34373" s="4" t="s">
        <v>7</v>
      </c>
      <c r="O34373" s="4" t="s">
        <v>15</v>
      </c>
      <c r="P34373" s="4" t="s">
        <v>55</v>
      </c>
      <c r="Q34373" s="4" t="s">
        <v>7</v>
      </c>
      <c r="R34373" s="4" t="s">
        <v>7</v>
      </c>
      <c r="S34373" s="4" t="s">
        <v>7</v>
      </c>
      <c r="T34373" s="4" t="s">
        <v>15</v>
      </c>
      <c r="U34373" s="4" t="s">
        <v>55</v>
      </c>
      <c r="V34373" s="4" t="s">
        <v>7</v>
      </c>
      <c r="W34373" s="4" t="s">
        <v>7</v>
      </c>
      <c r="X34373" s="4" t="s">
        <v>7</v>
      </c>
      <c r="Y34373" s="4" t="s">
        <v>15</v>
      </c>
      <c r="Z34373" s="4" t="s">
        <v>55</v>
      </c>
      <c r="AA34373" s="4" t="s">
        <v>7</v>
      </c>
      <c r="AB34373" s="4" t="s">
        <v>7</v>
      </c>
    </row>
    <row r="34374" spans="1:13">
      <c r="A34374" t="n">
        <v>333920</v>
      </c>
      <c r="B34374" s="55" t="n">
        <v>26</v>
      </c>
      <c r="C34374" s="7" t="n">
        <v>2</v>
      </c>
      <c r="D34374" s="7" t="n">
        <v>17</v>
      </c>
      <c r="E34374" s="7" t="n">
        <v>6802</v>
      </c>
      <c r="F34374" s="7" t="s">
        <v>950</v>
      </c>
      <c r="G34374" s="7" t="n">
        <v>2</v>
      </c>
      <c r="H34374" s="7" t="n">
        <v>3</v>
      </c>
      <c r="I34374" s="7" t="n">
        <v>17</v>
      </c>
      <c r="J34374" s="7" t="n">
        <v>6803</v>
      </c>
      <c r="K34374" s="7" t="s">
        <v>951</v>
      </c>
      <c r="L34374" s="7" t="n">
        <v>2</v>
      </c>
      <c r="M34374" s="7" t="n">
        <v>3</v>
      </c>
      <c r="N34374" s="7" t="n">
        <v>17</v>
      </c>
      <c r="O34374" s="7" t="n">
        <v>6804</v>
      </c>
      <c r="P34374" s="7" t="s">
        <v>952</v>
      </c>
      <c r="Q34374" s="7" t="n">
        <v>2</v>
      </c>
      <c r="R34374" s="7" t="n">
        <v>3</v>
      </c>
      <c r="S34374" s="7" t="n">
        <v>17</v>
      </c>
      <c r="T34374" s="7" t="n">
        <v>6805</v>
      </c>
      <c r="U34374" s="7" t="s">
        <v>953</v>
      </c>
      <c r="V34374" s="7" t="n">
        <v>2</v>
      </c>
      <c r="W34374" s="7" t="n">
        <v>3</v>
      </c>
      <c r="X34374" s="7" t="n">
        <v>17</v>
      </c>
      <c r="Y34374" s="7" t="n">
        <v>6806</v>
      </c>
      <c r="Z34374" s="7" t="s">
        <v>954</v>
      </c>
      <c r="AA34374" s="7" t="n">
        <v>2</v>
      </c>
      <c r="AB34374" s="7" t="n">
        <v>0</v>
      </c>
    </row>
    <row r="34375" spans="1:13">
      <c r="A34375" t="s">
        <v>4</v>
      </c>
      <c r="B34375" s="4" t="s">
        <v>5</v>
      </c>
    </row>
    <row r="34376" spans="1:13">
      <c r="A34376" t="n">
        <v>334442</v>
      </c>
      <c r="B34376" s="27" t="n">
        <v>28</v>
      </c>
    </row>
    <row r="34377" spans="1:13">
      <c r="A34377" t="s">
        <v>4</v>
      </c>
      <c r="B34377" s="4" t="s">
        <v>5</v>
      </c>
      <c r="C34377" s="4" t="s">
        <v>7</v>
      </c>
      <c r="D34377" s="4" t="s">
        <v>11</v>
      </c>
      <c r="E34377" s="4" t="s">
        <v>8</v>
      </c>
    </row>
    <row r="34378" spans="1:13">
      <c r="A34378" t="n">
        <v>334443</v>
      </c>
      <c r="B34378" s="38" t="n">
        <v>51</v>
      </c>
      <c r="C34378" s="7" t="n">
        <v>4</v>
      </c>
      <c r="D34378" s="7" t="n">
        <v>0</v>
      </c>
      <c r="E34378" s="7" t="s">
        <v>147</v>
      </c>
    </row>
    <row r="34379" spans="1:13">
      <c r="A34379" t="s">
        <v>4</v>
      </c>
      <c r="B34379" s="4" t="s">
        <v>5</v>
      </c>
      <c r="C34379" s="4" t="s">
        <v>11</v>
      </c>
    </row>
    <row r="34380" spans="1:13">
      <c r="A34380" t="n">
        <v>334457</v>
      </c>
      <c r="B34380" s="29" t="n">
        <v>16</v>
      </c>
      <c r="C34380" s="7" t="n">
        <v>0</v>
      </c>
    </row>
    <row r="34381" spans="1:13">
      <c r="A34381" t="s">
        <v>4</v>
      </c>
      <c r="B34381" s="4" t="s">
        <v>5</v>
      </c>
      <c r="C34381" s="4" t="s">
        <v>11</v>
      </c>
      <c r="D34381" s="4" t="s">
        <v>7</v>
      </c>
      <c r="E34381" s="4" t="s">
        <v>15</v>
      </c>
      <c r="F34381" s="4" t="s">
        <v>55</v>
      </c>
      <c r="G34381" s="4" t="s">
        <v>7</v>
      </c>
      <c r="H34381" s="4" t="s">
        <v>7</v>
      </c>
    </row>
    <row r="34382" spans="1:13">
      <c r="A34382" t="n">
        <v>334460</v>
      </c>
      <c r="B34382" s="55" t="n">
        <v>26</v>
      </c>
      <c r="C34382" s="7" t="n">
        <v>0</v>
      </c>
      <c r="D34382" s="7" t="n">
        <v>17</v>
      </c>
      <c r="E34382" s="7" t="n">
        <v>64119</v>
      </c>
      <c r="F34382" s="7" t="s">
        <v>955</v>
      </c>
      <c r="G34382" s="7" t="n">
        <v>2</v>
      </c>
      <c r="H34382" s="7" t="n">
        <v>0</v>
      </c>
    </row>
    <row r="34383" spans="1:13">
      <c r="A34383" t="s">
        <v>4</v>
      </c>
      <c r="B34383" s="4" t="s">
        <v>5</v>
      </c>
    </row>
    <row r="34384" spans="1:13">
      <c r="A34384" t="n">
        <v>334498</v>
      </c>
      <c r="B34384" s="27" t="n">
        <v>28</v>
      </c>
    </row>
    <row r="34385" spans="1:28">
      <c r="A34385" t="s">
        <v>4</v>
      </c>
      <c r="B34385" s="4" t="s">
        <v>5</v>
      </c>
      <c r="C34385" s="4" t="s">
        <v>7</v>
      </c>
      <c r="D34385" s="4" t="s">
        <v>11</v>
      </c>
      <c r="E34385" s="4" t="s">
        <v>8</v>
      </c>
    </row>
    <row r="34386" spans="1:28">
      <c r="A34386" t="n">
        <v>334499</v>
      </c>
      <c r="B34386" s="38" t="n">
        <v>51</v>
      </c>
      <c r="C34386" s="7" t="n">
        <v>4</v>
      </c>
      <c r="D34386" s="7" t="n">
        <v>2</v>
      </c>
      <c r="E34386" s="7" t="s">
        <v>242</v>
      </c>
    </row>
    <row r="34387" spans="1:28">
      <c r="A34387" t="s">
        <v>4</v>
      </c>
      <c r="B34387" s="4" t="s">
        <v>5</v>
      </c>
      <c r="C34387" s="4" t="s">
        <v>11</v>
      </c>
    </row>
    <row r="34388" spans="1:28">
      <c r="A34388" t="n">
        <v>334513</v>
      </c>
      <c r="B34388" s="29" t="n">
        <v>16</v>
      </c>
      <c r="C34388" s="7" t="n">
        <v>0</v>
      </c>
    </row>
    <row r="34389" spans="1:28">
      <c r="A34389" t="s">
        <v>4</v>
      </c>
      <c r="B34389" s="4" t="s">
        <v>5</v>
      </c>
      <c r="C34389" s="4" t="s">
        <v>11</v>
      </c>
      <c r="D34389" s="4" t="s">
        <v>7</v>
      </c>
      <c r="E34389" s="4" t="s">
        <v>15</v>
      </c>
      <c r="F34389" s="4" t="s">
        <v>55</v>
      </c>
      <c r="G34389" s="4" t="s">
        <v>7</v>
      </c>
      <c r="H34389" s="4" t="s">
        <v>7</v>
      </c>
      <c r="I34389" s="4" t="s">
        <v>7</v>
      </c>
      <c r="J34389" s="4" t="s">
        <v>15</v>
      </c>
      <c r="K34389" s="4" t="s">
        <v>55</v>
      </c>
      <c r="L34389" s="4" t="s">
        <v>7</v>
      </c>
      <c r="M34389" s="4" t="s">
        <v>7</v>
      </c>
      <c r="N34389" s="4" t="s">
        <v>7</v>
      </c>
      <c r="O34389" s="4" t="s">
        <v>15</v>
      </c>
      <c r="P34389" s="4" t="s">
        <v>55</v>
      </c>
      <c r="Q34389" s="4" t="s">
        <v>7</v>
      </c>
      <c r="R34389" s="4" t="s">
        <v>7</v>
      </c>
      <c r="S34389" s="4" t="s">
        <v>7</v>
      </c>
      <c r="T34389" s="4" t="s">
        <v>15</v>
      </c>
      <c r="U34389" s="4" t="s">
        <v>55</v>
      </c>
      <c r="V34389" s="4" t="s">
        <v>7</v>
      </c>
      <c r="W34389" s="4" t="s">
        <v>7</v>
      </c>
    </row>
    <row r="34390" spans="1:28">
      <c r="A34390" t="n">
        <v>334516</v>
      </c>
      <c r="B34390" s="55" t="n">
        <v>26</v>
      </c>
      <c r="C34390" s="7" t="n">
        <v>2</v>
      </c>
      <c r="D34390" s="7" t="n">
        <v>17</v>
      </c>
      <c r="E34390" s="7" t="n">
        <v>6807</v>
      </c>
      <c r="F34390" s="7" t="s">
        <v>956</v>
      </c>
      <c r="G34390" s="7" t="n">
        <v>2</v>
      </c>
      <c r="H34390" s="7" t="n">
        <v>3</v>
      </c>
      <c r="I34390" s="7" t="n">
        <v>17</v>
      </c>
      <c r="J34390" s="7" t="n">
        <v>6808</v>
      </c>
      <c r="K34390" s="7" t="s">
        <v>957</v>
      </c>
      <c r="L34390" s="7" t="n">
        <v>2</v>
      </c>
      <c r="M34390" s="7" t="n">
        <v>3</v>
      </c>
      <c r="N34390" s="7" t="n">
        <v>17</v>
      </c>
      <c r="O34390" s="7" t="n">
        <v>6809</v>
      </c>
      <c r="P34390" s="7" t="s">
        <v>958</v>
      </c>
      <c r="Q34390" s="7" t="n">
        <v>2</v>
      </c>
      <c r="R34390" s="7" t="n">
        <v>3</v>
      </c>
      <c r="S34390" s="7" t="n">
        <v>17</v>
      </c>
      <c r="T34390" s="7" t="n">
        <v>6810</v>
      </c>
      <c r="U34390" s="7" t="s">
        <v>959</v>
      </c>
      <c r="V34390" s="7" t="n">
        <v>2</v>
      </c>
      <c r="W34390" s="7" t="n">
        <v>0</v>
      </c>
    </row>
    <row r="34391" spans="1:28">
      <c r="A34391" t="s">
        <v>4</v>
      </c>
      <c r="B34391" s="4" t="s">
        <v>5</v>
      </c>
    </row>
    <row r="34392" spans="1:28">
      <c r="A34392" t="n">
        <v>334860</v>
      </c>
      <c r="B34392" s="27" t="n">
        <v>28</v>
      </c>
    </row>
    <row r="34393" spans="1:28">
      <c r="A34393" t="s">
        <v>4</v>
      </c>
      <c r="B34393" s="4" t="s">
        <v>5</v>
      </c>
      <c r="C34393" s="4" t="s">
        <v>11</v>
      </c>
      <c r="D34393" s="4" t="s">
        <v>7</v>
      </c>
    </row>
    <row r="34394" spans="1:28">
      <c r="A34394" t="n">
        <v>334861</v>
      </c>
      <c r="B34394" s="68" t="n">
        <v>89</v>
      </c>
      <c r="C34394" s="7" t="n">
        <v>65533</v>
      </c>
      <c r="D34394" s="7" t="n">
        <v>1</v>
      </c>
    </row>
    <row r="34395" spans="1:28">
      <c r="A34395" t="s">
        <v>4</v>
      </c>
      <c r="B34395" s="4" t="s">
        <v>5</v>
      </c>
      <c r="C34395" s="4" t="s">
        <v>7</v>
      </c>
      <c r="D34395" s="4" t="s">
        <v>11</v>
      </c>
      <c r="E34395" s="4" t="s">
        <v>13</v>
      </c>
    </row>
    <row r="34396" spans="1:28">
      <c r="A34396" t="n">
        <v>334865</v>
      </c>
      <c r="B34396" s="23" t="n">
        <v>58</v>
      </c>
      <c r="C34396" s="7" t="n">
        <v>101</v>
      </c>
      <c r="D34396" s="7" t="n">
        <v>500</v>
      </c>
      <c r="E34396" s="7" t="n">
        <v>1</v>
      </c>
    </row>
    <row r="34397" spans="1:28">
      <c r="A34397" t="s">
        <v>4</v>
      </c>
      <c r="B34397" s="4" t="s">
        <v>5</v>
      </c>
      <c r="C34397" s="4" t="s">
        <v>7</v>
      </c>
      <c r="D34397" s="4" t="s">
        <v>11</v>
      </c>
    </row>
    <row r="34398" spans="1:28">
      <c r="A34398" t="n">
        <v>334873</v>
      </c>
      <c r="B34398" s="23" t="n">
        <v>58</v>
      </c>
      <c r="C34398" s="7" t="n">
        <v>254</v>
      </c>
      <c r="D34398" s="7" t="n">
        <v>0</v>
      </c>
    </row>
    <row r="34399" spans="1:28">
      <c r="A34399" t="s">
        <v>4</v>
      </c>
      <c r="B34399" s="4" t="s">
        <v>5</v>
      </c>
      <c r="C34399" s="4" t="s">
        <v>7</v>
      </c>
      <c r="D34399" s="4" t="s">
        <v>7</v>
      </c>
      <c r="E34399" s="4" t="s">
        <v>13</v>
      </c>
      <c r="F34399" s="4" t="s">
        <v>13</v>
      </c>
      <c r="G34399" s="4" t="s">
        <v>13</v>
      </c>
      <c r="H34399" s="4" t="s">
        <v>11</v>
      </c>
    </row>
    <row r="34400" spans="1:28">
      <c r="A34400" t="n">
        <v>334877</v>
      </c>
      <c r="B34400" s="51" t="n">
        <v>45</v>
      </c>
      <c r="C34400" s="7" t="n">
        <v>2</v>
      </c>
      <c r="D34400" s="7" t="n">
        <v>3</v>
      </c>
      <c r="E34400" s="7" t="n">
        <v>-6.86999988555908</v>
      </c>
      <c r="F34400" s="7" t="n">
        <v>6.46000003814697</v>
      </c>
      <c r="G34400" s="7" t="n">
        <v>29.9200000762939</v>
      </c>
      <c r="H34400" s="7" t="n">
        <v>0</v>
      </c>
    </row>
    <row r="34401" spans="1:23">
      <c r="A34401" t="s">
        <v>4</v>
      </c>
      <c r="B34401" s="4" t="s">
        <v>5</v>
      </c>
      <c r="C34401" s="4" t="s">
        <v>7</v>
      </c>
      <c r="D34401" s="4" t="s">
        <v>7</v>
      </c>
      <c r="E34401" s="4" t="s">
        <v>13</v>
      </c>
      <c r="F34401" s="4" t="s">
        <v>13</v>
      </c>
      <c r="G34401" s="4" t="s">
        <v>13</v>
      </c>
      <c r="H34401" s="4" t="s">
        <v>11</v>
      </c>
      <c r="I34401" s="4" t="s">
        <v>7</v>
      </c>
    </row>
    <row r="34402" spans="1:23">
      <c r="A34402" t="n">
        <v>334894</v>
      </c>
      <c r="B34402" s="51" t="n">
        <v>45</v>
      </c>
      <c r="C34402" s="7" t="n">
        <v>4</v>
      </c>
      <c r="D34402" s="7" t="n">
        <v>3</v>
      </c>
      <c r="E34402" s="7" t="n">
        <v>9.21000003814697</v>
      </c>
      <c r="F34402" s="7" t="n">
        <v>50.6699981689453</v>
      </c>
      <c r="G34402" s="7" t="n">
        <v>8</v>
      </c>
      <c r="H34402" s="7" t="n">
        <v>0</v>
      </c>
      <c r="I34402" s="7" t="n">
        <v>0</v>
      </c>
    </row>
    <row r="34403" spans="1:23">
      <c r="A34403" t="s">
        <v>4</v>
      </c>
      <c r="B34403" s="4" t="s">
        <v>5</v>
      </c>
      <c r="C34403" s="4" t="s">
        <v>7</v>
      </c>
      <c r="D34403" s="4" t="s">
        <v>7</v>
      </c>
      <c r="E34403" s="4" t="s">
        <v>13</v>
      </c>
      <c r="F34403" s="4" t="s">
        <v>11</v>
      </c>
    </row>
    <row r="34404" spans="1:23">
      <c r="A34404" t="n">
        <v>334912</v>
      </c>
      <c r="B34404" s="51" t="n">
        <v>45</v>
      </c>
      <c r="C34404" s="7" t="n">
        <v>5</v>
      </c>
      <c r="D34404" s="7" t="n">
        <v>3</v>
      </c>
      <c r="E34404" s="7" t="n">
        <v>1.10000002384186</v>
      </c>
      <c r="F34404" s="7" t="n">
        <v>0</v>
      </c>
    </row>
    <row r="34405" spans="1:23">
      <c r="A34405" t="s">
        <v>4</v>
      </c>
      <c r="B34405" s="4" t="s">
        <v>5</v>
      </c>
      <c r="C34405" s="4" t="s">
        <v>7</v>
      </c>
      <c r="D34405" s="4" t="s">
        <v>7</v>
      </c>
      <c r="E34405" s="4" t="s">
        <v>13</v>
      </c>
      <c r="F34405" s="4" t="s">
        <v>11</v>
      </c>
    </row>
    <row r="34406" spans="1:23">
      <c r="A34406" t="n">
        <v>334921</v>
      </c>
      <c r="B34406" s="51" t="n">
        <v>45</v>
      </c>
      <c r="C34406" s="7" t="n">
        <v>11</v>
      </c>
      <c r="D34406" s="7" t="n">
        <v>3</v>
      </c>
      <c r="E34406" s="7" t="n">
        <v>40.2999992370605</v>
      </c>
      <c r="F34406" s="7" t="n">
        <v>0</v>
      </c>
    </row>
    <row r="34407" spans="1:23">
      <c r="A34407" t="s">
        <v>4</v>
      </c>
      <c r="B34407" s="4" t="s">
        <v>5</v>
      </c>
      <c r="C34407" s="4" t="s">
        <v>7</v>
      </c>
      <c r="D34407" s="4" t="s">
        <v>11</v>
      </c>
    </row>
    <row r="34408" spans="1:23">
      <c r="A34408" t="n">
        <v>334930</v>
      </c>
      <c r="B34408" s="23" t="n">
        <v>58</v>
      </c>
      <c r="C34408" s="7" t="n">
        <v>255</v>
      </c>
      <c r="D34408" s="7" t="n">
        <v>0</v>
      </c>
    </row>
    <row r="34409" spans="1:23">
      <c r="A34409" t="s">
        <v>4</v>
      </c>
      <c r="B34409" s="4" t="s">
        <v>5</v>
      </c>
      <c r="C34409" s="4" t="s">
        <v>7</v>
      </c>
      <c r="D34409" s="4" t="s">
        <v>11</v>
      </c>
      <c r="E34409" s="4" t="s">
        <v>8</v>
      </c>
    </row>
    <row r="34410" spans="1:23">
      <c r="A34410" t="n">
        <v>334934</v>
      </c>
      <c r="B34410" s="38" t="n">
        <v>51</v>
      </c>
      <c r="C34410" s="7" t="n">
        <v>4</v>
      </c>
      <c r="D34410" s="7" t="n">
        <v>0</v>
      </c>
      <c r="E34410" s="7" t="s">
        <v>173</v>
      </c>
    </row>
    <row r="34411" spans="1:23">
      <c r="A34411" t="s">
        <v>4</v>
      </c>
      <c r="B34411" s="4" t="s">
        <v>5</v>
      </c>
      <c r="C34411" s="4" t="s">
        <v>11</v>
      </c>
    </row>
    <row r="34412" spans="1:23">
      <c r="A34412" t="n">
        <v>334947</v>
      </c>
      <c r="B34412" s="29" t="n">
        <v>16</v>
      </c>
      <c r="C34412" s="7" t="n">
        <v>0</v>
      </c>
    </row>
    <row r="34413" spans="1:23">
      <c r="A34413" t="s">
        <v>4</v>
      </c>
      <c r="B34413" s="4" t="s">
        <v>5</v>
      </c>
      <c r="C34413" s="4" t="s">
        <v>11</v>
      </c>
      <c r="D34413" s="4" t="s">
        <v>7</v>
      </c>
      <c r="E34413" s="4" t="s">
        <v>15</v>
      </c>
      <c r="F34413" s="4" t="s">
        <v>55</v>
      </c>
      <c r="G34413" s="4" t="s">
        <v>7</v>
      </c>
      <c r="H34413" s="4" t="s">
        <v>7</v>
      </c>
      <c r="I34413" s="4" t="s">
        <v>7</v>
      </c>
      <c r="J34413" s="4" t="s">
        <v>15</v>
      </c>
      <c r="K34413" s="4" t="s">
        <v>55</v>
      </c>
      <c r="L34413" s="4" t="s">
        <v>7</v>
      </c>
      <c r="M34413" s="4" t="s">
        <v>7</v>
      </c>
      <c r="N34413" s="4" t="s">
        <v>7</v>
      </c>
      <c r="O34413" s="4" t="s">
        <v>15</v>
      </c>
      <c r="P34413" s="4" t="s">
        <v>55</v>
      </c>
      <c r="Q34413" s="4" t="s">
        <v>7</v>
      </c>
      <c r="R34413" s="4" t="s">
        <v>7</v>
      </c>
    </row>
    <row r="34414" spans="1:23">
      <c r="A34414" t="n">
        <v>334950</v>
      </c>
      <c r="B34414" s="55" t="n">
        <v>26</v>
      </c>
      <c r="C34414" s="7" t="n">
        <v>0</v>
      </c>
      <c r="D34414" s="7" t="n">
        <v>17</v>
      </c>
      <c r="E34414" s="7" t="n">
        <v>64120</v>
      </c>
      <c r="F34414" s="7" t="s">
        <v>960</v>
      </c>
      <c r="G34414" s="7" t="n">
        <v>2</v>
      </c>
      <c r="H34414" s="7" t="n">
        <v>3</v>
      </c>
      <c r="I34414" s="7" t="n">
        <v>17</v>
      </c>
      <c r="J34414" s="7" t="n">
        <v>64121</v>
      </c>
      <c r="K34414" s="7" t="s">
        <v>961</v>
      </c>
      <c r="L34414" s="7" t="n">
        <v>2</v>
      </c>
      <c r="M34414" s="7" t="n">
        <v>3</v>
      </c>
      <c r="N34414" s="7" t="n">
        <v>17</v>
      </c>
      <c r="O34414" s="7" t="n">
        <v>64122</v>
      </c>
      <c r="P34414" s="7" t="s">
        <v>962</v>
      </c>
      <c r="Q34414" s="7" t="n">
        <v>2</v>
      </c>
      <c r="R34414" s="7" t="n">
        <v>0</v>
      </c>
    </row>
    <row r="34415" spans="1:23">
      <c r="A34415" t="s">
        <v>4</v>
      </c>
      <c r="B34415" s="4" t="s">
        <v>5</v>
      </c>
    </row>
    <row r="34416" spans="1:23">
      <c r="A34416" t="n">
        <v>335296</v>
      </c>
      <c r="B34416" s="27" t="n">
        <v>28</v>
      </c>
    </row>
    <row r="34417" spans="1:18">
      <c r="A34417" t="s">
        <v>4</v>
      </c>
      <c r="B34417" s="4" t="s">
        <v>5</v>
      </c>
      <c r="C34417" s="4" t="s">
        <v>7</v>
      </c>
      <c r="D34417" s="4" t="s">
        <v>11</v>
      </c>
      <c r="E34417" s="4" t="s">
        <v>8</v>
      </c>
    </row>
    <row r="34418" spans="1:18">
      <c r="A34418" t="n">
        <v>335297</v>
      </c>
      <c r="B34418" s="38" t="n">
        <v>51</v>
      </c>
      <c r="C34418" s="7" t="n">
        <v>4</v>
      </c>
      <c r="D34418" s="7" t="n">
        <v>2</v>
      </c>
      <c r="E34418" s="7" t="s">
        <v>192</v>
      </c>
    </row>
    <row r="34419" spans="1:18">
      <c r="A34419" t="s">
        <v>4</v>
      </c>
      <c r="B34419" s="4" t="s">
        <v>5</v>
      </c>
      <c r="C34419" s="4" t="s">
        <v>11</v>
      </c>
    </row>
    <row r="34420" spans="1:18">
      <c r="A34420" t="n">
        <v>335310</v>
      </c>
      <c r="B34420" s="29" t="n">
        <v>16</v>
      </c>
      <c r="C34420" s="7" t="n">
        <v>0</v>
      </c>
    </row>
    <row r="34421" spans="1:18">
      <c r="A34421" t="s">
        <v>4</v>
      </c>
      <c r="B34421" s="4" t="s">
        <v>5</v>
      </c>
      <c r="C34421" s="4" t="s">
        <v>11</v>
      </c>
      <c r="D34421" s="4" t="s">
        <v>7</v>
      </c>
      <c r="E34421" s="4" t="s">
        <v>15</v>
      </c>
      <c r="F34421" s="4" t="s">
        <v>55</v>
      </c>
      <c r="G34421" s="4" t="s">
        <v>7</v>
      </c>
      <c r="H34421" s="4" t="s">
        <v>7</v>
      </c>
      <c r="I34421" s="4" t="s">
        <v>7</v>
      </c>
      <c r="J34421" s="4" t="s">
        <v>15</v>
      </c>
      <c r="K34421" s="4" t="s">
        <v>55</v>
      </c>
      <c r="L34421" s="4" t="s">
        <v>7</v>
      </c>
      <c r="M34421" s="4" t="s">
        <v>7</v>
      </c>
    </row>
    <row r="34422" spans="1:18">
      <c r="A34422" t="n">
        <v>335313</v>
      </c>
      <c r="B34422" s="55" t="n">
        <v>26</v>
      </c>
      <c r="C34422" s="7" t="n">
        <v>2</v>
      </c>
      <c r="D34422" s="7" t="n">
        <v>17</v>
      </c>
      <c r="E34422" s="7" t="n">
        <v>6811</v>
      </c>
      <c r="F34422" s="7" t="s">
        <v>963</v>
      </c>
      <c r="G34422" s="7" t="n">
        <v>2</v>
      </c>
      <c r="H34422" s="7" t="n">
        <v>3</v>
      </c>
      <c r="I34422" s="7" t="n">
        <v>17</v>
      </c>
      <c r="J34422" s="7" t="n">
        <v>6812</v>
      </c>
      <c r="K34422" s="7" t="s">
        <v>964</v>
      </c>
      <c r="L34422" s="7" t="n">
        <v>2</v>
      </c>
      <c r="M34422" s="7" t="n">
        <v>0</v>
      </c>
    </row>
    <row r="34423" spans="1:18">
      <c r="A34423" t="s">
        <v>4</v>
      </c>
      <c r="B34423" s="4" t="s">
        <v>5</v>
      </c>
    </row>
    <row r="34424" spans="1:18">
      <c r="A34424" t="n">
        <v>335556</v>
      </c>
      <c r="B34424" s="27" t="n">
        <v>28</v>
      </c>
    </row>
    <row r="34425" spans="1:18">
      <c r="A34425" t="s">
        <v>4</v>
      </c>
      <c r="B34425" s="4" t="s">
        <v>5</v>
      </c>
      <c r="C34425" s="4" t="s">
        <v>7</v>
      </c>
      <c r="D34425" s="4" t="s">
        <v>11</v>
      </c>
      <c r="E34425" s="4" t="s">
        <v>8</v>
      </c>
    </row>
    <row r="34426" spans="1:18">
      <c r="A34426" t="n">
        <v>335557</v>
      </c>
      <c r="B34426" s="38" t="n">
        <v>51</v>
      </c>
      <c r="C34426" s="7" t="n">
        <v>4</v>
      </c>
      <c r="D34426" s="7" t="n">
        <v>0</v>
      </c>
      <c r="E34426" s="7" t="s">
        <v>147</v>
      </c>
    </row>
    <row r="34427" spans="1:18">
      <c r="A34427" t="s">
        <v>4</v>
      </c>
      <c r="B34427" s="4" t="s">
        <v>5</v>
      </c>
      <c r="C34427" s="4" t="s">
        <v>11</v>
      </c>
    </row>
    <row r="34428" spans="1:18">
      <c r="A34428" t="n">
        <v>335571</v>
      </c>
      <c r="B34428" s="29" t="n">
        <v>16</v>
      </c>
      <c r="C34428" s="7" t="n">
        <v>0</v>
      </c>
    </row>
    <row r="34429" spans="1:18">
      <c r="A34429" t="s">
        <v>4</v>
      </c>
      <c r="B34429" s="4" t="s">
        <v>5</v>
      </c>
      <c r="C34429" s="4" t="s">
        <v>11</v>
      </c>
      <c r="D34429" s="4" t="s">
        <v>7</v>
      </c>
      <c r="E34429" s="4" t="s">
        <v>15</v>
      </c>
      <c r="F34429" s="4" t="s">
        <v>55</v>
      </c>
      <c r="G34429" s="4" t="s">
        <v>7</v>
      </c>
      <c r="H34429" s="4" t="s">
        <v>7</v>
      </c>
    </row>
    <row r="34430" spans="1:18">
      <c r="A34430" t="n">
        <v>335574</v>
      </c>
      <c r="B34430" s="55" t="n">
        <v>26</v>
      </c>
      <c r="C34430" s="7" t="n">
        <v>0</v>
      </c>
      <c r="D34430" s="7" t="n">
        <v>17</v>
      </c>
      <c r="E34430" s="7" t="n">
        <v>64123</v>
      </c>
      <c r="F34430" s="7" t="s">
        <v>965</v>
      </c>
      <c r="G34430" s="7" t="n">
        <v>2</v>
      </c>
      <c r="H34430" s="7" t="n">
        <v>0</v>
      </c>
    </row>
    <row r="34431" spans="1:18">
      <c r="A34431" t="s">
        <v>4</v>
      </c>
      <c r="B34431" s="4" t="s">
        <v>5</v>
      </c>
    </row>
    <row r="34432" spans="1:18">
      <c r="A34432" t="n">
        <v>335610</v>
      </c>
      <c r="B34432" s="27" t="n">
        <v>28</v>
      </c>
    </row>
    <row r="34433" spans="1:13">
      <c r="A34433" t="s">
        <v>4</v>
      </c>
      <c r="B34433" s="4" t="s">
        <v>5</v>
      </c>
      <c r="C34433" s="4" t="s">
        <v>7</v>
      </c>
      <c r="D34433" s="4" t="s">
        <v>11</v>
      </c>
      <c r="E34433" s="4" t="s">
        <v>8</v>
      </c>
    </row>
    <row r="34434" spans="1:13">
      <c r="A34434" t="n">
        <v>335611</v>
      </c>
      <c r="B34434" s="38" t="n">
        <v>51</v>
      </c>
      <c r="C34434" s="7" t="n">
        <v>4</v>
      </c>
      <c r="D34434" s="7" t="n">
        <v>2</v>
      </c>
      <c r="E34434" s="7" t="s">
        <v>574</v>
      </c>
    </row>
    <row r="34435" spans="1:13">
      <c r="A34435" t="s">
        <v>4</v>
      </c>
      <c r="B34435" s="4" t="s">
        <v>5</v>
      </c>
      <c r="C34435" s="4" t="s">
        <v>11</v>
      </c>
    </row>
    <row r="34436" spans="1:13">
      <c r="A34436" t="n">
        <v>335624</v>
      </c>
      <c r="B34436" s="29" t="n">
        <v>16</v>
      </c>
      <c r="C34436" s="7" t="n">
        <v>0</v>
      </c>
    </row>
    <row r="34437" spans="1:13">
      <c r="A34437" t="s">
        <v>4</v>
      </c>
      <c r="B34437" s="4" t="s">
        <v>5</v>
      </c>
      <c r="C34437" s="4" t="s">
        <v>11</v>
      </c>
      <c r="D34437" s="4" t="s">
        <v>7</v>
      </c>
      <c r="E34437" s="4" t="s">
        <v>15</v>
      </c>
      <c r="F34437" s="4" t="s">
        <v>55</v>
      </c>
      <c r="G34437" s="4" t="s">
        <v>7</v>
      </c>
      <c r="H34437" s="4" t="s">
        <v>7</v>
      </c>
      <c r="I34437" s="4" t="s">
        <v>7</v>
      </c>
      <c r="J34437" s="4" t="s">
        <v>15</v>
      </c>
      <c r="K34437" s="4" t="s">
        <v>55</v>
      </c>
      <c r="L34437" s="4" t="s">
        <v>7</v>
      </c>
      <c r="M34437" s="4" t="s">
        <v>7</v>
      </c>
      <c r="N34437" s="4" t="s">
        <v>7</v>
      </c>
      <c r="O34437" s="4" t="s">
        <v>15</v>
      </c>
      <c r="P34437" s="4" t="s">
        <v>55</v>
      </c>
      <c r="Q34437" s="4" t="s">
        <v>7</v>
      </c>
      <c r="R34437" s="4" t="s">
        <v>7</v>
      </c>
      <c r="S34437" s="4" t="s">
        <v>7</v>
      </c>
      <c r="T34437" s="4" t="s">
        <v>15</v>
      </c>
      <c r="U34437" s="4" t="s">
        <v>55</v>
      </c>
      <c r="V34437" s="4" t="s">
        <v>7</v>
      </c>
      <c r="W34437" s="4" t="s">
        <v>7</v>
      </c>
    </row>
    <row r="34438" spans="1:13">
      <c r="A34438" t="n">
        <v>335627</v>
      </c>
      <c r="B34438" s="55" t="n">
        <v>26</v>
      </c>
      <c r="C34438" s="7" t="n">
        <v>2</v>
      </c>
      <c r="D34438" s="7" t="n">
        <v>17</v>
      </c>
      <c r="E34438" s="7" t="n">
        <v>6813</v>
      </c>
      <c r="F34438" s="7" t="s">
        <v>966</v>
      </c>
      <c r="G34438" s="7" t="n">
        <v>2</v>
      </c>
      <c r="H34438" s="7" t="n">
        <v>3</v>
      </c>
      <c r="I34438" s="7" t="n">
        <v>17</v>
      </c>
      <c r="J34438" s="7" t="n">
        <v>6814</v>
      </c>
      <c r="K34438" s="7" t="s">
        <v>967</v>
      </c>
      <c r="L34438" s="7" t="n">
        <v>2</v>
      </c>
      <c r="M34438" s="7" t="n">
        <v>3</v>
      </c>
      <c r="N34438" s="7" t="n">
        <v>17</v>
      </c>
      <c r="O34438" s="7" t="n">
        <v>6815</v>
      </c>
      <c r="P34438" s="7" t="s">
        <v>968</v>
      </c>
      <c r="Q34438" s="7" t="n">
        <v>2</v>
      </c>
      <c r="R34438" s="7" t="n">
        <v>3</v>
      </c>
      <c r="S34438" s="7" t="n">
        <v>17</v>
      </c>
      <c r="T34438" s="7" t="n">
        <v>6816</v>
      </c>
      <c r="U34438" s="7" t="s">
        <v>969</v>
      </c>
      <c r="V34438" s="7" t="n">
        <v>2</v>
      </c>
      <c r="W34438" s="7" t="n">
        <v>0</v>
      </c>
    </row>
    <row r="34439" spans="1:13">
      <c r="A34439" t="s">
        <v>4</v>
      </c>
      <c r="B34439" s="4" t="s">
        <v>5</v>
      </c>
    </row>
    <row r="34440" spans="1:13">
      <c r="A34440" t="n">
        <v>336114</v>
      </c>
      <c r="B34440" s="27" t="n">
        <v>28</v>
      </c>
    </row>
    <row r="34441" spans="1:13">
      <c r="A34441" t="s">
        <v>4</v>
      </c>
      <c r="B34441" s="4" t="s">
        <v>5</v>
      </c>
      <c r="C34441" s="4" t="s">
        <v>11</v>
      </c>
      <c r="D34441" s="4" t="s">
        <v>7</v>
      </c>
    </row>
    <row r="34442" spans="1:13">
      <c r="A34442" t="n">
        <v>336115</v>
      </c>
      <c r="B34442" s="68" t="n">
        <v>89</v>
      </c>
      <c r="C34442" s="7" t="n">
        <v>65533</v>
      </c>
      <c r="D34442" s="7" t="n">
        <v>1</v>
      </c>
    </row>
    <row r="34443" spans="1:13">
      <c r="A34443" t="s">
        <v>4</v>
      </c>
      <c r="B34443" s="4" t="s">
        <v>5</v>
      </c>
      <c r="C34443" s="4" t="s">
        <v>11</v>
      </c>
      <c r="D34443" s="4" t="s">
        <v>7</v>
      </c>
      <c r="E34443" s="4" t="s">
        <v>13</v>
      </c>
      <c r="F34443" s="4" t="s">
        <v>11</v>
      </c>
    </row>
    <row r="34444" spans="1:13">
      <c r="A34444" t="n">
        <v>336119</v>
      </c>
      <c r="B34444" s="56" t="n">
        <v>59</v>
      </c>
      <c r="C34444" s="7" t="n">
        <v>0</v>
      </c>
      <c r="D34444" s="7" t="n">
        <v>13</v>
      </c>
      <c r="E34444" s="7" t="n">
        <v>0.150000005960464</v>
      </c>
      <c r="F34444" s="7" t="n">
        <v>0</v>
      </c>
    </row>
    <row r="34445" spans="1:13">
      <c r="A34445" t="s">
        <v>4</v>
      </c>
      <c r="B34445" s="4" t="s">
        <v>5</v>
      </c>
      <c r="C34445" s="4" t="s">
        <v>11</v>
      </c>
    </row>
    <row r="34446" spans="1:13">
      <c r="A34446" t="n">
        <v>336129</v>
      </c>
      <c r="B34446" s="29" t="n">
        <v>16</v>
      </c>
      <c r="C34446" s="7" t="n">
        <v>1300</v>
      </c>
    </row>
    <row r="34447" spans="1:13">
      <c r="A34447" t="s">
        <v>4</v>
      </c>
      <c r="B34447" s="4" t="s">
        <v>5</v>
      </c>
      <c r="C34447" s="4" t="s">
        <v>7</v>
      </c>
      <c r="D34447" s="4" t="s">
        <v>11</v>
      </c>
      <c r="E34447" s="4" t="s">
        <v>13</v>
      </c>
    </row>
    <row r="34448" spans="1:13">
      <c r="A34448" t="n">
        <v>336132</v>
      </c>
      <c r="B34448" s="23" t="n">
        <v>58</v>
      </c>
      <c r="C34448" s="7" t="n">
        <v>101</v>
      </c>
      <c r="D34448" s="7" t="n">
        <v>500</v>
      </c>
      <c r="E34448" s="7" t="n">
        <v>1</v>
      </c>
    </row>
    <row r="34449" spans="1:23">
      <c r="A34449" t="s">
        <v>4</v>
      </c>
      <c r="B34449" s="4" t="s">
        <v>5</v>
      </c>
      <c r="C34449" s="4" t="s">
        <v>7</v>
      </c>
      <c r="D34449" s="4" t="s">
        <v>11</v>
      </c>
    </row>
    <row r="34450" spans="1:23">
      <c r="A34450" t="n">
        <v>336140</v>
      </c>
      <c r="B34450" s="23" t="n">
        <v>58</v>
      </c>
      <c r="C34450" s="7" t="n">
        <v>254</v>
      </c>
      <c r="D34450" s="7" t="n">
        <v>0</v>
      </c>
    </row>
    <row r="34451" spans="1:23">
      <c r="A34451" t="s">
        <v>4</v>
      </c>
      <c r="B34451" s="4" t="s">
        <v>5</v>
      </c>
      <c r="C34451" s="4" t="s">
        <v>7</v>
      </c>
      <c r="D34451" s="4" t="s">
        <v>7</v>
      </c>
      <c r="E34451" s="4" t="s">
        <v>13</v>
      </c>
      <c r="F34451" s="4" t="s">
        <v>13</v>
      </c>
      <c r="G34451" s="4" t="s">
        <v>13</v>
      </c>
      <c r="H34451" s="4" t="s">
        <v>11</v>
      </c>
    </row>
    <row r="34452" spans="1:23">
      <c r="A34452" t="n">
        <v>336144</v>
      </c>
      <c r="B34452" s="51" t="n">
        <v>45</v>
      </c>
      <c r="C34452" s="7" t="n">
        <v>2</v>
      </c>
      <c r="D34452" s="7" t="n">
        <v>3</v>
      </c>
      <c r="E34452" s="7" t="n">
        <v>-6.6100001335144</v>
      </c>
      <c r="F34452" s="7" t="n">
        <v>6.44000005722046</v>
      </c>
      <c r="G34452" s="7" t="n">
        <v>29.9300003051758</v>
      </c>
      <c r="H34452" s="7" t="n">
        <v>0</v>
      </c>
    </row>
    <row r="34453" spans="1:23">
      <c r="A34453" t="s">
        <v>4</v>
      </c>
      <c r="B34453" s="4" t="s">
        <v>5</v>
      </c>
      <c r="C34453" s="4" t="s">
        <v>7</v>
      </c>
      <c r="D34453" s="4" t="s">
        <v>7</v>
      </c>
      <c r="E34453" s="4" t="s">
        <v>13</v>
      </c>
      <c r="F34453" s="4" t="s">
        <v>13</v>
      </c>
      <c r="G34453" s="4" t="s">
        <v>13</v>
      </c>
      <c r="H34453" s="4" t="s">
        <v>11</v>
      </c>
      <c r="I34453" s="4" t="s">
        <v>7</v>
      </c>
    </row>
    <row r="34454" spans="1:23">
      <c r="A34454" t="n">
        <v>336161</v>
      </c>
      <c r="B34454" s="51" t="n">
        <v>45</v>
      </c>
      <c r="C34454" s="7" t="n">
        <v>4</v>
      </c>
      <c r="D34454" s="7" t="n">
        <v>3</v>
      </c>
      <c r="E34454" s="7" t="n">
        <v>357</v>
      </c>
      <c r="F34454" s="7" t="n">
        <v>284.700012207031</v>
      </c>
      <c r="G34454" s="7" t="n">
        <v>4</v>
      </c>
      <c r="H34454" s="7" t="n">
        <v>0</v>
      </c>
      <c r="I34454" s="7" t="n">
        <v>0</v>
      </c>
    </row>
    <row r="34455" spans="1:23">
      <c r="A34455" t="s">
        <v>4</v>
      </c>
      <c r="B34455" s="4" t="s">
        <v>5</v>
      </c>
      <c r="C34455" s="4" t="s">
        <v>7</v>
      </c>
      <c r="D34455" s="4" t="s">
        <v>7</v>
      </c>
      <c r="E34455" s="4" t="s">
        <v>13</v>
      </c>
      <c r="F34455" s="4" t="s">
        <v>11</v>
      </c>
    </row>
    <row r="34456" spans="1:23">
      <c r="A34456" t="n">
        <v>336179</v>
      </c>
      <c r="B34456" s="51" t="n">
        <v>45</v>
      </c>
      <c r="C34456" s="7" t="n">
        <v>5</v>
      </c>
      <c r="D34456" s="7" t="n">
        <v>3</v>
      </c>
      <c r="E34456" s="7" t="n">
        <v>1</v>
      </c>
      <c r="F34456" s="7" t="n">
        <v>0</v>
      </c>
    </row>
    <row r="34457" spans="1:23">
      <c r="A34457" t="s">
        <v>4</v>
      </c>
      <c r="B34457" s="4" t="s">
        <v>5</v>
      </c>
      <c r="C34457" s="4" t="s">
        <v>7</v>
      </c>
      <c r="D34457" s="4" t="s">
        <v>7</v>
      </c>
      <c r="E34457" s="4" t="s">
        <v>13</v>
      </c>
      <c r="F34457" s="4" t="s">
        <v>11</v>
      </c>
    </row>
    <row r="34458" spans="1:23">
      <c r="A34458" t="n">
        <v>336188</v>
      </c>
      <c r="B34458" s="51" t="n">
        <v>45</v>
      </c>
      <c r="C34458" s="7" t="n">
        <v>11</v>
      </c>
      <c r="D34458" s="7" t="n">
        <v>3</v>
      </c>
      <c r="E34458" s="7" t="n">
        <v>40.2999992370605</v>
      </c>
      <c r="F34458" s="7" t="n">
        <v>0</v>
      </c>
    </row>
    <row r="34459" spans="1:23">
      <c r="A34459" t="s">
        <v>4</v>
      </c>
      <c r="B34459" s="4" t="s">
        <v>5</v>
      </c>
      <c r="C34459" s="4" t="s">
        <v>7</v>
      </c>
      <c r="D34459" s="4" t="s">
        <v>11</v>
      </c>
      <c r="E34459" s="4" t="s">
        <v>8</v>
      </c>
      <c r="F34459" s="4" t="s">
        <v>8</v>
      </c>
      <c r="G34459" s="4" t="s">
        <v>8</v>
      </c>
      <c r="H34459" s="4" t="s">
        <v>8</v>
      </c>
    </row>
    <row r="34460" spans="1:23">
      <c r="A34460" t="n">
        <v>336197</v>
      </c>
      <c r="B34460" s="38" t="n">
        <v>51</v>
      </c>
      <c r="C34460" s="7" t="n">
        <v>3</v>
      </c>
      <c r="D34460" s="7" t="n">
        <v>0</v>
      </c>
      <c r="E34460" s="7" t="s">
        <v>86</v>
      </c>
      <c r="F34460" s="7" t="s">
        <v>99</v>
      </c>
      <c r="G34460" s="7" t="s">
        <v>78</v>
      </c>
      <c r="H34460" s="7" t="s">
        <v>79</v>
      </c>
    </row>
    <row r="34461" spans="1:23">
      <c r="A34461" t="s">
        <v>4</v>
      </c>
      <c r="B34461" s="4" t="s">
        <v>5</v>
      </c>
      <c r="C34461" s="4" t="s">
        <v>7</v>
      </c>
      <c r="D34461" s="4" t="s">
        <v>11</v>
      </c>
    </row>
    <row r="34462" spans="1:23">
      <c r="A34462" t="n">
        <v>336210</v>
      </c>
      <c r="B34462" s="23" t="n">
        <v>58</v>
      </c>
      <c r="C34462" s="7" t="n">
        <v>255</v>
      </c>
      <c r="D34462" s="7" t="n">
        <v>0</v>
      </c>
    </row>
    <row r="34463" spans="1:23">
      <c r="A34463" t="s">
        <v>4</v>
      </c>
      <c r="B34463" s="4" t="s">
        <v>5</v>
      </c>
      <c r="C34463" s="4" t="s">
        <v>7</v>
      </c>
      <c r="D34463" s="4" t="s">
        <v>11</v>
      </c>
      <c r="E34463" s="4" t="s">
        <v>8</v>
      </c>
    </row>
    <row r="34464" spans="1:23">
      <c r="A34464" t="n">
        <v>336214</v>
      </c>
      <c r="B34464" s="38" t="n">
        <v>51</v>
      </c>
      <c r="C34464" s="7" t="n">
        <v>4</v>
      </c>
      <c r="D34464" s="7" t="n">
        <v>0</v>
      </c>
      <c r="E34464" s="7" t="s">
        <v>173</v>
      </c>
    </row>
    <row r="34465" spans="1:9">
      <c r="A34465" t="s">
        <v>4</v>
      </c>
      <c r="B34465" s="4" t="s">
        <v>5</v>
      </c>
      <c r="C34465" s="4" t="s">
        <v>11</v>
      </c>
    </row>
    <row r="34466" spans="1:9">
      <c r="A34466" t="n">
        <v>336227</v>
      </c>
      <c r="B34466" s="29" t="n">
        <v>16</v>
      </c>
      <c r="C34466" s="7" t="n">
        <v>0</v>
      </c>
    </row>
    <row r="34467" spans="1:9">
      <c r="A34467" t="s">
        <v>4</v>
      </c>
      <c r="B34467" s="4" t="s">
        <v>5</v>
      </c>
      <c r="C34467" s="4" t="s">
        <v>11</v>
      </c>
      <c r="D34467" s="4" t="s">
        <v>7</v>
      </c>
      <c r="E34467" s="4" t="s">
        <v>15</v>
      </c>
      <c r="F34467" s="4" t="s">
        <v>55</v>
      </c>
      <c r="G34467" s="4" t="s">
        <v>7</v>
      </c>
      <c r="H34467" s="4" t="s">
        <v>7</v>
      </c>
      <c r="I34467" s="4" t="s">
        <v>7</v>
      </c>
      <c r="J34467" s="4" t="s">
        <v>15</v>
      </c>
      <c r="K34467" s="4" t="s">
        <v>55</v>
      </c>
      <c r="L34467" s="4" t="s">
        <v>7</v>
      </c>
      <c r="M34467" s="4" t="s">
        <v>7</v>
      </c>
      <c r="N34467" s="4" t="s">
        <v>7</v>
      </c>
      <c r="O34467" s="4" t="s">
        <v>15</v>
      </c>
      <c r="P34467" s="4" t="s">
        <v>55</v>
      </c>
      <c r="Q34467" s="4" t="s">
        <v>7</v>
      </c>
      <c r="R34467" s="4" t="s">
        <v>7</v>
      </c>
      <c r="S34467" s="4" t="s">
        <v>7</v>
      </c>
      <c r="T34467" s="4" t="s">
        <v>15</v>
      </c>
      <c r="U34467" s="4" t="s">
        <v>55</v>
      </c>
      <c r="V34467" s="4" t="s">
        <v>7</v>
      </c>
      <c r="W34467" s="4" t="s">
        <v>7</v>
      </c>
    </row>
    <row r="34468" spans="1:9">
      <c r="A34468" t="n">
        <v>336230</v>
      </c>
      <c r="B34468" s="55" t="n">
        <v>26</v>
      </c>
      <c r="C34468" s="7" t="n">
        <v>0</v>
      </c>
      <c r="D34468" s="7" t="n">
        <v>17</v>
      </c>
      <c r="E34468" s="7" t="n">
        <v>64124</v>
      </c>
      <c r="F34468" s="7" t="s">
        <v>970</v>
      </c>
      <c r="G34468" s="7" t="n">
        <v>2</v>
      </c>
      <c r="H34468" s="7" t="n">
        <v>3</v>
      </c>
      <c r="I34468" s="7" t="n">
        <v>17</v>
      </c>
      <c r="J34468" s="7" t="n">
        <v>64125</v>
      </c>
      <c r="K34468" s="7" t="s">
        <v>971</v>
      </c>
      <c r="L34468" s="7" t="n">
        <v>2</v>
      </c>
      <c r="M34468" s="7" t="n">
        <v>3</v>
      </c>
      <c r="N34468" s="7" t="n">
        <v>17</v>
      </c>
      <c r="O34468" s="7" t="n">
        <v>64126</v>
      </c>
      <c r="P34468" s="7" t="s">
        <v>972</v>
      </c>
      <c r="Q34468" s="7" t="n">
        <v>2</v>
      </c>
      <c r="R34468" s="7" t="n">
        <v>3</v>
      </c>
      <c r="S34468" s="7" t="n">
        <v>17</v>
      </c>
      <c r="T34468" s="7" t="n">
        <v>64127</v>
      </c>
      <c r="U34468" s="7" t="s">
        <v>973</v>
      </c>
      <c r="V34468" s="7" t="n">
        <v>2</v>
      </c>
      <c r="W34468" s="7" t="n">
        <v>0</v>
      </c>
    </row>
    <row r="34469" spans="1:9">
      <c r="A34469" t="s">
        <v>4</v>
      </c>
      <c r="B34469" s="4" t="s">
        <v>5</v>
      </c>
    </row>
    <row r="34470" spans="1:9">
      <c r="A34470" t="n">
        <v>336576</v>
      </c>
      <c r="B34470" s="27" t="n">
        <v>28</v>
      </c>
    </row>
    <row r="34471" spans="1:9">
      <c r="A34471" t="s">
        <v>4</v>
      </c>
      <c r="B34471" s="4" t="s">
        <v>5</v>
      </c>
      <c r="C34471" s="4" t="s">
        <v>11</v>
      </c>
      <c r="D34471" s="4" t="s">
        <v>7</v>
      </c>
    </row>
    <row r="34472" spans="1:9">
      <c r="A34472" t="n">
        <v>336577</v>
      </c>
      <c r="B34472" s="68" t="n">
        <v>89</v>
      </c>
      <c r="C34472" s="7" t="n">
        <v>65533</v>
      </c>
      <c r="D34472" s="7" t="n">
        <v>1</v>
      </c>
    </row>
    <row r="34473" spans="1:9">
      <c r="A34473" t="s">
        <v>4</v>
      </c>
      <c r="B34473" s="4" t="s">
        <v>5</v>
      </c>
      <c r="C34473" s="4" t="s">
        <v>7</v>
      </c>
      <c r="D34473" s="4" t="s">
        <v>11</v>
      </c>
      <c r="E34473" s="4" t="s">
        <v>13</v>
      </c>
    </row>
    <row r="34474" spans="1:9">
      <c r="A34474" t="n">
        <v>336581</v>
      </c>
      <c r="B34474" s="23" t="n">
        <v>58</v>
      </c>
      <c r="C34474" s="7" t="n">
        <v>101</v>
      </c>
      <c r="D34474" s="7" t="n">
        <v>500</v>
      </c>
      <c r="E34474" s="7" t="n">
        <v>1</v>
      </c>
    </row>
    <row r="34475" spans="1:9">
      <c r="A34475" t="s">
        <v>4</v>
      </c>
      <c r="B34475" s="4" t="s">
        <v>5</v>
      </c>
      <c r="C34475" s="4" t="s">
        <v>7</v>
      </c>
      <c r="D34475" s="4" t="s">
        <v>11</v>
      </c>
    </row>
    <row r="34476" spans="1:9">
      <c r="A34476" t="n">
        <v>336589</v>
      </c>
      <c r="B34476" s="23" t="n">
        <v>58</v>
      </c>
      <c r="C34476" s="7" t="n">
        <v>254</v>
      </c>
      <c r="D34476" s="7" t="n">
        <v>0</v>
      </c>
    </row>
    <row r="34477" spans="1:9">
      <c r="A34477" t="s">
        <v>4</v>
      </c>
      <c r="B34477" s="4" t="s">
        <v>5</v>
      </c>
      <c r="C34477" s="4" t="s">
        <v>7</v>
      </c>
      <c r="D34477" s="4" t="s">
        <v>7</v>
      </c>
      <c r="E34477" s="4" t="s">
        <v>13</v>
      </c>
      <c r="F34477" s="4" t="s">
        <v>13</v>
      </c>
      <c r="G34477" s="4" t="s">
        <v>13</v>
      </c>
      <c r="H34477" s="4" t="s">
        <v>11</v>
      </c>
    </row>
    <row r="34478" spans="1:9">
      <c r="A34478" t="n">
        <v>336593</v>
      </c>
      <c r="B34478" s="51" t="n">
        <v>45</v>
      </c>
      <c r="C34478" s="7" t="n">
        <v>2</v>
      </c>
      <c r="D34478" s="7" t="n">
        <v>3</v>
      </c>
      <c r="E34478" s="7" t="n">
        <v>-7.3600001335144</v>
      </c>
      <c r="F34478" s="7" t="n">
        <v>6.42999982833862</v>
      </c>
      <c r="G34478" s="7" t="n">
        <v>29.8199996948242</v>
      </c>
      <c r="H34478" s="7" t="n">
        <v>0</v>
      </c>
    </row>
    <row r="34479" spans="1:9">
      <c r="A34479" t="s">
        <v>4</v>
      </c>
      <c r="B34479" s="4" t="s">
        <v>5</v>
      </c>
      <c r="C34479" s="4" t="s">
        <v>7</v>
      </c>
      <c r="D34479" s="4" t="s">
        <v>7</v>
      </c>
      <c r="E34479" s="4" t="s">
        <v>13</v>
      </c>
      <c r="F34479" s="4" t="s">
        <v>13</v>
      </c>
      <c r="G34479" s="4" t="s">
        <v>13</v>
      </c>
      <c r="H34479" s="4" t="s">
        <v>11</v>
      </c>
      <c r="I34479" s="4" t="s">
        <v>7</v>
      </c>
    </row>
    <row r="34480" spans="1:9">
      <c r="A34480" t="n">
        <v>336610</v>
      </c>
      <c r="B34480" s="51" t="n">
        <v>45</v>
      </c>
      <c r="C34480" s="7" t="n">
        <v>4</v>
      </c>
      <c r="D34480" s="7" t="n">
        <v>3</v>
      </c>
      <c r="E34480" s="7" t="n">
        <v>8.11999988555908</v>
      </c>
      <c r="F34480" s="7" t="n">
        <v>69.9499969482422</v>
      </c>
      <c r="G34480" s="7" t="n">
        <v>354</v>
      </c>
      <c r="H34480" s="7" t="n">
        <v>0</v>
      </c>
      <c r="I34480" s="7" t="n">
        <v>0</v>
      </c>
    </row>
    <row r="34481" spans="1:23">
      <c r="A34481" t="s">
        <v>4</v>
      </c>
      <c r="B34481" s="4" t="s">
        <v>5</v>
      </c>
      <c r="C34481" s="4" t="s">
        <v>7</v>
      </c>
      <c r="D34481" s="4" t="s">
        <v>7</v>
      </c>
      <c r="E34481" s="4" t="s">
        <v>13</v>
      </c>
      <c r="F34481" s="4" t="s">
        <v>11</v>
      </c>
    </row>
    <row r="34482" spans="1:23">
      <c r="A34482" t="n">
        <v>336628</v>
      </c>
      <c r="B34482" s="51" t="n">
        <v>45</v>
      </c>
      <c r="C34482" s="7" t="n">
        <v>5</v>
      </c>
      <c r="D34482" s="7" t="n">
        <v>3</v>
      </c>
      <c r="E34482" s="7" t="n">
        <v>0.800000011920929</v>
      </c>
      <c r="F34482" s="7" t="n">
        <v>0</v>
      </c>
    </row>
    <row r="34483" spans="1:23">
      <c r="A34483" t="s">
        <v>4</v>
      </c>
      <c r="B34483" s="4" t="s">
        <v>5</v>
      </c>
      <c r="C34483" s="4" t="s">
        <v>7</v>
      </c>
      <c r="D34483" s="4" t="s">
        <v>7</v>
      </c>
      <c r="E34483" s="4" t="s">
        <v>13</v>
      </c>
      <c r="F34483" s="4" t="s">
        <v>11</v>
      </c>
    </row>
    <row r="34484" spans="1:23">
      <c r="A34484" t="n">
        <v>336637</v>
      </c>
      <c r="B34484" s="51" t="n">
        <v>45</v>
      </c>
      <c r="C34484" s="7" t="n">
        <v>11</v>
      </c>
      <c r="D34484" s="7" t="n">
        <v>3</v>
      </c>
      <c r="E34484" s="7" t="n">
        <v>40.2999992370605</v>
      </c>
      <c r="F34484" s="7" t="n">
        <v>0</v>
      </c>
    </row>
    <row r="34485" spans="1:23">
      <c r="A34485" t="s">
        <v>4</v>
      </c>
      <c r="B34485" s="4" t="s">
        <v>5</v>
      </c>
      <c r="C34485" s="4" t="s">
        <v>7</v>
      </c>
      <c r="D34485" s="4" t="s">
        <v>11</v>
      </c>
    </row>
    <row r="34486" spans="1:23">
      <c r="A34486" t="n">
        <v>336646</v>
      </c>
      <c r="B34486" s="23" t="n">
        <v>58</v>
      </c>
      <c r="C34486" s="7" t="n">
        <v>255</v>
      </c>
      <c r="D34486" s="7" t="n">
        <v>0</v>
      </c>
    </row>
    <row r="34487" spans="1:23">
      <c r="A34487" t="s">
        <v>4</v>
      </c>
      <c r="B34487" s="4" t="s">
        <v>5</v>
      </c>
      <c r="C34487" s="4" t="s">
        <v>7</v>
      </c>
      <c r="D34487" s="4" t="s">
        <v>11</v>
      </c>
      <c r="E34487" s="4" t="s">
        <v>8</v>
      </c>
    </row>
    <row r="34488" spans="1:23">
      <c r="A34488" t="n">
        <v>336650</v>
      </c>
      <c r="B34488" s="38" t="n">
        <v>51</v>
      </c>
      <c r="C34488" s="7" t="n">
        <v>4</v>
      </c>
      <c r="D34488" s="7" t="n">
        <v>2</v>
      </c>
      <c r="E34488" s="7" t="s">
        <v>238</v>
      </c>
    </row>
    <row r="34489" spans="1:23">
      <c r="A34489" t="s">
        <v>4</v>
      </c>
      <c r="B34489" s="4" t="s">
        <v>5</v>
      </c>
      <c r="C34489" s="4" t="s">
        <v>11</v>
      </c>
    </row>
    <row r="34490" spans="1:23">
      <c r="A34490" t="n">
        <v>336664</v>
      </c>
      <c r="B34490" s="29" t="n">
        <v>16</v>
      </c>
      <c r="C34490" s="7" t="n">
        <v>0</v>
      </c>
    </row>
    <row r="34491" spans="1:23">
      <c r="A34491" t="s">
        <v>4</v>
      </c>
      <c r="B34491" s="4" t="s">
        <v>5</v>
      </c>
      <c r="C34491" s="4" t="s">
        <v>11</v>
      </c>
      <c r="D34491" s="4" t="s">
        <v>7</v>
      </c>
      <c r="E34491" s="4" t="s">
        <v>15</v>
      </c>
      <c r="F34491" s="4" t="s">
        <v>55</v>
      </c>
      <c r="G34491" s="4" t="s">
        <v>7</v>
      </c>
      <c r="H34491" s="4" t="s">
        <v>7</v>
      </c>
      <c r="I34491" s="4" t="s">
        <v>7</v>
      </c>
      <c r="J34491" s="4" t="s">
        <v>15</v>
      </c>
      <c r="K34491" s="4" t="s">
        <v>55</v>
      </c>
      <c r="L34491" s="4" t="s">
        <v>7</v>
      </c>
      <c r="M34491" s="4" t="s">
        <v>7</v>
      </c>
      <c r="N34491" s="4" t="s">
        <v>7</v>
      </c>
      <c r="O34491" s="4" t="s">
        <v>15</v>
      </c>
      <c r="P34491" s="4" t="s">
        <v>55</v>
      </c>
      <c r="Q34491" s="4" t="s">
        <v>7</v>
      </c>
      <c r="R34491" s="4" t="s">
        <v>7</v>
      </c>
    </row>
    <row r="34492" spans="1:23">
      <c r="A34492" t="n">
        <v>336667</v>
      </c>
      <c r="B34492" s="55" t="n">
        <v>26</v>
      </c>
      <c r="C34492" s="7" t="n">
        <v>2</v>
      </c>
      <c r="D34492" s="7" t="n">
        <v>17</v>
      </c>
      <c r="E34492" s="7" t="n">
        <v>6817</v>
      </c>
      <c r="F34492" s="7" t="s">
        <v>974</v>
      </c>
      <c r="G34492" s="7" t="n">
        <v>2</v>
      </c>
      <c r="H34492" s="7" t="n">
        <v>3</v>
      </c>
      <c r="I34492" s="7" t="n">
        <v>17</v>
      </c>
      <c r="J34492" s="7" t="n">
        <v>6818</v>
      </c>
      <c r="K34492" s="7" t="s">
        <v>975</v>
      </c>
      <c r="L34492" s="7" t="n">
        <v>2</v>
      </c>
      <c r="M34492" s="7" t="n">
        <v>3</v>
      </c>
      <c r="N34492" s="7" t="n">
        <v>17</v>
      </c>
      <c r="O34492" s="7" t="n">
        <v>6819</v>
      </c>
      <c r="P34492" s="7" t="s">
        <v>976</v>
      </c>
      <c r="Q34492" s="7" t="n">
        <v>2</v>
      </c>
      <c r="R34492" s="7" t="n">
        <v>0</v>
      </c>
    </row>
    <row r="34493" spans="1:23">
      <c r="A34493" t="s">
        <v>4</v>
      </c>
      <c r="B34493" s="4" t="s">
        <v>5</v>
      </c>
    </row>
    <row r="34494" spans="1:23">
      <c r="A34494" t="n">
        <v>336911</v>
      </c>
      <c r="B34494" s="27" t="n">
        <v>28</v>
      </c>
    </row>
    <row r="34495" spans="1:23">
      <c r="A34495" t="s">
        <v>4</v>
      </c>
      <c r="B34495" s="4" t="s">
        <v>5</v>
      </c>
      <c r="C34495" s="4" t="s">
        <v>7</v>
      </c>
      <c r="D34495" s="4" t="s">
        <v>11</v>
      </c>
      <c r="E34495" s="4" t="s">
        <v>8</v>
      </c>
    </row>
    <row r="34496" spans="1:23">
      <c r="A34496" t="n">
        <v>336912</v>
      </c>
      <c r="B34496" s="38" t="n">
        <v>51</v>
      </c>
      <c r="C34496" s="7" t="n">
        <v>4</v>
      </c>
      <c r="D34496" s="7" t="n">
        <v>0</v>
      </c>
      <c r="E34496" s="7" t="s">
        <v>977</v>
      </c>
    </row>
    <row r="34497" spans="1:18">
      <c r="A34497" t="s">
        <v>4</v>
      </c>
      <c r="B34497" s="4" t="s">
        <v>5</v>
      </c>
      <c r="C34497" s="4" t="s">
        <v>11</v>
      </c>
    </row>
    <row r="34498" spans="1:18">
      <c r="A34498" t="n">
        <v>336925</v>
      </c>
      <c r="B34498" s="29" t="n">
        <v>16</v>
      </c>
      <c r="C34498" s="7" t="n">
        <v>0</v>
      </c>
    </row>
    <row r="34499" spans="1:18">
      <c r="A34499" t="s">
        <v>4</v>
      </c>
      <c r="B34499" s="4" t="s">
        <v>5</v>
      </c>
      <c r="C34499" s="4" t="s">
        <v>11</v>
      </c>
      <c r="D34499" s="4" t="s">
        <v>7</v>
      </c>
      <c r="E34499" s="4" t="s">
        <v>15</v>
      </c>
      <c r="F34499" s="4" t="s">
        <v>55</v>
      </c>
      <c r="G34499" s="4" t="s">
        <v>7</v>
      </c>
      <c r="H34499" s="4" t="s">
        <v>7</v>
      </c>
    </row>
    <row r="34500" spans="1:18">
      <c r="A34500" t="n">
        <v>336928</v>
      </c>
      <c r="B34500" s="55" t="n">
        <v>26</v>
      </c>
      <c r="C34500" s="7" t="n">
        <v>0</v>
      </c>
      <c r="D34500" s="7" t="n">
        <v>17</v>
      </c>
      <c r="E34500" s="7" t="n">
        <v>64128</v>
      </c>
      <c r="F34500" s="7" t="s">
        <v>978</v>
      </c>
      <c r="G34500" s="7" t="n">
        <v>2</v>
      </c>
      <c r="H34500" s="7" t="n">
        <v>0</v>
      </c>
    </row>
    <row r="34501" spans="1:18">
      <c r="A34501" t="s">
        <v>4</v>
      </c>
      <c r="B34501" s="4" t="s">
        <v>5</v>
      </c>
    </row>
    <row r="34502" spans="1:18">
      <c r="A34502" t="n">
        <v>336961</v>
      </c>
      <c r="B34502" s="27" t="n">
        <v>28</v>
      </c>
    </row>
    <row r="34503" spans="1:18">
      <c r="A34503" t="s">
        <v>4</v>
      </c>
      <c r="B34503" s="4" t="s">
        <v>5</v>
      </c>
      <c r="C34503" s="4" t="s">
        <v>11</v>
      </c>
      <c r="D34503" s="4" t="s">
        <v>7</v>
      </c>
    </row>
    <row r="34504" spans="1:18">
      <c r="A34504" t="n">
        <v>336962</v>
      </c>
      <c r="B34504" s="68" t="n">
        <v>89</v>
      </c>
      <c r="C34504" s="7" t="n">
        <v>65533</v>
      </c>
      <c r="D34504" s="7" t="n">
        <v>1</v>
      </c>
    </row>
    <row r="34505" spans="1:18">
      <c r="A34505" t="s">
        <v>4</v>
      </c>
      <c r="B34505" s="4" t="s">
        <v>5</v>
      </c>
      <c r="C34505" s="4" t="s">
        <v>7</v>
      </c>
      <c r="D34505" s="4" t="s">
        <v>11</v>
      </c>
      <c r="E34505" s="4" t="s">
        <v>13</v>
      </c>
    </row>
    <row r="34506" spans="1:18">
      <c r="A34506" t="n">
        <v>336966</v>
      </c>
      <c r="B34506" s="23" t="n">
        <v>58</v>
      </c>
      <c r="C34506" s="7" t="n">
        <v>101</v>
      </c>
      <c r="D34506" s="7" t="n">
        <v>500</v>
      </c>
      <c r="E34506" s="7" t="n">
        <v>1</v>
      </c>
    </row>
    <row r="34507" spans="1:18">
      <c r="A34507" t="s">
        <v>4</v>
      </c>
      <c r="B34507" s="4" t="s">
        <v>5</v>
      </c>
      <c r="C34507" s="4" t="s">
        <v>7</v>
      </c>
      <c r="D34507" s="4" t="s">
        <v>11</v>
      </c>
    </row>
    <row r="34508" spans="1:18">
      <c r="A34508" t="n">
        <v>336974</v>
      </c>
      <c r="B34508" s="23" t="n">
        <v>58</v>
      </c>
      <c r="C34508" s="7" t="n">
        <v>254</v>
      </c>
      <c r="D34508" s="7" t="n">
        <v>0</v>
      </c>
    </row>
    <row r="34509" spans="1:18">
      <c r="A34509" t="s">
        <v>4</v>
      </c>
      <c r="B34509" s="4" t="s">
        <v>5</v>
      </c>
      <c r="C34509" s="4" t="s">
        <v>11</v>
      </c>
      <c r="D34509" s="4" t="s">
        <v>13</v>
      </c>
      <c r="E34509" s="4" t="s">
        <v>13</v>
      </c>
      <c r="F34509" s="4" t="s">
        <v>13</v>
      </c>
      <c r="G34509" s="4" t="s">
        <v>13</v>
      </c>
    </row>
    <row r="34510" spans="1:18">
      <c r="A34510" t="n">
        <v>336978</v>
      </c>
      <c r="B34510" s="36" t="n">
        <v>46</v>
      </c>
      <c r="C34510" s="7" t="n">
        <v>2</v>
      </c>
      <c r="D34510" s="7" t="n">
        <v>-7.40999984741211</v>
      </c>
      <c r="E34510" s="7" t="n">
        <v>5</v>
      </c>
      <c r="F34510" s="7" t="n">
        <v>29.7999992370605</v>
      </c>
      <c r="G34510" s="7" t="n">
        <v>83.9000015258789</v>
      </c>
    </row>
    <row r="34511" spans="1:18">
      <c r="A34511" t="s">
        <v>4</v>
      </c>
      <c r="B34511" s="4" t="s">
        <v>5</v>
      </c>
      <c r="C34511" s="4" t="s">
        <v>11</v>
      </c>
      <c r="D34511" s="4" t="s">
        <v>13</v>
      </c>
      <c r="E34511" s="4" t="s">
        <v>13</v>
      </c>
      <c r="F34511" s="4" t="s">
        <v>13</v>
      </c>
      <c r="G34511" s="4" t="s">
        <v>11</v>
      </c>
      <c r="H34511" s="4" t="s">
        <v>11</v>
      </c>
    </row>
    <row r="34512" spans="1:18">
      <c r="A34512" t="n">
        <v>336997</v>
      </c>
      <c r="B34512" s="37" t="n">
        <v>60</v>
      </c>
      <c r="C34512" s="7" t="n">
        <v>2</v>
      </c>
      <c r="D34512" s="7" t="n">
        <v>0</v>
      </c>
      <c r="E34512" s="7" t="n">
        <v>0</v>
      </c>
      <c r="F34512" s="7" t="n">
        <v>0</v>
      </c>
      <c r="G34512" s="7" t="n">
        <v>0</v>
      </c>
      <c r="H34512" s="7" t="n">
        <v>1</v>
      </c>
    </row>
    <row r="34513" spans="1:8">
      <c r="A34513" t="s">
        <v>4</v>
      </c>
      <c r="B34513" s="4" t="s">
        <v>5</v>
      </c>
      <c r="C34513" s="4" t="s">
        <v>11</v>
      </c>
      <c r="D34513" s="4" t="s">
        <v>13</v>
      </c>
      <c r="E34513" s="4" t="s">
        <v>13</v>
      </c>
      <c r="F34513" s="4" t="s">
        <v>13</v>
      </c>
      <c r="G34513" s="4" t="s">
        <v>11</v>
      </c>
      <c r="H34513" s="4" t="s">
        <v>11</v>
      </c>
    </row>
    <row r="34514" spans="1:8">
      <c r="A34514" t="n">
        <v>337016</v>
      </c>
      <c r="B34514" s="37" t="n">
        <v>60</v>
      </c>
      <c r="C34514" s="7" t="n">
        <v>2</v>
      </c>
      <c r="D34514" s="7" t="n">
        <v>0</v>
      </c>
      <c r="E34514" s="7" t="n">
        <v>0</v>
      </c>
      <c r="F34514" s="7" t="n">
        <v>0</v>
      </c>
      <c r="G34514" s="7" t="n">
        <v>0</v>
      </c>
      <c r="H34514" s="7" t="n">
        <v>0</v>
      </c>
    </row>
    <row r="34515" spans="1:8">
      <c r="A34515" t="s">
        <v>4</v>
      </c>
      <c r="B34515" s="4" t="s">
        <v>5</v>
      </c>
      <c r="C34515" s="4" t="s">
        <v>11</v>
      </c>
      <c r="D34515" s="4" t="s">
        <v>11</v>
      </c>
      <c r="E34515" s="4" t="s">
        <v>11</v>
      </c>
    </row>
    <row r="34516" spans="1:8">
      <c r="A34516" t="n">
        <v>337035</v>
      </c>
      <c r="B34516" s="72" t="n">
        <v>61</v>
      </c>
      <c r="C34516" s="7" t="n">
        <v>2</v>
      </c>
      <c r="D34516" s="7" t="n">
        <v>65533</v>
      </c>
      <c r="E34516" s="7" t="n">
        <v>0</v>
      </c>
    </row>
    <row r="34517" spans="1:8">
      <c r="A34517" t="s">
        <v>4</v>
      </c>
      <c r="B34517" s="4" t="s">
        <v>5</v>
      </c>
      <c r="C34517" s="4" t="s">
        <v>7</v>
      </c>
      <c r="D34517" s="4" t="s">
        <v>7</v>
      </c>
      <c r="E34517" s="4" t="s">
        <v>13</v>
      </c>
      <c r="F34517" s="4" t="s">
        <v>13</v>
      </c>
      <c r="G34517" s="4" t="s">
        <v>13</v>
      </c>
      <c r="H34517" s="4" t="s">
        <v>11</v>
      </c>
    </row>
    <row r="34518" spans="1:8">
      <c r="A34518" t="n">
        <v>337042</v>
      </c>
      <c r="B34518" s="51" t="n">
        <v>45</v>
      </c>
      <c r="C34518" s="7" t="n">
        <v>2</v>
      </c>
      <c r="D34518" s="7" t="n">
        <v>3</v>
      </c>
      <c r="E34518" s="7" t="n">
        <v>-6.96000003814697</v>
      </c>
      <c r="F34518" s="7" t="n">
        <v>5.80000019073486</v>
      </c>
      <c r="G34518" s="7" t="n">
        <v>29.9099998474121</v>
      </c>
      <c r="H34518" s="7" t="n">
        <v>0</v>
      </c>
    </row>
    <row r="34519" spans="1:8">
      <c r="A34519" t="s">
        <v>4</v>
      </c>
      <c r="B34519" s="4" t="s">
        <v>5</v>
      </c>
      <c r="C34519" s="4" t="s">
        <v>7</v>
      </c>
      <c r="D34519" s="4" t="s">
        <v>7</v>
      </c>
      <c r="E34519" s="4" t="s">
        <v>13</v>
      </c>
      <c r="F34519" s="4" t="s">
        <v>13</v>
      </c>
      <c r="G34519" s="4" t="s">
        <v>13</v>
      </c>
      <c r="H34519" s="4" t="s">
        <v>11</v>
      </c>
      <c r="I34519" s="4" t="s">
        <v>7</v>
      </c>
    </row>
    <row r="34520" spans="1:8">
      <c r="A34520" t="n">
        <v>337059</v>
      </c>
      <c r="B34520" s="51" t="n">
        <v>45</v>
      </c>
      <c r="C34520" s="7" t="n">
        <v>4</v>
      </c>
      <c r="D34520" s="7" t="n">
        <v>3</v>
      </c>
      <c r="E34520" s="7" t="n">
        <v>28.8400001525879</v>
      </c>
      <c r="F34520" s="7" t="n">
        <v>322.989990234375</v>
      </c>
      <c r="G34520" s="7" t="n">
        <v>354</v>
      </c>
      <c r="H34520" s="7" t="n">
        <v>0</v>
      </c>
      <c r="I34520" s="7" t="n">
        <v>0</v>
      </c>
    </row>
    <row r="34521" spans="1:8">
      <c r="A34521" t="s">
        <v>4</v>
      </c>
      <c r="B34521" s="4" t="s">
        <v>5</v>
      </c>
      <c r="C34521" s="4" t="s">
        <v>7</v>
      </c>
      <c r="D34521" s="4" t="s">
        <v>7</v>
      </c>
      <c r="E34521" s="4" t="s">
        <v>13</v>
      </c>
      <c r="F34521" s="4" t="s">
        <v>11</v>
      </c>
    </row>
    <row r="34522" spans="1:8">
      <c r="A34522" t="n">
        <v>337077</v>
      </c>
      <c r="B34522" s="51" t="n">
        <v>45</v>
      </c>
      <c r="C34522" s="7" t="n">
        <v>5</v>
      </c>
      <c r="D34522" s="7" t="n">
        <v>3</v>
      </c>
      <c r="E34522" s="7" t="n">
        <v>1.10000002384186</v>
      </c>
      <c r="F34522" s="7" t="n">
        <v>0</v>
      </c>
    </row>
    <row r="34523" spans="1:8">
      <c r="A34523" t="s">
        <v>4</v>
      </c>
      <c r="B34523" s="4" t="s">
        <v>5</v>
      </c>
      <c r="C34523" s="4" t="s">
        <v>7</v>
      </c>
      <c r="D34523" s="4" t="s">
        <v>7</v>
      </c>
      <c r="E34523" s="4" t="s">
        <v>13</v>
      </c>
      <c r="F34523" s="4" t="s">
        <v>11</v>
      </c>
    </row>
    <row r="34524" spans="1:8">
      <c r="A34524" t="n">
        <v>337086</v>
      </c>
      <c r="B34524" s="51" t="n">
        <v>45</v>
      </c>
      <c r="C34524" s="7" t="n">
        <v>11</v>
      </c>
      <c r="D34524" s="7" t="n">
        <v>3</v>
      </c>
      <c r="E34524" s="7" t="n">
        <v>40.2999992370605</v>
      </c>
      <c r="F34524" s="7" t="n">
        <v>0</v>
      </c>
    </row>
    <row r="34525" spans="1:8">
      <c r="A34525" t="s">
        <v>4</v>
      </c>
      <c r="B34525" s="4" t="s">
        <v>5</v>
      </c>
      <c r="C34525" s="4" t="s">
        <v>7</v>
      </c>
      <c r="D34525" s="4" t="s">
        <v>7</v>
      </c>
      <c r="E34525" s="4" t="s">
        <v>13</v>
      </c>
      <c r="F34525" s="4" t="s">
        <v>13</v>
      </c>
      <c r="G34525" s="4" t="s">
        <v>13</v>
      </c>
      <c r="H34525" s="4" t="s">
        <v>11</v>
      </c>
    </row>
    <row r="34526" spans="1:8">
      <c r="A34526" t="n">
        <v>337095</v>
      </c>
      <c r="B34526" s="51" t="n">
        <v>45</v>
      </c>
      <c r="C34526" s="7" t="n">
        <v>2</v>
      </c>
      <c r="D34526" s="7" t="n">
        <v>3</v>
      </c>
      <c r="E34526" s="7" t="n">
        <v>-6.80000019073486</v>
      </c>
      <c r="F34526" s="7" t="n">
        <v>6.3899998664856</v>
      </c>
      <c r="G34526" s="7" t="n">
        <v>30.0200004577637</v>
      </c>
      <c r="H34526" s="7" t="n">
        <v>4000</v>
      </c>
    </row>
    <row r="34527" spans="1:8">
      <c r="A34527" t="s">
        <v>4</v>
      </c>
      <c r="B34527" s="4" t="s">
        <v>5</v>
      </c>
      <c r="C34527" s="4" t="s">
        <v>7</v>
      </c>
      <c r="D34527" s="4" t="s">
        <v>7</v>
      </c>
      <c r="E34527" s="4" t="s">
        <v>13</v>
      </c>
      <c r="F34527" s="4" t="s">
        <v>13</v>
      </c>
      <c r="G34527" s="4" t="s">
        <v>13</v>
      </c>
      <c r="H34527" s="4" t="s">
        <v>11</v>
      </c>
      <c r="I34527" s="4" t="s">
        <v>7</v>
      </c>
    </row>
    <row r="34528" spans="1:8">
      <c r="A34528" t="n">
        <v>337112</v>
      </c>
      <c r="B34528" s="51" t="n">
        <v>45</v>
      </c>
      <c r="C34528" s="7" t="n">
        <v>4</v>
      </c>
      <c r="D34528" s="7" t="n">
        <v>3</v>
      </c>
      <c r="E34528" s="7" t="n">
        <v>6.61999988555908</v>
      </c>
      <c r="F34528" s="7" t="n">
        <v>31.1900005340576</v>
      </c>
      <c r="G34528" s="7" t="n">
        <v>354</v>
      </c>
      <c r="H34528" s="7" t="n">
        <v>4000</v>
      </c>
      <c r="I34528" s="7" t="n">
        <v>1</v>
      </c>
    </row>
    <row r="34529" spans="1:9">
      <c r="A34529" t="s">
        <v>4</v>
      </c>
      <c r="B34529" s="4" t="s">
        <v>5</v>
      </c>
      <c r="C34529" s="4" t="s">
        <v>7</v>
      </c>
      <c r="D34529" s="4" t="s">
        <v>7</v>
      </c>
      <c r="E34529" s="4" t="s">
        <v>13</v>
      </c>
      <c r="F34529" s="4" t="s">
        <v>11</v>
      </c>
    </row>
    <row r="34530" spans="1:9">
      <c r="A34530" t="n">
        <v>337130</v>
      </c>
      <c r="B34530" s="51" t="n">
        <v>45</v>
      </c>
      <c r="C34530" s="7" t="n">
        <v>5</v>
      </c>
      <c r="D34530" s="7" t="n">
        <v>3</v>
      </c>
      <c r="E34530" s="7" t="n">
        <v>0.899999976158142</v>
      </c>
      <c r="F34530" s="7" t="n">
        <v>4000</v>
      </c>
    </row>
    <row r="34531" spans="1:9">
      <c r="A34531" t="s">
        <v>4</v>
      </c>
      <c r="B34531" s="4" t="s">
        <v>5</v>
      </c>
      <c r="C34531" s="4" t="s">
        <v>11</v>
      </c>
      <c r="D34531" s="4" t="s">
        <v>7</v>
      </c>
      <c r="E34531" s="4" t="s">
        <v>8</v>
      </c>
      <c r="F34531" s="4" t="s">
        <v>13</v>
      </c>
      <c r="G34531" s="4" t="s">
        <v>13</v>
      </c>
      <c r="H34531" s="4" t="s">
        <v>13</v>
      </c>
    </row>
    <row r="34532" spans="1:9">
      <c r="A34532" t="n">
        <v>337139</v>
      </c>
      <c r="B34532" s="42" t="n">
        <v>48</v>
      </c>
      <c r="C34532" s="7" t="n">
        <v>0</v>
      </c>
      <c r="D34532" s="7" t="n">
        <v>0</v>
      </c>
      <c r="E34532" s="7" t="s">
        <v>210</v>
      </c>
      <c r="F34532" s="7" t="n">
        <v>0</v>
      </c>
      <c r="G34532" s="7" t="n">
        <v>1</v>
      </c>
      <c r="H34532" s="7" t="n">
        <v>0</v>
      </c>
    </row>
    <row r="34533" spans="1:9">
      <c r="A34533" t="s">
        <v>4</v>
      </c>
      <c r="B34533" s="4" t="s">
        <v>5</v>
      </c>
      <c r="C34533" s="4" t="s">
        <v>11</v>
      </c>
      <c r="D34533" s="4" t="s">
        <v>7</v>
      </c>
      <c r="E34533" s="4" t="s">
        <v>8</v>
      </c>
      <c r="F34533" s="4" t="s">
        <v>13</v>
      </c>
      <c r="G34533" s="4" t="s">
        <v>13</v>
      </c>
      <c r="H34533" s="4" t="s">
        <v>13</v>
      </c>
    </row>
    <row r="34534" spans="1:9">
      <c r="A34534" t="n">
        <v>337164</v>
      </c>
      <c r="B34534" s="42" t="n">
        <v>48</v>
      </c>
      <c r="C34534" s="7" t="n">
        <v>2</v>
      </c>
      <c r="D34534" s="7" t="n">
        <v>0</v>
      </c>
      <c r="E34534" s="7" t="s">
        <v>210</v>
      </c>
      <c r="F34534" s="7" t="n">
        <v>0</v>
      </c>
      <c r="G34534" s="7" t="n">
        <v>1</v>
      </c>
      <c r="H34534" s="7" t="n">
        <v>0</v>
      </c>
    </row>
    <row r="34535" spans="1:9">
      <c r="A34535" t="s">
        <v>4</v>
      </c>
      <c r="B34535" s="4" t="s">
        <v>5</v>
      </c>
      <c r="C34535" s="4" t="s">
        <v>7</v>
      </c>
      <c r="D34535" s="4" t="s">
        <v>11</v>
      </c>
      <c r="E34535" s="4" t="s">
        <v>8</v>
      </c>
      <c r="F34535" s="4" t="s">
        <v>8</v>
      </c>
      <c r="G34535" s="4" t="s">
        <v>8</v>
      </c>
      <c r="H34535" s="4" t="s">
        <v>8</v>
      </c>
    </row>
    <row r="34536" spans="1:9">
      <c r="A34536" t="n">
        <v>337189</v>
      </c>
      <c r="B34536" s="38" t="n">
        <v>51</v>
      </c>
      <c r="C34536" s="7" t="n">
        <v>3</v>
      </c>
      <c r="D34536" s="7" t="n">
        <v>0</v>
      </c>
      <c r="E34536" s="7" t="s">
        <v>232</v>
      </c>
      <c r="F34536" s="7" t="s">
        <v>99</v>
      </c>
      <c r="G34536" s="7" t="s">
        <v>78</v>
      </c>
      <c r="H34536" s="7" t="s">
        <v>79</v>
      </c>
    </row>
    <row r="34537" spans="1:9">
      <c r="A34537" t="s">
        <v>4</v>
      </c>
      <c r="B34537" s="4" t="s">
        <v>5</v>
      </c>
      <c r="C34537" s="4" t="s">
        <v>7</v>
      </c>
      <c r="D34537" s="4" t="s">
        <v>11</v>
      </c>
      <c r="E34537" s="4" t="s">
        <v>8</v>
      </c>
      <c r="F34537" s="4" t="s">
        <v>8</v>
      </c>
      <c r="G34537" s="4" t="s">
        <v>8</v>
      </c>
      <c r="H34537" s="4" t="s">
        <v>8</v>
      </c>
    </row>
    <row r="34538" spans="1:9">
      <c r="A34538" t="n">
        <v>337202</v>
      </c>
      <c r="B34538" s="38" t="n">
        <v>51</v>
      </c>
      <c r="C34538" s="7" t="n">
        <v>3</v>
      </c>
      <c r="D34538" s="7" t="n">
        <v>2</v>
      </c>
      <c r="E34538" s="7" t="s">
        <v>98</v>
      </c>
      <c r="F34538" s="7" t="s">
        <v>79</v>
      </c>
      <c r="G34538" s="7" t="s">
        <v>78</v>
      </c>
      <c r="H34538" s="7" t="s">
        <v>79</v>
      </c>
    </row>
    <row r="34539" spans="1:9">
      <c r="A34539" t="s">
        <v>4</v>
      </c>
      <c r="B34539" s="4" t="s">
        <v>5</v>
      </c>
      <c r="C34539" s="4" t="s">
        <v>7</v>
      </c>
      <c r="D34539" s="4" t="s">
        <v>11</v>
      </c>
    </row>
    <row r="34540" spans="1:9">
      <c r="A34540" t="n">
        <v>337215</v>
      </c>
      <c r="B34540" s="23" t="n">
        <v>58</v>
      </c>
      <c r="C34540" s="7" t="n">
        <v>255</v>
      </c>
      <c r="D34540" s="7" t="n">
        <v>0</v>
      </c>
    </row>
    <row r="34541" spans="1:9">
      <c r="A34541" t="s">
        <v>4</v>
      </c>
      <c r="B34541" s="4" t="s">
        <v>5</v>
      </c>
      <c r="C34541" s="4" t="s">
        <v>11</v>
      </c>
    </row>
    <row r="34542" spans="1:9">
      <c r="A34542" t="n">
        <v>337219</v>
      </c>
      <c r="B34542" s="29" t="n">
        <v>16</v>
      </c>
      <c r="C34542" s="7" t="n">
        <v>1000</v>
      </c>
    </row>
    <row r="34543" spans="1:9">
      <c r="A34543" t="s">
        <v>4</v>
      </c>
      <c r="B34543" s="4" t="s">
        <v>5</v>
      </c>
      <c r="C34543" s="4" t="s">
        <v>11</v>
      </c>
      <c r="D34543" s="4" t="s">
        <v>13</v>
      </c>
      <c r="E34543" s="4" t="s">
        <v>13</v>
      </c>
      <c r="F34543" s="4" t="s">
        <v>13</v>
      </c>
      <c r="G34543" s="4" t="s">
        <v>11</v>
      </c>
      <c r="H34543" s="4" t="s">
        <v>11</v>
      </c>
    </row>
    <row r="34544" spans="1:9">
      <c r="A34544" t="n">
        <v>337222</v>
      </c>
      <c r="B34544" s="37" t="n">
        <v>60</v>
      </c>
      <c r="C34544" s="7" t="n">
        <v>2</v>
      </c>
      <c r="D34544" s="7" t="n">
        <v>0</v>
      </c>
      <c r="E34544" s="7" t="n">
        <v>-20</v>
      </c>
      <c r="F34544" s="7" t="n">
        <v>0</v>
      </c>
      <c r="G34544" s="7" t="n">
        <v>1000</v>
      </c>
      <c r="H34544" s="7" t="n">
        <v>0</v>
      </c>
    </row>
    <row r="34545" spans="1:8">
      <c r="A34545" t="s">
        <v>4</v>
      </c>
      <c r="B34545" s="4" t="s">
        <v>5</v>
      </c>
      <c r="C34545" s="4" t="s">
        <v>11</v>
      </c>
      <c r="D34545" s="4" t="s">
        <v>7</v>
      </c>
      <c r="E34545" s="4" t="s">
        <v>8</v>
      </c>
      <c r="F34545" s="4" t="s">
        <v>13</v>
      </c>
      <c r="G34545" s="4" t="s">
        <v>13</v>
      </c>
      <c r="H34545" s="4" t="s">
        <v>13</v>
      </c>
    </row>
    <row r="34546" spans="1:8">
      <c r="A34546" t="n">
        <v>337241</v>
      </c>
      <c r="B34546" s="42" t="n">
        <v>48</v>
      </c>
      <c r="C34546" s="7" t="n">
        <v>0</v>
      </c>
      <c r="D34546" s="7" t="n">
        <v>0</v>
      </c>
      <c r="E34546" s="7" t="s">
        <v>923</v>
      </c>
      <c r="F34546" s="7" t="n">
        <v>-1</v>
      </c>
      <c r="G34546" s="7" t="n">
        <v>1</v>
      </c>
      <c r="H34546" s="7" t="n">
        <v>0</v>
      </c>
    </row>
    <row r="34547" spans="1:8">
      <c r="A34547" t="s">
        <v>4</v>
      </c>
      <c r="B34547" s="4" t="s">
        <v>5</v>
      </c>
      <c r="C34547" s="4" t="s">
        <v>11</v>
      </c>
      <c r="D34547" s="4" t="s">
        <v>7</v>
      </c>
      <c r="E34547" s="4" t="s">
        <v>8</v>
      </c>
      <c r="F34547" s="4" t="s">
        <v>13</v>
      </c>
      <c r="G34547" s="4" t="s">
        <v>13</v>
      </c>
      <c r="H34547" s="4" t="s">
        <v>13</v>
      </c>
    </row>
    <row r="34548" spans="1:8">
      <c r="A34548" t="n">
        <v>337267</v>
      </c>
      <c r="B34548" s="42" t="n">
        <v>48</v>
      </c>
      <c r="C34548" s="7" t="n">
        <v>2</v>
      </c>
      <c r="D34548" s="7" t="n">
        <v>0</v>
      </c>
      <c r="E34548" s="7" t="s">
        <v>923</v>
      </c>
      <c r="F34548" s="7" t="n">
        <v>-1</v>
      </c>
      <c r="G34548" s="7" t="n">
        <v>1</v>
      </c>
      <c r="H34548" s="7" t="n">
        <v>0</v>
      </c>
    </row>
    <row r="34549" spans="1:8">
      <c r="A34549" t="s">
        <v>4</v>
      </c>
      <c r="B34549" s="4" t="s">
        <v>5</v>
      </c>
      <c r="C34549" s="4" t="s">
        <v>11</v>
      </c>
    </row>
    <row r="34550" spans="1:8">
      <c r="A34550" t="n">
        <v>337293</v>
      </c>
      <c r="B34550" s="29" t="n">
        <v>16</v>
      </c>
      <c r="C34550" s="7" t="n">
        <v>500</v>
      </c>
    </row>
    <row r="34551" spans="1:8">
      <c r="A34551" t="s">
        <v>4</v>
      </c>
      <c r="B34551" s="4" t="s">
        <v>5</v>
      </c>
      <c r="C34551" s="4" t="s">
        <v>7</v>
      </c>
      <c r="D34551" s="4" t="s">
        <v>11</v>
      </c>
      <c r="E34551" s="4" t="s">
        <v>13</v>
      </c>
      <c r="F34551" s="4" t="s">
        <v>11</v>
      </c>
      <c r="G34551" s="4" t="s">
        <v>15</v>
      </c>
      <c r="H34551" s="4" t="s">
        <v>15</v>
      </c>
      <c r="I34551" s="4" t="s">
        <v>11</v>
      </c>
      <c r="J34551" s="4" t="s">
        <v>11</v>
      </c>
      <c r="K34551" s="4" t="s">
        <v>15</v>
      </c>
      <c r="L34551" s="4" t="s">
        <v>15</v>
      </c>
      <c r="M34551" s="4" t="s">
        <v>15</v>
      </c>
      <c r="N34551" s="4" t="s">
        <v>15</v>
      </c>
      <c r="O34551" s="4" t="s">
        <v>8</v>
      </c>
    </row>
    <row r="34552" spans="1:8">
      <c r="A34552" t="n">
        <v>337296</v>
      </c>
      <c r="B34552" s="57" t="n">
        <v>50</v>
      </c>
      <c r="C34552" s="7" t="n">
        <v>0</v>
      </c>
      <c r="D34552" s="7" t="n">
        <v>2000</v>
      </c>
      <c r="E34552" s="7" t="n">
        <v>0.400000005960464</v>
      </c>
      <c r="F34552" s="7" t="n">
        <v>200</v>
      </c>
      <c r="G34552" s="7" t="n">
        <v>0</v>
      </c>
      <c r="H34552" s="7" t="n">
        <v>0</v>
      </c>
      <c r="I34552" s="7" t="n">
        <v>0</v>
      </c>
      <c r="J34552" s="7" t="n">
        <v>65533</v>
      </c>
      <c r="K34552" s="7" t="n">
        <v>0</v>
      </c>
      <c r="L34552" s="7" t="n">
        <v>0</v>
      </c>
      <c r="M34552" s="7" t="n">
        <v>0</v>
      </c>
      <c r="N34552" s="7" t="n">
        <v>0</v>
      </c>
      <c r="O34552" s="7" t="s">
        <v>16</v>
      </c>
    </row>
    <row r="34553" spans="1:8">
      <c r="A34553" t="s">
        <v>4</v>
      </c>
      <c r="B34553" s="4" t="s">
        <v>5</v>
      </c>
      <c r="C34553" s="4" t="s">
        <v>11</v>
      </c>
      <c r="D34553" s="4" t="s">
        <v>15</v>
      </c>
      <c r="E34553" s="4" t="s">
        <v>7</v>
      </c>
    </row>
    <row r="34554" spans="1:8">
      <c r="A34554" t="n">
        <v>337335</v>
      </c>
      <c r="B34554" s="78" t="n">
        <v>35</v>
      </c>
      <c r="C34554" s="7" t="n">
        <v>0</v>
      </c>
      <c r="D34554" s="7" t="n">
        <v>0</v>
      </c>
      <c r="E34554" s="7" t="n">
        <v>0</v>
      </c>
    </row>
    <row r="34555" spans="1:8">
      <c r="A34555" t="s">
        <v>4</v>
      </c>
      <c r="B34555" s="4" t="s">
        <v>5</v>
      </c>
      <c r="C34555" s="4" t="s">
        <v>11</v>
      </c>
      <c r="D34555" s="4" t="s">
        <v>15</v>
      </c>
      <c r="E34555" s="4" t="s">
        <v>7</v>
      </c>
    </row>
    <row r="34556" spans="1:8">
      <c r="A34556" t="n">
        <v>337343</v>
      </c>
      <c r="B34556" s="78" t="n">
        <v>35</v>
      </c>
      <c r="C34556" s="7" t="n">
        <v>2</v>
      </c>
      <c r="D34556" s="7" t="n">
        <v>0</v>
      </c>
      <c r="E34556" s="7" t="n">
        <v>0</v>
      </c>
    </row>
    <row r="34557" spans="1:8">
      <c r="A34557" t="s">
        <v>4</v>
      </c>
      <c r="B34557" s="4" t="s">
        <v>5</v>
      </c>
      <c r="C34557" s="4" t="s">
        <v>7</v>
      </c>
      <c r="D34557" s="4" t="s">
        <v>11</v>
      </c>
    </row>
    <row r="34558" spans="1:8">
      <c r="A34558" t="n">
        <v>337351</v>
      </c>
      <c r="B34558" s="51" t="n">
        <v>45</v>
      </c>
      <c r="C34558" s="7" t="n">
        <v>7</v>
      </c>
      <c r="D34558" s="7" t="n">
        <v>255</v>
      </c>
    </row>
    <row r="34559" spans="1:8">
      <c r="A34559" t="s">
        <v>4</v>
      </c>
      <c r="B34559" s="4" t="s">
        <v>5</v>
      </c>
      <c r="C34559" s="4" t="s">
        <v>7</v>
      </c>
      <c r="D34559" s="4" t="s">
        <v>7</v>
      </c>
      <c r="E34559" s="4" t="s">
        <v>13</v>
      </c>
      <c r="F34559" s="4" t="s">
        <v>13</v>
      </c>
      <c r="G34559" s="4" t="s">
        <v>13</v>
      </c>
      <c r="H34559" s="4" t="s">
        <v>11</v>
      </c>
      <c r="I34559" s="4" t="s">
        <v>7</v>
      </c>
    </row>
    <row r="34560" spans="1:8">
      <c r="A34560" t="n">
        <v>337355</v>
      </c>
      <c r="B34560" s="51" t="n">
        <v>45</v>
      </c>
      <c r="C34560" s="7" t="n">
        <v>4</v>
      </c>
      <c r="D34560" s="7" t="n">
        <v>3</v>
      </c>
      <c r="E34560" s="7" t="n">
        <v>15.9799995422363</v>
      </c>
      <c r="F34560" s="7" t="n">
        <v>42.2799987792969</v>
      </c>
      <c r="G34560" s="7" t="n">
        <v>354</v>
      </c>
      <c r="H34560" s="7" t="n">
        <v>30000</v>
      </c>
      <c r="I34560" s="7" t="n">
        <v>1</v>
      </c>
    </row>
    <row r="34561" spans="1:15">
      <c r="A34561" t="s">
        <v>4</v>
      </c>
      <c r="B34561" s="4" t="s">
        <v>5</v>
      </c>
      <c r="C34561" s="4" t="s">
        <v>11</v>
      </c>
    </row>
    <row r="34562" spans="1:15">
      <c r="A34562" t="n">
        <v>337373</v>
      </c>
      <c r="B34562" s="29" t="n">
        <v>16</v>
      </c>
      <c r="C34562" s="7" t="n">
        <v>500</v>
      </c>
    </row>
    <row r="34563" spans="1:15">
      <c r="A34563" t="s">
        <v>4</v>
      </c>
      <c r="B34563" s="4" t="s">
        <v>5</v>
      </c>
      <c r="C34563" s="4" t="s">
        <v>7</v>
      </c>
      <c r="D34563" s="4" t="s">
        <v>11</v>
      </c>
      <c r="E34563" s="4" t="s">
        <v>8</v>
      </c>
    </row>
    <row r="34564" spans="1:15">
      <c r="A34564" t="n">
        <v>337376</v>
      </c>
      <c r="B34564" s="38" t="n">
        <v>51</v>
      </c>
      <c r="C34564" s="7" t="n">
        <v>4</v>
      </c>
      <c r="D34564" s="7" t="n">
        <v>2</v>
      </c>
      <c r="E34564" s="7" t="s">
        <v>242</v>
      </c>
    </row>
    <row r="34565" spans="1:15">
      <c r="A34565" t="s">
        <v>4</v>
      </c>
      <c r="B34565" s="4" t="s">
        <v>5</v>
      </c>
      <c r="C34565" s="4" t="s">
        <v>11</v>
      </c>
    </row>
    <row r="34566" spans="1:15">
      <c r="A34566" t="n">
        <v>337390</v>
      </c>
      <c r="B34566" s="29" t="n">
        <v>16</v>
      </c>
      <c r="C34566" s="7" t="n">
        <v>0</v>
      </c>
    </row>
    <row r="34567" spans="1:15">
      <c r="A34567" t="s">
        <v>4</v>
      </c>
      <c r="B34567" s="4" t="s">
        <v>5</v>
      </c>
      <c r="C34567" s="4" t="s">
        <v>11</v>
      </c>
      <c r="D34567" s="4" t="s">
        <v>7</v>
      </c>
      <c r="E34567" s="4" t="s">
        <v>15</v>
      </c>
      <c r="F34567" s="4" t="s">
        <v>55</v>
      </c>
      <c r="G34567" s="4" t="s">
        <v>7</v>
      </c>
      <c r="H34567" s="4" t="s">
        <v>7</v>
      </c>
    </row>
    <row r="34568" spans="1:15">
      <c r="A34568" t="n">
        <v>337393</v>
      </c>
      <c r="B34568" s="55" t="n">
        <v>26</v>
      </c>
      <c r="C34568" s="7" t="n">
        <v>2</v>
      </c>
      <c r="D34568" s="7" t="n">
        <v>17</v>
      </c>
      <c r="E34568" s="7" t="n">
        <v>6820</v>
      </c>
      <c r="F34568" s="7" t="s">
        <v>979</v>
      </c>
      <c r="G34568" s="7" t="n">
        <v>2</v>
      </c>
      <c r="H34568" s="7" t="n">
        <v>0</v>
      </c>
    </row>
    <row r="34569" spans="1:15">
      <c r="A34569" t="s">
        <v>4</v>
      </c>
      <c r="B34569" s="4" t="s">
        <v>5</v>
      </c>
    </row>
    <row r="34570" spans="1:15">
      <c r="A34570" t="n">
        <v>337427</v>
      </c>
      <c r="B34570" s="27" t="n">
        <v>28</v>
      </c>
    </row>
    <row r="34571" spans="1:15">
      <c r="A34571" t="s">
        <v>4</v>
      </c>
      <c r="B34571" s="4" t="s">
        <v>5</v>
      </c>
      <c r="C34571" s="4" t="s">
        <v>11</v>
      </c>
      <c r="D34571" s="4" t="s">
        <v>13</v>
      </c>
      <c r="E34571" s="4" t="s">
        <v>13</v>
      </c>
      <c r="F34571" s="4" t="s">
        <v>13</v>
      </c>
      <c r="G34571" s="4" t="s">
        <v>11</v>
      </c>
      <c r="H34571" s="4" t="s">
        <v>11</v>
      </c>
    </row>
    <row r="34572" spans="1:15">
      <c r="A34572" t="n">
        <v>337428</v>
      </c>
      <c r="B34572" s="37" t="n">
        <v>60</v>
      </c>
      <c r="C34572" s="7" t="n">
        <v>2</v>
      </c>
      <c r="D34572" s="7" t="n">
        <v>0</v>
      </c>
      <c r="E34572" s="7" t="n">
        <v>3</v>
      </c>
      <c r="F34572" s="7" t="n">
        <v>0</v>
      </c>
      <c r="G34572" s="7" t="n">
        <v>1000</v>
      </c>
      <c r="H34572" s="7" t="n">
        <v>0</v>
      </c>
    </row>
    <row r="34573" spans="1:15">
      <c r="A34573" t="s">
        <v>4</v>
      </c>
      <c r="B34573" s="4" t="s">
        <v>5</v>
      </c>
      <c r="C34573" s="4" t="s">
        <v>11</v>
      </c>
    </row>
    <row r="34574" spans="1:15">
      <c r="A34574" t="n">
        <v>337447</v>
      </c>
      <c r="B34574" s="29" t="n">
        <v>16</v>
      </c>
      <c r="C34574" s="7" t="n">
        <v>500</v>
      </c>
    </row>
    <row r="34575" spans="1:15">
      <c r="A34575" t="s">
        <v>4</v>
      </c>
      <c r="B34575" s="4" t="s">
        <v>5</v>
      </c>
      <c r="C34575" s="4" t="s">
        <v>7</v>
      </c>
      <c r="D34575" s="4" t="s">
        <v>11</v>
      </c>
      <c r="E34575" s="4" t="s">
        <v>8</v>
      </c>
    </row>
    <row r="34576" spans="1:15">
      <c r="A34576" t="n">
        <v>337450</v>
      </c>
      <c r="B34576" s="38" t="n">
        <v>51</v>
      </c>
      <c r="C34576" s="7" t="n">
        <v>4</v>
      </c>
      <c r="D34576" s="7" t="n">
        <v>2</v>
      </c>
      <c r="E34576" s="7" t="s">
        <v>977</v>
      </c>
    </row>
    <row r="34577" spans="1:8">
      <c r="A34577" t="s">
        <v>4</v>
      </c>
      <c r="B34577" s="4" t="s">
        <v>5</v>
      </c>
      <c r="C34577" s="4" t="s">
        <v>11</v>
      </c>
    </row>
    <row r="34578" spans="1:8">
      <c r="A34578" t="n">
        <v>337463</v>
      </c>
      <c r="B34578" s="29" t="n">
        <v>16</v>
      </c>
      <c r="C34578" s="7" t="n">
        <v>0</v>
      </c>
    </row>
    <row r="34579" spans="1:8">
      <c r="A34579" t="s">
        <v>4</v>
      </c>
      <c r="B34579" s="4" t="s">
        <v>5</v>
      </c>
      <c r="C34579" s="4" t="s">
        <v>11</v>
      </c>
      <c r="D34579" s="4" t="s">
        <v>7</v>
      </c>
      <c r="E34579" s="4" t="s">
        <v>15</v>
      </c>
      <c r="F34579" s="4" t="s">
        <v>55</v>
      </c>
      <c r="G34579" s="4" t="s">
        <v>7</v>
      </c>
      <c r="H34579" s="4" t="s">
        <v>7</v>
      </c>
    </row>
    <row r="34580" spans="1:8">
      <c r="A34580" t="n">
        <v>337466</v>
      </c>
      <c r="B34580" s="55" t="n">
        <v>26</v>
      </c>
      <c r="C34580" s="7" t="n">
        <v>2</v>
      </c>
      <c r="D34580" s="7" t="n">
        <v>17</v>
      </c>
      <c r="E34580" s="7" t="n">
        <v>6821</v>
      </c>
      <c r="F34580" s="7" t="s">
        <v>980</v>
      </c>
      <c r="G34580" s="7" t="n">
        <v>2</v>
      </c>
      <c r="H34580" s="7" t="n">
        <v>0</v>
      </c>
    </row>
    <row r="34581" spans="1:8">
      <c r="A34581" t="s">
        <v>4</v>
      </c>
      <c r="B34581" s="4" t="s">
        <v>5</v>
      </c>
    </row>
    <row r="34582" spans="1:8">
      <c r="A34582" t="n">
        <v>337562</v>
      </c>
      <c r="B34582" s="27" t="n">
        <v>28</v>
      </c>
    </row>
    <row r="34583" spans="1:8">
      <c r="A34583" t="s">
        <v>4</v>
      </c>
      <c r="B34583" s="4" t="s">
        <v>5</v>
      </c>
      <c r="C34583" s="4" t="s">
        <v>7</v>
      </c>
      <c r="D34583" s="4" t="s">
        <v>11</v>
      </c>
      <c r="E34583" s="4" t="s">
        <v>8</v>
      </c>
    </row>
    <row r="34584" spans="1:8">
      <c r="A34584" t="n">
        <v>337563</v>
      </c>
      <c r="B34584" s="38" t="n">
        <v>51</v>
      </c>
      <c r="C34584" s="7" t="n">
        <v>4</v>
      </c>
      <c r="D34584" s="7" t="n">
        <v>0</v>
      </c>
      <c r="E34584" s="7" t="s">
        <v>179</v>
      </c>
    </row>
    <row r="34585" spans="1:8">
      <c r="A34585" t="s">
        <v>4</v>
      </c>
      <c r="B34585" s="4" t="s">
        <v>5</v>
      </c>
      <c r="C34585" s="4" t="s">
        <v>11</v>
      </c>
    </row>
    <row r="34586" spans="1:8">
      <c r="A34586" t="n">
        <v>337577</v>
      </c>
      <c r="B34586" s="29" t="n">
        <v>16</v>
      </c>
      <c r="C34586" s="7" t="n">
        <v>0</v>
      </c>
    </row>
    <row r="34587" spans="1:8">
      <c r="A34587" t="s">
        <v>4</v>
      </c>
      <c r="B34587" s="4" t="s">
        <v>5</v>
      </c>
      <c r="C34587" s="4" t="s">
        <v>11</v>
      </c>
      <c r="D34587" s="4" t="s">
        <v>7</v>
      </c>
      <c r="E34587" s="4" t="s">
        <v>15</v>
      </c>
      <c r="F34587" s="4" t="s">
        <v>55</v>
      </c>
      <c r="G34587" s="4" t="s">
        <v>7</v>
      </c>
      <c r="H34587" s="4" t="s">
        <v>7</v>
      </c>
      <c r="I34587" s="4" t="s">
        <v>7</v>
      </c>
      <c r="J34587" s="4" t="s">
        <v>15</v>
      </c>
      <c r="K34587" s="4" t="s">
        <v>55</v>
      </c>
      <c r="L34587" s="4" t="s">
        <v>7</v>
      </c>
      <c r="M34587" s="4" t="s">
        <v>7</v>
      </c>
    </row>
    <row r="34588" spans="1:8">
      <c r="A34588" t="n">
        <v>337580</v>
      </c>
      <c r="B34588" s="55" t="n">
        <v>26</v>
      </c>
      <c r="C34588" s="7" t="n">
        <v>0</v>
      </c>
      <c r="D34588" s="7" t="n">
        <v>17</v>
      </c>
      <c r="E34588" s="7" t="n">
        <v>64129</v>
      </c>
      <c r="F34588" s="7" t="s">
        <v>981</v>
      </c>
      <c r="G34588" s="7" t="n">
        <v>2</v>
      </c>
      <c r="H34588" s="7" t="n">
        <v>3</v>
      </c>
      <c r="I34588" s="7" t="n">
        <v>17</v>
      </c>
      <c r="J34588" s="7" t="n">
        <v>64130</v>
      </c>
      <c r="K34588" s="7" t="s">
        <v>982</v>
      </c>
      <c r="L34588" s="7" t="n">
        <v>2</v>
      </c>
      <c r="M34588" s="7" t="n">
        <v>0</v>
      </c>
    </row>
    <row r="34589" spans="1:8">
      <c r="A34589" t="s">
        <v>4</v>
      </c>
      <c r="B34589" s="4" t="s">
        <v>5</v>
      </c>
    </row>
    <row r="34590" spans="1:8">
      <c r="A34590" t="n">
        <v>337655</v>
      </c>
      <c r="B34590" s="27" t="n">
        <v>28</v>
      </c>
    </row>
    <row r="34591" spans="1:8">
      <c r="A34591" t="s">
        <v>4</v>
      </c>
      <c r="B34591" s="4" t="s">
        <v>5</v>
      </c>
      <c r="C34591" s="4" t="s">
        <v>11</v>
      </c>
      <c r="D34591" s="4" t="s">
        <v>7</v>
      </c>
    </row>
    <row r="34592" spans="1:8">
      <c r="A34592" t="n">
        <v>337656</v>
      </c>
      <c r="B34592" s="68" t="n">
        <v>89</v>
      </c>
      <c r="C34592" s="7" t="n">
        <v>65533</v>
      </c>
      <c r="D34592" s="7" t="n">
        <v>1</v>
      </c>
    </row>
    <row r="34593" spans="1:13">
      <c r="A34593" t="s">
        <v>4</v>
      </c>
      <c r="B34593" s="4" t="s">
        <v>5</v>
      </c>
      <c r="C34593" s="4" t="s">
        <v>11</v>
      </c>
    </row>
    <row r="34594" spans="1:13">
      <c r="A34594" t="n">
        <v>337660</v>
      </c>
      <c r="B34594" s="29" t="n">
        <v>16</v>
      </c>
      <c r="C34594" s="7" t="n">
        <v>1000</v>
      </c>
    </row>
    <row r="34595" spans="1:13">
      <c r="A34595" t="s">
        <v>4</v>
      </c>
      <c r="B34595" s="4" t="s">
        <v>5</v>
      </c>
      <c r="C34595" s="4" t="s">
        <v>7</v>
      </c>
      <c r="D34595" s="4" t="s">
        <v>13</v>
      </c>
      <c r="E34595" s="4" t="s">
        <v>11</v>
      </c>
      <c r="F34595" s="4" t="s">
        <v>7</v>
      </c>
    </row>
    <row r="34596" spans="1:13">
      <c r="A34596" t="n">
        <v>337663</v>
      </c>
      <c r="B34596" s="13" t="n">
        <v>49</v>
      </c>
      <c r="C34596" s="7" t="n">
        <v>3</v>
      </c>
      <c r="D34596" s="7" t="n">
        <v>1</v>
      </c>
      <c r="E34596" s="7" t="n">
        <v>1000</v>
      </c>
      <c r="F34596" s="7" t="n">
        <v>0</v>
      </c>
    </row>
    <row r="34597" spans="1:13">
      <c r="A34597" t="s">
        <v>4</v>
      </c>
      <c r="B34597" s="4" t="s">
        <v>5</v>
      </c>
      <c r="C34597" s="4" t="s">
        <v>7</v>
      </c>
      <c r="D34597" s="4" t="s">
        <v>11</v>
      </c>
      <c r="E34597" s="4" t="s">
        <v>13</v>
      </c>
    </row>
    <row r="34598" spans="1:13">
      <c r="A34598" t="n">
        <v>337672</v>
      </c>
      <c r="B34598" s="23" t="n">
        <v>58</v>
      </c>
      <c r="C34598" s="7" t="n">
        <v>101</v>
      </c>
      <c r="D34598" s="7" t="n">
        <v>1000</v>
      </c>
      <c r="E34598" s="7" t="n">
        <v>1</v>
      </c>
    </row>
    <row r="34599" spans="1:13">
      <c r="A34599" t="s">
        <v>4</v>
      </c>
      <c r="B34599" s="4" t="s">
        <v>5</v>
      </c>
      <c r="C34599" s="4" t="s">
        <v>7</v>
      </c>
      <c r="D34599" s="4" t="s">
        <v>11</v>
      </c>
    </row>
    <row r="34600" spans="1:13">
      <c r="A34600" t="n">
        <v>337680</v>
      </c>
      <c r="B34600" s="23" t="n">
        <v>58</v>
      </c>
      <c r="C34600" s="7" t="n">
        <v>254</v>
      </c>
      <c r="D34600" s="7" t="n">
        <v>0</v>
      </c>
    </row>
    <row r="34601" spans="1:13">
      <c r="A34601" t="s">
        <v>4</v>
      </c>
      <c r="B34601" s="4" t="s">
        <v>5</v>
      </c>
      <c r="C34601" s="4" t="s">
        <v>7</v>
      </c>
    </row>
    <row r="34602" spans="1:13">
      <c r="A34602" t="n">
        <v>337684</v>
      </c>
      <c r="B34602" s="49" t="n">
        <v>116</v>
      </c>
      <c r="C34602" s="7" t="n">
        <v>0</v>
      </c>
    </row>
    <row r="34603" spans="1:13">
      <c r="A34603" t="s">
        <v>4</v>
      </c>
      <c r="B34603" s="4" t="s">
        <v>5</v>
      </c>
      <c r="C34603" s="4" t="s">
        <v>7</v>
      </c>
      <c r="D34603" s="4" t="s">
        <v>11</v>
      </c>
    </row>
    <row r="34604" spans="1:13">
      <c r="A34604" t="n">
        <v>337686</v>
      </c>
      <c r="B34604" s="49" t="n">
        <v>116</v>
      </c>
      <c r="C34604" s="7" t="n">
        <v>2</v>
      </c>
      <c r="D34604" s="7" t="n">
        <v>1</v>
      </c>
    </row>
    <row r="34605" spans="1:13">
      <c r="A34605" t="s">
        <v>4</v>
      </c>
      <c r="B34605" s="4" t="s">
        <v>5</v>
      </c>
      <c r="C34605" s="4" t="s">
        <v>7</v>
      </c>
      <c r="D34605" s="4" t="s">
        <v>15</v>
      </c>
    </row>
    <row r="34606" spans="1:13">
      <c r="A34606" t="n">
        <v>337690</v>
      </c>
      <c r="B34606" s="49" t="n">
        <v>116</v>
      </c>
      <c r="C34606" s="7" t="n">
        <v>5</v>
      </c>
      <c r="D34606" s="7" t="n">
        <v>1092616192</v>
      </c>
    </row>
    <row r="34607" spans="1:13">
      <c r="A34607" t="s">
        <v>4</v>
      </c>
      <c r="B34607" s="4" t="s">
        <v>5</v>
      </c>
      <c r="C34607" s="4" t="s">
        <v>7</v>
      </c>
      <c r="D34607" s="4" t="s">
        <v>11</v>
      </c>
    </row>
    <row r="34608" spans="1:13">
      <c r="A34608" t="n">
        <v>337696</v>
      </c>
      <c r="B34608" s="49" t="n">
        <v>116</v>
      </c>
      <c r="C34608" s="7" t="n">
        <v>6</v>
      </c>
      <c r="D34608" s="7" t="n">
        <v>1</v>
      </c>
    </row>
    <row r="34609" spans="1:6">
      <c r="A34609" t="s">
        <v>4</v>
      </c>
      <c r="B34609" s="4" t="s">
        <v>5</v>
      </c>
      <c r="C34609" s="4" t="s">
        <v>7</v>
      </c>
      <c r="D34609" s="4" t="s">
        <v>7</v>
      </c>
      <c r="E34609" s="4" t="s">
        <v>13</v>
      </c>
      <c r="F34609" s="4" t="s">
        <v>13</v>
      </c>
      <c r="G34609" s="4" t="s">
        <v>13</v>
      </c>
      <c r="H34609" s="4" t="s">
        <v>11</v>
      </c>
    </row>
    <row r="34610" spans="1:6">
      <c r="A34610" t="n">
        <v>337700</v>
      </c>
      <c r="B34610" s="51" t="n">
        <v>45</v>
      </c>
      <c r="C34610" s="7" t="n">
        <v>2</v>
      </c>
      <c r="D34610" s="7" t="n">
        <v>3</v>
      </c>
      <c r="E34610" s="7" t="n">
        <v>-6.67000007629395</v>
      </c>
      <c r="F34610" s="7" t="n">
        <v>6.42000007629395</v>
      </c>
      <c r="G34610" s="7" t="n">
        <v>29.8899993896484</v>
      </c>
      <c r="H34610" s="7" t="n">
        <v>0</v>
      </c>
    </row>
    <row r="34611" spans="1:6">
      <c r="A34611" t="s">
        <v>4</v>
      </c>
      <c r="B34611" s="4" t="s">
        <v>5</v>
      </c>
      <c r="C34611" s="4" t="s">
        <v>7</v>
      </c>
      <c r="D34611" s="4" t="s">
        <v>7</v>
      </c>
      <c r="E34611" s="4" t="s">
        <v>13</v>
      </c>
      <c r="F34611" s="4" t="s">
        <v>13</v>
      </c>
      <c r="G34611" s="4" t="s">
        <v>13</v>
      </c>
      <c r="H34611" s="4" t="s">
        <v>11</v>
      </c>
      <c r="I34611" s="4" t="s">
        <v>7</v>
      </c>
    </row>
    <row r="34612" spans="1:6">
      <c r="A34612" t="n">
        <v>337717</v>
      </c>
      <c r="B34612" s="51" t="n">
        <v>45</v>
      </c>
      <c r="C34612" s="7" t="n">
        <v>4</v>
      </c>
      <c r="D34612" s="7" t="n">
        <v>3</v>
      </c>
      <c r="E34612" s="7" t="n">
        <v>15.4700002670288</v>
      </c>
      <c r="F34612" s="7" t="n">
        <v>56.1100006103516</v>
      </c>
      <c r="G34612" s="7" t="n">
        <v>354</v>
      </c>
      <c r="H34612" s="7" t="n">
        <v>0</v>
      </c>
      <c r="I34612" s="7" t="n">
        <v>0</v>
      </c>
    </row>
    <row r="34613" spans="1:6">
      <c r="A34613" t="s">
        <v>4</v>
      </c>
      <c r="B34613" s="4" t="s">
        <v>5</v>
      </c>
      <c r="C34613" s="4" t="s">
        <v>7</v>
      </c>
      <c r="D34613" s="4" t="s">
        <v>7</v>
      </c>
      <c r="E34613" s="4" t="s">
        <v>13</v>
      </c>
      <c r="F34613" s="4" t="s">
        <v>11</v>
      </c>
    </row>
    <row r="34614" spans="1:6">
      <c r="A34614" t="n">
        <v>337735</v>
      </c>
      <c r="B34614" s="51" t="n">
        <v>45</v>
      </c>
      <c r="C34614" s="7" t="n">
        <v>5</v>
      </c>
      <c r="D34614" s="7" t="n">
        <v>3</v>
      </c>
      <c r="E34614" s="7" t="n">
        <v>1.5</v>
      </c>
      <c r="F34614" s="7" t="n">
        <v>0</v>
      </c>
    </row>
    <row r="34615" spans="1:6">
      <c r="A34615" t="s">
        <v>4</v>
      </c>
      <c r="B34615" s="4" t="s">
        <v>5</v>
      </c>
      <c r="C34615" s="4" t="s">
        <v>7</v>
      </c>
      <c r="D34615" s="4" t="s">
        <v>7</v>
      </c>
      <c r="E34615" s="4" t="s">
        <v>13</v>
      </c>
      <c r="F34615" s="4" t="s">
        <v>11</v>
      </c>
    </row>
    <row r="34616" spans="1:6">
      <c r="A34616" t="n">
        <v>337744</v>
      </c>
      <c r="B34616" s="51" t="n">
        <v>45</v>
      </c>
      <c r="C34616" s="7" t="n">
        <v>11</v>
      </c>
      <c r="D34616" s="7" t="n">
        <v>3</v>
      </c>
      <c r="E34616" s="7" t="n">
        <v>40.2999992370605</v>
      </c>
      <c r="F34616" s="7" t="n">
        <v>0</v>
      </c>
    </row>
    <row r="34617" spans="1:6">
      <c r="A34617" t="s">
        <v>4</v>
      </c>
      <c r="B34617" s="4" t="s">
        <v>5</v>
      </c>
      <c r="C34617" s="4" t="s">
        <v>7</v>
      </c>
      <c r="D34617" s="4" t="s">
        <v>7</v>
      </c>
      <c r="E34617" s="4" t="s">
        <v>13</v>
      </c>
      <c r="F34617" s="4" t="s">
        <v>13</v>
      </c>
      <c r="G34617" s="4" t="s">
        <v>13</v>
      </c>
      <c r="H34617" s="4" t="s">
        <v>11</v>
      </c>
    </row>
    <row r="34618" spans="1:6">
      <c r="A34618" t="n">
        <v>337753</v>
      </c>
      <c r="B34618" s="51" t="n">
        <v>45</v>
      </c>
      <c r="C34618" s="7" t="n">
        <v>2</v>
      </c>
      <c r="D34618" s="7" t="n">
        <v>3</v>
      </c>
      <c r="E34618" s="7" t="n">
        <v>-6.34000015258789</v>
      </c>
      <c r="F34618" s="7" t="n">
        <v>6.59000015258789</v>
      </c>
      <c r="G34618" s="7" t="n">
        <v>28.8899993896484</v>
      </c>
      <c r="H34618" s="7" t="n">
        <v>6000</v>
      </c>
    </row>
    <row r="34619" spans="1:6">
      <c r="A34619" t="s">
        <v>4</v>
      </c>
      <c r="B34619" s="4" t="s">
        <v>5</v>
      </c>
      <c r="C34619" s="4" t="s">
        <v>7</v>
      </c>
      <c r="D34619" s="4" t="s">
        <v>7</v>
      </c>
      <c r="E34619" s="4" t="s">
        <v>13</v>
      </c>
      <c r="F34619" s="4" t="s">
        <v>13</v>
      </c>
      <c r="G34619" s="4" t="s">
        <v>13</v>
      </c>
      <c r="H34619" s="4" t="s">
        <v>11</v>
      </c>
      <c r="I34619" s="4" t="s">
        <v>7</v>
      </c>
    </row>
    <row r="34620" spans="1:6">
      <c r="A34620" t="n">
        <v>337770</v>
      </c>
      <c r="B34620" s="51" t="n">
        <v>45</v>
      </c>
      <c r="C34620" s="7" t="n">
        <v>4</v>
      </c>
      <c r="D34620" s="7" t="n">
        <v>3</v>
      </c>
      <c r="E34620" s="7" t="n">
        <v>10.7700004577637</v>
      </c>
      <c r="F34620" s="7" t="n">
        <v>43.6100006103516</v>
      </c>
      <c r="G34620" s="7" t="n">
        <v>360</v>
      </c>
      <c r="H34620" s="7" t="n">
        <v>6000</v>
      </c>
      <c r="I34620" s="7" t="n">
        <v>1</v>
      </c>
    </row>
    <row r="34621" spans="1:6">
      <c r="A34621" t="s">
        <v>4</v>
      </c>
      <c r="B34621" s="4" t="s">
        <v>5</v>
      </c>
      <c r="C34621" s="4" t="s">
        <v>7</v>
      </c>
      <c r="D34621" s="4" t="s">
        <v>11</v>
      </c>
    </row>
    <row r="34622" spans="1:6">
      <c r="A34622" t="n">
        <v>337788</v>
      </c>
      <c r="B34622" s="23" t="n">
        <v>58</v>
      </c>
      <c r="C34622" s="7" t="n">
        <v>255</v>
      </c>
      <c r="D34622" s="7" t="n">
        <v>0</v>
      </c>
    </row>
    <row r="34623" spans="1:6">
      <c r="A34623" t="s">
        <v>4</v>
      </c>
      <c r="B34623" s="4" t="s">
        <v>5</v>
      </c>
      <c r="C34623" s="4" t="s">
        <v>7</v>
      </c>
      <c r="D34623" s="4" t="s">
        <v>11</v>
      </c>
    </row>
    <row r="34624" spans="1:6">
      <c r="A34624" t="n">
        <v>337792</v>
      </c>
      <c r="B34624" s="51" t="n">
        <v>45</v>
      </c>
      <c r="C34624" s="7" t="n">
        <v>7</v>
      </c>
      <c r="D34624" s="7" t="n">
        <v>255</v>
      </c>
    </row>
    <row r="34625" spans="1:9">
      <c r="A34625" t="s">
        <v>4</v>
      </c>
      <c r="B34625" s="4" t="s">
        <v>5</v>
      </c>
      <c r="C34625" s="4" t="s">
        <v>7</v>
      </c>
      <c r="D34625" s="4" t="s">
        <v>11</v>
      </c>
      <c r="E34625" s="4" t="s">
        <v>13</v>
      </c>
    </row>
    <row r="34626" spans="1:9">
      <c r="A34626" t="n">
        <v>337796</v>
      </c>
      <c r="B34626" s="23" t="n">
        <v>58</v>
      </c>
      <c r="C34626" s="7" t="n">
        <v>0</v>
      </c>
      <c r="D34626" s="7" t="n">
        <v>2000</v>
      </c>
      <c r="E34626" s="7" t="n">
        <v>1</v>
      </c>
    </row>
    <row r="34627" spans="1:9">
      <c r="A34627" t="s">
        <v>4</v>
      </c>
      <c r="B34627" s="4" t="s">
        <v>5</v>
      </c>
      <c r="C34627" s="4" t="s">
        <v>7</v>
      </c>
      <c r="D34627" s="4" t="s">
        <v>11</v>
      </c>
    </row>
    <row r="34628" spans="1:9">
      <c r="A34628" t="n">
        <v>337804</v>
      </c>
      <c r="B34628" s="23" t="n">
        <v>58</v>
      </c>
      <c r="C34628" s="7" t="n">
        <v>255</v>
      </c>
      <c r="D34628" s="7" t="n">
        <v>0</v>
      </c>
    </row>
    <row r="34629" spans="1:9">
      <c r="A34629" t="s">
        <v>4</v>
      </c>
      <c r="B34629" s="4" t="s">
        <v>5</v>
      </c>
      <c r="C34629" s="4" t="s">
        <v>7</v>
      </c>
      <c r="D34629" s="4" t="s">
        <v>11</v>
      </c>
      <c r="E34629" s="4" t="s">
        <v>11</v>
      </c>
      <c r="F34629" s="4" t="s">
        <v>15</v>
      </c>
    </row>
    <row r="34630" spans="1:9">
      <c r="A34630" t="n">
        <v>337808</v>
      </c>
      <c r="B34630" s="76" t="n">
        <v>84</v>
      </c>
      <c r="C34630" s="7" t="n">
        <v>1</v>
      </c>
      <c r="D34630" s="7" t="n">
        <v>0</v>
      </c>
      <c r="E34630" s="7" t="n">
        <v>0</v>
      </c>
      <c r="F34630" s="7" t="n">
        <v>0</v>
      </c>
    </row>
    <row r="34631" spans="1:9">
      <c r="A34631" t="s">
        <v>4</v>
      </c>
      <c r="B34631" s="4" t="s">
        <v>5</v>
      </c>
      <c r="C34631" s="4" t="s">
        <v>7</v>
      </c>
    </row>
    <row r="34632" spans="1:9">
      <c r="A34632" t="n">
        <v>337818</v>
      </c>
      <c r="B34632" s="28" t="n">
        <v>78</v>
      </c>
      <c r="C34632" s="7" t="n">
        <v>255</v>
      </c>
    </row>
    <row r="34633" spans="1:9">
      <c r="A34633" t="s">
        <v>4</v>
      </c>
      <c r="B34633" s="4" t="s">
        <v>5</v>
      </c>
      <c r="C34633" s="4" t="s">
        <v>7</v>
      </c>
      <c r="D34633" s="4" t="s">
        <v>11</v>
      </c>
      <c r="E34633" s="4" t="s">
        <v>7</v>
      </c>
    </row>
    <row r="34634" spans="1:9">
      <c r="A34634" t="n">
        <v>337820</v>
      </c>
      <c r="B34634" s="40" t="n">
        <v>36</v>
      </c>
      <c r="C34634" s="7" t="n">
        <v>9</v>
      </c>
      <c r="D34634" s="7" t="n">
        <v>0</v>
      </c>
      <c r="E34634" s="7" t="n">
        <v>0</v>
      </c>
    </row>
    <row r="34635" spans="1:9">
      <c r="A34635" t="s">
        <v>4</v>
      </c>
      <c r="B34635" s="4" t="s">
        <v>5</v>
      </c>
      <c r="C34635" s="4" t="s">
        <v>7</v>
      </c>
      <c r="D34635" s="4" t="s">
        <v>11</v>
      </c>
      <c r="E34635" s="4" t="s">
        <v>7</v>
      </c>
    </row>
    <row r="34636" spans="1:9">
      <c r="A34636" t="n">
        <v>337825</v>
      </c>
      <c r="B34636" s="40" t="n">
        <v>36</v>
      </c>
      <c r="C34636" s="7" t="n">
        <v>9</v>
      </c>
      <c r="D34636" s="7" t="n">
        <v>2</v>
      </c>
      <c r="E34636" s="7" t="n">
        <v>0</v>
      </c>
    </row>
    <row r="34637" spans="1:9">
      <c r="A34637" t="s">
        <v>4</v>
      </c>
      <c r="B34637" s="4" t="s">
        <v>5</v>
      </c>
      <c r="C34637" s="4" t="s">
        <v>7</v>
      </c>
      <c r="D34637" s="4" t="s">
        <v>11</v>
      </c>
      <c r="E34637" s="4" t="s">
        <v>11</v>
      </c>
      <c r="F34637" s="4" t="s">
        <v>15</v>
      </c>
      <c r="G34637" s="4" t="s">
        <v>15</v>
      </c>
      <c r="H34637" s="4" t="s">
        <v>15</v>
      </c>
    </row>
    <row r="34638" spans="1:9">
      <c r="A34638" t="n">
        <v>337830</v>
      </c>
      <c r="B34638" s="77" t="n">
        <v>97</v>
      </c>
      <c r="C34638" s="7" t="n">
        <v>7</v>
      </c>
      <c r="D34638" s="7" t="n">
        <v>0</v>
      </c>
      <c r="E34638" s="7" t="n">
        <v>0</v>
      </c>
      <c r="F34638" s="7" t="n">
        <v>0</v>
      </c>
      <c r="G34638" s="7" t="n">
        <v>0</v>
      </c>
      <c r="H34638" s="7" t="n">
        <v>0</v>
      </c>
    </row>
    <row r="34639" spans="1:9">
      <c r="A34639" t="s">
        <v>4</v>
      </c>
      <c r="B34639" s="4" t="s">
        <v>5</v>
      </c>
      <c r="C34639" s="4" t="s">
        <v>11</v>
      </c>
      <c r="D34639" s="4" t="s">
        <v>13</v>
      </c>
      <c r="E34639" s="4" t="s">
        <v>13</v>
      </c>
      <c r="F34639" s="4" t="s">
        <v>13</v>
      </c>
      <c r="G34639" s="4" t="s">
        <v>13</v>
      </c>
    </row>
    <row r="34640" spans="1:9">
      <c r="A34640" t="n">
        <v>337848</v>
      </c>
      <c r="B34640" s="36" t="n">
        <v>46</v>
      </c>
      <c r="C34640" s="7" t="n">
        <v>61456</v>
      </c>
      <c r="D34640" s="7" t="n">
        <v>0</v>
      </c>
      <c r="E34640" s="7" t="n">
        <v>0</v>
      </c>
      <c r="F34640" s="7" t="n">
        <v>0</v>
      </c>
      <c r="G34640" s="7" t="n">
        <v>0</v>
      </c>
    </row>
    <row r="34641" spans="1:8">
      <c r="A34641" t="s">
        <v>4</v>
      </c>
      <c r="B34641" s="4" t="s">
        <v>5</v>
      </c>
      <c r="C34641" s="4" t="s">
        <v>7</v>
      </c>
      <c r="D34641" s="4" t="s">
        <v>8</v>
      </c>
    </row>
    <row r="34642" spans="1:8">
      <c r="A34642" t="n">
        <v>337867</v>
      </c>
      <c r="B34642" s="6" t="n">
        <v>2</v>
      </c>
      <c r="C34642" s="7" t="n">
        <v>10</v>
      </c>
      <c r="D34642" s="7" t="s">
        <v>1834</v>
      </c>
    </row>
    <row r="34643" spans="1:8">
      <c r="A34643" t="s">
        <v>4</v>
      </c>
      <c r="B34643" s="4" t="s">
        <v>5</v>
      </c>
    </row>
    <row r="34644" spans="1:8">
      <c r="A34644" t="n">
        <v>337888</v>
      </c>
      <c r="B34644" s="5" t="n">
        <v>1</v>
      </c>
    </row>
    <row r="34645" spans="1:8" s="3" customFormat="1" customHeight="0">
      <c r="A34645" s="3" t="s">
        <v>2</v>
      </c>
      <c r="B34645" s="3" t="s">
        <v>1850</v>
      </c>
    </row>
    <row r="34646" spans="1:8">
      <c r="A34646" t="s">
        <v>4</v>
      </c>
      <c r="B34646" s="4" t="s">
        <v>5</v>
      </c>
      <c r="C34646" s="4" t="s">
        <v>7</v>
      </c>
      <c r="D34646" s="4" t="s">
        <v>7</v>
      </c>
      <c r="E34646" s="4" t="s">
        <v>7</v>
      </c>
      <c r="F34646" s="4" t="s">
        <v>7</v>
      </c>
    </row>
    <row r="34647" spans="1:8">
      <c r="A34647" t="n">
        <v>337892</v>
      </c>
      <c r="B34647" s="9" t="n">
        <v>14</v>
      </c>
      <c r="C34647" s="7" t="n">
        <v>2</v>
      </c>
      <c r="D34647" s="7" t="n">
        <v>0</v>
      </c>
      <c r="E34647" s="7" t="n">
        <v>0</v>
      </c>
      <c r="F34647" s="7" t="n">
        <v>0</v>
      </c>
    </row>
    <row r="34648" spans="1:8">
      <c r="A34648" t="s">
        <v>4</v>
      </c>
      <c r="B34648" s="4" t="s">
        <v>5</v>
      </c>
      <c r="C34648" s="4" t="s">
        <v>7</v>
      </c>
      <c r="D34648" s="20" t="s">
        <v>35</v>
      </c>
      <c r="E34648" s="4" t="s">
        <v>5</v>
      </c>
      <c r="F34648" s="4" t="s">
        <v>7</v>
      </c>
      <c r="G34648" s="4" t="s">
        <v>11</v>
      </c>
      <c r="H34648" s="20" t="s">
        <v>36</v>
      </c>
      <c r="I34648" s="4" t="s">
        <v>7</v>
      </c>
      <c r="J34648" s="4" t="s">
        <v>15</v>
      </c>
      <c r="K34648" s="4" t="s">
        <v>7</v>
      </c>
      <c r="L34648" s="4" t="s">
        <v>7</v>
      </c>
      <c r="M34648" s="20" t="s">
        <v>35</v>
      </c>
      <c r="N34648" s="4" t="s">
        <v>5</v>
      </c>
      <c r="O34648" s="4" t="s">
        <v>7</v>
      </c>
      <c r="P34648" s="4" t="s">
        <v>11</v>
      </c>
      <c r="Q34648" s="20" t="s">
        <v>36</v>
      </c>
      <c r="R34648" s="4" t="s">
        <v>7</v>
      </c>
      <c r="S34648" s="4" t="s">
        <v>15</v>
      </c>
      <c r="T34648" s="4" t="s">
        <v>7</v>
      </c>
      <c r="U34648" s="4" t="s">
        <v>7</v>
      </c>
      <c r="V34648" s="4" t="s">
        <v>7</v>
      </c>
      <c r="W34648" s="4" t="s">
        <v>12</v>
      </c>
    </row>
    <row r="34649" spans="1:8">
      <c r="A34649" t="n">
        <v>337897</v>
      </c>
      <c r="B34649" s="10" t="n">
        <v>5</v>
      </c>
      <c r="C34649" s="7" t="n">
        <v>28</v>
      </c>
      <c r="D34649" s="20" t="s">
        <v>3</v>
      </c>
      <c r="E34649" s="8" t="n">
        <v>162</v>
      </c>
      <c r="F34649" s="7" t="n">
        <v>3</v>
      </c>
      <c r="G34649" s="7" t="n">
        <v>36870</v>
      </c>
      <c r="H34649" s="20" t="s">
        <v>3</v>
      </c>
      <c r="I34649" s="7" t="n">
        <v>0</v>
      </c>
      <c r="J34649" s="7" t="n">
        <v>1</v>
      </c>
      <c r="K34649" s="7" t="n">
        <v>2</v>
      </c>
      <c r="L34649" s="7" t="n">
        <v>28</v>
      </c>
      <c r="M34649" s="20" t="s">
        <v>3</v>
      </c>
      <c r="N34649" s="8" t="n">
        <v>162</v>
      </c>
      <c r="O34649" s="7" t="n">
        <v>3</v>
      </c>
      <c r="P34649" s="7" t="n">
        <v>36870</v>
      </c>
      <c r="Q34649" s="20" t="s">
        <v>3</v>
      </c>
      <c r="R34649" s="7" t="n">
        <v>0</v>
      </c>
      <c r="S34649" s="7" t="n">
        <v>2</v>
      </c>
      <c r="T34649" s="7" t="n">
        <v>2</v>
      </c>
      <c r="U34649" s="7" t="n">
        <v>11</v>
      </c>
      <c r="V34649" s="7" t="n">
        <v>1</v>
      </c>
      <c r="W34649" s="11" t="n">
        <f t="normal" ca="1">A34653</f>
        <v>0</v>
      </c>
    </row>
    <row r="34650" spans="1:8">
      <c r="A34650" t="s">
        <v>4</v>
      </c>
      <c r="B34650" s="4" t="s">
        <v>5</v>
      </c>
      <c r="C34650" s="4" t="s">
        <v>7</v>
      </c>
      <c r="D34650" s="4" t="s">
        <v>11</v>
      </c>
      <c r="E34650" s="4" t="s">
        <v>13</v>
      </c>
    </row>
    <row r="34651" spans="1:8">
      <c r="A34651" t="n">
        <v>337926</v>
      </c>
      <c r="B34651" s="23" t="n">
        <v>58</v>
      </c>
      <c r="C34651" s="7" t="n">
        <v>0</v>
      </c>
      <c r="D34651" s="7" t="n">
        <v>0</v>
      </c>
      <c r="E34651" s="7" t="n">
        <v>1</v>
      </c>
    </row>
    <row r="34652" spans="1:8">
      <c r="A34652" t="s">
        <v>4</v>
      </c>
      <c r="B34652" s="4" t="s">
        <v>5</v>
      </c>
      <c r="C34652" s="4" t="s">
        <v>7</v>
      </c>
      <c r="D34652" s="20" t="s">
        <v>35</v>
      </c>
      <c r="E34652" s="4" t="s">
        <v>5</v>
      </c>
      <c r="F34652" s="4" t="s">
        <v>7</v>
      </c>
      <c r="G34652" s="4" t="s">
        <v>11</v>
      </c>
      <c r="H34652" s="20" t="s">
        <v>36</v>
      </c>
      <c r="I34652" s="4" t="s">
        <v>7</v>
      </c>
      <c r="J34652" s="4" t="s">
        <v>15</v>
      </c>
      <c r="K34652" s="4" t="s">
        <v>7</v>
      </c>
      <c r="L34652" s="4" t="s">
        <v>7</v>
      </c>
      <c r="M34652" s="20" t="s">
        <v>35</v>
      </c>
      <c r="N34652" s="4" t="s">
        <v>5</v>
      </c>
      <c r="O34652" s="4" t="s">
        <v>7</v>
      </c>
      <c r="P34652" s="4" t="s">
        <v>11</v>
      </c>
      <c r="Q34652" s="20" t="s">
        <v>36</v>
      </c>
      <c r="R34652" s="4" t="s">
        <v>7</v>
      </c>
      <c r="S34652" s="4" t="s">
        <v>15</v>
      </c>
      <c r="T34652" s="4" t="s">
        <v>7</v>
      </c>
      <c r="U34652" s="4" t="s">
        <v>7</v>
      </c>
      <c r="V34652" s="4" t="s">
        <v>7</v>
      </c>
      <c r="W34652" s="4" t="s">
        <v>12</v>
      </c>
    </row>
    <row r="34653" spans="1:8">
      <c r="A34653" t="n">
        <v>337934</v>
      </c>
      <c r="B34653" s="10" t="n">
        <v>5</v>
      </c>
      <c r="C34653" s="7" t="n">
        <v>28</v>
      </c>
      <c r="D34653" s="20" t="s">
        <v>3</v>
      </c>
      <c r="E34653" s="8" t="n">
        <v>162</v>
      </c>
      <c r="F34653" s="7" t="n">
        <v>3</v>
      </c>
      <c r="G34653" s="7" t="n">
        <v>36870</v>
      </c>
      <c r="H34653" s="20" t="s">
        <v>3</v>
      </c>
      <c r="I34653" s="7" t="n">
        <v>0</v>
      </c>
      <c r="J34653" s="7" t="n">
        <v>1</v>
      </c>
      <c r="K34653" s="7" t="n">
        <v>3</v>
      </c>
      <c r="L34653" s="7" t="n">
        <v>28</v>
      </c>
      <c r="M34653" s="20" t="s">
        <v>3</v>
      </c>
      <c r="N34653" s="8" t="n">
        <v>162</v>
      </c>
      <c r="O34653" s="7" t="n">
        <v>3</v>
      </c>
      <c r="P34653" s="7" t="n">
        <v>36870</v>
      </c>
      <c r="Q34653" s="20" t="s">
        <v>3</v>
      </c>
      <c r="R34653" s="7" t="n">
        <v>0</v>
      </c>
      <c r="S34653" s="7" t="n">
        <v>2</v>
      </c>
      <c r="T34653" s="7" t="n">
        <v>3</v>
      </c>
      <c r="U34653" s="7" t="n">
        <v>9</v>
      </c>
      <c r="V34653" s="7" t="n">
        <v>1</v>
      </c>
      <c r="W34653" s="11" t="n">
        <f t="normal" ca="1">A34663</f>
        <v>0</v>
      </c>
    </row>
    <row r="34654" spans="1:8">
      <c r="A34654" t="s">
        <v>4</v>
      </c>
      <c r="B34654" s="4" t="s">
        <v>5</v>
      </c>
      <c r="C34654" s="4" t="s">
        <v>7</v>
      </c>
      <c r="D34654" s="20" t="s">
        <v>35</v>
      </c>
      <c r="E34654" s="4" t="s">
        <v>5</v>
      </c>
      <c r="F34654" s="4" t="s">
        <v>11</v>
      </c>
      <c r="G34654" s="4" t="s">
        <v>7</v>
      </c>
      <c r="H34654" s="4" t="s">
        <v>7</v>
      </c>
      <c r="I34654" s="4" t="s">
        <v>8</v>
      </c>
      <c r="J34654" s="20" t="s">
        <v>36</v>
      </c>
      <c r="K34654" s="4" t="s">
        <v>7</v>
      </c>
      <c r="L34654" s="4" t="s">
        <v>7</v>
      </c>
      <c r="M34654" s="20" t="s">
        <v>35</v>
      </c>
      <c r="N34654" s="4" t="s">
        <v>5</v>
      </c>
      <c r="O34654" s="4" t="s">
        <v>7</v>
      </c>
      <c r="P34654" s="20" t="s">
        <v>36</v>
      </c>
      <c r="Q34654" s="4" t="s">
        <v>7</v>
      </c>
      <c r="R34654" s="4" t="s">
        <v>15</v>
      </c>
      <c r="S34654" s="4" t="s">
        <v>7</v>
      </c>
      <c r="T34654" s="4" t="s">
        <v>7</v>
      </c>
      <c r="U34654" s="4" t="s">
        <v>7</v>
      </c>
      <c r="V34654" s="20" t="s">
        <v>35</v>
      </c>
      <c r="W34654" s="4" t="s">
        <v>5</v>
      </c>
      <c r="X34654" s="4" t="s">
        <v>7</v>
      </c>
      <c r="Y34654" s="20" t="s">
        <v>36</v>
      </c>
      <c r="Z34654" s="4" t="s">
        <v>7</v>
      </c>
      <c r="AA34654" s="4" t="s">
        <v>15</v>
      </c>
      <c r="AB34654" s="4" t="s">
        <v>7</v>
      </c>
      <c r="AC34654" s="4" t="s">
        <v>7</v>
      </c>
      <c r="AD34654" s="4" t="s">
        <v>7</v>
      </c>
      <c r="AE34654" s="4" t="s">
        <v>12</v>
      </c>
    </row>
    <row r="34655" spans="1:8">
      <c r="A34655" t="n">
        <v>337963</v>
      </c>
      <c r="B34655" s="10" t="n">
        <v>5</v>
      </c>
      <c r="C34655" s="7" t="n">
        <v>28</v>
      </c>
      <c r="D34655" s="20" t="s">
        <v>3</v>
      </c>
      <c r="E34655" s="41" t="n">
        <v>47</v>
      </c>
      <c r="F34655" s="7" t="n">
        <v>61456</v>
      </c>
      <c r="G34655" s="7" t="n">
        <v>2</v>
      </c>
      <c r="H34655" s="7" t="n">
        <v>0</v>
      </c>
      <c r="I34655" s="7" t="s">
        <v>105</v>
      </c>
      <c r="J34655" s="20" t="s">
        <v>3</v>
      </c>
      <c r="K34655" s="7" t="n">
        <v>8</v>
      </c>
      <c r="L34655" s="7" t="n">
        <v>28</v>
      </c>
      <c r="M34655" s="20" t="s">
        <v>3</v>
      </c>
      <c r="N34655" s="45" t="n">
        <v>74</v>
      </c>
      <c r="O34655" s="7" t="n">
        <v>65</v>
      </c>
      <c r="P34655" s="20" t="s">
        <v>3</v>
      </c>
      <c r="Q34655" s="7" t="n">
        <v>0</v>
      </c>
      <c r="R34655" s="7" t="n">
        <v>1</v>
      </c>
      <c r="S34655" s="7" t="n">
        <v>3</v>
      </c>
      <c r="T34655" s="7" t="n">
        <v>9</v>
      </c>
      <c r="U34655" s="7" t="n">
        <v>28</v>
      </c>
      <c r="V34655" s="20" t="s">
        <v>3</v>
      </c>
      <c r="W34655" s="45" t="n">
        <v>74</v>
      </c>
      <c r="X34655" s="7" t="n">
        <v>65</v>
      </c>
      <c r="Y34655" s="20" t="s">
        <v>3</v>
      </c>
      <c r="Z34655" s="7" t="n">
        <v>0</v>
      </c>
      <c r="AA34655" s="7" t="n">
        <v>2</v>
      </c>
      <c r="AB34655" s="7" t="n">
        <v>3</v>
      </c>
      <c r="AC34655" s="7" t="n">
        <v>9</v>
      </c>
      <c r="AD34655" s="7" t="n">
        <v>1</v>
      </c>
      <c r="AE34655" s="11" t="n">
        <f t="normal" ca="1">A34659</f>
        <v>0</v>
      </c>
    </row>
    <row r="34656" spans="1:8">
      <c r="A34656" t="s">
        <v>4</v>
      </c>
      <c r="B34656" s="4" t="s">
        <v>5</v>
      </c>
      <c r="C34656" s="4" t="s">
        <v>11</v>
      </c>
      <c r="D34656" s="4" t="s">
        <v>7</v>
      </c>
      <c r="E34656" s="4" t="s">
        <v>7</v>
      </c>
      <c r="F34656" s="4" t="s">
        <v>8</v>
      </c>
    </row>
    <row r="34657" spans="1:31">
      <c r="A34657" t="n">
        <v>338011</v>
      </c>
      <c r="B34657" s="41" t="n">
        <v>47</v>
      </c>
      <c r="C34657" s="7" t="n">
        <v>61456</v>
      </c>
      <c r="D34657" s="7" t="n">
        <v>0</v>
      </c>
      <c r="E34657" s="7" t="n">
        <v>0</v>
      </c>
      <c r="F34657" s="7" t="s">
        <v>106</v>
      </c>
    </row>
    <row r="34658" spans="1:31">
      <c r="A34658" t="s">
        <v>4</v>
      </c>
      <c r="B34658" s="4" t="s">
        <v>5</v>
      </c>
      <c r="C34658" s="4" t="s">
        <v>7</v>
      </c>
      <c r="D34658" s="4" t="s">
        <v>11</v>
      </c>
      <c r="E34658" s="4" t="s">
        <v>13</v>
      </c>
    </row>
    <row r="34659" spans="1:31">
      <c r="A34659" t="n">
        <v>338024</v>
      </c>
      <c r="B34659" s="23" t="n">
        <v>58</v>
      </c>
      <c r="C34659" s="7" t="n">
        <v>0</v>
      </c>
      <c r="D34659" s="7" t="n">
        <v>300</v>
      </c>
      <c r="E34659" s="7" t="n">
        <v>1</v>
      </c>
    </row>
    <row r="34660" spans="1:31">
      <c r="A34660" t="s">
        <v>4</v>
      </c>
      <c r="B34660" s="4" t="s">
        <v>5</v>
      </c>
      <c r="C34660" s="4" t="s">
        <v>7</v>
      </c>
      <c r="D34660" s="4" t="s">
        <v>11</v>
      </c>
    </row>
    <row r="34661" spans="1:31">
      <c r="A34661" t="n">
        <v>338032</v>
      </c>
      <c r="B34661" s="23" t="n">
        <v>58</v>
      </c>
      <c r="C34661" s="7" t="n">
        <v>255</v>
      </c>
      <c r="D34661" s="7" t="n">
        <v>0</v>
      </c>
    </row>
    <row r="34662" spans="1:31">
      <c r="A34662" t="s">
        <v>4</v>
      </c>
      <c r="B34662" s="4" t="s">
        <v>5</v>
      </c>
      <c r="C34662" s="4" t="s">
        <v>7</v>
      </c>
      <c r="D34662" s="4" t="s">
        <v>7</v>
      </c>
      <c r="E34662" s="4" t="s">
        <v>7</v>
      </c>
      <c r="F34662" s="4" t="s">
        <v>7</v>
      </c>
    </row>
    <row r="34663" spans="1:31">
      <c r="A34663" t="n">
        <v>338036</v>
      </c>
      <c r="B34663" s="9" t="n">
        <v>14</v>
      </c>
      <c r="C34663" s="7" t="n">
        <v>0</v>
      </c>
      <c r="D34663" s="7" t="n">
        <v>0</v>
      </c>
      <c r="E34663" s="7" t="n">
        <v>0</v>
      </c>
      <c r="F34663" s="7" t="n">
        <v>64</v>
      </c>
    </row>
    <row r="34664" spans="1:31">
      <c r="A34664" t="s">
        <v>4</v>
      </c>
      <c r="B34664" s="4" t="s">
        <v>5</v>
      </c>
      <c r="C34664" s="4" t="s">
        <v>7</v>
      </c>
      <c r="D34664" s="4" t="s">
        <v>11</v>
      </c>
    </row>
    <row r="34665" spans="1:31">
      <c r="A34665" t="n">
        <v>338041</v>
      </c>
      <c r="B34665" s="22" t="n">
        <v>22</v>
      </c>
      <c r="C34665" s="7" t="n">
        <v>0</v>
      </c>
      <c r="D34665" s="7" t="n">
        <v>36870</v>
      </c>
    </row>
    <row r="34666" spans="1:31">
      <c r="A34666" t="s">
        <v>4</v>
      </c>
      <c r="B34666" s="4" t="s">
        <v>5</v>
      </c>
      <c r="C34666" s="4" t="s">
        <v>7</v>
      </c>
      <c r="D34666" s="4" t="s">
        <v>11</v>
      </c>
    </row>
    <row r="34667" spans="1:31">
      <c r="A34667" t="n">
        <v>338045</v>
      </c>
      <c r="B34667" s="23" t="n">
        <v>58</v>
      </c>
      <c r="C34667" s="7" t="n">
        <v>5</v>
      </c>
      <c r="D34667" s="7" t="n">
        <v>300</v>
      </c>
    </row>
    <row r="34668" spans="1:31">
      <c r="A34668" t="s">
        <v>4</v>
      </c>
      <c r="B34668" s="4" t="s">
        <v>5</v>
      </c>
      <c r="C34668" s="4" t="s">
        <v>13</v>
      </c>
      <c r="D34668" s="4" t="s">
        <v>11</v>
      </c>
    </row>
    <row r="34669" spans="1:31">
      <c r="A34669" t="n">
        <v>338049</v>
      </c>
      <c r="B34669" s="46" t="n">
        <v>103</v>
      </c>
      <c r="C34669" s="7" t="n">
        <v>0</v>
      </c>
      <c r="D34669" s="7" t="n">
        <v>300</v>
      </c>
    </row>
    <row r="34670" spans="1:31">
      <c r="A34670" t="s">
        <v>4</v>
      </c>
      <c r="B34670" s="4" t="s">
        <v>5</v>
      </c>
      <c r="C34670" s="4" t="s">
        <v>7</v>
      </c>
    </row>
    <row r="34671" spans="1:31">
      <c r="A34671" t="n">
        <v>338056</v>
      </c>
      <c r="B34671" s="47" t="n">
        <v>64</v>
      </c>
      <c r="C34671" s="7" t="n">
        <v>7</v>
      </c>
    </row>
    <row r="34672" spans="1:31">
      <c r="A34672" t="s">
        <v>4</v>
      </c>
      <c r="B34672" s="4" t="s">
        <v>5</v>
      </c>
      <c r="C34672" s="4" t="s">
        <v>7</v>
      </c>
      <c r="D34672" s="4" t="s">
        <v>11</v>
      </c>
    </row>
    <row r="34673" spans="1:6">
      <c r="A34673" t="n">
        <v>338058</v>
      </c>
      <c r="B34673" s="48" t="n">
        <v>72</v>
      </c>
      <c r="C34673" s="7" t="n">
        <v>5</v>
      </c>
      <c r="D34673" s="7" t="n">
        <v>0</v>
      </c>
    </row>
    <row r="34674" spans="1:6">
      <c r="A34674" t="s">
        <v>4</v>
      </c>
      <c r="B34674" s="4" t="s">
        <v>5</v>
      </c>
      <c r="C34674" s="4" t="s">
        <v>7</v>
      </c>
      <c r="D34674" s="20" t="s">
        <v>35</v>
      </c>
      <c r="E34674" s="4" t="s">
        <v>5</v>
      </c>
      <c r="F34674" s="4" t="s">
        <v>7</v>
      </c>
      <c r="G34674" s="4" t="s">
        <v>11</v>
      </c>
      <c r="H34674" s="20" t="s">
        <v>36</v>
      </c>
      <c r="I34674" s="4" t="s">
        <v>7</v>
      </c>
      <c r="J34674" s="4" t="s">
        <v>15</v>
      </c>
      <c r="K34674" s="4" t="s">
        <v>7</v>
      </c>
      <c r="L34674" s="4" t="s">
        <v>7</v>
      </c>
      <c r="M34674" s="4" t="s">
        <v>12</v>
      </c>
    </row>
    <row r="34675" spans="1:6">
      <c r="A34675" t="n">
        <v>338062</v>
      </c>
      <c r="B34675" s="10" t="n">
        <v>5</v>
      </c>
      <c r="C34675" s="7" t="n">
        <v>28</v>
      </c>
      <c r="D34675" s="20" t="s">
        <v>3</v>
      </c>
      <c r="E34675" s="8" t="n">
        <v>162</v>
      </c>
      <c r="F34675" s="7" t="n">
        <v>4</v>
      </c>
      <c r="G34675" s="7" t="n">
        <v>36870</v>
      </c>
      <c r="H34675" s="20" t="s">
        <v>3</v>
      </c>
      <c r="I34675" s="7" t="n">
        <v>0</v>
      </c>
      <c r="J34675" s="7" t="n">
        <v>1</v>
      </c>
      <c r="K34675" s="7" t="n">
        <v>2</v>
      </c>
      <c r="L34675" s="7" t="n">
        <v>1</v>
      </c>
      <c r="M34675" s="11" t="n">
        <f t="normal" ca="1">A34681</f>
        <v>0</v>
      </c>
    </row>
    <row r="34676" spans="1:6">
      <c r="A34676" t="s">
        <v>4</v>
      </c>
      <c r="B34676" s="4" t="s">
        <v>5</v>
      </c>
      <c r="C34676" s="4" t="s">
        <v>7</v>
      </c>
      <c r="D34676" s="4" t="s">
        <v>8</v>
      </c>
    </row>
    <row r="34677" spans="1:6">
      <c r="A34677" t="n">
        <v>338079</v>
      </c>
      <c r="B34677" s="6" t="n">
        <v>2</v>
      </c>
      <c r="C34677" s="7" t="n">
        <v>10</v>
      </c>
      <c r="D34677" s="7" t="s">
        <v>107</v>
      </c>
    </row>
    <row r="34678" spans="1:6">
      <c r="A34678" t="s">
        <v>4</v>
      </c>
      <c r="B34678" s="4" t="s">
        <v>5</v>
      </c>
      <c r="C34678" s="4" t="s">
        <v>11</v>
      </c>
    </row>
    <row r="34679" spans="1:6">
      <c r="A34679" t="n">
        <v>338096</v>
      </c>
      <c r="B34679" s="29" t="n">
        <v>16</v>
      </c>
      <c r="C34679" s="7" t="n">
        <v>0</v>
      </c>
    </row>
    <row r="34680" spans="1:6">
      <c r="A34680" t="s">
        <v>4</v>
      </c>
      <c r="B34680" s="4" t="s">
        <v>5</v>
      </c>
      <c r="C34680" s="4" t="s">
        <v>7</v>
      </c>
      <c r="D34680" s="4" t="s">
        <v>11</v>
      </c>
      <c r="E34680" s="4" t="s">
        <v>15</v>
      </c>
      <c r="F34680" s="4" t="s">
        <v>11</v>
      </c>
      <c r="G34680" s="4" t="s">
        <v>15</v>
      </c>
      <c r="H34680" s="4" t="s">
        <v>7</v>
      </c>
    </row>
    <row r="34681" spans="1:6">
      <c r="A34681" t="n">
        <v>338099</v>
      </c>
      <c r="B34681" s="13" t="n">
        <v>49</v>
      </c>
      <c r="C34681" s="7" t="n">
        <v>0</v>
      </c>
      <c r="D34681" s="7" t="n">
        <v>501</v>
      </c>
      <c r="E34681" s="7" t="n">
        <v>1065353216</v>
      </c>
      <c r="F34681" s="7" t="n">
        <v>0</v>
      </c>
      <c r="G34681" s="7" t="n">
        <v>0</v>
      </c>
      <c r="H34681" s="7" t="n">
        <v>0</v>
      </c>
    </row>
    <row r="34682" spans="1:6">
      <c r="A34682" t="s">
        <v>4</v>
      </c>
      <c r="B34682" s="4" t="s">
        <v>5</v>
      </c>
      <c r="C34682" s="4" t="s">
        <v>11</v>
      </c>
      <c r="D34682" s="4" t="s">
        <v>8</v>
      </c>
      <c r="E34682" s="4" t="s">
        <v>8</v>
      </c>
      <c r="F34682" s="4" t="s">
        <v>8</v>
      </c>
      <c r="G34682" s="4" t="s">
        <v>7</v>
      </c>
      <c r="H34682" s="4" t="s">
        <v>15</v>
      </c>
      <c r="I34682" s="4" t="s">
        <v>13</v>
      </c>
      <c r="J34682" s="4" t="s">
        <v>13</v>
      </c>
      <c r="K34682" s="4" t="s">
        <v>13</v>
      </c>
      <c r="L34682" s="4" t="s">
        <v>13</v>
      </c>
      <c r="M34682" s="4" t="s">
        <v>13</v>
      </c>
      <c r="N34682" s="4" t="s">
        <v>13</v>
      </c>
      <c r="O34682" s="4" t="s">
        <v>13</v>
      </c>
      <c r="P34682" s="4" t="s">
        <v>8</v>
      </c>
      <c r="Q34682" s="4" t="s">
        <v>8</v>
      </c>
      <c r="R34682" s="4" t="s">
        <v>15</v>
      </c>
      <c r="S34682" s="4" t="s">
        <v>7</v>
      </c>
      <c r="T34682" s="4" t="s">
        <v>15</v>
      </c>
      <c r="U34682" s="4" t="s">
        <v>15</v>
      </c>
      <c r="V34682" s="4" t="s">
        <v>11</v>
      </c>
    </row>
    <row r="34683" spans="1:6">
      <c r="A34683" t="n">
        <v>338114</v>
      </c>
      <c r="B34683" s="62" t="n">
        <v>19</v>
      </c>
      <c r="C34683" s="7" t="n">
        <v>2</v>
      </c>
      <c r="D34683" s="7" t="s">
        <v>921</v>
      </c>
      <c r="E34683" s="7" t="s">
        <v>922</v>
      </c>
      <c r="F34683" s="7" t="s">
        <v>16</v>
      </c>
      <c r="G34683" s="7" t="n">
        <v>0</v>
      </c>
      <c r="H34683" s="7" t="n">
        <v>1</v>
      </c>
      <c r="I34683" s="7" t="n">
        <v>0</v>
      </c>
      <c r="J34683" s="7" t="n">
        <v>0</v>
      </c>
      <c r="K34683" s="7" t="n">
        <v>0</v>
      </c>
      <c r="L34683" s="7" t="n">
        <v>0</v>
      </c>
      <c r="M34683" s="7" t="n">
        <v>1</v>
      </c>
      <c r="N34683" s="7" t="n">
        <v>1.60000002384186</v>
      </c>
      <c r="O34683" s="7" t="n">
        <v>0.0900000035762787</v>
      </c>
      <c r="P34683" s="7" t="s">
        <v>16</v>
      </c>
      <c r="Q34683" s="7" t="s">
        <v>16</v>
      </c>
      <c r="R34683" s="7" t="n">
        <v>-1</v>
      </c>
      <c r="S34683" s="7" t="n">
        <v>0</v>
      </c>
      <c r="T34683" s="7" t="n">
        <v>0</v>
      </c>
      <c r="U34683" s="7" t="n">
        <v>0</v>
      </c>
      <c r="V34683" s="7" t="n">
        <v>0</v>
      </c>
    </row>
    <row r="34684" spans="1:6">
      <c r="A34684" t="s">
        <v>4</v>
      </c>
      <c r="B34684" s="4" t="s">
        <v>5</v>
      </c>
      <c r="C34684" s="4" t="s">
        <v>11</v>
      </c>
      <c r="D34684" s="4" t="s">
        <v>7</v>
      </c>
      <c r="E34684" s="4" t="s">
        <v>7</v>
      </c>
      <c r="F34684" s="4" t="s">
        <v>8</v>
      </c>
    </row>
    <row r="34685" spans="1:6">
      <c r="A34685" t="n">
        <v>338188</v>
      </c>
      <c r="B34685" s="50" t="n">
        <v>20</v>
      </c>
      <c r="C34685" s="7" t="n">
        <v>0</v>
      </c>
      <c r="D34685" s="7" t="n">
        <v>3</v>
      </c>
      <c r="E34685" s="7" t="n">
        <v>10</v>
      </c>
      <c r="F34685" s="7" t="s">
        <v>108</v>
      </c>
    </row>
    <row r="34686" spans="1:6">
      <c r="A34686" t="s">
        <v>4</v>
      </c>
      <c r="B34686" s="4" t="s">
        <v>5</v>
      </c>
      <c r="C34686" s="4" t="s">
        <v>11</v>
      </c>
    </row>
    <row r="34687" spans="1:6">
      <c r="A34687" t="n">
        <v>338206</v>
      </c>
      <c r="B34687" s="29" t="n">
        <v>16</v>
      </c>
      <c r="C34687" s="7" t="n">
        <v>0</v>
      </c>
    </row>
    <row r="34688" spans="1:6">
      <c r="A34688" t="s">
        <v>4</v>
      </c>
      <c r="B34688" s="4" t="s">
        <v>5</v>
      </c>
      <c r="C34688" s="4" t="s">
        <v>11</v>
      </c>
      <c r="D34688" s="4" t="s">
        <v>7</v>
      </c>
      <c r="E34688" s="4" t="s">
        <v>7</v>
      </c>
      <c r="F34688" s="4" t="s">
        <v>8</v>
      </c>
    </row>
    <row r="34689" spans="1:22">
      <c r="A34689" t="n">
        <v>338209</v>
      </c>
      <c r="B34689" s="50" t="n">
        <v>20</v>
      </c>
      <c r="C34689" s="7" t="n">
        <v>2</v>
      </c>
      <c r="D34689" s="7" t="n">
        <v>3</v>
      </c>
      <c r="E34689" s="7" t="n">
        <v>10</v>
      </c>
      <c r="F34689" s="7" t="s">
        <v>108</v>
      </c>
    </row>
    <row r="34690" spans="1:22">
      <c r="A34690" t="s">
        <v>4</v>
      </c>
      <c r="B34690" s="4" t="s">
        <v>5</v>
      </c>
      <c r="C34690" s="4" t="s">
        <v>11</v>
      </c>
    </row>
    <row r="34691" spans="1:22">
      <c r="A34691" t="n">
        <v>338227</v>
      </c>
      <c r="B34691" s="29" t="n">
        <v>16</v>
      </c>
      <c r="C34691" s="7" t="n">
        <v>0</v>
      </c>
    </row>
    <row r="34692" spans="1:22">
      <c r="A34692" t="s">
        <v>4</v>
      </c>
      <c r="B34692" s="4" t="s">
        <v>5</v>
      </c>
      <c r="C34692" s="4" t="s">
        <v>7</v>
      </c>
      <c r="D34692" s="4" t="s">
        <v>11</v>
      </c>
      <c r="E34692" s="4" t="s">
        <v>7</v>
      </c>
      <c r="F34692" s="4" t="s">
        <v>8</v>
      </c>
      <c r="G34692" s="4" t="s">
        <v>8</v>
      </c>
      <c r="H34692" s="4" t="s">
        <v>8</v>
      </c>
      <c r="I34692" s="4" t="s">
        <v>8</v>
      </c>
      <c r="J34692" s="4" t="s">
        <v>8</v>
      </c>
      <c r="K34692" s="4" t="s">
        <v>8</v>
      </c>
      <c r="L34692" s="4" t="s">
        <v>8</v>
      </c>
      <c r="M34692" s="4" t="s">
        <v>8</v>
      </c>
      <c r="N34692" s="4" t="s">
        <v>8</v>
      </c>
      <c r="O34692" s="4" t="s">
        <v>8</v>
      </c>
      <c r="P34692" s="4" t="s">
        <v>8</v>
      </c>
      <c r="Q34692" s="4" t="s">
        <v>8</v>
      </c>
      <c r="R34692" s="4" t="s">
        <v>8</v>
      </c>
      <c r="S34692" s="4" t="s">
        <v>8</v>
      </c>
      <c r="T34692" s="4" t="s">
        <v>8</v>
      </c>
      <c r="U34692" s="4" t="s">
        <v>8</v>
      </c>
    </row>
    <row r="34693" spans="1:22">
      <c r="A34693" t="n">
        <v>338230</v>
      </c>
      <c r="B34693" s="40" t="n">
        <v>36</v>
      </c>
      <c r="C34693" s="7" t="n">
        <v>8</v>
      </c>
      <c r="D34693" s="7" t="n">
        <v>2</v>
      </c>
      <c r="E34693" s="7" t="n">
        <v>0</v>
      </c>
      <c r="F34693" s="7" t="s">
        <v>70</v>
      </c>
      <c r="G34693" s="7" t="s">
        <v>16</v>
      </c>
      <c r="H34693" s="7" t="s">
        <v>16</v>
      </c>
      <c r="I34693" s="7" t="s">
        <v>16</v>
      </c>
      <c r="J34693" s="7" t="s">
        <v>16</v>
      </c>
      <c r="K34693" s="7" t="s">
        <v>16</v>
      </c>
      <c r="L34693" s="7" t="s">
        <v>16</v>
      </c>
      <c r="M34693" s="7" t="s">
        <v>16</v>
      </c>
      <c r="N34693" s="7" t="s">
        <v>16</v>
      </c>
      <c r="O34693" s="7" t="s">
        <v>16</v>
      </c>
      <c r="P34693" s="7" t="s">
        <v>16</v>
      </c>
      <c r="Q34693" s="7" t="s">
        <v>16</v>
      </c>
      <c r="R34693" s="7" t="s">
        <v>16</v>
      </c>
      <c r="S34693" s="7" t="s">
        <v>16</v>
      </c>
      <c r="T34693" s="7" t="s">
        <v>16</v>
      </c>
      <c r="U34693" s="7" t="s">
        <v>16</v>
      </c>
    </row>
    <row r="34694" spans="1:22">
      <c r="A34694" t="s">
        <v>4</v>
      </c>
      <c r="B34694" s="4" t="s">
        <v>5</v>
      </c>
      <c r="C34694" s="4" t="s">
        <v>7</v>
      </c>
    </row>
    <row r="34695" spans="1:22">
      <c r="A34695" t="n">
        <v>338260</v>
      </c>
      <c r="B34695" s="49" t="n">
        <v>116</v>
      </c>
      <c r="C34695" s="7" t="n">
        <v>0</v>
      </c>
    </row>
    <row r="34696" spans="1:22">
      <c r="A34696" t="s">
        <v>4</v>
      </c>
      <c r="B34696" s="4" t="s">
        <v>5</v>
      </c>
      <c r="C34696" s="4" t="s">
        <v>7</v>
      </c>
      <c r="D34696" s="4" t="s">
        <v>11</v>
      </c>
    </row>
    <row r="34697" spans="1:22">
      <c r="A34697" t="n">
        <v>338262</v>
      </c>
      <c r="B34697" s="49" t="n">
        <v>116</v>
      </c>
      <c r="C34697" s="7" t="n">
        <v>2</v>
      </c>
      <c r="D34697" s="7" t="n">
        <v>1</v>
      </c>
    </row>
    <row r="34698" spans="1:22">
      <c r="A34698" t="s">
        <v>4</v>
      </c>
      <c r="B34698" s="4" t="s">
        <v>5</v>
      </c>
      <c r="C34698" s="4" t="s">
        <v>7</v>
      </c>
      <c r="D34698" s="4" t="s">
        <v>15</v>
      </c>
    </row>
    <row r="34699" spans="1:22">
      <c r="A34699" t="n">
        <v>338266</v>
      </c>
      <c r="B34699" s="49" t="n">
        <v>116</v>
      </c>
      <c r="C34699" s="7" t="n">
        <v>5</v>
      </c>
      <c r="D34699" s="7" t="n">
        <v>1090519040</v>
      </c>
    </row>
    <row r="34700" spans="1:22">
      <c r="A34700" t="s">
        <v>4</v>
      </c>
      <c r="B34700" s="4" t="s">
        <v>5</v>
      </c>
      <c r="C34700" s="4" t="s">
        <v>7</v>
      </c>
      <c r="D34700" s="4" t="s">
        <v>11</v>
      </c>
    </row>
    <row r="34701" spans="1:22">
      <c r="A34701" t="n">
        <v>338272</v>
      </c>
      <c r="B34701" s="49" t="n">
        <v>116</v>
      </c>
      <c r="C34701" s="7" t="n">
        <v>6</v>
      </c>
      <c r="D34701" s="7" t="n">
        <v>1</v>
      </c>
    </row>
    <row r="34702" spans="1:22">
      <c r="A34702" t="s">
        <v>4</v>
      </c>
      <c r="B34702" s="4" t="s">
        <v>5</v>
      </c>
      <c r="C34702" s="4" t="s">
        <v>11</v>
      </c>
      <c r="D34702" s="4" t="s">
        <v>13</v>
      </c>
      <c r="E34702" s="4" t="s">
        <v>13</v>
      </c>
      <c r="F34702" s="4" t="s">
        <v>13</v>
      </c>
      <c r="G34702" s="4" t="s">
        <v>13</v>
      </c>
    </row>
    <row r="34703" spans="1:22">
      <c r="A34703" t="n">
        <v>338276</v>
      </c>
      <c r="B34703" s="36" t="n">
        <v>46</v>
      </c>
      <c r="C34703" s="7" t="n">
        <v>0</v>
      </c>
      <c r="D34703" s="7" t="n">
        <v>1.72000002861023</v>
      </c>
      <c r="E34703" s="7" t="n">
        <v>5.01000022888184</v>
      </c>
      <c r="F34703" s="7" t="n">
        <v>47.4500007629395</v>
      </c>
      <c r="G34703" s="7" t="n">
        <v>16.6000003814697</v>
      </c>
    </row>
    <row r="34704" spans="1:22">
      <c r="A34704" t="s">
        <v>4</v>
      </c>
      <c r="B34704" s="4" t="s">
        <v>5</v>
      </c>
      <c r="C34704" s="4" t="s">
        <v>11</v>
      </c>
      <c r="D34704" s="4" t="s">
        <v>13</v>
      </c>
      <c r="E34704" s="4" t="s">
        <v>13</v>
      </c>
      <c r="F34704" s="4" t="s">
        <v>13</v>
      </c>
      <c r="G34704" s="4" t="s">
        <v>13</v>
      </c>
    </row>
    <row r="34705" spans="1:21">
      <c r="A34705" t="n">
        <v>338295</v>
      </c>
      <c r="B34705" s="36" t="n">
        <v>46</v>
      </c>
      <c r="C34705" s="7" t="n">
        <v>2</v>
      </c>
      <c r="D34705" s="7" t="n">
        <v>1.95000004768372</v>
      </c>
      <c r="E34705" s="7" t="n">
        <v>5.01000022888184</v>
      </c>
      <c r="F34705" s="7" t="n">
        <v>48.4500007629395</v>
      </c>
      <c r="G34705" s="7" t="n">
        <v>195.600006103516</v>
      </c>
    </row>
    <row r="34706" spans="1:21">
      <c r="A34706" t="s">
        <v>4</v>
      </c>
      <c r="B34706" s="4" t="s">
        <v>5</v>
      </c>
      <c r="C34706" s="4" t="s">
        <v>11</v>
      </c>
      <c r="D34706" s="4" t="s">
        <v>7</v>
      </c>
      <c r="E34706" s="4" t="s">
        <v>7</v>
      </c>
      <c r="F34706" s="4" t="s">
        <v>8</v>
      </c>
    </row>
    <row r="34707" spans="1:21">
      <c r="A34707" t="n">
        <v>338314</v>
      </c>
      <c r="B34707" s="41" t="n">
        <v>47</v>
      </c>
      <c r="C34707" s="7" t="n">
        <v>2</v>
      </c>
      <c r="D34707" s="7" t="n">
        <v>0</v>
      </c>
      <c r="E34707" s="7" t="n">
        <v>0</v>
      </c>
      <c r="F34707" s="7" t="s">
        <v>71</v>
      </c>
    </row>
    <row r="34708" spans="1:21">
      <c r="A34708" t="s">
        <v>4</v>
      </c>
      <c r="B34708" s="4" t="s">
        <v>5</v>
      </c>
      <c r="C34708" s="4" t="s">
        <v>11</v>
      </c>
      <c r="D34708" s="4" t="s">
        <v>7</v>
      </c>
      <c r="E34708" s="4" t="s">
        <v>8</v>
      </c>
      <c r="F34708" s="4" t="s">
        <v>13</v>
      </c>
      <c r="G34708" s="4" t="s">
        <v>13</v>
      </c>
      <c r="H34708" s="4" t="s">
        <v>13</v>
      </c>
    </row>
    <row r="34709" spans="1:21">
      <c r="A34709" t="n">
        <v>338335</v>
      </c>
      <c r="B34709" s="42" t="n">
        <v>48</v>
      </c>
      <c r="C34709" s="7" t="n">
        <v>2</v>
      </c>
      <c r="D34709" s="7" t="n">
        <v>0</v>
      </c>
      <c r="E34709" s="7" t="s">
        <v>70</v>
      </c>
      <c r="F34709" s="7" t="n">
        <v>0</v>
      </c>
      <c r="G34709" s="7" t="n">
        <v>1</v>
      </c>
      <c r="H34709" s="7" t="n">
        <v>0</v>
      </c>
    </row>
    <row r="34710" spans="1:21">
      <c r="A34710" t="s">
        <v>4</v>
      </c>
      <c r="B34710" s="4" t="s">
        <v>5</v>
      </c>
      <c r="C34710" s="4" t="s">
        <v>11</v>
      </c>
      <c r="D34710" s="4" t="s">
        <v>15</v>
      </c>
    </row>
    <row r="34711" spans="1:21">
      <c r="A34711" t="n">
        <v>338361</v>
      </c>
      <c r="B34711" s="39" t="n">
        <v>43</v>
      </c>
      <c r="C34711" s="7" t="n">
        <v>2</v>
      </c>
      <c r="D34711" s="7" t="n">
        <v>64</v>
      </c>
    </row>
    <row r="34712" spans="1:21">
      <c r="A34712" t="s">
        <v>4</v>
      </c>
      <c r="B34712" s="4" t="s">
        <v>5</v>
      </c>
      <c r="C34712" s="4" t="s">
        <v>7</v>
      </c>
      <c r="D34712" s="4" t="s">
        <v>7</v>
      </c>
      <c r="E34712" s="4" t="s">
        <v>13</v>
      </c>
      <c r="F34712" s="4" t="s">
        <v>13</v>
      </c>
      <c r="G34712" s="4" t="s">
        <v>13</v>
      </c>
      <c r="H34712" s="4" t="s">
        <v>11</v>
      </c>
    </row>
    <row r="34713" spans="1:21">
      <c r="A34713" t="n">
        <v>338368</v>
      </c>
      <c r="B34713" s="51" t="n">
        <v>45</v>
      </c>
      <c r="C34713" s="7" t="n">
        <v>2</v>
      </c>
      <c r="D34713" s="7" t="n">
        <v>3</v>
      </c>
      <c r="E34713" s="7" t="n">
        <v>1.72000002861023</v>
      </c>
      <c r="F34713" s="7" t="n">
        <v>6.42000007629395</v>
      </c>
      <c r="G34713" s="7" t="n">
        <v>47.7000007629395</v>
      </c>
      <c r="H34713" s="7" t="n">
        <v>0</v>
      </c>
    </row>
    <row r="34714" spans="1:21">
      <c r="A34714" t="s">
        <v>4</v>
      </c>
      <c r="B34714" s="4" t="s">
        <v>5</v>
      </c>
      <c r="C34714" s="4" t="s">
        <v>7</v>
      </c>
      <c r="D34714" s="4" t="s">
        <v>7</v>
      </c>
      <c r="E34714" s="4" t="s">
        <v>13</v>
      </c>
      <c r="F34714" s="4" t="s">
        <v>13</v>
      </c>
      <c r="G34714" s="4" t="s">
        <v>13</v>
      </c>
      <c r="H34714" s="4" t="s">
        <v>11</v>
      </c>
      <c r="I34714" s="4" t="s">
        <v>7</v>
      </c>
    </row>
    <row r="34715" spans="1:21">
      <c r="A34715" t="n">
        <v>338385</v>
      </c>
      <c r="B34715" s="51" t="n">
        <v>45</v>
      </c>
      <c r="C34715" s="7" t="n">
        <v>4</v>
      </c>
      <c r="D34715" s="7" t="n">
        <v>3</v>
      </c>
      <c r="E34715" s="7" t="n">
        <v>9</v>
      </c>
      <c r="F34715" s="7" t="n">
        <v>229.490005493164</v>
      </c>
      <c r="G34715" s="7" t="n">
        <v>0</v>
      </c>
      <c r="H34715" s="7" t="n">
        <v>0</v>
      </c>
      <c r="I34715" s="7" t="n">
        <v>0</v>
      </c>
    </row>
    <row r="34716" spans="1:21">
      <c r="A34716" t="s">
        <v>4</v>
      </c>
      <c r="B34716" s="4" t="s">
        <v>5</v>
      </c>
      <c r="C34716" s="4" t="s">
        <v>7</v>
      </c>
      <c r="D34716" s="4" t="s">
        <v>7</v>
      </c>
      <c r="E34716" s="4" t="s">
        <v>13</v>
      </c>
      <c r="F34716" s="4" t="s">
        <v>11</v>
      </c>
    </row>
    <row r="34717" spans="1:21">
      <c r="A34717" t="n">
        <v>338403</v>
      </c>
      <c r="B34717" s="51" t="n">
        <v>45</v>
      </c>
      <c r="C34717" s="7" t="n">
        <v>5</v>
      </c>
      <c r="D34717" s="7" t="n">
        <v>3</v>
      </c>
      <c r="E34717" s="7" t="n">
        <v>1.89999997615814</v>
      </c>
      <c r="F34717" s="7" t="n">
        <v>0</v>
      </c>
    </row>
    <row r="34718" spans="1:21">
      <c r="A34718" t="s">
        <v>4</v>
      </c>
      <c r="B34718" s="4" t="s">
        <v>5</v>
      </c>
      <c r="C34718" s="4" t="s">
        <v>7</v>
      </c>
      <c r="D34718" s="4" t="s">
        <v>7</v>
      </c>
      <c r="E34718" s="4" t="s">
        <v>13</v>
      </c>
      <c r="F34718" s="4" t="s">
        <v>11</v>
      </c>
    </row>
    <row r="34719" spans="1:21">
      <c r="A34719" t="n">
        <v>338412</v>
      </c>
      <c r="B34719" s="51" t="n">
        <v>45</v>
      </c>
      <c r="C34719" s="7" t="n">
        <v>11</v>
      </c>
      <c r="D34719" s="7" t="n">
        <v>3</v>
      </c>
      <c r="E34719" s="7" t="n">
        <v>34</v>
      </c>
      <c r="F34719" s="7" t="n">
        <v>0</v>
      </c>
    </row>
    <row r="34720" spans="1:21">
      <c r="A34720" t="s">
        <v>4</v>
      </c>
      <c r="B34720" s="4" t="s">
        <v>5</v>
      </c>
      <c r="C34720" s="4" t="s">
        <v>7</v>
      </c>
      <c r="D34720" s="4" t="s">
        <v>7</v>
      </c>
      <c r="E34720" s="4" t="s">
        <v>13</v>
      </c>
      <c r="F34720" s="4" t="s">
        <v>11</v>
      </c>
    </row>
    <row r="34721" spans="1:9">
      <c r="A34721" t="n">
        <v>338421</v>
      </c>
      <c r="B34721" s="51" t="n">
        <v>45</v>
      </c>
      <c r="C34721" s="7" t="n">
        <v>5</v>
      </c>
      <c r="D34721" s="7" t="n">
        <v>3</v>
      </c>
      <c r="E34721" s="7" t="n">
        <v>1.60000002384186</v>
      </c>
      <c r="F34721" s="7" t="n">
        <v>3000</v>
      </c>
    </row>
    <row r="34722" spans="1:9">
      <c r="A34722" t="s">
        <v>4</v>
      </c>
      <c r="B34722" s="4" t="s">
        <v>5</v>
      </c>
      <c r="C34722" s="4" t="s">
        <v>11</v>
      </c>
      <c r="D34722" s="4" t="s">
        <v>7</v>
      </c>
      <c r="E34722" s="4" t="s">
        <v>8</v>
      </c>
      <c r="F34722" s="4" t="s">
        <v>13</v>
      </c>
      <c r="G34722" s="4" t="s">
        <v>13</v>
      </c>
      <c r="H34722" s="4" t="s">
        <v>13</v>
      </c>
    </row>
    <row r="34723" spans="1:9">
      <c r="A34723" t="n">
        <v>338430</v>
      </c>
      <c r="B34723" s="42" t="n">
        <v>48</v>
      </c>
      <c r="C34723" s="7" t="n">
        <v>0</v>
      </c>
      <c r="D34723" s="7" t="n">
        <v>0</v>
      </c>
      <c r="E34723" s="7" t="s">
        <v>275</v>
      </c>
      <c r="F34723" s="7" t="n">
        <v>0</v>
      </c>
      <c r="G34723" s="7" t="n">
        <v>1</v>
      </c>
      <c r="H34723" s="7" t="n">
        <v>0</v>
      </c>
    </row>
    <row r="34724" spans="1:9">
      <c r="A34724" t="s">
        <v>4</v>
      </c>
      <c r="B34724" s="4" t="s">
        <v>5</v>
      </c>
      <c r="C34724" s="4" t="s">
        <v>7</v>
      </c>
      <c r="D34724" s="4" t="s">
        <v>11</v>
      </c>
      <c r="E34724" s="4" t="s">
        <v>8</v>
      </c>
      <c r="F34724" s="4" t="s">
        <v>8</v>
      </c>
      <c r="G34724" s="4" t="s">
        <v>8</v>
      </c>
      <c r="H34724" s="4" t="s">
        <v>8</v>
      </c>
    </row>
    <row r="34725" spans="1:9">
      <c r="A34725" t="n">
        <v>338455</v>
      </c>
      <c r="B34725" s="38" t="n">
        <v>51</v>
      </c>
      <c r="C34725" s="7" t="n">
        <v>3</v>
      </c>
      <c r="D34725" s="7" t="n">
        <v>2</v>
      </c>
      <c r="E34725" s="7" t="s">
        <v>232</v>
      </c>
      <c r="F34725" s="7" t="s">
        <v>79</v>
      </c>
      <c r="G34725" s="7" t="s">
        <v>78</v>
      </c>
      <c r="H34725" s="7" t="s">
        <v>79</v>
      </c>
    </row>
    <row r="34726" spans="1:9">
      <c r="A34726" t="s">
        <v>4</v>
      </c>
      <c r="B34726" s="4" t="s">
        <v>5</v>
      </c>
      <c r="C34726" s="4" t="s">
        <v>11</v>
      </c>
    </row>
    <row r="34727" spans="1:9">
      <c r="A34727" t="n">
        <v>338468</v>
      </c>
      <c r="B34727" s="29" t="n">
        <v>16</v>
      </c>
      <c r="C34727" s="7" t="n">
        <v>0</v>
      </c>
    </row>
    <row r="34728" spans="1:9">
      <c r="A34728" t="s">
        <v>4</v>
      </c>
      <c r="B34728" s="4" t="s">
        <v>5</v>
      </c>
      <c r="C34728" s="4" t="s">
        <v>11</v>
      </c>
      <c r="D34728" s="4" t="s">
        <v>11</v>
      </c>
      <c r="E34728" s="4" t="s">
        <v>11</v>
      </c>
    </row>
    <row r="34729" spans="1:9">
      <c r="A34729" t="n">
        <v>338471</v>
      </c>
      <c r="B34729" s="72" t="n">
        <v>61</v>
      </c>
      <c r="C34729" s="7" t="n">
        <v>0</v>
      </c>
      <c r="D34729" s="7" t="n">
        <v>2</v>
      </c>
      <c r="E34729" s="7" t="n">
        <v>0</v>
      </c>
    </row>
    <row r="34730" spans="1:9">
      <c r="A34730" t="s">
        <v>4</v>
      </c>
      <c r="B34730" s="4" t="s">
        <v>5</v>
      </c>
      <c r="C34730" s="4" t="s">
        <v>11</v>
      </c>
      <c r="D34730" s="4" t="s">
        <v>11</v>
      </c>
      <c r="E34730" s="4" t="s">
        <v>11</v>
      </c>
    </row>
    <row r="34731" spans="1:9">
      <c r="A34731" t="n">
        <v>338478</v>
      </c>
      <c r="B34731" s="72" t="n">
        <v>61</v>
      </c>
      <c r="C34731" s="7" t="n">
        <v>2</v>
      </c>
      <c r="D34731" s="7" t="n">
        <v>0</v>
      </c>
      <c r="E34731" s="7" t="n">
        <v>0</v>
      </c>
    </row>
    <row r="34732" spans="1:9">
      <c r="A34732" t="s">
        <v>4</v>
      </c>
      <c r="B34732" s="4" t="s">
        <v>5</v>
      </c>
      <c r="C34732" s="4" t="s">
        <v>7</v>
      </c>
      <c r="D34732" s="4" t="s">
        <v>11</v>
      </c>
      <c r="E34732" s="4" t="s">
        <v>13</v>
      </c>
    </row>
    <row r="34733" spans="1:9">
      <c r="A34733" t="n">
        <v>338485</v>
      </c>
      <c r="B34733" s="23" t="n">
        <v>58</v>
      </c>
      <c r="C34733" s="7" t="n">
        <v>100</v>
      </c>
      <c r="D34733" s="7" t="n">
        <v>1000</v>
      </c>
      <c r="E34733" s="7" t="n">
        <v>1</v>
      </c>
    </row>
    <row r="34734" spans="1:9">
      <c r="A34734" t="s">
        <v>4</v>
      </c>
      <c r="B34734" s="4" t="s">
        <v>5</v>
      </c>
      <c r="C34734" s="4" t="s">
        <v>7</v>
      </c>
      <c r="D34734" s="4" t="s">
        <v>11</v>
      </c>
    </row>
    <row r="34735" spans="1:9">
      <c r="A34735" t="n">
        <v>338493</v>
      </c>
      <c r="B34735" s="23" t="n">
        <v>58</v>
      </c>
      <c r="C34735" s="7" t="n">
        <v>255</v>
      </c>
      <c r="D34735" s="7" t="n">
        <v>0</v>
      </c>
    </row>
    <row r="34736" spans="1:9">
      <c r="A34736" t="s">
        <v>4</v>
      </c>
      <c r="B34736" s="4" t="s">
        <v>5</v>
      </c>
      <c r="C34736" s="4" t="s">
        <v>7</v>
      </c>
      <c r="D34736" s="4" t="s">
        <v>11</v>
      </c>
      <c r="E34736" s="4" t="s">
        <v>8</v>
      </c>
    </row>
    <row r="34737" spans="1:8">
      <c r="A34737" t="n">
        <v>338497</v>
      </c>
      <c r="B34737" s="38" t="n">
        <v>51</v>
      </c>
      <c r="C34737" s="7" t="n">
        <v>4</v>
      </c>
      <c r="D34737" s="7" t="n">
        <v>0</v>
      </c>
      <c r="E34737" s="7" t="s">
        <v>304</v>
      </c>
    </row>
    <row r="34738" spans="1:8">
      <c r="A34738" t="s">
        <v>4</v>
      </c>
      <c r="B34738" s="4" t="s">
        <v>5</v>
      </c>
      <c r="C34738" s="4" t="s">
        <v>11</v>
      </c>
    </row>
    <row r="34739" spans="1:8">
      <c r="A34739" t="n">
        <v>338510</v>
      </c>
      <c r="B34739" s="29" t="n">
        <v>16</v>
      </c>
      <c r="C34739" s="7" t="n">
        <v>0</v>
      </c>
    </row>
    <row r="34740" spans="1:8">
      <c r="A34740" t="s">
        <v>4</v>
      </c>
      <c r="B34740" s="4" t="s">
        <v>5</v>
      </c>
      <c r="C34740" s="4" t="s">
        <v>11</v>
      </c>
      <c r="D34740" s="4" t="s">
        <v>7</v>
      </c>
      <c r="E34740" s="4" t="s">
        <v>15</v>
      </c>
      <c r="F34740" s="4" t="s">
        <v>55</v>
      </c>
      <c r="G34740" s="4" t="s">
        <v>7</v>
      </c>
      <c r="H34740" s="4" t="s">
        <v>7</v>
      </c>
    </row>
    <row r="34741" spans="1:8">
      <c r="A34741" t="n">
        <v>338513</v>
      </c>
      <c r="B34741" s="55" t="n">
        <v>26</v>
      </c>
      <c r="C34741" s="7" t="n">
        <v>0</v>
      </c>
      <c r="D34741" s="7" t="n">
        <v>17</v>
      </c>
      <c r="E34741" s="7" t="n">
        <v>64313</v>
      </c>
      <c r="F34741" s="7" t="s">
        <v>1263</v>
      </c>
      <c r="G34741" s="7" t="n">
        <v>2</v>
      </c>
      <c r="H34741" s="7" t="n">
        <v>0</v>
      </c>
    </row>
    <row r="34742" spans="1:8">
      <c r="A34742" t="s">
        <v>4</v>
      </c>
      <c r="B34742" s="4" t="s">
        <v>5</v>
      </c>
    </row>
    <row r="34743" spans="1:8">
      <c r="A34743" t="n">
        <v>338569</v>
      </c>
      <c r="B34743" s="27" t="n">
        <v>28</v>
      </c>
    </row>
    <row r="34744" spans="1:8">
      <c r="A34744" t="s">
        <v>4</v>
      </c>
      <c r="B34744" s="4" t="s">
        <v>5</v>
      </c>
      <c r="C34744" s="4" t="s">
        <v>7</v>
      </c>
      <c r="D34744" s="4" t="s">
        <v>11</v>
      </c>
      <c r="E34744" s="4" t="s">
        <v>11</v>
      </c>
      <c r="F34744" s="4" t="s">
        <v>7</v>
      </c>
    </row>
    <row r="34745" spans="1:8">
      <c r="A34745" t="n">
        <v>338570</v>
      </c>
      <c r="B34745" s="31" t="n">
        <v>25</v>
      </c>
      <c r="C34745" s="7" t="n">
        <v>1</v>
      </c>
      <c r="D34745" s="7" t="n">
        <v>65535</v>
      </c>
      <c r="E34745" s="7" t="n">
        <v>65535</v>
      </c>
      <c r="F34745" s="7" t="n">
        <v>0</v>
      </c>
    </row>
    <row r="34746" spans="1:8">
      <c r="A34746" t="s">
        <v>4</v>
      </c>
      <c r="B34746" s="4" t="s">
        <v>5</v>
      </c>
      <c r="C34746" s="4" t="s">
        <v>11</v>
      </c>
      <c r="D34746" s="4" t="s">
        <v>7</v>
      </c>
      <c r="E34746" s="4" t="s">
        <v>7</v>
      </c>
      <c r="F34746" s="4" t="s">
        <v>8</v>
      </c>
    </row>
    <row r="34747" spans="1:8">
      <c r="A34747" t="n">
        <v>338577</v>
      </c>
      <c r="B34747" s="50" t="n">
        <v>20</v>
      </c>
      <c r="C34747" s="7" t="n">
        <v>2</v>
      </c>
      <c r="D34747" s="7" t="n">
        <v>2</v>
      </c>
      <c r="E34747" s="7" t="n">
        <v>10</v>
      </c>
      <c r="F34747" s="7" t="s">
        <v>223</v>
      </c>
    </row>
    <row r="34748" spans="1:8">
      <c r="A34748" t="s">
        <v>4</v>
      </c>
      <c r="B34748" s="4" t="s">
        <v>5</v>
      </c>
      <c r="C34748" s="4" t="s">
        <v>7</v>
      </c>
      <c r="D34748" s="4" t="s">
        <v>11</v>
      </c>
      <c r="E34748" s="4" t="s">
        <v>8</v>
      </c>
    </row>
    <row r="34749" spans="1:8">
      <c r="A34749" t="n">
        <v>338598</v>
      </c>
      <c r="B34749" s="38" t="n">
        <v>51</v>
      </c>
      <c r="C34749" s="7" t="n">
        <v>4</v>
      </c>
      <c r="D34749" s="7" t="n">
        <v>2</v>
      </c>
      <c r="E34749" s="7" t="s">
        <v>491</v>
      </c>
    </row>
    <row r="34750" spans="1:8">
      <c r="A34750" t="s">
        <v>4</v>
      </c>
      <c r="B34750" s="4" t="s">
        <v>5</v>
      </c>
      <c r="C34750" s="4" t="s">
        <v>11</v>
      </c>
    </row>
    <row r="34751" spans="1:8">
      <c r="A34751" t="n">
        <v>338612</v>
      </c>
      <c r="B34751" s="29" t="n">
        <v>16</v>
      </c>
      <c r="C34751" s="7" t="n">
        <v>0</v>
      </c>
    </row>
    <row r="34752" spans="1:8">
      <c r="A34752" t="s">
        <v>4</v>
      </c>
      <c r="B34752" s="4" t="s">
        <v>5</v>
      </c>
      <c r="C34752" s="4" t="s">
        <v>11</v>
      </c>
      <c r="D34752" s="4" t="s">
        <v>7</v>
      </c>
      <c r="E34752" s="4" t="s">
        <v>15</v>
      </c>
      <c r="F34752" s="4" t="s">
        <v>55</v>
      </c>
      <c r="G34752" s="4" t="s">
        <v>7</v>
      </c>
      <c r="H34752" s="4" t="s">
        <v>7</v>
      </c>
      <c r="I34752" s="4" t="s">
        <v>7</v>
      </c>
      <c r="J34752" s="4" t="s">
        <v>15</v>
      </c>
      <c r="K34752" s="4" t="s">
        <v>55</v>
      </c>
      <c r="L34752" s="4" t="s">
        <v>7</v>
      </c>
      <c r="M34752" s="4" t="s">
        <v>7</v>
      </c>
      <c r="N34752" s="4" t="s">
        <v>7</v>
      </c>
      <c r="O34752" s="4" t="s">
        <v>15</v>
      </c>
      <c r="P34752" s="4" t="s">
        <v>55</v>
      </c>
      <c r="Q34752" s="4" t="s">
        <v>7</v>
      </c>
      <c r="R34752" s="4" t="s">
        <v>7</v>
      </c>
    </row>
    <row r="34753" spans="1:18">
      <c r="A34753" t="n">
        <v>338615</v>
      </c>
      <c r="B34753" s="55" t="n">
        <v>26</v>
      </c>
      <c r="C34753" s="7" t="n">
        <v>2</v>
      </c>
      <c r="D34753" s="7" t="n">
        <v>17</v>
      </c>
      <c r="E34753" s="7" t="n">
        <v>64314</v>
      </c>
      <c r="F34753" s="7" t="s">
        <v>1264</v>
      </c>
      <c r="G34753" s="7" t="n">
        <v>2</v>
      </c>
      <c r="H34753" s="7" t="n">
        <v>3</v>
      </c>
      <c r="I34753" s="7" t="n">
        <v>17</v>
      </c>
      <c r="J34753" s="7" t="n">
        <v>64315</v>
      </c>
      <c r="K34753" s="7" t="s">
        <v>1265</v>
      </c>
      <c r="L34753" s="7" t="n">
        <v>2</v>
      </c>
      <c r="M34753" s="7" t="n">
        <v>3</v>
      </c>
      <c r="N34753" s="7" t="n">
        <v>17</v>
      </c>
      <c r="O34753" s="7" t="n">
        <v>64316</v>
      </c>
      <c r="P34753" s="7" t="s">
        <v>1266</v>
      </c>
      <c r="Q34753" s="7" t="n">
        <v>2</v>
      </c>
      <c r="R34753" s="7" t="n">
        <v>0</v>
      </c>
    </row>
    <row r="34754" spans="1:18">
      <c r="A34754" t="s">
        <v>4</v>
      </c>
      <c r="B34754" s="4" t="s">
        <v>5</v>
      </c>
    </row>
    <row r="34755" spans="1:18">
      <c r="A34755" t="n">
        <v>338871</v>
      </c>
      <c r="B34755" s="27" t="n">
        <v>28</v>
      </c>
    </row>
    <row r="34756" spans="1:18">
      <c r="A34756" t="s">
        <v>4</v>
      </c>
      <c r="B34756" s="4" t="s">
        <v>5</v>
      </c>
      <c r="C34756" s="4" t="s">
        <v>7</v>
      </c>
      <c r="D34756" s="4" t="s">
        <v>11</v>
      </c>
      <c r="E34756" s="4" t="s">
        <v>8</v>
      </c>
    </row>
    <row r="34757" spans="1:18">
      <c r="A34757" t="n">
        <v>338872</v>
      </c>
      <c r="B34757" s="38" t="n">
        <v>51</v>
      </c>
      <c r="C34757" s="7" t="n">
        <v>4</v>
      </c>
      <c r="D34757" s="7" t="n">
        <v>0</v>
      </c>
      <c r="E34757" s="7" t="s">
        <v>167</v>
      </c>
    </row>
    <row r="34758" spans="1:18">
      <c r="A34758" t="s">
        <v>4</v>
      </c>
      <c r="B34758" s="4" t="s">
        <v>5</v>
      </c>
      <c r="C34758" s="4" t="s">
        <v>11</v>
      </c>
    </row>
    <row r="34759" spans="1:18">
      <c r="A34759" t="n">
        <v>338886</v>
      </c>
      <c r="B34759" s="29" t="n">
        <v>16</v>
      </c>
      <c r="C34759" s="7" t="n">
        <v>0</v>
      </c>
    </row>
    <row r="34760" spans="1:18">
      <c r="A34760" t="s">
        <v>4</v>
      </c>
      <c r="B34760" s="4" t="s">
        <v>5</v>
      </c>
      <c r="C34760" s="4" t="s">
        <v>11</v>
      </c>
      <c r="D34760" s="4" t="s">
        <v>7</v>
      </c>
      <c r="E34760" s="4" t="s">
        <v>15</v>
      </c>
      <c r="F34760" s="4" t="s">
        <v>55</v>
      </c>
      <c r="G34760" s="4" t="s">
        <v>7</v>
      </c>
      <c r="H34760" s="4" t="s">
        <v>7</v>
      </c>
    </row>
    <row r="34761" spans="1:18">
      <c r="A34761" t="n">
        <v>338889</v>
      </c>
      <c r="B34761" s="55" t="n">
        <v>26</v>
      </c>
      <c r="C34761" s="7" t="n">
        <v>0</v>
      </c>
      <c r="D34761" s="7" t="n">
        <v>17</v>
      </c>
      <c r="E34761" s="7" t="n">
        <v>64317</v>
      </c>
      <c r="F34761" s="7" t="s">
        <v>1267</v>
      </c>
      <c r="G34761" s="7" t="n">
        <v>2</v>
      </c>
      <c r="H34761" s="7" t="n">
        <v>0</v>
      </c>
    </row>
    <row r="34762" spans="1:18">
      <c r="A34762" t="s">
        <v>4</v>
      </c>
      <c r="B34762" s="4" t="s">
        <v>5</v>
      </c>
    </row>
    <row r="34763" spans="1:18">
      <c r="A34763" t="n">
        <v>338969</v>
      </c>
      <c r="B34763" s="27" t="n">
        <v>28</v>
      </c>
    </row>
    <row r="34764" spans="1:18">
      <c r="A34764" t="s">
        <v>4</v>
      </c>
      <c r="B34764" s="4" t="s">
        <v>5</v>
      </c>
      <c r="C34764" s="4" t="s">
        <v>7</v>
      </c>
      <c r="D34764" s="4" t="s">
        <v>11</v>
      </c>
      <c r="E34764" s="4" t="s">
        <v>11</v>
      </c>
      <c r="F34764" s="4" t="s">
        <v>7</v>
      </c>
    </row>
    <row r="34765" spans="1:18">
      <c r="A34765" t="n">
        <v>338970</v>
      </c>
      <c r="B34765" s="31" t="n">
        <v>25</v>
      </c>
      <c r="C34765" s="7" t="n">
        <v>1</v>
      </c>
      <c r="D34765" s="7" t="n">
        <v>65535</v>
      </c>
      <c r="E34765" s="7" t="n">
        <v>65535</v>
      </c>
      <c r="F34765" s="7" t="n">
        <v>0</v>
      </c>
    </row>
    <row r="34766" spans="1:18">
      <c r="A34766" t="s">
        <v>4</v>
      </c>
      <c r="B34766" s="4" t="s">
        <v>5</v>
      </c>
      <c r="C34766" s="4" t="s">
        <v>11</v>
      </c>
      <c r="D34766" s="4" t="s">
        <v>7</v>
      </c>
      <c r="E34766" s="4" t="s">
        <v>13</v>
      </c>
      <c r="F34766" s="4" t="s">
        <v>11</v>
      </c>
    </row>
    <row r="34767" spans="1:18">
      <c r="A34767" t="n">
        <v>338977</v>
      </c>
      <c r="B34767" s="56" t="n">
        <v>59</v>
      </c>
      <c r="C34767" s="7" t="n">
        <v>0</v>
      </c>
      <c r="D34767" s="7" t="n">
        <v>9</v>
      </c>
      <c r="E34767" s="7" t="n">
        <v>0.150000005960464</v>
      </c>
      <c r="F34767" s="7" t="n">
        <v>0</v>
      </c>
    </row>
    <row r="34768" spans="1:18">
      <c r="A34768" t="s">
        <v>4</v>
      </c>
      <c r="B34768" s="4" t="s">
        <v>5</v>
      </c>
      <c r="C34768" s="4" t="s">
        <v>11</v>
      </c>
    </row>
    <row r="34769" spans="1:18">
      <c r="A34769" t="n">
        <v>338987</v>
      </c>
      <c r="B34769" s="29" t="n">
        <v>16</v>
      </c>
      <c r="C34769" s="7" t="n">
        <v>1600</v>
      </c>
    </row>
    <row r="34770" spans="1:18">
      <c r="A34770" t="s">
        <v>4</v>
      </c>
      <c r="B34770" s="4" t="s">
        <v>5</v>
      </c>
      <c r="C34770" s="4" t="s">
        <v>7</v>
      </c>
      <c r="D34770" s="4" t="s">
        <v>11</v>
      </c>
      <c r="E34770" s="4" t="s">
        <v>8</v>
      </c>
    </row>
    <row r="34771" spans="1:18">
      <c r="A34771" t="n">
        <v>338990</v>
      </c>
      <c r="B34771" s="38" t="n">
        <v>51</v>
      </c>
      <c r="C34771" s="7" t="n">
        <v>4</v>
      </c>
      <c r="D34771" s="7" t="n">
        <v>0</v>
      </c>
      <c r="E34771" s="7" t="s">
        <v>607</v>
      </c>
    </row>
    <row r="34772" spans="1:18">
      <c r="A34772" t="s">
        <v>4</v>
      </c>
      <c r="B34772" s="4" t="s">
        <v>5</v>
      </c>
      <c r="C34772" s="4" t="s">
        <v>11</v>
      </c>
    </row>
    <row r="34773" spans="1:18">
      <c r="A34773" t="n">
        <v>339003</v>
      </c>
      <c r="B34773" s="29" t="n">
        <v>16</v>
      </c>
      <c r="C34773" s="7" t="n">
        <v>0</v>
      </c>
    </row>
    <row r="34774" spans="1:18">
      <c r="A34774" t="s">
        <v>4</v>
      </c>
      <c r="B34774" s="4" t="s">
        <v>5</v>
      </c>
      <c r="C34774" s="4" t="s">
        <v>11</v>
      </c>
      <c r="D34774" s="4" t="s">
        <v>7</v>
      </c>
      <c r="E34774" s="4" t="s">
        <v>15</v>
      </c>
      <c r="F34774" s="4" t="s">
        <v>55</v>
      </c>
      <c r="G34774" s="4" t="s">
        <v>7</v>
      </c>
      <c r="H34774" s="4" t="s">
        <v>7</v>
      </c>
      <c r="I34774" s="4" t="s">
        <v>7</v>
      </c>
      <c r="J34774" s="4" t="s">
        <v>15</v>
      </c>
      <c r="K34774" s="4" t="s">
        <v>55</v>
      </c>
      <c r="L34774" s="4" t="s">
        <v>7</v>
      </c>
      <c r="M34774" s="4" t="s">
        <v>7</v>
      </c>
    </row>
    <row r="34775" spans="1:18">
      <c r="A34775" t="n">
        <v>339006</v>
      </c>
      <c r="B34775" s="55" t="n">
        <v>26</v>
      </c>
      <c r="C34775" s="7" t="n">
        <v>0</v>
      </c>
      <c r="D34775" s="7" t="n">
        <v>17</v>
      </c>
      <c r="E34775" s="7" t="n">
        <v>64318</v>
      </c>
      <c r="F34775" s="7" t="s">
        <v>1268</v>
      </c>
      <c r="G34775" s="7" t="n">
        <v>2</v>
      </c>
      <c r="H34775" s="7" t="n">
        <v>3</v>
      </c>
      <c r="I34775" s="7" t="n">
        <v>17</v>
      </c>
      <c r="J34775" s="7" t="n">
        <v>64319</v>
      </c>
      <c r="K34775" s="7" t="s">
        <v>1269</v>
      </c>
      <c r="L34775" s="7" t="n">
        <v>2</v>
      </c>
      <c r="M34775" s="7" t="n">
        <v>0</v>
      </c>
    </row>
    <row r="34776" spans="1:18">
      <c r="A34776" t="s">
        <v>4</v>
      </c>
      <c r="B34776" s="4" t="s">
        <v>5</v>
      </c>
    </row>
    <row r="34777" spans="1:18">
      <c r="A34777" t="n">
        <v>339173</v>
      </c>
      <c r="B34777" s="27" t="n">
        <v>28</v>
      </c>
    </row>
    <row r="34778" spans="1:18">
      <c r="A34778" t="s">
        <v>4</v>
      </c>
      <c r="B34778" s="4" t="s">
        <v>5</v>
      </c>
      <c r="C34778" s="4" t="s">
        <v>7</v>
      </c>
      <c r="D34778" s="4" t="s">
        <v>11</v>
      </c>
      <c r="E34778" s="4" t="s">
        <v>11</v>
      </c>
      <c r="F34778" s="4" t="s">
        <v>7</v>
      </c>
    </row>
    <row r="34779" spans="1:18">
      <c r="A34779" t="n">
        <v>339174</v>
      </c>
      <c r="B34779" s="31" t="n">
        <v>25</v>
      </c>
      <c r="C34779" s="7" t="n">
        <v>1</v>
      </c>
      <c r="D34779" s="7" t="n">
        <v>65535</v>
      </c>
      <c r="E34779" s="7" t="n">
        <v>65535</v>
      </c>
      <c r="F34779" s="7" t="n">
        <v>0</v>
      </c>
    </row>
    <row r="34780" spans="1:18">
      <c r="A34780" t="s">
        <v>4</v>
      </c>
      <c r="B34780" s="4" t="s">
        <v>5</v>
      </c>
      <c r="C34780" s="4" t="s">
        <v>7</v>
      </c>
      <c r="D34780" s="4" t="s">
        <v>11</v>
      </c>
      <c r="E34780" s="4" t="s">
        <v>8</v>
      </c>
    </row>
    <row r="34781" spans="1:18">
      <c r="A34781" t="n">
        <v>339181</v>
      </c>
      <c r="B34781" s="38" t="n">
        <v>51</v>
      </c>
      <c r="C34781" s="7" t="n">
        <v>4</v>
      </c>
      <c r="D34781" s="7" t="n">
        <v>2</v>
      </c>
      <c r="E34781" s="7" t="s">
        <v>1270</v>
      </c>
    </row>
    <row r="34782" spans="1:18">
      <c r="A34782" t="s">
        <v>4</v>
      </c>
      <c r="B34782" s="4" t="s">
        <v>5</v>
      </c>
      <c r="C34782" s="4" t="s">
        <v>11</v>
      </c>
    </row>
    <row r="34783" spans="1:18">
      <c r="A34783" t="n">
        <v>339194</v>
      </c>
      <c r="B34783" s="29" t="n">
        <v>16</v>
      </c>
      <c r="C34783" s="7" t="n">
        <v>0</v>
      </c>
    </row>
    <row r="34784" spans="1:18">
      <c r="A34784" t="s">
        <v>4</v>
      </c>
      <c r="B34784" s="4" t="s">
        <v>5</v>
      </c>
      <c r="C34784" s="4" t="s">
        <v>11</v>
      </c>
      <c r="D34784" s="4" t="s">
        <v>7</v>
      </c>
      <c r="E34784" s="4" t="s">
        <v>15</v>
      </c>
      <c r="F34784" s="4" t="s">
        <v>55</v>
      </c>
      <c r="G34784" s="4" t="s">
        <v>7</v>
      </c>
      <c r="H34784" s="4" t="s">
        <v>7</v>
      </c>
      <c r="I34784" s="4" t="s">
        <v>7</v>
      </c>
      <c r="J34784" s="4" t="s">
        <v>15</v>
      </c>
      <c r="K34784" s="4" t="s">
        <v>55</v>
      </c>
      <c r="L34784" s="4" t="s">
        <v>7</v>
      </c>
      <c r="M34784" s="4" t="s">
        <v>7</v>
      </c>
      <c r="N34784" s="4" t="s">
        <v>7</v>
      </c>
      <c r="O34784" s="4" t="s">
        <v>15</v>
      </c>
      <c r="P34784" s="4" t="s">
        <v>55</v>
      </c>
      <c r="Q34784" s="4" t="s">
        <v>7</v>
      </c>
      <c r="R34784" s="4" t="s">
        <v>7</v>
      </c>
      <c r="S34784" s="4" t="s">
        <v>7</v>
      </c>
      <c r="T34784" s="4" t="s">
        <v>15</v>
      </c>
      <c r="U34784" s="4" t="s">
        <v>55</v>
      </c>
      <c r="V34784" s="4" t="s">
        <v>7</v>
      </c>
      <c r="W34784" s="4" t="s">
        <v>7</v>
      </c>
    </row>
    <row r="34785" spans="1:23">
      <c r="A34785" t="n">
        <v>339197</v>
      </c>
      <c r="B34785" s="55" t="n">
        <v>26</v>
      </c>
      <c r="C34785" s="7" t="n">
        <v>2</v>
      </c>
      <c r="D34785" s="7" t="n">
        <v>17</v>
      </c>
      <c r="E34785" s="7" t="n">
        <v>64320</v>
      </c>
      <c r="F34785" s="7" t="s">
        <v>1271</v>
      </c>
      <c r="G34785" s="7" t="n">
        <v>2</v>
      </c>
      <c r="H34785" s="7" t="n">
        <v>3</v>
      </c>
      <c r="I34785" s="7" t="n">
        <v>17</v>
      </c>
      <c r="J34785" s="7" t="n">
        <v>64321</v>
      </c>
      <c r="K34785" s="7" t="s">
        <v>1272</v>
      </c>
      <c r="L34785" s="7" t="n">
        <v>2</v>
      </c>
      <c r="M34785" s="7" t="n">
        <v>3</v>
      </c>
      <c r="N34785" s="7" t="n">
        <v>17</v>
      </c>
      <c r="O34785" s="7" t="n">
        <v>64322</v>
      </c>
      <c r="P34785" s="7" t="s">
        <v>1273</v>
      </c>
      <c r="Q34785" s="7" t="n">
        <v>2</v>
      </c>
      <c r="R34785" s="7" t="n">
        <v>3</v>
      </c>
      <c r="S34785" s="7" t="n">
        <v>17</v>
      </c>
      <c r="T34785" s="7" t="n">
        <v>64323</v>
      </c>
      <c r="U34785" s="7" t="s">
        <v>1274</v>
      </c>
      <c r="V34785" s="7" t="n">
        <v>2</v>
      </c>
      <c r="W34785" s="7" t="n">
        <v>0</v>
      </c>
    </row>
    <row r="34786" spans="1:23">
      <c r="A34786" t="s">
        <v>4</v>
      </c>
      <c r="B34786" s="4" t="s">
        <v>5</v>
      </c>
    </row>
    <row r="34787" spans="1:23">
      <c r="A34787" t="n">
        <v>339660</v>
      </c>
      <c r="B34787" s="27" t="n">
        <v>28</v>
      </c>
    </row>
    <row r="34788" spans="1:23">
      <c r="A34788" t="s">
        <v>4</v>
      </c>
      <c r="B34788" s="4" t="s">
        <v>5</v>
      </c>
      <c r="C34788" s="4" t="s">
        <v>7</v>
      </c>
      <c r="D34788" s="4" t="s">
        <v>11</v>
      </c>
      <c r="E34788" s="4" t="s">
        <v>8</v>
      </c>
    </row>
    <row r="34789" spans="1:23">
      <c r="A34789" t="n">
        <v>339661</v>
      </c>
      <c r="B34789" s="38" t="n">
        <v>51</v>
      </c>
      <c r="C34789" s="7" t="n">
        <v>4</v>
      </c>
      <c r="D34789" s="7" t="n">
        <v>0</v>
      </c>
      <c r="E34789" s="7" t="s">
        <v>179</v>
      </c>
    </row>
    <row r="34790" spans="1:23">
      <c r="A34790" t="s">
        <v>4</v>
      </c>
      <c r="B34790" s="4" t="s">
        <v>5</v>
      </c>
      <c r="C34790" s="4" t="s">
        <v>11</v>
      </c>
    </row>
    <row r="34791" spans="1:23">
      <c r="A34791" t="n">
        <v>339675</v>
      </c>
      <c r="B34791" s="29" t="n">
        <v>16</v>
      </c>
      <c r="C34791" s="7" t="n">
        <v>0</v>
      </c>
    </row>
    <row r="34792" spans="1:23">
      <c r="A34792" t="s">
        <v>4</v>
      </c>
      <c r="B34792" s="4" t="s">
        <v>5</v>
      </c>
      <c r="C34792" s="4" t="s">
        <v>11</v>
      </c>
      <c r="D34792" s="4" t="s">
        <v>7</v>
      </c>
      <c r="E34792" s="4" t="s">
        <v>15</v>
      </c>
      <c r="F34792" s="4" t="s">
        <v>55</v>
      </c>
      <c r="G34792" s="4" t="s">
        <v>7</v>
      </c>
      <c r="H34792" s="4" t="s">
        <v>7</v>
      </c>
      <c r="I34792" s="4" t="s">
        <v>7</v>
      </c>
      <c r="J34792" s="4" t="s">
        <v>15</v>
      </c>
      <c r="K34792" s="4" t="s">
        <v>55</v>
      </c>
      <c r="L34792" s="4" t="s">
        <v>7</v>
      </c>
      <c r="M34792" s="4" t="s">
        <v>7</v>
      </c>
    </row>
    <row r="34793" spans="1:23">
      <c r="A34793" t="n">
        <v>339678</v>
      </c>
      <c r="B34793" s="55" t="n">
        <v>26</v>
      </c>
      <c r="C34793" s="7" t="n">
        <v>0</v>
      </c>
      <c r="D34793" s="7" t="n">
        <v>17</v>
      </c>
      <c r="E34793" s="7" t="n">
        <v>64324</v>
      </c>
      <c r="F34793" s="7" t="s">
        <v>1275</v>
      </c>
      <c r="G34793" s="7" t="n">
        <v>2</v>
      </c>
      <c r="H34793" s="7" t="n">
        <v>3</v>
      </c>
      <c r="I34793" s="7" t="n">
        <v>17</v>
      </c>
      <c r="J34793" s="7" t="n">
        <v>64325</v>
      </c>
      <c r="K34793" s="7" t="s">
        <v>1276</v>
      </c>
      <c r="L34793" s="7" t="n">
        <v>2</v>
      </c>
      <c r="M34793" s="7" t="n">
        <v>0</v>
      </c>
    </row>
    <row r="34794" spans="1:23">
      <c r="A34794" t="s">
        <v>4</v>
      </c>
      <c r="B34794" s="4" t="s">
        <v>5</v>
      </c>
    </row>
    <row r="34795" spans="1:23">
      <c r="A34795" t="n">
        <v>339754</v>
      </c>
      <c r="B34795" s="27" t="n">
        <v>28</v>
      </c>
    </row>
    <row r="34796" spans="1:23">
      <c r="A34796" t="s">
        <v>4</v>
      </c>
      <c r="B34796" s="4" t="s">
        <v>5</v>
      </c>
      <c r="C34796" s="4" t="s">
        <v>7</v>
      </c>
      <c r="D34796" s="4" t="s">
        <v>11</v>
      </c>
      <c r="E34796" s="4" t="s">
        <v>11</v>
      </c>
      <c r="F34796" s="4" t="s">
        <v>7</v>
      </c>
    </row>
    <row r="34797" spans="1:23">
      <c r="A34797" t="n">
        <v>339755</v>
      </c>
      <c r="B34797" s="31" t="n">
        <v>25</v>
      </c>
      <c r="C34797" s="7" t="n">
        <v>1</v>
      </c>
      <c r="D34797" s="7" t="n">
        <v>65535</v>
      </c>
      <c r="E34797" s="7" t="n">
        <v>65535</v>
      </c>
      <c r="F34797" s="7" t="n">
        <v>0</v>
      </c>
    </row>
    <row r="34798" spans="1:23">
      <c r="A34798" t="s">
        <v>4</v>
      </c>
      <c r="B34798" s="4" t="s">
        <v>5</v>
      </c>
      <c r="C34798" s="4" t="s">
        <v>7</v>
      </c>
      <c r="D34798" s="4" t="s">
        <v>11</v>
      </c>
      <c r="E34798" s="4" t="s">
        <v>8</v>
      </c>
    </row>
    <row r="34799" spans="1:23">
      <c r="A34799" t="n">
        <v>339762</v>
      </c>
      <c r="B34799" s="38" t="n">
        <v>51</v>
      </c>
      <c r="C34799" s="7" t="n">
        <v>4</v>
      </c>
      <c r="D34799" s="7" t="n">
        <v>2</v>
      </c>
      <c r="E34799" s="7" t="s">
        <v>430</v>
      </c>
    </row>
    <row r="34800" spans="1:23">
      <c r="A34800" t="s">
        <v>4</v>
      </c>
      <c r="B34800" s="4" t="s">
        <v>5</v>
      </c>
      <c r="C34800" s="4" t="s">
        <v>11</v>
      </c>
    </row>
    <row r="34801" spans="1:23">
      <c r="A34801" t="n">
        <v>339775</v>
      </c>
      <c r="B34801" s="29" t="n">
        <v>16</v>
      </c>
      <c r="C34801" s="7" t="n">
        <v>0</v>
      </c>
    </row>
    <row r="34802" spans="1:23">
      <c r="A34802" t="s">
        <v>4</v>
      </c>
      <c r="B34802" s="4" t="s">
        <v>5</v>
      </c>
      <c r="C34802" s="4" t="s">
        <v>11</v>
      </c>
      <c r="D34802" s="4" t="s">
        <v>7</v>
      </c>
      <c r="E34802" s="4" t="s">
        <v>15</v>
      </c>
      <c r="F34802" s="4" t="s">
        <v>55</v>
      </c>
      <c r="G34802" s="4" t="s">
        <v>7</v>
      </c>
      <c r="H34802" s="4" t="s">
        <v>7</v>
      </c>
      <c r="I34802" s="4" t="s">
        <v>7</v>
      </c>
      <c r="J34802" s="4" t="s">
        <v>15</v>
      </c>
      <c r="K34802" s="4" t="s">
        <v>55</v>
      </c>
      <c r="L34802" s="4" t="s">
        <v>7</v>
      </c>
      <c r="M34802" s="4" t="s">
        <v>7</v>
      </c>
    </row>
    <row r="34803" spans="1:23">
      <c r="A34803" t="n">
        <v>339778</v>
      </c>
      <c r="B34803" s="55" t="n">
        <v>26</v>
      </c>
      <c r="C34803" s="7" t="n">
        <v>2</v>
      </c>
      <c r="D34803" s="7" t="n">
        <v>17</v>
      </c>
      <c r="E34803" s="7" t="n">
        <v>64326</v>
      </c>
      <c r="F34803" s="7" t="s">
        <v>1277</v>
      </c>
      <c r="G34803" s="7" t="n">
        <v>2</v>
      </c>
      <c r="H34803" s="7" t="n">
        <v>3</v>
      </c>
      <c r="I34803" s="7" t="n">
        <v>17</v>
      </c>
      <c r="J34803" s="7" t="n">
        <v>64327</v>
      </c>
      <c r="K34803" s="7" t="s">
        <v>1278</v>
      </c>
      <c r="L34803" s="7" t="n">
        <v>2</v>
      </c>
      <c r="M34803" s="7" t="n">
        <v>0</v>
      </c>
    </row>
    <row r="34804" spans="1:23">
      <c r="A34804" t="s">
        <v>4</v>
      </c>
      <c r="B34804" s="4" t="s">
        <v>5</v>
      </c>
    </row>
    <row r="34805" spans="1:23">
      <c r="A34805" t="n">
        <v>339827</v>
      </c>
      <c r="B34805" s="27" t="n">
        <v>28</v>
      </c>
    </row>
    <row r="34806" spans="1:23">
      <c r="A34806" t="s">
        <v>4</v>
      </c>
      <c r="B34806" s="4" t="s">
        <v>5</v>
      </c>
      <c r="C34806" s="4" t="s">
        <v>7</v>
      </c>
      <c r="D34806" s="4" t="s">
        <v>11</v>
      </c>
      <c r="E34806" s="4" t="s">
        <v>8</v>
      </c>
      <c r="F34806" s="4" t="s">
        <v>8</v>
      </c>
      <c r="G34806" s="4" t="s">
        <v>8</v>
      </c>
      <c r="H34806" s="4" t="s">
        <v>8</v>
      </c>
    </row>
    <row r="34807" spans="1:23">
      <c r="A34807" t="n">
        <v>339828</v>
      </c>
      <c r="B34807" s="38" t="n">
        <v>51</v>
      </c>
      <c r="C34807" s="7" t="n">
        <v>3</v>
      </c>
      <c r="D34807" s="7" t="n">
        <v>2</v>
      </c>
      <c r="E34807" s="7" t="s">
        <v>99</v>
      </c>
      <c r="F34807" s="7" t="s">
        <v>218</v>
      </c>
      <c r="G34807" s="7" t="s">
        <v>78</v>
      </c>
      <c r="H34807" s="7" t="s">
        <v>79</v>
      </c>
    </row>
    <row r="34808" spans="1:23">
      <c r="A34808" t="s">
        <v>4</v>
      </c>
      <c r="B34808" s="4" t="s">
        <v>5</v>
      </c>
      <c r="C34808" s="4" t="s">
        <v>11</v>
      </c>
      <c r="D34808" s="4" t="s">
        <v>13</v>
      </c>
      <c r="E34808" s="4" t="s">
        <v>13</v>
      </c>
      <c r="F34808" s="4" t="s">
        <v>13</v>
      </c>
      <c r="G34808" s="4" t="s">
        <v>11</v>
      </c>
      <c r="H34808" s="4" t="s">
        <v>11</v>
      </c>
    </row>
    <row r="34809" spans="1:23">
      <c r="A34809" t="n">
        <v>339841</v>
      </c>
      <c r="B34809" s="37" t="n">
        <v>60</v>
      </c>
      <c r="C34809" s="7" t="n">
        <v>2</v>
      </c>
      <c r="D34809" s="7" t="n">
        <v>0</v>
      </c>
      <c r="E34809" s="7" t="n">
        <v>-15</v>
      </c>
      <c r="F34809" s="7" t="n">
        <v>0</v>
      </c>
      <c r="G34809" s="7" t="n">
        <v>1000</v>
      </c>
      <c r="H34809" s="7" t="n">
        <v>0</v>
      </c>
    </row>
    <row r="34810" spans="1:23">
      <c r="A34810" t="s">
        <v>4</v>
      </c>
      <c r="B34810" s="4" t="s">
        <v>5</v>
      </c>
      <c r="C34810" s="4" t="s">
        <v>11</v>
      </c>
    </row>
    <row r="34811" spans="1:23">
      <c r="A34811" t="n">
        <v>339860</v>
      </c>
      <c r="B34811" s="29" t="n">
        <v>16</v>
      </c>
      <c r="C34811" s="7" t="n">
        <v>800</v>
      </c>
    </row>
    <row r="34812" spans="1:23">
      <c r="A34812" t="s">
        <v>4</v>
      </c>
      <c r="B34812" s="4" t="s">
        <v>5</v>
      </c>
      <c r="C34812" s="4" t="s">
        <v>7</v>
      </c>
      <c r="D34812" s="4" t="s">
        <v>11</v>
      </c>
      <c r="E34812" s="4" t="s">
        <v>13</v>
      </c>
    </row>
    <row r="34813" spans="1:23">
      <c r="A34813" t="n">
        <v>339863</v>
      </c>
      <c r="B34813" s="23" t="n">
        <v>58</v>
      </c>
      <c r="C34813" s="7" t="n">
        <v>101</v>
      </c>
      <c r="D34813" s="7" t="n">
        <v>800</v>
      </c>
      <c r="E34813" s="7" t="n">
        <v>1</v>
      </c>
    </row>
    <row r="34814" spans="1:23">
      <c r="A34814" t="s">
        <v>4</v>
      </c>
      <c r="B34814" s="4" t="s">
        <v>5</v>
      </c>
      <c r="C34814" s="4" t="s">
        <v>7</v>
      </c>
      <c r="D34814" s="4" t="s">
        <v>11</v>
      </c>
    </row>
    <row r="34815" spans="1:23">
      <c r="A34815" t="n">
        <v>339871</v>
      </c>
      <c r="B34815" s="23" t="n">
        <v>58</v>
      </c>
      <c r="C34815" s="7" t="n">
        <v>254</v>
      </c>
      <c r="D34815" s="7" t="n">
        <v>0</v>
      </c>
    </row>
    <row r="34816" spans="1:23">
      <c r="A34816" t="s">
        <v>4</v>
      </c>
      <c r="B34816" s="4" t="s">
        <v>5</v>
      </c>
      <c r="C34816" s="4" t="s">
        <v>7</v>
      </c>
      <c r="D34816" s="4" t="s">
        <v>7</v>
      </c>
      <c r="E34816" s="4" t="s">
        <v>13</v>
      </c>
      <c r="F34816" s="4" t="s">
        <v>13</v>
      </c>
      <c r="G34816" s="4" t="s">
        <v>13</v>
      </c>
      <c r="H34816" s="4" t="s">
        <v>11</v>
      </c>
    </row>
    <row r="34817" spans="1:13">
      <c r="A34817" t="n">
        <v>339875</v>
      </c>
      <c r="B34817" s="51" t="n">
        <v>45</v>
      </c>
      <c r="C34817" s="7" t="n">
        <v>2</v>
      </c>
      <c r="D34817" s="7" t="n">
        <v>3</v>
      </c>
      <c r="E34817" s="7" t="n">
        <v>1.55999994277954</v>
      </c>
      <c r="F34817" s="7" t="n">
        <v>6.48999977111816</v>
      </c>
      <c r="G34817" s="7" t="n">
        <v>47.5099983215332</v>
      </c>
      <c r="H34817" s="7" t="n">
        <v>0</v>
      </c>
    </row>
    <row r="34818" spans="1:13">
      <c r="A34818" t="s">
        <v>4</v>
      </c>
      <c r="B34818" s="4" t="s">
        <v>5</v>
      </c>
      <c r="C34818" s="4" t="s">
        <v>7</v>
      </c>
      <c r="D34818" s="4" t="s">
        <v>7</v>
      </c>
      <c r="E34818" s="4" t="s">
        <v>13</v>
      </c>
      <c r="F34818" s="4" t="s">
        <v>13</v>
      </c>
      <c r="G34818" s="4" t="s">
        <v>13</v>
      </c>
      <c r="H34818" s="4" t="s">
        <v>11</v>
      </c>
      <c r="I34818" s="4" t="s">
        <v>7</v>
      </c>
    </row>
    <row r="34819" spans="1:13">
      <c r="A34819" t="n">
        <v>339892</v>
      </c>
      <c r="B34819" s="51" t="n">
        <v>45</v>
      </c>
      <c r="C34819" s="7" t="n">
        <v>4</v>
      </c>
      <c r="D34819" s="7" t="n">
        <v>3</v>
      </c>
      <c r="E34819" s="7" t="n">
        <v>6.40000009536743</v>
      </c>
      <c r="F34819" s="7" t="n">
        <v>219.339996337891</v>
      </c>
      <c r="G34819" s="7" t="n">
        <v>358</v>
      </c>
      <c r="H34819" s="7" t="n">
        <v>0</v>
      </c>
      <c r="I34819" s="7" t="n">
        <v>0</v>
      </c>
    </row>
    <row r="34820" spans="1:13">
      <c r="A34820" t="s">
        <v>4</v>
      </c>
      <c r="B34820" s="4" t="s">
        <v>5</v>
      </c>
      <c r="C34820" s="4" t="s">
        <v>7</v>
      </c>
      <c r="D34820" s="4" t="s">
        <v>7</v>
      </c>
      <c r="E34820" s="4" t="s">
        <v>13</v>
      </c>
      <c r="F34820" s="4" t="s">
        <v>11</v>
      </c>
    </row>
    <row r="34821" spans="1:13">
      <c r="A34821" t="n">
        <v>339910</v>
      </c>
      <c r="B34821" s="51" t="n">
        <v>45</v>
      </c>
      <c r="C34821" s="7" t="n">
        <v>5</v>
      </c>
      <c r="D34821" s="7" t="n">
        <v>3</v>
      </c>
      <c r="E34821" s="7" t="n">
        <v>0.800000011920929</v>
      </c>
      <c r="F34821" s="7" t="n">
        <v>0</v>
      </c>
    </row>
    <row r="34822" spans="1:13">
      <c r="A34822" t="s">
        <v>4</v>
      </c>
      <c r="B34822" s="4" t="s">
        <v>5</v>
      </c>
      <c r="C34822" s="4" t="s">
        <v>7</v>
      </c>
      <c r="D34822" s="4" t="s">
        <v>7</v>
      </c>
      <c r="E34822" s="4" t="s">
        <v>13</v>
      </c>
      <c r="F34822" s="4" t="s">
        <v>11</v>
      </c>
    </row>
    <row r="34823" spans="1:13">
      <c r="A34823" t="n">
        <v>339919</v>
      </c>
      <c r="B34823" s="51" t="n">
        <v>45</v>
      </c>
      <c r="C34823" s="7" t="n">
        <v>5</v>
      </c>
      <c r="D34823" s="7" t="n">
        <v>3</v>
      </c>
      <c r="E34823" s="7" t="n">
        <v>0.899999976158142</v>
      </c>
      <c r="F34823" s="7" t="n">
        <v>3000</v>
      </c>
    </row>
    <row r="34824" spans="1:13">
      <c r="A34824" t="s">
        <v>4</v>
      </c>
      <c r="B34824" s="4" t="s">
        <v>5</v>
      </c>
      <c r="C34824" s="4" t="s">
        <v>7</v>
      </c>
      <c r="D34824" s="4" t="s">
        <v>7</v>
      </c>
      <c r="E34824" s="4" t="s">
        <v>13</v>
      </c>
      <c r="F34824" s="4" t="s">
        <v>11</v>
      </c>
    </row>
    <row r="34825" spans="1:13">
      <c r="A34825" t="n">
        <v>339928</v>
      </c>
      <c r="B34825" s="51" t="n">
        <v>45</v>
      </c>
      <c r="C34825" s="7" t="n">
        <v>11</v>
      </c>
      <c r="D34825" s="7" t="n">
        <v>3</v>
      </c>
      <c r="E34825" s="7" t="n">
        <v>32.2999992370605</v>
      </c>
      <c r="F34825" s="7" t="n">
        <v>0</v>
      </c>
    </row>
    <row r="34826" spans="1:13">
      <c r="A34826" t="s">
        <v>4</v>
      </c>
      <c r="B34826" s="4" t="s">
        <v>5</v>
      </c>
      <c r="C34826" s="4" t="s">
        <v>11</v>
      </c>
    </row>
    <row r="34827" spans="1:13">
      <c r="A34827" t="n">
        <v>339937</v>
      </c>
      <c r="B34827" s="29" t="n">
        <v>16</v>
      </c>
      <c r="C34827" s="7" t="n">
        <v>400</v>
      </c>
    </row>
    <row r="34828" spans="1:13">
      <c r="A34828" t="s">
        <v>4</v>
      </c>
      <c r="B34828" s="4" t="s">
        <v>5</v>
      </c>
      <c r="C34828" s="4" t="s">
        <v>11</v>
      </c>
      <c r="D34828" s="4" t="s">
        <v>7</v>
      </c>
      <c r="E34828" s="4" t="s">
        <v>13</v>
      </c>
      <c r="F34828" s="4" t="s">
        <v>11</v>
      </c>
    </row>
    <row r="34829" spans="1:13">
      <c r="A34829" t="n">
        <v>339940</v>
      </c>
      <c r="B34829" s="56" t="n">
        <v>59</v>
      </c>
      <c r="C34829" s="7" t="n">
        <v>2</v>
      </c>
      <c r="D34829" s="7" t="n">
        <v>9</v>
      </c>
      <c r="E34829" s="7" t="n">
        <v>0.150000005960464</v>
      </c>
      <c r="F34829" s="7" t="n">
        <v>0</v>
      </c>
    </row>
    <row r="34830" spans="1:13">
      <c r="A34830" t="s">
        <v>4</v>
      </c>
      <c r="B34830" s="4" t="s">
        <v>5</v>
      </c>
      <c r="C34830" s="4" t="s">
        <v>11</v>
      </c>
    </row>
    <row r="34831" spans="1:13">
      <c r="A34831" t="n">
        <v>339950</v>
      </c>
      <c r="B34831" s="29" t="n">
        <v>16</v>
      </c>
      <c r="C34831" s="7" t="n">
        <v>1500</v>
      </c>
    </row>
    <row r="34832" spans="1:13">
      <c r="A34832" t="s">
        <v>4</v>
      </c>
      <c r="B34832" s="4" t="s">
        <v>5</v>
      </c>
      <c r="C34832" s="4" t="s">
        <v>11</v>
      </c>
      <c r="D34832" s="4" t="s">
        <v>13</v>
      </c>
      <c r="E34832" s="4" t="s">
        <v>13</v>
      </c>
      <c r="F34832" s="4" t="s">
        <v>13</v>
      </c>
      <c r="G34832" s="4" t="s">
        <v>11</v>
      </c>
      <c r="H34832" s="4" t="s">
        <v>11</v>
      </c>
    </row>
    <row r="34833" spans="1:9">
      <c r="A34833" t="n">
        <v>339953</v>
      </c>
      <c r="B34833" s="37" t="n">
        <v>60</v>
      </c>
      <c r="C34833" s="7" t="n">
        <v>2</v>
      </c>
      <c r="D34833" s="7" t="n">
        <v>0</v>
      </c>
      <c r="E34833" s="7" t="n">
        <v>0</v>
      </c>
      <c r="F34833" s="7" t="n">
        <v>0</v>
      </c>
      <c r="G34833" s="7" t="n">
        <v>800</v>
      </c>
      <c r="H34833" s="7" t="n">
        <v>0</v>
      </c>
    </row>
    <row r="34834" spans="1:9">
      <c r="A34834" t="s">
        <v>4</v>
      </c>
      <c r="B34834" s="4" t="s">
        <v>5</v>
      </c>
      <c r="C34834" s="4" t="s">
        <v>11</v>
      </c>
    </row>
    <row r="34835" spans="1:9">
      <c r="A34835" t="n">
        <v>339972</v>
      </c>
      <c r="B34835" s="29" t="n">
        <v>16</v>
      </c>
      <c r="C34835" s="7" t="n">
        <v>1000</v>
      </c>
    </row>
    <row r="34836" spans="1:9">
      <c r="A34836" t="s">
        <v>4</v>
      </c>
      <c r="B34836" s="4" t="s">
        <v>5</v>
      </c>
      <c r="C34836" s="4" t="s">
        <v>7</v>
      </c>
      <c r="D34836" s="4" t="s">
        <v>11</v>
      </c>
      <c r="E34836" s="4" t="s">
        <v>8</v>
      </c>
    </row>
    <row r="34837" spans="1:9">
      <c r="A34837" t="n">
        <v>339975</v>
      </c>
      <c r="B34837" s="38" t="n">
        <v>51</v>
      </c>
      <c r="C34837" s="7" t="n">
        <v>4</v>
      </c>
      <c r="D34837" s="7" t="n">
        <v>2</v>
      </c>
      <c r="E34837" s="7" t="s">
        <v>1279</v>
      </c>
    </row>
    <row r="34838" spans="1:9">
      <c r="A34838" t="s">
        <v>4</v>
      </c>
      <c r="B34838" s="4" t="s">
        <v>5</v>
      </c>
      <c r="C34838" s="4" t="s">
        <v>11</v>
      </c>
    </row>
    <row r="34839" spans="1:9">
      <c r="A34839" t="n">
        <v>339989</v>
      </c>
      <c r="B34839" s="29" t="n">
        <v>16</v>
      </c>
      <c r="C34839" s="7" t="n">
        <v>0</v>
      </c>
    </row>
    <row r="34840" spans="1:9">
      <c r="A34840" t="s">
        <v>4</v>
      </c>
      <c r="B34840" s="4" t="s">
        <v>5</v>
      </c>
      <c r="C34840" s="4" t="s">
        <v>11</v>
      </c>
      <c r="D34840" s="4" t="s">
        <v>7</v>
      </c>
      <c r="E34840" s="4" t="s">
        <v>15</v>
      </c>
      <c r="F34840" s="4" t="s">
        <v>55</v>
      </c>
      <c r="G34840" s="4" t="s">
        <v>7</v>
      </c>
      <c r="H34840" s="4" t="s">
        <v>7</v>
      </c>
      <c r="I34840" s="4" t="s">
        <v>7</v>
      </c>
      <c r="J34840" s="4" t="s">
        <v>15</v>
      </c>
      <c r="K34840" s="4" t="s">
        <v>55</v>
      </c>
      <c r="L34840" s="4" t="s">
        <v>7</v>
      </c>
      <c r="M34840" s="4" t="s">
        <v>7</v>
      </c>
    </row>
    <row r="34841" spans="1:9">
      <c r="A34841" t="n">
        <v>339992</v>
      </c>
      <c r="B34841" s="55" t="n">
        <v>26</v>
      </c>
      <c r="C34841" s="7" t="n">
        <v>2</v>
      </c>
      <c r="D34841" s="7" t="n">
        <v>17</v>
      </c>
      <c r="E34841" s="7" t="n">
        <v>64328</v>
      </c>
      <c r="F34841" s="7" t="s">
        <v>1280</v>
      </c>
      <c r="G34841" s="7" t="n">
        <v>2</v>
      </c>
      <c r="H34841" s="7" t="n">
        <v>3</v>
      </c>
      <c r="I34841" s="7" t="n">
        <v>17</v>
      </c>
      <c r="J34841" s="7" t="n">
        <v>64329</v>
      </c>
      <c r="K34841" s="7" t="s">
        <v>1281</v>
      </c>
      <c r="L34841" s="7" t="n">
        <v>2</v>
      </c>
      <c r="M34841" s="7" t="n">
        <v>0</v>
      </c>
    </row>
    <row r="34842" spans="1:9">
      <c r="A34842" t="s">
        <v>4</v>
      </c>
      <c r="B34842" s="4" t="s">
        <v>5</v>
      </c>
    </row>
    <row r="34843" spans="1:9">
      <c r="A34843" t="n">
        <v>340060</v>
      </c>
      <c r="B34843" s="27" t="n">
        <v>28</v>
      </c>
    </row>
    <row r="34844" spans="1:9">
      <c r="A34844" t="s">
        <v>4</v>
      </c>
      <c r="B34844" s="4" t="s">
        <v>5</v>
      </c>
      <c r="C34844" s="4" t="s">
        <v>11</v>
      </c>
      <c r="D34844" s="4" t="s">
        <v>7</v>
      </c>
      <c r="E34844" s="4" t="s">
        <v>7</v>
      </c>
      <c r="F34844" s="4" t="s">
        <v>8</v>
      </c>
    </row>
    <row r="34845" spans="1:9">
      <c r="A34845" t="n">
        <v>340061</v>
      </c>
      <c r="B34845" s="50" t="n">
        <v>20</v>
      </c>
      <c r="C34845" s="7" t="n">
        <v>0</v>
      </c>
      <c r="D34845" s="7" t="n">
        <v>2</v>
      </c>
      <c r="E34845" s="7" t="n">
        <v>10</v>
      </c>
      <c r="F34845" s="7" t="s">
        <v>260</v>
      </c>
    </row>
    <row r="34846" spans="1:9">
      <c r="A34846" t="s">
        <v>4</v>
      </c>
      <c r="B34846" s="4" t="s">
        <v>5</v>
      </c>
      <c r="C34846" s="4" t="s">
        <v>7</v>
      </c>
      <c r="D34846" s="4" t="s">
        <v>11</v>
      </c>
      <c r="E34846" s="4" t="s">
        <v>8</v>
      </c>
    </row>
    <row r="34847" spans="1:9">
      <c r="A34847" t="n">
        <v>340081</v>
      </c>
      <c r="B34847" s="38" t="n">
        <v>51</v>
      </c>
      <c r="C34847" s="7" t="n">
        <v>4</v>
      </c>
      <c r="D34847" s="7" t="n">
        <v>0</v>
      </c>
      <c r="E34847" s="7" t="s">
        <v>242</v>
      </c>
    </row>
    <row r="34848" spans="1:9">
      <c r="A34848" t="s">
        <v>4</v>
      </c>
      <c r="B34848" s="4" t="s">
        <v>5</v>
      </c>
      <c r="C34848" s="4" t="s">
        <v>11</v>
      </c>
    </row>
    <row r="34849" spans="1:13">
      <c r="A34849" t="n">
        <v>340095</v>
      </c>
      <c r="B34849" s="29" t="n">
        <v>16</v>
      </c>
      <c r="C34849" s="7" t="n">
        <v>0</v>
      </c>
    </row>
    <row r="34850" spans="1:13">
      <c r="A34850" t="s">
        <v>4</v>
      </c>
      <c r="B34850" s="4" t="s">
        <v>5</v>
      </c>
      <c r="C34850" s="4" t="s">
        <v>11</v>
      </c>
      <c r="D34850" s="4" t="s">
        <v>7</v>
      </c>
      <c r="E34850" s="4" t="s">
        <v>15</v>
      </c>
      <c r="F34850" s="4" t="s">
        <v>55</v>
      </c>
      <c r="G34850" s="4" t="s">
        <v>7</v>
      </c>
      <c r="H34850" s="4" t="s">
        <v>7</v>
      </c>
      <c r="I34850" s="4" t="s">
        <v>7</v>
      </c>
      <c r="J34850" s="4" t="s">
        <v>15</v>
      </c>
      <c r="K34850" s="4" t="s">
        <v>55</v>
      </c>
      <c r="L34850" s="4" t="s">
        <v>7</v>
      </c>
      <c r="M34850" s="4" t="s">
        <v>7</v>
      </c>
    </row>
    <row r="34851" spans="1:13">
      <c r="A34851" t="n">
        <v>340098</v>
      </c>
      <c r="B34851" s="55" t="n">
        <v>26</v>
      </c>
      <c r="C34851" s="7" t="n">
        <v>0</v>
      </c>
      <c r="D34851" s="7" t="n">
        <v>17</v>
      </c>
      <c r="E34851" s="7" t="n">
        <v>64330</v>
      </c>
      <c r="F34851" s="7" t="s">
        <v>1282</v>
      </c>
      <c r="G34851" s="7" t="n">
        <v>2</v>
      </c>
      <c r="H34851" s="7" t="n">
        <v>3</v>
      </c>
      <c r="I34851" s="7" t="n">
        <v>17</v>
      </c>
      <c r="J34851" s="7" t="n">
        <v>64331</v>
      </c>
      <c r="K34851" s="7" t="s">
        <v>1283</v>
      </c>
      <c r="L34851" s="7" t="n">
        <v>2</v>
      </c>
      <c r="M34851" s="7" t="n">
        <v>0</v>
      </c>
    </row>
    <row r="34852" spans="1:13">
      <c r="A34852" t="s">
        <v>4</v>
      </c>
      <c r="B34852" s="4" t="s">
        <v>5</v>
      </c>
    </row>
    <row r="34853" spans="1:13">
      <c r="A34853" t="n">
        <v>340301</v>
      </c>
      <c r="B34853" s="27" t="n">
        <v>28</v>
      </c>
    </row>
    <row r="34854" spans="1:13">
      <c r="A34854" t="s">
        <v>4</v>
      </c>
      <c r="B34854" s="4" t="s">
        <v>5</v>
      </c>
      <c r="C34854" s="4" t="s">
        <v>7</v>
      </c>
      <c r="D34854" s="4" t="s">
        <v>11</v>
      </c>
      <c r="E34854" s="4" t="s">
        <v>11</v>
      </c>
      <c r="F34854" s="4" t="s">
        <v>7</v>
      </c>
    </row>
    <row r="34855" spans="1:13">
      <c r="A34855" t="n">
        <v>340302</v>
      </c>
      <c r="B34855" s="31" t="n">
        <v>25</v>
      </c>
      <c r="C34855" s="7" t="n">
        <v>1</v>
      </c>
      <c r="D34855" s="7" t="n">
        <v>65535</v>
      </c>
      <c r="E34855" s="7" t="n">
        <v>65535</v>
      </c>
      <c r="F34855" s="7" t="n">
        <v>0</v>
      </c>
    </row>
    <row r="34856" spans="1:13">
      <c r="A34856" t="s">
        <v>4</v>
      </c>
      <c r="B34856" s="4" t="s">
        <v>5</v>
      </c>
      <c r="C34856" s="4" t="s">
        <v>7</v>
      </c>
      <c r="D34856" s="4" t="s">
        <v>11</v>
      </c>
      <c r="E34856" s="4" t="s">
        <v>8</v>
      </c>
    </row>
    <row r="34857" spans="1:13">
      <c r="A34857" t="n">
        <v>340309</v>
      </c>
      <c r="B34857" s="38" t="n">
        <v>51</v>
      </c>
      <c r="C34857" s="7" t="n">
        <v>4</v>
      </c>
      <c r="D34857" s="7" t="n">
        <v>2</v>
      </c>
      <c r="E34857" s="7" t="s">
        <v>219</v>
      </c>
    </row>
    <row r="34858" spans="1:13">
      <c r="A34858" t="s">
        <v>4</v>
      </c>
      <c r="B34858" s="4" t="s">
        <v>5</v>
      </c>
      <c r="C34858" s="4" t="s">
        <v>11</v>
      </c>
    </row>
    <row r="34859" spans="1:13">
      <c r="A34859" t="n">
        <v>340322</v>
      </c>
      <c r="B34859" s="29" t="n">
        <v>16</v>
      </c>
      <c r="C34859" s="7" t="n">
        <v>0</v>
      </c>
    </row>
    <row r="34860" spans="1:13">
      <c r="A34860" t="s">
        <v>4</v>
      </c>
      <c r="B34860" s="4" t="s">
        <v>5</v>
      </c>
      <c r="C34860" s="4" t="s">
        <v>11</v>
      </c>
      <c r="D34860" s="4" t="s">
        <v>7</v>
      </c>
      <c r="E34860" s="4" t="s">
        <v>15</v>
      </c>
      <c r="F34860" s="4" t="s">
        <v>55</v>
      </c>
      <c r="G34860" s="4" t="s">
        <v>7</v>
      </c>
      <c r="H34860" s="4" t="s">
        <v>7</v>
      </c>
    </row>
    <row r="34861" spans="1:13">
      <c r="A34861" t="n">
        <v>340325</v>
      </c>
      <c r="B34861" s="55" t="n">
        <v>26</v>
      </c>
      <c r="C34861" s="7" t="n">
        <v>2</v>
      </c>
      <c r="D34861" s="7" t="n">
        <v>17</v>
      </c>
      <c r="E34861" s="7" t="n">
        <v>64332</v>
      </c>
      <c r="F34861" s="7" t="s">
        <v>1284</v>
      </c>
      <c r="G34861" s="7" t="n">
        <v>2</v>
      </c>
      <c r="H34861" s="7" t="n">
        <v>0</v>
      </c>
    </row>
    <row r="34862" spans="1:13">
      <c r="A34862" t="s">
        <v>4</v>
      </c>
      <c r="B34862" s="4" t="s">
        <v>5</v>
      </c>
    </row>
    <row r="34863" spans="1:13">
      <c r="A34863" t="n">
        <v>340341</v>
      </c>
      <c r="B34863" s="27" t="n">
        <v>28</v>
      </c>
    </row>
    <row r="34864" spans="1:13">
      <c r="A34864" t="s">
        <v>4</v>
      </c>
      <c r="B34864" s="4" t="s">
        <v>5</v>
      </c>
      <c r="C34864" s="4" t="s">
        <v>11</v>
      </c>
      <c r="D34864" s="4" t="s">
        <v>13</v>
      </c>
      <c r="E34864" s="4" t="s">
        <v>13</v>
      </c>
      <c r="F34864" s="4" t="s">
        <v>13</v>
      </c>
      <c r="G34864" s="4" t="s">
        <v>11</v>
      </c>
      <c r="H34864" s="4" t="s">
        <v>11</v>
      </c>
    </row>
    <row r="34865" spans="1:13">
      <c r="A34865" t="n">
        <v>340342</v>
      </c>
      <c r="B34865" s="37" t="n">
        <v>60</v>
      </c>
      <c r="C34865" s="7" t="n">
        <v>2</v>
      </c>
      <c r="D34865" s="7" t="n">
        <v>0</v>
      </c>
      <c r="E34865" s="7" t="n">
        <v>-10</v>
      </c>
      <c r="F34865" s="7" t="n">
        <v>0</v>
      </c>
      <c r="G34865" s="7" t="n">
        <v>800</v>
      </c>
      <c r="H34865" s="7" t="n">
        <v>0</v>
      </c>
    </row>
    <row r="34866" spans="1:13">
      <c r="A34866" t="s">
        <v>4</v>
      </c>
      <c r="B34866" s="4" t="s">
        <v>5</v>
      </c>
      <c r="C34866" s="4" t="s">
        <v>11</v>
      </c>
    </row>
    <row r="34867" spans="1:13">
      <c r="A34867" t="n">
        <v>340361</v>
      </c>
      <c r="B34867" s="29" t="n">
        <v>16</v>
      </c>
      <c r="C34867" s="7" t="n">
        <v>300</v>
      </c>
    </row>
    <row r="34868" spans="1:13">
      <c r="A34868" t="s">
        <v>4</v>
      </c>
      <c r="B34868" s="4" t="s">
        <v>5</v>
      </c>
      <c r="C34868" s="4" t="s">
        <v>7</v>
      </c>
      <c r="D34868" s="4" t="s">
        <v>11</v>
      </c>
      <c r="E34868" s="4" t="s">
        <v>8</v>
      </c>
    </row>
    <row r="34869" spans="1:13">
      <c r="A34869" t="n">
        <v>340364</v>
      </c>
      <c r="B34869" s="38" t="n">
        <v>51</v>
      </c>
      <c r="C34869" s="7" t="n">
        <v>4</v>
      </c>
      <c r="D34869" s="7" t="n">
        <v>2</v>
      </c>
      <c r="E34869" s="7" t="s">
        <v>1285</v>
      </c>
    </row>
    <row r="34870" spans="1:13">
      <c r="A34870" t="s">
        <v>4</v>
      </c>
      <c r="B34870" s="4" t="s">
        <v>5</v>
      </c>
      <c r="C34870" s="4" t="s">
        <v>11</v>
      </c>
    </row>
    <row r="34871" spans="1:13">
      <c r="A34871" t="n">
        <v>340379</v>
      </c>
      <c r="B34871" s="29" t="n">
        <v>16</v>
      </c>
      <c r="C34871" s="7" t="n">
        <v>0</v>
      </c>
    </row>
    <row r="34872" spans="1:13">
      <c r="A34872" t="s">
        <v>4</v>
      </c>
      <c r="B34872" s="4" t="s">
        <v>5</v>
      </c>
      <c r="C34872" s="4" t="s">
        <v>11</v>
      </c>
      <c r="D34872" s="4" t="s">
        <v>7</v>
      </c>
      <c r="E34872" s="4" t="s">
        <v>15</v>
      </c>
      <c r="F34872" s="4" t="s">
        <v>55</v>
      </c>
      <c r="G34872" s="4" t="s">
        <v>7</v>
      </c>
      <c r="H34872" s="4" t="s">
        <v>7</v>
      </c>
    </row>
    <row r="34873" spans="1:13">
      <c r="A34873" t="n">
        <v>340382</v>
      </c>
      <c r="B34873" s="55" t="n">
        <v>26</v>
      </c>
      <c r="C34873" s="7" t="n">
        <v>2</v>
      </c>
      <c r="D34873" s="7" t="n">
        <v>17</v>
      </c>
      <c r="E34873" s="7" t="n">
        <v>64333</v>
      </c>
      <c r="F34873" s="7" t="s">
        <v>464</v>
      </c>
      <c r="G34873" s="7" t="n">
        <v>2</v>
      </c>
      <c r="H34873" s="7" t="n">
        <v>0</v>
      </c>
    </row>
    <row r="34874" spans="1:13">
      <c r="A34874" t="s">
        <v>4</v>
      </c>
      <c r="B34874" s="4" t="s">
        <v>5</v>
      </c>
    </row>
    <row r="34875" spans="1:13">
      <c r="A34875" t="n">
        <v>340395</v>
      </c>
      <c r="B34875" s="27" t="n">
        <v>28</v>
      </c>
    </row>
    <row r="34876" spans="1:13">
      <c r="A34876" t="s">
        <v>4</v>
      </c>
      <c r="B34876" s="4" t="s">
        <v>5</v>
      </c>
      <c r="C34876" s="4" t="s">
        <v>7</v>
      </c>
      <c r="D34876" s="4" t="s">
        <v>11</v>
      </c>
      <c r="E34876" s="4" t="s">
        <v>8</v>
      </c>
    </row>
    <row r="34877" spans="1:13">
      <c r="A34877" t="n">
        <v>340396</v>
      </c>
      <c r="B34877" s="38" t="n">
        <v>51</v>
      </c>
      <c r="C34877" s="7" t="n">
        <v>4</v>
      </c>
      <c r="D34877" s="7" t="n">
        <v>0</v>
      </c>
      <c r="E34877" s="7" t="s">
        <v>242</v>
      </c>
    </row>
    <row r="34878" spans="1:13">
      <c r="A34878" t="s">
        <v>4</v>
      </c>
      <c r="B34878" s="4" t="s">
        <v>5</v>
      </c>
      <c r="C34878" s="4" t="s">
        <v>11</v>
      </c>
    </row>
    <row r="34879" spans="1:13">
      <c r="A34879" t="n">
        <v>340410</v>
      </c>
      <c r="B34879" s="29" t="n">
        <v>16</v>
      </c>
      <c r="C34879" s="7" t="n">
        <v>0</v>
      </c>
    </row>
    <row r="34880" spans="1:13">
      <c r="A34880" t="s">
        <v>4</v>
      </c>
      <c r="B34880" s="4" t="s">
        <v>5</v>
      </c>
      <c r="C34880" s="4" t="s">
        <v>11</v>
      </c>
      <c r="D34880" s="4" t="s">
        <v>7</v>
      </c>
      <c r="E34880" s="4" t="s">
        <v>15</v>
      </c>
      <c r="F34880" s="4" t="s">
        <v>55</v>
      </c>
      <c r="G34880" s="4" t="s">
        <v>7</v>
      </c>
      <c r="H34880" s="4" t="s">
        <v>7</v>
      </c>
      <c r="I34880" s="4" t="s">
        <v>7</v>
      </c>
      <c r="J34880" s="4" t="s">
        <v>15</v>
      </c>
      <c r="K34880" s="4" t="s">
        <v>55</v>
      </c>
      <c r="L34880" s="4" t="s">
        <v>7</v>
      </c>
      <c r="M34880" s="4" t="s">
        <v>7</v>
      </c>
      <c r="N34880" s="4" t="s">
        <v>7</v>
      </c>
      <c r="O34880" s="4" t="s">
        <v>15</v>
      </c>
      <c r="P34880" s="4" t="s">
        <v>55</v>
      </c>
      <c r="Q34880" s="4" t="s">
        <v>7</v>
      </c>
      <c r="R34880" s="4" t="s">
        <v>7</v>
      </c>
    </row>
    <row r="34881" spans="1:18">
      <c r="A34881" t="n">
        <v>340413</v>
      </c>
      <c r="B34881" s="55" t="n">
        <v>26</v>
      </c>
      <c r="C34881" s="7" t="n">
        <v>0</v>
      </c>
      <c r="D34881" s="7" t="n">
        <v>17</v>
      </c>
      <c r="E34881" s="7" t="n">
        <v>64334</v>
      </c>
      <c r="F34881" s="7" t="s">
        <v>1286</v>
      </c>
      <c r="G34881" s="7" t="n">
        <v>2</v>
      </c>
      <c r="H34881" s="7" t="n">
        <v>3</v>
      </c>
      <c r="I34881" s="7" t="n">
        <v>17</v>
      </c>
      <c r="J34881" s="7" t="n">
        <v>64335</v>
      </c>
      <c r="K34881" s="7" t="s">
        <v>1287</v>
      </c>
      <c r="L34881" s="7" t="n">
        <v>2</v>
      </c>
      <c r="M34881" s="7" t="n">
        <v>3</v>
      </c>
      <c r="N34881" s="7" t="n">
        <v>17</v>
      </c>
      <c r="O34881" s="7" t="n">
        <v>64336</v>
      </c>
      <c r="P34881" s="7" t="s">
        <v>1288</v>
      </c>
      <c r="Q34881" s="7" t="n">
        <v>2</v>
      </c>
      <c r="R34881" s="7" t="n">
        <v>0</v>
      </c>
    </row>
    <row r="34882" spans="1:18">
      <c r="A34882" t="s">
        <v>4</v>
      </c>
      <c r="B34882" s="4" t="s">
        <v>5</v>
      </c>
    </row>
    <row r="34883" spans="1:18">
      <c r="A34883" t="n">
        <v>340749</v>
      </c>
      <c r="B34883" s="27" t="n">
        <v>28</v>
      </c>
    </row>
    <row r="34884" spans="1:18">
      <c r="A34884" t="s">
        <v>4</v>
      </c>
      <c r="B34884" s="4" t="s">
        <v>5</v>
      </c>
      <c r="C34884" s="4" t="s">
        <v>7</v>
      </c>
      <c r="D34884" s="4" t="s">
        <v>11</v>
      </c>
      <c r="E34884" s="4" t="s">
        <v>11</v>
      </c>
      <c r="F34884" s="4" t="s">
        <v>7</v>
      </c>
    </row>
    <row r="34885" spans="1:18">
      <c r="A34885" t="n">
        <v>340750</v>
      </c>
      <c r="B34885" s="31" t="n">
        <v>25</v>
      </c>
      <c r="C34885" s="7" t="n">
        <v>1</v>
      </c>
      <c r="D34885" s="7" t="n">
        <v>65535</v>
      </c>
      <c r="E34885" s="7" t="n">
        <v>65535</v>
      </c>
      <c r="F34885" s="7" t="n">
        <v>0</v>
      </c>
    </row>
    <row r="34886" spans="1:18">
      <c r="A34886" t="s">
        <v>4</v>
      </c>
      <c r="B34886" s="4" t="s">
        <v>5</v>
      </c>
      <c r="C34886" s="4" t="s">
        <v>7</v>
      </c>
      <c r="D34886" s="4" t="s">
        <v>11</v>
      </c>
      <c r="E34886" s="4" t="s">
        <v>8</v>
      </c>
      <c r="F34886" s="4" t="s">
        <v>8</v>
      </c>
      <c r="G34886" s="4" t="s">
        <v>8</v>
      </c>
      <c r="H34886" s="4" t="s">
        <v>8</v>
      </c>
    </row>
    <row r="34887" spans="1:18">
      <c r="A34887" t="n">
        <v>340757</v>
      </c>
      <c r="B34887" s="38" t="n">
        <v>51</v>
      </c>
      <c r="C34887" s="7" t="n">
        <v>3</v>
      </c>
      <c r="D34887" s="7" t="n">
        <v>2</v>
      </c>
      <c r="E34887" s="7" t="s">
        <v>99</v>
      </c>
      <c r="F34887" s="7" t="s">
        <v>218</v>
      </c>
      <c r="G34887" s="7" t="s">
        <v>78</v>
      </c>
      <c r="H34887" s="7" t="s">
        <v>79</v>
      </c>
    </row>
    <row r="34888" spans="1:18">
      <c r="A34888" t="s">
        <v>4</v>
      </c>
      <c r="B34888" s="4" t="s">
        <v>5</v>
      </c>
      <c r="C34888" s="4" t="s">
        <v>7</v>
      </c>
      <c r="D34888" s="4" t="s">
        <v>11</v>
      </c>
      <c r="E34888" s="4" t="s">
        <v>8</v>
      </c>
    </row>
    <row r="34889" spans="1:18">
      <c r="A34889" t="n">
        <v>340770</v>
      </c>
      <c r="B34889" s="38" t="n">
        <v>51</v>
      </c>
      <c r="C34889" s="7" t="n">
        <v>4</v>
      </c>
      <c r="D34889" s="7" t="n">
        <v>2</v>
      </c>
      <c r="E34889" s="7" t="s">
        <v>658</v>
      </c>
    </row>
    <row r="34890" spans="1:18">
      <c r="A34890" t="s">
        <v>4</v>
      </c>
      <c r="B34890" s="4" t="s">
        <v>5</v>
      </c>
      <c r="C34890" s="4" t="s">
        <v>11</v>
      </c>
    </row>
    <row r="34891" spans="1:18">
      <c r="A34891" t="n">
        <v>340784</v>
      </c>
      <c r="B34891" s="29" t="n">
        <v>16</v>
      </c>
      <c r="C34891" s="7" t="n">
        <v>0</v>
      </c>
    </row>
    <row r="34892" spans="1:18">
      <c r="A34892" t="s">
        <v>4</v>
      </c>
      <c r="B34892" s="4" t="s">
        <v>5</v>
      </c>
      <c r="C34892" s="4" t="s">
        <v>11</v>
      </c>
      <c r="D34892" s="4" t="s">
        <v>7</v>
      </c>
      <c r="E34892" s="4" t="s">
        <v>15</v>
      </c>
      <c r="F34892" s="4" t="s">
        <v>55</v>
      </c>
      <c r="G34892" s="4" t="s">
        <v>7</v>
      </c>
      <c r="H34892" s="4" t="s">
        <v>7</v>
      </c>
      <c r="I34892" s="4" t="s">
        <v>7</v>
      </c>
      <c r="J34892" s="4" t="s">
        <v>15</v>
      </c>
      <c r="K34892" s="4" t="s">
        <v>55</v>
      </c>
      <c r="L34892" s="4" t="s">
        <v>7</v>
      </c>
      <c r="M34892" s="4" t="s">
        <v>7</v>
      </c>
      <c r="N34892" s="4" t="s">
        <v>7</v>
      </c>
      <c r="O34892" s="4" t="s">
        <v>15</v>
      </c>
      <c r="P34892" s="4" t="s">
        <v>55</v>
      </c>
      <c r="Q34892" s="4" t="s">
        <v>7</v>
      </c>
      <c r="R34892" s="4" t="s">
        <v>7</v>
      </c>
    </row>
    <row r="34893" spans="1:18">
      <c r="A34893" t="n">
        <v>340787</v>
      </c>
      <c r="B34893" s="55" t="n">
        <v>26</v>
      </c>
      <c r="C34893" s="7" t="n">
        <v>2</v>
      </c>
      <c r="D34893" s="7" t="n">
        <v>17</v>
      </c>
      <c r="E34893" s="7" t="n">
        <v>64337</v>
      </c>
      <c r="F34893" s="7" t="s">
        <v>1289</v>
      </c>
      <c r="G34893" s="7" t="n">
        <v>2</v>
      </c>
      <c r="H34893" s="7" t="n">
        <v>3</v>
      </c>
      <c r="I34893" s="7" t="n">
        <v>17</v>
      </c>
      <c r="J34893" s="7" t="n">
        <v>64338</v>
      </c>
      <c r="K34893" s="7" t="s">
        <v>1290</v>
      </c>
      <c r="L34893" s="7" t="n">
        <v>2</v>
      </c>
      <c r="M34893" s="7" t="n">
        <v>3</v>
      </c>
      <c r="N34893" s="7" t="n">
        <v>17</v>
      </c>
      <c r="O34893" s="7" t="n">
        <v>64339</v>
      </c>
      <c r="P34893" s="7" t="s">
        <v>1291</v>
      </c>
      <c r="Q34893" s="7" t="n">
        <v>2</v>
      </c>
      <c r="R34893" s="7" t="n">
        <v>0</v>
      </c>
    </row>
    <row r="34894" spans="1:18">
      <c r="A34894" t="s">
        <v>4</v>
      </c>
      <c r="B34894" s="4" t="s">
        <v>5</v>
      </c>
    </row>
    <row r="34895" spans="1:18">
      <c r="A34895" t="n">
        <v>341066</v>
      </c>
      <c r="B34895" s="27" t="n">
        <v>28</v>
      </c>
    </row>
    <row r="34896" spans="1:18">
      <c r="A34896" t="s">
        <v>4</v>
      </c>
      <c r="B34896" s="4" t="s">
        <v>5</v>
      </c>
      <c r="C34896" s="4" t="s">
        <v>11</v>
      </c>
      <c r="D34896" s="4" t="s">
        <v>13</v>
      </c>
      <c r="E34896" s="4" t="s">
        <v>13</v>
      </c>
      <c r="F34896" s="4" t="s">
        <v>13</v>
      </c>
      <c r="G34896" s="4" t="s">
        <v>11</v>
      </c>
      <c r="H34896" s="4" t="s">
        <v>11</v>
      </c>
    </row>
    <row r="34897" spans="1:18">
      <c r="A34897" t="n">
        <v>341067</v>
      </c>
      <c r="B34897" s="37" t="n">
        <v>60</v>
      </c>
      <c r="C34897" s="7" t="n">
        <v>2</v>
      </c>
      <c r="D34897" s="7" t="n">
        <v>0</v>
      </c>
      <c r="E34897" s="7" t="n">
        <v>0</v>
      </c>
      <c r="F34897" s="7" t="n">
        <v>0</v>
      </c>
      <c r="G34897" s="7" t="n">
        <v>800</v>
      </c>
      <c r="H34897" s="7" t="n">
        <v>0</v>
      </c>
    </row>
    <row r="34898" spans="1:18">
      <c r="A34898" t="s">
        <v>4</v>
      </c>
      <c r="B34898" s="4" t="s">
        <v>5</v>
      </c>
      <c r="C34898" s="4" t="s">
        <v>11</v>
      </c>
    </row>
    <row r="34899" spans="1:18">
      <c r="A34899" t="n">
        <v>341086</v>
      </c>
      <c r="B34899" s="29" t="n">
        <v>16</v>
      </c>
      <c r="C34899" s="7" t="n">
        <v>500</v>
      </c>
    </row>
    <row r="34900" spans="1:18">
      <c r="A34900" t="s">
        <v>4</v>
      </c>
      <c r="B34900" s="4" t="s">
        <v>5</v>
      </c>
      <c r="C34900" s="4" t="s">
        <v>7</v>
      </c>
      <c r="D34900" s="4" t="s">
        <v>11</v>
      </c>
      <c r="E34900" s="4" t="s">
        <v>8</v>
      </c>
    </row>
    <row r="34901" spans="1:18">
      <c r="A34901" t="n">
        <v>341089</v>
      </c>
      <c r="B34901" s="38" t="n">
        <v>51</v>
      </c>
      <c r="C34901" s="7" t="n">
        <v>4</v>
      </c>
      <c r="D34901" s="7" t="n">
        <v>2</v>
      </c>
      <c r="E34901" s="7" t="s">
        <v>430</v>
      </c>
    </row>
    <row r="34902" spans="1:18">
      <c r="A34902" t="s">
        <v>4</v>
      </c>
      <c r="B34902" s="4" t="s">
        <v>5</v>
      </c>
      <c r="C34902" s="4" t="s">
        <v>11</v>
      </c>
    </row>
    <row r="34903" spans="1:18">
      <c r="A34903" t="n">
        <v>341102</v>
      </c>
      <c r="B34903" s="29" t="n">
        <v>16</v>
      </c>
      <c r="C34903" s="7" t="n">
        <v>500</v>
      </c>
    </row>
    <row r="34904" spans="1:18">
      <c r="A34904" t="s">
        <v>4</v>
      </c>
      <c r="B34904" s="4" t="s">
        <v>5</v>
      </c>
      <c r="C34904" s="4" t="s">
        <v>11</v>
      </c>
      <c r="D34904" s="4" t="s">
        <v>7</v>
      </c>
      <c r="E34904" s="4" t="s">
        <v>15</v>
      </c>
      <c r="F34904" s="4" t="s">
        <v>55</v>
      </c>
      <c r="G34904" s="4" t="s">
        <v>7</v>
      </c>
      <c r="H34904" s="4" t="s">
        <v>7</v>
      </c>
      <c r="I34904" s="4" t="s">
        <v>7</v>
      </c>
      <c r="J34904" s="4" t="s">
        <v>15</v>
      </c>
      <c r="K34904" s="4" t="s">
        <v>55</v>
      </c>
      <c r="L34904" s="4" t="s">
        <v>7</v>
      </c>
      <c r="M34904" s="4" t="s">
        <v>7</v>
      </c>
      <c r="N34904" s="4" t="s">
        <v>7</v>
      </c>
      <c r="O34904" s="4" t="s">
        <v>15</v>
      </c>
      <c r="P34904" s="4" t="s">
        <v>55</v>
      </c>
      <c r="Q34904" s="4" t="s">
        <v>7</v>
      </c>
      <c r="R34904" s="4" t="s">
        <v>7</v>
      </c>
      <c r="S34904" s="4" t="s">
        <v>7</v>
      </c>
      <c r="T34904" s="4" t="s">
        <v>15</v>
      </c>
      <c r="U34904" s="4" t="s">
        <v>55</v>
      </c>
      <c r="V34904" s="4" t="s">
        <v>7</v>
      </c>
      <c r="W34904" s="4" t="s">
        <v>7</v>
      </c>
    </row>
    <row r="34905" spans="1:18">
      <c r="A34905" t="n">
        <v>341105</v>
      </c>
      <c r="B34905" s="55" t="n">
        <v>26</v>
      </c>
      <c r="C34905" s="7" t="n">
        <v>2</v>
      </c>
      <c r="D34905" s="7" t="n">
        <v>17</v>
      </c>
      <c r="E34905" s="7" t="n">
        <v>64340</v>
      </c>
      <c r="F34905" s="7" t="s">
        <v>1292</v>
      </c>
      <c r="G34905" s="7" t="n">
        <v>2</v>
      </c>
      <c r="H34905" s="7" t="n">
        <v>3</v>
      </c>
      <c r="I34905" s="7" t="n">
        <v>17</v>
      </c>
      <c r="J34905" s="7" t="n">
        <v>64341</v>
      </c>
      <c r="K34905" s="7" t="s">
        <v>1293</v>
      </c>
      <c r="L34905" s="7" t="n">
        <v>2</v>
      </c>
      <c r="M34905" s="7" t="n">
        <v>3</v>
      </c>
      <c r="N34905" s="7" t="n">
        <v>17</v>
      </c>
      <c r="O34905" s="7" t="n">
        <v>64342</v>
      </c>
      <c r="P34905" s="7" t="s">
        <v>1294</v>
      </c>
      <c r="Q34905" s="7" t="n">
        <v>2</v>
      </c>
      <c r="R34905" s="7" t="n">
        <v>3</v>
      </c>
      <c r="S34905" s="7" t="n">
        <v>17</v>
      </c>
      <c r="T34905" s="7" t="n">
        <v>64343</v>
      </c>
      <c r="U34905" s="7" t="s">
        <v>1295</v>
      </c>
      <c r="V34905" s="7" t="n">
        <v>2</v>
      </c>
      <c r="W34905" s="7" t="n">
        <v>0</v>
      </c>
    </row>
    <row r="34906" spans="1:18">
      <c r="A34906" t="s">
        <v>4</v>
      </c>
      <c r="B34906" s="4" t="s">
        <v>5</v>
      </c>
    </row>
    <row r="34907" spans="1:18">
      <c r="A34907" t="n">
        <v>341454</v>
      </c>
      <c r="B34907" s="27" t="n">
        <v>28</v>
      </c>
    </row>
    <row r="34908" spans="1:18">
      <c r="A34908" t="s">
        <v>4</v>
      </c>
      <c r="B34908" s="4" t="s">
        <v>5</v>
      </c>
      <c r="C34908" s="4" t="s">
        <v>11</v>
      </c>
      <c r="D34908" s="4" t="s">
        <v>7</v>
      </c>
      <c r="E34908" s="4" t="s">
        <v>13</v>
      </c>
      <c r="F34908" s="4" t="s">
        <v>11</v>
      </c>
    </row>
    <row r="34909" spans="1:18">
      <c r="A34909" t="n">
        <v>341455</v>
      </c>
      <c r="B34909" s="56" t="n">
        <v>59</v>
      </c>
      <c r="C34909" s="7" t="n">
        <v>0</v>
      </c>
      <c r="D34909" s="7" t="n">
        <v>6</v>
      </c>
      <c r="E34909" s="7" t="n">
        <v>0</v>
      </c>
      <c r="F34909" s="7" t="n">
        <v>0</v>
      </c>
    </row>
    <row r="34910" spans="1:18">
      <c r="A34910" t="s">
        <v>4</v>
      </c>
      <c r="B34910" s="4" t="s">
        <v>5</v>
      </c>
      <c r="C34910" s="4" t="s">
        <v>11</v>
      </c>
    </row>
    <row r="34911" spans="1:18">
      <c r="A34911" t="n">
        <v>341465</v>
      </c>
      <c r="B34911" s="29" t="n">
        <v>16</v>
      </c>
      <c r="C34911" s="7" t="n">
        <v>1600</v>
      </c>
    </row>
    <row r="34912" spans="1:18">
      <c r="A34912" t="s">
        <v>4</v>
      </c>
      <c r="B34912" s="4" t="s">
        <v>5</v>
      </c>
      <c r="C34912" s="4" t="s">
        <v>7</v>
      </c>
      <c r="D34912" s="4" t="s">
        <v>11</v>
      </c>
      <c r="E34912" s="4" t="s">
        <v>8</v>
      </c>
    </row>
    <row r="34913" spans="1:23">
      <c r="A34913" t="n">
        <v>341468</v>
      </c>
      <c r="B34913" s="38" t="n">
        <v>51</v>
      </c>
      <c r="C34913" s="7" t="n">
        <v>4</v>
      </c>
      <c r="D34913" s="7" t="n">
        <v>0</v>
      </c>
      <c r="E34913" s="7" t="s">
        <v>240</v>
      </c>
    </row>
    <row r="34914" spans="1:23">
      <c r="A34914" t="s">
        <v>4</v>
      </c>
      <c r="B34914" s="4" t="s">
        <v>5</v>
      </c>
      <c r="C34914" s="4" t="s">
        <v>11</v>
      </c>
    </row>
    <row r="34915" spans="1:23">
      <c r="A34915" t="n">
        <v>341482</v>
      </c>
      <c r="B34915" s="29" t="n">
        <v>16</v>
      </c>
      <c r="C34915" s="7" t="n">
        <v>0</v>
      </c>
    </row>
    <row r="34916" spans="1:23">
      <c r="A34916" t="s">
        <v>4</v>
      </c>
      <c r="B34916" s="4" t="s">
        <v>5</v>
      </c>
      <c r="C34916" s="4" t="s">
        <v>11</v>
      </c>
      <c r="D34916" s="4" t="s">
        <v>7</v>
      </c>
      <c r="E34916" s="4" t="s">
        <v>15</v>
      </c>
      <c r="F34916" s="4" t="s">
        <v>55</v>
      </c>
      <c r="G34916" s="4" t="s">
        <v>7</v>
      </c>
      <c r="H34916" s="4" t="s">
        <v>7</v>
      </c>
      <c r="I34916" s="4" t="s">
        <v>7</v>
      </c>
      <c r="J34916" s="4" t="s">
        <v>15</v>
      </c>
      <c r="K34916" s="4" t="s">
        <v>55</v>
      </c>
      <c r="L34916" s="4" t="s">
        <v>7</v>
      </c>
      <c r="M34916" s="4" t="s">
        <v>7</v>
      </c>
    </row>
    <row r="34917" spans="1:23">
      <c r="A34917" t="n">
        <v>341485</v>
      </c>
      <c r="B34917" s="55" t="n">
        <v>26</v>
      </c>
      <c r="C34917" s="7" t="n">
        <v>0</v>
      </c>
      <c r="D34917" s="7" t="n">
        <v>17</v>
      </c>
      <c r="E34917" s="7" t="n">
        <v>64344</v>
      </c>
      <c r="F34917" s="7" t="s">
        <v>1296</v>
      </c>
      <c r="G34917" s="7" t="n">
        <v>2</v>
      </c>
      <c r="H34917" s="7" t="n">
        <v>3</v>
      </c>
      <c r="I34917" s="7" t="n">
        <v>17</v>
      </c>
      <c r="J34917" s="7" t="n">
        <v>64345</v>
      </c>
      <c r="K34917" s="7" t="s">
        <v>1297</v>
      </c>
      <c r="L34917" s="7" t="n">
        <v>2</v>
      </c>
      <c r="M34917" s="7" t="n">
        <v>0</v>
      </c>
    </row>
    <row r="34918" spans="1:23">
      <c r="A34918" t="s">
        <v>4</v>
      </c>
      <c r="B34918" s="4" t="s">
        <v>5</v>
      </c>
    </row>
    <row r="34919" spans="1:23">
      <c r="A34919" t="n">
        <v>341710</v>
      </c>
      <c r="B34919" s="27" t="n">
        <v>28</v>
      </c>
    </row>
    <row r="34920" spans="1:23">
      <c r="A34920" t="s">
        <v>4</v>
      </c>
      <c r="B34920" s="4" t="s">
        <v>5</v>
      </c>
      <c r="C34920" s="4" t="s">
        <v>7</v>
      </c>
      <c r="D34920" s="4" t="s">
        <v>11</v>
      </c>
      <c r="E34920" s="4" t="s">
        <v>11</v>
      </c>
      <c r="F34920" s="4" t="s">
        <v>7</v>
      </c>
    </row>
    <row r="34921" spans="1:23">
      <c r="A34921" t="n">
        <v>341711</v>
      </c>
      <c r="B34921" s="31" t="n">
        <v>25</v>
      </c>
      <c r="C34921" s="7" t="n">
        <v>1</v>
      </c>
      <c r="D34921" s="7" t="n">
        <v>65535</v>
      </c>
      <c r="E34921" s="7" t="n">
        <v>65535</v>
      </c>
      <c r="F34921" s="7" t="n">
        <v>0</v>
      </c>
    </row>
    <row r="34922" spans="1:23">
      <c r="A34922" t="s">
        <v>4</v>
      </c>
      <c r="B34922" s="4" t="s">
        <v>5</v>
      </c>
      <c r="C34922" s="4" t="s">
        <v>7</v>
      </c>
      <c r="D34922" s="4" t="s">
        <v>11</v>
      </c>
      <c r="E34922" s="4" t="s">
        <v>8</v>
      </c>
      <c r="F34922" s="4" t="s">
        <v>8</v>
      </c>
      <c r="G34922" s="4" t="s">
        <v>8</v>
      </c>
      <c r="H34922" s="4" t="s">
        <v>8</v>
      </c>
    </row>
    <row r="34923" spans="1:23">
      <c r="A34923" t="n">
        <v>341718</v>
      </c>
      <c r="B34923" s="38" t="n">
        <v>51</v>
      </c>
      <c r="C34923" s="7" t="n">
        <v>3</v>
      </c>
      <c r="D34923" s="7" t="n">
        <v>2</v>
      </c>
      <c r="E34923" s="7" t="s">
        <v>86</v>
      </c>
      <c r="F34923" s="7" t="s">
        <v>79</v>
      </c>
      <c r="G34923" s="7" t="s">
        <v>78</v>
      </c>
      <c r="H34923" s="7" t="s">
        <v>79</v>
      </c>
    </row>
    <row r="34924" spans="1:23">
      <c r="A34924" t="s">
        <v>4</v>
      </c>
      <c r="B34924" s="4" t="s">
        <v>5</v>
      </c>
      <c r="C34924" s="4" t="s">
        <v>11</v>
      </c>
      <c r="D34924" s="4" t="s">
        <v>7</v>
      </c>
      <c r="E34924" s="4" t="s">
        <v>7</v>
      </c>
      <c r="F34924" s="4" t="s">
        <v>8</v>
      </c>
    </row>
    <row r="34925" spans="1:23">
      <c r="A34925" t="n">
        <v>341731</v>
      </c>
      <c r="B34925" s="50" t="n">
        <v>20</v>
      </c>
      <c r="C34925" s="7" t="n">
        <v>2</v>
      </c>
      <c r="D34925" s="7" t="n">
        <v>2</v>
      </c>
      <c r="E34925" s="7" t="n">
        <v>10</v>
      </c>
      <c r="F34925" s="7" t="s">
        <v>223</v>
      </c>
    </row>
    <row r="34926" spans="1:23">
      <c r="A34926" t="s">
        <v>4</v>
      </c>
      <c r="B34926" s="4" t="s">
        <v>5</v>
      </c>
      <c r="C34926" s="4" t="s">
        <v>11</v>
      </c>
    </row>
    <row r="34927" spans="1:23">
      <c r="A34927" t="n">
        <v>341752</v>
      </c>
      <c r="B34927" s="29" t="n">
        <v>16</v>
      </c>
      <c r="C34927" s="7" t="n">
        <v>500</v>
      </c>
    </row>
    <row r="34928" spans="1:23">
      <c r="A34928" t="s">
        <v>4</v>
      </c>
      <c r="B34928" s="4" t="s">
        <v>5</v>
      </c>
      <c r="C34928" s="4" t="s">
        <v>7</v>
      </c>
      <c r="D34928" s="4" t="s">
        <v>11</v>
      </c>
      <c r="E34928" s="4" t="s">
        <v>8</v>
      </c>
    </row>
    <row r="34929" spans="1:13">
      <c r="A34929" t="n">
        <v>341755</v>
      </c>
      <c r="B34929" s="38" t="n">
        <v>51</v>
      </c>
      <c r="C34929" s="7" t="n">
        <v>4</v>
      </c>
      <c r="D34929" s="7" t="n">
        <v>2</v>
      </c>
      <c r="E34929" s="7" t="s">
        <v>430</v>
      </c>
    </row>
    <row r="34930" spans="1:13">
      <c r="A34930" t="s">
        <v>4</v>
      </c>
      <c r="B34930" s="4" t="s">
        <v>5</v>
      </c>
      <c r="C34930" s="4" t="s">
        <v>11</v>
      </c>
    </row>
    <row r="34931" spans="1:13">
      <c r="A34931" t="n">
        <v>341768</v>
      </c>
      <c r="B34931" s="29" t="n">
        <v>16</v>
      </c>
      <c r="C34931" s="7" t="n">
        <v>0</v>
      </c>
    </row>
    <row r="34932" spans="1:13">
      <c r="A34932" t="s">
        <v>4</v>
      </c>
      <c r="B34932" s="4" t="s">
        <v>5</v>
      </c>
      <c r="C34932" s="4" t="s">
        <v>11</v>
      </c>
      <c r="D34932" s="4" t="s">
        <v>7</v>
      </c>
      <c r="E34932" s="4" t="s">
        <v>15</v>
      </c>
      <c r="F34932" s="4" t="s">
        <v>55</v>
      </c>
      <c r="G34932" s="4" t="s">
        <v>7</v>
      </c>
      <c r="H34932" s="4" t="s">
        <v>7</v>
      </c>
    </row>
    <row r="34933" spans="1:13">
      <c r="A34933" t="n">
        <v>341771</v>
      </c>
      <c r="B34933" s="55" t="n">
        <v>26</v>
      </c>
      <c r="C34933" s="7" t="n">
        <v>2</v>
      </c>
      <c r="D34933" s="7" t="n">
        <v>17</v>
      </c>
      <c r="E34933" s="7" t="n">
        <v>64346</v>
      </c>
      <c r="F34933" s="7" t="s">
        <v>1298</v>
      </c>
      <c r="G34933" s="7" t="n">
        <v>2</v>
      </c>
      <c r="H34933" s="7" t="n">
        <v>0</v>
      </c>
    </row>
    <row r="34934" spans="1:13">
      <c r="A34934" t="s">
        <v>4</v>
      </c>
      <c r="B34934" s="4" t="s">
        <v>5</v>
      </c>
    </row>
    <row r="34935" spans="1:13">
      <c r="A34935" t="n">
        <v>341799</v>
      </c>
      <c r="B34935" s="27" t="n">
        <v>28</v>
      </c>
    </row>
    <row r="34936" spans="1:13">
      <c r="A34936" t="s">
        <v>4</v>
      </c>
      <c r="B34936" s="4" t="s">
        <v>5</v>
      </c>
      <c r="C34936" s="4" t="s">
        <v>7</v>
      </c>
      <c r="D34936" s="4" t="s">
        <v>11</v>
      </c>
      <c r="E34936" s="4" t="s">
        <v>13</v>
      </c>
    </row>
    <row r="34937" spans="1:13">
      <c r="A34937" t="n">
        <v>341800</v>
      </c>
      <c r="B34937" s="23" t="n">
        <v>58</v>
      </c>
      <c r="C34937" s="7" t="n">
        <v>0</v>
      </c>
      <c r="D34937" s="7" t="n">
        <v>2000</v>
      </c>
      <c r="E34937" s="7" t="n">
        <v>1</v>
      </c>
    </row>
    <row r="34938" spans="1:13">
      <c r="A34938" t="s">
        <v>4</v>
      </c>
      <c r="B34938" s="4" t="s">
        <v>5</v>
      </c>
      <c r="C34938" s="4" t="s">
        <v>7</v>
      </c>
      <c r="D34938" s="4" t="s">
        <v>11</v>
      </c>
    </row>
    <row r="34939" spans="1:13">
      <c r="A34939" t="n">
        <v>341808</v>
      </c>
      <c r="B34939" s="23" t="n">
        <v>58</v>
      </c>
      <c r="C34939" s="7" t="n">
        <v>255</v>
      </c>
      <c r="D34939" s="7" t="n">
        <v>0</v>
      </c>
    </row>
    <row r="34940" spans="1:13">
      <c r="A34940" t="s">
        <v>4</v>
      </c>
      <c r="B34940" s="4" t="s">
        <v>5</v>
      </c>
      <c r="C34940" s="4" t="s">
        <v>11</v>
      </c>
    </row>
    <row r="34941" spans="1:13">
      <c r="A34941" t="n">
        <v>341812</v>
      </c>
      <c r="B34941" s="29" t="n">
        <v>16</v>
      </c>
      <c r="C34941" s="7" t="n">
        <v>1000</v>
      </c>
    </row>
    <row r="34942" spans="1:13">
      <c r="A34942" t="s">
        <v>4</v>
      </c>
      <c r="B34942" s="4" t="s">
        <v>5</v>
      </c>
      <c r="C34942" s="4" t="s">
        <v>11</v>
      </c>
      <c r="D34942" s="4" t="s">
        <v>13</v>
      </c>
      <c r="E34942" s="4" t="s">
        <v>13</v>
      </c>
      <c r="F34942" s="4" t="s">
        <v>13</v>
      </c>
      <c r="G34942" s="4" t="s">
        <v>13</v>
      </c>
    </row>
    <row r="34943" spans="1:13">
      <c r="A34943" t="n">
        <v>341815</v>
      </c>
      <c r="B34943" s="36" t="n">
        <v>46</v>
      </c>
      <c r="C34943" s="7" t="n">
        <v>61456</v>
      </c>
      <c r="D34943" s="7" t="n">
        <v>1.20000004768372</v>
      </c>
      <c r="E34943" s="7" t="n">
        <v>5.01000022888184</v>
      </c>
      <c r="F34943" s="7" t="n">
        <v>47.439998626709</v>
      </c>
      <c r="G34943" s="7" t="n">
        <v>268.5</v>
      </c>
    </row>
    <row r="34944" spans="1:13">
      <c r="A34944" t="s">
        <v>4</v>
      </c>
      <c r="B34944" s="4" t="s">
        <v>5</v>
      </c>
      <c r="C34944" s="4" t="s">
        <v>7</v>
      </c>
      <c r="D34944" s="4" t="s">
        <v>7</v>
      </c>
      <c r="E34944" s="4" t="s">
        <v>13</v>
      </c>
      <c r="F34944" s="4" t="s">
        <v>13</v>
      </c>
      <c r="G34944" s="4" t="s">
        <v>13</v>
      </c>
      <c r="H34944" s="4" t="s">
        <v>11</v>
      </c>
      <c r="I34944" s="4" t="s">
        <v>7</v>
      </c>
    </row>
    <row r="34945" spans="1:9">
      <c r="A34945" t="n">
        <v>341834</v>
      </c>
      <c r="B34945" s="51" t="n">
        <v>45</v>
      </c>
      <c r="C34945" s="7" t="n">
        <v>4</v>
      </c>
      <c r="D34945" s="7" t="n">
        <v>3</v>
      </c>
      <c r="E34945" s="7" t="n">
        <v>7.01999998092651</v>
      </c>
      <c r="F34945" s="7" t="n">
        <v>246.660003662109</v>
      </c>
      <c r="G34945" s="7" t="n">
        <v>0</v>
      </c>
      <c r="H34945" s="7" t="n">
        <v>0</v>
      </c>
      <c r="I34945" s="7" t="n">
        <v>0</v>
      </c>
    </row>
    <row r="34946" spans="1:9">
      <c r="A34946" t="s">
        <v>4</v>
      </c>
      <c r="B34946" s="4" t="s">
        <v>5</v>
      </c>
      <c r="C34946" s="4" t="s">
        <v>7</v>
      </c>
      <c r="D34946" s="4" t="s">
        <v>8</v>
      </c>
    </row>
    <row r="34947" spans="1:9">
      <c r="A34947" t="n">
        <v>341852</v>
      </c>
      <c r="B34947" s="6" t="n">
        <v>2</v>
      </c>
      <c r="C34947" s="7" t="n">
        <v>10</v>
      </c>
      <c r="D34947" s="7" t="s">
        <v>1834</v>
      </c>
    </row>
    <row r="34948" spans="1:9">
      <c r="A34948" t="s">
        <v>4</v>
      </c>
      <c r="B34948" s="4" t="s">
        <v>5</v>
      </c>
    </row>
    <row r="34949" spans="1:9">
      <c r="A34949" t="n">
        <v>341873</v>
      </c>
      <c r="B34949" s="5" t="n">
        <v>1</v>
      </c>
    </row>
    <row r="34950" spans="1:9" s="3" customFormat="1" customHeight="0">
      <c r="A34950" s="3" t="s">
        <v>2</v>
      </c>
      <c r="B34950" s="3" t="s">
        <v>1851</v>
      </c>
    </row>
    <row r="34951" spans="1:9">
      <c r="A34951" t="s">
        <v>4</v>
      </c>
      <c r="B34951" s="4" t="s">
        <v>5</v>
      </c>
      <c r="C34951" s="4" t="s">
        <v>7</v>
      </c>
      <c r="D34951" s="4" t="s">
        <v>7</v>
      </c>
      <c r="E34951" s="4" t="s">
        <v>7</v>
      </c>
      <c r="F34951" s="4" t="s">
        <v>7</v>
      </c>
    </row>
    <row r="34952" spans="1:9">
      <c r="A34952" t="n">
        <v>341876</v>
      </c>
      <c r="B34952" s="9" t="n">
        <v>14</v>
      </c>
      <c r="C34952" s="7" t="n">
        <v>2</v>
      </c>
      <c r="D34952" s="7" t="n">
        <v>0</v>
      </c>
      <c r="E34952" s="7" t="n">
        <v>0</v>
      </c>
      <c r="F34952" s="7" t="n">
        <v>0</v>
      </c>
    </row>
    <row r="34953" spans="1:9">
      <c r="A34953" t="s">
        <v>4</v>
      </c>
      <c r="B34953" s="4" t="s">
        <v>5</v>
      </c>
      <c r="C34953" s="4" t="s">
        <v>7</v>
      </c>
      <c r="D34953" s="20" t="s">
        <v>35</v>
      </c>
      <c r="E34953" s="4" t="s">
        <v>5</v>
      </c>
      <c r="F34953" s="4" t="s">
        <v>7</v>
      </c>
      <c r="G34953" s="4" t="s">
        <v>11</v>
      </c>
      <c r="H34953" s="20" t="s">
        <v>36</v>
      </c>
      <c r="I34953" s="4" t="s">
        <v>7</v>
      </c>
      <c r="J34953" s="4" t="s">
        <v>15</v>
      </c>
      <c r="K34953" s="4" t="s">
        <v>7</v>
      </c>
      <c r="L34953" s="4" t="s">
        <v>7</v>
      </c>
      <c r="M34953" s="20" t="s">
        <v>35</v>
      </c>
      <c r="N34953" s="4" t="s">
        <v>5</v>
      </c>
      <c r="O34953" s="4" t="s">
        <v>7</v>
      </c>
      <c r="P34953" s="4" t="s">
        <v>11</v>
      </c>
      <c r="Q34953" s="20" t="s">
        <v>36</v>
      </c>
      <c r="R34953" s="4" t="s">
        <v>7</v>
      </c>
      <c r="S34953" s="4" t="s">
        <v>15</v>
      </c>
      <c r="T34953" s="4" t="s">
        <v>7</v>
      </c>
      <c r="U34953" s="4" t="s">
        <v>7</v>
      </c>
      <c r="V34953" s="4" t="s">
        <v>7</v>
      </c>
      <c r="W34953" s="4" t="s">
        <v>12</v>
      </c>
    </row>
    <row r="34954" spans="1:9">
      <c r="A34954" t="n">
        <v>341881</v>
      </c>
      <c r="B34954" s="10" t="n">
        <v>5</v>
      </c>
      <c r="C34954" s="7" t="n">
        <v>28</v>
      </c>
      <c r="D34954" s="20" t="s">
        <v>3</v>
      </c>
      <c r="E34954" s="8" t="n">
        <v>162</v>
      </c>
      <c r="F34954" s="7" t="n">
        <v>3</v>
      </c>
      <c r="G34954" s="7" t="n">
        <v>36874</v>
      </c>
      <c r="H34954" s="20" t="s">
        <v>3</v>
      </c>
      <c r="I34954" s="7" t="n">
        <v>0</v>
      </c>
      <c r="J34954" s="7" t="n">
        <v>1</v>
      </c>
      <c r="K34954" s="7" t="n">
        <v>2</v>
      </c>
      <c r="L34954" s="7" t="n">
        <v>28</v>
      </c>
      <c r="M34954" s="20" t="s">
        <v>3</v>
      </c>
      <c r="N34954" s="8" t="n">
        <v>162</v>
      </c>
      <c r="O34954" s="7" t="n">
        <v>3</v>
      </c>
      <c r="P34954" s="7" t="n">
        <v>36874</v>
      </c>
      <c r="Q34954" s="20" t="s">
        <v>3</v>
      </c>
      <c r="R34954" s="7" t="n">
        <v>0</v>
      </c>
      <c r="S34954" s="7" t="n">
        <v>2</v>
      </c>
      <c r="T34954" s="7" t="n">
        <v>2</v>
      </c>
      <c r="U34954" s="7" t="n">
        <v>11</v>
      </c>
      <c r="V34954" s="7" t="n">
        <v>1</v>
      </c>
      <c r="W34954" s="11" t="n">
        <f t="normal" ca="1">A34958</f>
        <v>0</v>
      </c>
    </row>
    <row r="34955" spans="1:9">
      <c r="A34955" t="s">
        <v>4</v>
      </c>
      <c r="B34955" s="4" t="s">
        <v>5</v>
      </c>
      <c r="C34955" s="4" t="s">
        <v>7</v>
      </c>
      <c r="D34955" s="4" t="s">
        <v>11</v>
      </c>
      <c r="E34955" s="4" t="s">
        <v>13</v>
      </c>
    </row>
    <row r="34956" spans="1:9">
      <c r="A34956" t="n">
        <v>341910</v>
      </c>
      <c r="B34956" s="23" t="n">
        <v>58</v>
      </c>
      <c r="C34956" s="7" t="n">
        <v>0</v>
      </c>
      <c r="D34956" s="7" t="n">
        <v>0</v>
      </c>
      <c r="E34956" s="7" t="n">
        <v>1</v>
      </c>
    </row>
    <row r="34957" spans="1:9">
      <c r="A34957" t="s">
        <v>4</v>
      </c>
      <c r="B34957" s="4" t="s">
        <v>5</v>
      </c>
      <c r="C34957" s="4" t="s">
        <v>7</v>
      </c>
      <c r="D34957" s="20" t="s">
        <v>35</v>
      </c>
      <c r="E34957" s="4" t="s">
        <v>5</v>
      </c>
      <c r="F34957" s="4" t="s">
        <v>7</v>
      </c>
      <c r="G34957" s="4" t="s">
        <v>11</v>
      </c>
      <c r="H34957" s="20" t="s">
        <v>36</v>
      </c>
      <c r="I34957" s="4" t="s">
        <v>7</v>
      </c>
      <c r="J34957" s="4" t="s">
        <v>15</v>
      </c>
      <c r="K34957" s="4" t="s">
        <v>7</v>
      </c>
      <c r="L34957" s="4" t="s">
        <v>7</v>
      </c>
      <c r="M34957" s="20" t="s">
        <v>35</v>
      </c>
      <c r="N34957" s="4" t="s">
        <v>5</v>
      </c>
      <c r="O34957" s="4" t="s">
        <v>7</v>
      </c>
      <c r="P34957" s="4" t="s">
        <v>11</v>
      </c>
      <c r="Q34957" s="20" t="s">
        <v>36</v>
      </c>
      <c r="R34957" s="4" t="s">
        <v>7</v>
      </c>
      <c r="S34957" s="4" t="s">
        <v>15</v>
      </c>
      <c r="T34957" s="4" t="s">
        <v>7</v>
      </c>
      <c r="U34957" s="4" t="s">
        <v>7</v>
      </c>
      <c r="V34957" s="4" t="s">
        <v>7</v>
      </c>
      <c r="W34957" s="4" t="s">
        <v>12</v>
      </c>
    </row>
    <row r="34958" spans="1:9">
      <c r="A34958" t="n">
        <v>341918</v>
      </c>
      <c r="B34958" s="10" t="n">
        <v>5</v>
      </c>
      <c r="C34958" s="7" t="n">
        <v>28</v>
      </c>
      <c r="D34958" s="20" t="s">
        <v>3</v>
      </c>
      <c r="E34958" s="8" t="n">
        <v>162</v>
      </c>
      <c r="F34958" s="7" t="n">
        <v>3</v>
      </c>
      <c r="G34958" s="7" t="n">
        <v>36874</v>
      </c>
      <c r="H34958" s="20" t="s">
        <v>3</v>
      </c>
      <c r="I34958" s="7" t="n">
        <v>0</v>
      </c>
      <c r="J34958" s="7" t="n">
        <v>1</v>
      </c>
      <c r="K34958" s="7" t="n">
        <v>3</v>
      </c>
      <c r="L34958" s="7" t="n">
        <v>28</v>
      </c>
      <c r="M34958" s="20" t="s">
        <v>3</v>
      </c>
      <c r="N34958" s="8" t="n">
        <v>162</v>
      </c>
      <c r="O34958" s="7" t="n">
        <v>3</v>
      </c>
      <c r="P34958" s="7" t="n">
        <v>36874</v>
      </c>
      <c r="Q34958" s="20" t="s">
        <v>3</v>
      </c>
      <c r="R34958" s="7" t="n">
        <v>0</v>
      </c>
      <c r="S34958" s="7" t="n">
        <v>2</v>
      </c>
      <c r="T34958" s="7" t="n">
        <v>3</v>
      </c>
      <c r="U34958" s="7" t="n">
        <v>9</v>
      </c>
      <c r="V34958" s="7" t="n">
        <v>1</v>
      </c>
      <c r="W34958" s="11" t="n">
        <f t="normal" ca="1">A34968</f>
        <v>0</v>
      </c>
    </row>
    <row r="34959" spans="1:9">
      <c r="A34959" t="s">
        <v>4</v>
      </c>
      <c r="B34959" s="4" t="s">
        <v>5</v>
      </c>
      <c r="C34959" s="4" t="s">
        <v>7</v>
      </c>
      <c r="D34959" s="20" t="s">
        <v>35</v>
      </c>
      <c r="E34959" s="4" t="s">
        <v>5</v>
      </c>
      <c r="F34959" s="4" t="s">
        <v>11</v>
      </c>
      <c r="G34959" s="4" t="s">
        <v>7</v>
      </c>
      <c r="H34959" s="4" t="s">
        <v>7</v>
      </c>
      <c r="I34959" s="4" t="s">
        <v>8</v>
      </c>
      <c r="J34959" s="20" t="s">
        <v>36</v>
      </c>
      <c r="K34959" s="4" t="s">
        <v>7</v>
      </c>
      <c r="L34959" s="4" t="s">
        <v>7</v>
      </c>
      <c r="M34959" s="20" t="s">
        <v>35</v>
      </c>
      <c r="N34959" s="4" t="s">
        <v>5</v>
      </c>
      <c r="O34959" s="4" t="s">
        <v>7</v>
      </c>
      <c r="P34959" s="20" t="s">
        <v>36</v>
      </c>
      <c r="Q34959" s="4" t="s">
        <v>7</v>
      </c>
      <c r="R34959" s="4" t="s">
        <v>15</v>
      </c>
      <c r="S34959" s="4" t="s">
        <v>7</v>
      </c>
      <c r="T34959" s="4" t="s">
        <v>7</v>
      </c>
      <c r="U34959" s="4" t="s">
        <v>7</v>
      </c>
      <c r="V34959" s="20" t="s">
        <v>35</v>
      </c>
      <c r="W34959" s="4" t="s">
        <v>5</v>
      </c>
      <c r="X34959" s="4" t="s">
        <v>7</v>
      </c>
      <c r="Y34959" s="20" t="s">
        <v>36</v>
      </c>
      <c r="Z34959" s="4" t="s">
        <v>7</v>
      </c>
      <c r="AA34959" s="4" t="s">
        <v>15</v>
      </c>
      <c r="AB34959" s="4" t="s">
        <v>7</v>
      </c>
      <c r="AC34959" s="4" t="s">
        <v>7</v>
      </c>
      <c r="AD34959" s="4" t="s">
        <v>7</v>
      </c>
      <c r="AE34959" s="4" t="s">
        <v>12</v>
      </c>
    </row>
    <row r="34960" spans="1:9">
      <c r="A34960" t="n">
        <v>341947</v>
      </c>
      <c r="B34960" s="10" t="n">
        <v>5</v>
      </c>
      <c r="C34960" s="7" t="n">
        <v>28</v>
      </c>
      <c r="D34960" s="20" t="s">
        <v>3</v>
      </c>
      <c r="E34960" s="41" t="n">
        <v>47</v>
      </c>
      <c r="F34960" s="7" t="n">
        <v>61456</v>
      </c>
      <c r="G34960" s="7" t="n">
        <v>2</v>
      </c>
      <c r="H34960" s="7" t="n">
        <v>0</v>
      </c>
      <c r="I34960" s="7" t="s">
        <v>105</v>
      </c>
      <c r="J34960" s="20" t="s">
        <v>3</v>
      </c>
      <c r="K34960" s="7" t="n">
        <v>8</v>
      </c>
      <c r="L34960" s="7" t="n">
        <v>28</v>
      </c>
      <c r="M34960" s="20" t="s">
        <v>3</v>
      </c>
      <c r="N34960" s="45" t="n">
        <v>74</v>
      </c>
      <c r="O34960" s="7" t="n">
        <v>65</v>
      </c>
      <c r="P34960" s="20" t="s">
        <v>3</v>
      </c>
      <c r="Q34960" s="7" t="n">
        <v>0</v>
      </c>
      <c r="R34960" s="7" t="n">
        <v>1</v>
      </c>
      <c r="S34960" s="7" t="n">
        <v>3</v>
      </c>
      <c r="T34960" s="7" t="n">
        <v>9</v>
      </c>
      <c r="U34960" s="7" t="n">
        <v>28</v>
      </c>
      <c r="V34960" s="20" t="s">
        <v>3</v>
      </c>
      <c r="W34960" s="45" t="n">
        <v>74</v>
      </c>
      <c r="X34960" s="7" t="n">
        <v>65</v>
      </c>
      <c r="Y34960" s="20" t="s">
        <v>3</v>
      </c>
      <c r="Z34960" s="7" t="n">
        <v>0</v>
      </c>
      <c r="AA34960" s="7" t="n">
        <v>2</v>
      </c>
      <c r="AB34960" s="7" t="n">
        <v>3</v>
      </c>
      <c r="AC34960" s="7" t="n">
        <v>9</v>
      </c>
      <c r="AD34960" s="7" t="n">
        <v>1</v>
      </c>
      <c r="AE34960" s="11" t="n">
        <f t="normal" ca="1">A34964</f>
        <v>0</v>
      </c>
    </row>
    <row r="34961" spans="1:31">
      <c r="A34961" t="s">
        <v>4</v>
      </c>
      <c r="B34961" s="4" t="s">
        <v>5</v>
      </c>
      <c r="C34961" s="4" t="s">
        <v>11</v>
      </c>
      <c r="D34961" s="4" t="s">
        <v>7</v>
      </c>
      <c r="E34961" s="4" t="s">
        <v>7</v>
      </c>
      <c r="F34961" s="4" t="s">
        <v>8</v>
      </c>
    </row>
    <row r="34962" spans="1:31">
      <c r="A34962" t="n">
        <v>341995</v>
      </c>
      <c r="B34962" s="41" t="n">
        <v>47</v>
      </c>
      <c r="C34962" s="7" t="n">
        <v>61456</v>
      </c>
      <c r="D34962" s="7" t="n">
        <v>0</v>
      </c>
      <c r="E34962" s="7" t="n">
        <v>0</v>
      </c>
      <c r="F34962" s="7" t="s">
        <v>106</v>
      </c>
    </row>
    <row r="34963" spans="1:31">
      <c r="A34963" t="s">
        <v>4</v>
      </c>
      <c r="B34963" s="4" t="s">
        <v>5</v>
      </c>
      <c r="C34963" s="4" t="s">
        <v>7</v>
      </c>
      <c r="D34963" s="4" t="s">
        <v>11</v>
      </c>
      <c r="E34963" s="4" t="s">
        <v>13</v>
      </c>
    </row>
    <row r="34964" spans="1:31">
      <c r="A34964" t="n">
        <v>342008</v>
      </c>
      <c r="B34964" s="23" t="n">
        <v>58</v>
      </c>
      <c r="C34964" s="7" t="n">
        <v>0</v>
      </c>
      <c r="D34964" s="7" t="n">
        <v>300</v>
      </c>
      <c r="E34964" s="7" t="n">
        <v>1</v>
      </c>
    </row>
    <row r="34965" spans="1:31">
      <c r="A34965" t="s">
        <v>4</v>
      </c>
      <c r="B34965" s="4" t="s">
        <v>5</v>
      </c>
      <c r="C34965" s="4" t="s">
        <v>7</v>
      </c>
      <c r="D34965" s="4" t="s">
        <v>11</v>
      </c>
    </row>
    <row r="34966" spans="1:31">
      <c r="A34966" t="n">
        <v>342016</v>
      </c>
      <c r="B34966" s="23" t="n">
        <v>58</v>
      </c>
      <c r="C34966" s="7" t="n">
        <v>255</v>
      </c>
      <c r="D34966" s="7" t="n">
        <v>0</v>
      </c>
    </row>
    <row r="34967" spans="1:31">
      <c r="A34967" t="s">
        <v>4</v>
      </c>
      <c r="B34967" s="4" t="s">
        <v>5</v>
      </c>
      <c r="C34967" s="4" t="s">
        <v>7</v>
      </c>
      <c r="D34967" s="4" t="s">
        <v>7</v>
      </c>
      <c r="E34967" s="4" t="s">
        <v>7</v>
      </c>
      <c r="F34967" s="4" t="s">
        <v>7</v>
      </c>
    </row>
    <row r="34968" spans="1:31">
      <c r="A34968" t="n">
        <v>342020</v>
      </c>
      <c r="B34968" s="9" t="n">
        <v>14</v>
      </c>
      <c r="C34968" s="7" t="n">
        <v>0</v>
      </c>
      <c r="D34968" s="7" t="n">
        <v>0</v>
      </c>
      <c r="E34968" s="7" t="n">
        <v>0</v>
      </c>
      <c r="F34968" s="7" t="n">
        <v>64</v>
      </c>
    </row>
    <row r="34969" spans="1:31">
      <c r="A34969" t="s">
        <v>4</v>
      </c>
      <c r="B34969" s="4" t="s">
        <v>5</v>
      </c>
      <c r="C34969" s="4" t="s">
        <v>7</v>
      </c>
      <c r="D34969" s="4" t="s">
        <v>11</v>
      </c>
    </row>
    <row r="34970" spans="1:31">
      <c r="A34970" t="n">
        <v>342025</v>
      </c>
      <c r="B34970" s="22" t="n">
        <v>22</v>
      </c>
      <c r="C34970" s="7" t="n">
        <v>0</v>
      </c>
      <c r="D34970" s="7" t="n">
        <v>36874</v>
      </c>
    </row>
    <row r="34971" spans="1:31">
      <c r="A34971" t="s">
        <v>4</v>
      </c>
      <c r="B34971" s="4" t="s">
        <v>5</v>
      </c>
      <c r="C34971" s="4" t="s">
        <v>7</v>
      </c>
      <c r="D34971" s="4" t="s">
        <v>11</v>
      </c>
    </row>
    <row r="34972" spans="1:31">
      <c r="A34972" t="n">
        <v>342029</v>
      </c>
      <c r="B34972" s="23" t="n">
        <v>58</v>
      </c>
      <c r="C34972" s="7" t="n">
        <v>5</v>
      </c>
      <c r="D34972" s="7" t="n">
        <v>300</v>
      </c>
    </row>
    <row r="34973" spans="1:31">
      <c r="A34973" t="s">
        <v>4</v>
      </c>
      <c r="B34973" s="4" t="s">
        <v>5</v>
      </c>
      <c r="C34973" s="4" t="s">
        <v>13</v>
      </c>
      <c r="D34973" s="4" t="s">
        <v>11</v>
      </c>
    </row>
    <row r="34974" spans="1:31">
      <c r="A34974" t="n">
        <v>342033</v>
      </c>
      <c r="B34974" s="46" t="n">
        <v>103</v>
      </c>
      <c r="C34974" s="7" t="n">
        <v>0</v>
      </c>
      <c r="D34974" s="7" t="n">
        <v>300</v>
      </c>
    </row>
    <row r="34975" spans="1:31">
      <c r="A34975" t="s">
        <v>4</v>
      </c>
      <c r="B34975" s="4" t="s">
        <v>5</v>
      </c>
      <c r="C34975" s="4" t="s">
        <v>7</v>
      </c>
    </row>
    <row r="34976" spans="1:31">
      <c r="A34976" t="n">
        <v>342040</v>
      </c>
      <c r="B34976" s="47" t="n">
        <v>64</v>
      </c>
      <c r="C34976" s="7" t="n">
        <v>7</v>
      </c>
    </row>
    <row r="34977" spans="1:6">
      <c r="A34977" t="s">
        <v>4</v>
      </c>
      <c r="B34977" s="4" t="s">
        <v>5</v>
      </c>
      <c r="C34977" s="4" t="s">
        <v>7</v>
      </c>
      <c r="D34977" s="4" t="s">
        <v>11</v>
      </c>
    </row>
    <row r="34978" spans="1:6">
      <c r="A34978" t="n">
        <v>342042</v>
      </c>
      <c r="B34978" s="48" t="n">
        <v>72</v>
      </c>
      <c r="C34978" s="7" t="n">
        <v>5</v>
      </c>
      <c r="D34978" s="7" t="n">
        <v>0</v>
      </c>
    </row>
    <row r="34979" spans="1:6">
      <c r="A34979" t="s">
        <v>4</v>
      </c>
      <c r="B34979" s="4" t="s">
        <v>5</v>
      </c>
      <c r="C34979" s="4" t="s">
        <v>7</v>
      </c>
      <c r="D34979" s="20" t="s">
        <v>35</v>
      </c>
      <c r="E34979" s="4" t="s">
        <v>5</v>
      </c>
      <c r="F34979" s="4" t="s">
        <v>7</v>
      </c>
      <c r="G34979" s="4" t="s">
        <v>11</v>
      </c>
      <c r="H34979" s="20" t="s">
        <v>36</v>
      </c>
      <c r="I34979" s="4" t="s">
        <v>7</v>
      </c>
      <c r="J34979" s="4" t="s">
        <v>15</v>
      </c>
      <c r="K34979" s="4" t="s">
        <v>7</v>
      </c>
      <c r="L34979" s="4" t="s">
        <v>7</v>
      </c>
      <c r="M34979" s="4" t="s">
        <v>12</v>
      </c>
    </row>
    <row r="34980" spans="1:6">
      <c r="A34980" t="n">
        <v>342046</v>
      </c>
      <c r="B34980" s="10" t="n">
        <v>5</v>
      </c>
      <c r="C34980" s="7" t="n">
        <v>28</v>
      </c>
      <c r="D34980" s="20" t="s">
        <v>3</v>
      </c>
      <c r="E34980" s="8" t="n">
        <v>162</v>
      </c>
      <c r="F34980" s="7" t="n">
        <v>4</v>
      </c>
      <c r="G34980" s="7" t="n">
        <v>36874</v>
      </c>
      <c r="H34980" s="20" t="s">
        <v>3</v>
      </c>
      <c r="I34980" s="7" t="n">
        <v>0</v>
      </c>
      <c r="J34980" s="7" t="n">
        <v>1</v>
      </c>
      <c r="K34980" s="7" t="n">
        <v>2</v>
      </c>
      <c r="L34980" s="7" t="n">
        <v>1</v>
      </c>
      <c r="M34980" s="11" t="n">
        <f t="normal" ca="1">A34986</f>
        <v>0</v>
      </c>
    </row>
    <row r="34981" spans="1:6">
      <c r="A34981" t="s">
        <v>4</v>
      </c>
      <c r="B34981" s="4" t="s">
        <v>5</v>
      </c>
      <c r="C34981" s="4" t="s">
        <v>7</v>
      </c>
      <c r="D34981" s="4" t="s">
        <v>8</v>
      </c>
    </row>
    <row r="34982" spans="1:6">
      <c r="A34982" t="n">
        <v>342063</v>
      </c>
      <c r="B34982" s="6" t="n">
        <v>2</v>
      </c>
      <c r="C34982" s="7" t="n">
        <v>10</v>
      </c>
      <c r="D34982" s="7" t="s">
        <v>107</v>
      </c>
    </row>
    <row r="34983" spans="1:6">
      <c r="A34983" t="s">
        <v>4</v>
      </c>
      <c r="B34983" s="4" t="s">
        <v>5</v>
      </c>
      <c r="C34983" s="4" t="s">
        <v>11</v>
      </c>
    </row>
    <row r="34984" spans="1:6">
      <c r="A34984" t="n">
        <v>342080</v>
      </c>
      <c r="B34984" s="29" t="n">
        <v>16</v>
      </c>
      <c r="C34984" s="7" t="n">
        <v>0</v>
      </c>
    </row>
    <row r="34985" spans="1:6">
      <c r="A34985" t="s">
        <v>4</v>
      </c>
      <c r="B34985" s="4" t="s">
        <v>5</v>
      </c>
      <c r="C34985" s="4" t="s">
        <v>7</v>
      </c>
      <c r="D34985" s="4" t="s">
        <v>11</v>
      </c>
      <c r="E34985" s="4" t="s">
        <v>11</v>
      </c>
      <c r="F34985" s="4" t="s">
        <v>11</v>
      </c>
      <c r="G34985" s="4" t="s">
        <v>11</v>
      </c>
      <c r="H34985" s="4" t="s">
        <v>11</v>
      </c>
      <c r="I34985" s="4" t="s">
        <v>11</v>
      </c>
      <c r="J34985" s="4" t="s">
        <v>11</v>
      </c>
      <c r="K34985" s="4" t="s">
        <v>11</v>
      </c>
      <c r="L34985" s="4" t="s">
        <v>11</v>
      </c>
      <c r="M34985" s="4" t="s">
        <v>11</v>
      </c>
      <c r="N34985" s="4" t="s">
        <v>15</v>
      </c>
      <c r="O34985" s="4" t="s">
        <v>15</v>
      </c>
      <c r="P34985" s="4" t="s">
        <v>15</v>
      </c>
      <c r="Q34985" s="4" t="s">
        <v>15</v>
      </c>
      <c r="R34985" s="4" t="s">
        <v>7</v>
      </c>
      <c r="S34985" s="4" t="s">
        <v>8</v>
      </c>
    </row>
    <row r="34986" spans="1:6">
      <c r="A34986" t="n">
        <v>342083</v>
      </c>
      <c r="B34986" s="24" t="n">
        <v>75</v>
      </c>
      <c r="C34986" s="7" t="n">
        <v>0</v>
      </c>
      <c r="D34986" s="7" t="n">
        <v>484</v>
      </c>
      <c r="E34986" s="7" t="n">
        <v>328</v>
      </c>
      <c r="F34986" s="7" t="n">
        <v>996</v>
      </c>
      <c r="G34986" s="7" t="n">
        <v>392</v>
      </c>
      <c r="H34986" s="7" t="n">
        <v>0</v>
      </c>
      <c r="I34986" s="7" t="n">
        <v>0</v>
      </c>
      <c r="J34986" s="7" t="n">
        <v>0</v>
      </c>
      <c r="K34986" s="7" t="n">
        <v>448</v>
      </c>
      <c r="L34986" s="7" t="n">
        <v>512</v>
      </c>
      <c r="M34986" s="7" t="n">
        <v>512</v>
      </c>
      <c r="N34986" s="7" t="n">
        <v>1065353216</v>
      </c>
      <c r="O34986" s="7" t="n">
        <v>1065353216</v>
      </c>
      <c r="P34986" s="7" t="n">
        <v>1065353216</v>
      </c>
      <c r="Q34986" s="7" t="n">
        <v>0</v>
      </c>
      <c r="R34986" s="7" t="n">
        <v>0</v>
      </c>
      <c r="S34986" s="7" t="s">
        <v>271</v>
      </c>
    </row>
    <row r="34987" spans="1:6">
      <c r="A34987" t="s">
        <v>4</v>
      </c>
      <c r="B34987" s="4" t="s">
        <v>5</v>
      </c>
      <c r="C34987" s="4" t="s">
        <v>7</v>
      </c>
      <c r="D34987" s="4" t="s">
        <v>11</v>
      </c>
      <c r="E34987" s="4" t="s">
        <v>11</v>
      </c>
      <c r="F34987" s="4" t="s">
        <v>11</v>
      </c>
      <c r="G34987" s="4" t="s">
        <v>11</v>
      </c>
      <c r="H34987" s="4" t="s">
        <v>11</v>
      </c>
      <c r="I34987" s="4" t="s">
        <v>11</v>
      </c>
      <c r="J34987" s="4" t="s">
        <v>11</v>
      </c>
      <c r="K34987" s="4" t="s">
        <v>11</v>
      </c>
      <c r="L34987" s="4" t="s">
        <v>11</v>
      </c>
      <c r="M34987" s="4" t="s">
        <v>11</v>
      </c>
      <c r="N34987" s="4" t="s">
        <v>15</v>
      </c>
      <c r="O34987" s="4" t="s">
        <v>15</v>
      </c>
      <c r="P34987" s="4" t="s">
        <v>15</v>
      </c>
      <c r="Q34987" s="4" t="s">
        <v>15</v>
      </c>
      <c r="R34987" s="4" t="s">
        <v>7</v>
      </c>
      <c r="S34987" s="4" t="s">
        <v>8</v>
      </c>
    </row>
    <row r="34988" spans="1:6">
      <c r="A34988" t="n">
        <v>342132</v>
      </c>
      <c r="B34988" s="24" t="n">
        <v>75</v>
      </c>
      <c r="C34988" s="7" t="n">
        <v>1</v>
      </c>
      <c r="D34988" s="7" t="n">
        <v>0</v>
      </c>
      <c r="E34988" s="7" t="n">
        <v>0</v>
      </c>
      <c r="F34988" s="7" t="n">
        <v>1024</v>
      </c>
      <c r="G34988" s="7" t="n">
        <v>720</v>
      </c>
      <c r="H34988" s="7" t="n">
        <v>0</v>
      </c>
      <c r="I34988" s="7" t="n">
        <v>0</v>
      </c>
      <c r="J34988" s="7" t="n">
        <v>0</v>
      </c>
      <c r="K34988" s="7" t="n">
        <v>0</v>
      </c>
      <c r="L34988" s="7" t="n">
        <v>1024</v>
      </c>
      <c r="M34988" s="7" t="n">
        <v>720</v>
      </c>
      <c r="N34988" s="7" t="n">
        <v>1065353216</v>
      </c>
      <c r="O34988" s="7" t="n">
        <v>1065353216</v>
      </c>
      <c r="P34988" s="7" t="n">
        <v>1065353216</v>
      </c>
      <c r="Q34988" s="7" t="n">
        <v>0</v>
      </c>
      <c r="R34988" s="7" t="n">
        <v>0</v>
      </c>
      <c r="S34988" s="7" t="s">
        <v>984</v>
      </c>
    </row>
    <row r="34989" spans="1:6">
      <c r="A34989" t="s">
        <v>4</v>
      </c>
      <c r="B34989" s="4" t="s">
        <v>5</v>
      </c>
      <c r="C34989" s="4" t="s">
        <v>7</v>
      </c>
      <c r="D34989" s="4" t="s">
        <v>7</v>
      </c>
      <c r="E34989" s="4" t="s">
        <v>7</v>
      </c>
      <c r="F34989" s="4" t="s">
        <v>13</v>
      </c>
      <c r="G34989" s="4" t="s">
        <v>13</v>
      </c>
      <c r="H34989" s="4" t="s">
        <v>13</v>
      </c>
      <c r="I34989" s="4" t="s">
        <v>13</v>
      </c>
      <c r="J34989" s="4" t="s">
        <v>13</v>
      </c>
    </row>
    <row r="34990" spans="1:6">
      <c r="A34990" t="n">
        <v>342180</v>
      </c>
      <c r="B34990" s="25" t="n">
        <v>76</v>
      </c>
      <c r="C34990" s="7" t="n">
        <v>1</v>
      </c>
      <c r="D34990" s="7" t="n">
        <v>9</v>
      </c>
      <c r="E34990" s="7" t="n">
        <v>2</v>
      </c>
      <c r="F34990" s="7" t="n">
        <v>0</v>
      </c>
      <c r="G34990" s="7" t="n">
        <v>0</v>
      </c>
      <c r="H34990" s="7" t="n">
        <v>0</v>
      </c>
      <c r="I34990" s="7" t="n">
        <v>0</v>
      </c>
      <c r="J34990" s="7" t="n">
        <v>0</v>
      </c>
    </row>
    <row r="34991" spans="1:6">
      <c r="A34991" t="s">
        <v>4</v>
      </c>
      <c r="B34991" s="4" t="s">
        <v>5</v>
      </c>
      <c r="C34991" s="4" t="s">
        <v>11</v>
      </c>
      <c r="D34991" s="4" t="s">
        <v>8</v>
      </c>
      <c r="E34991" s="4" t="s">
        <v>8</v>
      </c>
      <c r="F34991" s="4" t="s">
        <v>8</v>
      </c>
      <c r="G34991" s="4" t="s">
        <v>7</v>
      </c>
      <c r="H34991" s="4" t="s">
        <v>15</v>
      </c>
      <c r="I34991" s="4" t="s">
        <v>13</v>
      </c>
      <c r="J34991" s="4" t="s">
        <v>13</v>
      </c>
      <c r="K34991" s="4" t="s">
        <v>13</v>
      </c>
      <c r="L34991" s="4" t="s">
        <v>13</v>
      </c>
      <c r="M34991" s="4" t="s">
        <v>13</v>
      </c>
      <c r="N34991" s="4" t="s">
        <v>13</v>
      </c>
      <c r="O34991" s="4" t="s">
        <v>13</v>
      </c>
      <c r="P34991" s="4" t="s">
        <v>8</v>
      </c>
      <c r="Q34991" s="4" t="s">
        <v>8</v>
      </c>
      <c r="R34991" s="4" t="s">
        <v>15</v>
      </c>
      <c r="S34991" s="4" t="s">
        <v>7</v>
      </c>
      <c r="T34991" s="4" t="s">
        <v>15</v>
      </c>
      <c r="U34991" s="4" t="s">
        <v>15</v>
      </c>
      <c r="V34991" s="4" t="s">
        <v>11</v>
      </c>
    </row>
    <row r="34992" spans="1:6">
      <c r="A34992" t="n">
        <v>342204</v>
      </c>
      <c r="B34992" s="62" t="n">
        <v>19</v>
      </c>
      <c r="C34992" s="7" t="n">
        <v>4</v>
      </c>
      <c r="D34992" s="7" t="s">
        <v>985</v>
      </c>
      <c r="E34992" s="7" t="s">
        <v>986</v>
      </c>
      <c r="F34992" s="7" t="s">
        <v>16</v>
      </c>
      <c r="G34992" s="7" t="n">
        <v>0</v>
      </c>
      <c r="H34992" s="7" t="n">
        <v>1</v>
      </c>
      <c r="I34992" s="7" t="n">
        <v>0</v>
      </c>
      <c r="J34992" s="7" t="n">
        <v>0</v>
      </c>
      <c r="K34992" s="7" t="n">
        <v>0</v>
      </c>
      <c r="L34992" s="7" t="n">
        <v>0</v>
      </c>
      <c r="M34992" s="7" t="n">
        <v>1</v>
      </c>
      <c r="N34992" s="7" t="n">
        <v>1.60000002384186</v>
      </c>
      <c r="O34992" s="7" t="n">
        <v>0.0900000035762787</v>
      </c>
      <c r="P34992" s="7" t="s">
        <v>16</v>
      </c>
      <c r="Q34992" s="7" t="s">
        <v>16</v>
      </c>
      <c r="R34992" s="7" t="n">
        <v>-1</v>
      </c>
      <c r="S34992" s="7" t="n">
        <v>0</v>
      </c>
      <c r="T34992" s="7" t="n">
        <v>0</v>
      </c>
      <c r="U34992" s="7" t="n">
        <v>0</v>
      </c>
      <c r="V34992" s="7" t="n">
        <v>0</v>
      </c>
    </row>
    <row r="34993" spans="1:22">
      <c r="A34993" t="s">
        <v>4</v>
      </c>
      <c r="B34993" s="4" t="s">
        <v>5</v>
      </c>
      <c r="C34993" s="4" t="s">
        <v>11</v>
      </c>
      <c r="D34993" s="4" t="s">
        <v>7</v>
      </c>
      <c r="E34993" s="4" t="s">
        <v>7</v>
      </c>
      <c r="F34993" s="4" t="s">
        <v>8</v>
      </c>
    </row>
    <row r="34994" spans="1:22">
      <c r="A34994" t="n">
        <v>342279</v>
      </c>
      <c r="B34994" s="50" t="n">
        <v>20</v>
      </c>
      <c r="C34994" s="7" t="n">
        <v>0</v>
      </c>
      <c r="D34994" s="7" t="n">
        <v>3</v>
      </c>
      <c r="E34994" s="7" t="n">
        <v>10</v>
      </c>
      <c r="F34994" s="7" t="s">
        <v>108</v>
      </c>
    </row>
    <row r="34995" spans="1:22">
      <c r="A34995" t="s">
        <v>4</v>
      </c>
      <c r="B34995" s="4" t="s">
        <v>5</v>
      </c>
      <c r="C34995" s="4" t="s">
        <v>11</v>
      </c>
    </row>
    <row r="34996" spans="1:22">
      <c r="A34996" t="n">
        <v>342297</v>
      </c>
      <c r="B34996" s="29" t="n">
        <v>16</v>
      </c>
      <c r="C34996" s="7" t="n">
        <v>0</v>
      </c>
    </row>
    <row r="34997" spans="1:22">
      <c r="A34997" t="s">
        <v>4</v>
      </c>
      <c r="B34997" s="4" t="s">
        <v>5</v>
      </c>
      <c r="C34997" s="4" t="s">
        <v>11</v>
      </c>
      <c r="D34997" s="4" t="s">
        <v>7</v>
      </c>
      <c r="E34997" s="4" t="s">
        <v>7</v>
      </c>
      <c r="F34997" s="4" t="s">
        <v>8</v>
      </c>
    </row>
    <row r="34998" spans="1:22">
      <c r="A34998" t="n">
        <v>342300</v>
      </c>
      <c r="B34998" s="50" t="n">
        <v>20</v>
      </c>
      <c r="C34998" s="7" t="n">
        <v>4</v>
      </c>
      <c r="D34998" s="7" t="n">
        <v>3</v>
      </c>
      <c r="E34998" s="7" t="n">
        <v>10</v>
      </c>
      <c r="F34998" s="7" t="s">
        <v>108</v>
      </c>
    </row>
    <row r="34999" spans="1:22">
      <c r="A34999" t="s">
        <v>4</v>
      </c>
      <c r="B34999" s="4" t="s">
        <v>5</v>
      </c>
      <c r="C34999" s="4" t="s">
        <v>11</v>
      </c>
    </row>
    <row r="35000" spans="1:22">
      <c r="A35000" t="n">
        <v>342318</v>
      </c>
      <c r="B35000" s="29" t="n">
        <v>16</v>
      </c>
      <c r="C35000" s="7" t="n">
        <v>0</v>
      </c>
    </row>
    <row r="35001" spans="1:22">
      <c r="A35001" t="s">
        <v>4</v>
      </c>
      <c r="B35001" s="4" t="s">
        <v>5</v>
      </c>
      <c r="C35001" s="4" t="s">
        <v>11</v>
      </c>
      <c r="D35001" s="4" t="s">
        <v>15</v>
      </c>
    </row>
    <row r="35002" spans="1:22">
      <c r="A35002" t="n">
        <v>342321</v>
      </c>
      <c r="B35002" s="39" t="n">
        <v>43</v>
      </c>
      <c r="C35002" s="7" t="n">
        <v>4</v>
      </c>
      <c r="D35002" s="7" t="n">
        <v>1</v>
      </c>
    </row>
    <row r="35003" spans="1:22">
      <c r="A35003" t="s">
        <v>4</v>
      </c>
      <c r="B35003" s="4" t="s">
        <v>5</v>
      </c>
      <c r="C35003" s="4" t="s">
        <v>7</v>
      </c>
    </row>
    <row r="35004" spans="1:22">
      <c r="A35004" t="n">
        <v>342328</v>
      </c>
      <c r="B35004" s="49" t="n">
        <v>116</v>
      </c>
      <c r="C35004" s="7" t="n">
        <v>0</v>
      </c>
    </row>
    <row r="35005" spans="1:22">
      <c r="A35005" t="s">
        <v>4</v>
      </c>
      <c r="B35005" s="4" t="s">
        <v>5</v>
      </c>
      <c r="C35005" s="4" t="s">
        <v>7</v>
      </c>
      <c r="D35005" s="4" t="s">
        <v>11</v>
      </c>
    </row>
    <row r="35006" spans="1:22">
      <c r="A35006" t="n">
        <v>342330</v>
      </c>
      <c r="B35006" s="49" t="n">
        <v>116</v>
      </c>
      <c r="C35006" s="7" t="n">
        <v>2</v>
      </c>
      <c r="D35006" s="7" t="n">
        <v>1</v>
      </c>
    </row>
    <row r="35007" spans="1:22">
      <c r="A35007" t="s">
        <v>4</v>
      </c>
      <c r="B35007" s="4" t="s">
        <v>5</v>
      </c>
      <c r="C35007" s="4" t="s">
        <v>7</v>
      </c>
      <c r="D35007" s="4" t="s">
        <v>15</v>
      </c>
    </row>
    <row r="35008" spans="1:22">
      <c r="A35008" t="n">
        <v>342334</v>
      </c>
      <c r="B35008" s="49" t="n">
        <v>116</v>
      </c>
      <c r="C35008" s="7" t="n">
        <v>5</v>
      </c>
      <c r="D35008" s="7" t="n">
        <v>1106247680</v>
      </c>
    </row>
    <row r="35009" spans="1:6">
      <c r="A35009" t="s">
        <v>4</v>
      </c>
      <c r="B35009" s="4" t="s">
        <v>5</v>
      </c>
      <c r="C35009" s="4" t="s">
        <v>7</v>
      </c>
      <c r="D35009" s="4" t="s">
        <v>11</v>
      </c>
    </row>
    <row r="35010" spans="1:6">
      <c r="A35010" t="n">
        <v>342340</v>
      </c>
      <c r="B35010" s="49" t="n">
        <v>116</v>
      </c>
      <c r="C35010" s="7" t="n">
        <v>6</v>
      </c>
      <c r="D35010" s="7" t="n">
        <v>1</v>
      </c>
    </row>
    <row r="35011" spans="1:6">
      <c r="A35011" t="s">
        <v>4</v>
      </c>
      <c r="B35011" s="4" t="s">
        <v>5</v>
      </c>
      <c r="C35011" s="4" t="s">
        <v>7</v>
      </c>
      <c r="D35011" s="4" t="s">
        <v>11</v>
      </c>
      <c r="E35011" s="4" t="s">
        <v>11</v>
      </c>
      <c r="F35011" s="4" t="s">
        <v>15</v>
      </c>
    </row>
    <row r="35012" spans="1:6">
      <c r="A35012" t="n">
        <v>342344</v>
      </c>
      <c r="B35012" s="76" t="n">
        <v>84</v>
      </c>
      <c r="C35012" s="7" t="n">
        <v>0</v>
      </c>
      <c r="D35012" s="7" t="n">
        <v>0</v>
      </c>
      <c r="E35012" s="7" t="n">
        <v>0</v>
      </c>
      <c r="F35012" s="7" t="n">
        <v>1045220557</v>
      </c>
    </row>
    <row r="35013" spans="1:6">
      <c r="A35013" t="s">
        <v>4</v>
      </c>
      <c r="B35013" s="4" t="s">
        <v>5</v>
      </c>
      <c r="C35013" s="4" t="s">
        <v>11</v>
      </c>
      <c r="D35013" s="4" t="s">
        <v>13</v>
      </c>
      <c r="E35013" s="4" t="s">
        <v>13</v>
      </c>
      <c r="F35013" s="4" t="s">
        <v>13</v>
      </c>
      <c r="G35013" s="4" t="s">
        <v>13</v>
      </c>
    </row>
    <row r="35014" spans="1:6">
      <c r="A35014" t="n">
        <v>342354</v>
      </c>
      <c r="B35014" s="36" t="n">
        <v>46</v>
      </c>
      <c r="C35014" s="7" t="n">
        <v>4</v>
      </c>
      <c r="D35014" s="7" t="n">
        <v>7.6100001335144</v>
      </c>
      <c r="E35014" s="7" t="n">
        <v>0</v>
      </c>
      <c r="F35014" s="7" t="n">
        <v>46.0200004577637</v>
      </c>
      <c r="G35014" s="7" t="n">
        <v>272.200012207031</v>
      </c>
    </row>
    <row r="35015" spans="1:6">
      <c r="A35015" t="s">
        <v>4</v>
      </c>
      <c r="B35015" s="4" t="s">
        <v>5</v>
      </c>
      <c r="C35015" s="4" t="s">
        <v>11</v>
      </c>
      <c r="D35015" s="4" t="s">
        <v>13</v>
      </c>
      <c r="E35015" s="4" t="s">
        <v>13</v>
      </c>
      <c r="F35015" s="4" t="s">
        <v>13</v>
      </c>
      <c r="G35015" s="4" t="s">
        <v>13</v>
      </c>
    </row>
    <row r="35016" spans="1:6">
      <c r="A35016" t="n">
        <v>342373</v>
      </c>
      <c r="B35016" s="36" t="n">
        <v>46</v>
      </c>
      <c r="C35016" s="7" t="n">
        <v>0</v>
      </c>
      <c r="D35016" s="7" t="n">
        <v>4.78000020980835</v>
      </c>
      <c r="E35016" s="7" t="n">
        <v>0</v>
      </c>
      <c r="F35016" s="7" t="n">
        <v>45.3300018310547</v>
      </c>
      <c r="G35016" s="7" t="n">
        <v>-102.300003051758</v>
      </c>
    </row>
    <row r="35017" spans="1:6">
      <c r="A35017" t="s">
        <v>4</v>
      </c>
      <c r="B35017" s="4" t="s">
        <v>5</v>
      </c>
      <c r="C35017" s="4" t="s">
        <v>11</v>
      </c>
      <c r="D35017" s="4" t="s">
        <v>7</v>
      </c>
      <c r="E35017" s="4" t="s">
        <v>8</v>
      </c>
      <c r="F35017" s="4" t="s">
        <v>13</v>
      </c>
      <c r="G35017" s="4" t="s">
        <v>13</v>
      </c>
      <c r="H35017" s="4" t="s">
        <v>13</v>
      </c>
    </row>
    <row r="35018" spans="1:6">
      <c r="A35018" t="n">
        <v>342392</v>
      </c>
      <c r="B35018" s="42" t="n">
        <v>48</v>
      </c>
      <c r="C35018" s="7" t="n">
        <v>0</v>
      </c>
      <c r="D35018" s="7" t="n">
        <v>0</v>
      </c>
      <c r="E35018" s="7" t="s">
        <v>275</v>
      </c>
      <c r="F35018" s="7" t="n">
        <v>0</v>
      </c>
      <c r="G35018" s="7" t="n">
        <v>1</v>
      </c>
      <c r="H35018" s="7" t="n">
        <v>0</v>
      </c>
    </row>
    <row r="35019" spans="1:6">
      <c r="A35019" t="s">
        <v>4</v>
      </c>
      <c r="B35019" s="4" t="s">
        <v>5</v>
      </c>
      <c r="C35019" s="4" t="s">
        <v>7</v>
      </c>
      <c r="D35019" s="4" t="s">
        <v>11</v>
      </c>
      <c r="E35019" s="4" t="s">
        <v>8</v>
      </c>
      <c r="F35019" s="4" t="s">
        <v>8</v>
      </c>
      <c r="G35019" s="4" t="s">
        <v>8</v>
      </c>
      <c r="H35019" s="4" t="s">
        <v>8</v>
      </c>
    </row>
    <row r="35020" spans="1:6">
      <c r="A35020" t="n">
        <v>342417</v>
      </c>
      <c r="B35020" s="38" t="n">
        <v>51</v>
      </c>
      <c r="C35020" s="7" t="n">
        <v>3</v>
      </c>
      <c r="D35020" s="7" t="n">
        <v>0</v>
      </c>
      <c r="E35020" s="7" t="s">
        <v>101</v>
      </c>
      <c r="F35020" s="7" t="s">
        <v>99</v>
      </c>
      <c r="G35020" s="7" t="s">
        <v>78</v>
      </c>
      <c r="H35020" s="7" t="s">
        <v>79</v>
      </c>
    </row>
    <row r="35021" spans="1:6">
      <c r="A35021" t="s">
        <v>4</v>
      </c>
      <c r="B35021" s="4" t="s">
        <v>5</v>
      </c>
      <c r="C35021" s="4" t="s">
        <v>7</v>
      </c>
      <c r="D35021" s="4" t="s">
        <v>11</v>
      </c>
      <c r="E35021" s="4" t="s">
        <v>8</v>
      </c>
      <c r="F35021" s="4" t="s">
        <v>8</v>
      </c>
      <c r="G35021" s="4" t="s">
        <v>8</v>
      </c>
      <c r="H35021" s="4" t="s">
        <v>8</v>
      </c>
    </row>
    <row r="35022" spans="1:6">
      <c r="A35022" t="n">
        <v>342438</v>
      </c>
      <c r="B35022" s="38" t="n">
        <v>51</v>
      </c>
      <c r="C35022" s="7" t="n">
        <v>3</v>
      </c>
      <c r="D35022" s="7" t="n">
        <v>4</v>
      </c>
      <c r="E35022" s="7" t="s">
        <v>101</v>
      </c>
      <c r="F35022" s="7" t="s">
        <v>99</v>
      </c>
      <c r="G35022" s="7" t="s">
        <v>78</v>
      </c>
      <c r="H35022" s="7" t="s">
        <v>79</v>
      </c>
    </row>
    <row r="35023" spans="1:6">
      <c r="A35023" t="s">
        <v>4</v>
      </c>
      <c r="B35023" s="4" t="s">
        <v>5</v>
      </c>
      <c r="C35023" s="4" t="s">
        <v>7</v>
      </c>
      <c r="D35023" s="4" t="s">
        <v>11</v>
      </c>
      <c r="E35023" s="4" t="s">
        <v>7</v>
      </c>
      <c r="F35023" s="4" t="s">
        <v>8</v>
      </c>
      <c r="G35023" s="4" t="s">
        <v>8</v>
      </c>
      <c r="H35023" s="4" t="s">
        <v>8</v>
      </c>
      <c r="I35023" s="4" t="s">
        <v>8</v>
      </c>
      <c r="J35023" s="4" t="s">
        <v>8</v>
      </c>
      <c r="K35023" s="4" t="s">
        <v>8</v>
      </c>
      <c r="L35023" s="4" t="s">
        <v>8</v>
      </c>
      <c r="M35023" s="4" t="s">
        <v>8</v>
      </c>
      <c r="N35023" s="4" t="s">
        <v>8</v>
      </c>
      <c r="O35023" s="4" t="s">
        <v>8</v>
      </c>
      <c r="P35023" s="4" t="s">
        <v>8</v>
      </c>
      <c r="Q35023" s="4" t="s">
        <v>8</v>
      </c>
      <c r="R35023" s="4" t="s">
        <v>8</v>
      </c>
      <c r="S35023" s="4" t="s">
        <v>8</v>
      </c>
      <c r="T35023" s="4" t="s">
        <v>8</v>
      </c>
      <c r="U35023" s="4" t="s">
        <v>8</v>
      </c>
    </row>
    <row r="35024" spans="1:6">
      <c r="A35024" t="n">
        <v>342459</v>
      </c>
      <c r="B35024" s="40" t="n">
        <v>36</v>
      </c>
      <c r="C35024" s="7" t="n">
        <v>8</v>
      </c>
      <c r="D35024" s="7" t="n">
        <v>0</v>
      </c>
      <c r="E35024" s="7" t="n">
        <v>0</v>
      </c>
      <c r="F35024" s="7" t="s">
        <v>987</v>
      </c>
      <c r="G35024" s="7" t="s">
        <v>16</v>
      </c>
      <c r="H35024" s="7" t="s">
        <v>16</v>
      </c>
      <c r="I35024" s="7" t="s">
        <v>16</v>
      </c>
      <c r="J35024" s="7" t="s">
        <v>16</v>
      </c>
      <c r="K35024" s="7" t="s">
        <v>16</v>
      </c>
      <c r="L35024" s="7" t="s">
        <v>16</v>
      </c>
      <c r="M35024" s="7" t="s">
        <v>16</v>
      </c>
      <c r="N35024" s="7" t="s">
        <v>16</v>
      </c>
      <c r="O35024" s="7" t="s">
        <v>16</v>
      </c>
      <c r="P35024" s="7" t="s">
        <v>16</v>
      </c>
      <c r="Q35024" s="7" t="s">
        <v>16</v>
      </c>
      <c r="R35024" s="7" t="s">
        <v>16</v>
      </c>
      <c r="S35024" s="7" t="s">
        <v>16</v>
      </c>
      <c r="T35024" s="7" t="s">
        <v>16</v>
      </c>
      <c r="U35024" s="7" t="s">
        <v>16</v>
      </c>
    </row>
    <row r="35025" spans="1:21">
      <c r="A35025" t="s">
        <v>4</v>
      </c>
      <c r="B35025" s="4" t="s">
        <v>5</v>
      </c>
      <c r="C35025" s="4" t="s">
        <v>7</v>
      </c>
      <c r="D35025" s="4" t="s">
        <v>11</v>
      </c>
      <c r="E35025" s="4" t="s">
        <v>7</v>
      </c>
      <c r="F35025" s="4" t="s">
        <v>8</v>
      </c>
      <c r="G35025" s="4" t="s">
        <v>8</v>
      </c>
      <c r="H35025" s="4" t="s">
        <v>8</v>
      </c>
      <c r="I35025" s="4" t="s">
        <v>8</v>
      </c>
      <c r="J35025" s="4" t="s">
        <v>8</v>
      </c>
      <c r="K35025" s="4" t="s">
        <v>8</v>
      </c>
      <c r="L35025" s="4" t="s">
        <v>8</v>
      </c>
      <c r="M35025" s="4" t="s">
        <v>8</v>
      </c>
      <c r="N35025" s="4" t="s">
        <v>8</v>
      </c>
      <c r="O35025" s="4" t="s">
        <v>8</v>
      </c>
      <c r="P35025" s="4" t="s">
        <v>8</v>
      </c>
      <c r="Q35025" s="4" t="s">
        <v>8</v>
      </c>
      <c r="R35025" s="4" t="s">
        <v>8</v>
      </c>
      <c r="S35025" s="4" t="s">
        <v>8</v>
      </c>
      <c r="T35025" s="4" t="s">
        <v>8</v>
      </c>
      <c r="U35025" s="4" t="s">
        <v>8</v>
      </c>
    </row>
    <row r="35026" spans="1:21">
      <c r="A35026" t="n">
        <v>342489</v>
      </c>
      <c r="B35026" s="40" t="n">
        <v>36</v>
      </c>
      <c r="C35026" s="7" t="n">
        <v>8</v>
      </c>
      <c r="D35026" s="7" t="n">
        <v>4</v>
      </c>
      <c r="E35026" s="7" t="n">
        <v>0</v>
      </c>
      <c r="F35026" s="7" t="s">
        <v>987</v>
      </c>
      <c r="G35026" s="7" t="s">
        <v>16</v>
      </c>
      <c r="H35026" s="7" t="s">
        <v>16</v>
      </c>
      <c r="I35026" s="7" t="s">
        <v>16</v>
      </c>
      <c r="J35026" s="7" t="s">
        <v>16</v>
      </c>
      <c r="K35026" s="7" t="s">
        <v>16</v>
      </c>
      <c r="L35026" s="7" t="s">
        <v>16</v>
      </c>
      <c r="M35026" s="7" t="s">
        <v>16</v>
      </c>
      <c r="N35026" s="7" t="s">
        <v>16</v>
      </c>
      <c r="O35026" s="7" t="s">
        <v>16</v>
      </c>
      <c r="P35026" s="7" t="s">
        <v>16</v>
      </c>
      <c r="Q35026" s="7" t="s">
        <v>16</v>
      </c>
      <c r="R35026" s="7" t="s">
        <v>16</v>
      </c>
      <c r="S35026" s="7" t="s">
        <v>16</v>
      </c>
      <c r="T35026" s="7" t="s">
        <v>16</v>
      </c>
      <c r="U35026" s="7" t="s">
        <v>16</v>
      </c>
    </row>
    <row r="35027" spans="1:21">
      <c r="A35027" t="s">
        <v>4</v>
      </c>
      <c r="B35027" s="4" t="s">
        <v>5</v>
      </c>
      <c r="C35027" s="4" t="s">
        <v>7</v>
      </c>
      <c r="D35027" s="4" t="s">
        <v>7</v>
      </c>
      <c r="E35027" s="4" t="s">
        <v>13</v>
      </c>
      <c r="F35027" s="4" t="s">
        <v>13</v>
      </c>
      <c r="G35027" s="4" t="s">
        <v>13</v>
      </c>
      <c r="H35027" s="4" t="s">
        <v>11</v>
      </c>
    </row>
    <row r="35028" spans="1:21">
      <c r="A35028" t="n">
        <v>342519</v>
      </c>
      <c r="B35028" s="51" t="n">
        <v>45</v>
      </c>
      <c r="C35028" s="7" t="n">
        <v>2</v>
      </c>
      <c r="D35028" s="7" t="n">
        <v>3</v>
      </c>
      <c r="E35028" s="7" t="n">
        <v>-3</v>
      </c>
      <c r="F35028" s="7" t="n">
        <v>2.89000010490417</v>
      </c>
      <c r="G35028" s="7" t="n">
        <v>41.3699989318848</v>
      </c>
      <c r="H35028" s="7" t="n">
        <v>0</v>
      </c>
    </row>
    <row r="35029" spans="1:21">
      <c r="A35029" t="s">
        <v>4</v>
      </c>
      <c r="B35029" s="4" t="s">
        <v>5</v>
      </c>
      <c r="C35029" s="4" t="s">
        <v>7</v>
      </c>
      <c r="D35029" s="4" t="s">
        <v>7</v>
      </c>
      <c r="E35029" s="4" t="s">
        <v>13</v>
      </c>
      <c r="F35029" s="4" t="s">
        <v>13</v>
      </c>
      <c r="G35029" s="4" t="s">
        <v>13</v>
      </c>
      <c r="H35029" s="4" t="s">
        <v>11</v>
      </c>
      <c r="I35029" s="4" t="s">
        <v>7</v>
      </c>
    </row>
    <row r="35030" spans="1:21">
      <c r="A35030" t="n">
        <v>342536</v>
      </c>
      <c r="B35030" s="51" t="n">
        <v>45</v>
      </c>
      <c r="C35030" s="7" t="n">
        <v>4</v>
      </c>
      <c r="D35030" s="7" t="n">
        <v>3</v>
      </c>
      <c r="E35030" s="7" t="n">
        <v>0.649999976158142</v>
      </c>
      <c r="F35030" s="7" t="n">
        <v>105.529998779297</v>
      </c>
      <c r="G35030" s="7" t="n">
        <v>0</v>
      </c>
      <c r="H35030" s="7" t="n">
        <v>0</v>
      </c>
      <c r="I35030" s="7" t="n">
        <v>0</v>
      </c>
    </row>
    <row r="35031" spans="1:21">
      <c r="A35031" t="s">
        <v>4</v>
      </c>
      <c r="B35031" s="4" t="s">
        <v>5</v>
      </c>
      <c r="C35031" s="4" t="s">
        <v>7</v>
      </c>
      <c r="D35031" s="4" t="s">
        <v>7</v>
      </c>
      <c r="E35031" s="4" t="s">
        <v>13</v>
      </c>
      <c r="F35031" s="4" t="s">
        <v>11</v>
      </c>
    </row>
    <row r="35032" spans="1:21">
      <c r="A35032" t="n">
        <v>342554</v>
      </c>
      <c r="B35032" s="51" t="n">
        <v>45</v>
      </c>
      <c r="C35032" s="7" t="n">
        <v>5</v>
      </c>
      <c r="D35032" s="7" t="n">
        <v>3</v>
      </c>
      <c r="E35032" s="7" t="n">
        <v>2.40000009536743</v>
      </c>
      <c r="F35032" s="7" t="n">
        <v>0</v>
      </c>
    </row>
    <row r="35033" spans="1:21">
      <c r="A35033" t="s">
        <v>4</v>
      </c>
      <c r="B35033" s="4" t="s">
        <v>5</v>
      </c>
      <c r="C35033" s="4" t="s">
        <v>7</v>
      </c>
      <c r="D35033" s="4" t="s">
        <v>7</v>
      </c>
      <c r="E35033" s="4" t="s">
        <v>13</v>
      </c>
      <c r="F35033" s="4" t="s">
        <v>11</v>
      </c>
    </row>
    <row r="35034" spans="1:21">
      <c r="A35034" t="n">
        <v>342563</v>
      </c>
      <c r="B35034" s="51" t="n">
        <v>45</v>
      </c>
      <c r="C35034" s="7" t="n">
        <v>11</v>
      </c>
      <c r="D35034" s="7" t="n">
        <v>3</v>
      </c>
      <c r="E35034" s="7" t="n">
        <v>33.4000015258789</v>
      </c>
      <c r="F35034" s="7" t="n">
        <v>0</v>
      </c>
    </row>
    <row r="35035" spans="1:21">
      <c r="A35035" t="s">
        <v>4</v>
      </c>
      <c r="B35035" s="4" t="s">
        <v>5</v>
      </c>
      <c r="C35035" s="4" t="s">
        <v>11</v>
      </c>
      <c r="D35035" s="4" t="s">
        <v>13</v>
      </c>
      <c r="E35035" s="4" t="s">
        <v>13</v>
      </c>
      <c r="F35035" s="4" t="s">
        <v>13</v>
      </c>
      <c r="G35035" s="4" t="s">
        <v>11</v>
      </c>
      <c r="H35035" s="4" t="s">
        <v>11</v>
      </c>
    </row>
    <row r="35036" spans="1:21">
      <c r="A35036" t="n">
        <v>342572</v>
      </c>
      <c r="B35036" s="37" t="n">
        <v>60</v>
      </c>
      <c r="C35036" s="7" t="n">
        <v>0</v>
      </c>
      <c r="D35036" s="7" t="n">
        <v>0</v>
      </c>
      <c r="E35036" s="7" t="n">
        <v>20</v>
      </c>
      <c r="F35036" s="7" t="n">
        <v>0</v>
      </c>
      <c r="G35036" s="7" t="n">
        <v>0</v>
      </c>
      <c r="H35036" s="7" t="n">
        <v>0</v>
      </c>
    </row>
    <row r="35037" spans="1:21">
      <c r="A35037" t="s">
        <v>4</v>
      </c>
      <c r="B35037" s="4" t="s">
        <v>5</v>
      </c>
      <c r="C35037" s="4" t="s">
        <v>7</v>
      </c>
      <c r="D35037" s="4" t="s">
        <v>7</v>
      </c>
      <c r="E35037" s="4" t="s">
        <v>7</v>
      </c>
      <c r="F35037" s="4" t="s">
        <v>13</v>
      </c>
      <c r="G35037" s="4" t="s">
        <v>13</v>
      </c>
      <c r="H35037" s="4" t="s">
        <v>13</v>
      </c>
      <c r="I35037" s="4" t="s">
        <v>13</v>
      </c>
      <c r="J35037" s="4" t="s">
        <v>13</v>
      </c>
    </row>
    <row r="35038" spans="1:21">
      <c r="A35038" t="n">
        <v>342591</v>
      </c>
      <c r="B35038" s="25" t="n">
        <v>76</v>
      </c>
      <c r="C35038" s="7" t="n">
        <v>0</v>
      </c>
      <c r="D35038" s="7" t="n">
        <v>3</v>
      </c>
      <c r="E35038" s="7" t="n">
        <v>2</v>
      </c>
      <c r="F35038" s="7" t="n">
        <v>1</v>
      </c>
      <c r="G35038" s="7" t="n">
        <v>1</v>
      </c>
      <c r="H35038" s="7" t="n">
        <v>1</v>
      </c>
      <c r="I35038" s="7" t="n">
        <v>1</v>
      </c>
      <c r="J35038" s="7" t="n">
        <v>2000</v>
      </c>
    </row>
    <row r="35039" spans="1:21">
      <c r="A35039" t="s">
        <v>4</v>
      </c>
      <c r="B35039" s="4" t="s">
        <v>5</v>
      </c>
      <c r="C35039" s="4" t="s">
        <v>7</v>
      </c>
      <c r="D35039" s="4" t="s">
        <v>7</v>
      </c>
      <c r="E35039" s="4" t="s">
        <v>7</v>
      </c>
      <c r="F35039" s="4" t="s">
        <v>13</v>
      </c>
      <c r="G35039" s="4" t="s">
        <v>13</v>
      </c>
      <c r="H35039" s="4" t="s">
        <v>13</v>
      </c>
      <c r="I35039" s="4" t="s">
        <v>13</v>
      </c>
      <c r="J35039" s="4" t="s">
        <v>13</v>
      </c>
    </row>
    <row r="35040" spans="1:21">
      <c r="A35040" t="n">
        <v>342615</v>
      </c>
      <c r="B35040" s="25" t="n">
        <v>76</v>
      </c>
      <c r="C35040" s="7" t="n">
        <v>0</v>
      </c>
      <c r="D35040" s="7" t="n">
        <v>0</v>
      </c>
      <c r="E35040" s="7" t="n">
        <v>2</v>
      </c>
      <c r="F35040" s="7" t="n">
        <v>64</v>
      </c>
      <c r="G35040" s="7" t="n">
        <v>0</v>
      </c>
      <c r="H35040" s="7" t="n">
        <v>2000</v>
      </c>
      <c r="I35040" s="7" t="n">
        <v>0</v>
      </c>
      <c r="J35040" s="7" t="n">
        <v>0</v>
      </c>
    </row>
    <row r="35041" spans="1:21">
      <c r="A35041" t="s">
        <v>4</v>
      </c>
      <c r="B35041" s="4" t="s">
        <v>5</v>
      </c>
      <c r="C35041" s="4" t="s">
        <v>7</v>
      </c>
      <c r="D35041" s="4" t="s">
        <v>7</v>
      </c>
    </row>
    <row r="35042" spans="1:21">
      <c r="A35042" t="n">
        <v>342639</v>
      </c>
      <c r="B35042" s="26" t="n">
        <v>77</v>
      </c>
      <c r="C35042" s="7" t="n">
        <v>0</v>
      </c>
      <c r="D35042" s="7" t="n">
        <v>3</v>
      </c>
    </row>
    <row r="35043" spans="1:21">
      <c r="A35043" t="s">
        <v>4</v>
      </c>
      <c r="B35043" s="4" t="s">
        <v>5</v>
      </c>
      <c r="C35043" s="4" t="s">
        <v>7</v>
      </c>
      <c r="D35043" s="4" t="s">
        <v>7</v>
      </c>
    </row>
    <row r="35044" spans="1:21">
      <c r="A35044" t="n">
        <v>342642</v>
      </c>
      <c r="B35044" s="26" t="n">
        <v>77</v>
      </c>
      <c r="C35044" s="7" t="n">
        <v>0</v>
      </c>
      <c r="D35044" s="7" t="n">
        <v>0</v>
      </c>
    </row>
    <row r="35045" spans="1:21">
      <c r="A35045" t="s">
        <v>4</v>
      </c>
      <c r="B35045" s="4" t="s">
        <v>5</v>
      </c>
      <c r="C35045" s="4" t="s">
        <v>11</v>
      </c>
    </row>
    <row r="35046" spans="1:21">
      <c r="A35046" t="n">
        <v>342645</v>
      </c>
      <c r="B35046" s="29" t="n">
        <v>16</v>
      </c>
      <c r="C35046" s="7" t="n">
        <v>2000</v>
      </c>
    </row>
    <row r="35047" spans="1:21">
      <c r="A35047" t="s">
        <v>4</v>
      </c>
      <c r="B35047" s="4" t="s">
        <v>5</v>
      </c>
      <c r="C35047" s="4" t="s">
        <v>7</v>
      </c>
      <c r="D35047" s="4" t="s">
        <v>11</v>
      </c>
      <c r="E35047" s="4" t="s">
        <v>15</v>
      </c>
      <c r="F35047" s="4" t="s">
        <v>11</v>
      </c>
      <c r="G35047" s="4" t="s">
        <v>15</v>
      </c>
      <c r="H35047" s="4" t="s">
        <v>7</v>
      </c>
    </row>
    <row r="35048" spans="1:21">
      <c r="A35048" t="n">
        <v>342648</v>
      </c>
      <c r="B35048" s="13" t="n">
        <v>49</v>
      </c>
      <c r="C35048" s="7" t="n">
        <v>0</v>
      </c>
      <c r="D35048" s="7" t="n">
        <v>514</v>
      </c>
      <c r="E35048" s="7" t="n">
        <v>1065353216</v>
      </c>
      <c r="F35048" s="7" t="n">
        <v>0</v>
      </c>
      <c r="G35048" s="7" t="n">
        <v>0</v>
      </c>
      <c r="H35048" s="7" t="n">
        <v>0</v>
      </c>
    </row>
    <row r="35049" spans="1:21">
      <c r="A35049" t="s">
        <v>4</v>
      </c>
      <c r="B35049" s="4" t="s">
        <v>5</v>
      </c>
      <c r="C35049" s="4" t="s">
        <v>7</v>
      </c>
      <c r="D35049" s="4" t="s">
        <v>7</v>
      </c>
      <c r="E35049" s="4" t="s">
        <v>7</v>
      </c>
      <c r="F35049" s="4" t="s">
        <v>13</v>
      </c>
      <c r="G35049" s="4" t="s">
        <v>13</v>
      </c>
      <c r="H35049" s="4" t="s">
        <v>13</v>
      </c>
      <c r="I35049" s="4" t="s">
        <v>13</v>
      </c>
      <c r="J35049" s="4" t="s">
        <v>13</v>
      </c>
    </row>
    <row r="35050" spans="1:21">
      <c r="A35050" t="n">
        <v>342663</v>
      </c>
      <c r="B35050" s="25" t="n">
        <v>76</v>
      </c>
      <c r="C35050" s="7" t="n">
        <v>0</v>
      </c>
      <c r="D35050" s="7" t="n">
        <v>3</v>
      </c>
      <c r="E35050" s="7" t="n">
        <v>1</v>
      </c>
      <c r="F35050" s="7" t="n">
        <v>1</v>
      </c>
      <c r="G35050" s="7" t="n">
        <v>1</v>
      </c>
      <c r="H35050" s="7" t="n">
        <v>1</v>
      </c>
      <c r="I35050" s="7" t="n">
        <v>0</v>
      </c>
      <c r="J35050" s="7" t="n">
        <v>2000</v>
      </c>
    </row>
    <row r="35051" spans="1:21">
      <c r="A35051" t="s">
        <v>4</v>
      </c>
      <c r="B35051" s="4" t="s">
        <v>5</v>
      </c>
      <c r="C35051" s="4" t="s">
        <v>7</v>
      </c>
      <c r="D35051" s="4" t="s">
        <v>7</v>
      </c>
      <c r="E35051" s="4" t="s">
        <v>7</v>
      </c>
      <c r="F35051" s="4" t="s">
        <v>13</v>
      </c>
      <c r="G35051" s="4" t="s">
        <v>13</v>
      </c>
      <c r="H35051" s="4" t="s">
        <v>13</v>
      </c>
      <c r="I35051" s="4" t="s">
        <v>13</v>
      </c>
      <c r="J35051" s="4" t="s">
        <v>13</v>
      </c>
    </row>
    <row r="35052" spans="1:21">
      <c r="A35052" t="n">
        <v>342687</v>
      </c>
      <c r="B35052" s="25" t="n">
        <v>76</v>
      </c>
      <c r="C35052" s="7" t="n">
        <v>0</v>
      </c>
      <c r="D35052" s="7" t="n">
        <v>0</v>
      </c>
      <c r="E35052" s="7" t="n">
        <v>1</v>
      </c>
      <c r="F35052" s="7" t="n">
        <v>128</v>
      </c>
      <c r="G35052" s="7" t="n">
        <v>0</v>
      </c>
      <c r="H35052" s="7" t="n">
        <v>2000</v>
      </c>
      <c r="I35052" s="7" t="n">
        <v>0</v>
      </c>
      <c r="J35052" s="7" t="n">
        <v>0</v>
      </c>
    </row>
    <row r="35053" spans="1:21">
      <c r="A35053" t="s">
        <v>4</v>
      </c>
      <c r="B35053" s="4" t="s">
        <v>5</v>
      </c>
      <c r="C35053" s="4" t="s">
        <v>7</v>
      </c>
      <c r="D35053" s="4" t="s">
        <v>7</v>
      </c>
    </row>
    <row r="35054" spans="1:21">
      <c r="A35054" t="n">
        <v>342711</v>
      </c>
      <c r="B35054" s="26" t="n">
        <v>77</v>
      </c>
      <c r="C35054" s="7" t="n">
        <v>0</v>
      </c>
      <c r="D35054" s="7" t="n">
        <v>3</v>
      </c>
    </row>
    <row r="35055" spans="1:21">
      <c r="A35055" t="s">
        <v>4</v>
      </c>
      <c r="B35055" s="4" t="s">
        <v>5</v>
      </c>
      <c r="C35055" s="4" t="s">
        <v>7</v>
      </c>
      <c r="D35055" s="4" t="s">
        <v>7</v>
      </c>
    </row>
    <row r="35056" spans="1:21">
      <c r="A35056" t="n">
        <v>342714</v>
      </c>
      <c r="B35056" s="26" t="n">
        <v>77</v>
      </c>
      <c r="C35056" s="7" t="n">
        <v>0</v>
      </c>
      <c r="D35056" s="7" t="n">
        <v>0</v>
      </c>
    </row>
    <row r="35057" spans="1:10">
      <c r="A35057" t="s">
        <v>4</v>
      </c>
      <c r="B35057" s="4" t="s">
        <v>5</v>
      </c>
      <c r="C35057" s="4" t="s">
        <v>7</v>
      </c>
      <c r="D35057" s="4" t="s">
        <v>7</v>
      </c>
      <c r="E35057" s="4" t="s">
        <v>13</v>
      </c>
      <c r="F35057" s="4" t="s">
        <v>13</v>
      </c>
      <c r="G35057" s="4" t="s">
        <v>13</v>
      </c>
      <c r="H35057" s="4" t="s">
        <v>11</v>
      </c>
    </row>
    <row r="35058" spans="1:10">
      <c r="A35058" t="n">
        <v>342717</v>
      </c>
      <c r="B35058" s="51" t="n">
        <v>45</v>
      </c>
      <c r="C35058" s="7" t="n">
        <v>2</v>
      </c>
      <c r="D35058" s="7" t="n">
        <v>3</v>
      </c>
      <c r="E35058" s="7" t="n">
        <v>5.23999977111816</v>
      </c>
      <c r="F35058" s="7" t="n">
        <v>2.15000009536743</v>
      </c>
      <c r="G35058" s="7" t="n">
        <v>43.8600006103516</v>
      </c>
      <c r="H35058" s="7" t="n">
        <v>8000</v>
      </c>
    </row>
    <row r="35059" spans="1:10">
      <c r="A35059" t="s">
        <v>4</v>
      </c>
      <c r="B35059" s="4" t="s">
        <v>5</v>
      </c>
      <c r="C35059" s="4" t="s">
        <v>7</v>
      </c>
      <c r="D35059" s="4" t="s">
        <v>7</v>
      </c>
      <c r="E35059" s="4" t="s">
        <v>13</v>
      </c>
      <c r="F35059" s="4" t="s">
        <v>13</v>
      </c>
      <c r="G35059" s="4" t="s">
        <v>13</v>
      </c>
      <c r="H35059" s="4" t="s">
        <v>11</v>
      </c>
      <c r="I35059" s="4" t="s">
        <v>7</v>
      </c>
    </row>
    <row r="35060" spans="1:10">
      <c r="A35060" t="n">
        <v>342734</v>
      </c>
      <c r="B35060" s="51" t="n">
        <v>45</v>
      </c>
      <c r="C35060" s="7" t="n">
        <v>4</v>
      </c>
      <c r="D35060" s="7" t="n">
        <v>3</v>
      </c>
      <c r="E35060" s="7" t="n">
        <v>12.4799995422363</v>
      </c>
      <c r="F35060" s="7" t="n">
        <v>144.25</v>
      </c>
      <c r="G35060" s="7" t="n">
        <v>0</v>
      </c>
      <c r="H35060" s="7" t="n">
        <v>8000</v>
      </c>
      <c r="I35060" s="7" t="n">
        <v>0</v>
      </c>
    </row>
    <row r="35061" spans="1:10">
      <c r="A35061" t="s">
        <v>4</v>
      </c>
      <c r="B35061" s="4" t="s">
        <v>5</v>
      </c>
      <c r="C35061" s="4" t="s">
        <v>7</v>
      </c>
      <c r="D35061" s="4" t="s">
        <v>7</v>
      </c>
      <c r="E35061" s="4" t="s">
        <v>13</v>
      </c>
      <c r="F35061" s="4" t="s">
        <v>11</v>
      </c>
    </row>
    <row r="35062" spans="1:10">
      <c r="A35062" t="n">
        <v>342752</v>
      </c>
      <c r="B35062" s="51" t="n">
        <v>45</v>
      </c>
      <c r="C35062" s="7" t="n">
        <v>5</v>
      </c>
      <c r="D35062" s="7" t="n">
        <v>3</v>
      </c>
      <c r="E35062" s="7" t="n">
        <v>2.40000009536743</v>
      </c>
      <c r="F35062" s="7" t="n">
        <v>8000</v>
      </c>
    </row>
    <row r="35063" spans="1:10">
      <c r="A35063" t="s">
        <v>4</v>
      </c>
      <c r="B35063" s="4" t="s">
        <v>5</v>
      </c>
      <c r="C35063" s="4" t="s">
        <v>7</v>
      </c>
      <c r="D35063" s="4" t="s">
        <v>7</v>
      </c>
      <c r="E35063" s="4" t="s">
        <v>13</v>
      </c>
      <c r="F35063" s="4" t="s">
        <v>11</v>
      </c>
    </row>
    <row r="35064" spans="1:10">
      <c r="A35064" t="n">
        <v>342761</v>
      </c>
      <c r="B35064" s="51" t="n">
        <v>45</v>
      </c>
      <c r="C35064" s="7" t="n">
        <v>11</v>
      </c>
      <c r="D35064" s="7" t="n">
        <v>3</v>
      </c>
      <c r="E35064" s="7" t="n">
        <v>33.4000015258789</v>
      </c>
      <c r="F35064" s="7" t="n">
        <v>8000</v>
      </c>
    </row>
    <row r="35065" spans="1:10">
      <c r="A35065" t="s">
        <v>4</v>
      </c>
      <c r="B35065" s="4" t="s">
        <v>5</v>
      </c>
      <c r="C35065" s="4" t="s">
        <v>7</v>
      </c>
      <c r="D35065" s="4" t="s">
        <v>11</v>
      </c>
      <c r="E35065" s="4" t="s">
        <v>13</v>
      </c>
    </row>
    <row r="35066" spans="1:10">
      <c r="A35066" t="n">
        <v>342770</v>
      </c>
      <c r="B35066" s="23" t="n">
        <v>58</v>
      </c>
      <c r="C35066" s="7" t="n">
        <v>100</v>
      </c>
      <c r="D35066" s="7" t="n">
        <v>1000</v>
      </c>
      <c r="E35066" s="7" t="n">
        <v>1</v>
      </c>
    </row>
    <row r="35067" spans="1:10">
      <c r="A35067" t="s">
        <v>4</v>
      </c>
      <c r="B35067" s="4" t="s">
        <v>5</v>
      </c>
      <c r="C35067" s="4" t="s">
        <v>7</v>
      </c>
      <c r="D35067" s="4" t="s">
        <v>11</v>
      </c>
    </row>
    <row r="35068" spans="1:10">
      <c r="A35068" t="n">
        <v>342778</v>
      </c>
      <c r="B35068" s="23" t="n">
        <v>58</v>
      </c>
      <c r="C35068" s="7" t="n">
        <v>255</v>
      </c>
      <c r="D35068" s="7" t="n">
        <v>0</v>
      </c>
    </row>
    <row r="35069" spans="1:10">
      <c r="A35069" t="s">
        <v>4</v>
      </c>
      <c r="B35069" s="4" t="s">
        <v>5</v>
      </c>
      <c r="C35069" s="4" t="s">
        <v>7</v>
      </c>
      <c r="D35069" s="4" t="s">
        <v>11</v>
      </c>
    </row>
    <row r="35070" spans="1:10">
      <c r="A35070" t="n">
        <v>342782</v>
      </c>
      <c r="B35070" s="51" t="n">
        <v>45</v>
      </c>
      <c r="C35070" s="7" t="n">
        <v>7</v>
      </c>
      <c r="D35070" s="7" t="n">
        <v>255</v>
      </c>
    </row>
    <row r="35071" spans="1:10">
      <c r="A35071" t="s">
        <v>4</v>
      </c>
      <c r="B35071" s="4" t="s">
        <v>5</v>
      </c>
      <c r="C35071" s="4" t="s">
        <v>7</v>
      </c>
      <c r="D35071" s="4" t="s">
        <v>11</v>
      </c>
      <c r="E35071" s="4" t="s">
        <v>13</v>
      </c>
    </row>
    <row r="35072" spans="1:10">
      <c r="A35072" t="n">
        <v>342786</v>
      </c>
      <c r="B35072" s="23" t="n">
        <v>58</v>
      </c>
      <c r="C35072" s="7" t="n">
        <v>101</v>
      </c>
      <c r="D35072" s="7" t="n">
        <v>800</v>
      </c>
      <c r="E35072" s="7" t="n">
        <v>1</v>
      </c>
    </row>
    <row r="35073" spans="1:9">
      <c r="A35073" t="s">
        <v>4</v>
      </c>
      <c r="B35073" s="4" t="s">
        <v>5</v>
      </c>
      <c r="C35073" s="4" t="s">
        <v>7</v>
      </c>
      <c r="D35073" s="4" t="s">
        <v>11</v>
      </c>
    </row>
    <row r="35074" spans="1:9">
      <c r="A35074" t="n">
        <v>342794</v>
      </c>
      <c r="B35074" s="23" t="n">
        <v>58</v>
      </c>
      <c r="C35074" s="7" t="n">
        <v>254</v>
      </c>
      <c r="D35074" s="7" t="n">
        <v>0</v>
      </c>
    </row>
    <row r="35075" spans="1:9">
      <c r="A35075" t="s">
        <v>4</v>
      </c>
      <c r="B35075" s="4" t="s">
        <v>5</v>
      </c>
      <c r="C35075" s="4" t="s">
        <v>7</v>
      </c>
      <c r="D35075" s="4" t="s">
        <v>7</v>
      </c>
      <c r="E35075" s="4" t="s">
        <v>13</v>
      </c>
      <c r="F35075" s="4" t="s">
        <v>13</v>
      </c>
      <c r="G35075" s="4" t="s">
        <v>13</v>
      </c>
      <c r="H35075" s="4" t="s">
        <v>11</v>
      </c>
    </row>
    <row r="35076" spans="1:9">
      <c r="A35076" t="n">
        <v>342798</v>
      </c>
      <c r="B35076" s="51" t="n">
        <v>45</v>
      </c>
      <c r="C35076" s="7" t="n">
        <v>2</v>
      </c>
      <c r="D35076" s="7" t="n">
        <v>3</v>
      </c>
      <c r="E35076" s="7" t="n">
        <v>4.26999998092651</v>
      </c>
      <c r="F35076" s="7" t="n">
        <v>2.44000005722046</v>
      </c>
      <c r="G35076" s="7" t="n">
        <v>44.1500015258789</v>
      </c>
      <c r="H35076" s="7" t="n">
        <v>0</v>
      </c>
    </row>
    <row r="35077" spans="1:9">
      <c r="A35077" t="s">
        <v>4</v>
      </c>
      <c r="B35077" s="4" t="s">
        <v>5</v>
      </c>
      <c r="C35077" s="4" t="s">
        <v>7</v>
      </c>
      <c r="D35077" s="4" t="s">
        <v>7</v>
      </c>
      <c r="E35077" s="4" t="s">
        <v>13</v>
      </c>
      <c r="F35077" s="4" t="s">
        <v>13</v>
      </c>
      <c r="G35077" s="4" t="s">
        <v>13</v>
      </c>
      <c r="H35077" s="4" t="s">
        <v>11</v>
      </c>
      <c r="I35077" s="4" t="s">
        <v>7</v>
      </c>
    </row>
    <row r="35078" spans="1:9">
      <c r="A35078" t="n">
        <v>342815</v>
      </c>
      <c r="B35078" s="51" t="n">
        <v>45</v>
      </c>
      <c r="C35078" s="7" t="n">
        <v>4</v>
      </c>
      <c r="D35078" s="7" t="n">
        <v>3</v>
      </c>
      <c r="E35078" s="7" t="n">
        <v>357.880004882813</v>
      </c>
      <c r="F35078" s="7" t="n">
        <v>321.779998779297</v>
      </c>
      <c r="G35078" s="7" t="n">
        <v>0</v>
      </c>
      <c r="H35078" s="7" t="n">
        <v>0</v>
      </c>
      <c r="I35078" s="7" t="n">
        <v>0</v>
      </c>
    </row>
    <row r="35079" spans="1:9">
      <c r="A35079" t="s">
        <v>4</v>
      </c>
      <c r="B35079" s="4" t="s">
        <v>5</v>
      </c>
      <c r="C35079" s="4" t="s">
        <v>7</v>
      </c>
      <c r="D35079" s="4" t="s">
        <v>7</v>
      </c>
      <c r="E35079" s="4" t="s">
        <v>13</v>
      </c>
      <c r="F35079" s="4" t="s">
        <v>11</v>
      </c>
    </row>
    <row r="35080" spans="1:9">
      <c r="A35080" t="n">
        <v>342833</v>
      </c>
      <c r="B35080" s="51" t="n">
        <v>45</v>
      </c>
      <c r="C35080" s="7" t="n">
        <v>5</v>
      </c>
      <c r="D35080" s="7" t="n">
        <v>3</v>
      </c>
      <c r="E35080" s="7" t="n">
        <v>2.40000009536743</v>
      </c>
      <c r="F35080" s="7" t="n">
        <v>0</v>
      </c>
    </row>
    <row r="35081" spans="1:9">
      <c r="A35081" t="s">
        <v>4</v>
      </c>
      <c r="B35081" s="4" t="s">
        <v>5</v>
      </c>
      <c r="C35081" s="4" t="s">
        <v>7</v>
      </c>
      <c r="D35081" s="4" t="s">
        <v>7</v>
      </c>
      <c r="E35081" s="4" t="s">
        <v>13</v>
      </c>
      <c r="F35081" s="4" t="s">
        <v>11</v>
      </c>
    </row>
    <row r="35082" spans="1:9">
      <c r="A35082" t="n">
        <v>342842</v>
      </c>
      <c r="B35082" s="51" t="n">
        <v>45</v>
      </c>
      <c r="C35082" s="7" t="n">
        <v>11</v>
      </c>
      <c r="D35082" s="7" t="n">
        <v>3</v>
      </c>
      <c r="E35082" s="7" t="n">
        <v>33.4000015258789</v>
      </c>
      <c r="F35082" s="7" t="n">
        <v>0</v>
      </c>
    </row>
    <row r="35083" spans="1:9">
      <c r="A35083" t="s">
        <v>4</v>
      </c>
      <c r="B35083" s="4" t="s">
        <v>5</v>
      </c>
      <c r="C35083" s="4" t="s">
        <v>7</v>
      </c>
      <c r="D35083" s="4" t="s">
        <v>7</v>
      </c>
      <c r="E35083" s="4" t="s">
        <v>13</v>
      </c>
      <c r="F35083" s="4" t="s">
        <v>13</v>
      </c>
      <c r="G35083" s="4" t="s">
        <v>13</v>
      </c>
      <c r="H35083" s="4" t="s">
        <v>11</v>
      </c>
    </row>
    <row r="35084" spans="1:9">
      <c r="A35084" t="n">
        <v>342851</v>
      </c>
      <c r="B35084" s="51" t="n">
        <v>45</v>
      </c>
      <c r="C35084" s="7" t="n">
        <v>2</v>
      </c>
      <c r="D35084" s="7" t="n">
        <v>3</v>
      </c>
      <c r="E35084" s="7" t="n">
        <v>4.76999998092651</v>
      </c>
      <c r="F35084" s="7" t="n">
        <v>1.45000004768372</v>
      </c>
      <c r="G35084" s="7" t="n">
        <v>45.2599983215332</v>
      </c>
      <c r="H35084" s="7" t="n">
        <v>8000</v>
      </c>
    </row>
    <row r="35085" spans="1:9">
      <c r="A35085" t="s">
        <v>4</v>
      </c>
      <c r="B35085" s="4" t="s">
        <v>5</v>
      </c>
      <c r="C35085" s="4" t="s">
        <v>7</v>
      </c>
      <c r="D35085" s="4" t="s">
        <v>7</v>
      </c>
      <c r="E35085" s="4" t="s">
        <v>13</v>
      </c>
      <c r="F35085" s="4" t="s">
        <v>13</v>
      </c>
      <c r="G35085" s="4" t="s">
        <v>13</v>
      </c>
      <c r="H35085" s="4" t="s">
        <v>11</v>
      </c>
      <c r="I35085" s="4" t="s">
        <v>7</v>
      </c>
    </row>
    <row r="35086" spans="1:9">
      <c r="A35086" t="n">
        <v>342868</v>
      </c>
      <c r="B35086" s="51" t="n">
        <v>45</v>
      </c>
      <c r="C35086" s="7" t="n">
        <v>4</v>
      </c>
      <c r="D35086" s="7" t="n">
        <v>3</v>
      </c>
      <c r="E35086" s="7" t="n">
        <v>358.660003662109</v>
      </c>
      <c r="F35086" s="7" t="n">
        <v>283.079986572266</v>
      </c>
      <c r="G35086" s="7" t="n">
        <v>0</v>
      </c>
      <c r="H35086" s="7" t="n">
        <v>8000</v>
      </c>
      <c r="I35086" s="7" t="n">
        <v>0</v>
      </c>
    </row>
    <row r="35087" spans="1:9">
      <c r="A35087" t="s">
        <v>4</v>
      </c>
      <c r="B35087" s="4" t="s">
        <v>5</v>
      </c>
      <c r="C35087" s="4" t="s">
        <v>7</v>
      </c>
      <c r="D35087" s="4" t="s">
        <v>7</v>
      </c>
      <c r="E35087" s="4" t="s">
        <v>13</v>
      </c>
      <c r="F35087" s="4" t="s">
        <v>11</v>
      </c>
    </row>
    <row r="35088" spans="1:9">
      <c r="A35088" t="n">
        <v>342886</v>
      </c>
      <c r="B35088" s="51" t="n">
        <v>45</v>
      </c>
      <c r="C35088" s="7" t="n">
        <v>5</v>
      </c>
      <c r="D35088" s="7" t="n">
        <v>3</v>
      </c>
      <c r="E35088" s="7" t="n">
        <v>2</v>
      </c>
      <c r="F35088" s="7" t="n">
        <v>8000</v>
      </c>
    </row>
    <row r="35089" spans="1:9">
      <c r="A35089" t="s">
        <v>4</v>
      </c>
      <c r="B35089" s="4" t="s">
        <v>5</v>
      </c>
      <c r="C35089" s="4" t="s">
        <v>7</v>
      </c>
      <c r="D35089" s="4" t="s">
        <v>11</v>
      </c>
    </row>
    <row r="35090" spans="1:9">
      <c r="A35090" t="n">
        <v>342895</v>
      </c>
      <c r="B35090" s="23" t="n">
        <v>58</v>
      </c>
      <c r="C35090" s="7" t="n">
        <v>255</v>
      </c>
      <c r="D35090" s="7" t="n">
        <v>0</v>
      </c>
    </row>
    <row r="35091" spans="1:9">
      <c r="A35091" t="s">
        <v>4</v>
      </c>
      <c r="B35091" s="4" t="s">
        <v>5</v>
      </c>
      <c r="C35091" s="4" t="s">
        <v>7</v>
      </c>
      <c r="D35091" s="4" t="s">
        <v>11</v>
      </c>
    </row>
    <row r="35092" spans="1:9">
      <c r="A35092" t="n">
        <v>342899</v>
      </c>
      <c r="B35092" s="51" t="n">
        <v>45</v>
      </c>
      <c r="C35092" s="7" t="n">
        <v>7</v>
      </c>
      <c r="D35092" s="7" t="n">
        <v>255</v>
      </c>
    </row>
    <row r="35093" spans="1:9">
      <c r="A35093" t="s">
        <v>4</v>
      </c>
      <c r="B35093" s="4" t="s">
        <v>5</v>
      </c>
      <c r="C35093" s="4" t="s">
        <v>7</v>
      </c>
      <c r="D35093" s="4" t="s">
        <v>11</v>
      </c>
      <c r="E35093" s="4" t="s">
        <v>13</v>
      </c>
    </row>
    <row r="35094" spans="1:9">
      <c r="A35094" t="n">
        <v>342903</v>
      </c>
      <c r="B35094" s="23" t="n">
        <v>58</v>
      </c>
      <c r="C35094" s="7" t="n">
        <v>101</v>
      </c>
      <c r="D35094" s="7" t="n">
        <v>800</v>
      </c>
      <c r="E35094" s="7" t="n">
        <v>1</v>
      </c>
    </row>
    <row r="35095" spans="1:9">
      <c r="A35095" t="s">
        <v>4</v>
      </c>
      <c r="B35095" s="4" t="s">
        <v>5</v>
      </c>
      <c r="C35095" s="4" t="s">
        <v>7</v>
      </c>
      <c r="D35095" s="4" t="s">
        <v>11</v>
      </c>
    </row>
    <row r="35096" spans="1:9">
      <c r="A35096" t="n">
        <v>342911</v>
      </c>
      <c r="B35096" s="23" t="n">
        <v>58</v>
      </c>
      <c r="C35096" s="7" t="n">
        <v>254</v>
      </c>
      <c r="D35096" s="7" t="n">
        <v>0</v>
      </c>
    </row>
    <row r="35097" spans="1:9">
      <c r="A35097" t="s">
        <v>4</v>
      </c>
      <c r="B35097" s="4" t="s">
        <v>5</v>
      </c>
      <c r="C35097" s="4" t="s">
        <v>7</v>
      </c>
      <c r="D35097" s="4" t="s">
        <v>7</v>
      </c>
      <c r="E35097" s="4" t="s">
        <v>13</v>
      </c>
      <c r="F35097" s="4" t="s">
        <v>13</v>
      </c>
      <c r="G35097" s="4" t="s">
        <v>13</v>
      </c>
      <c r="H35097" s="4" t="s">
        <v>11</v>
      </c>
    </row>
    <row r="35098" spans="1:9">
      <c r="A35098" t="n">
        <v>342915</v>
      </c>
      <c r="B35098" s="51" t="n">
        <v>45</v>
      </c>
      <c r="C35098" s="7" t="n">
        <v>2</v>
      </c>
      <c r="D35098" s="7" t="n">
        <v>3</v>
      </c>
      <c r="E35098" s="7" t="n">
        <v>4.73999977111816</v>
      </c>
      <c r="F35098" s="7" t="n">
        <v>1.37000000476837</v>
      </c>
      <c r="G35098" s="7" t="n">
        <v>45.310001373291</v>
      </c>
      <c r="H35098" s="7" t="n">
        <v>0</v>
      </c>
    </row>
    <row r="35099" spans="1:9">
      <c r="A35099" t="s">
        <v>4</v>
      </c>
      <c r="B35099" s="4" t="s">
        <v>5</v>
      </c>
      <c r="C35099" s="4" t="s">
        <v>7</v>
      </c>
      <c r="D35099" s="4" t="s">
        <v>7</v>
      </c>
      <c r="E35099" s="4" t="s">
        <v>13</v>
      </c>
      <c r="F35099" s="4" t="s">
        <v>13</v>
      </c>
      <c r="G35099" s="4" t="s">
        <v>13</v>
      </c>
      <c r="H35099" s="4" t="s">
        <v>11</v>
      </c>
      <c r="I35099" s="4" t="s">
        <v>7</v>
      </c>
    </row>
    <row r="35100" spans="1:9">
      <c r="A35100" t="n">
        <v>342932</v>
      </c>
      <c r="B35100" s="51" t="n">
        <v>45</v>
      </c>
      <c r="C35100" s="7" t="n">
        <v>4</v>
      </c>
      <c r="D35100" s="7" t="n">
        <v>3</v>
      </c>
      <c r="E35100" s="7" t="n">
        <v>4.3899998664856</v>
      </c>
      <c r="F35100" s="7" t="n">
        <v>107.779998779297</v>
      </c>
      <c r="G35100" s="7" t="n">
        <v>0</v>
      </c>
      <c r="H35100" s="7" t="n">
        <v>0</v>
      </c>
      <c r="I35100" s="7" t="n">
        <v>0</v>
      </c>
    </row>
    <row r="35101" spans="1:9">
      <c r="A35101" t="s">
        <v>4</v>
      </c>
      <c r="B35101" s="4" t="s">
        <v>5</v>
      </c>
      <c r="C35101" s="4" t="s">
        <v>7</v>
      </c>
      <c r="D35101" s="4" t="s">
        <v>7</v>
      </c>
      <c r="E35101" s="4" t="s">
        <v>13</v>
      </c>
      <c r="F35101" s="4" t="s">
        <v>11</v>
      </c>
    </row>
    <row r="35102" spans="1:9">
      <c r="A35102" t="n">
        <v>342950</v>
      </c>
      <c r="B35102" s="51" t="n">
        <v>45</v>
      </c>
      <c r="C35102" s="7" t="n">
        <v>5</v>
      </c>
      <c r="D35102" s="7" t="n">
        <v>3</v>
      </c>
      <c r="E35102" s="7" t="n">
        <v>2</v>
      </c>
      <c r="F35102" s="7" t="n">
        <v>0</v>
      </c>
    </row>
    <row r="35103" spans="1:9">
      <c r="A35103" t="s">
        <v>4</v>
      </c>
      <c r="B35103" s="4" t="s">
        <v>5</v>
      </c>
      <c r="C35103" s="4" t="s">
        <v>7</v>
      </c>
      <c r="D35103" s="4" t="s">
        <v>7</v>
      </c>
      <c r="E35103" s="4" t="s">
        <v>13</v>
      </c>
      <c r="F35103" s="4" t="s">
        <v>11</v>
      </c>
    </row>
    <row r="35104" spans="1:9">
      <c r="A35104" t="n">
        <v>342959</v>
      </c>
      <c r="B35104" s="51" t="n">
        <v>45</v>
      </c>
      <c r="C35104" s="7" t="n">
        <v>11</v>
      </c>
      <c r="D35104" s="7" t="n">
        <v>3</v>
      </c>
      <c r="E35104" s="7" t="n">
        <v>33.4000015258789</v>
      </c>
      <c r="F35104" s="7" t="n">
        <v>0</v>
      </c>
    </row>
    <row r="35105" spans="1:9">
      <c r="A35105" t="s">
        <v>4</v>
      </c>
      <c r="B35105" s="4" t="s">
        <v>5</v>
      </c>
      <c r="C35105" s="4" t="s">
        <v>11</v>
      </c>
      <c r="D35105" s="4" t="s">
        <v>15</v>
      </c>
    </row>
    <row r="35106" spans="1:9">
      <c r="A35106" t="n">
        <v>342968</v>
      </c>
      <c r="B35106" s="63" t="n">
        <v>44</v>
      </c>
      <c r="C35106" s="7" t="n">
        <v>4</v>
      </c>
      <c r="D35106" s="7" t="n">
        <v>1</v>
      </c>
    </row>
    <row r="35107" spans="1:9">
      <c r="A35107" t="s">
        <v>4</v>
      </c>
      <c r="B35107" s="4" t="s">
        <v>5</v>
      </c>
      <c r="C35107" s="4" t="s">
        <v>7</v>
      </c>
      <c r="D35107" s="4" t="s">
        <v>11</v>
      </c>
    </row>
    <row r="35108" spans="1:9">
      <c r="A35108" t="n">
        <v>342975</v>
      </c>
      <c r="B35108" s="23" t="n">
        <v>58</v>
      </c>
      <c r="C35108" s="7" t="n">
        <v>255</v>
      </c>
      <c r="D35108" s="7" t="n">
        <v>0</v>
      </c>
    </row>
    <row r="35109" spans="1:9">
      <c r="A35109" t="s">
        <v>4</v>
      </c>
      <c r="B35109" s="4" t="s">
        <v>5</v>
      </c>
      <c r="C35109" s="4" t="s">
        <v>8</v>
      </c>
      <c r="D35109" s="4" t="s">
        <v>8</v>
      </c>
    </row>
    <row r="35110" spans="1:9">
      <c r="A35110" t="n">
        <v>342979</v>
      </c>
      <c r="B35110" s="52" t="n">
        <v>70</v>
      </c>
      <c r="C35110" s="7" t="s">
        <v>279</v>
      </c>
      <c r="D35110" s="7" t="s">
        <v>280</v>
      </c>
    </row>
    <row r="35111" spans="1:9">
      <c r="A35111" t="s">
        <v>4</v>
      </c>
      <c r="B35111" s="4" t="s">
        <v>5</v>
      </c>
      <c r="C35111" s="4" t="s">
        <v>11</v>
      </c>
    </row>
    <row r="35112" spans="1:9">
      <c r="A35112" t="n">
        <v>342996</v>
      </c>
      <c r="B35112" s="29" t="n">
        <v>16</v>
      </c>
      <c r="C35112" s="7" t="n">
        <v>1000</v>
      </c>
    </row>
    <row r="35113" spans="1:9">
      <c r="A35113" t="s">
        <v>4</v>
      </c>
      <c r="B35113" s="4" t="s">
        <v>5</v>
      </c>
      <c r="C35113" s="4" t="s">
        <v>7</v>
      </c>
      <c r="D35113" s="4" t="s">
        <v>11</v>
      </c>
      <c r="E35113" s="4" t="s">
        <v>11</v>
      </c>
      <c r="F35113" s="4" t="s">
        <v>7</v>
      </c>
    </row>
    <row r="35114" spans="1:9">
      <c r="A35114" t="n">
        <v>342999</v>
      </c>
      <c r="B35114" s="31" t="n">
        <v>25</v>
      </c>
      <c r="C35114" s="7" t="n">
        <v>1</v>
      </c>
      <c r="D35114" s="7" t="n">
        <v>100</v>
      </c>
      <c r="E35114" s="7" t="n">
        <v>500</v>
      </c>
      <c r="F35114" s="7" t="n">
        <v>5</v>
      </c>
    </row>
    <row r="35115" spans="1:9">
      <c r="A35115" t="s">
        <v>4</v>
      </c>
      <c r="B35115" s="4" t="s">
        <v>5</v>
      </c>
      <c r="C35115" s="4" t="s">
        <v>8</v>
      </c>
      <c r="D35115" s="4" t="s">
        <v>11</v>
      </c>
    </row>
    <row r="35116" spans="1:9">
      <c r="A35116" t="n">
        <v>343006</v>
      </c>
      <c r="B35116" s="67" t="n">
        <v>29</v>
      </c>
      <c r="C35116" s="7" t="s">
        <v>281</v>
      </c>
      <c r="D35116" s="7" t="n">
        <v>65533</v>
      </c>
    </row>
    <row r="35117" spans="1:9">
      <c r="A35117" t="s">
        <v>4</v>
      </c>
      <c r="B35117" s="4" t="s">
        <v>5</v>
      </c>
      <c r="C35117" s="4" t="s">
        <v>7</v>
      </c>
      <c r="D35117" s="4" t="s">
        <v>11</v>
      </c>
      <c r="E35117" s="4" t="s">
        <v>8</v>
      </c>
    </row>
    <row r="35118" spans="1:9">
      <c r="A35118" t="n">
        <v>343015</v>
      </c>
      <c r="B35118" s="38" t="n">
        <v>51</v>
      </c>
      <c r="C35118" s="7" t="n">
        <v>4</v>
      </c>
      <c r="D35118" s="7" t="n">
        <v>4</v>
      </c>
      <c r="E35118" s="7" t="s">
        <v>285</v>
      </c>
    </row>
    <row r="35119" spans="1:9">
      <c r="A35119" t="s">
        <v>4</v>
      </c>
      <c r="B35119" s="4" t="s">
        <v>5</v>
      </c>
      <c r="C35119" s="4" t="s">
        <v>11</v>
      </c>
    </row>
    <row r="35120" spans="1:9">
      <c r="A35120" t="n">
        <v>343028</v>
      </c>
      <c r="B35120" s="29" t="n">
        <v>16</v>
      </c>
      <c r="C35120" s="7" t="n">
        <v>0</v>
      </c>
    </row>
    <row r="35121" spans="1:6">
      <c r="A35121" t="s">
        <v>4</v>
      </c>
      <c r="B35121" s="4" t="s">
        <v>5</v>
      </c>
      <c r="C35121" s="4" t="s">
        <v>11</v>
      </c>
      <c r="D35121" s="4" t="s">
        <v>7</v>
      </c>
      <c r="E35121" s="4" t="s">
        <v>15</v>
      </c>
      <c r="F35121" s="4" t="s">
        <v>55</v>
      </c>
      <c r="G35121" s="4" t="s">
        <v>7</v>
      </c>
      <c r="H35121" s="4" t="s">
        <v>7</v>
      </c>
    </row>
    <row r="35122" spans="1:6">
      <c r="A35122" t="n">
        <v>343031</v>
      </c>
      <c r="B35122" s="55" t="n">
        <v>26</v>
      </c>
      <c r="C35122" s="7" t="n">
        <v>4</v>
      </c>
      <c r="D35122" s="7" t="n">
        <v>17</v>
      </c>
      <c r="E35122" s="7" t="n">
        <v>64131</v>
      </c>
      <c r="F35122" s="7" t="s">
        <v>988</v>
      </c>
      <c r="G35122" s="7" t="n">
        <v>2</v>
      </c>
      <c r="H35122" s="7" t="n">
        <v>0</v>
      </c>
    </row>
    <row r="35123" spans="1:6">
      <c r="A35123" t="s">
        <v>4</v>
      </c>
      <c r="B35123" s="4" t="s">
        <v>5</v>
      </c>
    </row>
    <row r="35124" spans="1:6">
      <c r="A35124" t="n">
        <v>343059</v>
      </c>
      <c r="B35124" s="27" t="n">
        <v>28</v>
      </c>
    </row>
    <row r="35125" spans="1:6">
      <c r="A35125" t="s">
        <v>4</v>
      </c>
      <c r="B35125" s="4" t="s">
        <v>5</v>
      </c>
      <c r="C35125" s="4" t="s">
        <v>11</v>
      </c>
      <c r="D35125" s="4" t="s">
        <v>7</v>
      </c>
    </row>
    <row r="35126" spans="1:6">
      <c r="A35126" t="n">
        <v>343060</v>
      </c>
      <c r="B35126" s="68" t="n">
        <v>89</v>
      </c>
      <c r="C35126" s="7" t="n">
        <v>65533</v>
      </c>
      <c r="D35126" s="7" t="n">
        <v>1</v>
      </c>
    </row>
    <row r="35127" spans="1:6">
      <c r="A35127" t="s">
        <v>4</v>
      </c>
      <c r="B35127" s="4" t="s">
        <v>5</v>
      </c>
      <c r="C35127" s="4" t="s">
        <v>7</v>
      </c>
      <c r="D35127" s="4" t="s">
        <v>11</v>
      </c>
      <c r="E35127" s="4" t="s">
        <v>11</v>
      </c>
      <c r="F35127" s="4" t="s">
        <v>7</v>
      </c>
    </row>
    <row r="35128" spans="1:6">
      <c r="A35128" t="n">
        <v>343064</v>
      </c>
      <c r="B35128" s="31" t="n">
        <v>25</v>
      </c>
      <c r="C35128" s="7" t="n">
        <v>1</v>
      </c>
      <c r="D35128" s="7" t="n">
        <v>65535</v>
      </c>
      <c r="E35128" s="7" t="n">
        <v>65535</v>
      </c>
      <c r="F35128" s="7" t="n">
        <v>0</v>
      </c>
    </row>
    <row r="35129" spans="1:6">
      <c r="A35129" t="s">
        <v>4</v>
      </c>
      <c r="B35129" s="4" t="s">
        <v>5</v>
      </c>
      <c r="C35129" s="4" t="s">
        <v>8</v>
      </c>
      <c r="D35129" s="4" t="s">
        <v>11</v>
      </c>
    </row>
    <row r="35130" spans="1:6">
      <c r="A35130" t="n">
        <v>343071</v>
      </c>
      <c r="B35130" s="67" t="n">
        <v>29</v>
      </c>
      <c r="C35130" s="7" t="s">
        <v>16</v>
      </c>
      <c r="D35130" s="7" t="n">
        <v>65533</v>
      </c>
    </row>
    <row r="35131" spans="1:6">
      <c r="A35131" t="s">
        <v>4</v>
      </c>
      <c r="B35131" s="4" t="s">
        <v>5</v>
      </c>
      <c r="C35131" s="4" t="s">
        <v>11</v>
      </c>
      <c r="D35131" s="4" t="s">
        <v>7</v>
      </c>
      <c r="E35131" s="4" t="s">
        <v>13</v>
      </c>
      <c r="F35131" s="4" t="s">
        <v>11</v>
      </c>
    </row>
    <row r="35132" spans="1:6">
      <c r="A35132" t="n">
        <v>343075</v>
      </c>
      <c r="B35132" s="56" t="n">
        <v>59</v>
      </c>
      <c r="C35132" s="7" t="n">
        <v>0</v>
      </c>
      <c r="D35132" s="7" t="n">
        <v>13</v>
      </c>
      <c r="E35132" s="7" t="n">
        <v>0.150000005960464</v>
      </c>
      <c r="F35132" s="7" t="n">
        <v>0</v>
      </c>
    </row>
    <row r="35133" spans="1:6">
      <c r="A35133" t="s">
        <v>4</v>
      </c>
      <c r="B35133" s="4" t="s">
        <v>5</v>
      </c>
      <c r="C35133" s="4" t="s">
        <v>11</v>
      </c>
    </row>
    <row r="35134" spans="1:6">
      <c r="A35134" t="n">
        <v>343085</v>
      </c>
      <c r="B35134" s="29" t="n">
        <v>16</v>
      </c>
      <c r="C35134" s="7" t="n">
        <v>1000</v>
      </c>
    </row>
    <row r="35135" spans="1:6">
      <c r="A35135" t="s">
        <v>4</v>
      </c>
      <c r="B35135" s="4" t="s">
        <v>5</v>
      </c>
      <c r="C35135" s="4" t="s">
        <v>11</v>
      </c>
      <c r="D35135" s="4" t="s">
        <v>13</v>
      </c>
      <c r="E35135" s="4" t="s">
        <v>13</v>
      </c>
      <c r="F35135" s="4" t="s">
        <v>13</v>
      </c>
      <c r="G35135" s="4" t="s">
        <v>11</v>
      </c>
      <c r="H35135" s="4" t="s">
        <v>11</v>
      </c>
    </row>
    <row r="35136" spans="1:6">
      <c r="A35136" t="n">
        <v>343088</v>
      </c>
      <c r="B35136" s="37" t="n">
        <v>60</v>
      </c>
      <c r="C35136" s="7" t="n">
        <v>0</v>
      </c>
      <c r="D35136" s="7" t="n">
        <v>0</v>
      </c>
      <c r="E35136" s="7" t="n">
        <v>0</v>
      </c>
      <c r="F35136" s="7" t="n">
        <v>0</v>
      </c>
      <c r="G35136" s="7" t="n">
        <v>1000</v>
      </c>
      <c r="H35136" s="7" t="n">
        <v>0</v>
      </c>
    </row>
    <row r="35137" spans="1:8">
      <c r="A35137" t="s">
        <v>4</v>
      </c>
      <c r="B35137" s="4" t="s">
        <v>5</v>
      </c>
      <c r="C35137" s="4" t="s">
        <v>11</v>
      </c>
      <c r="D35137" s="4" t="s">
        <v>11</v>
      </c>
      <c r="E35137" s="4" t="s">
        <v>11</v>
      </c>
    </row>
    <row r="35138" spans="1:8">
      <c r="A35138" t="n">
        <v>343107</v>
      </c>
      <c r="B35138" s="72" t="n">
        <v>61</v>
      </c>
      <c r="C35138" s="7" t="n">
        <v>0</v>
      </c>
      <c r="D35138" s="7" t="n">
        <v>4</v>
      </c>
      <c r="E35138" s="7" t="n">
        <v>1000</v>
      </c>
    </row>
    <row r="35139" spans="1:8">
      <c r="A35139" t="s">
        <v>4</v>
      </c>
      <c r="B35139" s="4" t="s">
        <v>5</v>
      </c>
      <c r="C35139" s="4" t="s">
        <v>11</v>
      </c>
      <c r="D35139" s="4" t="s">
        <v>11</v>
      </c>
      <c r="E35139" s="4" t="s">
        <v>11</v>
      </c>
    </row>
    <row r="35140" spans="1:8">
      <c r="A35140" t="n">
        <v>343114</v>
      </c>
      <c r="B35140" s="72" t="n">
        <v>61</v>
      </c>
      <c r="C35140" s="7" t="n">
        <v>4</v>
      </c>
      <c r="D35140" s="7" t="n">
        <v>0</v>
      </c>
      <c r="E35140" s="7" t="n">
        <v>1000</v>
      </c>
    </row>
    <row r="35141" spans="1:8">
      <c r="A35141" t="s">
        <v>4</v>
      </c>
      <c r="B35141" s="4" t="s">
        <v>5</v>
      </c>
      <c r="C35141" s="4" t="s">
        <v>11</v>
      </c>
      <c r="D35141" s="4" t="s">
        <v>13</v>
      </c>
      <c r="E35141" s="4" t="s">
        <v>13</v>
      </c>
      <c r="F35141" s="4" t="s">
        <v>7</v>
      </c>
    </row>
    <row r="35142" spans="1:8">
      <c r="A35142" t="n">
        <v>343121</v>
      </c>
      <c r="B35142" s="65" t="n">
        <v>52</v>
      </c>
      <c r="C35142" s="7" t="n">
        <v>0</v>
      </c>
      <c r="D35142" s="7" t="n">
        <v>332.399993896484</v>
      </c>
      <c r="E35142" s="7" t="n">
        <v>5</v>
      </c>
      <c r="F35142" s="7" t="n">
        <v>0</v>
      </c>
    </row>
    <row r="35143" spans="1:8">
      <c r="A35143" t="s">
        <v>4</v>
      </c>
      <c r="B35143" s="4" t="s">
        <v>5</v>
      </c>
      <c r="C35143" s="4" t="s">
        <v>11</v>
      </c>
    </row>
    <row r="35144" spans="1:8">
      <c r="A35144" t="n">
        <v>343133</v>
      </c>
      <c r="B35144" s="66" t="n">
        <v>54</v>
      </c>
      <c r="C35144" s="7" t="n">
        <v>0</v>
      </c>
    </row>
    <row r="35145" spans="1:8">
      <c r="A35145" t="s">
        <v>4</v>
      </c>
      <c r="B35145" s="4" t="s">
        <v>5</v>
      </c>
      <c r="C35145" s="4" t="s">
        <v>7</v>
      </c>
      <c r="D35145" s="4" t="s">
        <v>11</v>
      </c>
      <c r="E35145" s="4" t="s">
        <v>13</v>
      </c>
    </row>
    <row r="35146" spans="1:8">
      <c r="A35146" t="n">
        <v>343136</v>
      </c>
      <c r="B35146" s="23" t="n">
        <v>58</v>
      </c>
      <c r="C35146" s="7" t="n">
        <v>101</v>
      </c>
      <c r="D35146" s="7" t="n">
        <v>500</v>
      </c>
      <c r="E35146" s="7" t="n">
        <v>1</v>
      </c>
    </row>
    <row r="35147" spans="1:8">
      <c r="A35147" t="s">
        <v>4</v>
      </c>
      <c r="B35147" s="4" t="s">
        <v>5</v>
      </c>
      <c r="C35147" s="4" t="s">
        <v>7</v>
      </c>
      <c r="D35147" s="4" t="s">
        <v>11</v>
      </c>
    </row>
    <row r="35148" spans="1:8">
      <c r="A35148" t="n">
        <v>343144</v>
      </c>
      <c r="B35148" s="23" t="n">
        <v>58</v>
      </c>
      <c r="C35148" s="7" t="n">
        <v>254</v>
      </c>
      <c r="D35148" s="7" t="n">
        <v>0</v>
      </c>
    </row>
    <row r="35149" spans="1:8">
      <c r="A35149" t="s">
        <v>4</v>
      </c>
      <c r="B35149" s="4" t="s">
        <v>5</v>
      </c>
      <c r="C35149" s="4" t="s">
        <v>7</v>
      </c>
      <c r="D35149" s="4" t="s">
        <v>7</v>
      </c>
      <c r="E35149" s="4" t="s">
        <v>13</v>
      </c>
      <c r="F35149" s="4" t="s">
        <v>13</v>
      </c>
      <c r="G35149" s="4" t="s">
        <v>13</v>
      </c>
      <c r="H35149" s="4" t="s">
        <v>11</v>
      </c>
    </row>
    <row r="35150" spans="1:8">
      <c r="A35150" t="n">
        <v>343148</v>
      </c>
      <c r="B35150" s="51" t="n">
        <v>45</v>
      </c>
      <c r="C35150" s="7" t="n">
        <v>2</v>
      </c>
      <c r="D35150" s="7" t="n">
        <v>3</v>
      </c>
      <c r="E35150" s="7" t="n">
        <v>4.92999982833862</v>
      </c>
      <c r="F35150" s="7" t="n">
        <v>1.46000003814697</v>
      </c>
      <c r="G35150" s="7" t="n">
        <v>45.6699981689453</v>
      </c>
      <c r="H35150" s="7" t="n">
        <v>0</v>
      </c>
    </row>
    <row r="35151" spans="1:8">
      <c r="A35151" t="s">
        <v>4</v>
      </c>
      <c r="B35151" s="4" t="s">
        <v>5</v>
      </c>
      <c r="C35151" s="4" t="s">
        <v>7</v>
      </c>
      <c r="D35151" s="4" t="s">
        <v>7</v>
      </c>
      <c r="E35151" s="4" t="s">
        <v>13</v>
      </c>
      <c r="F35151" s="4" t="s">
        <v>13</v>
      </c>
      <c r="G35151" s="4" t="s">
        <v>13</v>
      </c>
      <c r="H35151" s="4" t="s">
        <v>11</v>
      </c>
      <c r="I35151" s="4" t="s">
        <v>7</v>
      </c>
    </row>
    <row r="35152" spans="1:8">
      <c r="A35152" t="n">
        <v>343165</v>
      </c>
      <c r="B35152" s="51" t="n">
        <v>45</v>
      </c>
      <c r="C35152" s="7" t="n">
        <v>4</v>
      </c>
      <c r="D35152" s="7" t="n">
        <v>3</v>
      </c>
      <c r="E35152" s="7" t="n">
        <v>5.69000005722046</v>
      </c>
      <c r="F35152" s="7" t="n">
        <v>260.239990234375</v>
      </c>
      <c r="G35152" s="7" t="n">
        <v>0</v>
      </c>
      <c r="H35152" s="7" t="n">
        <v>0</v>
      </c>
      <c r="I35152" s="7" t="n">
        <v>0</v>
      </c>
    </row>
    <row r="35153" spans="1:9">
      <c r="A35153" t="s">
        <v>4</v>
      </c>
      <c r="B35153" s="4" t="s">
        <v>5</v>
      </c>
      <c r="C35153" s="4" t="s">
        <v>7</v>
      </c>
      <c r="D35153" s="4" t="s">
        <v>7</v>
      </c>
      <c r="E35153" s="4" t="s">
        <v>13</v>
      </c>
      <c r="F35153" s="4" t="s">
        <v>11</v>
      </c>
    </row>
    <row r="35154" spans="1:9">
      <c r="A35154" t="n">
        <v>343183</v>
      </c>
      <c r="B35154" s="51" t="n">
        <v>45</v>
      </c>
      <c r="C35154" s="7" t="n">
        <v>5</v>
      </c>
      <c r="D35154" s="7" t="n">
        <v>3</v>
      </c>
      <c r="E35154" s="7" t="n">
        <v>1.70000004768372</v>
      </c>
      <c r="F35154" s="7" t="n">
        <v>0</v>
      </c>
    </row>
    <row r="35155" spans="1:9">
      <c r="A35155" t="s">
        <v>4</v>
      </c>
      <c r="B35155" s="4" t="s">
        <v>5</v>
      </c>
      <c r="C35155" s="4" t="s">
        <v>7</v>
      </c>
      <c r="D35155" s="4" t="s">
        <v>7</v>
      </c>
      <c r="E35155" s="4" t="s">
        <v>13</v>
      </c>
      <c r="F35155" s="4" t="s">
        <v>11</v>
      </c>
    </row>
    <row r="35156" spans="1:9">
      <c r="A35156" t="n">
        <v>343192</v>
      </c>
      <c r="B35156" s="51" t="n">
        <v>45</v>
      </c>
      <c r="C35156" s="7" t="n">
        <v>11</v>
      </c>
      <c r="D35156" s="7" t="n">
        <v>3</v>
      </c>
      <c r="E35156" s="7" t="n">
        <v>34</v>
      </c>
      <c r="F35156" s="7" t="n">
        <v>0</v>
      </c>
    </row>
    <row r="35157" spans="1:9">
      <c r="A35157" t="s">
        <v>4</v>
      </c>
      <c r="B35157" s="4" t="s">
        <v>5</v>
      </c>
      <c r="C35157" s="4" t="s">
        <v>7</v>
      </c>
      <c r="D35157" s="4" t="s">
        <v>7</v>
      </c>
      <c r="E35157" s="4" t="s">
        <v>13</v>
      </c>
      <c r="F35157" s="4" t="s">
        <v>13</v>
      </c>
      <c r="G35157" s="4" t="s">
        <v>13</v>
      </c>
      <c r="H35157" s="4" t="s">
        <v>11</v>
      </c>
    </row>
    <row r="35158" spans="1:9">
      <c r="A35158" t="n">
        <v>343201</v>
      </c>
      <c r="B35158" s="51" t="n">
        <v>45</v>
      </c>
      <c r="C35158" s="7" t="n">
        <v>2</v>
      </c>
      <c r="D35158" s="7" t="n">
        <v>3</v>
      </c>
      <c r="E35158" s="7" t="n">
        <v>4.84999990463257</v>
      </c>
      <c r="F35158" s="7" t="n">
        <v>1.4099999666214</v>
      </c>
      <c r="G35158" s="7" t="n">
        <v>45.7999992370605</v>
      </c>
      <c r="H35158" s="7" t="n">
        <v>5500</v>
      </c>
    </row>
    <row r="35159" spans="1:9">
      <c r="A35159" t="s">
        <v>4</v>
      </c>
      <c r="B35159" s="4" t="s">
        <v>5</v>
      </c>
      <c r="C35159" s="4" t="s">
        <v>7</v>
      </c>
      <c r="D35159" s="4" t="s">
        <v>7</v>
      </c>
      <c r="E35159" s="4" t="s">
        <v>13</v>
      </c>
      <c r="F35159" s="4" t="s">
        <v>13</v>
      </c>
      <c r="G35159" s="4" t="s">
        <v>13</v>
      </c>
      <c r="H35159" s="4" t="s">
        <v>11</v>
      </c>
      <c r="I35159" s="4" t="s">
        <v>7</v>
      </c>
    </row>
    <row r="35160" spans="1:9">
      <c r="A35160" t="n">
        <v>343218</v>
      </c>
      <c r="B35160" s="51" t="n">
        <v>45</v>
      </c>
      <c r="C35160" s="7" t="n">
        <v>4</v>
      </c>
      <c r="D35160" s="7" t="n">
        <v>3</v>
      </c>
      <c r="E35160" s="7" t="n">
        <v>5.46999979019165</v>
      </c>
      <c r="F35160" s="7" t="n">
        <v>232.490005493164</v>
      </c>
      <c r="G35160" s="7" t="n">
        <v>0</v>
      </c>
      <c r="H35160" s="7" t="n">
        <v>5500</v>
      </c>
      <c r="I35160" s="7" t="n">
        <v>0</v>
      </c>
    </row>
    <row r="35161" spans="1:9">
      <c r="A35161" t="s">
        <v>4</v>
      </c>
      <c r="B35161" s="4" t="s">
        <v>5</v>
      </c>
      <c r="C35161" s="4" t="s">
        <v>11</v>
      </c>
      <c r="D35161" s="4" t="s">
        <v>7</v>
      </c>
      <c r="E35161" s="4" t="s">
        <v>7</v>
      </c>
      <c r="F35161" s="4" t="s">
        <v>8</v>
      </c>
    </row>
    <row r="35162" spans="1:9">
      <c r="A35162" t="n">
        <v>343236</v>
      </c>
      <c r="B35162" s="50" t="n">
        <v>20</v>
      </c>
      <c r="C35162" s="7" t="n">
        <v>4</v>
      </c>
      <c r="D35162" s="7" t="n">
        <v>2</v>
      </c>
      <c r="E35162" s="7" t="n">
        <v>11</v>
      </c>
      <c r="F35162" s="7" t="s">
        <v>283</v>
      </c>
    </row>
    <row r="35163" spans="1:9">
      <c r="A35163" t="s">
        <v>4</v>
      </c>
      <c r="B35163" s="4" t="s">
        <v>5</v>
      </c>
      <c r="C35163" s="4" t="s">
        <v>7</v>
      </c>
    </row>
    <row r="35164" spans="1:9">
      <c r="A35164" t="n">
        <v>343263</v>
      </c>
      <c r="B35164" s="49" t="n">
        <v>116</v>
      </c>
      <c r="C35164" s="7" t="n">
        <v>0</v>
      </c>
    </row>
    <row r="35165" spans="1:9">
      <c r="A35165" t="s">
        <v>4</v>
      </c>
      <c r="B35165" s="4" t="s">
        <v>5</v>
      </c>
      <c r="C35165" s="4" t="s">
        <v>7</v>
      </c>
      <c r="D35165" s="4" t="s">
        <v>11</v>
      </c>
    </row>
    <row r="35166" spans="1:9">
      <c r="A35166" t="n">
        <v>343265</v>
      </c>
      <c r="B35166" s="49" t="n">
        <v>116</v>
      </c>
      <c r="C35166" s="7" t="n">
        <v>2</v>
      </c>
      <c r="D35166" s="7" t="n">
        <v>1</v>
      </c>
    </row>
    <row r="35167" spans="1:9">
      <c r="A35167" t="s">
        <v>4</v>
      </c>
      <c r="B35167" s="4" t="s">
        <v>5</v>
      </c>
      <c r="C35167" s="4" t="s">
        <v>7</v>
      </c>
      <c r="D35167" s="4" t="s">
        <v>15</v>
      </c>
    </row>
    <row r="35168" spans="1:9">
      <c r="A35168" t="n">
        <v>343269</v>
      </c>
      <c r="B35168" s="49" t="n">
        <v>116</v>
      </c>
      <c r="C35168" s="7" t="n">
        <v>5</v>
      </c>
      <c r="D35168" s="7" t="n">
        <v>1084227584</v>
      </c>
    </row>
    <row r="35169" spans="1:9">
      <c r="A35169" t="s">
        <v>4</v>
      </c>
      <c r="B35169" s="4" t="s">
        <v>5</v>
      </c>
      <c r="C35169" s="4" t="s">
        <v>7</v>
      </c>
      <c r="D35169" s="4" t="s">
        <v>11</v>
      </c>
    </row>
    <row r="35170" spans="1:9">
      <c r="A35170" t="n">
        <v>343275</v>
      </c>
      <c r="B35170" s="49" t="n">
        <v>116</v>
      </c>
      <c r="C35170" s="7" t="n">
        <v>6</v>
      </c>
      <c r="D35170" s="7" t="n">
        <v>1</v>
      </c>
    </row>
    <row r="35171" spans="1:9">
      <c r="A35171" t="s">
        <v>4</v>
      </c>
      <c r="B35171" s="4" t="s">
        <v>5</v>
      </c>
      <c r="C35171" s="4" t="s">
        <v>7</v>
      </c>
      <c r="D35171" s="4" t="s">
        <v>11</v>
      </c>
    </row>
    <row r="35172" spans="1:9">
      <c r="A35172" t="n">
        <v>343279</v>
      </c>
      <c r="B35172" s="23" t="n">
        <v>58</v>
      </c>
      <c r="C35172" s="7" t="n">
        <v>255</v>
      </c>
      <c r="D35172" s="7" t="n">
        <v>0</v>
      </c>
    </row>
    <row r="35173" spans="1:9">
      <c r="A35173" t="s">
        <v>4</v>
      </c>
      <c r="B35173" s="4" t="s">
        <v>5</v>
      </c>
      <c r="C35173" s="4" t="s">
        <v>11</v>
      </c>
    </row>
    <row r="35174" spans="1:9">
      <c r="A35174" t="n">
        <v>343283</v>
      </c>
      <c r="B35174" s="29" t="n">
        <v>16</v>
      </c>
      <c r="C35174" s="7" t="n">
        <v>800</v>
      </c>
    </row>
    <row r="35175" spans="1:9">
      <c r="A35175" t="s">
        <v>4</v>
      </c>
      <c r="B35175" s="4" t="s">
        <v>5</v>
      </c>
      <c r="C35175" s="4" t="s">
        <v>8</v>
      </c>
      <c r="D35175" s="4" t="s">
        <v>8</v>
      </c>
    </row>
    <row r="35176" spans="1:9">
      <c r="A35176" t="n">
        <v>343286</v>
      </c>
      <c r="B35176" s="52" t="n">
        <v>70</v>
      </c>
      <c r="C35176" s="7" t="s">
        <v>279</v>
      </c>
      <c r="D35176" s="7" t="s">
        <v>284</v>
      </c>
    </row>
    <row r="35177" spans="1:9">
      <c r="A35177" t="s">
        <v>4</v>
      </c>
      <c r="B35177" s="4" t="s">
        <v>5</v>
      </c>
      <c r="C35177" s="4" t="s">
        <v>7</v>
      </c>
      <c r="D35177" s="4" t="s">
        <v>11</v>
      </c>
    </row>
    <row r="35178" spans="1:9">
      <c r="A35178" t="n">
        <v>343304</v>
      </c>
      <c r="B35178" s="51" t="n">
        <v>45</v>
      </c>
      <c r="C35178" s="7" t="n">
        <v>7</v>
      </c>
      <c r="D35178" s="7" t="n">
        <v>255</v>
      </c>
    </row>
    <row r="35179" spans="1:9">
      <c r="A35179" t="s">
        <v>4</v>
      </c>
      <c r="B35179" s="4" t="s">
        <v>5</v>
      </c>
      <c r="C35179" s="4" t="s">
        <v>7</v>
      </c>
      <c r="D35179" s="4" t="s">
        <v>11</v>
      </c>
      <c r="E35179" s="4" t="s">
        <v>8</v>
      </c>
    </row>
    <row r="35180" spans="1:9">
      <c r="A35180" t="n">
        <v>343308</v>
      </c>
      <c r="B35180" s="38" t="n">
        <v>51</v>
      </c>
      <c r="C35180" s="7" t="n">
        <v>4</v>
      </c>
      <c r="D35180" s="7" t="n">
        <v>0</v>
      </c>
      <c r="E35180" s="7" t="s">
        <v>179</v>
      </c>
    </row>
    <row r="35181" spans="1:9">
      <c r="A35181" t="s">
        <v>4</v>
      </c>
      <c r="B35181" s="4" t="s">
        <v>5</v>
      </c>
      <c r="C35181" s="4" t="s">
        <v>11</v>
      </c>
    </row>
    <row r="35182" spans="1:9">
      <c r="A35182" t="n">
        <v>343322</v>
      </c>
      <c r="B35182" s="29" t="n">
        <v>16</v>
      </c>
      <c r="C35182" s="7" t="n">
        <v>0</v>
      </c>
    </row>
    <row r="35183" spans="1:9">
      <c r="A35183" t="s">
        <v>4</v>
      </c>
      <c r="B35183" s="4" t="s">
        <v>5</v>
      </c>
      <c r="C35183" s="4" t="s">
        <v>11</v>
      </c>
      <c r="D35183" s="4" t="s">
        <v>7</v>
      </c>
      <c r="E35183" s="4" t="s">
        <v>15</v>
      </c>
      <c r="F35183" s="4" t="s">
        <v>55</v>
      </c>
      <c r="G35183" s="4" t="s">
        <v>7</v>
      </c>
      <c r="H35183" s="4" t="s">
        <v>7</v>
      </c>
      <c r="I35183" s="4" t="s">
        <v>7</v>
      </c>
      <c r="J35183" s="4" t="s">
        <v>15</v>
      </c>
      <c r="K35183" s="4" t="s">
        <v>55</v>
      </c>
      <c r="L35183" s="4" t="s">
        <v>7</v>
      </c>
      <c r="M35183" s="4" t="s">
        <v>7</v>
      </c>
    </row>
    <row r="35184" spans="1:9">
      <c r="A35184" t="n">
        <v>343325</v>
      </c>
      <c r="B35184" s="55" t="n">
        <v>26</v>
      </c>
      <c r="C35184" s="7" t="n">
        <v>0</v>
      </c>
      <c r="D35184" s="7" t="n">
        <v>17</v>
      </c>
      <c r="E35184" s="7" t="n">
        <v>64132</v>
      </c>
      <c r="F35184" s="7" t="s">
        <v>989</v>
      </c>
      <c r="G35184" s="7" t="n">
        <v>2</v>
      </c>
      <c r="H35184" s="7" t="n">
        <v>3</v>
      </c>
      <c r="I35184" s="7" t="n">
        <v>17</v>
      </c>
      <c r="J35184" s="7" t="n">
        <v>64133</v>
      </c>
      <c r="K35184" s="7" t="s">
        <v>990</v>
      </c>
      <c r="L35184" s="7" t="n">
        <v>2</v>
      </c>
      <c r="M35184" s="7" t="n">
        <v>0</v>
      </c>
    </row>
    <row r="35185" spans="1:13">
      <c r="A35185" t="s">
        <v>4</v>
      </c>
      <c r="B35185" s="4" t="s">
        <v>5</v>
      </c>
    </row>
    <row r="35186" spans="1:13">
      <c r="A35186" t="n">
        <v>343442</v>
      </c>
      <c r="B35186" s="27" t="n">
        <v>28</v>
      </c>
    </row>
    <row r="35187" spans="1:13">
      <c r="A35187" t="s">
        <v>4</v>
      </c>
      <c r="B35187" s="4" t="s">
        <v>5</v>
      </c>
      <c r="C35187" s="4" t="s">
        <v>7</v>
      </c>
      <c r="D35187" s="4" t="s">
        <v>11</v>
      </c>
      <c r="E35187" s="4" t="s">
        <v>13</v>
      </c>
    </row>
    <row r="35188" spans="1:13">
      <c r="A35188" t="n">
        <v>343443</v>
      </c>
      <c r="B35188" s="23" t="n">
        <v>58</v>
      </c>
      <c r="C35188" s="7" t="n">
        <v>101</v>
      </c>
      <c r="D35188" s="7" t="n">
        <v>500</v>
      </c>
      <c r="E35188" s="7" t="n">
        <v>1</v>
      </c>
    </row>
    <row r="35189" spans="1:13">
      <c r="A35189" t="s">
        <v>4</v>
      </c>
      <c r="B35189" s="4" t="s">
        <v>5</v>
      </c>
      <c r="C35189" s="4" t="s">
        <v>7</v>
      </c>
      <c r="D35189" s="4" t="s">
        <v>11</v>
      </c>
    </row>
    <row r="35190" spans="1:13">
      <c r="A35190" t="n">
        <v>343451</v>
      </c>
      <c r="B35190" s="23" t="n">
        <v>58</v>
      </c>
      <c r="C35190" s="7" t="n">
        <v>254</v>
      </c>
      <c r="D35190" s="7" t="n">
        <v>0</v>
      </c>
    </row>
    <row r="35191" spans="1:13">
      <c r="A35191" t="s">
        <v>4</v>
      </c>
      <c r="B35191" s="4" t="s">
        <v>5</v>
      </c>
      <c r="C35191" s="4" t="s">
        <v>7</v>
      </c>
      <c r="D35191" s="4" t="s">
        <v>7</v>
      </c>
      <c r="E35191" s="4" t="s">
        <v>13</v>
      </c>
      <c r="F35191" s="4" t="s">
        <v>13</v>
      </c>
      <c r="G35191" s="4" t="s">
        <v>13</v>
      </c>
      <c r="H35191" s="4" t="s">
        <v>11</v>
      </c>
    </row>
    <row r="35192" spans="1:13">
      <c r="A35192" t="n">
        <v>343455</v>
      </c>
      <c r="B35192" s="51" t="n">
        <v>45</v>
      </c>
      <c r="C35192" s="7" t="n">
        <v>2</v>
      </c>
      <c r="D35192" s="7" t="n">
        <v>3</v>
      </c>
      <c r="E35192" s="7" t="n">
        <v>4.96999979019165</v>
      </c>
      <c r="F35192" s="7" t="n">
        <v>1.51999998092651</v>
      </c>
      <c r="G35192" s="7" t="n">
        <v>46.3800010681152</v>
      </c>
      <c r="H35192" s="7" t="n">
        <v>0</v>
      </c>
    </row>
    <row r="35193" spans="1:13">
      <c r="A35193" t="s">
        <v>4</v>
      </c>
      <c r="B35193" s="4" t="s">
        <v>5</v>
      </c>
      <c r="C35193" s="4" t="s">
        <v>7</v>
      </c>
      <c r="D35193" s="4" t="s">
        <v>7</v>
      </c>
      <c r="E35193" s="4" t="s">
        <v>13</v>
      </c>
      <c r="F35193" s="4" t="s">
        <v>13</v>
      </c>
      <c r="G35193" s="4" t="s">
        <v>13</v>
      </c>
      <c r="H35193" s="4" t="s">
        <v>11</v>
      </c>
      <c r="I35193" s="4" t="s">
        <v>7</v>
      </c>
    </row>
    <row r="35194" spans="1:13">
      <c r="A35194" t="n">
        <v>343472</v>
      </c>
      <c r="B35194" s="51" t="n">
        <v>45</v>
      </c>
      <c r="C35194" s="7" t="n">
        <v>4</v>
      </c>
      <c r="D35194" s="7" t="n">
        <v>3</v>
      </c>
      <c r="E35194" s="7" t="n">
        <v>0.519999980926514</v>
      </c>
      <c r="F35194" s="7" t="n">
        <v>208.940002441406</v>
      </c>
      <c r="G35194" s="7" t="n">
        <v>0</v>
      </c>
      <c r="H35194" s="7" t="n">
        <v>0</v>
      </c>
      <c r="I35194" s="7" t="n">
        <v>0</v>
      </c>
    </row>
    <row r="35195" spans="1:13">
      <c r="A35195" t="s">
        <v>4</v>
      </c>
      <c r="B35195" s="4" t="s">
        <v>5</v>
      </c>
      <c r="C35195" s="4" t="s">
        <v>7</v>
      </c>
      <c r="D35195" s="4" t="s">
        <v>7</v>
      </c>
      <c r="E35195" s="4" t="s">
        <v>13</v>
      </c>
      <c r="F35195" s="4" t="s">
        <v>11</v>
      </c>
    </row>
    <row r="35196" spans="1:13">
      <c r="A35196" t="n">
        <v>343490</v>
      </c>
      <c r="B35196" s="51" t="n">
        <v>45</v>
      </c>
      <c r="C35196" s="7" t="n">
        <v>5</v>
      </c>
      <c r="D35196" s="7" t="n">
        <v>3</v>
      </c>
      <c r="E35196" s="7" t="n">
        <v>1</v>
      </c>
      <c r="F35196" s="7" t="n">
        <v>0</v>
      </c>
    </row>
    <row r="35197" spans="1:13">
      <c r="A35197" t="s">
        <v>4</v>
      </c>
      <c r="B35197" s="4" t="s">
        <v>5</v>
      </c>
      <c r="C35197" s="4" t="s">
        <v>7</v>
      </c>
      <c r="D35197" s="4" t="s">
        <v>7</v>
      </c>
      <c r="E35197" s="4" t="s">
        <v>13</v>
      </c>
      <c r="F35197" s="4" t="s">
        <v>11</v>
      </c>
    </row>
    <row r="35198" spans="1:13">
      <c r="A35198" t="n">
        <v>343499</v>
      </c>
      <c r="B35198" s="51" t="n">
        <v>45</v>
      </c>
      <c r="C35198" s="7" t="n">
        <v>11</v>
      </c>
      <c r="D35198" s="7" t="n">
        <v>3</v>
      </c>
      <c r="E35198" s="7" t="n">
        <v>34</v>
      </c>
      <c r="F35198" s="7" t="n">
        <v>0</v>
      </c>
    </row>
    <row r="35199" spans="1:13">
      <c r="A35199" t="s">
        <v>4</v>
      </c>
      <c r="B35199" s="4" t="s">
        <v>5</v>
      </c>
      <c r="C35199" s="4" t="s">
        <v>7</v>
      </c>
      <c r="D35199" s="4" t="s">
        <v>11</v>
      </c>
    </row>
    <row r="35200" spans="1:13">
      <c r="A35200" t="n">
        <v>343508</v>
      </c>
      <c r="B35200" s="23" t="n">
        <v>58</v>
      </c>
      <c r="C35200" s="7" t="n">
        <v>255</v>
      </c>
      <c r="D35200" s="7" t="n">
        <v>0</v>
      </c>
    </row>
    <row r="35201" spans="1:9">
      <c r="A35201" t="s">
        <v>4</v>
      </c>
      <c r="B35201" s="4" t="s">
        <v>5</v>
      </c>
      <c r="C35201" s="4" t="s">
        <v>7</v>
      </c>
      <c r="D35201" s="4" t="s">
        <v>11</v>
      </c>
      <c r="E35201" s="4" t="s">
        <v>8</v>
      </c>
    </row>
    <row r="35202" spans="1:9">
      <c r="A35202" t="n">
        <v>343512</v>
      </c>
      <c r="B35202" s="38" t="n">
        <v>51</v>
      </c>
      <c r="C35202" s="7" t="n">
        <v>4</v>
      </c>
      <c r="D35202" s="7" t="n">
        <v>4</v>
      </c>
      <c r="E35202" s="7" t="s">
        <v>179</v>
      </c>
    </row>
    <row r="35203" spans="1:9">
      <c r="A35203" t="s">
        <v>4</v>
      </c>
      <c r="B35203" s="4" t="s">
        <v>5</v>
      </c>
      <c r="C35203" s="4" t="s">
        <v>11</v>
      </c>
    </row>
    <row r="35204" spans="1:9">
      <c r="A35204" t="n">
        <v>343526</v>
      </c>
      <c r="B35204" s="29" t="n">
        <v>16</v>
      </c>
      <c r="C35204" s="7" t="n">
        <v>0</v>
      </c>
    </row>
    <row r="35205" spans="1:9">
      <c r="A35205" t="s">
        <v>4</v>
      </c>
      <c r="B35205" s="4" t="s">
        <v>5</v>
      </c>
      <c r="C35205" s="4" t="s">
        <v>11</v>
      </c>
      <c r="D35205" s="4" t="s">
        <v>7</v>
      </c>
      <c r="E35205" s="4" t="s">
        <v>15</v>
      </c>
      <c r="F35205" s="4" t="s">
        <v>55</v>
      </c>
      <c r="G35205" s="4" t="s">
        <v>7</v>
      </c>
      <c r="H35205" s="4" t="s">
        <v>7</v>
      </c>
      <c r="I35205" s="4" t="s">
        <v>7</v>
      </c>
      <c r="J35205" s="4" t="s">
        <v>15</v>
      </c>
      <c r="K35205" s="4" t="s">
        <v>55</v>
      </c>
      <c r="L35205" s="4" t="s">
        <v>7</v>
      </c>
      <c r="M35205" s="4" t="s">
        <v>7</v>
      </c>
    </row>
    <row r="35206" spans="1:9">
      <c r="A35206" t="n">
        <v>343529</v>
      </c>
      <c r="B35206" s="55" t="n">
        <v>26</v>
      </c>
      <c r="C35206" s="7" t="n">
        <v>4</v>
      </c>
      <c r="D35206" s="7" t="n">
        <v>17</v>
      </c>
      <c r="E35206" s="7" t="n">
        <v>64134</v>
      </c>
      <c r="F35206" s="7" t="s">
        <v>991</v>
      </c>
      <c r="G35206" s="7" t="n">
        <v>2</v>
      </c>
      <c r="H35206" s="7" t="n">
        <v>3</v>
      </c>
      <c r="I35206" s="7" t="n">
        <v>17</v>
      </c>
      <c r="J35206" s="7" t="n">
        <v>64135</v>
      </c>
      <c r="K35206" s="7" t="s">
        <v>992</v>
      </c>
      <c r="L35206" s="7" t="n">
        <v>2</v>
      </c>
      <c r="M35206" s="7" t="n">
        <v>0</v>
      </c>
    </row>
    <row r="35207" spans="1:9">
      <c r="A35207" t="s">
        <v>4</v>
      </c>
      <c r="B35207" s="4" t="s">
        <v>5</v>
      </c>
    </row>
    <row r="35208" spans="1:9">
      <c r="A35208" t="n">
        <v>343765</v>
      </c>
      <c r="B35208" s="27" t="n">
        <v>28</v>
      </c>
    </row>
    <row r="35209" spans="1:9">
      <c r="A35209" t="s">
        <v>4</v>
      </c>
      <c r="B35209" s="4" t="s">
        <v>5</v>
      </c>
      <c r="C35209" s="4" t="s">
        <v>7</v>
      </c>
      <c r="D35209" s="4" t="s">
        <v>11</v>
      </c>
      <c r="E35209" s="4" t="s">
        <v>8</v>
      </c>
    </row>
    <row r="35210" spans="1:9">
      <c r="A35210" t="n">
        <v>343766</v>
      </c>
      <c r="B35210" s="38" t="n">
        <v>51</v>
      </c>
      <c r="C35210" s="7" t="n">
        <v>4</v>
      </c>
      <c r="D35210" s="7" t="n">
        <v>0</v>
      </c>
      <c r="E35210" s="7" t="s">
        <v>173</v>
      </c>
    </row>
    <row r="35211" spans="1:9">
      <c r="A35211" t="s">
        <v>4</v>
      </c>
      <c r="B35211" s="4" t="s">
        <v>5</v>
      </c>
      <c r="C35211" s="4" t="s">
        <v>11</v>
      </c>
    </row>
    <row r="35212" spans="1:9">
      <c r="A35212" t="n">
        <v>343779</v>
      </c>
      <c r="B35212" s="29" t="n">
        <v>16</v>
      </c>
      <c r="C35212" s="7" t="n">
        <v>0</v>
      </c>
    </row>
    <row r="35213" spans="1:9">
      <c r="A35213" t="s">
        <v>4</v>
      </c>
      <c r="B35213" s="4" t="s">
        <v>5</v>
      </c>
      <c r="C35213" s="4" t="s">
        <v>11</v>
      </c>
      <c r="D35213" s="4" t="s">
        <v>7</v>
      </c>
      <c r="E35213" s="4" t="s">
        <v>15</v>
      </c>
      <c r="F35213" s="4" t="s">
        <v>55</v>
      </c>
      <c r="G35213" s="4" t="s">
        <v>7</v>
      </c>
      <c r="H35213" s="4" t="s">
        <v>7</v>
      </c>
    </row>
    <row r="35214" spans="1:9">
      <c r="A35214" t="n">
        <v>343782</v>
      </c>
      <c r="B35214" s="55" t="n">
        <v>26</v>
      </c>
      <c r="C35214" s="7" t="n">
        <v>0</v>
      </c>
      <c r="D35214" s="7" t="n">
        <v>17</v>
      </c>
      <c r="E35214" s="7" t="n">
        <v>64136</v>
      </c>
      <c r="F35214" s="7" t="s">
        <v>993</v>
      </c>
      <c r="G35214" s="7" t="n">
        <v>2</v>
      </c>
      <c r="H35214" s="7" t="n">
        <v>0</v>
      </c>
    </row>
    <row r="35215" spans="1:9">
      <c r="A35215" t="s">
        <v>4</v>
      </c>
      <c r="B35215" s="4" t="s">
        <v>5</v>
      </c>
    </row>
    <row r="35216" spans="1:9">
      <c r="A35216" t="n">
        <v>343821</v>
      </c>
      <c r="B35216" s="27" t="n">
        <v>28</v>
      </c>
    </row>
    <row r="35217" spans="1:13">
      <c r="A35217" t="s">
        <v>4</v>
      </c>
      <c r="B35217" s="4" t="s">
        <v>5</v>
      </c>
      <c r="C35217" s="4" t="s">
        <v>7</v>
      </c>
      <c r="D35217" s="4" t="s">
        <v>11</v>
      </c>
      <c r="E35217" s="4" t="s">
        <v>8</v>
      </c>
      <c r="F35217" s="4" t="s">
        <v>8</v>
      </c>
      <c r="G35217" s="4" t="s">
        <v>8</v>
      </c>
      <c r="H35217" s="4" t="s">
        <v>8</v>
      </c>
    </row>
    <row r="35218" spans="1:13">
      <c r="A35218" t="n">
        <v>343822</v>
      </c>
      <c r="B35218" s="38" t="n">
        <v>51</v>
      </c>
      <c r="C35218" s="7" t="n">
        <v>3</v>
      </c>
      <c r="D35218" s="7" t="n">
        <v>4</v>
      </c>
      <c r="E35218" s="7" t="s">
        <v>295</v>
      </c>
      <c r="F35218" s="7" t="s">
        <v>99</v>
      </c>
      <c r="G35218" s="7" t="s">
        <v>78</v>
      </c>
      <c r="H35218" s="7" t="s">
        <v>79</v>
      </c>
    </row>
    <row r="35219" spans="1:13">
      <c r="A35219" t="s">
        <v>4</v>
      </c>
      <c r="B35219" s="4" t="s">
        <v>5</v>
      </c>
      <c r="C35219" s="4" t="s">
        <v>11</v>
      </c>
      <c r="D35219" s="4" t="s">
        <v>13</v>
      </c>
      <c r="E35219" s="4" t="s">
        <v>13</v>
      </c>
      <c r="F35219" s="4" t="s">
        <v>13</v>
      </c>
      <c r="G35219" s="4" t="s">
        <v>11</v>
      </c>
      <c r="H35219" s="4" t="s">
        <v>11</v>
      </c>
    </row>
    <row r="35220" spans="1:13">
      <c r="A35220" t="n">
        <v>343835</v>
      </c>
      <c r="B35220" s="37" t="n">
        <v>60</v>
      </c>
      <c r="C35220" s="7" t="n">
        <v>4</v>
      </c>
      <c r="D35220" s="7" t="n">
        <v>-45</v>
      </c>
      <c r="E35220" s="7" t="n">
        <v>0</v>
      </c>
      <c r="F35220" s="7" t="n">
        <v>0</v>
      </c>
      <c r="G35220" s="7" t="n">
        <v>1000</v>
      </c>
      <c r="H35220" s="7" t="n">
        <v>0</v>
      </c>
    </row>
    <row r="35221" spans="1:13">
      <c r="A35221" t="s">
        <v>4</v>
      </c>
      <c r="B35221" s="4" t="s">
        <v>5</v>
      </c>
      <c r="C35221" s="4" t="s">
        <v>11</v>
      </c>
    </row>
    <row r="35222" spans="1:13">
      <c r="A35222" t="n">
        <v>343854</v>
      </c>
      <c r="B35222" s="29" t="n">
        <v>16</v>
      </c>
      <c r="C35222" s="7" t="n">
        <v>1000</v>
      </c>
    </row>
    <row r="35223" spans="1:13">
      <c r="A35223" t="s">
        <v>4</v>
      </c>
      <c r="B35223" s="4" t="s">
        <v>5</v>
      </c>
      <c r="C35223" s="4" t="s">
        <v>7</v>
      </c>
      <c r="D35223" s="4" t="s">
        <v>11</v>
      </c>
      <c r="E35223" s="4" t="s">
        <v>8</v>
      </c>
      <c r="F35223" s="4" t="s">
        <v>8</v>
      </c>
      <c r="G35223" s="4" t="s">
        <v>8</v>
      </c>
      <c r="H35223" s="4" t="s">
        <v>8</v>
      </c>
    </row>
    <row r="35224" spans="1:13">
      <c r="A35224" t="n">
        <v>343857</v>
      </c>
      <c r="B35224" s="38" t="n">
        <v>51</v>
      </c>
      <c r="C35224" s="7" t="n">
        <v>3</v>
      </c>
      <c r="D35224" s="7" t="n">
        <v>4</v>
      </c>
      <c r="E35224" s="7" t="s">
        <v>296</v>
      </c>
      <c r="F35224" s="7" t="s">
        <v>99</v>
      </c>
      <c r="G35224" s="7" t="s">
        <v>78</v>
      </c>
      <c r="H35224" s="7" t="s">
        <v>79</v>
      </c>
    </row>
    <row r="35225" spans="1:13">
      <c r="A35225" t="s">
        <v>4</v>
      </c>
      <c r="B35225" s="4" t="s">
        <v>5</v>
      </c>
      <c r="C35225" s="4" t="s">
        <v>11</v>
      </c>
      <c r="D35225" s="4" t="s">
        <v>13</v>
      </c>
      <c r="E35225" s="4" t="s">
        <v>13</v>
      </c>
      <c r="F35225" s="4" t="s">
        <v>13</v>
      </c>
      <c r="G35225" s="4" t="s">
        <v>11</v>
      </c>
      <c r="H35225" s="4" t="s">
        <v>11</v>
      </c>
    </row>
    <row r="35226" spans="1:13">
      <c r="A35226" t="n">
        <v>343871</v>
      </c>
      <c r="B35226" s="37" t="n">
        <v>60</v>
      </c>
      <c r="C35226" s="7" t="n">
        <v>4</v>
      </c>
      <c r="D35226" s="7" t="n">
        <v>45</v>
      </c>
      <c r="E35226" s="7" t="n">
        <v>0</v>
      </c>
      <c r="F35226" s="7" t="n">
        <v>0</v>
      </c>
      <c r="G35226" s="7" t="n">
        <v>1000</v>
      </c>
      <c r="H35226" s="7" t="n">
        <v>0</v>
      </c>
    </row>
    <row r="35227" spans="1:13">
      <c r="A35227" t="s">
        <v>4</v>
      </c>
      <c r="B35227" s="4" t="s">
        <v>5</v>
      </c>
      <c r="C35227" s="4" t="s">
        <v>11</v>
      </c>
    </row>
    <row r="35228" spans="1:13">
      <c r="A35228" t="n">
        <v>343890</v>
      </c>
      <c r="B35228" s="29" t="n">
        <v>16</v>
      </c>
      <c r="C35228" s="7" t="n">
        <v>1200</v>
      </c>
    </row>
    <row r="35229" spans="1:13">
      <c r="A35229" t="s">
        <v>4</v>
      </c>
      <c r="B35229" s="4" t="s">
        <v>5</v>
      </c>
      <c r="C35229" s="4" t="s">
        <v>7</v>
      </c>
      <c r="D35229" s="4" t="s">
        <v>11</v>
      </c>
      <c r="E35229" s="4" t="s">
        <v>8</v>
      </c>
      <c r="F35229" s="4" t="s">
        <v>8</v>
      </c>
      <c r="G35229" s="4" t="s">
        <v>8</v>
      </c>
      <c r="H35229" s="4" t="s">
        <v>8</v>
      </c>
    </row>
    <row r="35230" spans="1:13">
      <c r="A35230" t="n">
        <v>343893</v>
      </c>
      <c r="B35230" s="38" t="n">
        <v>51</v>
      </c>
      <c r="C35230" s="7" t="n">
        <v>3</v>
      </c>
      <c r="D35230" s="7" t="n">
        <v>4</v>
      </c>
      <c r="E35230" s="7" t="s">
        <v>319</v>
      </c>
      <c r="F35230" s="7" t="s">
        <v>99</v>
      </c>
      <c r="G35230" s="7" t="s">
        <v>78</v>
      </c>
      <c r="H35230" s="7" t="s">
        <v>79</v>
      </c>
    </row>
    <row r="35231" spans="1:13">
      <c r="A35231" t="s">
        <v>4</v>
      </c>
      <c r="B35231" s="4" t="s">
        <v>5</v>
      </c>
      <c r="C35231" s="4" t="s">
        <v>11</v>
      </c>
      <c r="D35231" s="4" t="s">
        <v>13</v>
      </c>
      <c r="E35231" s="4" t="s">
        <v>13</v>
      </c>
      <c r="F35231" s="4" t="s">
        <v>13</v>
      </c>
      <c r="G35231" s="4" t="s">
        <v>11</v>
      </c>
      <c r="H35231" s="4" t="s">
        <v>11</v>
      </c>
    </row>
    <row r="35232" spans="1:13">
      <c r="A35232" t="n">
        <v>343906</v>
      </c>
      <c r="B35232" s="37" t="n">
        <v>60</v>
      </c>
      <c r="C35232" s="7" t="n">
        <v>4</v>
      </c>
      <c r="D35232" s="7" t="n">
        <v>0</v>
      </c>
      <c r="E35232" s="7" t="n">
        <v>0</v>
      </c>
      <c r="F35232" s="7" t="n">
        <v>0</v>
      </c>
      <c r="G35232" s="7" t="n">
        <v>1000</v>
      </c>
      <c r="H35232" s="7" t="n">
        <v>0</v>
      </c>
    </row>
    <row r="35233" spans="1:8">
      <c r="A35233" t="s">
        <v>4</v>
      </c>
      <c r="B35233" s="4" t="s">
        <v>5</v>
      </c>
      <c r="C35233" s="4" t="s">
        <v>11</v>
      </c>
    </row>
    <row r="35234" spans="1:8">
      <c r="A35234" t="n">
        <v>343925</v>
      </c>
      <c r="B35234" s="29" t="n">
        <v>16</v>
      </c>
      <c r="C35234" s="7" t="n">
        <v>1000</v>
      </c>
    </row>
    <row r="35235" spans="1:8">
      <c r="A35235" t="s">
        <v>4</v>
      </c>
      <c r="B35235" s="4" t="s">
        <v>5</v>
      </c>
      <c r="C35235" s="4" t="s">
        <v>7</v>
      </c>
      <c r="D35235" s="4" t="s">
        <v>11</v>
      </c>
      <c r="E35235" s="4" t="s">
        <v>8</v>
      </c>
    </row>
    <row r="35236" spans="1:8">
      <c r="A35236" t="n">
        <v>343928</v>
      </c>
      <c r="B35236" s="38" t="n">
        <v>51</v>
      </c>
      <c r="C35236" s="7" t="n">
        <v>4</v>
      </c>
      <c r="D35236" s="7" t="n">
        <v>4</v>
      </c>
      <c r="E35236" s="7" t="s">
        <v>167</v>
      </c>
    </row>
    <row r="35237" spans="1:8">
      <c r="A35237" t="s">
        <v>4</v>
      </c>
      <c r="B35237" s="4" t="s">
        <v>5</v>
      </c>
      <c r="C35237" s="4" t="s">
        <v>11</v>
      </c>
    </row>
    <row r="35238" spans="1:8">
      <c r="A35238" t="n">
        <v>343942</v>
      </c>
      <c r="B35238" s="29" t="n">
        <v>16</v>
      </c>
      <c r="C35238" s="7" t="n">
        <v>0</v>
      </c>
    </row>
    <row r="35239" spans="1:8">
      <c r="A35239" t="s">
        <v>4</v>
      </c>
      <c r="B35239" s="4" t="s">
        <v>5</v>
      </c>
      <c r="C35239" s="4" t="s">
        <v>11</v>
      </c>
      <c r="D35239" s="4" t="s">
        <v>7</v>
      </c>
      <c r="E35239" s="4" t="s">
        <v>15</v>
      </c>
      <c r="F35239" s="4" t="s">
        <v>55</v>
      </c>
      <c r="G35239" s="4" t="s">
        <v>7</v>
      </c>
      <c r="H35239" s="4" t="s">
        <v>7</v>
      </c>
      <c r="I35239" s="4" t="s">
        <v>7</v>
      </c>
      <c r="J35239" s="4" t="s">
        <v>15</v>
      </c>
      <c r="K35239" s="4" t="s">
        <v>55</v>
      </c>
      <c r="L35239" s="4" t="s">
        <v>7</v>
      </c>
      <c r="M35239" s="4" t="s">
        <v>7</v>
      </c>
    </row>
    <row r="35240" spans="1:8">
      <c r="A35240" t="n">
        <v>343945</v>
      </c>
      <c r="B35240" s="55" t="n">
        <v>26</v>
      </c>
      <c r="C35240" s="7" t="n">
        <v>4</v>
      </c>
      <c r="D35240" s="7" t="n">
        <v>17</v>
      </c>
      <c r="E35240" s="7" t="n">
        <v>64137</v>
      </c>
      <c r="F35240" s="7" t="s">
        <v>994</v>
      </c>
      <c r="G35240" s="7" t="n">
        <v>2</v>
      </c>
      <c r="H35240" s="7" t="n">
        <v>3</v>
      </c>
      <c r="I35240" s="7" t="n">
        <v>17</v>
      </c>
      <c r="J35240" s="7" t="n">
        <v>64138</v>
      </c>
      <c r="K35240" s="7" t="s">
        <v>995</v>
      </c>
      <c r="L35240" s="7" t="n">
        <v>2</v>
      </c>
      <c r="M35240" s="7" t="n">
        <v>0</v>
      </c>
    </row>
    <row r="35241" spans="1:8">
      <c r="A35241" t="s">
        <v>4</v>
      </c>
      <c r="B35241" s="4" t="s">
        <v>5</v>
      </c>
    </row>
    <row r="35242" spans="1:8">
      <c r="A35242" t="n">
        <v>344120</v>
      </c>
      <c r="B35242" s="27" t="n">
        <v>28</v>
      </c>
    </row>
    <row r="35243" spans="1:8">
      <c r="A35243" t="s">
        <v>4</v>
      </c>
      <c r="B35243" s="4" t="s">
        <v>5</v>
      </c>
      <c r="C35243" s="4" t="s">
        <v>7</v>
      </c>
      <c r="D35243" s="4" t="s">
        <v>11</v>
      </c>
      <c r="E35243" s="4" t="s">
        <v>8</v>
      </c>
    </row>
    <row r="35244" spans="1:8">
      <c r="A35244" t="n">
        <v>344121</v>
      </c>
      <c r="B35244" s="38" t="n">
        <v>51</v>
      </c>
      <c r="C35244" s="7" t="n">
        <v>4</v>
      </c>
      <c r="D35244" s="7" t="n">
        <v>0</v>
      </c>
      <c r="E35244" s="7" t="s">
        <v>242</v>
      </c>
    </row>
    <row r="35245" spans="1:8">
      <c r="A35245" t="s">
        <v>4</v>
      </c>
      <c r="B35245" s="4" t="s">
        <v>5</v>
      </c>
      <c r="C35245" s="4" t="s">
        <v>11</v>
      </c>
    </row>
    <row r="35246" spans="1:8">
      <c r="A35246" t="n">
        <v>344135</v>
      </c>
      <c r="B35246" s="29" t="n">
        <v>16</v>
      </c>
      <c r="C35246" s="7" t="n">
        <v>0</v>
      </c>
    </row>
    <row r="35247" spans="1:8">
      <c r="A35247" t="s">
        <v>4</v>
      </c>
      <c r="B35247" s="4" t="s">
        <v>5</v>
      </c>
      <c r="C35247" s="4" t="s">
        <v>11</v>
      </c>
      <c r="D35247" s="4" t="s">
        <v>7</v>
      </c>
      <c r="E35247" s="4" t="s">
        <v>15</v>
      </c>
      <c r="F35247" s="4" t="s">
        <v>55</v>
      </c>
      <c r="G35247" s="4" t="s">
        <v>7</v>
      </c>
      <c r="H35247" s="4" t="s">
        <v>7</v>
      </c>
      <c r="I35247" s="4" t="s">
        <v>7</v>
      </c>
      <c r="J35247" s="4" t="s">
        <v>15</v>
      </c>
      <c r="K35247" s="4" t="s">
        <v>55</v>
      </c>
      <c r="L35247" s="4" t="s">
        <v>7</v>
      </c>
      <c r="M35247" s="4" t="s">
        <v>7</v>
      </c>
      <c r="N35247" s="4" t="s">
        <v>7</v>
      </c>
      <c r="O35247" s="4" t="s">
        <v>15</v>
      </c>
      <c r="P35247" s="4" t="s">
        <v>55</v>
      </c>
      <c r="Q35247" s="4" t="s">
        <v>7</v>
      </c>
      <c r="R35247" s="4" t="s">
        <v>7</v>
      </c>
    </row>
    <row r="35248" spans="1:8">
      <c r="A35248" t="n">
        <v>344138</v>
      </c>
      <c r="B35248" s="55" t="n">
        <v>26</v>
      </c>
      <c r="C35248" s="7" t="n">
        <v>0</v>
      </c>
      <c r="D35248" s="7" t="n">
        <v>17</v>
      </c>
      <c r="E35248" s="7" t="n">
        <v>64139</v>
      </c>
      <c r="F35248" s="7" t="s">
        <v>996</v>
      </c>
      <c r="G35248" s="7" t="n">
        <v>2</v>
      </c>
      <c r="H35248" s="7" t="n">
        <v>3</v>
      </c>
      <c r="I35248" s="7" t="n">
        <v>17</v>
      </c>
      <c r="J35248" s="7" t="n">
        <v>64140</v>
      </c>
      <c r="K35248" s="7" t="s">
        <v>997</v>
      </c>
      <c r="L35248" s="7" t="n">
        <v>2</v>
      </c>
      <c r="M35248" s="7" t="n">
        <v>3</v>
      </c>
      <c r="N35248" s="7" t="n">
        <v>17</v>
      </c>
      <c r="O35248" s="7" t="n">
        <v>64141</v>
      </c>
      <c r="P35248" s="7" t="s">
        <v>998</v>
      </c>
      <c r="Q35248" s="7" t="n">
        <v>2</v>
      </c>
      <c r="R35248" s="7" t="n">
        <v>0</v>
      </c>
    </row>
    <row r="35249" spans="1:18">
      <c r="A35249" t="s">
        <v>4</v>
      </c>
      <c r="B35249" s="4" t="s">
        <v>5</v>
      </c>
    </row>
    <row r="35250" spans="1:18">
      <c r="A35250" t="n">
        <v>344297</v>
      </c>
      <c r="B35250" s="27" t="n">
        <v>28</v>
      </c>
    </row>
    <row r="35251" spans="1:18">
      <c r="A35251" t="s">
        <v>4</v>
      </c>
      <c r="B35251" s="4" t="s">
        <v>5</v>
      </c>
      <c r="C35251" s="4" t="s">
        <v>7</v>
      </c>
      <c r="D35251" s="4" t="s">
        <v>11</v>
      </c>
      <c r="E35251" s="4" t="s">
        <v>8</v>
      </c>
    </row>
    <row r="35252" spans="1:18">
      <c r="A35252" t="n">
        <v>344298</v>
      </c>
      <c r="B35252" s="38" t="n">
        <v>51</v>
      </c>
      <c r="C35252" s="7" t="n">
        <v>4</v>
      </c>
      <c r="D35252" s="7" t="n">
        <v>4</v>
      </c>
      <c r="E35252" s="7" t="s">
        <v>450</v>
      </c>
    </row>
    <row r="35253" spans="1:18">
      <c r="A35253" t="s">
        <v>4</v>
      </c>
      <c r="B35253" s="4" t="s">
        <v>5</v>
      </c>
      <c r="C35253" s="4" t="s">
        <v>11</v>
      </c>
    </row>
    <row r="35254" spans="1:18">
      <c r="A35254" t="n">
        <v>344312</v>
      </c>
      <c r="B35254" s="29" t="n">
        <v>16</v>
      </c>
      <c r="C35254" s="7" t="n">
        <v>0</v>
      </c>
    </row>
    <row r="35255" spans="1:18">
      <c r="A35255" t="s">
        <v>4</v>
      </c>
      <c r="B35255" s="4" t="s">
        <v>5</v>
      </c>
      <c r="C35255" s="4" t="s">
        <v>11</v>
      </c>
      <c r="D35255" s="4" t="s">
        <v>7</v>
      </c>
      <c r="E35255" s="4" t="s">
        <v>15</v>
      </c>
      <c r="F35255" s="4" t="s">
        <v>55</v>
      </c>
      <c r="G35255" s="4" t="s">
        <v>7</v>
      </c>
      <c r="H35255" s="4" t="s">
        <v>7</v>
      </c>
    </row>
    <row r="35256" spans="1:18">
      <c r="A35256" t="n">
        <v>344315</v>
      </c>
      <c r="B35256" s="55" t="n">
        <v>26</v>
      </c>
      <c r="C35256" s="7" t="n">
        <v>4</v>
      </c>
      <c r="D35256" s="7" t="n">
        <v>17</v>
      </c>
      <c r="E35256" s="7" t="n">
        <v>64142</v>
      </c>
      <c r="F35256" s="7" t="s">
        <v>999</v>
      </c>
      <c r="G35256" s="7" t="n">
        <v>2</v>
      </c>
      <c r="H35256" s="7" t="n">
        <v>0</v>
      </c>
    </row>
    <row r="35257" spans="1:18">
      <c r="A35257" t="s">
        <v>4</v>
      </c>
      <c r="B35257" s="4" t="s">
        <v>5</v>
      </c>
    </row>
    <row r="35258" spans="1:18">
      <c r="A35258" t="n">
        <v>344339</v>
      </c>
      <c r="B35258" s="27" t="n">
        <v>28</v>
      </c>
    </row>
    <row r="35259" spans="1:18">
      <c r="A35259" t="s">
        <v>4</v>
      </c>
      <c r="B35259" s="4" t="s">
        <v>5</v>
      </c>
      <c r="C35259" s="4" t="s">
        <v>11</v>
      </c>
      <c r="D35259" s="4" t="s">
        <v>7</v>
      </c>
    </row>
    <row r="35260" spans="1:18">
      <c r="A35260" t="n">
        <v>344340</v>
      </c>
      <c r="B35260" s="68" t="n">
        <v>89</v>
      </c>
      <c r="C35260" s="7" t="n">
        <v>65533</v>
      </c>
      <c r="D35260" s="7" t="n">
        <v>1</v>
      </c>
    </row>
    <row r="35261" spans="1:18">
      <c r="A35261" t="s">
        <v>4</v>
      </c>
      <c r="B35261" s="4" t="s">
        <v>5</v>
      </c>
      <c r="C35261" s="4" t="s">
        <v>7</v>
      </c>
      <c r="D35261" s="4" t="s">
        <v>11</v>
      </c>
      <c r="E35261" s="4" t="s">
        <v>13</v>
      </c>
    </row>
    <row r="35262" spans="1:18">
      <c r="A35262" t="n">
        <v>344344</v>
      </c>
      <c r="B35262" s="23" t="n">
        <v>58</v>
      </c>
      <c r="C35262" s="7" t="n">
        <v>101</v>
      </c>
      <c r="D35262" s="7" t="n">
        <v>500</v>
      </c>
      <c r="E35262" s="7" t="n">
        <v>1</v>
      </c>
    </row>
    <row r="35263" spans="1:18">
      <c r="A35263" t="s">
        <v>4</v>
      </c>
      <c r="B35263" s="4" t="s">
        <v>5</v>
      </c>
      <c r="C35263" s="4" t="s">
        <v>7</v>
      </c>
      <c r="D35263" s="4" t="s">
        <v>11</v>
      </c>
    </row>
    <row r="35264" spans="1:18">
      <c r="A35264" t="n">
        <v>344352</v>
      </c>
      <c r="B35264" s="23" t="n">
        <v>58</v>
      </c>
      <c r="C35264" s="7" t="n">
        <v>254</v>
      </c>
      <c r="D35264" s="7" t="n">
        <v>0</v>
      </c>
    </row>
    <row r="35265" spans="1:8">
      <c r="A35265" t="s">
        <v>4</v>
      </c>
      <c r="B35265" s="4" t="s">
        <v>5</v>
      </c>
      <c r="C35265" s="4" t="s">
        <v>7</v>
      </c>
      <c r="D35265" s="4" t="s">
        <v>11</v>
      </c>
      <c r="E35265" s="4" t="s">
        <v>8</v>
      </c>
      <c r="F35265" s="4" t="s">
        <v>8</v>
      </c>
      <c r="G35265" s="4" t="s">
        <v>8</v>
      </c>
      <c r="H35265" s="4" t="s">
        <v>8</v>
      </c>
    </row>
    <row r="35266" spans="1:8">
      <c r="A35266" t="n">
        <v>344356</v>
      </c>
      <c r="B35266" s="38" t="n">
        <v>51</v>
      </c>
      <c r="C35266" s="7" t="n">
        <v>3</v>
      </c>
      <c r="D35266" s="7" t="n">
        <v>0</v>
      </c>
      <c r="E35266" s="7" t="s">
        <v>65</v>
      </c>
      <c r="F35266" s="7" t="s">
        <v>99</v>
      </c>
      <c r="G35266" s="7" t="s">
        <v>78</v>
      </c>
      <c r="H35266" s="7" t="s">
        <v>79</v>
      </c>
    </row>
    <row r="35267" spans="1:8">
      <c r="A35267" t="s">
        <v>4</v>
      </c>
      <c r="B35267" s="4" t="s">
        <v>5</v>
      </c>
      <c r="C35267" s="4" t="s">
        <v>7</v>
      </c>
      <c r="D35267" s="4" t="s">
        <v>11</v>
      </c>
      <c r="E35267" s="4" t="s">
        <v>8</v>
      </c>
      <c r="F35267" s="4" t="s">
        <v>8</v>
      </c>
      <c r="G35267" s="4" t="s">
        <v>8</v>
      </c>
      <c r="H35267" s="4" t="s">
        <v>8</v>
      </c>
    </row>
    <row r="35268" spans="1:8">
      <c r="A35268" t="n">
        <v>344377</v>
      </c>
      <c r="B35268" s="38" t="n">
        <v>51</v>
      </c>
      <c r="C35268" s="7" t="n">
        <v>3</v>
      </c>
      <c r="D35268" s="7" t="n">
        <v>4</v>
      </c>
      <c r="E35268" s="7" t="s">
        <v>65</v>
      </c>
      <c r="F35268" s="7" t="s">
        <v>99</v>
      </c>
      <c r="G35268" s="7" t="s">
        <v>78</v>
      </c>
      <c r="H35268" s="7" t="s">
        <v>79</v>
      </c>
    </row>
    <row r="35269" spans="1:8">
      <c r="A35269" t="s">
        <v>4</v>
      </c>
      <c r="B35269" s="4" t="s">
        <v>5</v>
      </c>
      <c r="C35269" s="4" t="s">
        <v>11</v>
      </c>
      <c r="D35269" s="4" t="s">
        <v>11</v>
      </c>
      <c r="E35269" s="4" t="s">
        <v>11</v>
      </c>
    </row>
    <row r="35270" spans="1:8">
      <c r="A35270" t="n">
        <v>344398</v>
      </c>
      <c r="B35270" s="72" t="n">
        <v>61</v>
      </c>
      <c r="C35270" s="7" t="n">
        <v>0</v>
      </c>
      <c r="D35270" s="7" t="n">
        <v>65533</v>
      </c>
      <c r="E35270" s="7" t="n">
        <v>0</v>
      </c>
    </row>
    <row r="35271" spans="1:8">
      <c r="A35271" t="s">
        <v>4</v>
      </c>
      <c r="B35271" s="4" t="s">
        <v>5</v>
      </c>
      <c r="C35271" s="4" t="s">
        <v>11</v>
      </c>
      <c r="D35271" s="4" t="s">
        <v>11</v>
      </c>
      <c r="E35271" s="4" t="s">
        <v>11</v>
      </c>
    </row>
    <row r="35272" spans="1:8">
      <c r="A35272" t="n">
        <v>344405</v>
      </c>
      <c r="B35272" s="72" t="n">
        <v>61</v>
      </c>
      <c r="C35272" s="7" t="n">
        <v>4</v>
      </c>
      <c r="D35272" s="7" t="n">
        <v>65533</v>
      </c>
      <c r="E35272" s="7" t="n">
        <v>0</v>
      </c>
    </row>
    <row r="35273" spans="1:8">
      <c r="A35273" t="s">
        <v>4</v>
      </c>
      <c r="B35273" s="4" t="s">
        <v>5</v>
      </c>
      <c r="C35273" s="4" t="s">
        <v>7</v>
      </c>
    </row>
    <row r="35274" spans="1:8">
      <c r="A35274" t="n">
        <v>344412</v>
      </c>
      <c r="B35274" s="49" t="n">
        <v>116</v>
      </c>
      <c r="C35274" s="7" t="n">
        <v>0</v>
      </c>
    </row>
    <row r="35275" spans="1:8">
      <c r="A35275" t="s">
        <v>4</v>
      </c>
      <c r="B35275" s="4" t="s">
        <v>5</v>
      </c>
      <c r="C35275" s="4" t="s">
        <v>7</v>
      </c>
      <c r="D35275" s="4" t="s">
        <v>11</v>
      </c>
    </row>
    <row r="35276" spans="1:8">
      <c r="A35276" t="n">
        <v>344414</v>
      </c>
      <c r="B35276" s="49" t="n">
        <v>116</v>
      </c>
      <c r="C35276" s="7" t="n">
        <v>2</v>
      </c>
      <c r="D35276" s="7" t="n">
        <v>1</v>
      </c>
    </row>
    <row r="35277" spans="1:8">
      <c r="A35277" t="s">
        <v>4</v>
      </c>
      <c r="B35277" s="4" t="s">
        <v>5</v>
      </c>
      <c r="C35277" s="4" t="s">
        <v>7</v>
      </c>
      <c r="D35277" s="4" t="s">
        <v>15</v>
      </c>
    </row>
    <row r="35278" spans="1:8">
      <c r="A35278" t="n">
        <v>344418</v>
      </c>
      <c r="B35278" s="49" t="n">
        <v>116</v>
      </c>
      <c r="C35278" s="7" t="n">
        <v>5</v>
      </c>
      <c r="D35278" s="7" t="n">
        <v>1106247680</v>
      </c>
    </row>
    <row r="35279" spans="1:8">
      <c r="A35279" t="s">
        <v>4</v>
      </c>
      <c r="B35279" s="4" t="s">
        <v>5</v>
      </c>
      <c r="C35279" s="4" t="s">
        <v>7</v>
      </c>
      <c r="D35279" s="4" t="s">
        <v>11</v>
      </c>
    </row>
    <row r="35280" spans="1:8">
      <c r="A35280" t="n">
        <v>344424</v>
      </c>
      <c r="B35280" s="49" t="n">
        <v>116</v>
      </c>
      <c r="C35280" s="7" t="n">
        <v>6</v>
      </c>
      <c r="D35280" s="7" t="n">
        <v>1</v>
      </c>
    </row>
    <row r="35281" spans="1:8">
      <c r="A35281" t="s">
        <v>4</v>
      </c>
      <c r="B35281" s="4" t="s">
        <v>5</v>
      </c>
      <c r="C35281" s="4" t="s">
        <v>7</v>
      </c>
      <c r="D35281" s="4" t="s">
        <v>7</v>
      </c>
      <c r="E35281" s="4" t="s">
        <v>13</v>
      </c>
      <c r="F35281" s="4" t="s">
        <v>13</v>
      </c>
      <c r="G35281" s="4" t="s">
        <v>13</v>
      </c>
      <c r="H35281" s="4" t="s">
        <v>11</v>
      </c>
    </row>
    <row r="35282" spans="1:8">
      <c r="A35282" t="n">
        <v>344428</v>
      </c>
      <c r="B35282" s="51" t="n">
        <v>45</v>
      </c>
      <c r="C35282" s="7" t="n">
        <v>2</v>
      </c>
      <c r="D35282" s="7" t="n">
        <v>3</v>
      </c>
      <c r="E35282" s="7" t="n">
        <v>4.53000020980835</v>
      </c>
      <c r="F35282" s="7" t="n">
        <v>1.30999994277954</v>
      </c>
      <c r="G35282" s="7" t="n">
        <v>46.2700004577637</v>
      </c>
      <c r="H35282" s="7" t="n">
        <v>0</v>
      </c>
    </row>
    <row r="35283" spans="1:8">
      <c r="A35283" t="s">
        <v>4</v>
      </c>
      <c r="B35283" s="4" t="s">
        <v>5</v>
      </c>
      <c r="C35283" s="4" t="s">
        <v>7</v>
      </c>
      <c r="D35283" s="4" t="s">
        <v>7</v>
      </c>
      <c r="E35283" s="4" t="s">
        <v>13</v>
      </c>
      <c r="F35283" s="4" t="s">
        <v>13</v>
      </c>
      <c r="G35283" s="4" t="s">
        <v>13</v>
      </c>
      <c r="H35283" s="4" t="s">
        <v>11</v>
      </c>
      <c r="I35283" s="4" t="s">
        <v>7</v>
      </c>
    </row>
    <row r="35284" spans="1:8">
      <c r="A35284" t="n">
        <v>344445</v>
      </c>
      <c r="B35284" s="51" t="n">
        <v>45</v>
      </c>
      <c r="C35284" s="7" t="n">
        <v>4</v>
      </c>
      <c r="D35284" s="7" t="n">
        <v>3</v>
      </c>
      <c r="E35284" s="7" t="n">
        <v>12.8699998855591</v>
      </c>
      <c r="F35284" s="7" t="n">
        <v>80.0199966430664</v>
      </c>
      <c r="G35284" s="7" t="n">
        <v>0</v>
      </c>
      <c r="H35284" s="7" t="n">
        <v>0</v>
      </c>
      <c r="I35284" s="7" t="n">
        <v>0</v>
      </c>
    </row>
    <row r="35285" spans="1:8">
      <c r="A35285" t="s">
        <v>4</v>
      </c>
      <c r="B35285" s="4" t="s">
        <v>5</v>
      </c>
      <c r="C35285" s="4" t="s">
        <v>7</v>
      </c>
      <c r="D35285" s="4" t="s">
        <v>7</v>
      </c>
      <c r="E35285" s="4" t="s">
        <v>13</v>
      </c>
      <c r="F35285" s="4" t="s">
        <v>11</v>
      </c>
    </row>
    <row r="35286" spans="1:8">
      <c r="A35286" t="n">
        <v>344463</v>
      </c>
      <c r="B35286" s="51" t="n">
        <v>45</v>
      </c>
      <c r="C35286" s="7" t="n">
        <v>5</v>
      </c>
      <c r="D35286" s="7" t="n">
        <v>3</v>
      </c>
      <c r="E35286" s="7" t="n">
        <v>3</v>
      </c>
      <c r="F35286" s="7" t="n">
        <v>0</v>
      </c>
    </row>
    <row r="35287" spans="1:8">
      <c r="A35287" t="s">
        <v>4</v>
      </c>
      <c r="B35287" s="4" t="s">
        <v>5</v>
      </c>
      <c r="C35287" s="4" t="s">
        <v>7</v>
      </c>
      <c r="D35287" s="4" t="s">
        <v>7</v>
      </c>
      <c r="E35287" s="4" t="s">
        <v>13</v>
      </c>
      <c r="F35287" s="4" t="s">
        <v>11</v>
      </c>
    </row>
    <row r="35288" spans="1:8">
      <c r="A35288" t="n">
        <v>344472</v>
      </c>
      <c r="B35288" s="51" t="n">
        <v>45</v>
      </c>
      <c r="C35288" s="7" t="n">
        <v>11</v>
      </c>
      <c r="D35288" s="7" t="n">
        <v>3</v>
      </c>
      <c r="E35288" s="7" t="n">
        <v>34</v>
      </c>
      <c r="F35288" s="7" t="n">
        <v>0</v>
      </c>
    </row>
    <row r="35289" spans="1:8">
      <c r="A35289" t="s">
        <v>4</v>
      </c>
      <c r="B35289" s="4" t="s">
        <v>5</v>
      </c>
      <c r="C35289" s="4" t="s">
        <v>7</v>
      </c>
      <c r="D35289" s="4" t="s">
        <v>7</v>
      </c>
      <c r="E35289" s="4" t="s">
        <v>13</v>
      </c>
      <c r="F35289" s="4" t="s">
        <v>13</v>
      </c>
      <c r="G35289" s="4" t="s">
        <v>13</v>
      </c>
      <c r="H35289" s="4" t="s">
        <v>11</v>
      </c>
    </row>
    <row r="35290" spans="1:8">
      <c r="A35290" t="n">
        <v>344481</v>
      </c>
      <c r="B35290" s="51" t="n">
        <v>45</v>
      </c>
      <c r="C35290" s="7" t="n">
        <v>2</v>
      </c>
      <c r="D35290" s="7" t="n">
        <v>3</v>
      </c>
      <c r="E35290" s="7" t="n">
        <v>4.53000020980835</v>
      </c>
      <c r="F35290" s="7" t="n">
        <v>2.30999994277954</v>
      </c>
      <c r="G35290" s="7" t="n">
        <v>46.2700004577637</v>
      </c>
      <c r="H35290" s="7" t="n">
        <v>5000</v>
      </c>
    </row>
    <row r="35291" spans="1:8">
      <c r="A35291" t="s">
        <v>4</v>
      </c>
      <c r="B35291" s="4" t="s">
        <v>5</v>
      </c>
      <c r="C35291" s="4" t="s">
        <v>7</v>
      </c>
      <c r="D35291" s="4" t="s">
        <v>11</v>
      </c>
    </row>
    <row r="35292" spans="1:8">
      <c r="A35292" t="n">
        <v>344498</v>
      </c>
      <c r="B35292" s="23" t="n">
        <v>58</v>
      </c>
      <c r="C35292" s="7" t="n">
        <v>255</v>
      </c>
      <c r="D35292" s="7" t="n">
        <v>0</v>
      </c>
    </row>
    <row r="35293" spans="1:8">
      <c r="A35293" t="s">
        <v>4</v>
      </c>
      <c r="B35293" s="4" t="s">
        <v>5</v>
      </c>
      <c r="C35293" s="4" t="s">
        <v>11</v>
      </c>
      <c r="D35293" s="4" t="s">
        <v>13</v>
      </c>
      <c r="E35293" s="4" t="s">
        <v>13</v>
      </c>
      <c r="F35293" s="4" t="s">
        <v>7</v>
      </c>
    </row>
    <row r="35294" spans="1:8">
      <c r="A35294" t="n">
        <v>344502</v>
      </c>
      <c r="B35294" s="65" t="n">
        <v>52</v>
      </c>
      <c r="C35294" s="7" t="n">
        <v>0</v>
      </c>
      <c r="D35294" s="7" t="n">
        <v>255</v>
      </c>
      <c r="E35294" s="7" t="n">
        <v>5</v>
      </c>
      <c r="F35294" s="7" t="n">
        <v>0</v>
      </c>
    </row>
    <row r="35295" spans="1:8">
      <c r="A35295" t="s">
        <v>4</v>
      </c>
      <c r="B35295" s="4" t="s">
        <v>5</v>
      </c>
      <c r="C35295" s="4" t="s">
        <v>11</v>
      </c>
    </row>
    <row r="35296" spans="1:8">
      <c r="A35296" t="n">
        <v>344514</v>
      </c>
      <c r="B35296" s="29" t="n">
        <v>16</v>
      </c>
      <c r="C35296" s="7" t="n">
        <v>100</v>
      </c>
    </row>
    <row r="35297" spans="1:9">
      <c r="A35297" t="s">
        <v>4</v>
      </c>
      <c r="B35297" s="4" t="s">
        <v>5</v>
      </c>
      <c r="C35297" s="4" t="s">
        <v>11</v>
      </c>
      <c r="D35297" s="4" t="s">
        <v>13</v>
      </c>
      <c r="E35297" s="4" t="s">
        <v>13</v>
      </c>
      <c r="F35297" s="4" t="s">
        <v>7</v>
      </c>
    </row>
    <row r="35298" spans="1:9">
      <c r="A35298" t="n">
        <v>344517</v>
      </c>
      <c r="B35298" s="65" t="n">
        <v>52</v>
      </c>
      <c r="C35298" s="7" t="n">
        <v>4</v>
      </c>
      <c r="D35298" s="7" t="n">
        <v>255</v>
      </c>
      <c r="E35298" s="7" t="n">
        <v>5</v>
      </c>
      <c r="F35298" s="7" t="n">
        <v>0</v>
      </c>
    </row>
    <row r="35299" spans="1:9">
      <c r="A35299" t="s">
        <v>4</v>
      </c>
      <c r="B35299" s="4" t="s">
        <v>5</v>
      </c>
      <c r="C35299" s="4" t="s">
        <v>11</v>
      </c>
    </row>
    <row r="35300" spans="1:9">
      <c r="A35300" t="n">
        <v>344529</v>
      </c>
      <c r="B35300" s="66" t="n">
        <v>54</v>
      </c>
      <c r="C35300" s="7" t="n">
        <v>0</v>
      </c>
    </row>
    <row r="35301" spans="1:9">
      <c r="A35301" t="s">
        <v>4</v>
      </c>
      <c r="B35301" s="4" t="s">
        <v>5</v>
      </c>
      <c r="C35301" s="4" t="s">
        <v>11</v>
      </c>
      <c r="D35301" s="4" t="s">
        <v>11</v>
      </c>
      <c r="E35301" s="4" t="s">
        <v>13</v>
      </c>
      <c r="F35301" s="4" t="s">
        <v>13</v>
      </c>
      <c r="G35301" s="4" t="s">
        <v>13</v>
      </c>
      <c r="H35301" s="4" t="s">
        <v>13</v>
      </c>
      <c r="I35301" s="4" t="s">
        <v>7</v>
      </c>
      <c r="J35301" s="4" t="s">
        <v>11</v>
      </c>
    </row>
    <row r="35302" spans="1:9">
      <c r="A35302" t="n">
        <v>344532</v>
      </c>
      <c r="B35302" s="53" t="n">
        <v>55</v>
      </c>
      <c r="C35302" s="7" t="n">
        <v>0</v>
      </c>
      <c r="D35302" s="7" t="n">
        <v>65024</v>
      </c>
      <c r="E35302" s="7" t="n">
        <v>0</v>
      </c>
      <c r="F35302" s="7" t="n">
        <v>0</v>
      </c>
      <c r="G35302" s="7" t="n">
        <v>6</v>
      </c>
      <c r="H35302" s="7" t="n">
        <v>1.20000004768372</v>
      </c>
      <c r="I35302" s="7" t="n">
        <v>1</v>
      </c>
      <c r="J35302" s="7" t="n">
        <v>0</v>
      </c>
    </row>
    <row r="35303" spans="1:9">
      <c r="A35303" t="s">
        <v>4</v>
      </c>
      <c r="B35303" s="4" t="s">
        <v>5</v>
      </c>
      <c r="C35303" s="4" t="s">
        <v>11</v>
      </c>
    </row>
    <row r="35304" spans="1:9">
      <c r="A35304" t="n">
        <v>344556</v>
      </c>
      <c r="B35304" s="66" t="n">
        <v>54</v>
      </c>
      <c r="C35304" s="7" t="n">
        <v>4</v>
      </c>
    </row>
    <row r="35305" spans="1:9">
      <c r="A35305" t="s">
        <v>4</v>
      </c>
      <c r="B35305" s="4" t="s">
        <v>5</v>
      </c>
      <c r="C35305" s="4" t="s">
        <v>11</v>
      </c>
    </row>
    <row r="35306" spans="1:9">
      <c r="A35306" t="n">
        <v>344559</v>
      </c>
      <c r="B35306" s="29" t="n">
        <v>16</v>
      </c>
      <c r="C35306" s="7" t="n">
        <v>200</v>
      </c>
    </row>
    <row r="35307" spans="1:9">
      <c r="A35307" t="s">
        <v>4</v>
      </c>
      <c r="B35307" s="4" t="s">
        <v>5</v>
      </c>
      <c r="C35307" s="4" t="s">
        <v>11</v>
      </c>
      <c r="D35307" s="4" t="s">
        <v>11</v>
      </c>
      <c r="E35307" s="4" t="s">
        <v>13</v>
      </c>
      <c r="F35307" s="4" t="s">
        <v>13</v>
      </c>
      <c r="G35307" s="4" t="s">
        <v>13</v>
      </c>
      <c r="H35307" s="4" t="s">
        <v>13</v>
      </c>
      <c r="I35307" s="4" t="s">
        <v>7</v>
      </c>
      <c r="J35307" s="4" t="s">
        <v>11</v>
      </c>
    </row>
    <row r="35308" spans="1:9">
      <c r="A35308" t="n">
        <v>344562</v>
      </c>
      <c r="B35308" s="53" t="n">
        <v>55</v>
      </c>
      <c r="C35308" s="7" t="n">
        <v>4</v>
      </c>
      <c r="D35308" s="7" t="n">
        <v>65024</v>
      </c>
      <c r="E35308" s="7" t="n">
        <v>0</v>
      </c>
      <c r="F35308" s="7" t="n">
        <v>0</v>
      </c>
      <c r="G35308" s="7" t="n">
        <v>6</v>
      </c>
      <c r="H35308" s="7" t="n">
        <v>1.20000004768372</v>
      </c>
      <c r="I35308" s="7" t="n">
        <v>1</v>
      </c>
      <c r="J35308" s="7" t="n">
        <v>0</v>
      </c>
    </row>
    <row r="35309" spans="1:9">
      <c r="A35309" t="s">
        <v>4</v>
      </c>
      <c r="B35309" s="4" t="s">
        <v>5</v>
      </c>
      <c r="C35309" s="4" t="s">
        <v>11</v>
      </c>
    </row>
    <row r="35310" spans="1:9">
      <c r="A35310" t="n">
        <v>344586</v>
      </c>
      <c r="B35310" s="29" t="n">
        <v>16</v>
      </c>
      <c r="C35310" s="7" t="n">
        <v>2000</v>
      </c>
    </row>
    <row r="35311" spans="1:9">
      <c r="A35311" t="s">
        <v>4</v>
      </c>
      <c r="B35311" s="4" t="s">
        <v>5</v>
      </c>
      <c r="C35311" s="4" t="s">
        <v>7</v>
      </c>
      <c r="D35311" s="4" t="s">
        <v>11</v>
      </c>
      <c r="E35311" s="4" t="s">
        <v>13</v>
      </c>
    </row>
    <row r="35312" spans="1:9">
      <c r="A35312" t="n">
        <v>344589</v>
      </c>
      <c r="B35312" s="23" t="n">
        <v>58</v>
      </c>
      <c r="C35312" s="7" t="n">
        <v>0</v>
      </c>
      <c r="D35312" s="7" t="n">
        <v>1000</v>
      </c>
      <c r="E35312" s="7" t="n">
        <v>1</v>
      </c>
    </row>
    <row r="35313" spans="1:10">
      <c r="A35313" t="s">
        <v>4</v>
      </c>
      <c r="B35313" s="4" t="s">
        <v>5</v>
      </c>
      <c r="C35313" s="4" t="s">
        <v>7</v>
      </c>
      <c r="D35313" s="4" t="s">
        <v>11</v>
      </c>
    </row>
    <row r="35314" spans="1:10">
      <c r="A35314" t="n">
        <v>344597</v>
      </c>
      <c r="B35314" s="23" t="n">
        <v>58</v>
      </c>
      <c r="C35314" s="7" t="n">
        <v>255</v>
      </c>
      <c r="D35314" s="7" t="n">
        <v>0</v>
      </c>
    </row>
    <row r="35315" spans="1:10">
      <c r="A35315" t="s">
        <v>4</v>
      </c>
      <c r="B35315" s="4" t="s">
        <v>5</v>
      </c>
      <c r="C35315" s="4" t="s">
        <v>11</v>
      </c>
      <c r="D35315" s="4" t="s">
        <v>7</v>
      </c>
    </row>
    <row r="35316" spans="1:10">
      <c r="A35316" t="n">
        <v>344601</v>
      </c>
      <c r="B35316" s="54" t="n">
        <v>56</v>
      </c>
      <c r="C35316" s="7" t="n">
        <v>0</v>
      </c>
      <c r="D35316" s="7" t="n">
        <v>1</v>
      </c>
    </row>
    <row r="35317" spans="1:10">
      <c r="A35317" t="s">
        <v>4</v>
      </c>
      <c r="B35317" s="4" t="s">
        <v>5</v>
      </c>
      <c r="C35317" s="4" t="s">
        <v>11</v>
      </c>
      <c r="D35317" s="4" t="s">
        <v>7</v>
      </c>
    </row>
    <row r="35318" spans="1:10">
      <c r="A35318" t="n">
        <v>344605</v>
      </c>
      <c r="B35318" s="54" t="n">
        <v>56</v>
      </c>
      <c r="C35318" s="7" t="n">
        <v>4</v>
      </c>
      <c r="D35318" s="7" t="n">
        <v>1</v>
      </c>
    </row>
    <row r="35319" spans="1:10">
      <c r="A35319" t="s">
        <v>4</v>
      </c>
      <c r="B35319" s="4" t="s">
        <v>5</v>
      </c>
      <c r="C35319" s="4" t="s">
        <v>11</v>
      </c>
      <c r="D35319" s="4" t="s">
        <v>13</v>
      </c>
      <c r="E35319" s="4" t="s">
        <v>13</v>
      </c>
      <c r="F35319" s="4" t="s">
        <v>13</v>
      </c>
      <c r="G35319" s="4" t="s">
        <v>13</v>
      </c>
    </row>
    <row r="35320" spans="1:10">
      <c r="A35320" t="n">
        <v>344609</v>
      </c>
      <c r="B35320" s="36" t="n">
        <v>46</v>
      </c>
      <c r="C35320" s="7" t="n">
        <v>0</v>
      </c>
      <c r="D35320" s="7" t="n">
        <v>-11.3500003814697</v>
      </c>
      <c r="E35320" s="7" t="n">
        <v>5.01000022888184</v>
      </c>
      <c r="F35320" s="7" t="n">
        <v>48.1100006103516</v>
      </c>
      <c r="G35320" s="7" t="n">
        <v>270.799987792969</v>
      </c>
    </row>
    <row r="35321" spans="1:10">
      <c r="A35321" t="s">
        <v>4</v>
      </c>
      <c r="B35321" s="4" t="s">
        <v>5</v>
      </c>
      <c r="C35321" s="4" t="s">
        <v>11</v>
      </c>
      <c r="D35321" s="4" t="s">
        <v>13</v>
      </c>
      <c r="E35321" s="4" t="s">
        <v>13</v>
      </c>
      <c r="F35321" s="4" t="s">
        <v>13</v>
      </c>
      <c r="G35321" s="4" t="s">
        <v>13</v>
      </c>
    </row>
    <row r="35322" spans="1:10">
      <c r="A35322" t="n">
        <v>344628</v>
      </c>
      <c r="B35322" s="36" t="n">
        <v>46</v>
      </c>
      <c r="C35322" s="7" t="n">
        <v>4</v>
      </c>
      <c r="D35322" s="7" t="n">
        <v>-11.8299999237061</v>
      </c>
      <c r="E35322" s="7" t="n">
        <v>5.01000022888184</v>
      </c>
      <c r="F35322" s="7" t="n">
        <v>47.4599990844727</v>
      </c>
      <c r="G35322" s="7" t="n">
        <v>261.100006103516</v>
      </c>
    </row>
    <row r="35323" spans="1:10">
      <c r="A35323" t="s">
        <v>4</v>
      </c>
      <c r="B35323" s="4" t="s">
        <v>5</v>
      </c>
      <c r="C35323" s="4" t="s">
        <v>11</v>
      </c>
      <c r="D35323" s="4" t="s">
        <v>11</v>
      </c>
      <c r="E35323" s="4" t="s">
        <v>11</v>
      </c>
    </row>
    <row r="35324" spans="1:10">
      <c r="A35324" t="n">
        <v>344647</v>
      </c>
      <c r="B35324" s="72" t="n">
        <v>61</v>
      </c>
      <c r="C35324" s="7" t="n">
        <v>0</v>
      </c>
      <c r="D35324" s="7" t="n">
        <v>65533</v>
      </c>
      <c r="E35324" s="7" t="n">
        <v>0</v>
      </c>
    </row>
    <row r="35325" spans="1:10">
      <c r="A35325" t="s">
        <v>4</v>
      </c>
      <c r="B35325" s="4" t="s">
        <v>5</v>
      </c>
      <c r="C35325" s="4" t="s">
        <v>11</v>
      </c>
      <c r="D35325" s="4" t="s">
        <v>11</v>
      </c>
      <c r="E35325" s="4" t="s">
        <v>11</v>
      </c>
    </row>
    <row r="35326" spans="1:10">
      <c r="A35326" t="n">
        <v>344654</v>
      </c>
      <c r="B35326" s="72" t="n">
        <v>61</v>
      </c>
      <c r="C35326" s="7" t="n">
        <v>4</v>
      </c>
      <c r="D35326" s="7" t="n">
        <v>65533</v>
      </c>
      <c r="E35326" s="7" t="n">
        <v>0</v>
      </c>
    </row>
    <row r="35327" spans="1:10">
      <c r="A35327" t="s">
        <v>4</v>
      </c>
      <c r="B35327" s="4" t="s">
        <v>5</v>
      </c>
      <c r="C35327" s="4" t="s">
        <v>7</v>
      </c>
      <c r="D35327" s="4" t="s">
        <v>7</v>
      </c>
      <c r="E35327" s="4" t="s">
        <v>13</v>
      </c>
      <c r="F35327" s="4" t="s">
        <v>13</v>
      </c>
      <c r="G35327" s="4" t="s">
        <v>13</v>
      </c>
      <c r="H35327" s="4" t="s">
        <v>11</v>
      </c>
    </row>
    <row r="35328" spans="1:10">
      <c r="A35328" t="n">
        <v>344661</v>
      </c>
      <c r="B35328" s="51" t="n">
        <v>45</v>
      </c>
      <c r="C35328" s="7" t="n">
        <v>2</v>
      </c>
      <c r="D35328" s="7" t="n">
        <v>3</v>
      </c>
      <c r="E35328" s="7" t="n">
        <v>-19.3099994659424</v>
      </c>
      <c r="F35328" s="7" t="n">
        <v>6.34000015258789</v>
      </c>
      <c r="G35328" s="7" t="n">
        <v>48.439998626709</v>
      </c>
      <c r="H35328" s="7" t="n">
        <v>0</v>
      </c>
    </row>
    <row r="35329" spans="1:8">
      <c r="A35329" t="s">
        <v>4</v>
      </c>
      <c r="B35329" s="4" t="s">
        <v>5</v>
      </c>
      <c r="C35329" s="4" t="s">
        <v>7</v>
      </c>
      <c r="D35329" s="4" t="s">
        <v>7</v>
      </c>
      <c r="E35329" s="4" t="s">
        <v>13</v>
      </c>
      <c r="F35329" s="4" t="s">
        <v>13</v>
      </c>
      <c r="G35329" s="4" t="s">
        <v>13</v>
      </c>
      <c r="H35329" s="4" t="s">
        <v>11</v>
      </c>
      <c r="I35329" s="4" t="s">
        <v>7</v>
      </c>
    </row>
    <row r="35330" spans="1:8">
      <c r="A35330" t="n">
        <v>344678</v>
      </c>
      <c r="B35330" s="51" t="n">
        <v>45</v>
      </c>
      <c r="C35330" s="7" t="n">
        <v>4</v>
      </c>
      <c r="D35330" s="7" t="n">
        <v>3</v>
      </c>
      <c r="E35330" s="7" t="n">
        <v>4.55999994277954</v>
      </c>
      <c r="F35330" s="7" t="n">
        <v>52.9500007629395</v>
      </c>
      <c r="G35330" s="7" t="n">
        <v>0</v>
      </c>
      <c r="H35330" s="7" t="n">
        <v>0</v>
      </c>
      <c r="I35330" s="7" t="n">
        <v>0</v>
      </c>
    </row>
    <row r="35331" spans="1:8">
      <c r="A35331" t="s">
        <v>4</v>
      </c>
      <c r="B35331" s="4" t="s">
        <v>5</v>
      </c>
      <c r="C35331" s="4" t="s">
        <v>7</v>
      </c>
      <c r="D35331" s="4" t="s">
        <v>7</v>
      </c>
      <c r="E35331" s="4" t="s">
        <v>13</v>
      </c>
      <c r="F35331" s="4" t="s">
        <v>11</v>
      </c>
    </row>
    <row r="35332" spans="1:8">
      <c r="A35332" t="n">
        <v>344696</v>
      </c>
      <c r="B35332" s="51" t="n">
        <v>45</v>
      </c>
      <c r="C35332" s="7" t="n">
        <v>5</v>
      </c>
      <c r="D35332" s="7" t="n">
        <v>3</v>
      </c>
      <c r="E35332" s="7" t="n">
        <v>2.29999995231628</v>
      </c>
      <c r="F35332" s="7" t="n">
        <v>0</v>
      </c>
    </row>
    <row r="35333" spans="1:8">
      <c r="A35333" t="s">
        <v>4</v>
      </c>
      <c r="B35333" s="4" t="s">
        <v>5</v>
      </c>
      <c r="C35333" s="4" t="s">
        <v>7</v>
      </c>
      <c r="D35333" s="4" t="s">
        <v>7</v>
      </c>
      <c r="E35333" s="4" t="s">
        <v>13</v>
      </c>
      <c r="F35333" s="4" t="s">
        <v>11</v>
      </c>
    </row>
    <row r="35334" spans="1:8">
      <c r="A35334" t="n">
        <v>344705</v>
      </c>
      <c r="B35334" s="51" t="n">
        <v>45</v>
      </c>
      <c r="C35334" s="7" t="n">
        <v>11</v>
      </c>
      <c r="D35334" s="7" t="n">
        <v>3</v>
      </c>
      <c r="E35334" s="7" t="n">
        <v>34</v>
      </c>
      <c r="F35334" s="7" t="n">
        <v>0</v>
      </c>
    </row>
    <row r="35335" spans="1:8">
      <c r="A35335" t="s">
        <v>4</v>
      </c>
      <c r="B35335" s="4" t="s">
        <v>5</v>
      </c>
      <c r="C35335" s="4" t="s">
        <v>7</v>
      </c>
      <c r="D35335" s="4" t="s">
        <v>7</v>
      </c>
      <c r="E35335" s="4" t="s">
        <v>13</v>
      </c>
      <c r="F35335" s="4" t="s">
        <v>13</v>
      </c>
      <c r="G35335" s="4" t="s">
        <v>13</v>
      </c>
      <c r="H35335" s="4" t="s">
        <v>11</v>
      </c>
    </row>
    <row r="35336" spans="1:8">
      <c r="A35336" t="n">
        <v>344714</v>
      </c>
      <c r="B35336" s="51" t="n">
        <v>45</v>
      </c>
      <c r="C35336" s="7" t="n">
        <v>2</v>
      </c>
      <c r="D35336" s="7" t="n">
        <v>3</v>
      </c>
      <c r="E35336" s="7" t="n">
        <v>-15.5699996948242</v>
      </c>
      <c r="F35336" s="7" t="n">
        <v>6.75</v>
      </c>
      <c r="G35336" s="7" t="n">
        <v>47.0400009155273</v>
      </c>
      <c r="H35336" s="7" t="n">
        <v>7000</v>
      </c>
    </row>
    <row r="35337" spans="1:8">
      <c r="A35337" t="s">
        <v>4</v>
      </c>
      <c r="B35337" s="4" t="s">
        <v>5</v>
      </c>
      <c r="C35337" s="4" t="s">
        <v>7</v>
      </c>
      <c r="D35337" s="4" t="s">
        <v>7</v>
      </c>
      <c r="E35337" s="4" t="s">
        <v>13</v>
      </c>
      <c r="F35337" s="4" t="s">
        <v>13</v>
      </c>
      <c r="G35337" s="4" t="s">
        <v>13</v>
      </c>
      <c r="H35337" s="4" t="s">
        <v>11</v>
      </c>
      <c r="I35337" s="4" t="s">
        <v>7</v>
      </c>
    </row>
    <row r="35338" spans="1:8">
      <c r="A35338" t="n">
        <v>344731</v>
      </c>
      <c r="B35338" s="51" t="n">
        <v>45</v>
      </c>
      <c r="C35338" s="7" t="n">
        <v>4</v>
      </c>
      <c r="D35338" s="7" t="n">
        <v>3</v>
      </c>
      <c r="E35338" s="7" t="n">
        <v>18.8099994659424</v>
      </c>
      <c r="F35338" s="7" t="n">
        <v>253.800003051758</v>
      </c>
      <c r="G35338" s="7" t="n">
        <v>0</v>
      </c>
      <c r="H35338" s="7" t="n">
        <v>7000</v>
      </c>
      <c r="I35338" s="7" t="n">
        <v>1</v>
      </c>
    </row>
    <row r="35339" spans="1:8">
      <c r="A35339" t="s">
        <v>4</v>
      </c>
      <c r="B35339" s="4" t="s">
        <v>5</v>
      </c>
      <c r="C35339" s="4" t="s">
        <v>7</v>
      </c>
      <c r="D35339" s="4" t="s">
        <v>7</v>
      </c>
      <c r="E35339" s="4" t="s">
        <v>13</v>
      </c>
      <c r="F35339" s="4" t="s">
        <v>11</v>
      </c>
    </row>
    <row r="35340" spans="1:8">
      <c r="A35340" t="n">
        <v>344749</v>
      </c>
      <c r="B35340" s="51" t="n">
        <v>45</v>
      </c>
      <c r="C35340" s="7" t="n">
        <v>5</v>
      </c>
      <c r="D35340" s="7" t="n">
        <v>3</v>
      </c>
      <c r="E35340" s="7" t="n">
        <v>2.59999990463257</v>
      </c>
      <c r="F35340" s="7" t="n">
        <v>7000</v>
      </c>
    </row>
    <row r="35341" spans="1:8">
      <c r="A35341" t="s">
        <v>4</v>
      </c>
      <c r="B35341" s="4" t="s">
        <v>5</v>
      </c>
      <c r="C35341" s="4" t="s">
        <v>7</v>
      </c>
      <c r="D35341" s="4" t="s">
        <v>11</v>
      </c>
      <c r="E35341" s="4" t="s">
        <v>13</v>
      </c>
    </row>
    <row r="35342" spans="1:8">
      <c r="A35342" t="n">
        <v>344758</v>
      </c>
      <c r="B35342" s="23" t="n">
        <v>58</v>
      </c>
      <c r="C35342" s="7" t="n">
        <v>100</v>
      </c>
      <c r="D35342" s="7" t="n">
        <v>1000</v>
      </c>
      <c r="E35342" s="7" t="n">
        <v>1</v>
      </c>
    </row>
    <row r="35343" spans="1:8">
      <c r="A35343" t="s">
        <v>4</v>
      </c>
      <c r="B35343" s="4" t="s">
        <v>5</v>
      </c>
      <c r="C35343" s="4" t="s">
        <v>7</v>
      </c>
      <c r="D35343" s="4" t="s">
        <v>11</v>
      </c>
    </row>
    <row r="35344" spans="1:8">
      <c r="A35344" t="n">
        <v>344766</v>
      </c>
      <c r="B35344" s="23" t="n">
        <v>58</v>
      </c>
      <c r="C35344" s="7" t="n">
        <v>255</v>
      </c>
      <c r="D35344" s="7" t="n">
        <v>0</v>
      </c>
    </row>
    <row r="35345" spans="1:9">
      <c r="A35345" t="s">
        <v>4</v>
      </c>
      <c r="B35345" s="4" t="s">
        <v>5</v>
      </c>
      <c r="C35345" s="4" t="s">
        <v>8</v>
      </c>
      <c r="D35345" s="4" t="s">
        <v>8</v>
      </c>
    </row>
    <row r="35346" spans="1:9">
      <c r="A35346" t="n">
        <v>344770</v>
      </c>
      <c r="B35346" s="52" t="n">
        <v>70</v>
      </c>
      <c r="C35346" s="7" t="s">
        <v>1000</v>
      </c>
      <c r="D35346" s="7" t="s">
        <v>109</v>
      </c>
    </row>
    <row r="35347" spans="1:9">
      <c r="A35347" t="s">
        <v>4</v>
      </c>
      <c r="B35347" s="4" t="s">
        <v>5</v>
      </c>
      <c r="C35347" s="4" t="s">
        <v>11</v>
      </c>
    </row>
    <row r="35348" spans="1:9">
      <c r="A35348" t="n">
        <v>344787</v>
      </c>
      <c r="B35348" s="29" t="n">
        <v>16</v>
      </c>
      <c r="C35348" s="7" t="n">
        <v>4000</v>
      </c>
    </row>
    <row r="35349" spans="1:9">
      <c r="A35349" t="s">
        <v>4</v>
      </c>
      <c r="B35349" s="4" t="s">
        <v>5</v>
      </c>
      <c r="C35349" s="4" t="s">
        <v>11</v>
      </c>
      <c r="D35349" s="4" t="s">
        <v>7</v>
      </c>
      <c r="E35349" s="4" t="s">
        <v>13</v>
      </c>
      <c r="F35349" s="4" t="s">
        <v>11</v>
      </c>
    </row>
    <row r="35350" spans="1:9">
      <c r="A35350" t="n">
        <v>344790</v>
      </c>
      <c r="B35350" s="56" t="n">
        <v>59</v>
      </c>
      <c r="C35350" s="7" t="n">
        <v>4</v>
      </c>
      <c r="D35350" s="7" t="n">
        <v>9</v>
      </c>
      <c r="E35350" s="7" t="n">
        <v>0.150000005960464</v>
      </c>
      <c r="F35350" s="7" t="n">
        <v>0</v>
      </c>
    </row>
    <row r="35351" spans="1:9">
      <c r="A35351" t="s">
        <v>4</v>
      </c>
      <c r="B35351" s="4" t="s">
        <v>5</v>
      </c>
      <c r="C35351" s="4" t="s">
        <v>11</v>
      </c>
      <c r="D35351" s="4" t="s">
        <v>13</v>
      </c>
      <c r="E35351" s="4" t="s">
        <v>13</v>
      </c>
      <c r="F35351" s="4" t="s">
        <v>13</v>
      </c>
      <c r="G35351" s="4" t="s">
        <v>11</v>
      </c>
      <c r="H35351" s="4" t="s">
        <v>11</v>
      </c>
    </row>
    <row r="35352" spans="1:9">
      <c r="A35352" t="n">
        <v>344800</v>
      </c>
      <c r="B35352" s="37" t="n">
        <v>60</v>
      </c>
      <c r="C35352" s="7" t="n">
        <v>4</v>
      </c>
      <c r="D35352" s="7" t="n">
        <v>-45</v>
      </c>
      <c r="E35352" s="7" t="n">
        <v>0</v>
      </c>
      <c r="F35352" s="7" t="n">
        <v>0</v>
      </c>
      <c r="G35352" s="7" t="n">
        <v>1000</v>
      </c>
      <c r="H35352" s="7" t="n">
        <v>0</v>
      </c>
    </row>
    <row r="35353" spans="1:9">
      <c r="A35353" t="s">
        <v>4</v>
      </c>
      <c r="B35353" s="4" t="s">
        <v>5</v>
      </c>
      <c r="C35353" s="4" t="s">
        <v>11</v>
      </c>
    </row>
    <row r="35354" spans="1:9">
      <c r="A35354" t="n">
        <v>344819</v>
      </c>
      <c r="B35354" s="29" t="n">
        <v>16</v>
      </c>
      <c r="C35354" s="7" t="n">
        <v>1000</v>
      </c>
    </row>
    <row r="35355" spans="1:9">
      <c r="A35355" t="s">
        <v>4</v>
      </c>
      <c r="B35355" s="4" t="s">
        <v>5</v>
      </c>
      <c r="C35355" s="4" t="s">
        <v>11</v>
      </c>
      <c r="D35355" s="4" t="s">
        <v>13</v>
      </c>
      <c r="E35355" s="4" t="s">
        <v>13</v>
      </c>
      <c r="F35355" s="4" t="s">
        <v>13</v>
      </c>
      <c r="G35355" s="4" t="s">
        <v>11</v>
      </c>
      <c r="H35355" s="4" t="s">
        <v>11</v>
      </c>
    </row>
    <row r="35356" spans="1:9">
      <c r="A35356" t="n">
        <v>344822</v>
      </c>
      <c r="B35356" s="37" t="n">
        <v>60</v>
      </c>
      <c r="C35356" s="7" t="n">
        <v>4</v>
      </c>
      <c r="D35356" s="7" t="n">
        <v>45</v>
      </c>
      <c r="E35356" s="7" t="n">
        <v>0</v>
      </c>
      <c r="F35356" s="7" t="n">
        <v>0</v>
      </c>
      <c r="G35356" s="7" t="n">
        <v>1000</v>
      </c>
      <c r="H35356" s="7" t="n">
        <v>0</v>
      </c>
    </row>
    <row r="35357" spans="1:9">
      <c r="A35357" t="s">
        <v>4</v>
      </c>
      <c r="B35357" s="4" t="s">
        <v>5</v>
      </c>
      <c r="C35357" s="4" t="s">
        <v>11</v>
      </c>
    </row>
    <row r="35358" spans="1:9">
      <c r="A35358" t="n">
        <v>344841</v>
      </c>
      <c r="B35358" s="29" t="n">
        <v>16</v>
      </c>
      <c r="C35358" s="7" t="n">
        <v>1000</v>
      </c>
    </row>
    <row r="35359" spans="1:9">
      <c r="A35359" t="s">
        <v>4</v>
      </c>
      <c r="B35359" s="4" t="s">
        <v>5</v>
      </c>
      <c r="C35359" s="4" t="s">
        <v>11</v>
      </c>
      <c r="D35359" s="4" t="s">
        <v>13</v>
      </c>
      <c r="E35359" s="4" t="s">
        <v>13</v>
      </c>
      <c r="F35359" s="4" t="s">
        <v>13</v>
      </c>
      <c r="G35359" s="4" t="s">
        <v>11</v>
      </c>
      <c r="H35359" s="4" t="s">
        <v>11</v>
      </c>
    </row>
    <row r="35360" spans="1:9">
      <c r="A35360" t="n">
        <v>344844</v>
      </c>
      <c r="B35360" s="37" t="n">
        <v>60</v>
      </c>
      <c r="C35360" s="7" t="n">
        <v>4</v>
      </c>
      <c r="D35360" s="7" t="n">
        <v>0</v>
      </c>
      <c r="E35360" s="7" t="n">
        <v>0</v>
      </c>
      <c r="F35360" s="7" t="n">
        <v>0</v>
      </c>
      <c r="G35360" s="7" t="n">
        <v>500</v>
      </c>
      <c r="H35360" s="7" t="n">
        <v>0</v>
      </c>
    </row>
    <row r="35361" spans="1:8">
      <c r="A35361" t="s">
        <v>4</v>
      </c>
      <c r="B35361" s="4" t="s">
        <v>5</v>
      </c>
      <c r="C35361" s="4" t="s">
        <v>11</v>
      </c>
    </row>
    <row r="35362" spans="1:8">
      <c r="A35362" t="n">
        <v>344863</v>
      </c>
      <c r="B35362" s="29" t="n">
        <v>16</v>
      </c>
      <c r="C35362" s="7" t="n">
        <v>1000</v>
      </c>
    </row>
    <row r="35363" spans="1:8">
      <c r="A35363" t="s">
        <v>4</v>
      </c>
      <c r="B35363" s="4" t="s">
        <v>5</v>
      </c>
      <c r="C35363" s="4" t="s">
        <v>7</v>
      </c>
      <c r="D35363" s="4" t="s">
        <v>11</v>
      </c>
    </row>
    <row r="35364" spans="1:8">
      <c r="A35364" t="n">
        <v>344866</v>
      </c>
      <c r="B35364" s="51" t="n">
        <v>45</v>
      </c>
      <c r="C35364" s="7" t="n">
        <v>7</v>
      </c>
      <c r="D35364" s="7" t="n">
        <v>255</v>
      </c>
    </row>
    <row r="35365" spans="1:8">
      <c r="A35365" t="s">
        <v>4</v>
      </c>
      <c r="B35365" s="4" t="s">
        <v>5</v>
      </c>
      <c r="C35365" s="4" t="s">
        <v>7</v>
      </c>
      <c r="D35365" s="4" t="s">
        <v>11</v>
      </c>
      <c r="E35365" s="4" t="s">
        <v>13</v>
      </c>
    </row>
    <row r="35366" spans="1:8">
      <c r="A35366" t="n">
        <v>344870</v>
      </c>
      <c r="B35366" s="23" t="n">
        <v>58</v>
      </c>
      <c r="C35366" s="7" t="n">
        <v>0</v>
      </c>
      <c r="D35366" s="7" t="n">
        <v>1000</v>
      </c>
      <c r="E35366" s="7" t="n">
        <v>1</v>
      </c>
    </row>
    <row r="35367" spans="1:8">
      <c r="A35367" t="s">
        <v>4</v>
      </c>
      <c r="B35367" s="4" t="s">
        <v>5</v>
      </c>
      <c r="C35367" s="4" t="s">
        <v>7</v>
      </c>
      <c r="D35367" s="4" t="s">
        <v>11</v>
      </c>
    </row>
    <row r="35368" spans="1:8">
      <c r="A35368" t="n">
        <v>344878</v>
      </c>
      <c r="B35368" s="23" t="n">
        <v>58</v>
      </c>
      <c r="C35368" s="7" t="n">
        <v>255</v>
      </c>
      <c r="D35368" s="7" t="n">
        <v>0</v>
      </c>
    </row>
    <row r="35369" spans="1:8">
      <c r="A35369" t="s">
        <v>4</v>
      </c>
      <c r="B35369" s="4" t="s">
        <v>5</v>
      </c>
      <c r="C35369" s="4" t="s">
        <v>8</v>
      </c>
      <c r="D35369" s="4" t="s">
        <v>8</v>
      </c>
    </row>
    <row r="35370" spans="1:8">
      <c r="A35370" t="n">
        <v>344882</v>
      </c>
      <c r="B35370" s="52" t="n">
        <v>70</v>
      </c>
      <c r="C35370" s="7" t="s">
        <v>1000</v>
      </c>
      <c r="D35370" s="7" t="s">
        <v>118</v>
      </c>
    </row>
    <row r="35371" spans="1:8">
      <c r="A35371" t="s">
        <v>4</v>
      </c>
      <c r="B35371" s="4" t="s">
        <v>5</v>
      </c>
      <c r="C35371" s="4" t="s">
        <v>11</v>
      </c>
      <c r="D35371" s="4" t="s">
        <v>11</v>
      </c>
      <c r="E35371" s="4" t="s">
        <v>11</v>
      </c>
    </row>
    <row r="35372" spans="1:8">
      <c r="A35372" t="n">
        <v>344898</v>
      </c>
      <c r="B35372" s="72" t="n">
        <v>61</v>
      </c>
      <c r="C35372" s="7" t="n">
        <v>0</v>
      </c>
      <c r="D35372" s="7" t="n">
        <v>65533</v>
      </c>
      <c r="E35372" s="7" t="n">
        <v>1000</v>
      </c>
    </row>
    <row r="35373" spans="1:8">
      <c r="A35373" t="s">
        <v>4</v>
      </c>
      <c r="B35373" s="4" t="s">
        <v>5</v>
      </c>
      <c r="C35373" s="4" t="s">
        <v>11</v>
      </c>
      <c r="D35373" s="4" t="s">
        <v>11</v>
      </c>
      <c r="E35373" s="4" t="s">
        <v>11</v>
      </c>
    </row>
    <row r="35374" spans="1:8">
      <c r="A35374" t="n">
        <v>344905</v>
      </c>
      <c r="B35374" s="72" t="n">
        <v>61</v>
      </c>
      <c r="C35374" s="7" t="n">
        <v>4</v>
      </c>
      <c r="D35374" s="7" t="n">
        <v>65533</v>
      </c>
      <c r="E35374" s="7" t="n">
        <v>1000</v>
      </c>
    </row>
    <row r="35375" spans="1:8">
      <c r="A35375" t="s">
        <v>4</v>
      </c>
      <c r="B35375" s="4" t="s">
        <v>5</v>
      </c>
      <c r="C35375" s="4" t="s">
        <v>11</v>
      </c>
      <c r="D35375" s="4" t="s">
        <v>13</v>
      </c>
      <c r="E35375" s="4" t="s">
        <v>13</v>
      </c>
      <c r="F35375" s="4" t="s">
        <v>13</v>
      </c>
      <c r="G35375" s="4" t="s">
        <v>13</v>
      </c>
    </row>
    <row r="35376" spans="1:8">
      <c r="A35376" t="n">
        <v>344912</v>
      </c>
      <c r="B35376" s="36" t="n">
        <v>46</v>
      </c>
      <c r="C35376" s="7" t="n">
        <v>0</v>
      </c>
      <c r="D35376" s="7" t="n">
        <v>-2.66000008583069</v>
      </c>
      <c r="E35376" s="7" t="n">
        <v>5.01000022888184</v>
      </c>
      <c r="F35376" s="7" t="n">
        <v>32.189998626709</v>
      </c>
      <c r="G35376" s="7" t="n">
        <v>90</v>
      </c>
    </row>
    <row r="35377" spans="1:7">
      <c r="A35377" t="s">
        <v>4</v>
      </c>
      <c r="B35377" s="4" t="s">
        <v>5</v>
      </c>
      <c r="C35377" s="4" t="s">
        <v>11</v>
      </c>
      <c r="D35377" s="4" t="s">
        <v>13</v>
      </c>
      <c r="E35377" s="4" t="s">
        <v>13</v>
      </c>
      <c r="F35377" s="4" t="s">
        <v>13</v>
      </c>
      <c r="G35377" s="4" t="s">
        <v>13</v>
      </c>
    </row>
    <row r="35378" spans="1:7">
      <c r="A35378" t="n">
        <v>344931</v>
      </c>
      <c r="B35378" s="36" t="n">
        <v>46</v>
      </c>
      <c r="C35378" s="7" t="n">
        <v>4</v>
      </c>
      <c r="D35378" s="7" t="n">
        <v>-3.16000008583069</v>
      </c>
      <c r="E35378" s="7" t="n">
        <v>5.01000022888184</v>
      </c>
      <c r="F35378" s="7" t="n">
        <v>31.7900009155273</v>
      </c>
      <c r="G35378" s="7" t="n">
        <v>90</v>
      </c>
    </row>
    <row r="35379" spans="1:7">
      <c r="A35379" t="s">
        <v>4</v>
      </c>
      <c r="B35379" s="4" t="s">
        <v>5</v>
      </c>
      <c r="C35379" s="4" t="s">
        <v>7</v>
      </c>
      <c r="D35379" s="4" t="s">
        <v>7</v>
      </c>
      <c r="E35379" s="4" t="s">
        <v>13</v>
      </c>
      <c r="F35379" s="4" t="s">
        <v>13</v>
      </c>
      <c r="G35379" s="4" t="s">
        <v>13</v>
      </c>
      <c r="H35379" s="4" t="s">
        <v>11</v>
      </c>
    </row>
    <row r="35380" spans="1:7">
      <c r="A35380" t="n">
        <v>344950</v>
      </c>
      <c r="B35380" s="51" t="n">
        <v>45</v>
      </c>
      <c r="C35380" s="7" t="n">
        <v>2</v>
      </c>
      <c r="D35380" s="7" t="n">
        <v>3</v>
      </c>
      <c r="E35380" s="7" t="n">
        <v>6.82000017166138</v>
      </c>
      <c r="F35380" s="7" t="n">
        <v>6.17999982833862</v>
      </c>
      <c r="G35380" s="7" t="n">
        <v>32.2799987792969</v>
      </c>
      <c r="H35380" s="7" t="n">
        <v>0</v>
      </c>
    </row>
    <row r="35381" spans="1:7">
      <c r="A35381" t="s">
        <v>4</v>
      </c>
      <c r="B35381" s="4" t="s">
        <v>5</v>
      </c>
      <c r="C35381" s="4" t="s">
        <v>7</v>
      </c>
      <c r="D35381" s="4" t="s">
        <v>7</v>
      </c>
      <c r="E35381" s="4" t="s">
        <v>13</v>
      </c>
      <c r="F35381" s="4" t="s">
        <v>13</v>
      </c>
      <c r="G35381" s="4" t="s">
        <v>13</v>
      </c>
      <c r="H35381" s="4" t="s">
        <v>11</v>
      </c>
      <c r="I35381" s="4" t="s">
        <v>7</v>
      </c>
    </row>
    <row r="35382" spans="1:7">
      <c r="A35382" t="n">
        <v>344967</v>
      </c>
      <c r="B35382" s="51" t="n">
        <v>45</v>
      </c>
      <c r="C35382" s="7" t="n">
        <v>4</v>
      </c>
      <c r="D35382" s="7" t="n">
        <v>3</v>
      </c>
      <c r="E35382" s="7" t="n">
        <v>358.239990234375</v>
      </c>
      <c r="F35382" s="7" t="n">
        <v>344.200012207031</v>
      </c>
      <c r="G35382" s="7" t="n">
        <v>0</v>
      </c>
      <c r="H35382" s="7" t="n">
        <v>0</v>
      </c>
      <c r="I35382" s="7" t="n">
        <v>0</v>
      </c>
    </row>
    <row r="35383" spans="1:7">
      <c r="A35383" t="s">
        <v>4</v>
      </c>
      <c r="B35383" s="4" t="s">
        <v>5</v>
      </c>
      <c r="C35383" s="4" t="s">
        <v>7</v>
      </c>
      <c r="D35383" s="4" t="s">
        <v>7</v>
      </c>
      <c r="E35383" s="4" t="s">
        <v>13</v>
      </c>
      <c r="F35383" s="4" t="s">
        <v>11</v>
      </c>
    </row>
    <row r="35384" spans="1:7">
      <c r="A35384" t="n">
        <v>344985</v>
      </c>
      <c r="B35384" s="51" t="n">
        <v>45</v>
      </c>
      <c r="C35384" s="7" t="n">
        <v>5</v>
      </c>
      <c r="D35384" s="7" t="n">
        <v>3</v>
      </c>
      <c r="E35384" s="7" t="n">
        <v>3.40000009536743</v>
      </c>
      <c r="F35384" s="7" t="n">
        <v>0</v>
      </c>
    </row>
    <row r="35385" spans="1:7">
      <c r="A35385" t="s">
        <v>4</v>
      </c>
      <c r="B35385" s="4" t="s">
        <v>5</v>
      </c>
      <c r="C35385" s="4" t="s">
        <v>7</v>
      </c>
      <c r="D35385" s="4" t="s">
        <v>7</v>
      </c>
      <c r="E35385" s="4" t="s">
        <v>13</v>
      </c>
      <c r="F35385" s="4" t="s">
        <v>11</v>
      </c>
    </row>
    <row r="35386" spans="1:7">
      <c r="A35386" t="n">
        <v>344994</v>
      </c>
      <c r="B35386" s="51" t="n">
        <v>45</v>
      </c>
      <c r="C35386" s="7" t="n">
        <v>11</v>
      </c>
      <c r="D35386" s="7" t="n">
        <v>3</v>
      </c>
      <c r="E35386" s="7" t="n">
        <v>40.2999992370605</v>
      </c>
      <c r="F35386" s="7" t="n">
        <v>0</v>
      </c>
    </row>
    <row r="35387" spans="1:7">
      <c r="A35387" t="s">
        <v>4</v>
      </c>
      <c r="B35387" s="4" t="s">
        <v>5</v>
      </c>
      <c r="C35387" s="4" t="s">
        <v>7</v>
      </c>
      <c r="D35387" s="4" t="s">
        <v>7</v>
      </c>
      <c r="E35387" s="4" t="s">
        <v>13</v>
      </c>
      <c r="F35387" s="4" t="s">
        <v>13</v>
      </c>
      <c r="G35387" s="4" t="s">
        <v>13</v>
      </c>
      <c r="H35387" s="4" t="s">
        <v>11</v>
      </c>
    </row>
    <row r="35388" spans="1:7">
      <c r="A35388" t="n">
        <v>345003</v>
      </c>
      <c r="B35388" s="51" t="n">
        <v>45</v>
      </c>
      <c r="C35388" s="7" t="n">
        <v>2</v>
      </c>
      <c r="D35388" s="7" t="n">
        <v>3</v>
      </c>
      <c r="E35388" s="7" t="n">
        <v>-2.55999994277954</v>
      </c>
      <c r="F35388" s="7" t="n">
        <v>6.17999982833862</v>
      </c>
      <c r="G35388" s="7" t="n">
        <v>32.1800003051758</v>
      </c>
      <c r="H35388" s="7" t="n">
        <v>6000</v>
      </c>
    </row>
    <row r="35389" spans="1:7">
      <c r="A35389" t="s">
        <v>4</v>
      </c>
      <c r="B35389" s="4" t="s">
        <v>5</v>
      </c>
      <c r="C35389" s="4" t="s">
        <v>7</v>
      </c>
      <c r="D35389" s="4" t="s">
        <v>7</v>
      </c>
      <c r="E35389" s="4" t="s">
        <v>13</v>
      </c>
      <c r="F35389" s="4" t="s">
        <v>13</v>
      </c>
      <c r="G35389" s="4" t="s">
        <v>13</v>
      </c>
      <c r="H35389" s="4" t="s">
        <v>11</v>
      </c>
      <c r="I35389" s="4" t="s">
        <v>7</v>
      </c>
    </row>
    <row r="35390" spans="1:7">
      <c r="A35390" t="n">
        <v>345020</v>
      </c>
      <c r="B35390" s="51" t="n">
        <v>45</v>
      </c>
      <c r="C35390" s="7" t="n">
        <v>4</v>
      </c>
      <c r="D35390" s="7" t="n">
        <v>3</v>
      </c>
      <c r="E35390" s="7" t="n">
        <v>12.2700004577637</v>
      </c>
      <c r="F35390" s="7" t="n">
        <v>75.7099990844727</v>
      </c>
      <c r="G35390" s="7" t="n">
        <v>0</v>
      </c>
      <c r="H35390" s="7" t="n">
        <v>6000</v>
      </c>
      <c r="I35390" s="7" t="n">
        <v>1</v>
      </c>
    </row>
    <row r="35391" spans="1:7">
      <c r="A35391" t="s">
        <v>4</v>
      </c>
      <c r="B35391" s="4" t="s">
        <v>5</v>
      </c>
      <c r="C35391" s="4" t="s">
        <v>7</v>
      </c>
      <c r="D35391" s="4" t="s">
        <v>7</v>
      </c>
      <c r="E35391" s="4" t="s">
        <v>13</v>
      </c>
      <c r="F35391" s="4" t="s">
        <v>11</v>
      </c>
    </row>
    <row r="35392" spans="1:7">
      <c r="A35392" t="n">
        <v>345038</v>
      </c>
      <c r="B35392" s="51" t="n">
        <v>45</v>
      </c>
      <c r="C35392" s="7" t="n">
        <v>5</v>
      </c>
      <c r="D35392" s="7" t="n">
        <v>3</v>
      </c>
      <c r="E35392" s="7" t="n">
        <v>2.70000004768372</v>
      </c>
      <c r="F35392" s="7" t="n">
        <v>6000</v>
      </c>
    </row>
    <row r="35393" spans="1:9">
      <c r="A35393" t="s">
        <v>4</v>
      </c>
      <c r="B35393" s="4" t="s">
        <v>5</v>
      </c>
      <c r="C35393" s="4" t="s">
        <v>7</v>
      </c>
      <c r="D35393" s="4" t="s">
        <v>11</v>
      </c>
      <c r="E35393" s="4" t="s">
        <v>13</v>
      </c>
    </row>
    <row r="35394" spans="1:9">
      <c r="A35394" t="n">
        <v>345047</v>
      </c>
      <c r="B35394" s="23" t="n">
        <v>58</v>
      </c>
      <c r="C35394" s="7" t="n">
        <v>100</v>
      </c>
      <c r="D35394" s="7" t="n">
        <v>1000</v>
      </c>
      <c r="E35394" s="7" t="n">
        <v>1</v>
      </c>
    </row>
    <row r="35395" spans="1:9">
      <c r="A35395" t="s">
        <v>4</v>
      </c>
      <c r="B35395" s="4" t="s">
        <v>5</v>
      </c>
      <c r="C35395" s="4" t="s">
        <v>7</v>
      </c>
      <c r="D35395" s="4" t="s">
        <v>11</v>
      </c>
    </row>
    <row r="35396" spans="1:9">
      <c r="A35396" t="n">
        <v>345055</v>
      </c>
      <c r="B35396" s="23" t="n">
        <v>58</v>
      </c>
      <c r="C35396" s="7" t="n">
        <v>255</v>
      </c>
      <c r="D35396" s="7" t="n">
        <v>0</v>
      </c>
    </row>
    <row r="35397" spans="1:9">
      <c r="A35397" t="s">
        <v>4</v>
      </c>
      <c r="B35397" s="4" t="s">
        <v>5</v>
      </c>
      <c r="C35397" s="4" t="s">
        <v>8</v>
      </c>
      <c r="D35397" s="4" t="s">
        <v>8</v>
      </c>
    </row>
    <row r="35398" spans="1:9">
      <c r="A35398" t="n">
        <v>345059</v>
      </c>
      <c r="B35398" s="52" t="n">
        <v>70</v>
      </c>
      <c r="C35398" s="7" t="s">
        <v>24</v>
      </c>
      <c r="D35398" s="7" t="s">
        <v>109</v>
      </c>
    </row>
    <row r="35399" spans="1:9">
      <c r="A35399" t="s">
        <v>4</v>
      </c>
      <c r="B35399" s="4" t="s">
        <v>5</v>
      </c>
      <c r="C35399" s="4" t="s">
        <v>11</v>
      </c>
    </row>
    <row r="35400" spans="1:9">
      <c r="A35400" t="n">
        <v>345076</v>
      </c>
      <c r="B35400" s="29" t="n">
        <v>16</v>
      </c>
      <c r="C35400" s="7" t="n">
        <v>4000</v>
      </c>
    </row>
    <row r="35401" spans="1:9">
      <c r="A35401" t="s">
        <v>4</v>
      </c>
      <c r="B35401" s="4" t="s">
        <v>5</v>
      </c>
      <c r="C35401" s="4" t="s">
        <v>11</v>
      </c>
      <c r="D35401" s="4" t="s">
        <v>7</v>
      </c>
      <c r="E35401" s="4" t="s">
        <v>13</v>
      </c>
      <c r="F35401" s="4" t="s">
        <v>11</v>
      </c>
    </row>
    <row r="35402" spans="1:9">
      <c r="A35402" t="n">
        <v>345079</v>
      </c>
      <c r="B35402" s="56" t="n">
        <v>59</v>
      </c>
      <c r="C35402" s="7" t="n">
        <v>0</v>
      </c>
      <c r="D35402" s="7" t="n">
        <v>9</v>
      </c>
      <c r="E35402" s="7" t="n">
        <v>0.150000005960464</v>
      </c>
      <c r="F35402" s="7" t="n">
        <v>0</v>
      </c>
    </row>
    <row r="35403" spans="1:9">
      <c r="A35403" t="s">
        <v>4</v>
      </c>
      <c r="B35403" s="4" t="s">
        <v>5</v>
      </c>
      <c r="C35403" s="4" t="s">
        <v>11</v>
      </c>
    </row>
    <row r="35404" spans="1:9">
      <c r="A35404" t="n">
        <v>345089</v>
      </c>
      <c r="B35404" s="29" t="n">
        <v>16</v>
      </c>
      <c r="C35404" s="7" t="n">
        <v>1800</v>
      </c>
    </row>
    <row r="35405" spans="1:9">
      <c r="A35405" t="s">
        <v>4</v>
      </c>
      <c r="B35405" s="4" t="s">
        <v>5</v>
      </c>
      <c r="C35405" s="4" t="s">
        <v>7</v>
      </c>
      <c r="D35405" s="4" t="s">
        <v>11</v>
      </c>
    </row>
    <row r="35406" spans="1:9">
      <c r="A35406" t="n">
        <v>345092</v>
      </c>
      <c r="B35406" s="51" t="n">
        <v>45</v>
      </c>
      <c r="C35406" s="7" t="n">
        <v>7</v>
      </c>
      <c r="D35406" s="7" t="n">
        <v>255</v>
      </c>
    </row>
    <row r="35407" spans="1:9">
      <c r="A35407" t="s">
        <v>4</v>
      </c>
      <c r="B35407" s="4" t="s">
        <v>5</v>
      </c>
      <c r="C35407" s="4" t="s">
        <v>7</v>
      </c>
      <c r="D35407" s="4" t="s">
        <v>11</v>
      </c>
      <c r="E35407" s="4" t="s">
        <v>13</v>
      </c>
    </row>
    <row r="35408" spans="1:9">
      <c r="A35408" t="n">
        <v>345096</v>
      </c>
      <c r="B35408" s="23" t="n">
        <v>58</v>
      </c>
      <c r="C35408" s="7" t="n">
        <v>0</v>
      </c>
      <c r="D35408" s="7" t="n">
        <v>1000</v>
      </c>
      <c r="E35408" s="7" t="n">
        <v>1</v>
      </c>
    </row>
    <row r="35409" spans="1:6">
      <c r="A35409" t="s">
        <v>4</v>
      </c>
      <c r="B35409" s="4" t="s">
        <v>5</v>
      </c>
      <c r="C35409" s="4" t="s">
        <v>7</v>
      </c>
      <c r="D35409" s="4" t="s">
        <v>11</v>
      </c>
    </row>
    <row r="35410" spans="1:6">
      <c r="A35410" t="n">
        <v>345104</v>
      </c>
      <c r="B35410" s="23" t="n">
        <v>58</v>
      </c>
      <c r="C35410" s="7" t="n">
        <v>255</v>
      </c>
      <c r="D35410" s="7" t="n">
        <v>0</v>
      </c>
    </row>
    <row r="35411" spans="1:6">
      <c r="A35411" t="s">
        <v>4</v>
      </c>
      <c r="B35411" s="4" t="s">
        <v>5</v>
      </c>
      <c r="C35411" s="4" t="s">
        <v>8</v>
      </c>
      <c r="D35411" s="4" t="s">
        <v>8</v>
      </c>
    </row>
    <row r="35412" spans="1:6">
      <c r="A35412" t="n">
        <v>345108</v>
      </c>
      <c r="B35412" s="52" t="n">
        <v>70</v>
      </c>
      <c r="C35412" s="7" t="s">
        <v>24</v>
      </c>
      <c r="D35412" s="7" t="s">
        <v>118</v>
      </c>
    </row>
    <row r="35413" spans="1:6">
      <c r="A35413" t="s">
        <v>4</v>
      </c>
      <c r="B35413" s="4" t="s">
        <v>5</v>
      </c>
      <c r="C35413" s="4" t="s">
        <v>11</v>
      </c>
      <c r="D35413" s="4" t="s">
        <v>13</v>
      </c>
      <c r="E35413" s="4" t="s">
        <v>13</v>
      </c>
      <c r="F35413" s="4" t="s">
        <v>13</v>
      </c>
      <c r="G35413" s="4" t="s">
        <v>13</v>
      </c>
    </row>
    <row r="35414" spans="1:6">
      <c r="A35414" t="n">
        <v>345124</v>
      </c>
      <c r="B35414" s="36" t="n">
        <v>46</v>
      </c>
      <c r="C35414" s="7" t="n">
        <v>0</v>
      </c>
      <c r="D35414" s="7" t="n">
        <v>-10.9899997711182</v>
      </c>
      <c r="E35414" s="7" t="n">
        <v>5.01000022888184</v>
      </c>
      <c r="F35414" s="7" t="n">
        <v>32.4300003051758</v>
      </c>
      <c r="G35414" s="7" t="n">
        <v>270</v>
      </c>
    </row>
    <row r="35415" spans="1:6">
      <c r="A35415" t="s">
        <v>4</v>
      </c>
      <c r="B35415" s="4" t="s">
        <v>5</v>
      </c>
      <c r="C35415" s="4" t="s">
        <v>11</v>
      </c>
      <c r="D35415" s="4" t="s">
        <v>13</v>
      </c>
      <c r="E35415" s="4" t="s">
        <v>13</v>
      </c>
      <c r="F35415" s="4" t="s">
        <v>13</v>
      </c>
      <c r="G35415" s="4" t="s">
        <v>13</v>
      </c>
    </row>
    <row r="35416" spans="1:6">
      <c r="A35416" t="n">
        <v>345143</v>
      </c>
      <c r="B35416" s="36" t="n">
        <v>46</v>
      </c>
      <c r="C35416" s="7" t="n">
        <v>4</v>
      </c>
      <c r="D35416" s="7" t="n">
        <v>-10.5500001907349</v>
      </c>
      <c r="E35416" s="7" t="n">
        <v>5.01000022888184</v>
      </c>
      <c r="F35416" s="7" t="n">
        <v>31.5499992370605</v>
      </c>
      <c r="G35416" s="7" t="n">
        <v>270</v>
      </c>
    </row>
    <row r="35417" spans="1:6">
      <c r="A35417" t="s">
        <v>4</v>
      </c>
      <c r="B35417" s="4" t="s">
        <v>5</v>
      </c>
      <c r="C35417" s="4" t="s">
        <v>7</v>
      </c>
      <c r="D35417" s="4" t="s">
        <v>7</v>
      </c>
      <c r="E35417" s="4" t="s">
        <v>13</v>
      </c>
      <c r="F35417" s="4" t="s">
        <v>13</v>
      </c>
      <c r="G35417" s="4" t="s">
        <v>13</v>
      </c>
      <c r="H35417" s="4" t="s">
        <v>11</v>
      </c>
    </row>
    <row r="35418" spans="1:6">
      <c r="A35418" t="n">
        <v>345162</v>
      </c>
      <c r="B35418" s="51" t="n">
        <v>45</v>
      </c>
      <c r="C35418" s="7" t="n">
        <v>2</v>
      </c>
      <c r="D35418" s="7" t="n">
        <v>3</v>
      </c>
      <c r="E35418" s="7" t="n">
        <v>-14.1199998855591</v>
      </c>
      <c r="F35418" s="7" t="n">
        <v>6.75</v>
      </c>
      <c r="G35418" s="7" t="n">
        <v>31.9300003051758</v>
      </c>
      <c r="H35418" s="7" t="n">
        <v>0</v>
      </c>
    </row>
    <row r="35419" spans="1:6">
      <c r="A35419" t="s">
        <v>4</v>
      </c>
      <c r="B35419" s="4" t="s">
        <v>5</v>
      </c>
      <c r="C35419" s="4" t="s">
        <v>7</v>
      </c>
      <c r="D35419" s="4" t="s">
        <v>7</v>
      </c>
      <c r="E35419" s="4" t="s">
        <v>13</v>
      </c>
      <c r="F35419" s="4" t="s">
        <v>13</v>
      </c>
      <c r="G35419" s="4" t="s">
        <v>13</v>
      </c>
      <c r="H35419" s="4" t="s">
        <v>11</v>
      </c>
      <c r="I35419" s="4" t="s">
        <v>7</v>
      </c>
    </row>
    <row r="35420" spans="1:6">
      <c r="A35420" t="n">
        <v>345179</v>
      </c>
      <c r="B35420" s="51" t="n">
        <v>45</v>
      </c>
      <c r="C35420" s="7" t="n">
        <v>4</v>
      </c>
      <c r="D35420" s="7" t="n">
        <v>3</v>
      </c>
      <c r="E35420" s="7" t="n">
        <v>7.63000011444092</v>
      </c>
      <c r="F35420" s="7" t="n">
        <v>90</v>
      </c>
      <c r="G35420" s="7" t="n">
        <v>0</v>
      </c>
      <c r="H35420" s="7" t="n">
        <v>0</v>
      </c>
      <c r="I35420" s="7" t="n">
        <v>0</v>
      </c>
    </row>
    <row r="35421" spans="1:6">
      <c r="A35421" t="s">
        <v>4</v>
      </c>
      <c r="B35421" s="4" t="s">
        <v>5</v>
      </c>
      <c r="C35421" s="4" t="s">
        <v>7</v>
      </c>
      <c r="D35421" s="4" t="s">
        <v>7</v>
      </c>
      <c r="E35421" s="4" t="s">
        <v>13</v>
      </c>
      <c r="F35421" s="4" t="s">
        <v>11</v>
      </c>
    </row>
    <row r="35422" spans="1:6">
      <c r="A35422" t="n">
        <v>345197</v>
      </c>
      <c r="B35422" s="51" t="n">
        <v>45</v>
      </c>
      <c r="C35422" s="7" t="n">
        <v>5</v>
      </c>
      <c r="D35422" s="7" t="n">
        <v>3</v>
      </c>
      <c r="E35422" s="7" t="n">
        <v>2.09999990463257</v>
      </c>
      <c r="F35422" s="7" t="n">
        <v>0</v>
      </c>
    </row>
    <row r="35423" spans="1:6">
      <c r="A35423" t="s">
        <v>4</v>
      </c>
      <c r="B35423" s="4" t="s">
        <v>5</v>
      </c>
      <c r="C35423" s="4" t="s">
        <v>7</v>
      </c>
      <c r="D35423" s="4" t="s">
        <v>7</v>
      </c>
      <c r="E35423" s="4" t="s">
        <v>13</v>
      </c>
      <c r="F35423" s="4" t="s">
        <v>11</v>
      </c>
    </row>
    <row r="35424" spans="1:6">
      <c r="A35424" t="n">
        <v>345206</v>
      </c>
      <c r="B35424" s="51" t="n">
        <v>45</v>
      </c>
      <c r="C35424" s="7" t="n">
        <v>11</v>
      </c>
      <c r="D35424" s="7" t="n">
        <v>3</v>
      </c>
      <c r="E35424" s="7" t="n">
        <v>40.2999992370605</v>
      </c>
      <c r="F35424" s="7" t="n">
        <v>0</v>
      </c>
    </row>
    <row r="35425" spans="1:9">
      <c r="A35425" t="s">
        <v>4</v>
      </c>
      <c r="B35425" s="4" t="s">
        <v>5</v>
      </c>
      <c r="C35425" s="4" t="s">
        <v>7</v>
      </c>
      <c r="D35425" s="4" t="s">
        <v>7</v>
      </c>
      <c r="E35425" s="4" t="s">
        <v>13</v>
      </c>
      <c r="F35425" s="4" t="s">
        <v>13</v>
      </c>
      <c r="G35425" s="4" t="s">
        <v>13</v>
      </c>
      <c r="H35425" s="4" t="s">
        <v>11</v>
      </c>
    </row>
    <row r="35426" spans="1:9">
      <c r="A35426" t="n">
        <v>345215</v>
      </c>
      <c r="B35426" s="51" t="n">
        <v>45</v>
      </c>
      <c r="C35426" s="7" t="n">
        <v>2</v>
      </c>
      <c r="D35426" s="7" t="n">
        <v>3</v>
      </c>
      <c r="E35426" s="7" t="n">
        <v>-9.10000038146973</v>
      </c>
      <c r="F35426" s="7" t="n">
        <v>6.75</v>
      </c>
      <c r="G35426" s="7" t="n">
        <v>31.9699993133545</v>
      </c>
      <c r="H35426" s="7" t="n">
        <v>6000</v>
      </c>
    </row>
    <row r="35427" spans="1:9">
      <c r="A35427" t="s">
        <v>4</v>
      </c>
      <c r="B35427" s="4" t="s">
        <v>5</v>
      </c>
      <c r="C35427" s="4" t="s">
        <v>7</v>
      </c>
      <c r="D35427" s="4" t="s">
        <v>7</v>
      </c>
      <c r="E35427" s="4" t="s">
        <v>13</v>
      </c>
      <c r="F35427" s="4" t="s">
        <v>13</v>
      </c>
      <c r="G35427" s="4" t="s">
        <v>13</v>
      </c>
      <c r="H35427" s="4" t="s">
        <v>11</v>
      </c>
      <c r="I35427" s="4" t="s">
        <v>7</v>
      </c>
    </row>
    <row r="35428" spans="1:9">
      <c r="A35428" t="n">
        <v>345232</v>
      </c>
      <c r="B35428" s="51" t="n">
        <v>45</v>
      </c>
      <c r="C35428" s="7" t="n">
        <v>4</v>
      </c>
      <c r="D35428" s="7" t="n">
        <v>3</v>
      </c>
      <c r="E35428" s="7" t="n">
        <v>0.0299999993294477</v>
      </c>
      <c r="F35428" s="7" t="n">
        <v>90</v>
      </c>
      <c r="G35428" s="7" t="n">
        <v>0</v>
      </c>
      <c r="H35428" s="7" t="n">
        <v>6000</v>
      </c>
      <c r="I35428" s="7" t="n">
        <v>0</v>
      </c>
    </row>
    <row r="35429" spans="1:9">
      <c r="A35429" t="s">
        <v>4</v>
      </c>
      <c r="B35429" s="4" t="s">
        <v>5</v>
      </c>
      <c r="C35429" s="4" t="s">
        <v>7</v>
      </c>
      <c r="D35429" s="4" t="s">
        <v>7</v>
      </c>
      <c r="E35429" s="4" t="s">
        <v>13</v>
      </c>
      <c r="F35429" s="4" t="s">
        <v>11</v>
      </c>
    </row>
    <row r="35430" spans="1:9">
      <c r="A35430" t="n">
        <v>345250</v>
      </c>
      <c r="B35430" s="51" t="n">
        <v>45</v>
      </c>
      <c r="C35430" s="7" t="n">
        <v>5</v>
      </c>
      <c r="D35430" s="7" t="n">
        <v>3</v>
      </c>
      <c r="E35430" s="7" t="n">
        <v>1.79999995231628</v>
      </c>
      <c r="F35430" s="7" t="n">
        <v>6000</v>
      </c>
    </row>
    <row r="35431" spans="1:9">
      <c r="A35431" t="s">
        <v>4</v>
      </c>
      <c r="B35431" s="4" t="s">
        <v>5</v>
      </c>
      <c r="C35431" s="4" t="s">
        <v>8</v>
      </c>
      <c r="D35431" s="4" t="s">
        <v>8</v>
      </c>
    </row>
    <row r="35432" spans="1:9">
      <c r="A35432" t="n">
        <v>345259</v>
      </c>
      <c r="B35432" s="52" t="n">
        <v>70</v>
      </c>
      <c r="C35432" s="7" t="s">
        <v>25</v>
      </c>
      <c r="D35432" s="7" t="s">
        <v>109</v>
      </c>
    </row>
    <row r="35433" spans="1:9">
      <c r="A35433" t="s">
        <v>4</v>
      </c>
      <c r="B35433" s="4" t="s">
        <v>5</v>
      </c>
      <c r="C35433" s="4" t="s">
        <v>7</v>
      </c>
      <c r="D35433" s="4" t="s">
        <v>11</v>
      </c>
      <c r="E35433" s="4" t="s">
        <v>13</v>
      </c>
    </row>
    <row r="35434" spans="1:9">
      <c r="A35434" t="n">
        <v>345276</v>
      </c>
      <c r="B35434" s="23" t="n">
        <v>58</v>
      </c>
      <c r="C35434" s="7" t="n">
        <v>100</v>
      </c>
      <c r="D35434" s="7" t="n">
        <v>1000</v>
      </c>
      <c r="E35434" s="7" t="n">
        <v>1</v>
      </c>
    </row>
    <row r="35435" spans="1:9">
      <c r="A35435" t="s">
        <v>4</v>
      </c>
      <c r="B35435" s="4" t="s">
        <v>5</v>
      </c>
      <c r="C35435" s="4" t="s">
        <v>7</v>
      </c>
      <c r="D35435" s="4" t="s">
        <v>11</v>
      </c>
    </row>
    <row r="35436" spans="1:9">
      <c r="A35436" t="n">
        <v>345284</v>
      </c>
      <c r="B35436" s="23" t="n">
        <v>58</v>
      </c>
      <c r="C35436" s="7" t="n">
        <v>255</v>
      </c>
      <c r="D35436" s="7" t="n">
        <v>0</v>
      </c>
    </row>
    <row r="35437" spans="1:9">
      <c r="A35437" t="s">
        <v>4</v>
      </c>
      <c r="B35437" s="4" t="s">
        <v>5</v>
      </c>
      <c r="C35437" s="4" t="s">
        <v>7</v>
      </c>
      <c r="D35437" s="4" t="s">
        <v>8</v>
      </c>
      <c r="E35437" s="4" t="s">
        <v>11</v>
      </c>
    </row>
    <row r="35438" spans="1:9">
      <c r="A35438" t="n">
        <v>345288</v>
      </c>
      <c r="B35438" s="15" t="n">
        <v>94</v>
      </c>
      <c r="C35438" s="7" t="n">
        <v>1</v>
      </c>
      <c r="D35438" s="7" t="s">
        <v>25</v>
      </c>
      <c r="E35438" s="7" t="n">
        <v>512</v>
      </c>
    </row>
    <row r="35439" spans="1:9">
      <c r="A35439" t="s">
        <v>4</v>
      </c>
      <c r="B35439" s="4" t="s">
        <v>5</v>
      </c>
      <c r="C35439" s="4" t="s">
        <v>11</v>
      </c>
    </row>
    <row r="35440" spans="1:9">
      <c r="A35440" t="n">
        <v>345302</v>
      </c>
      <c r="B35440" s="29" t="n">
        <v>16</v>
      </c>
      <c r="C35440" s="7" t="n">
        <v>4000</v>
      </c>
    </row>
    <row r="35441" spans="1:9">
      <c r="A35441" t="s">
        <v>4</v>
      </c>
      <c r="B35441" s="4" t="s">
        <v>5</v>
      </c>
      <c r="C35441" s="4" t="s">
        <v>11</v>
      </c>
      <c r="D35441" s="4" t="s">
        <v>7</v>
      </c>
      <c r="E35441" s="4" t="s">
        <v>13</v>
      </c>
      <c r="F35441" s="4" t="s">
        <v>11</v>
      </c>
    </row>
    <row r="35442" spans="1:9">
      <c r="A35442" t="n">
        <v>345305</v>
      </c>
      <c r="B35442" s="56" t="n">
        <v>59</v>
      </c>
      <c r="C35442" s="7" t="n">
        <v>0</v>
      </c>
      <c r="D35442" s="7" t="n">
        <v>9</v>
      </c>
      <c r="E35442" s="7" t="n">
        <v>0.150000005960464</v>
      </c>
      <c r="F35442" s="7" t="n">
        <v>0</v>
      </c>
    </row>
    <row r="35443" spans="1:9">
      <c r="A35443" t="s">
        <v>4</v>
      </c>
      <c r="B35443" s="4" t="s">
        <v>5</v>
      </c>
      <c r="C35443" s="4" t="s">
        <v>11</v>
      </c>
      <c r="D35443" s="4" t="s">
        <v>7</v>
      </c>
      <c r="E35443" s="4" t="s">
        <v>13</v>
      </c>
      <c r="F35443" s="4" t="s">
        <v>11</v>
      </c>
    </row>
    <row r="35444" spans="1:9">
      <c r="A35444" t="n">
        <v>345315</v>
      </c>
      <c r="B35444" s="56" t="n">
        <v>59</v>
      </c>
      <c r="C35444" s="7" t="n">
        <v>4</v>
      </c>
      <c r="D35444" s="7" t="n">
        <v>9</v>
      </c>
      <c r="E35444" s="7" t="n">
        <v>0.150000005960464</v>
      </c>
      <c r="F35444" s="7" t="n">
        <v>0</v>
      </c>
    </row>
    <row r="35445" spans="1:9">
      <c r="A35445" t="s">
        <v>4</v>
      </c>
      <c r="B35445" s="4" t="s">
        <v>5</v>
      </c>
      <c r="C35445" s="4" t="s">
        <v>11</v>
      </c>
    </row>
    <row r="35446" spans="1:9">
      <c r="A35446" t="n">
        <v>345325</v>
      </c>
      <c r="B35446" s="29" t="n">
        <v>16</v>
      </c>
      <c r="C35446" s="7" t="n">
        <v>1500</v>
      </c>
    </row>
    <row r="35447" spans="1:9">
      <c r="A35447" t="s">
        <v>4</v>
      </c>
      <c r="B35447" s="4" t="s">
        <v>5</v>
      </c>
      <c r="C35447" s="4" t="s">
        <v>7</v>
      </c>
      <c r="D35447" s="4" t="s">
        <v>11</v>
      </c>
    </row>
    <row r="35448" spans="1:9">
      <c r="A35448" t="n">
        <v>345328</v>
      </c>
      <c r="B35448" s="51" t="n">
        <v>45</v>
      </c>
      <c r="C35448" s="7" t="n">
        <v>7</v>
      </c>
      <c r="D35448" s="7" t="n">
        <v>255</v>
      </c>
    </row>
    <row r="35449" spans="1:9">
      <c r="A35449" t="s">
        <v>4</v>
      </c>
      <c r="B35449" s="4" t="s">
        <v>5</v>
      </c>
      <c r="C35449" s="4" t="s">
        <v>7</v>
      </c>
      <c r="D35449" s="4" t="s">
        <v>11</v>
      </c>
      <c r="E35449" s="4" t="s">
        <v>13</v>
      </c>
    </row>
    <row r="35450" spans="1:9">
      <c r="A35450" t="n">
        <v>345332</v>
      </c>
      <c r="B35450" s="23" t="n">
        <v>58</v>
      </c>
      <c r="C35450" s="7" t="n">
        <v>0</v>
      </c>
      <c r="D35450" s="7" t="n">
        <v>2000</v>
      </c>
      <c r="E35450" s="7" t="n">
        <v>1</v>
      </c>
    </row>
    <row r="35451" spans="1:9">
      <c r="A35451" t="s">
        <v>4</v>
      </c>
      <c r="B35451" s="4" t="s">
        <v>5</v>
      </c>
      <c r="C35451" s="4" t="s">
        <v>7</v>
      </c>
      <c r="D35451" s="4" t="s">
        <v>11</v>
      </c>
    </row>
    <row r="35452" spans="1:9">
      <c r="A35452" t="n">
        <v>345340</v>
      </c>
      <c r="B35452" s="23" t="n">
        <v>58</v>
      </c>
      <c r="C35452" s="7" t="n">
        <v>255</v>
      </c>
      <c r="D35452" s="7" t="n">
        <v>0</v>
      </c>
    </row>
    <row r="35453" spans="1:9">
      <c r="A35453" t="s">
        <v>4</v>
      </c>
      <c r="B35453" s="4" t="s">
        <v>5</v>
      </c>
      <c r="C35453" s="4" t="s">
        <v>7</v>
      </c>
      <c r="D35453" s="4" t="s">
        <v>7</v>
      </c>
      <c r="E35453" s="4" t="s">
        <v>13</v>
      </c>
      <c r="F35453" s="4" t="s">
        <v>13</v>
      </c>
      <c r="G35453" s="4" t="s">
        <v>13</v>
      </c>
      <c r="H35453" s="4" t="s">
        <v>11</v>
      </c>
    </row>
    <row r="35454" spans="1:9">
      <c r="A35454" t="n">
        <v>345344</v>
      </c>
      <c r="B35454" s="51" t="n">
        <v>45</v>
      </c>
      <c r="C35454" s="7" t="n">
        <v>2</v>
      </c>
      <c r="D35454" s="7" t="n">
        <v>3</v>
      </c>
      <c r="E35454" s="7" t="n">
        <v>-7.84000015258789</v>
      </c>
      <c r="F35454" s="7" t="n">
        <v>7.17000007629395</v>
      </c>
      <c r="G35454" s="7" t="n">
        <v>31.6599998474121</v>
      </c>
      <c r="H35454" s="7" t="n">
        <v>0</v>
      </c>
    </row>
    <row r="35455" spans="1:9">
      <c r="A35455" t="s">
        <v>4</v>
      </c>
      <c r="B35455" s="4" t="s">
        <v>5</v>
      </c>
      <c r="C35455" s="4" t="s">
        <v>7</v>
      </c>
      <c r="D35455" s="4" t="s">
        <v>7</v>
      </c>
      <c r="E35455" s="4" t="s">
        <v>13</v>
      </c>
      <c r="F35455" s="4" t="s">
        <v>13</v>
      </c>
      <c r="G35455" s="4" t="s">
        <v>13</v>
      </c>
      <c r="H35455" s="4" t="s">
        <v>11</v>
      </c>
      <c r="I35455" s="4" t="s">
        <v>7</v>
      </c>
    </row>
    <row r="35456" spans="1:9">
      <c r="A35456" t="n">
        <v>345361</v>
      </c>
      <c r="B35456" s="51" t="n">
        <v>45</v>
      </c>
      <c r="C35456" s="7" t="n">
        <v>4</v>
      </c>
      <c r="D35456" s="7" t="n">
        <v>3</v>
      </c>
      <c r="E35456" s="7" t="n">
        <v>9.01000022888184</v>
      </c>
      <c r="F35456" s="7" t="n">
        <v>55.7900009155273</v>
      </c>
      <c r="G35456" s="7" t="n">
        <v>0</v>
      </c>
      <c r="H35456" s="7" t="n">
        <v>0</v>
      </c>
      <c r="I35456" s="7" t="n">
        <v>0</v>
      </c>
    </row>
    <row r="35457" spans="1:9">
      <c r="A35457" t="s">
        <v>4</v>
      </c>
      <c r="B35457" s="4" t="s">
        <v>5</v>
      </c>
      <c r="C35457" s="4" t="s">
        <v>7</v>
      </c>
      <c r="D35457" s="4" t="s">
        <v>7</v>
      </c>
      <c r="E35457" s="4" t="s">
        <v>13</v>
      </c>
      <c r="F35457" s="4" t="s">
        <v>11</v>
      </c>
    </row>
    <row r="35458" spans="1:9">
      <c r="A35458" t="n">
        <v>345379</v>
      </c>
      <c r="B35458" s="51" t="n">
        <v>45</v>
      </c>
      <c r="C35458" s="7" t="n">
        <v>5</v>
      </c>
      <c r="D35458" s="7" t="n">
        <v>3</v>
      </c>
      <c r="E35458" s="7" t="n">
        <v>2.40000009536743</v>
      </c>
      <c r="F35458" s="7" t="n">
        <v>0</v>
      </c>
    </row>
    <row r="35459" spans="1:9">
      <c r="A35459" t="s">
        <v>4</v>
      </c>
      <c r="B35459" s="4" t="s">
        <v>5</v>
      </c>
      <c r="C35459" s="4" t="s">
        <v>7</v>
      </c>
      <c r="D35459" s="4" t="s">
        <v>7</v>
      </c>
      <c r="E35459" s="4" t="s">
        <v>13</v>
      </c>
      <c r="F35459" s="4" t="s">
        <v>11</v>
      </c>
    </row>
    <row r="35460" spans="1:9">
      <c r="A35460" t="n">
        <v>345388</v>
      </c>
      <c r="B35460" s="51" t="n">
        <v>45</v>
      </c>
      <c r="C35460" s="7" t="n">
        <v>11</v>
      </c>
      <c r="D35460" s="7" t="n">
        <v>3</v>
      </c>
      <c r="E35460" s="7" t="n">
        <v>40.2999992370605</v>
      </c>
      <c r="F35460" s="7" t="n">
        <v>0</v>
      </c>
    </row>
    <row r="35461" spans="1:9">
      <c r="A35461" t="s">
        <v>4</v>
      </c>
      <c r="B35461" s="4" t="s">
        <v>5</v>
      </c>
      <c r="C35461" s="4" t="s">
        <v>7</v>
      </c>
      <c r="D35461" s="4" t="s">
        <v>7</v>
      </c>
      <c r="E35461" s="4" t="s">
        <v>13</v>
      </c>
      <c r="F35461" s="4" t="s">
        <v>13</v>
      </c>
      <c r="G35461" s="4" t="s">
        <v>13</v>
      </c>
      <c r="H35461" s="4" t="s">
        <v>11</v>
      </c>
    </row>
    <row r="35462" spans="1:9">
      <c r="A35462" t="n">
        <v>345397</v>
      </c>
      <c r="B35462" s="51" t="n">
        <v>45</v>
      </c>
      <c r="C35462" s="7" t="n">
        <v>2</v>
      </c>
      <c r="D35462" s="7" t="n">
        <v>3</v>
      </c>
      <c r="E35462" s="7" t="n">
        <v>-6.8899998664856</v>
      </c>
      <c r="F35462" s="7" t="n">
        <v>6.26999998092651</v>
      </c>
      <c r="G35462" s="7" t="n">
        <v>30.0599994659424</v>
      </c>
      <c r="H35462" s="7" t="n">
        <v>6000</v>
      </c>
    </row>
    <row r="35463" spans="1:9">
      <c r="A35463" t="s">
        <v>4</v>
      </c>
      <c r="B35463" s="4" t="s">
        <v>5</v>
      </c>
      <c r="C35463" s="4" t="s">
        <v>7</v>
      </c>
      <c r="D35463" s="4" t="s">
        <v>7</v>
      </c>
      <c r="E35463" s="4" t="s">
        <v>13</v>
      </c>
      <c r="F35463" s="4" t="s">
        <v>13</v>
      </c>
      <c r="G35463" s="4" t="s">
        <v>13</v>
      </c>
      <c r="H35463" s="4" t="s">
        <v>11</v>
      </c>
      <c r="I35463" s="4" t="s">
        <v>7</v>
      </c>
    </row>
    <row r="35464" spans="1:9">
      <c r="A35464" t="n">
        <v>345414</v>
      </c>
      <c r="B35464" s="51" t="n">
        <v>45</v>
      </c>
      <c r="C35464" s="7" t="n">
        <v>4</v>
      </c>
      <c r="D35464" s="7" t="n">
        <v>3</v>
      </c>
      <c r="E35464" s="7" t="n">
        <v>6.73999977111816</v>
      </c>
      <c r="F35464" s="7" t="n">
        <v>13.6199998855591</v>
      </c>
      <c r="G35464" s="7" t="n">
        <v>0</v>
      </c>
      <c r="H35464" s="7" t="n">
        <v>6000</v>
      </c>
      <c r="I35464" s="7" t="n">
        <v>1</v>
      </c>
    </row>
    <row r="35465" spans="1:9">
      <c r="A35465" t="s">
        <v>4</v>
      </c>
      <c r="B35465" s="4" t="s">
        <v>5</v>
      </c>
      <c r="C35465" s="4" t="s">
        <v>11</v>
      </c>
      <c r="D35465" s="4" t="s">
        <v>13</v>
      </c>
      <c r="E35465" s="4" t="s">
        <v>13</v>
      </c>
      <c r="F35465" s="4" t="s">
        <v>13</v>
      </c>
      <c r="G35465" s="4" t="s">
        <v>13</v>
      </c>
    </row>
    <row r="35466" spans="1:9">
      <c r="A35466" t="n">
        <v>345432</v>
      </c>
      <c r="B35466" s="36" t="n">
        <v>46</v>
      </c>
      <c r="C35466" s="7" t="n">
        <v>0</v>
      </c>
      <c r="D35466" s="7" t="n">
        <v>-6.51000022888184</v>
      </c>
      <c r="E35466" s="7" t="n">
        <v>5</v>
      </c>
      <c r="F35466" s="7" t="n">
        <v>29.8999996185303</v>
      </c>
      <c r="G35466" s="7" t="n">
        <v>208</v>
      </c>
    </row>
    <row r="35467" spans="1:9">
      <c r="A35467" t="s">
        <v>4</v>
      </c>
      <c r="B35467" s="4" t="s">
        <v>5</v>
      </c>
      <c r="C35467" s="4" t="s">
        <v>11</v>
      </c>
      <c r="D35467" s="4" t="s">
        <v>13</v>
      </c>
      <c r="E35467" s="4" t="s">
        <v>13</v>
      </c>
      <c r="F35467" s="4" t="s">
        <v>13</v>
      </c>
      <c r="G35467" s="4" t="s">
        <v>13</v>
      </c>
    </row>
    <row r="35468" spans="1:9">
      <c r="A35468" t="n">
        <v>345451</v>
      </c>
      <c r="B35468" s="36" t="n">
        <v>46</v>
      </c>
      <c r="C35468" s="7" t="n">
        <v>4</v>
      </c>
      <c r="D35468" s="7" t="n">
        <v>-7.44999980926514</v>
      </c>
      <c r="E35468" s="7" t="n">
        <v>5</v>
      </c>
      <c r="F35468" s="7" t="n">
        <v>29.7999992370605</v>
      </c>
      <c r="G35468" s="7" t="n">
        <v>151.199996948242</v>
      </c>
    </row>
    <row r="35469" spans="1:9">
      <c r="A35469" t="s">
        <v>4</v>
      </c>
      <c r="B35469" s="4" t="s">
        <v>5</v>
      </c>
      <c r="C35469" s="4" t="s">
        <v>8</v>
      </c>
      <c r="D35469" s="4" t="s">
        <v>8</v>
      </c>
    </row>
    <row r="35470" spans="1:9">
      <c r="A35470" t="n">
        <v>345470</v>
      </c>
      <c r="B35470" s="52" t="n">
        <v>70</v>
      </c>
      <c r="C35470" s="7" t="s">
        <v>25</v>
      </c>
      <c r="D35470" s="7" t="s">
        <v>118</v>
      </c>
    </row>
    <row r="35471" spans="1:9">
      <c r="A35471" t="s">
        <v>4</v>
      </c>
      <c r="B35471" s="4" t="s">
        <v>5</v>
      </c>
      <c r="C35471" s="4" t="s">
        <v>11</v>
      </c>
      <c r="D35471" s="4" t="s">
        <v>11</v>
      </c>
      <c r="E35471" s="4" t="s">
        <v>11</v>
      </c>
    </row>
    <row r="35472" spans="1:9">
      <c r="A35472" t="n">
        <v>345486</v>
      </c>
      <c r="B35472" s="72" t="n">
        <v>61</v>
      </c>
      <c r="C35472" s="7" t="n">
        <v>0</v>
      </c>
      <c r="D35472" s="7" t="n">
        <v>4</v>
      </c>
      <c r="E35472" s="7" t="n">
        <v>0</v>
      </c>
    </row>
    <row r="35473" spans="1:9">
      <c r="A35473" t="s">
        <v>4</v>
      </c>
      <c r="B35473" s="4" t="s">
        <v>5</v>
      </c>
      <c r="C35473" s="4" t="s">
        <v>11</v>
      </c>
      <c r="D35473" s="4" t="s">
        <v>11</v>
      </c>
      <c r="E35473" s="4" t="s">
        <v>11</v>
      </c>
    </row>
    <row r="35474" spans="1:9">
      <c r="A35474" t="n">
        <v>345493</v>
      </c>
      <c r="B35474" s="72" t="n">
        <v>61</v>
      </c>
      <c r="C35474" s="7" t="n">
        <v>4</v>
      </c>
      <c r="D35474" s="7" t="n">
        <v>0</v>
      </c>
      <c r="E35474" s="7" t="n">
        <v>0</v>
      </c>
    </row>
    <row r="35475" spans="1:9">
      <c r="A35475" t="s">
        <v>4</v>
      </c>
      <c r="B35475" s="4" t="s">
        <v>5</v>
      </c>
      <c r="C35475" s="4" t="s">
        <v>7</v>
      </c>
      <c r="D35475" s="4" t="s">
        <v>11</v>
      </c>
      <c r="E35475" s="4" t="s">
        <v>13</v>
      </c>
    </row>
    <row r="35476" spans="1:9">
      <c r="A35476" t="n">
        <v>345500</v>
      </c>
      <c r="B35476" s="23" t="n">
        <v>58</v>
      </c>
      <c r="C35476" s="7" t="n">
        <v>100</v>
      </c>
      <c r="D35476" s="7" t="n">
        <v>1000</v>
      </c>
      <c r="E35476" s="7" t="n">
        <v>1</v>
      </c>
    </row>
    <row r="35477" spans="1:9">
      <c r="A35477" t="s">
        <v>4</v>
      </c>
      <c r="B35477" s="4" t="s">
        <v>5</v>
      </c>
      <c r="C35477" s="4" t="s">
        <v>7</v>
      </c>
      <c r="D35477" s="4" t="s">
        <v>11</v>
      </c>
    </row>
    <row r="35478" spans="1:9">
      <c r="A35478" t="n">
        <v>345508</v>
      </c>
      <c r="B35478" s="23" t="n">
        <v>58</v>
      </c>
      <c r="C35478" s="7" t="n">
        <v>255</v>
      </c>
      <c r="D35478" s="7" t="n">
        <v>0</v>
      </c>
    </row>
    <row r="35479" spans="1:9">
      <c r="A35479" t="s">
        <v>4</v>
      </c>
      <c r="B35479" s="4" t="s">
        <v>5</v>
      </c>
      <c r="C35479" s="4" t="s">
        <v>11</v>
      </c>
    </row>
    <row r="35480" spans="1:9">
      <c r="A35480" t="n">
        <v>345512</v>
      </c>
      <c r="B35480" s="29" t="n">
        <v>16</v>
      </c>
      <c r="C35480" s="7" t="n">
        <v>1000</v>
      </c>
    </row>
    <row r="35481" spans="1:9">
      <c r="A35481" t="s">
        <v>4</v>
      </c>
      <c r="B35481" s="4" t="s">
        <v>5</v>
      </c>
      <c r="C35481" s="4" t="s">
        <v>7</v>
      </c>
      <c r="D35481" s="4" t="s">
        <v>11</v>
      </c>
    </row>
    <row r="35482" spans="1:9">
      <c r="A35482" t="n">
        <v>345515</v>
      </c>
      <c r="B35482" s="51" t="n">
        <v>45</v>
      </c>
      <c r="C35482" s="7" t="n">
        <v>7</v>
      </c>
      <c r="D35482" s="7" t="n">
        <v>255</v>
      </c>
    </row>
    <row r="35483" spans="1:9">
      <c r="A35483" t="s">
        <v>4</v>
      </c>
      <c r="B35483" s="4" t="s">
        <v>5</v>
      </c>
      <c r="C35483" s="4" t="s">
        <v>7</v>
      </c>
      <c r="D35483" s="4" t="s">
        <v>11</v>
      </c>
      <c r="E35483" s="4" t="s">
        <v>13</v>
      </c>
    </row>
    <row r="35484" spans="1:9">
      <c r="A35484" t="n">
        <v>345519</v>
      </c>
      <c r="B35484" s="23" t="n">
        <v>58</v>
      </c>
      <c r="C35484" s="7" t="n">
        <v>101</v>
      </c>
      <c r="D35484" s="7" t="n">
        <v>500</v>
      </c>
      <c r="E35484" s="7" t="n">
        <v>1</v>
      </c>
    </row>
    <row r="35485" spans="1:9">
      <c r="A35485" t="s">
        <v>4</v>
      </c>
      <c r="B35485" s="4" t="s">
        <v>5</v>
      </c>
      <c r="C35485" s="4" t="s">
        <v>7</v>
      </c>
      <c r="D35485" s="4" t="s">
        <v>11</v>
      </c>
    </row>
    <row r="35486" spans="1:9">
      <c r="A35486" t="n">
        <v>345527</v>
      </c>
      <c r="B35486" s="23" t="n">
        <v>58</v>
      </c>
      <c r="C35486" s="7" t="n">
        <v>254</v>
      </c>
      <c r="D35486" s="7" t="n">
        <v>0</v>
      </c>
    </row>
    <row r="35487" spans="1:9">
      <c r="A35487" t="s">
        <v>4</v>
      </c>
      <c r="B35487" s="4" t="s">
        <v>5</v>
      </c>
      <c r="C35487" s="4" t="s">
        <v>7</v>
      </c>
      <c r="D35487" s="4" t="s">
        <v>11</v>
      </c>
      <c r="E35487" s="4" t="s">
        <v>8</v>
      </c>
      <c r="F35487" s="4" t="s">
        <v>8</v>
      </c>
      <c r="G35487" s="4" t="s">
        <v>8</v>
      </c>
      <c r="H35487" s="4" t="s">
        <v>8</v>
      </c>
    </row>
    <row r="35488" spans="1:9">
      <c r="A35488" t="n">
        <v>345531</v>
      </c>
      <c r="B35488" s="38" t="n">
        <v>51</v>
      </c>
      <c r="C35488" s="7" t="n">
        <v>3</v>
      </c>
      <c r="D35488" s="7" t="n">
        <v>4</v>
      </c>
      <c r="E35488" s="7" t="s">
        <v>79</v>
      </c>
      <c r="F35488" s="7" t="s">
        <v>79</v>
      </c>
      <c r="G35488" s="7" t="s">
        <v>78</v>
      </c>
      <c r="H35488" s="7" t="s">
        <v>79</v>
      </c>
    </row>
    <row r="35489" spans="1:8">
      <c r="A35489" t="s">
        <v>4</v>
      </c>
      <c r="B35489" s="4" t="s">
        <v>5</v>
      </c>
      <c r="C35489" s="4" t="s">
        <v>7</v>
      </c>
      <c r="D35489" s="4" t="s">
        <v>11</v>
      </c>
      <c r="E35489" s="4" t="s">
        <v>11</v>
      </c>
      <c r="F35489" s="4" t="s">
        <v>15</v>
      </c>
      <c r="G35489" s="4" t="s">
        <v>15</v>
      </c>
      <c r="H35489" s="4" t="s">
        <v>15</v>
      </c>
    </row>
    <row r="35490" spans="1:8">
      <c r="A35490" t="n">
        <v>345544</v>
      </c>
      <c r="B35490" s="77" t="n">
        <v>97</v>
      </c>
      <c r="C35490" s="7" t="n">
        <v>6</v>
      </c>
      <c r="D35490" s="7" t="n">
        <v>0</v>
      </c>
      <c r="E35490" s="7" t="n">
        <v>0</v>
      </c>
      <c r="F35490" s="7" t="n">
        <v>-1065143501</v>
      </c>
      <c r="G35490" s="7" t="n">
        <v>1101004800</v>
      </c>
      <c r="H35490" s="7" t="n">
        <v>1101004800</v>
      </c>
    </row>
    <row r="35491" spans="1:8">
      <c r="A35491" t="s">
        <v>4</v>
      </c>
      <c r="B35491" s="4" t="s">
        <v>5</v>
      </c>
      <c r="C35491" s="4" t="s">
        <v>7</v>
      </c>
      <c r="D35491" s="4" t="s">
        <v>7</v>
      </c>
      <c r="E35491" s="4" t="s">
        <v>13</v>
      </c>
      <c r="F35491" s="4" t="s">
        <v>13</v>
      </c>
      <c r="G35491" s="4" t="s">
        <v>13</v>
      </c>
      <c r="H35491" s="4" t="s">
        <v>11</v>
      </c>
    </row>
    <row r="35492" spans="1:8">
      <c r="A35492" t="n">
        <v>345562</v>
      </c>
      <c r="B35492" s="51" t="n">
        <v>45</v>
      </c>
      <c r="C35492" s="7" t="n">
        <v>2</v>
      </c>
      <c r="D35492" s="7" t="n">
        <v>3</v>
      </c>
      <c r="E35492" s="7" t="n">
        <v>-6.86999988555908</v>
      </c>
      <c r="F35492" s="7" t="n">
        <v>6.48000001907349</v>
      </c>
      <c r="G35492" s="7" t="n">
        <v>29.8400001525879</v>
      </c>
      <c r="H35492" s="7" t="n">
        <v>0</v>
      </c>
    </row>
    <row r="35493" spans="1:8">
      <c r="A35493" t="s">
        <v>4</v>
      </c>
      <c r="B35493" s="4" t="s">
        <v>5</v>
      </c>
      <c r="C35493" s="4" t="s">
        <v>7</v>
      </c>
      <c r="D35493" s="4" t="s">
        <v>7</v>
      </c>
      <c r="E35493" s="4" t="s">
        <v>13</v>
      </c>
      <c r="F35493" s="4" t="s">
        <v>13</v>
      </c>
      <c r="G35493" s="4" t="s">
        <v>13</v>
      </c>
      <c r="H35493" s="4" t="s">
        <v>11</v>
      </c>
      <c r="I35493" s="4" t="s">
        <v>7</v>
      </c>
    </row>
    <row r="35494" spans="1:8">
      <c r="A35494" t="n">
        <v>345579</v>
      </c>
      <c r="B35494" s="51" t="n">
        <v>45</v>
      </c>
      <c r="C35494" s="7" t="n">
        <v>4</v>
      </c>
      <c r="D35494" s="7" t="n">
        <v>3</v>
      </c>
      <c r="E35494" s="7" t="n">
        <v>15.7700004577637</v>
      </c>
      <c r="F35494" s="7" t="n">
        <v>135.5</v>
      </c>
      <c r="G35494" s="7" t="n">
        <v>0</v>
      </c>
      <c r="H35494" s="7" t="n">
        <v>0</v>
      </c>
      <c r="I35494" s="7" t="n">
        <v>0</v>
      </c>
    </row>
    <row r="35495" spans="1:8">
      <c r="A35495" t="s">
        <v>4</v>
      </c>
      <c r="B35495" s="4" t="s">
        <v>5</v>
      </c>
      <c r="C35495" s="4" t="s">
        <v>7</v>
      </c>
      <c r="D35495" s="4" t="s">
        <v>7</v>
      </c>
      <c r="E35495" s="4" t="s">
        <v>13</v>
      </c>
      <c r="F35495" s="4" t="s">
        <v>11</v>
      </c>
    </row>
    <row r="35496" spans="1:8">
      <c r="A35496" t="n">
        <v>345597</v>
      </c>
      <c r="B35496" s="51" t="n">
        <v>45</v>
      </c>
      <c r="C35496" s="7" t="n">
        <v>5</v>
      </c>
      <c r="D35496" s="7" t="n">
        <v>3</v>
      </c>
      <c r="E35496" s="7" t="n">
        <v>1.29999995231628</v>
      </c>
      <c r="F35496" s="7" t="n">
        <v>0</v>
      </c>
    </row>
    <row r="35497" spans="1:8">
      <c r="A35497" t="s">
        <v>4</v>
      </c>
      <c r="B35497" s="4" t="s">
        <v>5</v>
      </c>
      <c r="C35497" s="4" t="s">
        <v>7</v>
      </c>
      <c r="D35497" s="4" t="s">
        <v>7</v>
      </c>
      <c r="E35497" s="4" t="s">
        <v>13</v>
      </c>
      <c r="F35497" s="4" t="s">
        <v>11</v>
      </c>
    </row>
    <row r="35498" spans="1:8">
      <c r="A35498" t="n">
        <v>345606</v>
      </c>
      <c r="B35498" s="51" t="n">
        <v>45</v>
      </c>
      <c r="C35498" s="7" t="n">
        <v>11</v>
      </c>
      <c r="D35498" s="7" t="n">
        <v>3</v>
      </c>
      <c r="E35498" s="7" t="n">
        <v>40.2999992370605</v>
      </c>
      <c r="F35498" s="7" t="n">
        <v>0</v>
      </c>
    </row>
    <row r="35499" spans="1:8">
      <c r="A35499" t="s">
        <v>4</v>
      </c>
      <c r="B35499" s="4" t="s">
        <v>5</v>
      </c>
      <c r="C35499" s="4" t="s">
        <v>7</v>
      </c>
      <c r="D35499" s="4" t="s">
        <v>11</v>
      </c>
    </row>
    <row r="35500" spans="1:8">
      <c r="A35500" t="n">
        <v>345615</v>
      </c>
      <c r="B35500" s="23" t="n">
        <v>58</v>
      </c>
      <c r="C35500" s="7" t="n">
        <v>255</v>
      </c>
      <c r="D35500" s="7" t="n">
        <v>0</v>
      </c>
    </row>
    <row r="35501" spans="1:8">
      <c r="A35501" t="s">
        <v>4</v>
      </c>
      <c r="B35501" s="4" t="s">
        <v>5</v>
      </c>
      <c r="C35501" s="4" t="s">
        <v>7</v>
      </c>
      <c r="D35501" s="4" t="s">
        <v>11</v>
      </c>
      <c r="E35501" s="4" t="s">
        <v>8</v>
      </c>
    </row>
    <row r="35502" spans="1:8">
      <c r="A35502" t="n">
        <v>345619</v>
      </c>
      <c r="B35502" s="38" t="n">
        <v>51</v>
      </c>
      <c r="C35502" s="7" t="n">
        <v>4</v>
      </c>
      <c r="D35502" s="7" t="n">
        <v>4</v>
      </c>
      <c r="E35502" s="7" t="s">
        <v>658</v>
      </c>
    </row>
    <row r="35503" spans="1:8">
      <c r="A35503" t="s">
        <v>4</v>
      </c>
      <c r="B35503" s="4" t="s">
        <v>5</v>
      </c>
      <c r="C35503" s="4" t="s">
        <v>11</v>
      </c>
    </row>
    <row r="35504" spans="1:8">
      <c r="A35504" t="n">
        <v>345633</v>
      </c>
      <c r="B35504" s="29" t="n">
        <v>16</v>
      </c>
      <c r="C35504" s="7" t="n">
        <v>0</v>
      </c>
    </row>
    <row r="35505" spans="1:9">
      <c r="A35505" t="s">
        <v>4</v>
      </c>
      <c r="B35505" s="4" t="s">
        <v>5</v>
      </c>
      <c r="C35505" s="4" t="s">
        <v>11</v>
      </c>
      <c r="D35505" s="4" t="s">
        <v>7</v>
      </c>
      <c r="E35505" s="4" t="s">
        <v>15</v>
      </c>
      <c r="F35505" s="4" t="s">
        <v>55</v>
      </c>
      <c r="G35505" s="4" t="s">
        <v>7</v>
      </c>
      <c r="H35505" s="4" t="s">
        <v>7</v>
      </c>
      <c r="I35505" s="4" t="s">
        <v>7</v>
      </c>
      <c r="J35505" s="4" t="s">
        <v>15</v>
      </c>
      <c r="K35505" s="4" t="s">
        <v>55</v>
      </c>
      <c r="L35505" s="4" t="s">
        <v>7</v>
      </c>
      <c r="M35505" s="4" t="s">
        <v>7</v>
      </c>
    </row>
    <row r="35506" spans="1:9">
      <c r="A35506" t="n">
        <v>345636</v>
      </c>
      <c r="B35506" s="55" t="n">
        <v>26</v>
      </c>
      <c r="C35506" s="7" t="n">
        <v>4</v>
      </c>
      <c r="D35506" s="7" t="n">
        <v>17</v>
      </c>
      <c r="E35506" s="7" t="n">
        <v>64143</v>
      </c>
      <c r="F35506" s="7" t="s">
        <v>1001</v>
      </c>
      <c r="G35506" s="7" t="n">
        <v>2</v>
      </c>
      <c r="H35506" s="7" t="n">
        <v>3</v>
      </c>
      <c r="I35506" s="7" t="n">
        <v>17</v>
      </c>
      <c r="J35506" s="7" t="n">
        <v>64144</v>
      </c>
      <c r="K35506" s="7" t="s">
        <v>1002</v>
      </c>
      <c r="L35506" s="7" t="n">
        <v>2</v>
      </c>
      <c r="M35506" s="7" t="n">
        <v>0</v>
      </c>
    </row>
    <row r="35507" spans="1:9">
      <c r="A35507" t="s">
        <v>4</v>
      </c>
      <c r="B35507" s="4" t="s">
        <v>5</v>
      </c>
    </row>
    <row r="35508" spans="1:9">
      <c r="A35508" t="n">
        <v>345861</v>
      </c>
      <c r="B35508" s="27" t="n">
        <v>28</v>
      </c>
    </row>
    <row r="35509" spans="1:9">
      <c r="A35509" t="s">
        <v>4</v>
      </c>
      <c r="B35509" s="4" t="s">
        <v>5</v>
      </c>
      <c r="C35509" s="4" t="s">
        <v>7</v>
      </c>
      <c r="D35509" s="4" t="s">
        <v>11</v>
      </c>
      <c r="E35509" s="4" t="s">
        <v>8</v>
      </c>
    </row>
    <row r="35510" spans="1:9">
      <c r="A35510" t="n">
        <v>345862</v>
      </c>
      <c r="B35510" s="38" t="n">
        <v>51</v>
      </c>
      <c r="C35510" s="7" t="n">
        <v>4</v>
      </c>
      <c r="D35510" s="7" t="n">
        <v>0</v>
      </c>
      <c r="E35510" s="7" t="s">
        <v>752</v>
      </c>
    </row>
    <row r="35511" spans="1:9">
      <c r="A35511" t="s">
        <v>4</v>
      </c>
      <c r="B35511" s="4" t="s">
        <v>5</v>
      </c>
      <c r="C35511" s="4" t="s">
        <v>11</v>
      </c>
    </row>
    <row r="35512" spans="1:9">
      <c r="A35512" t="n">
        <v>345876</v>
      </c>
      <c r="B35512" s="29" t="n">
        <v>16</v>
      </c>
      <c r="C35512" s="7" t="n">
        <v>0</v>
      </c>
    </row>
    <row r="35513" spans="1:9">
      <c r="A35513" t="s">
        <v>4</v>
      </c>
      <c r="B35513" s="4" t="s">
        <v>5</v>
      </c>
      <c r="C35513" s="4" t="s">
        <v>11</v>
      </c>
      <c r="D35513" s="4" t="s">
        <v>7</v>
      </c>
      <c r="E35513" s="4" t="s">
        <v>15</v>
      </c>
      <c r="F35513" s="4" t="s">
        <v>55</v>
      </c>
      <c r="G35513" s="4" t="s">
        <v>7</v>
      </c>
      <c r="H35513" s="4" t="s">
        <v>7</v>
      </c>
      <c r="I35513" s="4" t="s">
        <v>7</v>
      </c>
      <c r="J35513" s="4" t="s">
        <v>15</v>
      </c>
      <c r="K35513" s="4" t="s">
        <v>55</v>
      </c>
      <c r="L35513" s="4" t="s">
        <v>7</v>
      </c>
      <c r="M35513" s="4" t="s">
        <v>7</v>
      </c>
      <c r="N35513" s="4" t="s">
        <v>7</v>
      </c>
      <c r="O35513" s="4" t="s">
        <v>15</v>
      </c>
      <c r="P35513" s="4" t="s">
        <v>55</v>
      </c>
      <c r="Q35513" s="4" t="s">
        <v>7</v>
      </c>
      <c r="R35513" s="4" t="s">
        <v>7</v>
      </c>
    </row>
    <row r="35514" spans="1:9">
      <c r="A35514" t="n">
        <v>345879</v>
      </c>
      <c r="B35514" s="55" t="n">
        <v>26</v>
      </c>
      <c r="C35514" s="7" t="n">
        <v>0</v>
      </c>
      <c r="D35514" s="7" t="n">
        <v>17</v>
      </c>
      <c r="E35514" s="7" t="n">
        <v>64145</v>
      </c>
      <c r="F35514" s="7" t="s">
        <v>1003</v>
      </c>
      <c r="G35514" s="7" t="n">
        <v>2</v>
      </c>
      <c r="H35514" s="7" t="n">
        <v>3</v>
      </c>
      <c r="I35514" s="7" t="n">
        <v>17</v>
      </c>
      <c r="J35514" s="7" t="n">
        <v>64146</v>
      </c>
      <c r="K35514" s="7" t="s">
        <v>1004</v>
      </c>
      <c r="L35514" s="7" t="n">
        <v>2</v>
      </c>
      <c r="M35514" s="7" t="n">
        <v>3</v>
      </c>
      <c r="N35514" s="7" t="n">
        <v>17</v>
      </c>
      <c r="O35514" s="7" t="n">
        <v>64147</v>
      </c>
      <c r="P35514" s="7" t="s">
        <v>1005</v>
      </c>
      <c r="Q35514" s="7" t="n">
        <v>2</v>
      </c>
      <c r="R35514" s="7" t="n">
        <v>0</v>
      </c>
    </row>
    <row r="35515" spans="1:9">
      <c r="A35515" t="s">
        <v>4</v>
      </c>
      <c r="B35515" s="4" t="s">
        <v>5</v>
      </c>
    </row>
    <row r="35516" spans="1:9">
      <c r="A35516" t="n">
        <v>346174</v>
      </c>
      <c r="B35516" s="27" t="n">
        <v>28</v>
      </c>
    </row>
    <row r="35517" spans="1:9">
      <c r="A35517" t="s">
        <v>4</v>
      </c>
      <c r="B35517" s="4" t="s">
        <v>5</v>
      </c>
      <c r="C35517" s="4" t="s">
        <v>7</v>
      </c>
      <c r="D35517" s="4" t="s">
        <v>11</v>
      </c>
      <c r="E35517" s="4" t="s">
        <v>8</v>
      </c>
    </row>
    <row r="35518" spans="1:9">
      <c r="A35518" t="n">
        <v>346175</v>
      </c>
      <c r="B35518" s="38" t="n">
        <v>51</v>
      </c>
      <c r="C35518" s="7" t="n">
        <v>4</v>
      </c>
      <c r="D35518" s="7" t="n">
        <v>4</v>
      </c>
      <c r="E35518" s="7" t="s">
        <v>242</v>
      </c>
    </row>
    <row r="35519" spans="1:9">
      <c r="A35519" t="s">
        <v>4</v>
      </c>
      <c r="B35519" s="4" t="s">
        <v>5</v>
      </c>
      <c r="C35519" s="4" t="s">
        <v>11</v>
      </c>
    </row>
    <row r="35520" spans="1:9">
      <c r="A35520" t="n">
        <v>346189</v>
      </c>
      <c r="B35520" s="29" t="n">
        <v>16</v>
      </c>
      <c r="C35520" s="7" t="n">
        <v>0</v>
      </c>
    </row>
    <row r="35521" spans="1:18">
      <c r="A35521" t="s">
        <v>4</v>
      </c>
      <c r="B35521" s="4" t="s">
        <v>5</v>
      </c>
      <c r="C35521" s="4" t="s">
        <v>11</v>
      </c>
      <c r="D35521" s="4" t="s">
        <v>7</v>
      </c>
      <c r="E35521" s="4" t="s">
        <v>15</v>
      </c>
      <c r="F35521" s="4" t="s">
        <v>55</v>
      </c>
      <c r="G35521" s="4" t="s">
        <v>7</v>
      </c>
      <c r="H35521" s="4" t="s">
        <v>7</v>
      </c>
      <c r="I35521" s="4" t="s">
        <v>7</v>
      </c>
      <c r="J35521" s="4" t="s">
        <v>15</v>
      </c>
      <c r="K35521" s="4" t="s">
        <v>55</v>
      </c>
      <c r="L35521" s="4" t="s">
        <v>7</v>
      </c>
      <c r="M35521" s="4" t="s">
        <v>7</v>
      </c>
      <c r="N35521" s="4" t="s">
        <v>7</v>
      </c>
      <c r="O35521" s="4" t="s">
        <v>15</v>
      </c>
      <c r="P35521" s="4" t="s">
        <v>55</v>
      </c>
      <c r="Q35521" s="4" t="s">
        <v>7</v>
      </c>
      <c r="R35521" s="4" t="s">
        <v>7</v>
      </c>
    </row>
    <row r="35522" spans="1:18">
      <c r="A35522" t="n">
        <v>346192</v>
      </c>
      <c r="B35522" s="55" t="n">
        <v>26</v>
      </c>
      <c r="C35522" s="7" t="n">
        <v>4</v>
      </c>
      <c r="D35522" s="7" t="n">
        <v>17</v>
      </c>
      <c r="E35522" s="7" t="n">
        <v>64148</v>
      </c>
      <c r="F35522" s="7" t="s">
        <v>1006</v>
      </c>
      <c r="G35522" s="7" t="n">
        <v>2</v>
      </c>
      <c r="H35522" s="7" t="n">
        <v>3</v>
      </c>
      <c r="I35522" s="7" t="n">
        <v>17</v>
      </c>
      <c r="J35522" s="7" t="n">
        <v>64149</v>
      </c>
      <c r="K35522" s="7" t="s">
        <v>1007</v>
      </c>
      <c r="L35522" s="7" t="n">
        <v>2</v>
      </c>
      <c r="M35522" s="7" t="n">
        <v>3</v>
      </c>
      <c r="N35522" s="7" t="n">
        <v>17</v>
      </c>
      <c r="O35522" s="7" t="n">
        <v>64150</v>
      </c>
      <c r="P35522" s="7" t="s">
        <v>1008</v>
      </c>
      <c r="Q35522" s="7" t="n">
        <v>2</v>
      </c>
      <c r="R35522" s="7" t="n">
        <v>0</v>
      </c>
    </row>
    <row r="35523" spans="1:18">
      <c r="A35523" t="s">
        <v>4</v>
      </c>
      <c r="B35523" s="4" t="s">
        <v>5</v>
      </c>
    </row>
    <row r="35524" spans="1:18">
      <c r="A35524" t="n">
        <v>346447</v>
      </c>
      <c r="B35524" s="27" t="n">
        <v>28</v>
      </c>
    </row>
    <row r="35525" spans="1:18">
      <c r="A35525" t="s">
        <v>4</v>
      </c>
      <c r="B35525" s="4" t="s">
        <v>5</v>
      </c>
      <c r="C35525" s="4" t="s">
        <v>7</v>
      </c>
      <c r="D35525" s="4" t="s">
        <v>11</v>
      </c>
      <c r="E35525" s="4" t="s">
        <v>8</v>
      </c>
    </row>
    <row r="35526" spans="1:18">
      <c r="A35526" t="n">
        <v>346448</v>
      </c>
      <c r="B35526" s="38" t="n">
        <v>51</v>
      </c>
      <c r="C35526" s="7" t="n">
        <v>4</v>
      </c>
      <c r="D35526" s="7" t="n">
        <v>0</v>
      </c>
      <c r="E35526" s="7" t="s">
        <v>285</v>
      </c>
    </row>
    <row r="35527" spans="1:18">
      <c r="A35527" t="s">
        <v>4</v>
      </c>
      <c r="B35527" s="4" t="s">
        <v>5</v>
      </c>
      <c r="C35527" s="4" t="s">
        <v>11</v>
      </c>
    </row>
    <row r="35528" spans="1:18">
      <c r="A35528" t="n">
        <v>346461</v>
      </c>
      <c r="B35528" s="29" t="n">
        <v>16</v>
      </c>
      <c r="C35528" s="7" t="n">
        <v>0</v>
      </c>
    </row>
    <row r="35529" spans="1:18">
      <c r="A35529" t="s">
        <v>4</v>
      </c>
      <c r="B35529" s="4" t="s">
        <v>5</v>
      </c>
      <c r="C35529" s="4" t="s">
        <v>11</v>
      </c>
      <c r="D35529" s="4" t="s">
        <v>7</v>
      </c>
      <c r="E35529" s="4" t="s">
        <v>15</v>
      </c>
      <c r="F35529" s="4" t="s">
        <v>55</v>
      </c>
      <c r="G35529" s="4" t="s">
        <v>7</v>
      </c>
      <c r="H35529" s="4" t="s">
        <v>7</v>
      </c>
    </row>
    <row r="35530" spans="1:18">
      <c r="A35530" t="n">
        <v>346464</v>
      </c>
      <c r="B35530" s="55" t="n">
        <v>26</v>
      </c>
      <c r="C35530" s="7" t="n">
        <v>0</v>
      </c>
      <c r="D35530" s="7" t="n">
        <v>17</v>
      </c>
      <c r="E35530" s="7" t="n">
        <v>64151</v>
      </c>
      <c r="F35530" s="7" t="s">
        <v>1009</v>
      </c>
      <c r="G35530" s="7" t="n">
        <v>2</v>
      </c>
      <c r="H35530" s="7" t="n">
        <v>0</v>
      </c>
    </row>
    <row r="35531" spans="1:18">
      <c r="A35531" t="s">
        <v>4</v>
      </c>
      <c r="B35531" s="4" t="s">
        <v>5</v>
      </c>
    </row>
    <row r="35532" spans="1:18">
      <c r="A35532" t="n">
        <v>346494</v>
      </c>
      <c r="B35532" s="27" t="n">
        <v>28</v>
      </c>
    </row>
    <row r="35533" spans="1:18">
      <c r="A35533" t="s">
        <v>4</v>
      </c>
      <c r="B35533" s="4" t="s">
        <v>5</v>
      </c>
      <c r="C35533" s="4" t="s">
        <v>7</v>
      </c>
      <c r="D35533" s="4" t="s">
        <v>11</v>
      </c>
      <c r="E35533" s="4" t="s">
        <v>7</v>
      </c>
    </row>
    <row r="35534" spans="1:18">
      <c r="A35534" t="n">
        <v>346495</v>
      </c>
      <c r="B35534" s="13" t="n">
        <v>49</v>
      </c>
      <c r="C35534" s="7" t="n">
        <v>1</v>
      </c>
      <c r="D35534" s="7" t="n">
        <v>3000</v>
      </c>
      <c r="E35534" s="7" t="n">
        <v>0</v>
      </c>
    </row>
    <row r="35535" spans="1:18">
      <c r="A35535" t="s">
        <v>4</v>
      </c>
      <c r="B35535" s="4" t="s">
        <v>5</v>
      </c>
      <c r="C35535" s="4" t="s">
        <v>7</v>
      </c>
      <c r="D35535" s="4" t="s">
        <v>11</v>
      </c>
      <c r="E35535" s="4" t="s">
        <v>8</v>
      </c>
      <c r="F35535" s="4" t="s">
        <v>8</v>
      </c>
      <c r="G35535" s="4" t="s">
        <v>8</v>
      </c>
      <c r="H35535" s="4" t="s">
        <v>8</v>
      </c>
    </row>
    <row r="35536" spans="1:18">
      <c r="A35536" t="n">
        <v>346500</v>
      </c>
      <c r="B35536" s="38" t="n">
        <v>51</v>
      </c>
      <c r="C35536" s="7" t="n">
        <v>3</v>
      </c>
      <c r="D35536" s="7" t="n">
        <v>4</v>
      </c>
      <c r="E35536" s="7" t="s">
        <v>319</v>
      </c>
      <c r="F35536" s="7" t="s">
        <v>99</v>
      </c>
      <c r="G35536" s="7" t="s">
        <v>78</v>
      </c>
      <c r="H35536" s="7" t="s">
        <v>79</v>
      </c>
    </row>
    <row r="35537" spans="1:18">
      <c r="A35537" t="s">
        <v>4</v>
      </c>
      <c r="B35537" s="4" t="s">
        <v>5</v>
      </c>
      <c r="C35537" s="4" t="s">
        <v>11</v>
      </c>
      <c r="D35537" s="4" t="s">
        <v>7</v>
      </c>
      <c r="E35537" s="4" t="s">
        <v>13</v>
      </c>
      <c r="F35537" s="4" t="s">
        <v>11</v>
      </c>
    </row>
    <row r="35538" spans="1:18">
      <c r="A35538" t="n">
        <v>346513</v>
      </c>
      <c r="B35538" s="56" t="n">
        <v>59</v>
      </c>
      <c r="C35538" s="7" t="n">
        <v>4</v>
      </c>
      <c r="D35538" s="7" t="n">
        <v>9</v>
      </c>
      <c r="E35538" s="7" t="n">
        <v>0.150000005960464</v>
      </c>
      <c r="F35538" s="7" t="n">
        <v>0</v>
      </c>
    </row>
    <row r="35539" spans="1:18">
      <c r="A35539" t="s">
        <v>4</v>
      </c>
      <c r="B35539" s="4" t="s">
        <v>5</v>
      </c>
      <c r="C35539" s="4" t="s">
        <v>11</v>
      </c>
    </row>
    <row r="35540" spans="1:18">
      <c r="A35540" t="n">
        <v>346523</v>
      </c>
      <c r="B35540" s="29" t="n">
        <v>16</v>
      </c>
      <c r="C35540" s="7" t="n">
        <v>1800</v>
      </c>
    </row>
    <row r="35541" spans="1:18">
      <c r="A35541" t="s">
        <v>4</v>
      </c>
      <c r="B35541" s="4" t="s">
        <v>5</v>
      </c>
      <c r="C35541" s="4" t="s">
        <v>7</v>
      </c>
      <c r="D35541" s="4" t="s">
        <v>11</v>
      </c>
      <c r="E35541" s="4" t="s">
        <v>13</v>
      </c>
    </row>
    <row r="35542" spans="1:18">
      <c r="A35542" t="n">
        <v>346526</v>
      </c>
      <c r="B35542" s="23" t="n">
        <v>58</v>
      </c>
      <c r="C35542" s="7" t="n">
        <v>101</v>
      </c>
      <c r="D35542" s="7" t="n">
        <v>800</v>
      </c>
      <c r="E35542" s="7" t="n">
        <v>1</v>
      </c>
    </row>
    <row r="35543" spans="1:18">
      <c r="A35543" t="s">
        <v>4</v>
      </c>
      <c r="B35543" s="4" t="s">
        <v>5</v>
      </c>
      <c r="C35543" s="4" t="s">
        <v>7</v>
      </c>
      <c r="D35543" s="4" t="s">
        <v>11</v>
      </c>
    </row>
    <row r="35544" spans="1:18">
      <c r="A35544" t="n">
        <v>346534</v>
      </c>
      <c r="B35544" s="23" t="n">
        <v>58</v>
      </c>
      <c r="C35544" s="7" t="n">
        <v>254</v>
      </c>
      <c r="D35544" s="7" t="n">
        <v>0</v>
      </c>
    </row>
    <row r="35545" spans="1:18">
      <c r="A35545" t="s">
        <v>4</v>
      </c>
      <c r="B35545" s="4" t="s">
        <v>5</v>
      </c>
      <c r="C35545" s="4" t="s">
        <v>7</v>
      </c>
      <c r="D35545" s="4" t="s">
        <v>7</v>
      </c>
      <c r="E35545" s="4" t="s">
        <v>13</v>
      </c>
      <c r="F35545" s="4" t="s">
        <v>13</v>
      </c>
      <c r="G35545" s="4" t="s">
        <v>13</v>
      </c>
      <c r="H35545" s="4" t="s">
        <v>11</v>
      </c>
    </row>
    <row r="35546" spans="1:18">
      <c r="A35546" t="n">
        <v>346538</v>
      </c>
      <c r="B35546" s="51" t="n">
        <v>45</v>
      </c>
      <c r="C35546" s="7" t="n">
        <v>2</v>
      </c>
      <c r="D35546" s="7" t="n">
        <v>3</v>
      </c>
      <c r="E35546" s="7" t="n">
        <v>-7.36999988555908</v>
      </c>
      <c r="F35546" s="7" t="n">
        <v>6.51999998092651</v>
      </c>
      <c r="G35546" s="7" t="n">
        <v>29.8299999237061</v>
      </c>
      <c r="H35546" s="7" t="n">
        <v>0</v>
      </c>
    </row>
    <row r="35547" spans="1:18">
      <c r="A35547" t="s">
        <v>4</v>
      </c>
      <c r="B35547" s="4" t="s">
        <v>5</v>
      </c>
      <c r="C35547" s="4" t="s">
        <v>7</v>
      </c>
      <c r="D35547" s="4" t="s">
        <v>7</v>
      </c>
      <c r="E35547" s="4" t="s">
        <v>13</v>
      </c>
      <c r="F35547" s="4" t="s">
        <v>13</v>
      </c>
      <c r="G35547" s="4" t="s">
        <v>13</v>
      </c>
      <c r="H35547" s="4" t="s">
        <v>11</v>
      </c>
      <c r="I35547" s="4" t="s">
        <v>7</v>
      </c>
    </row>
    <row r="35548" spans="1:18">
      <c r="A35548" t="n">
        <v>346555</v>
      </c>
      <c r="B35548" s="51" t="n">
        <v>45</v>
      </c>
      <c r="C35548" s="7" t="n">
        <v>4</v>
      </c>
      <c r="D35548" s="7" t="n">
        <v>3</v>
      </c>
      <c r="E35548" s="7" t="n">
        <v>6.42000007629395</v>
      </c>
      <c r="F35548" s="7" t="n">
        <v>63.8499984741211</v>
      </c>
      <c r="G35548" s="7" t="n">
        <v>356</v>
      </c>
      <c r="H35548" s="7" t="n">
        <v>0</v>
      </c>
      <c r="I35548" s="7" t="n">
        <v>0</v>
      </c>
    </row>
    <row r="35549" spans="1:18">
      <c r="A35549" t="s">
        <v>4</v>
      </c>
      <c r="B35549" s="4" t="s">
        <v>5</v>
      </c>
      <c r="C35549" s="4" t="s">
        <v>7</v>
      </c>
      <c r="D35549" s="4" t="s">
        <v>7</v>
      </c>
      <c r="E35549" s="4" t="s">
        <v>13</v>
      </c>
      <c r="F35549" s="4" t="s">
        <v>11</v>
      </c>
    </row>
    <row r="35550" spans="1:18">
      <c r="A35550" t="n">
        <v>346573</v>
      </c>
      <c r="B35550" s="51" t="n">
        <v>45</v>
      </c>
      <c r="C35550" s="7" t="n">
        <v>5</v>
      </c>
      <c r="D35550" s="7" t="n">
        <v>3</v>
      </c>
      <c r="E35550" s="7" t="n">
        <v>0.800000011920929</v>
      </c>
      <c r="F35550" s="7" t="n">
        <v>0</v>
      </c>
    </row>
    <row r="35551" spans="1:18">
      <c r="A35551" t="s">
        <v>4</v>
      </c>
      <c r="B35551" s="4" t="s">
        <v>5</v>
      </c>
      <c r="C35551" s="4" t="s">
        <v>7</v>
      </c>
      <c r="D35551" s="4" t="s">
        <v>7</v>
      </c>
      <c r="E35551" s="4" t="s">
        <v>13</v>
      </c>
      <c r="F35551" s="4" t="s">
        <v>11</v>
      </c>
    </row>
    <row r="35552" spans="1:18">
      <c r="A35552" t="n">
        <v>346582</v>
      </c>
      <c r="B35552" s="51" t="n">
        <v>45</v>
      </c>
      <c r="C35552" s="7" t="n">
        <v>11</v>
      </c>
      <c r="D35552" s="7" t="n">
        <v>3</v>
      </c>
      <c r="E35552" s="7" t="n">
        <v>40.2999992370605</v>
      </c>
      <c r="F35552" s="7" t="n">
        <v>0</v>
      </c>
    </row>
    <row r="35553" spans="1:9">
      <c r="A35553" t="s">
        <v>4</v>
      </c>
      <c r="B35553" s="4" t="s">
        <v>5</v>
      </c>
      <c r="C35553" s="4" t="s">
        <v>7</v>
      </c>
    </row>
    <row r="35554" spans="1:9">
      <c r="A35554" t="n">
        <v>346591</v>
      </c>
      <c r="B35554" s="49" t="n">
        <v>116</v>
      </c>
      <c r="C35554" s="7" t="n">
        <v>0</v>
      </c>
    </row>
    <row r="35555" spans="1:9">
      <c r="A35555" t="s">
        <v>4</v>
      </c>
      <c r="B35555" s="4" t="s">
        <v>5</v>
      </c>
      <c r="C35555" s="4" t="s">
        <v>7</v>
      </c>
      <c r="D35555" s="4" t="s">
        <v>11</v>
      </c>
    </row>
    <row r="35556" spans="1:9">
      <c r="A35556" t="n">
        <v>346593</v>
      </c>
      <c r="B35556" s="49" t="n">
        <v>116</v>
      </c>
      <c r="C35556" s="7" t="n">
        <v>2</v>
      </c>
      <c r="D35556" s="7" t="n">
        <v>1</v>
      </c>
    </row>
    <row r="35557" spans="1:9">
      <c r="A35557" t="s">
        <v>4</v>
      </c>
      <c r="B35557" s="4" t="s">
        <v>5</v>
      </c>
      <c r="C35557" s="4" t="s">
        <v>7</v>
      </c>
      <c r="D35557" s="4" t="s">
        <v>15</v>
      </c>
    </row>
    <row r="35558" spans="1:9">
      <c r="A35558" t="n">
        <v>346597</v>
      </c>
      <c r="B35558" s="49" t="n">
        <v>116</v>
      </c>
      <c r="C35558" s="7" t="n">
        <v>5</v>
      </c>
      <c r="D35558" s="7" t="n">
        <v>1077936128</v>
      </c>
    </row>
    <row r="35559" spans="1:9">
      <c r="A35559" t="s">
        <v>4</v>
      </c>
      <c r="B35559" s="4" t="s">
        <v>5</v>
      </c>
      <c r="C35559" s="4" t="s">
        <v>7</v>
      </c>
      <c r="D35559" s="4" t="s">
        <v>11</v>
      </c>
    </row>
    <row r="35560" spans="1:9">
      <c r="A35560" t="n">
        <v>346603</v>
      </c>
      <c r="B35560" s="49" t="n">
        <v>116</v>
      </c>
      <c r="C35560" s="7" t="n">
        <v>6</v>
      </c>
      <c r="D35560" s="7" t="n">
        <v>1</v>
      </c>
    </row>
    <row r="35561" spans="1:9">
      <c r="A35561" t="s">
        <v>4</v>
      </c>
      <c r="B35561" s="4" t="s">
        <v>5</v>
      </c>
      <c r="C35561" s="4" t="s">
        <v>7</v>
      </c>
      <c r="D35561" s="4" t="s">
        <v>11</v>
      </c>
      <c r="E35561" s="4" t="s">
        <v>8</v>
      </c>
      <c r="F35561" s="4" t="s">
        <v>8</v>
      </c>
      <c r="G35561" s="4" t="s">
        <v>8</v>
      </c>
      <c r="H35561" s="4" t="s">
        <v>8</v>
      </c>
    </row>
    <row r="35562" spans="1:9">
      <c r="A35562" t="n">
        <v>346607</v>
      </c>
      <c r="B35562" s="38" t="n">
        <v>51</v>
      </c>
      <c r="C35562" s="7" t="n">
        <v>3</v>
      </c>
      <c r="D35562" s="7" t="n">
        <v>4</v>
      </c>
      <c r="E35562" s="7" t="s">
        <v>86</v>
      </c>
      <c r="F35562" s="7" t="s">
        <v>79</v>
      </c>
      <c r="G35562" s="7" t="s">
        <v>78</v>
      </c>
      <c r="H35562" s="7" t="s">
        <v>79</v>
      </c>
    </row>
    <row r="35563" spans="1:9">
      <c r="A35563" t="s">
        <v>4</v>
      </c>
      <c r="B35563" s="4" t="s">
        <v>5</v>
      </c>
      <c r="C35563" s="4" t="s">
        <v>11</v>
      </c>
      <c r="D35563" s="4" t="s">
        <v>11</v>
      </c>
      <c r="E35563" s="4" t="s">
        <v>13</v>
      </c>
      <c r="F35563" s="4" t="s">
        <v>7</v>
      </c>
    </row>
    <row r="35564" spans="1:9">
      <c r="A35564" t="n">
        <v>346620</v>
      </c>
      <c r="B35564" s="73" t="n">
        <v>53</v>
      </c>
      <c r="C35564" s="7" t="n">
        <v>0</v>
      </c>
      <c r="D35564" s="7" t="n">
        <v>4</v>
      </c>
      <c r="E35564" s="7" t="n">
        <v>0</v>
      </c>
      <c r="F35564" s="7" t="n">
        <v>0</v>
      </c>
    </row>
    <row r="35565" spans="1:9">
      <c r="A35565" t="s">
        <v>4</v>
      </c>
      <c r="B35565" s="4" t="s">
        <v>5</v>
      </c>
      <c r="C35565" s="4" t="s">
        <v>7</v>
      </c>
      <c r="D35565" s="4" t="s">
        <v>11</v>
      </c>
    </row>
    <row r="35566" spans="1:9">
      <c r="A35566" t="n">
        <v>346630</v>
      </c>
      <c r="B35566" s="23" t="n">
        <v>58</v>
      </c>
      <c r="C35566" s="7" t="n">
        <v>255</v>
      </c>
      <c r="D35566" s="7" t="n">
        <v>0</v>
      </c>
    </row>
    <row r="35567" spans="1:9">
      <c r="A35567" t="s">
        <v>4</v>
      </c>
      <c r="B35567" s="4" t="s">
        <v>5</v>
      </c>
      <c r="C35567" s="4" t="s">
        <v>11</v>
      </c>
      <c r="D35567" s="4" t="s">
        <v>11</v>
      </c>
      <c r="E35567" s="4" t="s">
        <v>13</v>
      </c>
      <c r="F35567" s="4" t="s">
        <v>7</v>
      </c>
    </row>
    <row r="35568" spans="1:9">
      <c r="A35568" t="n">
        <v>346634</v>
      </c>
      <c r="B35568" s="73" t="n">
        <v>53</v>
      </c>
      <c r="C35568" s="7" t="n">
        <v>4</v>
      </c>
      <c r="D35568" s="7" t="n">
        <v>0</v>
      </c>
      <c r="E35568" s="7" t="n">
        <v>5</v>
      </c>
      <c r="F35568" s="7" t="n">
        <v>0</v>
      </c>
    </row>
    <row r="35569" spans="1:8">
      <c r="A35569" t="s">
        <v>4</v>
      </c>
      <c r="B35569" s="4" t="s">
        <v>5</v>
      </c>
      <c r="C35569" s="4" t="s">
        <v>11</v>
      </c>
    </row>
    <row r="35570" spans="1:8">
      <c r="A35570" t="n">
        <v>346644</v>
      </c>
      <c r="B35570" s="66" t="n">
        <v>54</v>
      </c>
      <c r="C35570" s="7" t="n">
        <v>4</v>
      </c>
    </row>
    <row r="35571" spans="1:8">
      <c r="A35571" t="s">
        <v>4</v>
      </c>
      <c r="B35571" s="4" t="s">
        <v>5</v>
      </c>
      <c r="C35571" s="4" t="s">
        <v>7</v>
      </c>
      <c r="D35571" s="4" t="s">
        <v>7</v>
      </c>
    </row>
    <row r="35572" spans="1:8">
      <c r="A35572" t="n">
        <v>346647</v>
      </c>
      <c r="B35572" s="13" t="n">
        <v>49</v>
      </c>
      <c r="C35572" s="7" t="n">
        <v>2</v>
      </c>
      <c r="D35572" s="7" t="n">
        <v>0</v>
      </c>
    </row>
    <row r="35573" spans="1:8">
      <c r="A35573" t="s">
        <v>4</v>
      </c>
      <c r="B35573" s="4" t="s">
        <v>5</v>
      </c>
      <c r="C35573" s="4" t="s">
        <v>7</v>
      </c>
      <c r="D35573" s="4" t="s">
        <v>11</v>
      </c>
      <c r="E35573" s="4" t="s">
        <v>15</v>
      </c>
      <c r="F35573" s="4" t="s">
        <v>11</v>
      </c>
      <c r="G35573" s="4" t="s">
        <v>15</v>
      </c>
      <c r="H35573" s="4" t="s">
        <v>7</v>
      </c>
    </row>
    <row r="35574" spans="1:8">
      <c r="A35574" t="n">
        <v>346650</v>
      </c>
      <c r="B35574" s="13" t="n">
        <v>49</v>
      </c>
      <c r="C35574" s="7" t="n">
        <v>0</v>
      </c>
      <c r="D35574" s="7" t="n">
        <v>551</v>
      </c>
      <c r="E35574" s="7" t="n">
        <v>1061997773</v>
      </c>
      <c r="F35574" s="7" t="n">
        <v>0</v>
      </c>
      <c r="G35574" s="7" t="n">
        <v>0</v>
      </c>
      <c r="H35574" s="7" t="n">
        <v>0</v>
      </c>
    </row>
    <row r="35575" spans="1:8">
      <c r="A35575" t="s">
        <v>4</v>
      </c>
      <c r="B35575" s="4" t="s">
        <v>5</v>
      </c>
      <c r="C35575" s="4" t="s">
        <v>7</v>
      </c>
      <c r="D35575" s="4" t="s">
        <v>11</v>
      </c>
    </row>
    <row r="35576" spans="1:8">
      <c r="A35576" t="n">
        <v>346665</v>
      </c>
      <c r="B35576" s="13" t="n">
        <v>49</v>
      </c>
      <c r="C35576" s="7" t="n">
        <v>6</v>
      </c>
      <c r="D35576" s="7" t="n">
        <v>551</v>
      </c>
    </row>
    <row r="35577" spans="1:8">
      <c r="A35577" t="s">
        <v>4</v>
      </c>
      <c r="B35577" s="4" t="s">
        <v>5</v>
      </c>
      <c r="C35577" s="4" t="s">
        <v>11</v>
      </c>
    </row>
    <row r="35578" spans="1:8">
      <c r="A35578" t="n">
        <v>346669</v>
      </c>
      <c r="B35578" s="29" t="n">
        <v>16</v>
      </c>
      <c r="C35578" s="7" t="n">
        <v>500</v>
      </c>
    </row>
    <row r="35579" spans="1:8">
      <c r="A35579" t="s">
        <v>4</v>
      </c>
      <c r="B35579" s="4" t="s">
        <v>5</v>
      </c>
      <c r="C35579" s="4" t="s">
        <v>7</v>
      </c>
      <c r="D35579" s="4" t="s">
        <v>11</v>
      </c>
      <c r="E35579" s="4" t="s">
        <v>8</v>
      </c>
    </row>
    <row r="35580" spans="1:8">
      <c r="A35580" t="n">
        <v>346672</v>
      </c>
      <c r="B35580" s="38" t="n">
        <v>51</v>
      </c>
      <c r="C35580" s="7" t="n">
        <v>4</v>
      </c>
      <c r="D35580" s="7" t="n">
        <v>4</v>
      </c>
      <c r="E35580" s="7" t="s">
        <v>242</v>
      </c>
    </row>
    <row r="35581" spans="1:8">
      <c r="A35581" t="s">
        <v>4</v>
      </c>
      <c r="B35581" s="4" t="s">
        <v>5</v>
      </c>
      <c r="C35581" s="4" t="s">
        <v>11</v>
      </c>
    </row>
    <row r="35582" spans="1:8">
      <c r="A35582" t="n">
        <v>346686</v>
      </c>
      <c r="B35582" s="29" t="n">
        <v>16</v>
      </c>
      <c r="C35582" s="7" t="n">
        <v>0</v>
      </c>
    </row>
    <row r="35583" spans="1:8">
      <c r="A35583" t="s">
        <v>4</v>
      </c>
      <c r="B35583" s="4" t="s">
        <v>5</v>
      </c>
      <c r="C35583" s="4" t="s">
        <v>11</v>
      </c>
      <c r="D35583" s="4" t="s">
        <v>7</v>
      </c>
      <c r="E35583" s="4" t="s">
        <v>15</v>
      </c>
      <c r="F35583" s="4" t="s">
        <v>55</v>
      </c>
      <c r="G35583" s="4" t="s">
        <v>7</v>
      </c>
      <c r="H35583" s="4" t="s">
        <v>7</v>
      </c>
      <c r="I35583" s="4" t="s">
        <v>7</v>
      </c>
      <c r="J35583" s="4" t="s">
        <v>15</v>
      </c>
      <c r="K35583" s="4" t="s">
        <v>55</v>
      </c>
      <c r="L35583" s="4" t="s">
        <v>7</v>
      </c>
      <c r="M35583" s="4" t="s">
        <v>7</v>
      </c>
      <c r="N35583" s="4" t="s">
        <v>7</v>
      </c>
      <c r="O35583" s="4" t="s">
        <v>15</v>
      </c>
      <c r="P35583" s="4" t="s">
        <v>55</v>
      </c>
      <c r="Q35583" s="4" t="s">
        <v>7</v>
      </c>
      <c r="R35583" s="4" t="s">
        <v>7</v>
      </c>
    </row>
    <row r="35584" spans="1:8">
      <c r="A35584" t="n">
        <v>346689</v>
      </c>
      <c r="B35584" s="55" t="n">
        <v>26</v>
      </c>
      <c r="C35584" s="7" t="n">
        <v>4</v>
      </c>
      <c r="D35584" s="7" t="n">
        <v>17</v>
      </c>
      <c r="E35584" s="7" t="n">
        <v>7800</v>
      </c>
      <c r="F35584" s="7" t="s">
        <v>1010</v>
      </c>
      <c r="G35584" s="7" t="n">
        <v>2</v>
      </c>
      <c r="H35584" s="7" t="n">
        <v>3</v>
      </c>
      <c r="I35584" s="7" t="n">
        <v>17</v>
      </c>
      <c r="J35584" s="7" t="n">
        <v>7801</v>
      </c>
      <c r="K35584" s="7" t="s">
        <v>1011</v>
      </c>
      <c r="L35584" s="7" t="n">
        <v>2</v>
      </c>
      <c r="M35584" s="7" t="n">
        <v>3</v>
      </c>
      <c r="N35584" s="7" t="n">
        <v>17</v>
      </c>
      <c r="O35584" s="7" t="n">
        <v>7802</v>
      </c>
      <c r="P35584" s="7" t="s">
        <v>1012</v>
      </c>
      <c r="Q35584" s="7" t="n">
        <v>2</v>
      </c>
      <c r="R35584" s="7" t="n">
        <v>0</v>
      </c>
    </row>
    <row r="35585" spans="1:18">
      <c r="A35585" t="s">
        <v>4</v>
      </c>
      <c r="B35585" s="4" t="s">
        <v>5</v>
      </c>
    </row>
    <row r="35586" spans="1:18">
      <c r="A35586" t="n">
        <v>347018</v>
      </c>
      <c r="B35586" s="27" t="n">
        <v>28</v>
      </c>
    </row>
    <row r="35587" spans="1:18">
      <c r="A35587" t="s">
        <v>4</v>
      </c>
      <c r="B35587" s="4" t="s">
        <v>5</v>
      </c>
      <c r="C35587" s="4" t="s">
        <v>7</v>
      </c>
      <c r="D35587" s="4" t="s">
        <v>11</v>
      </c>
      <c r="E35587" s="4" t="s">
        <v>8</v>
      </c>
    </row>
    <row r="35588" spans="1:18">
      <c r="A35588" t="n">
        <v>347019</v>
      </c>
      <c r="B35588" s="38" t="n">
        <v>51</v>
      </c>
      <c r="C35588" s="7" t="n">
        <v>4</v>
      </c>
      <c r="D35588" s="7" t="n">
        <v>0</v>
      </c>
      <c r="E35588" s="7" t="s">
        <v>179</v>
      </c>
    </row>
    <row r="35589" spans="1:18">
      <c r="A35589" t="s">
        <v>4</v>
      </c>
      <c r="B35589" s="4" t="s">
        <v>5</v>
      </c>
      <c r="C35589" s="4" t="s">
        <v>11</v>
      </c>
    </row>
    <row r="35590" spans="1:18">
      <c r="A35590" t="n">
        <v>347033</v>
      </c>
      <c r="B35590" s="29" t="n">
        <v>16</v>
      </c>
      <c r="C35590" s="7" t="n">
        <v>0</v>
      </c>
    </row>
    <row r="35591" spans="1:18">
      <c r="A35591" t="s">
        <v>4</v>
      </c>
      <c r="B35591" s="4" t="s">
        <v>5</v>
      </c>
      <c r="C35591" s="4" t="s">
        <v>11</v>
      </c>
      <c r="D35591" s="4" t="s">
        <v>7</v>
      </c>
      <c r="E35591" s="4" t="s">
        <v>15</v>
      </c>
      <c r="F35591" s="4" t="s">
        <v>55</v>
      </c>
      <c r="G35591" s="4" t="s">
        <v>7</v>
      </c>
      <c r="H35591" s="4" t="s">
        <v>7</v>
      </c>
      <c r="I35591" s="4" t="s">
        <v>7</v>
      </c>
      <c r="J35591" s="4" t="s">
        <v>15</v>
      </c>
      <c r="K35591" s="4" t="s">
        <v>55</v>
      </c>
      <c r="L35591" s="4" t="s">
        <v>7</v>
      </c>
      <c r="M35591" s="4" t="s">
        <v>7</v>
      </c>
      <c r="N35591" s="4" t="s">
        <v>7</v>
      </c>
      <c r="O35591" s="4" t="s">
        <v>15</v>
      </c>
      <c r="P35591" s="4" t="s">
        <v>55</v>
      </c>
      <c r="Q35591" s="4" t="s">
        <v>7</v>
      </c>
      <c r="R35591" s="4" t="s">
        <v>7</v>
      </c>
    </row>
    <row r="35592" spans="1:18">
      <c r="A35592" t="n">
        <v>347036</v>
      </c>
      <c r="B35592" s="55" t="n">
        <v>26</v>
      </c>
      <c r="C35592" s="7" t="n">
        <v>0</v>
      </c>
      <c r="D35592" s="7" t="n">
        <v>17</v>
      </c>
      <c r="E35592" s="7" t="n">
        <v>64152</v>
      </c>
      <c r="F35592" s="7" t="s">
        <v>1013</v>
      </c>
      <c r="G35592" s="7" t="n">
        <v>2</v>
      </c>
      <c r="H35592" s="7" t="n">
        <v>3</v>
      </c>
      <c r="I35592" s="7" t="n">
        <v>17</v>
      </c>
      <c r="J35592" s="7" t="n">
        <v>64153</v>
      </c>
      <c r="K35592" s="7" t="s">
        <v>1014</v>
      </c>
      <c r="L35592" s="7" t="n">
        <v>2</v>
      </c>
      <c r="M35592" s="7" t="n">
        <v>3</v>
      </c>
      <c r="N35592" s="7" t="n">
        <v>17</v>
      </c>
      <c r="O35592" s="7" t="n">
        <v>64154</v>
      </c>
      <c r="P35592" s="7" t="s">
        <v>1015</v>
      </c>
      <c r="Q35592" s="7" t="n">
        <v>2</v>
      </c>
      <c r="R35592" s="7" t="n">
        <v>0</v>
      </c>
    </row>
    <row r="35593" spans="1:18">
      <c r="A35593" t="s">
        <v>4</v>
      </c>
      <c r="B35593" s="4" t="s">
        <v>5</v>
      </c>
    </row>
    <row r="35594" spans="1:18">
      <c r="A35594" t="n">
        <v>347292</v>
      </c>
      <c r="B35594" s="27" t="n">
        <v>28</v>
      </c>
    </row>
    <row r="35595" spans="1:18">
      <c r="A35595" t="s">
        <v>4</v>
      </c>
      <c r="B35595" s="4" t="s">
        <v>5</v>
      </c>
      <c r="C35595" s="4" t="s">
        <v>7</v>
      </c>
      <c r="D35595" s="4" t="s">
        <v>11</v>
      </c>
      <c r="E35595" s="4" t="s">
        <v>8</v>
      </c>
    </row>
    <row r="35596" spans="1:18">
      <c r="A35596" t="n">
        <v>347293</v>
      </c>
      <c r="B35596" s="38" t="n">
        <v>51</v>
      </c>
      <c r="C35596" s="7" t="n">
        <v>4</v>
      </c>
      <c r="D35596" s="7" t="n">
        <v>4</v>
      </c>
      <c r="E35596" s="7" t="s">
        <v>242</v>
      </c>
    </row>
    <row r="35597" spans="1:18">
      <c r="A35597" t="s">
        <v>4</v>
      </c>
      <c r="B35597" s="4" t="s">
        <v>5</v>
      </c>
      <c r="C35597" s="4" t="s">
        <v>11</v>
      </c>
    </row>
    <row r="35598" spans="1:18">
      <c r="A35598" t="n">
        <v>347307</v>
      </c>
      <c r="B35598" s="29" t="n">
        <v>16</v>
      </c>
      <c r="C35598" s="7" t="n">
        <v>0</v>
      </c>
    </row>
    <row r="35599" spans="1:18">
      <c r="A35599" t="s">
        <v>4</v>
      </c>
      <c r="B35599" s="4" t="s">
        <v>5</v>
      </c>
      <c r="C35599" s="4" t="s">
        <v>11</v>
      </c>
      <c r="D35599" s="4" t="s">
        <v>7</v>
      </c>
      <c r="E35599" s="4" t="s">
        <v>15</v>
      </c>
      <c r="F35599" s="4" t="s">
        <v>55</v>
      </c>
      <c r="G35599" s="4" t="s">
        <v>7</v>
      </c>
      <c r="H35599" s="4" t="s">
        <v>7</v>
      </c>
    </row>
    <row r="35600" spans="1:18">
      <c r="A35600" t="n">
        <v>347310</v>
      </c>
      <c r="B35600" s="55" t="n">
        <v>26</v>
      </c>
      <c r="C35600" s="7" t="n">
        <v>4</v>
      </c>
      <c r="D35600" s="7" t="n">
        <v>17</v>
      </c>
      <c r="E35600" s="7" t="n">
        <v>7803</v>
      </c>
      <c r="F35600" s="7" t="s">
        <v>1016</v>
      </c>
      <c r="G35600" s="7" t="n">
        <v>2</v>
      </c>
      <c r="H35600" s="7" t="n">
        <v>0</v>
      </c>
    </row>
    <row r="35601" spans="1:18">
      <c r="A35601" t="s">
        <v>4</v>
      </c>
      <c r="B35601" s="4" t="s">
        <v>5</v>
      </c>
    </row>
    <row r="35602" spans="1:18">
      <c r="A35602" t="n">
        <v>347346</v>
      </c>
      <c r="B35602" s="27" t="n">
        <v>28</v>
      </c>
    </row>
    <row r="35603" spans="1:18">
      <c r="A35603" t="s">
        <v>4</v>
      </c>
      <c r="B35603" s="4" t="s">
        <v>5</v>
      </c>
      <c r="C35603" s="4" t="s">
        <v>11</v>
      </c>
      <c r="D35603" s="4" t="s">
        <v>7</v>
      </c>
    </row>
    <row r="35604" spans="1:18">
      <c r="A35604" t="n">
        <v>347347</v>
      </c>
      <c r="B35604" s="68" t="n">
        <v>89</v>
      </c>
      <c r="C35604" s="7" t="n">
        <v>65533</v>
      </c>
      <c r="D35604" s="7" t="n">
        <v>1</v>
      </c>
    </row>
    <row r="35605" spans="1:18">
      <c r="A35605" t="s">
        <v>4</v>
      </c>
      <c r="B35605" s="4" t="s">
        <v>5</v>
      </c>
      <c r="C35605" s="4" t="s">
        <v>7</v>
      </c>
      <c r="D35605" s="4" t="s">
        <v>13</v>
      </c>
      <c r="E35605" s="4" t="s">
        <v>11</v>
      </c>
      <c r="F35605" s="4" t="s">
        <v>7</v>
      </c>
    </row>
    <row r="35606" spans="1:18">
      <c r="A35606" t="n">
        <v>347351</v>
      </c>
      <c r="B35606" s="13" t="n">
        <v>49</v>
      </c>
      <c r="C35606" s="7" t="n">
        <v>3</v>
      </c>
      <c r="D35606" s="7" t="n">
        <v>0.600000023841858</v>
      </c>
      <c r="E35606" s="7" t="n">
        <v>500</v>
      </c>
      <c r="F35606" s="7" t="n">
        <v>0</v>
      </c>
    </row>
    <row r="35607" spans="1:18">
      <c r="A35607" t="s">
        <v>4</v>
      </c>
      <c r="B35607" s="4" t="s">
        <v>5</v>
      </c>
      <c r="C35607" s="4" t="s">
        <v>7</v>
      </c>
      <c r="D35607" s="4" t="s">
        <v>7</v>
      </c>
      <c r="E35607" s="4" t="s">
        <v>7</v>
      </c>
      <c r="F35607" s="4" t="s">
        <v>13</v>
      </c>
      <c r="G35607" s="4" t="s">
        <v>13</v>
      </c>
      <c r="H35607" s="4" t="s">
        <v>13</v>
      </c>
      <c r="I35607" s="4" t="s">
        <v>13</v>
      </c>
      <c r="J35607" s="4" t="s">
        <v>13</v>
      </c>
    </row>
    <row r="35608" spans="1:18">
      <c r="A35608" t="n">
        <v>347360</v>
      </c>
      <c r="B35608" s="25" t="n">
        <v>76</v>
      </c>
      <c r="C35608" s="7" t="n">
        <v>1</v>
      </c>
      <c r="D35608" s="7" t="n">
        <v>3</v>
      </c>
      <c r="E35608" s="7" t="n">
        <v>0</v>
      </c>
      <c r="F35608" s="7" t="n">
        <v>1</v>
      </c>
      <c r="G35608" s="7" t="n">
        <v>1</v>
      </c>
      <c r="H35608" s="7" t="n">
        <v>1</v>
      </c>
      <c r="I35608" s="7" t="n">
        <v>1</v>
      </c>
      <c r="J35608" s="7" t="n">
        <v>1000</v>
      </c>
    </row>
    <row r="35609" spans="1:18">
      <c r="A35609" t="s">
        <v>4</v>
      </c>
      <c r="B35609" s="4" t="s">
        <v>5</v>
      </c>
      <c r="C35609" s="4" t="s">
        <v>7</v>
      </c>
      <c r="D35609" s="4" t="s">
        <v>7</v>
      </c>
    </row>
    <row r="35610" spans="1:18">
      <c r="A35610" t="n">
        <v>347384</v>
      </c>
      <c r="B35610" s="26" t="n">
        <v>77</v>
      </c>
      <c r="C35610" s="7" t="n">
        <v>1</v>
      </c>
      <c r="D35610" s="7" t="n">
        <v>3</v>
      </c>
    </row>
    <row r="35611" spans="1:18">
      <c r="A35611" t="s">
        <v>4</v>
      </c>
      <c r="B35611" s="4" t="s">
        <v>5</v>
      </c>
      <c r="C35611" s="4" t="s">
        <v>11</v>
      </c>
    </row>
    <row r="35612" spans="1:18">
      <c r="A35612" t="n">
        <v>347387</v>
      </c>
      <c r="B35612" s="29" t="n">
        <v>16</v>
      </c>
      <c r="C35612" s="7" t="n">
        <v>2000</v>
      </c>
    </row>
    <row r="35613" spans="1:18">
      <c r="A35613" t="s">
        <v>4</v>
      </c>
      <c r="B35613" s="4" t="s">
        <v>5</v>
      </c>
      <c r="C35613" s="4" t="s">
        <v>7</v>
      </c>
      <c r="D35613" s="4" t="s">
        <v>13</v>
      </c>
      <c r="E35613" s="4" t="s">
        <v>11</v>
      </c>
      <c r="F35613" s="4" t="s">
        <v>7</v>
      </c>
    </row>
    <row r="35614" spans="1:18">
      <c r="A35614" t="n">
        <v>347390</v>
      </c>
      <c r="B35614" s="13" t="n">
        <v>49</v>
      </c>
      <c r="C35614" s="7" t="n">
        <v>3</v>
      </c>
      <c r="D35614" s="7" t="n">
        <v>0.800000011920929</v>
      </c>
      <c r="E35614" s="7" t="n">
        <v>1000</v>
      </c>
      <c r="F35614" s="7" t="n">
        <v>0</v>
      </c>
    </row>
    <row r="35615" spans="1:18">
      <c r="A35615" t="s">
        <v>4</v>
      </c>
      <c r="B35615" s="4" t="s">
        <v>5</v>
      </c>
      <c r="C35615" s="4" t="s">
        <v>7</v>
      </c>
      <c r="D35615" s="4" t="s">
        <v>7</v>
      </c>
      <c r="E35615" s="4" t="s">
        <v>7</v>
      </c>
      <c r="F35615" s="4" t="s">
        <v>13</v>
      </c>
      <c r="G35615" s="4" t="s">
        <v>13</v>
      </c>
      <c r="H35615" s="4" t="s">
        <v>13</v>
      </c>
      <c r="I35615" s="4" t="s">
        <v>13</v>
      </c>
      <c r="J35615" s="4" t="s">
        <v>13</v>
      </c>
    </row>
    <row r="35616" spans="1:18">
      <c r="A35616" t="n">
        <v>347399</v>
      </c>
      <c r="B35616" s="25" t="n">
        <v>76</v>
      </c>
      <c r="C35616" s="7" t="n">
        <v>1</v>
      </c>
      <c r="D35616" s="7" t="n">
        <v>3</v>
      </c>
      <c r="E35616" s="7" t="n">
        <v>0</v>
      </c>
      <c r="F35616" s="7" t="n">
        <v>1</v>
      </c>
      <c r="G35616" s="7" t="n">
        <v>1</v>
      </c>
      <c r="H35616" s="7" t="n">
        <v>1</v>
      </c>
      <c r="I35616" s="7" t="n">
        <v>0</v>
      </c>
      <c r="J35616" s="7" t="n">
        <v>1000</v>
      </c>
    </row>
    <row r="35617" spans="1:10">
      <c r="A35617" t="s">
        <v>4</v>
      </c>
      <c r="B35617" s="4" t="s">
        <v>5</v>
      </c>
      <c r="C35617" s="4" t="s">
        <v>7</v>
      </c>
      <c r="D35617" s="4" t="s">
        <v>7</v>
      </c>
    </row>
    <row r="35618" spans="1:10">
      <c r="A35618" t="n">
        <v>347423</v>
      </c>
      <c r="B35618" s="26" t="n">
        <v>77</v>
      </c>
      <c r="C35618" s="7" t="n">
        <v>1</v>
      </c>
      <c r="D35618" s="7" t="n">
        <v>3</v>
      </c>
    </row>
    <row r="35619" spans="1:10">
      <c r="A35619" t="s">
        <v>4</v>
      </c>
      <c r="B35619" s="4" t="s">
        <v>5</v>
      </c>
      <c r="C35619" s="4" t="s">
        <v>7</v>
      </c>
      <c r="D35619" s="4" t="s">
        <v>11</v>
      </c>
      <c r="E35619" s="4" t="s">
        <v>8</v>
      </c>
    </row>
    <row r="35620" spans="1:10">
      <c r="A35620" t="n">
        <v>347426</v>
      </c>
      <c r="B35620" s="38" t="n">
        <v>51</v>
      </c>
      <c r="C35620" s="7" t="n">
        <v>4</v>
      </c>
      <c r="D35620" s="7" t="n">
        <v>4</v>
      </c>
      <c r="E35620" s="7" t="s">
        <v>432</v>
      </c>
    </row>
    <row r="35621" spans="1:10">
      <c r="A35621" t="s">
        <v>4</v>
      </c>
      <c r="B35621" s="4" t="s">
        <v>5</v>
      </c>
      <c r="C35621" s="4" t="s">
        <v>11</v>
      </c>
    </row>
    <row r="35622" spans="1:10">
      <c r="A35622" t="n">
        <v>347439</v>
      </c>
      <c r="B35622" s="29" t="n">
        <v>16</v>
      </c>
      <c r="C35622" s="7" t="n">
        <v>0</v>
      </c>
    </row>
    <row r="35623" spans="1:10">
      <c r="A35623" t="s">
        <v>4</v>
      </c>
      <c r="B35623" s="4" t="s">
        <v>5</v>
      </c>
      <c r="C35623" s="4" t="s">
        <v>11</v>
      </c>
      <c r="D35623" s="4" t="s">
        <v>7</v>
      </c>
      <c r="E35623" s="4" t="s">
        <v>15</v>
      </c>
      <c r="F35623" s="4" t="s">
        <v>55</v>
      </c>
      <c r="G35623" s="4" t="s">
        <v>7</v>
      </c>
      <c r="H35623" s="4" t="s">
        <v>7</v>
      </c>
      <c r="I35623" s="4" t="s">
        <v>7</v>
      </c>
      <c r="J35623" s="4" t="s">
        <v>15</v>
      </c>
      <c r="K35623" s="4" t="s">
        <v>55</v>
      </c>
      <c r="L35623" s="4" t="s">
        <v>7</v>
      </c>
      <c r="M35623" s="4" t="s">
        <v>7</v>
      </c>
      <c r="N35623" s="4" t="s">
        <v>7</v>
      </c>
      <c r="O35623" s="4" t="s">
        <v>15</v>
      </c>
      <c r="P35623" s="4" t="s">
        <v>55</v>
      </c>
      <c r="Q35623" s="4" t="s">
        <v>7</v>
      </c>
      <c r="R35623" s="4" t="s">
        <v>7</v>
      </c>
      <c r="S35623" s="4" t="s">
        <v>7</v>
      </c>
      <c r="T35623" s="4" t="s">
        <v>15</v>
      </c>
      <c r="U35623" s="4" t="s">
        <v>55</v>
      </c>
      <c r="V35623" s="4" t="s">
        <v>7</v>
      </c>
      <c r="W35623" s="4" t="s">
        <v>7</v>
      </c>
    </row>
    <row r="35624" spans="1:10">
      <c r="A35624" t="n">
        <v>347442</v>
      </c>
      <c r="B35624" s="55" t="n">
        <v>26</v>
      </c>
      <c r="C35624" s="7" t="n">
        <v>4</v>
      </c>
      <c r="D35624" s="7" t="n">
        <v>17</v>
      </c>
      <c r="E35624" s="7" t="n">
        <v>7804</v>
      </c>
      <c r="F35624" s="7" t="s">
        <v>1017</v>
      </c>
      <c r="G35624" s="7" t="n">
        <v>2</v>
      </c>
      <c r="H35624" s="7" t="n">
        <v>3</v>
      </c>
      <c r="I35624" s="7" t="n">
        <v>17</v>
      </c>
      <c r="J35624" s="7" t="n">
        <v>7805</v>
      </c>
      <c r="K35624" s="7" t="s">
        <v>1018</v>
      </c>
      <c r="L35624" s="7" t="n">
        <v>2</v>
      </c>
      <c r="M35624" s="7" t="n">
        <v>3</v>
      </c>
      <c r="N35624" s="7" t="n">
        <v>17</v>
      </c>
      <c r="O35624" s="7" t="n">
        <v>7806</v>
      </c>
      <c r="P35624" s="7" t="s">
        <v>1019</v>
      </c>
      <c r="Q35624" s="7" t="n">
        <v>2</v>
      </c>
      <c r="R35624" s="7" t="n">
        <v>3</v>
      </c>
      <c r="S35624" s="7" t="n">
        <v>17</v>
      </c>
      <c r="T35624" s="7" t="n">
        <v>7807</v>
      </c>
      <c r="U35624" s="7" t="s">
        <v>1020</v>
      </c>
      <c r="V35624" s="7" t="n">
        <v>2</v>
      </c>
      <c r="W35624" s="7" t="n">
        <v>0</v>
      </c>
    </row>
    <row r="35625" spans="1:10">
      <c r="A35625" t="s">
        <v>4</v>
      </c>
      <c r="B35625" s="4" t="s">
        <v>5</v>
      </c>
    </row>
    <row r="35626" spans="1:10">
      <c r="A35626" t="n">
        <v>347939</v>
      </c>
      <c r="B35626" s="27" t="n">
        <v>28</v>
      </c>
    </row>
    <row r="35627" spans="1:10">
      <c r="A35627" t="s">
        <v>4</v>
      </c>
      <c r="B35627" s="4" t="s">
        <v>5</v>
      </c>
      <c r="C35627" s="4" t="s">
        <v>7</v>
      </c>
      <c r="D35627" s="4" t="s">
        <v>11</v>
      </c>
      <c r="E35627" s="4" t="s">
        <v>8</v>
      </c>
    </row>
    <row r="35628" spans="1:10">
      <c r="A35628" t="n">
        <v>347940</v>
      </c>
      <c r="B35628" s="38" t="n">
        <v>51</v>
      </c>
      <c r="C35628" s="7" t="n">
        <v>4</v>
      </c>
      <c r="D35628" s="7" t="n">
        <v>0</v>
      </c>
      <c r="E35628" s="7" t="s">
        <v>147</v>
      </c>
    </row>
    <row r="35629" spans="1:10">
      <c r="A35629" t="s">
        <v>4</v>
      </c>
      <c r="B35629" s="4" t="s">
        <v>5</v>
      </c>
      <c r="C35629" s="4" t="s">
        <v>11</v>
      </c>
    </row>
    <row r="35630" spans="1:10">
      <c r="A35630" t="n">
        <v>347954</v>
      </c>
      <c r="B35630" s="29" t="n">
        <v>16</v>
      </c>
      <c r="C35630" s="7" t="n">
        <v>0</v>
      </c>
    </row>
    <row r="35631" spans="1:10">
      <c r="A35631" t="s">
        <v>4</v>
      </c>
      <c r="B35631" s="4" t="s">
        <v>5</v>
      </c>
      <c r="C35631" s="4" t="s">
        <v>11</v>
      </c>
      <c r="D35631" s="4" t="s">
        <v>7</v>
      </c>
      <c r="E35631" s="4" t="s">
        <v>15</v>
      </c>
      <c r="F35631" s="4" t="s">
        <v>55</v>
      </c>
      <c r="G35631" s="4" t="s">
        <v>7</v>
      </c>
      <c r="H35631" s="4" t="s">
        <v>7</v>
      </c>
    </row>
    <row r="35632" spans="1:10">
      <c r="A35632" t="n">
        <v>347957</v>
      </c>
      <c r="B35632" s="55" t="n">
        <v>26</v>
      </c>
      <c r="C35632" s="7" t="n">
        <v>0</v>
      </c>
      <c r="D35632" s="7" t="n">
        <v>17</v>
      </c>
      <c r="E35632" s="7" t="n">
        <v>64155</v>
      </c>
      <c r="F35632" s="7" t="s">
        <v>1021</v>
      </c>
      <c r="G35632" s="7" t="n">
        <v>2</v>
      </c>
      <c r="H35632" s="7" t="n">
        <v>0</v>
      </c>
    </row>
    <row r="35633" spans="1:23">
      <c r="A35633" t="s">
        <v>4</v>
      </c>
      <c r="B35633" s="4" t="s">
        <v>5</v>
      </c>
    </row>
    <row r="35634" spans="1:23">
      <c r="A35634" t="n">
        <v>347977</v>
      </c>
      <c r="B35634" s="27" t="n">
        <v>28</v>
      </c>
    </row>
    <row r="35635" spans="1:23">
      <c r="A35635" t="s">
        <v>4</v>
      </c>
      <c r="B35635" s="4" t="s">
        <v>5</v>
      </c>
      <c r="C35635" s="4" t="s">
        <v>7</v>
      </c>
      <c r="D35635" s="4" t="s">
        <v>11</v>
      </c>
      <c r="E35635" s="4" t="s">
        <v>8</v>
      </c>
    </row>
    <row r="35636" spans="1:23">
      <c r="A35636" t="n">
        <v>347978</v>
      </c>
      <c r="B35636" s="38" t="n">
        <v>51</v>
      </c>
      <c r="C35636" s="7" t="n">
        <v>4</v>
      </c>
      <c r="D35636" s="7" t="n">
        <v>4</v>
      </c>
      <c r="E35636" s="7" t="s">
        <v>1022</v>
      </c>
    </row>
    <row r="35637" spans="1:23">
      <c r="A35637" t="s">
        <v>4</v>
      </c>
      <c r="B35637" s="4" t="s">
        <v>5</v>
      </c>
      <c r="C35637" s="4" t="s">
        <v>11</v>
      </c>
    </row>
    <row r="35638" spans="1:23">
      <c r="A35638" t="n">
        <v>347992</v>
      </c>
      <c r="B35638" s="29" t="n">
        <v>16</v>
      </c>
      <c r="C35638" s="7" t="n">
        <v>500</v>
      </c>
    </row>
    <row r="35639" spans="1:23">
      <c r="A35639" t="s">
        <v>4</v>
      </c>
      <c r="B35639" s="4" t="s">
        <v>5</v>
      </c>
      <c r="C35639" s="4" t="s">
        <v>11</v>
      </c>
      <c r="D35639" s="4" t="s">
        <v>7</v>
      </c>
      <c r="E35639" s="4" t="s">
        <v>15</v>
      </c>
      <c r="F35639" s="4" t="s">
        <v>55</v>
      </c>
      <c r="G35639" s="4" t="s">
        <v>7</v>
      </c>
      <c r="H35639" s="4" t="s">
        <v>7</v>
      </c>
      <c r="I35639" s="4" t="s">
        <v>7</v>
      </c>
      <c r="J35639" s="4" t="s">
        <v>15</v>
      </c>
      <c r="K35639" s="4" t="s">
        <v>55</v>
      </c>
      <c r="L35639" s="4" t="s">
        <v>7</v>
      </c>
      <c r="M35639" s="4" t="s">
        <v>7</v>
      </c>
      <c r="N35639" s="4" t="s">
        <v>7</v>
      </c>
      <c r="O35639" s="4" t="s">
        <v>15</v>
      </c>
      <c r="P35639" s="4" t="s">
        <v>55</v>
      </c>
      <c r="Q35639" s="4" t="s">
        <v>7</v>
      </c>
      <c r="R35639" s="4" t="s">
        <v>7</v>
      </c>
      <c r="S35639" s="4" t="s">
        <v>7</v>
      </c>
      <c r="T35639" s="4" t="s">
        <v>15</v>
      </c>
      <c r="U35639" s="4" t="s">
        <v>55</v>
      </c>
      <c r="V35639" s="4" t="s">
        <v>7</v>
      </c>
      <c r="W35639" s="4" t="s">
        <v>7</v>
      </c>
    </row>
    <row r="35640" spans="1:23">
      <c r="A35640" t="n">
        <v>347995</v>
      </c>
      <c r="B35640" s="55" t="n">
        <v>26</v>
      </c>
      <c r="C35640" s="7" t="n">
        <v>4</v>
      </c>
      <c r="D35640" s="7" t="n">
        <v>17</v>
      </c>
      <c r="E35640" s="7" t="n">
        <v>7808</v>
      </c>
      <c r="F35640" s="7" t="s">
        <v>1023</v>
      </c>
      <c r="G35640" s="7" t="n">
        <v>2</v>
      </c>
      <c r="H35640" s="7" t="n">
        <v>3</v>
      </c>
      <c r="I35640" s="7" t="n">
        <v>17</v>
      </c>
      <c r="J35640" s="7" t="n">
        <v>7809</v>
      </c>
      <c r="K35640" s="7" t="s">
        <v>1024</v>
      </c>
      <c r="L35640" s="7" t="n">
        <v>2</v>
      </c>
      <c r="M35640" s="7" t="n">
        <v>3</v>
      </c>
      <c r="N35640" s="7" t="n">
        <v>17</v>
      </c>
      <c r="O35640" s="7" t="n">
        <v>7810</v>
      </c>
      <c r="P35640" s="7" t="s">
        <v>1025</v>
      </c>
      <c r="Q35640" s="7" t="n">
        <v>2</v>
      </c>
      <c r="R35640" s="7" t="n">
        <v>3</v>
      </c>
      <c r="S35640" s="7" t="n">
        <v>17</v>
      </c>
      <c r="T35640" s="7" t="n">
        <v>7811</v>
      </c>
      <c r="U35640" s="7" t="s">
        <v>1026</v>
      </c>
      <c r="V35640" s="7" t="n">
        <v>2</v>
      </c>
      <c r="W35640" s="7" t="n">
        <v>0</v>
      </c>
    </row>
    <row r="35641" spans="1:23">
      <c r="A35641" t="s">
        <v>4</v>
      </c>
      <c r="B35641" s="4" t="s">
        <v>5</v>
      </c>
    </row>
    <row r="35642" spans="1:23">
      <c r="A35642" t="n">
        <v>348513</v>
      </c>
      <c r="B35642" s="27" t="n">
        <v>28</v>
      </c>
    </row>
    <row r="35643" spans="1:23">
      <c r="A35643" t="s">
        <v>4</v>
      </c>
      <c r="B35643" s="4" t="s">
        <v>5</v>
      </c>
      <c r="C35643" s="4" t="s">
        <v>7</v>
      </c>
      <c r="D35643" s="4" t="s">
        <v>11</v>
      </c>
      <c r="E35643" s="4" t="s">
        <v>8</v>
      </c>
    </row>
    <row r="35644" spans="1:23">
      <c r="A35644" t="n">
        <v>348514</v>
      </c>
      <c r="B35644" s="38" t="n">
        <v>51</v>
      </c>
      <c r="C35644" s="7" t="n">
        <v>4</v>
      </c>
      <c r="D35644" s="7" t="n">
        <v>0</v>
      </c>
      <c r="E35644" s="7" t="s">
        <v>192</v>
      </c>
    </row>
    <row r="35645" spans="1:23">
      <c r="A35645" t="s">
        <v>4</v>
      </c>
      <c r="B35645" s="4" t="s">
        <v>5</v>
      </c>
      <c r="C35645" s="4" t="s">
        <v>11</v>
      </c>
    </row>
    <row r="35646" spans="1:23">
      <c r="A35646" t="n">
        <v>348527</v>
      </c>
      <c r="B35646" s="29" t="n">
        <v>16</v>
      </c>
      <c r="C35646" s="7" t="n">
        <v>0</v>
      </c>
    </row>
    <row r="35647" spans="1:23">
      <c r="A35647" t="s">
        <v>4</v>
      </c>
      <c r="B35647" s="4" t="s">
        <v>5</v>
      </c>
      <c r="C35647" s="4" t="s">
        <v>11</v>
      </c>
      <c r="D35647" s="4" t="s">
        <v>7</v>
      </c>
      <c r="E35647" s="4" t="s">
        <v>15</v>
      </c>
      <c r="F35647" s="4" t="s">
        <v>55</v>
      </c>
      <c r="G35647" s="4" t="s">
        <v>7</v>
      </c>
      <c r="H35647" s="4" t="s">
        <v>7</v>
      </c>
    </row>
    <row r="35648" spans="1:23">
      <c r="A35648" t="n">
        <v>348530</v>
      </c>
      <c r="B35648" s="55" t="n">
        <v>26</v>
      </c>
      <c r="C35648" s="7" t="n">
        <v>0</v>
      </c>
      <c r="D35648" s="7" t="n">
        <v>17</v>
      </c>
      <c r="E35648" s="7" t="n">
        <v>64268</v>
      </c>
      <c r="F35648" s="7" t="s">
        <v>446</v>
      </c>
      <c r="G35648" s="7" t="n">
        <v>2</v>
      </c>
      <c r="H35648" s="7" t="n">
        <v>0</v>
      </c>
    </row>
    <row r="35649" spans="1:23">
      <c r="A35649" t="s">
        <v>4</v>
      </c>
      <c r="B35649" s="4" t="s">
        <v>5</v>
      </c>
    </row>
    <row r="35650" spans="1:23">
      <c r="A35650" t="n">
        <v>348546</v>
      </c>
      <c r="B35650" s="27" t="n">
        <v>28</v>
      </c>
    </row>
    <row r="35651" spans="1:23">
      <c r="A35651" t="s">
        <v>4</v>
      </c>
      <c r="B35651" s="4" t="s">
        <v>5</v>
      </c>
      <c r="C35651" s="4" t="s">
        <v>7</v>
      </c>
      <c r="D35651" s="4" t="s">
        <v>11</v>
      </c>
      <c r="E35651" s="4" t="s">
        <v>8</v>
      </c>
    </row>
    <row r="35652" spans="1:23">
      <c r="A35652" t="n">
        <v>348547</v>
      </c>
      <c r="B35652" s="38" t="n">
        <v>51</v>
      </c>
      <c r="C35652" s="7" t="n">
        <v>4</v>
      </c>
      <c r="D35652" s="7" t="n">
        <v>4</v>
      </c>
      <c r="E35652" s="7" t="s">
        <v>179</v>
      </c>
    </row>
    <row r="35653" spans="1:23">
      <c r="A35653" t="s">
        <v>4</v>
      </c>
      <c r="B35653" s="4" t="s">
        <v>5</v>
      </c>
      <c r="C35653" s="4" t="s">
        <v>11</v>
      </c>
    </row>
    <row r="35654" spans="1:23">
      <c r="A35654" t="n">
        <v>348561</v>
      </c>
      <c r="B35654" s="29" t="n">
        <v>16</v>
      </c>
      <c r="C35654" s="7" t="n">
        <v>0</v>
      </c>
    </row>
    <row r="35655" spans="1:23">
      <c r="A35655" t="s">
        <v>4</v>
      </c>
      <c r="B35655" s="4" t="s">
        <v>5</v>
      </c>
      <c r="C35655" s="4" t="s">
        <v>11</v>
      </c>
      <c r="D35655" s="4" t="s">
        <v>7</v>
      </c>
      <c r="E35655" s="4" t="s">
        <v>15</v>
      </c>
      <c r="F35655" s="4" t="s">
        <v>55</v>
      </c>
      <c r="G35655" s="4" t="s">
        <v>7</v>
      </c>
      <c r="H35655" s="4" t="s">
        <v>7</v>
      </c>
      <c r="I35655" s="4" t="s">
        <v>7</v>
      </c>
      <c r="J35655" s="4" t="s">
        <v>15</v>
      </c>
      <c r="K35655" s="4" t="s">
        <v>55</v>
      </c>
      <c r="L35655" s="4" t="s">
        <v>7</v>
      </c>
      <c r="M35655" s="4" t="s">
        <v>7</v>
      </c>
    </row>
    <row r="35656" spans="1:23">
      <c r="A35656" t="n">
        <v>348564</v>
      </c>
      <c r="B35656" s="55" t="n">
        <v>26</v>
      </c>
      <c r="C35656" s="7" t="n">
        <v>4</v>
      </c>
      <c r="D35656" s="7" t="n">
        <v>17</v>
      </c>
      <c r="E35656" s="7" t="n">
        <v>7812</v>
      </c>
      <c r="F35656" s="7" t="s">
        <v>1027</v>
      </c>
      <c r="G35656" s="7" t="n">
        <v>2</v>
      </c>
      <c r="H35656" s="7" t="n">
        <v>3</v>
      </c>
      <c r="I35656" s="7" t="n">
        <v>17</v>
      </c>
      <c r="J35656" s="7" t="n">
        <v>7813</v>
      </c>
      <c r="K35656" s="7" t="s">
        <v>1028</v>
      </c>
      <c r="L35656" s="7" t="n">
        <v>2</v>
      </c>
      <c r="M35656" s="7" t="n">
        <v>0</v>
      </c>
    </row>
    <row r="35657" spans="1:23">
      <c r="A35657" t="s">
        <v>4</v>
      </c>
      <c r="B35657" s="4" t="s">
        <v>5</v>
      </c>
    </row>
    <row r="35658" spans="1:23">
      <c r="A35658" t="n">
        <v>348669</v>
      </c>
      <c r="B35658" s="27" t="n">
        <v>28</v>
      </c>
    </row>
    <row r="35659" spans="1:23">
      <c r="A35659" t="s">
        <v>4</v>
      </c>
      <c r="B35659" s="4" t="s">
        <v>5</v>
      </c>
      <c r="C35659" s="4" t="s">
        <v>7</v>
      </c>
      <c r="D35659" s="4" t="s">
        <v>11</v>
      </c>
      <c r="E35659" s="4" t="s">
        <v>8</v>
      </c>
    </row>
    <row r="35660" spans="1:23">
      <c r="A35660" t="n">
        <v>348670</v>
      </c>
      <c r="B35660" s="38" t="n">
        <v>51</v>
      </c>
      <c r="C35660" s="7" t="n">
        <v>4</v>
      </c>
      <c r="D35660" s="7" t="n">
        <v>0</v>
      </c>
      <c r="E35660" s="7" t="s">
        <v>147</v>
      </c>
    </row>
    <row r="35661" spans="1:23">
      <c r="A35661" t="s">
        <v>4</v>
      </c>
      <c r="B35661" s="4" t="s">
        <v>5</v>
      </c>
      <c r="C35661" s="4" t="s">
        <v>11</v>
      </c>
    </row>
    <row r="35662" spans="1:23">
      <c r="A35662" t="n">
        <v>348684</v>
      </c>
      <c r="B35662" s="29" t="n">
        <v>16</v>
      </c>
      <c r="C35662" s="7" t="n">
        <v>0</v>
      </c>
    </row>
    <row r="35663" spans="1:23">
      <c r="A35663" t="s">
        <v>4</v>
      </c>
      <c r="B35663" s="4" t="s">
        <v>5</v>
      </c>
      <c r="C35663" s="4" t="s">
        <v>11</v>
      </c>
      <c r="D35663" s="4" t="s">
        <v>7</v>
      </c>
      <c r="E35663" s="4" t="s">
        <v>15</v>
      </c>
      <c r="F35663" s="4" t="s">
        <v>55</v>
      </c>
      <c r="G35663" s="4" t="s">
        <v>7</v>
      </c>
      <c r="H35663" s="4" t="s">
        <v>7</v>
      </c>
    </row>
    <row r="35664" spans="1:23">
      <c r="A35664" t="n">
        <v>348687</v>
      </c>
      <c r="B35664" s="55" t="n">
        <v>26</v>
      </c>
      <c r="C35664" s="7" t="n">
        <v>0</v>
      </c>
      <c r="D35664" s="7" t="n">
        <v>17</v>
      </c>
      <c r="E35664" s="7" t="n">
        <v>64156</v>
      </c>
      <c r="F35664" s="7" t="s">
        <v>1029</v>
      </c>
      <c r="G35664" s="7" t="n">
        <v>2</v>
      </c>
      <c r="H35664" s="7" t="n">
        <v>0</v>
      </c>
    </row>
    <row r="35665" spans="1:13">
      <c r="A35665" t="s">
        <v>4</v>
      </c>
      <c r="B35665" s="4" t="s">
        <v>5</v>
      </c>
    </row>
    <row r="35666" spans="1:13">
      <c r="A35666" t="n">
        <v>348711</v>
      </c>
      <c r="B35666" s="27" t="n">
        <v>28</v>
      </c>
    </row>
    <row r="35667" spans="1:13">
      <c r="A35667" t="s">
        <v>4</v>
      </c>
      <c r="B35667" s="4" t="s">
        <v>5</v>
      </c>
      <c r="C35667" s="4" t="s">
        <v>7</v>
      </c>
      <c r="D35667" s="4" t="s">
        <v>11</v>
      </c>
      <c r="E35667" s="4" t="s">
        <v>8</v>
      </c>
    </row>
    <row r="35668" spans="1:13">
      <c r="A35668" t="n">
        <v>348712</v>
      </c>
      <c r="B35668" s="38" t="n">
        <v>51</v>
      </c>
      <c r="C35668" s="7" t="n">
        <v>4</v>
      </c>
      <c r="D35668" s="7" t="n">
        <v>4</v>
      </c>
      <c r="E35668" s="7" t="s">
        <v>547</v>
      </c>
    </row>
    <row r="35669" spans="1:13">
      <c r="A35669" t="s">
        <v>4</v>
      </c>
      <c r="B35669" s="4" t="s">
        <v>5</v>
      </c>
      <c r="C35669" s="4" t="s">
        <v>11</v>
      </c>
    </row>
    <row r="35670" spans="1:13">
      <c r="A35670" t="n">
        <v>348726</v>
      </c>
      <c r="B35670" s="29" t="n">
        <v>16</v>
      </c>
      <c r="C35670" s="7" t="n">
        <v>0</v>
      </c>
    </row>
    <row r="35671" spans="1:13">
      <c r="A35671" t="s">
        <v>4</v>
      </c>
      <c r="B35671" s="4" t="s">
        <v>5</v>
      </c>
      <c r="C35671" s="4" t="s">
        <v>11</v>
      </c>
      <c r="D35671" s="4" t="s">
        <v>7</v>
      </c>
      <c r="E35671" s="4" t="s">
        <v>15</v>
      </c>
      <c r="F35671" s="4" t="s">
        <v>55</v>
      </c>
      <c r="G35671" s="4" t="s">
        <v>7</v>
      </c>
      <c r="H35671" s="4" t="s">
        <v>7</v>
      </c>
      <c r="I35671" s="4" t="s">
        <v>7</v>
      </c>
      <c r="J35671" s="4" t="s">
        <v>15</v>
      </c>
      <c r="K35671" s="4" t="s">
        <v>55</v>
      </c>
      <c r="L35671" s="4" t="s">
        <v>7</v>
      </c>
      <c r="M35671" s="4" t="s">
        <v>7</v>
      </c>
      <c r="N35671" s="4" t="s">
        <v>7</v>
      </c>
      <c r="O35671" s="4" t="s">
        <v>15</v>
      </c>
      <c r="P35671" s="4" t="s">
        <v>55</v>
      </c>
      <c r="Q35671" s="4" t="s">
        <v>7</v>
      </c>
      <c r="R35671" s="4" t="s">
        <v>7</v>
      </c>
    </row>
    <row r="35672" spans="1:13">
      <c r="A35672" t="n">
        <v>348729</v>
      </c>
      <c r="B35672" s="55" t="n">
        <v>26</v>
      </c>
      <c r="C35672" s="7" t="n">
        <v>4</v>
      </c>
      <c r="D35672" s="7" t="n">
        <v>17</v>
      </c>
      <c r="E35672" s="7" t="n">
        <v>7814</v>
      </c>
      <c r="F35672" s="7" t="s">
        <v>1030</v>
      </c>
      <c r="G35672" s="7" t="n">
        <v>2</v>
      </c>
      <c r="H35672" s="7" t="n">
        <v>3</v>
      </c>
      <c r="I35672" s="7" t="n">
        <v>17</v>
      </c>
      <c r="J35672" s="7" t="n">
        <v>7815</v>
      </c>
      <c r="K35672" s="7" t="s">
        <v>1031</v>
      </c>
      <c r="L35672" s="7" t="n">
        <v>2</v>
      </c>
      <c r="M35672" s="7" t="n">
        <v>3</v>
      </c>
      <c r="N35672" s="7" t="n">
        <v>17</v>
      </c>
      <c r="O35672" s="7" t="n">
        <v>7816</v>
      </c>
      <c r="P35672" s="7" t="s">
        <v>1032</v>
      </c>
      <c r="Q35672" s="7" t="n">
        <v>2</v>
      </c>
      <c r="R35672" s="7" t="n">
        <v>0</v>
      </c>
    </row>
    <row r="35673" spans="1:13">
      <c r="A35673" t="s">
        <v>4</v>
      </c>
      <c r="B35673" s="4" t="s">
        <v>5</v>
      </c>
    </row>
    <row r="35674" spans="1:13">
      <c r="A35674" t="n">
        <v>349132</v>
      </c>
      <c r="B35674" s="27" t="n">
        <v>28</v>
      </c>
    </row>
    <row r="35675" spans="1:13">
      <c r="A35675" t="s">
        <v>4</v>
      </c>
      <c r="B35675" s="4" t="s">
        <v>5</v>
      </c>
      <c r="C35675" s="4" t="s">
        <v>7</v>
      </c>
      <c r="D35675" s="4" t="s">
        <v>11</v>
      </c>
      <c r="E35675" s="4" t="s">
        <v>8</v>
      </c>
    </row>
    <row r="35676" spans="1:13">
      <c r="A35676" t="n">
        <v>349133</v>
      </c>
      <c r="B35676" s="38" t="n">
        <v>51</v>
      </c>
      <c r="C35676" s="7" t="n">
        <v>4</v>
      </c>
      <c r="D35676" s="7" t="n">
        <v>0</v>
      </c>
      <c r="E35676" s="7" t="s">
        <v>206</v>
      </c>
    </row>
    <row r="35677" spans="1:13">
      <c r="A35677" t="s">
        <v>4</v>
      </c>
      <c r="B35677" s="4" t="s">
        <v>5</v>
      </c>
      <c r="C35677" s="4" t="s">
        <v>11</v>
      </c>
    </row>
    <row r="35678" spans="1:13">
      <c r="A35678" t="n">
        <v>349148</v>
      </c>
      <c r="B35678" s="29" t="n">
        <v>16</v>
      </c>
      <c r="C35678" s="7" t="n">
        <v>0</v>
      </c>
    </row>
    <row r="35679" spans="1:13">
      <c r="A35679" t="s">
        <v>4</v>
      </c>
      <c r="B35679" s="4" t="s">
        <v>5</v>
      </c>
      <c r="C35679" s="4" t="s">
        <v>11</v>
      </c>
      <c r="D35679" s="4" t="s">
        <v>7</v>
      </c>
      <c r="E35679" s="4" t="s">
        <v>15</v>
      </c>
      <c r="F35679" s="4" t="s">
        <v>55</v>
      </c>
      <c r="G35679" s="4" t="s">
        <v>7</v>
      </c>
      <c r="H35679" s="4" t="s">
        <v>7</v>
      </c>
    </row>
    <row r="35680" spans="1:13">
      <c r="A35680" t="n">
        <v>349151</v>
      </c>
      <c r="B35680" s="55" t="n">
        <v>26</v>
      </c>
      <c r="C35680" s="7" t="n">
        <v>0</v>
      </c>
      <c r="D35680" s="7" t="n">
        <v>17</v>
      </c>
      <c r="E35680" s="7" t="n">
        <v>65271</v>
      </c>
      <c r="F35680" s="7" t="s">
        <v>1033</v>
      </c>
      <c r="G35680" s="7" t="n">
        <v>2</v>
      </c>
      <c r="H35680" s="7" t="n">
        <v>0</v>
      </c>
    </row>
    <row r="35681" spans="1:18">
      <c r="A35681" t="s">
        <v>4</v>
      </c>
      <c r="B35681" s="4" t="s">
        <v>5</v>
      </c>
    </row>
    <row r="35682" spans="1:18">
      <c r="A35682" t="n">
        <v>349168</v>
      </c>
      <c r="B35682" s="27" t="n">
        <v>28</v>
      </c>
    </row>
    <row r="35683" spans="1:18">
      <c r="A35683" t="s">
        <v>4</v>
      </c>
      <c r="B35683" s="4" t="s">
        <v>5</v>
      </c>
      <c r="C35683" s="4" t="s">
        <v>7</v>
      </c>
      <c r="D35683" s="4" t="s">
        <v>11</v>
      </c>
      <c r="E35683" s="4" t="s">
        <v>8</v>
      </c>
    </row>
    <row r="35684" spans="1:18">
      <c r="A35684" t="n">
        <v>349169</v>
      </c>
      <c r="B35684" s="38" t="n">
        <v>51</v>
      </c>
      <c r="C35684" s="7" t="n">
        <v>4</v>
      </c>
      <c r="D35684" s="7" t="n">
        <v>4</v>
      </c>
      <c r="E35684" s="7" t="s">
        <v>752</v>
      </c>
    </row>
    <row r="35685" spans="1:18">
      <c r="A35685" t="s">
        <v>4</v>
      </c>
      <c r="B35685" s="4" t="s">
        <v>5</v>
      </c>
      <c r="C35685" s="4" t="s">
        <v>11</v>
      </c>
    </row>
    <row r="35686" spans="1:18">
      <c r="A35686" t="n">
        <v>349183</v>
      </c>
      <c r="B35686" s="29" t="n">
        <v>16</v>
      </c>
      <c r="C35686" s="7" t="n">
        <v>500</v>
      </c>
    </row>
    <row r="35687" spans="1:18">
      <c r="A35687" t="s">
        <v>4</v>
      </c>
      <c r="B35687" s="4" t="s">
        <v>5</v>
      </c>
      <c r="C35687" s="4" t="s">
        <v>11</v>
      </c>
      <c r="D35687" s="4" t="s">
        <v>7</v>
      </c>
      <c r="E35687" s="4" t="s">
        <v>15</v>
      </c>
      <c r="F35687" s="4" t="s">
        <v>55</v>
      </c>
      <c r="G35687" s="4" t="s">
        <v>7</v>
      </c>
      <c r="H35687" s="4" t="s">
        <v>7</v>
      </c>
      <c r="I35687" s="4" t="s">
        <v>7</v>
      </c>
      <c r="J35687" s="4" t="s">
        <v>15</v>
      </c>
      <c r="K35687" s="4" t="s">
        <v>55</v>
      </c>
      <c r="L35687" s="4" t="s">
        <v>7</v>
      </c>
      <c r="M35687" s="4" t="s">
        <v>7</v>
      </c>
    </row>
    <row r="35688" spans="1:18">
      <c r="A35688" t="n">
        <v>349186</v>
      </c>
      <c r="B35688" s="55" t="n">
        <v>26</v>
      </c>
      <c r="C35688" s="7" t="n">
        <v>4</v>
      </c>
      <c r="D35688" s="7" t="n">
        <v>17</v>
      </c>
      <c r="E35688" s="7" t="n">
        <v>7817</v>
      </c>
      <c r="F35688" s="7" t="s">
        <v>1034</v>
      </c>
      <c r="G35688" s="7" t="n">
        <v>2</v>
      </c>
      <c r="H35688" s="7" t="n">
        <v>3</v>
      </c>
      <c r="I35688" s="7" t="n">
        <v>17</v>
      </c>
      <c r="J35688" s="7" t="n">
        <v>7818</v>
      </c>
      <c r="K35688" s="7" t="s">
        <v>1035</v>
      </c>
      <c r="L35688" s="7" t="n">
        <v>2</v>
      </c>
      <c r="M35688" s="7" t="n">
        <v>0</v>
      </c>
    </row>
    <row r="35689" spans="1:18">
      <c r="A35689" t="s">
        <v>4</v>
      </c>
      <c r="B35689" s="4" t="s">
        <v>5</v>
      </c>
    </row>
    <row r="35690" spans="1:18">
      <c r="A35690" t="n">
        <v>349458</v>
      </c>
      <c r="B35690" s="27" t="n">
        <v>28</v>
      </c>
    </row>
    <row r="35691" spans="1:18">
      <c r="A35691" t="s">
        <v>4</v>
      </c>
      <c r="B35691" s="4" t="s">
        <v>5</v>
      </c>
      <c r="C35691" s="4" t="s">
        <v>11</v>
      </c>
      <c r="D35691" s="4" t="s">
        <v>7</v>
      </c>
    </row>
    <row r="35692" spans="1:18">
      <c r="A35692" t="n">
        <v>349459</v>
      </c>
      <c r="B35692" s="68" t="n">
        <v>89</v>
      </c>
      <c r="C35692" s="7" t="n">
        <v>65533</v>
      </c>
      <c r="D35692" s="7" t="n">
        <v>1</v>
      </c>
    </row>
    <row r="35693" spans="1:18">
      <c r="A35693" t="s">
        <v>4</v>
      </c>
      <c r="B35693" s="4" t="s">
        <v>5</v>
      </c>
      <c r="C35693" s="4" t="s">
        <v>7</v>
      </c>
      <c r="D35693" s="4" t="s">
        <v>11</v>
      </c>
      <c r="E35693" s="4" t="s">
        <v>13</v>
      </c>
    </row>
    <row r="35694" spans="1:18">
      <c r="A35694" t="n">
        <v>349463</v>
      </c>
      <c r="B35694" s="23" t="n">
        <v>58</v>
      </c>
      <c r="C35694" s="7" t="n">
        <v>101</v>
      </c>
      <c r="D35694" s="7" t="n">
        <v>500</v>
      </c>
      <c r="E35694" s="7" t="n">
        <v>1</v>
      </c>
    </row>
    <row r="35695" spans="1:18">
      <c r="A35695" t="s">
        <v>4</v>
      </c>
      <c r="B35695" s="4" t="s">
        <v>5</v>
      </c>
      <c r="C35695" s="4" t="s">
        <v>7</v>
      </c>
      <c r="D35695" s="4" t="s">
        <v>11</v>
      </c>
    </row>
    <row r="35696" spans="1:18">
      <c r="A35696" t="n">
        <v>349471</v>
      </c>
      <c r="B35696" s="23" t="n">
        <v>58</v>
      </c>
      <c r="C35696" s="7" t="n">
        <v>254</v>
      </c>
      <c r="D35696" s="7" t="n">
        <v>0</v>
      </c>
    </row>
    <row r="35697" spans="1:13">
      <c r="A35697" t="s">
        <v>4</v>
      </c>
      <c r="B35697" s="4" t="s">
        <v>5</v>
      </c>
      <c r="C35697" s="4" t="s">
        <v>7</v>
      </c>
      <c r="D35697" s="4" t="s">
        <v>7</v>
      </c>
      <c r="E35697" s="4" t="s">
        <v>13</v>
      </c>
      <c r="F35697" s="4" t="s">
        <v>13</v>
      </c>
      <c r="G35697" s="4" t="s">
        <v>13</v>
      </c>
      <c r="H35697" s="4" t="s">
        <v>11</v>
      </c>
    </row>
    <row r="35698" spans="1:13">
      <c r="A35698" t="n">
        <v>349475</v>
      </c>
      <c r="B35698" s="51" t="n">
        <v>45</v>
      </c>
      <c r="C35698" s="7" t="n">
        <v>2</v>
      </c>
      <c r="D35698" s="7" t="n">
        <v>3</v>
      </c>
      <c r="E35698" s="7" t="n">
        <v>-6.8899998664856</v>
      </c>
      <c r="F35698" s="7" t="n">
        <v>6.46999979019165</v>
      </c>
      <c r="G35698" s="7" t="n">
        <v>29.9400005340576</v>
      </c>
      <c r="H35698" s="7" t="n">
        <v>0</v>
      </c>
    </row>
    <row r="35699" spans="1:13">
      <c r="A35699" t="s">
        <v>4</v>
      </c>
      <c r="B35699" s="4" t="s">
        <v>5</v>
      </c>
      <c r="C35699" s="4" t="s">
        <v>7</v>
      </c>
      <c r="D35699" s="4" t="s">
        <v>7</v>
      </c>
      <c r="E35699" s="4" t="s">
        <v>13</v>
      </c>
      <c r="F35699" s="4" t="s">
        <v>13</v>
      </c>
      <c r="G35699" s="4" t="s">
        <v>13</v>
      </c>
      <c r="H35699" s="4" t="s">
        <v>11</v>
      </c>
      <c r="I35699" s="4" t="s">
        <v>7</v>
      </c>
    </row>
    <row r="35700" spans="1:13">
      <c r="A35700" t="n">
        <v>349492</v>
      </c>
      <c r="B35700" s="51" t="n">
        <v>45</v>
      </c>
      <c r="C35700" s="7" t="n">
        <v>4</v>
      </c>
      <c r="D35700" s="7" t="n">
        <v>3</v>
      </c>
      <c r="E35700" s="7" t="n">
        <v>359.390014648438</v>
      </c>
      <c r="F35700" s="7" t="n">
        <v>50.9000015258789</v>
      </c>
      <c r="G35700" s="7" t="n">
        <v>8</v>
      </c>
      <c r="H35700" s="7" t="n">
        <v>0</v>
      </c>
      <c r="I35700" s="7" t="n">
        <v>0</v>
      </c>
    </row>
    <row r="35701" spans="1:13">
      <c r="A35701" t="s">
        <v>4</v>
      </c>
      <c r="B35701" s="4" t="s">
        <v>5</v>
      </c>
      <c r="C35701" s="4" t="s">
        <v>7</v>
      </c>
      <c r="D35701" s="4" t="s">
        <v>7</v>
      </c>
      <c r="E35701" s="4" t="s">
        <v>13</v>
      </c>
      <c r="F35701" s="4" t="s">
        <v>11</v>
      </c>
    </row>
    <row r="35702" spans="1:13">
      <c r="A35702" t="n">
        <v>349510</v>
      </c>
      <c r="B35702" s="51" t="n">
        <v>45</v>
      </c>
      <c r="C35702" s="7" t="n">
        <v>5</v>
      </c>
      <c r="D35702" s="7" t="n">
        <v>3</v>
      </c>
      <c r="E35702" s="7" t="n">
        <v>1.20000004768372</v>
      </c>
      <c r="F35702" s="7" t="n">
        <v>0</v>
      </c>
    </row>
    <row r="35703" spans="1:13">
      <c r="A35703" t="s">
        <v>4</v>
      </c>
      <c r="B35703" s="4" t="s">
        <v>5</v>
      </c>
      <c r="C35703" s="4" t="s">
        <v>7</v>
      </c>
      <c r="D35703" s="4" t="s">
        <v>7</v>
      </c>
      <c r="E35703" s="4" t="s">
        <v>13</v>
      </c>
      <c r="F35703" s="4" t="s">
        <v>11</v>
      </c>
    </row>
    <row r="35704" spans="1:13">
      <c r="A35704" t="n">
        <v>349519</v>
      </c>
      <c r="B35704" s="51" t="n">
        <v>45</v>
      </c>
      <c r="C35704" s="7" t="n">
        <v>11</v>
      </c>
      <c r="D35704" s="7" t="n">
        <v>3</v>
      </c>
      <c r="E35704" s="7" t="n">
        <v>40.2999992370605</v>
      </c>
      <c r="F35704" s="7" t="n">
        <v>0</v>
      </c>
    </row>
    <row r="35705" spans="1:13">
      <c r="A35705" t="s">
        <v>4</v>
      </c>
      <c r="B35705" s="4" t="s">
        <v>5</v>
      </c>
      <c r="C35705" s="4" t="s">
        <v>7</v>
      </c>
      <c r="D35705" s="4" t="s">
        <v>11</v>
      </c>
    </row>
    <row r="35706" spans="1:13">
      <c r="A35706" t="n">
        <v>349528</v>
      </c>
      <c r="B35706" s="23" t="n">
        <v>58</v>
      </c>
      <c r="C35706" s="7" t="n">
        <v>255</v>
      </c>
      <c r="D35706" s="7" t="n">
        <v>0</v>
      </c>
    </row>
    <row r="35707" spans="1:13">
      <c r="A35707" t="s">
        <v>4</v>
      </c>
      <c r="B35707" s="4" t="s">
        <v>5</v>
      </c>
      <c r="C35707" s="4" t="s">
        <v>11</v>
      </c>
      <c r="D35707" s="4" t="s">
        <v>7</v>
      </c>
      <c r="E35707" s="4" t="s">
        <v>13</v>
      </c>
      <c r="F35707" s="4" t="s">
        <v>11</v>
      </c>
    </row>
    <row r="35708" spans="1:13">
      <c r="A35708" t="n">
        <v>349532</v>
      </c>
      <c r="B35708" s="56" t="n">
        <v>59</v>
      </c>
      <c r="C35708" s="7" t="n">
        <v>0</v>
      </c>
      <c r="D35708" s="7" t="n">
        <v>9</v>
      </c>
      <c r="E35708" s="7" t="n">
        <v>0.150000005960464</v>
      </c>
      <c r="F35708" s="7" t="n">
        <v>0</v>
      </c>
    </row>
    <row r="35709" spans="1:13">
      <c r="A35709" t="s">
        <v>4</v>
      </c>
      <c r="B35709" s="4" t="s">
        <v>5</v>
      </c>
      <c r="C35709" s="4" t="s">
        <v>11</v>
      </c>
    </row>
    <row r="35710" spans="1:13">
      <c r="A35710" t="n">
        <v>349542</v>
      </c>
      <c r="B35710" s="29" t="n">
        <v>16</v>
      </c>
      <c r="C35710" s="7" t="n">
        <v>1500</v>
      </c>
    </row>
    <row r="35711" spans="1:13">
      <c r="A35711" t="s">
        <v>4</v>
      </c>
      <c r="B35711" s="4" t="s">
        <v>5</v>
      </c>
      <c r="C35711" s="4" t="s">
        <v>7</v>
      </c>
      <c r="D35711" s="4" t="s">
        <v>11</v>
      </c>
      <c r="E35711" s="4" t="s">
        <v>8</v>
      </c>
    </row>
    <row r="35712" spans="1:13">
      <c r="A35712" t="n">
        <v>349545</v>
      </c>
      <c r="B35712" s="38" t="n">
        <v>51</v>
      </c>
      <c r="C35712" s="7" t="n">
        <v>4</v>
      </c>
      <c r="D35712" s="7" t="n">
        <v>0</v>
      </c>
      <c r="E35712" s="7" t="s">
        <v>179</v>
      </c>
    </row>
    <row r="35713" spans="1:9">
      <c r="A35713" t="s">
        <v>4</v>
      </c>
      <c r="B35713" s="4" t="s">
        <v>5</v>
      </c>
      <c r="C35713" s="4" t="s">
        <v>11</v>
      </c>
    </row>
    <row r="35714" spans="1:9">
      <c r="A35714" t="n">
        <v>349559</v>
      </c>
      <c r="B35714" s="29" t="n">
        <v>16</v>
      </c>
      <c r="C35714" s="7" t="n">
        <v>0</v>
      </c>
    </row>
    <row r="35715" spans="1:9">
      <c r="A35715" t="s">
        <v>4</v>
      </c>
      <c r="B35715" s="4" t="s">
        <v>5</v>
      </c>
      <c r="C35715" s="4" t="s">
        <v>11</v>
      </c>
      <c r="D35715" s="4" t="s">
        <v>7</v>
      </c>
      <c r="E35715" s="4" t="s">
        <v>15</v>
      </c>
      <c r="F35715" s="4" t="s">
        <v>55</v>
      </c>
      <c r="G35715" s="4" t="s">
        <v>7</v>
      </c>
      <c r="H35715" s="4" t="s">
        <v>7</v>
      </c>
    </row>
    <row r="35716" spans="1:9">
      <c r="A35716" t="n">
        <v>349562</v>
      </c>
      <c r="B35716" s="55" t="n">
        <v>26</v>
      </c>
      <c r="C35716" s="7" t="n">
        <v>0</v>
      </c>
      <c r="D35716" s="7" t="n">
        <v>17</v>
      </c>
      <c r="E35716" s="7" t="n">
        <v>64157</v>
      </c>
      <c r="F35716" s="7" t="s">
        <v>1036</v>
      </c>
      <c r="G35716" s="7" t="n">
        <v>2</v>
      </c>
      <c r="H35716" s="7" t="n">
        <v>0</v>
      </c>
    </row>
    <row r="35717" spans="1:9">
      <c r="A35717" t="s">
        <v>4</v>
      </c>
      <c r="B35717" s="4" t="s">
        <v>5</v>
      </c>
    </row>
    <row r="35718" spans="1:9">
      <c r="A35718" t="n">
        <v>349592</v>
      </c>
      <c r="B35718" s="27" t="n">
        <v>28</v>
      </c>
    </row>
    <row r="35719" spans="1:9">
      <c r="A35719" t="s">
        <v>4</v>
      </c>
      <c r="B35719" s="4" t="s">
        <v>5</v>
      </c>
      <c r="C35719" s="4" t="s">
        <v>11</v>
      </c>
      <c r="D35719" s="4" t="s">
        <v>7</v>
      </c>
    </row>
    <row r="35720" spans="1:9">
      <c r="A35720" t="n">
        <v>349593</v>
      </c>
      <c r="B35720" s="68" t="n">
        <v>89</v>
      </c>
      <c r="C35720" s="7" t="n">
        <v>65533</v>
      </c>
      <c r="D35720" s="7" t="n">
        <v>1</v>
      </c>
    </row>
    <row r="35721" spans="1:9">
      <c r="A35721" t="s">
        <v>4</v>
      </c>
      <c r="B35721" s="4" t="s">
        <v>5</v>
      </c>
      <c r="C35721" s="4" t="s">
        <v>7</v>
      </c>
      <c r="D35721" s="4" t="s">
        <v>13</v>
      </c>
      <c r="E35721" s="4" t="s">
        <v>13</v>
      </c>
      <c r="F35721" s="4" t="s">
        <v>13</v>
      </c>
    </row>
    <row r="35722" spans="1:9">
      <c r="A35722" t="n">
        <v>349597</v>
      </c>
      <c r="B35722" s="51" t="n">
        <v>45</v>
      </c>
      <c r="C35722" s="7" t="n">
        <v>9</v>
      </c>
      <c r="D35722" s="7" t="n">
        <v>0.0199999995529652</v>
      </c>
      <c r="E35722" s="7" t="n">
        <v>0.0199999995529652</v>
      </c>
      <c r="F35722" s="7" t="n">
        <v>0.5</v>
      </c>
    </row>
    <row r="35723" spans="1:9">
      <c r="A35723" t="s">
        <v>4</v>
      </c>
      <c r="B35723" s="4" t="s">
        <v>5</v>
      </c>
      <c r="C35723" s="4" t="s">
        <v>7</v>
      </c>
      <c r="D35723" s="4" t="s">
        <v>11</v>
      </c>
      <c r="E35723" s="4" t="s">
        <v>8</v>
      </c>
    </row>
    <row r="35724" spans="1:9">
      <c r="A35724" t="n">
        <v>349611</v>
      </c>
      <c r="B35724" s="38" t="n">
        <v>51</v>
      </c>
      <c r="C35724" s="7" t="n">
        <v>4</v>
      </c>
      <c r="D35724" s="7" t="n">
        <v>0</v>
      </c>
      <c r="E35724" s="7" t="s">
        <v>450</v>
      </c>
    </row>
    <row r="35725" spans="1:9">
      <c r="A35725" t="s">
        <v>4</v>
      </c>
      <c r="B35725" s="4" t="s">
        <v>5</v>
      </c>
      <c r="C35725" s="4" t="s">
        <v>11</v>
      </c>
    </row>
    <row r="35726" spans="1:9">
      <c r="A35726" t="n">
        <v>349625</v>
      </c>
      <c r="B35726" s="29" t="n">
        <v>16</v>
      </c>
      <c r="C35726" s="7" t="n">
        <v>0</v>
      </c>
    </row>
    <row r="35727" spans="1:9">
      <c r="A35727" t="s">
        <v>4</v>
      </c>
      <c r="B35727" s="4" t="s">
        <v>5</v>
      </c>
      <c r="C35727" s="4" t="s">
        <v>11</v>
      </c>
      <c r="D35727" s="4" t="s">
        <v>7</v>
      </c>
      <c r="E35727" s="4" t="s">
        <v>15</v>
      </c>
      <c r="F35727" s="4" t="s">
        <v>55</v>
      </c>
      <c r="G35727" s="4" t="s">
        <v>7</v>
      </c>
      <c r="H35727" s="4" t="s">
        <v>7</v>
      </c>
    </row>
    <row r="35728" spans="1:9">
      <c r="A35728" t="n">
        <v>349628</v>
      </c>
      <c r="B35728" s="55" t="n">
        <v>26</v>
      </c>
      <c r="C35728" s="7" t="n">
        <v>0</v>
      </c>
      <c r="D35728" s="7" t="n">
        <v>17</v>
      </c>
      <c r="E35728" s="7" t="n">
        <v>64158</v>
      </c>
      <c r="F35728" s="7" t="s">
        <v>1037</v>
      </c>
      <c r="G35728" s="7" t="n">
        <v>2</v>
      </c>
      <c r="H35728" s="7" t="n">
        <v>0</v>
      </c>
    </row>
    <row r="35729" spans="1:8">
      <c r="A35729" t="s">
        <v>4</v>
      </c>
      <c r="B35729" s="4" t="s">
        <v>5</v>
      </c>
    </row>
    <row r="35730" spans="1:8">
      <c r="A35730" t="n">
        <v>349653</v>
      </c>
      <c r="B35730" s="27" t="n">
        <v>28</v>
      </c>
    </row>
    <row r="35731" spans="1:8">
      <c r="A35731" t="s">
        <v>4</v>
      </c>
      <c r="B35731" s="4" t="s">
        <v>5</v>
      </c>
      <c r="C35731" s="4" t="s">
        <v>7</v>
      </c>
      <c r="D35731" s="4" t="s">
        <v>11</v>
      </c>
      <c r="E35731" s="4" t="s">
        <v>8</v>
      </c>
      <c r="F35731" s="4" t="s">
        <v>8</v>
      </c>
      <c r="G35731" s="4" t="s">
        <v>8</v>
      </c>
      <c r="H35731" s="4" t="s">
        <v>8</v>
      </c>
    </row>
    <row r="35732" spans="1:8">
      <c r="A35732" t="n">
        <v>349654</v>
      </c>
      <c r="B35732" s="38" t="n">
        <v>51</v>
      </c>
      <c r="C35732" s="7" t="n">
        <v>3</v>
      </c>
      <c r="D35732" s="7" t="n">
        <v>4</v>
      </c>
      <c r="E35732" s="7" t="s">
        <v>154</v>
      </c>
      <c r="F35732" s="7" t="s">
        <v>155</v>
      </c>
      <c r="G35732" s="7" t="s">
        <v>78</v>
      </c>
      <c r="H35732" s="7" t="s">
        <v>79</v>
      </c>
    </row>
    <row r="35733" spans="1:8">
      <c r="A35733" t="s">
        <v>4</v>
      </c>
      <c r="B35733" s="4" t="s">
        <v>5</v>
      </c>
      <c r="C35733" s="4" t="s">
        <v>11</v>
      </c>
      <c r="D35733" s="4" t="s">
        <v>7</v>
      </c>
      <c r="E35733" s="4" t="s">
        <v>13</v>
      </c>
      <c r="F35733" s="4" t="s">
        <v>11</v>
      </c>
    </row>
    <row r="35734" spans="1:8">
      <c r="A35734" t="n">
        <v>349667</v>
      </c>
      <c r="B35734" s="56" t="n">
        <v>59</v>
      </c>
      <c r="C35734" s="7" t="n">
        <v>4</v>
      </c>
      <c r="D35734" s="7" t="n">
        <v>14</v>
      </c>
      <c r="E35734" s="7" t="n">
        <v>0.150000005960464</v>
      </c>
      <c r="F35734" s="7" t="n">
        <v>0</v>
      </c>
    </row>
    <row r="35735" spans="1:8">
      <c r="A35735" t="s">
        <v>4</v>
      </c>
      <c r="B35735" s="4" t="s">
        <v>5</v>
      </c>
      <c r="C35735" s="4" t="s">
        <v>11</v>
      </c>
    </row>
    <row r="35736" spans="1:8">
      <c r="A35736" t="n">
        <v>349677</v>
      </c>
      <c r="B35736" s="29" t="n">
        <v>16</v>
      </c>
      <c r="C35736" s="7" t="n">
        <v>1000</v>
      </c>
    </row>
    <row r="35737" spans="1:8">
      <c r="A35737" t="s">
        <v>4</v>
      </c>
      <c r="B35737" s="4" t="s">
        <v>5</v>
      </c>
      <c r="C35737" s="4" t="s">
        <v>7</v>
      </c>
      <c r="D35737" s="4" t="s">
        <v>11</v>
      </c>
      <c r="E35737" s="4" t="s">
        <v>8</v>
      </c>
    </row>
    <row r="35738" spans="1:8">
      <c r="A35738" t="n">
        <v>349680</v>
      </c>
      <c r="B35738" s="38" t="n">
        <v>51</v>
      </c>
      <c r="C35738" s="7" t="n">
        <v>4</v>
      </c>
      <c r="D35738" s="7" t="n">
        <v>4</v>
      </c>
      <c r="E35738" s="7" t="s">
        <v>1038</v>
      </c>
    </row>
    <row r="35739" spans="1:8">
      <c r="A35739" t="s">
        <v>4</v>
      </c>
      <c r="B35739" s="4" t="s">
        <v>5</v>
      </c>
      <c r="C35739" s="4" t="s">
        <v>11</v>
      </c>
    </row>
    <row r="35740" spans="1:8">
      <c r="A35740" t="n">
        <v>349698</v>
      </c>
      <c r="B35740" s="29" t="n">
        <v>16</v>
      </c>
      <c r="C35740" s="7" t="n">
        <v>0</v>
      </c>
    </row>
    <row r="35741" spans="1:8">
      <c r="A35741" t="s">
        <v>4</v>
      </c>
      <c r="B35741" s="4" t="s">
        <v>5</v>
      </c>
      <c r="C35741" s="4" t="s">
        <v>11</v>
      </c>
      <c r="D35741" s="4" t="s">
        <v>7</v>
      </c>
      <c r="E35741" s="4" t="s">
        <v>15</v>
      </c>
      <c r="F35741" s="4" t="s">
        <v>55</v>
      </c>
      <c r="G35741" s="4" t="s">
        <v>7</v>
      </c>
      <c r="H35741" s="4" t="s">
        <v>7</v>
      </c>
    </row>
    <row r="35742" spans="1:8">
      <c r="A35742" t="n">
        <v>349701</v>
      </c>
      <c r="B35742" s="55" t="n">
        <v>26</v>
      </c>
      <c r="C35742" s="7" t="n">
        <v>4</v>
      </c>
      <c r="D35742" s="7" t="n">
        <v>17</v>
      </c>
      <c r="E35742" s="7" t="n">
        <v>7819</v>
      </c>
      <c r="F35742" s="7" t="s">
        <v>1039</v>
      </c>
      <c r="G35742" s="7" t="n">
        <v>2</v>
      </c>
      <c r="H35742" s="7" t="n">
        <v>0</v>
      </c>
    </row>
    <row r="35743" spans="1:8">
      <c r="A35743" t="s">
        <v>4</v>
      </c>
      <c r="B35743" s="4" t="s">
        <v>5</v>
      </c>
    </row>
    <row r="35744" spans="1:8">
      <c r="A35744" t="n">
        <v>349810</v>
      </c>
      <c r="B35744" s="27" t="n">
        <v>28</v>
      </c>
    </row>
    <row r="35745" spans="1:8">
      <c r="A35745" t="s">
        <v>4</v>
      </c>
      <c r="B35745" s="4" t="s">
        <v>5</v>
      </c>
      <c r="C35745" s="4" t="s">
        <v>7</v>
      </c>
      <c r="D35745" s="4" t="s">
        <v>11</v>
      </c>
      <c r="E35745" s="4" t="s">
        <v>8</v>
      </c>
    </row>
    <row r="35746" spans="1:8">
      <c r="A35746" t="n">
        <v>349811</v>
      </c>
      <c r="B35746" s="38" t="n">
        <v>51</v>
      </c>
      <c r="C35746" s="7" t="n">
        <v>4</v>
      </c>
      <c r="D35746" s="7" t="n">
        <v>0</v>
      </c>
      <c r="E35746" s="7" t="s">
        <v>179</v>
      </c>
    </row>
    <row r="35747" spans="1:8">
      <c r="A35747" t="s">
        <v>4</v>
      </c>
      <c r="B35747" s="4" t="s">
        <v>5</v>
      </c>
      <c r="C35747" s="4" t="s">
        <v>11</v>
      </c>
    </row>
    <row r="35748" spans="1:8">
      <c r="A35748" t="n">
        <v>349825</v>
      </c>
      <c r="B35748" s="29" t="n">
        <v>16</v>
      </c>
      <c r="C35748" s="7" t="n">
        <v>0</v>
      </c>
    </row>
    <row r="35749" spans="1:8">
      <c r="A35749" t="s">
        <v>4</v>
      </c>
      <c r="B35749" s="4" t="s">
        <v>5</v>
      </c>
      <c r="C35749" s="4" t="s">
        <v>11</v>
      </c>
      <c r="D35749" s="4" t="s">
        <v>7</v>
      </c>
      <c r="E35749" s="4" t="s">
        <v>15</v>
      </c>
      <c r="F35749" s="4" t="s">
        <v>55</v>
      </c>
      <c r="G35749" s="4" t="s">
        <v>7</v>
      </c>
      <c r="H35749" s="4" t="s">
        <v>7</v>
      </c>
      <c r="I35749" s="4" t="s">
        <v>7</v>
      </c>
      <c r="J35749" s="4" t="s">
        <v>15</v>
      </c>
      <c r="K35749" s="4" t="s">
        <v>55</v>
      </c>
      <c r="L35749" s="4" t="s">
        <v>7</v>
      </c>
      <c r="M35749" s="4" t="s">
        <v>7</v>
      </c>
    </row>
    <row r="35750" spans="1:8">
      <c r="A35750" t="n">
        <v>349828</v>
      </c>
      <c r="B35750" s="55" t="n">
        <v>26</v>
      </c>
      <c r="C35750" s="7" t="n">
        <v>0</v>
      </c>
      <c r="D35750" s="7" t="n">
        <v>17</v>
      </c>
      <c r="E35750" s="7" t="n">
        <v>64159</v>
      </c>
      <c r="F35750" s="7" t="s">
        <v>1040</v>
      </c>
      <c r="G35750" s="7" t="n">
        <v>2</v>
      </c>
      <c r="H35750" s="7" t="n">
        <v>3</v>
      </c>
      <c r="I35750" s="7" t="n">
        <v>17</v>
      </c>
      <c r="J35750" s="7" t="n">
        <v>64160</v>
      </c>
      <c r="K35750" s="7" t="s">
        <v>1041</v>
      </c>
      <c r="L35750" s="7" t="n">
        <v>2</v>
      </c>
      <c r="M35750" s="7" t="n">
        <v>0</v>
      </c>
    </row>
    <row r="35751" spans="1:8">
      <c r="A35751" t="s">
        <v>4</v>
      </c>
      <c r="B35751" s="4" t="s">
        <v>5</v>
      </c>
    </row>
    <row r="35752" spans="1:8">
      <c r="A35752" t="n">
        <v>350012</v>
      </c>
      <c r="B35752" s="27" t="n">
        <v>28</v>
      </c>
    </row>
    <row r="35753" spans="1:8">
      <c r="A35753" t="s">
        <v>4</v>
      </c>
      <c r="B35753" s="4" t="s">
        <v>5</v>
      </c>
      <c r="C35753" s="4" t="s">
        <v>7</v>
      </c>
      <c r="D35753" s="4" t="s">
        <v>11</v>
      </c>
      <c r="E35753" s="4" t="s">
        <v>8</v>
      </c>
    </row>
    <row r="35754" spans="1:8">
      <c r="A35754" t="n">
        <v>350013</v>
      </c>
      <c r="B35754" s="38" t="n">
        <v>51</v>
      </c>
      <c r="C35754" s="7" t="n">
        <v>4</v>
      </c>
      <c r="D35754" s="7" t="n">
        <v>4</v>
      </c>
      <c r="E35754" s="7" t="s">
        <v>773</v>
      </c>
    </row>
    <row r="35755" spans="1:8">
      <c r="A35755" t="s">
        <v>4</v>
      </c>
      <c r="B35755" s="4" t="s">
        <v>5</v>
      </c>
      <c r="C35755" s="4" t="s">
        <v>11</v>
      </c>
    </row>
    <row r="35756" spans="1:8">
      <c r="A35756" t="n">
        <v>350032</v>
      </c>
      <c r="B35756" s="29" t="n">
        <v>16</v>
      </c>
      <c r="C35756" s="7" t="n">
        <v>0</v>
      </c>
    </row>
    <row r="35757" spans="1:8">
      <c r="A35757" t="s">
        <v>4</v>
      </c>
      <c r="B35757" s="4" t="s">
        <v>5</v>
      </c>
      <c r="C35757" s="4" t="s">
        <v>11</v>
      </c>
      <c r="D35757" s="4" t="s">
        <v>7</v>
      </c>
      <c r="E35757" s="4" t="s">
        <v>15</v>
      </c>
      <c r="F35757" s="4" t="s">
        <v>55</v>
      </c>
      <c r="G35757" s="4" t="s">
        <v>7</v>
      </c>
      <c r="H35757" s="4" t="s">
        <v>7</v>
      </c>
    </row>
    <row r="35758" spans="1:8">
      <c r="A35758" t="n">
        <v>350035</v>
      </c>
      <c r="B35758" s="55" t="n">
        <v>26</v>
      </c>
      <c r="C35758" s="7" t="n">
        <v>4</v>
      </c>
      <c r="D35758" s="7" t="n">
        <v>17</v>
      </c>
      <c r="E35758" s="7" t="n">
        <v>7820</v>
      </c>
      <c r="F35758" s="7" t="s">
        <v>1042</v>
      </c>
      <c r="G35758" s="7" t="n">
        <v>2</v>
      </c>
      <c r="H35758" s="7" t="n">
        <v>0</v>
      </c>
    </row>
    <row r="35759" spans="1:8">
      <c r="A35759" t="s">
        <v>4</v>
      </c>
      <c r="B35759" s="4" t="s">
        <v>5</v>
      </c>
    </row>
    <row r="35760" spans="1:8">
      <c r="A35760" t="n">
        <v>350063</v>
      </c>
      <c r="B35760" s="27" t="n">
        <v>28</v>
      </c>
    </row>
    <row r="35761" spans="1:13">
      <c r="A35761" t="s">
        <v>4</v>
      </c>
      <c r="B35761" s="4" t="s">
        <v>5</v>
      </c>
      <c r="C35761" s="4" t="s">
        <v>7</v>
      </c>
      <c r="D35761" s="4" t="s">
        <v>11</v>
      </c>
      <c r="E35761" s="4" t="s">
        <v>8</v>
      </c>
    </row>
    <row r="35762" spans="1:13">
      <c r="A35762" t="n">
        <v>350064</v>
      </c>
      <c r="B35762" s="38" t="n">
        <v>51</v>
      </c>
      <c r="C35762" s="7" t="n">
        <v>4</v>
      </c>
      <c r="D35762" s="7" t="n">
        <v>0</v>
      </c>
      <c r="E35762" s="7" t="s">
        <v>179</v>
      </c>
    </row>
    <row r="35763" spans="1:13">
      <c r="A35763" t="s">
        <v>4</v>
      </c>
      <c r="B35763" s="4" t="s">
        <v>5</v>
      </c>
      <c r="C35763" s="4" t="s">
        <v>11</v>
      </c>
    </row>
    <row r="35764" spans="1:13">
      <c r="A35764" t="n">
        <v>350078</v>
      </c>
      <c r="B35764" s="29" t="n">
        <v>16</v>
      </c>
      <c r="C35764" s="7" t="n">
        <v>0</v>
      </c>
    </row>
    <row r="35765" spans="1:13">
      <c r="A35765" t="s">
        <v>4</v>
      </c>
      <c r="B35765" s="4" t="s">
        <v>5</v>
      </c>
      <c r="C35765" s="4" t="s">
        <v>11</v>
      </c>
      <c r="D35765" s="4" t="s">
        <v>7</v>
      </c>
      <c r="E35765" s="4" t="s">
        <v>15</v>
      </c>
      <c r="F35765" s="4" t="s">
        <v>55</v>
      </c>
      <c r="G35765" s="4" t="s">
        <v>7</v>
      </c>
      <c r="H35765" s="4" t="s">
        <v>7</v>
      </c>
      <c r="I35765" s="4" t="s">
        <v>7</v>
      </c>
      <c r="J35765" s="4" t="s">
        <v>15</v>
      </c>
      <c r="K35765" s="4" t="s">
        <v>55</v>
      </c>
      <c r="L35765" s="4" t="s">
        <v>7</v>
      </c>
      <c r="M35765" s="4" t="s">
        <v>7</v>
      </c>
      <c r="N35765" s="4" t="s">
        <v>7</v>
      </c>
      <c r="O35765" s="4" t="s">
        <v>15</v>
      </c>
      <c r="P35765" s="4" t="s">
        <v>55</v>
      </c>
      <c r="Q35765" s="4" t="s">
        <v>7</v>
      </c>
      <c r="R35765" s="4" t="s">
        <v>7</v>
      </c>
    </row>
    <row r="35766" spans="1:13">
      <c r="A35766" t="n">
        <v>350081</v>
      </c>
      <c r="B35766" s="55" t="n">
        <v>26</v>
      </c>
      <c r="C35766" s="7" t="n">
        <v>0</v>
      </c>
      <c r="D35766" s="7" t="n">
        <v>17</v>
      </c>
      <c r="E35766" s="7" t="n">
        <v>64161</v>
      </c>
      <c r="F35766" s="7" t="s">
        <v>1043</v>
      </c>
      <c r="G35766" s="7" t="n">
        <v>2</v>
      </c>
      <c r="H35766" s="7" t="n">
        <v>3</v>
      </c>
      <c r="I35766" s="7" t="n">
        <v>17</v>
      </c>
      <c r="J35766" s="7" t="n">
        <v>64162</v>
      </c>
      <c r="K35766" s="7" t="s">
        <v>1044</v>
      </c>
      <c r="L35766" s="7" t="n">
        <v>2</v>
      </c>
      <c r="M35766" s="7" t="n">
        <v>3</v>
      </c>
      <c r="N35766" s="7" t="n">
        <v>17</v>
      </c>
      <c r="O35766" s="7" t="n">
        <v>64163</v>
      </c>
      <c r="P35766" s="7" t="s">
        <v>1045</v>
      </c>
      <c r="Q35766" s="7" t="n">
        <v>2</v>
      </c>
      <c r="R35766" s="7" t="n">
        <v>0</v>
      </c>
    </row>
    <row r="35767" spans="1:13">
      <c r="A35767" t="s">
        <v>4</v>
      </c>
      <c r="B35767" s="4" t="s">
        <v>5</v>
      </c>
    </row>
    <row r="35768" spans="1:13">
      <c r="A35768" t="n">
        <v>350475</v>
      </c>
      <c r="B35768" s="27" t="n">
        <v>28</v>
      </c>
    </row>
    <row r="35769" spans="1:13">
      <c r="A35769" t="s">
        <v>4</v>
      </c>
      <c r="B35769" s="4" t="s">
        <v>5</v>
      </c>
      <c r="C35769" s="4" t="s">
        <v>7</v>
      </c>
      <c r="D35769" s="4" t="s">
        <v>11</v>
      </c>
      <c r="E35769" s="4" t="s">
        <v>8</v>
      </c>
    </row>
    <row r="35770" spans="1:13">
      <c r="A35770" t="n">
        <v>350476</v>
      </c>
      <c r="B35770" s="38" t="n">
        <v>51</v>
      </c>
      <c r="C35770" s="7" t="n">
        <v>4</v>
      </c>
      <c r="D35770" s="7" t="n">
        <v>4</v>
      </c>
      <c r="E35770" s="7" t="s">
        <v>1046</v>
      </c>
    </row>
    <row r="35771" spans="1:13">
      <c r="A35771" t="s">
        <v>4</v>
      </c>
      <c r="B35771" s="4" t="s">
        <v>5</v>
      </c>
      <c r="C35771" s="4" t="s">
        <v>11</v>
      </c>
    </row>
    <row r="35772" spans="1:13">
      <c r="A35772" t="n">
        <v>350490</v>
      </c>
      <c r="B35772" s="29" t="n">
        <v>16</v>
      </c>
      <c r="C35772" s="7" t="n">
        <v>0</v>
      </c>
    </row>
    <row r="35773" spans="1:13">
      <c r="A35773" t="s">
        <v>4</v>
      </c>
      <c r="B35773" s="4" t="s">
        <v>5</v>
      </c>
      <c r="C35773" s="4" t="s">
        <v>11</v>
      </c>
      <c r="D35773" s="4" t="s">
        <v>7</v>
      </c>
      <c r="E35773" s="4" t="s">
        <v>15</v>
      </c>
      <c r="F35773" s="4" t="s">
        <v>55</v>
      </c>
      <c r="G35773" s="4" t="s">
        <v>7</v>
      </c>
      <c r="H35773" s="4" t="s">
        <v>7</v>
      </c>
    </row>
    <row r="35774" spans="1:13">
      <c r="A35774" t="n">
        <v>350493</v>
      </c>
      <c r="B35774" s="55" t="n">
        <v>26</v>
      </c>
      <c r="C35774" s="7" t="n">
        <v>4</v>
      </c>
      <c r="D35774" s="7" t="n">
        <v>17</v>
      </c>
      <c r="E35774" s="7" t="n">
        <v>7821</v>
      </c>
      <c r="F35774" s="7" t="s">
        <v>1047</v>
      </c>
      <c r="G35774" s="7" t="n">
        <v>2</v>
      </c>
      <c r="H35774" s="7" t="n">
        <v>0</v>
      </c>
    </row>
    <row r="35775" spans="1:13">
      <c r="A35775" t="s">
        <v>4</v>
      </c>
      <c r="B35775" s="4" t="s">
        <v>5</v>
      </c>
    </row>
    <row r="35776" spans="1:13">
      <c r="A35776" t="n">
        <v>350538</v>
      </c>
      <c r="B35776" s="27" t="n">
        <v>28</v>
      </c>
    </row>
    <row r="35777" spans="1:18">
      <c r="A35777" t="s">
        <v>4</v>
      </c>
      <c r="B35777" s="4" t="s">
        <v>5</v>
      </c>
      <c r="C35777" s="4" t="s">
        <v>7</v>
      </c>
      <c r="D35777" s="4" t="s">
        <v>11</v>
      </c>
      <c r="E35777" s="4" t="s">
        <v>8</v>
      </c>
    </row>
    <row r="35778" spans="1:18">
      <c r="A35778" t="n">
        <v>350539</v>
      </c>
      <c r="B35778" s="38" t="n">
        <v>51</v>
      </c>
      <c r="C35778" s="7" t="n">
        <v>4</v>
      </c>
      <c r="D35778" s="7" t="n">
        <v>0</v>
      </c>
      <c r="E35778" s="7" t="s">
        <v>179</v>
      </c>
    </row>
    <row r="35779" spans="1:18">
      <c r="A35779" t="s">
        <v>4</v>
      </c>
      <c r="B35779" s="4" t="s">
        <v>5</v>
      </c>
      <c r="C35779" s="4" t="s">
        <v>11</v>
      </c>
    </row>
    <row r="35780" spans="1:18">
      <c r="A35780" t="n">
        <v>350553</v>
      </c>
      <c r="B35780" s="29" t="n">
        <v>16</v>
      </c>
      <c r="C35780" s="7" t="n">
        <v>0</v>
      </c>
    </row>
    <row r="35781" spans="1:18">
      <c r="A35781" t="s">
        <v>4</v>
      </c>
      <c r="B35781" s="4" t="s">
        <v>5</v>
      </c>
      <c r="C35781" s="4" t="s">
        <v>11</v>
      </c>
      <c r="D35781" s="4" t="s">
        <v>7</v>
      </c>
      <c r="E35781" s="4" t="s">
        <v>15</v>
      </c>
      <c r="F35781" s="4" t="s">
        <v>55</v>
      </c>
      <c r="G35781" s="4" t="s">
        <v>7</v>
      </c>
      <c r="H35781" s="4" t="s">
        <v>7</v>
      </c>
      <c r="I35781" s="4" t="s">
        <v>7</v>
      </c>
      <c r="J35781" s="4" t="s">
        <v>15</v>
      </c>
      <c r="K35781" s="4" t="s">
        <v>55</v>
      </c>
      <c r="L35781" s="4" t="s">
        <v>7</v>
      </c>
      <c r="M35781" s="4" t="s">
        <v>7</v>
      </c>
      <c r="N35781" s="4" t="s">
        <v>7</v>
      </c>
      <c r="O35781" s="4" t="s">
        <v>15</v>
      </c>
      <c r="P35781" s="4" t="s">
        <v>55</v>
      </c>
      <c r="Q35781" s="4" t="s">
        <v>7</v>
      </c>
      <c r="R35781" s="4" t="s">
        <v>7</v>
      </c>
    </row>
    <row r="35782" spans="1:18">
      <c r="A35782" t="n">
        <v>350556</v>
      </c>
      <c r="B35782" s="55" t="n">
        <v>26</v>
      </c>
      <c r="C35782" s="7" t="n">
        <v>0</v>
      </c>
      <c r="D35782" s="7" t="n">
        <v>17</v>
      </c>
      <c r="E35782" s="7" t="n">
        <v>64164</v>
      </c>
      <c r="F35782" s="7" t="s">
        <v>1048</v>
      </c>
      <c r="G35782" s="7" t="n">
        <v>2</v>
      </c>
      <c r="H35782" s="7" t="n">
        <v>3</v>
      </c>
      <c r="I35782" s="7" t="n">
        <v>17</v>
      </c>
      <c r="J35782" s="7" t="n">
        <v>64165</v>
      </c>
      <c r="K35782" s="7" t="s">
        <v>1049</v>
      </c>
      <c r="L35782" s="7" t="n">
        <v>2</v>
      </c>
      <c r="M35782" s="7" t="n">
        <v>3</v>
      </c>
      <c r="N35782" s="7" t="n">
        <v>17</v>
      </c>
      <c r="O35782" s="7" t="n">
        <v>64166</v>
      </c>
      <c r="P35782" s="7" t="s">
        <v>1050</v>
      </c>
      <c r="Q35782" s="7" t="n">
        <v>2</v>
      </c>
      <c r="R35782" s="7" t="n">
        <v>0</v>
      </c>
    </row>
    <row r="35783" spans="1:18">
      <c r="A35783" t="s">
        <v>4</v>
      </c>
      <c r="B35783" s="4" t="s">
        <v>5</v>
      </c>
    </row>
    <row r="35784" spans="1:18">
      <c r="A35784" t="n">
        <v>350958</v>
      </c>
      <c r="B35784" s="27" t="n">
        <v>28</v>
      </c>
    </row>
    <row r="35785" spans="1:18">
      <c r="A35785" t="s">
        <v>4</v>
      </c>
      <c r="B35785" s="4" t="s">
        <v>5</v>
      </c>
      <c r="C35785" s="4" t="s">
        <v>7</v>
      </c>
      <c r="D35785" s="4" t="s">
        <v>11</v>
      </c>
      <c r="E35785" s="4" t="s">
        <v>8</v>
      </c>
    </row>
    <row r="35786" spans="1:18">
      <c r="A35786" t="n">
        <v>350959</v>
      </c>
      <c r="B35786" s="38" t="n">
        <v>51</v>
      </c>
      <c r="C35786" s="7" t="n">
        <v>4</v>
      </c>
      <c r="D35786" s="7" t="n">
        <v>4</v>
      </c>
      <c r="E35786" s="7" t="s">
        <v>757</v>
      </c>
    </row>
    <row r="35787" spans="1:18">
      <c r="A35787" t="s">
        <v>4</v>
      </c>
      <c r="B35787" s="4" t="s">
        <v>5</v>
      </c>
      <c r="C35787" s="4" t="s">
        <v>11</v>
      </c>
    </row>
    <row r="35788" spans="1:18">
      <c r="A35788" t="n">
        <v>350978</v>
      </c>
      <c r="B35788" s="29" t="n">
        <v>16</v>
      </c>
      <c r="C35788" s="7" t="n">
        <v>0</v>
      </c>
    </row>
    <row r="35789" spans="1:18">
      <c r="A35789" t="s">
        <v>4</v>
      </c>
      <c r="B35789" s="4" t="s">
        <v>5</v>
      </c>
      <c r="C35789" s="4" t="s">
        <v>11</v>
      </c>
      <c r="D35789" s="4" t="s">
        <v>7</v>
      </c>
      <c r="E35789" s="4" t="s">
        <v>15</v>
      </c>
      <c r="F35789" s="4" t="s">
        <v>55</v>
      </c>
      <c r="G35789" s="4" t="s">
        <v>7</v>
      </c>
      <c r="H35789" s="4" t="s">
        <v>7</v>
      </c>
      <c r="I35789" s="4" t="s">
        <v>7</v>
      </c>
      <c r="J35789" s="4" t="s">
        <v>15</v>
      </c>
      <c r="K35789" s="4" t="s">
        <v>55</v>
      </c>
      <c r="L35789" s="4" t="s">
        <v>7</v>
      </c>
      <c r="M35789" s="4" t="s">
        <v>7</v>
      </c>
    </row>
    <row r="35790" spans="1:18">
      <c r="A35790" t="n">
        <v>350981</v>
      </c>
      <c r="B35790" s="55" t="n">
        <v>26</v>
      </c>
      <c r="C35790" s="7" t="n">
        <v>4</v>
      </c>
      <c r="D35790" s="7" t="n">
        <v>17</v>
      </c>
      <c r="E35790" s="7" t="n">
        <v>7822</v>
      </c>
      <c r="F35790" s="7" t="s">
        <v>1051</v>
      </c>
      <c r="G35790" s="7" t="n">
        <v>2</v>
      </c>
      <c r="H35790" s="7" t="n">
        <v>3</v>
      </c>
      <c r="I35790" s="7" t="n">
        <v>17</v>
      </c>
      <c r="J35790" s="7" t="n">
        <v>7823</v>
      </c>
      <c r="K35790" s="7" t="s">
        <v>1052</v>
      </c>
      <c r="L35790" s="7" t="n">
        <v>2</v>
      </c>
      <c r="M35790" s="7" t="n">
        <v>0</v>
      </c>
    </row>
    <row r="35791" spans="1:18">
      <c r="A35791" t="s">
        <v>4</v>
      </c>
      <c r="B35791" s="4" t="s">
        <v>5</v>
      </c>
    </row>
    <row r="35792" spans="1:18">
      <c r="A35792" t="n">
        <v>351159</v>
      </c>
      <c r="B35792" s="27" t="n">
        <v>28</v>
      </c>
    </row>
    <row r="35793" spans="1:18">
      <c r="A35793" t="s">
        <v>4</v>
      </c>
      <c r="B35793" s="4" t="s">
        <v>5</v>
      </c>
      <c r="C35793" s="4" t="s">
        <v>11</v>
      </c>
      <c r="D35793" s="4" t="s">
        <v>7</v>
      </c>
    </row>
    <row r="35794" spans="1:18">
      <c r="A35794" t="n">
        <v>351160</v>
      </c>
      <c r="B35794" s="68" t="n">
        <v>89</v>
      </c>
      <c r="C35794" s="7" t="n">
        <v>65533</v>
      </c>
      <c r="D35794" s="7" t="n">
        <v>1</v>
      </c>
    </row>
    <row r="35795" spans="1:18">
      <c r="A35795" t="s">
        <v>4</v>
      </c>
      <c r="B35795" s="4" t="s">
        <v>5</v>
      </c>
      <c r="C35795" s="4" t="s">
        <v>7</v>
      </c>
      <c r="D35795" s="4" t="s">
        <v>11</v>
      </c>
      <c r="E35795" s="4" t="s">
        <v>13</v>
      </c>
    </row>
    <row r="35796" spans="1:18">
      <c r="A35796" t="n">
        <v>351164</v>
      </c>
      <c r="B35796" s="23" t="n">
        <v>58</v>
      </c>
      <c r="C35796" s="7" t="n">
        <v>101</v>
      </c>
      <c r="D35796" s="7" t="n">
        <v>500</v>
      </c>
      <c r="E35796" s="7" t="n">
        <v>1</v>
      </c>
    </row>
    <row r="35797" spans="1:18">
      <c r="A35797" t="s">
        <v>4</v>
      </c>
      <c r="B35797" s="4" t="s">
        <v>5</v>
      </c>
      <c r="C35797" s="4" t="s">
        <v>7</v>
      </c>
      <c r="D35797" s="4" t="s">
        <v>11</v>
      </c>
    </row>
    <row r="35798" spans="1:18">
      <c r="A35798" t="n">
        <v>351172</v>
      </c>
      <c r="B35798" s="23" t="n">
        <v>58</v>
      </c>
      <c r="C35798" s="7" t="n">
        <v>254</v>
      </c>
      <c r="D35798" s="7" t="n">
        <v>0</v>
      </c>
    </row>
    <row r="35799" spans="1:18">
      <c r="A35799" t="s">
        <v>4</v>
      </c>
      <c r="B35799" s="4" t="s">
        <v>5</v>
      </c>
      <c r="C35799" s="4" t="s">
        <v>7</v>
      </c>
      <c r="D35799" s="4" t="s">
        <v>7</v>
      </c>
      <c r="E35799" s="4" t="s">
        <v>13</v>
      </c>
      <c r="F35799" s="4" t="s">
        <v>13</v>
      </c>
      <c r="G35799" s="4" t="s">
        <v>13</v>
      </c>
      <c r="H35799" s="4" t="s">
        <v>11</v>
      </c>
    </row>
    <row r="35800" spans="1:18">
      <c r="A35800" t="n">
        <v>351176</v>
      </c>
      <c r="B35800" s="51" t="n">
        <v>45</v>
      </c>
      <c r="C35800" s="7" t="n">
        <v>2</v>
      </c>
      <c r="D35800" s="7" t="n">
        <v>3</v>
      </c>
      <c r="E35800" s="7" t="n">
        <v>-6.6100001335144</v>
      </c>
      <c r="F35800" s="7" t="n">
        <v>6.44000005722046</v>
      </c>
      <c r="G35800" s="7" t="n">
        <v>29.9300003051758</v>
      </c>
      <c r="H35800" s="7" t="n">
        <v>0</v>
      </c>
    </row>
    <row r="35801" spans="1:18">
      <c r="A35801" t="s">
        <v>4</v>
      </c>
      <c r="B35801" s="4" t="s">
        <v>5</v>
      </c>
      <c r="C35801" s="4" t="s">
        <v>7</v>
      </c>
      <c r="D35801" s="4" t="s">
        <v>7</v>
      </c>
      <c r="E35801" s="4" t="s">
        <v>13</v>
      </c>
      <c r="F35801" s="4" t="s">
        <v>13</v>
      </c>
      <c r="G35801" s="4" t="s">
        <v>13</v>
      </c>
      <c r="H35801" s="4" t="s">
        <v>11</v>
      </c>
      <c r="I35801" s="4" t="s">
        <v>7</v>
      </c>
    </row>
    <row r="35802" spans="1:18">
      <c r="A35802" t="n">
        <v>351193</v>
      </c>
      <c r="B35802" s="51" t="n">
        <v>45</v>
      </c>
      <c r="C35802" s="7" t="n">
        <v>4</v>
      </c>
      <c r="D35802" s="7" t="n">
        <v>3</v>
      </c>
      <c r="E35802" s="7" t="n">
        <v>357</v>
      </c>
      <c r="F35802" s="7" t="n">
        <v>284.700012207031</v>
      </c>
      <c r="G35802" s="7" t="n">
        <v>4</v>
      </c>
      <c r="H35802" s="7" t="n">
        <v>0</v>
      </c>
      <c r="I35802" s="7" t="n">
        <v>0</v>
      </c>
    </row>
    <row r="35803" spans="1:18">
      <c r="A35803" t="s">
        <v>4</v>
      </c>
      <c r="B35803" s="4" t="s">
        <v>5</v>
      </c>
      <c r="C35803" s="4" t="s">
        <v>7</v>
      </c>
      <c r="D35803" s="4" t="s">
        <v>7</v>
      </c>
      <c r="E35803" s="4" t="s">
        <v>13</v>
      </c>
      <c r="F35803" s="4" t="s">
        <v>11</v>
      </c>
    </row>
    <row r="35804" spans="1:18">
      <c r="A35804" t="n">
        <v>351211</v>
      </c>
      <c r="B35804" s="51" t="n">
        <v>45</v>
      </c>
      <c r="C35804" s="7" t="n">
        <v>5</v>
      </c>
      <c r="D35804" s="7" t="n">
        <v>3</v>
      </c>
      <c r="E35804" s="7" t="n">
        <v>1</v>
      </c>
      <c r="F35804" s="7" t="n">
        <v>0</v>
      </c>
    </row>
    <row r="35805" spans="1:18">
      <c r="A35805" t="s">
        <v>4</v>
      </c>
      <c r="B35805" s="4" t="s">
        <v>5</v>
      </c>
      <c r="C35805" s="4" t="s">
        <v>7</v>
      </c>
      <c r="D35805" s="4" t="s">
        <v>7</v>
      </c>
      <c r="E35805" s="4" t="s">
        <v>13</v>
      </c>
      <c r="F35805" s="4" t="s">
        <v>11</v>
      </c>
    </row>
    <row r="35806" spans="1:18">
      <c r="A35806" t="n">
        <v>351220</v>
      </c>
      <c r="B35806" s="51" t="n">
        <v>45</v>
      </c>
      <c r="C35806" s="7" t="n">
        <v>11</v>
      </c>
      <c r="D35806" s="7" t="n">
        <v>3</v>
      </c>
      <c r="E35806" s="7" t="n">
        <v>40.2999992370605</v>
      </c>
      <c r="F35806" s="7" t="n">
        <v>0</v>
      </c>
    </row>
    <row r="35807" spans="1:18">
      <c r="A35807" t="s">
        <v>4</v>
      </c>
      <c r="B35807" s="4" t="s">
        <v>5</v>
      </c>
      <c r="C35807" s="4" t="s">
        <v>7</v>
      </c>
      <c r="D35807" s="4" t="s">
        <v>11</v>
      </c>
      <c r="E35807" s="4" t="s">
        <v>8</v>
      </c>
      <c r="F35807" s="4" t="s">
        <v>8</v>
      </c>
      <c r="G35807" s="4" t="s">
        <v>8</v>
      </c>
      <c r="H35807" s="4" t="s">
        <v>8</v>
      </c>
    </row>
    <row r="35808" spans="1:18">
      <c r="A35808" t="n">
        <v>351229</v>
      </c>
      <c r="B35808" s="38" t="n">
        <v>51</v>
      </c>
      <c r="C35808" s="7" t="n">
        <v>3</v>
      </c>
      <c r="D35808" s="7" t="n">
        <v>0</v>
      </c>
      <c r="E35808" s="7" t="s">
        <v>155</v>
      </c>
      <c r="F35808" s="7" t="s">
        <v>99</v>
      </c>
      <c r="G35808" s="7" t="s">
        <v>78</v>
      </c>
      <c r="H35808" s="7" t="s">
        <v>79</v>
      </c>
    </row>
    <row r="35809" spans="1:9">
      <c r="A35809" t="s">
        <v>4</v>
      </c>
      <c r="B35809" s="4" t="s">
        <v>5</v>
      </c>
      <c r="C35809" s="4" t="s">
        <v>7</v>
      </c>
      <c r="D35809" s="4" t="s">
        <v>11</v>
      </c>
    </row>
    <row r="35810" spans="1:9">
      <c r="A35810" t="n">
        <v>351242</v>
      </c>
      <c r="B35810" s="23" t="n">
        <v>58</v>
      </c>
      <c r="C35810" s="7" t="n">
        <v>255</v>
      </c>
      <c r="D35810" s="7" t="n">
        <v>0</v>
      </c>
    </row>
    <row r="35811" spans="1:9">
      <c r="A35811" t="s">
        <v>4</v>
      </c>
      <c r="B35811" s="4" t="s">
        <v>5</v>
      </c>
      <c r="C35811" s="4" t="s">
        <v>7</v>
      </c>
      <c r="D35811" s="4" t="s">
        <v>11</v>
      </c>
      <c r="E35811" s="4" t="s">
        <v>8</v>
      </c>
    </row>
    <row r="35812" spans="1:9">
      <c r="A35812" t="n">
        <v>351246</v>
      </c>
      <c r="B35812" s="38" t="n">
        <v>51</v>
      </c>
      <c r="C35812" s="7" t="n">
        <v>4</v>
      </c>
      <c r="D35812" s="7" t="n">
        <v>0</v>
      </c>
      <c r="E35812" s="7" t="s">
        <v>238</v>
      </c>
    </row>
    <row r="35813" spans="1:9">
      <c r="A35813" t="s">
        <v>4</v>
      </c>
      <c r="B35813" s="4" t="s">
        <v>5</v>
      </c>
      <c r="C35813" s="4" t="s">
        <v>11</v>
      </c>
    </row>
    <row r="35814" spans="1:9">
      <c r="A35814" t="n">
        <v>351260</v>
      </c>
      <c r="B35814" s="29" t="n">
        <v>16</v>
      </c>
      <c r="C35814" s="7" t="n">
        <v>0</v>
      </c>
    </row>
    <row r="35815" spans="1:9">
      <c r="A35815" t="s">
        <v>4</v>
      </c>
      <c r="B35815" s="4" t="s">
        <v>5</v>
      </c>
      <c r="C35815" s="4" t="s">
        <v>11</v>
      </c>
      <c r="D35815" s="4" t="s">
        <v>7</v>
      </c>
      <c r="E35815" s="4" t="s">
        <v>15</v>
      </c>
      <c r="F35815" s="4" t="s">
        <v>55</v>
      </c>
      <c r="G35815" s="4" t="s">
        <v>7</v>
      </c>
      <c r="H35815" s="4" t="s">
        <v>7</v>
      </c>
      <c r="I35815" s="4" t="s">
        <v>7</v>
      </c>
      <c r="J35815" s="4" t="s">
        <v>15</v>
      </c>
      <c r="K35815" s="4" t="s">
        <v>55</v>
      </c>
      <c r="L35815" s="4" t="s">
        <v>7</v>
      </c>
      <c r="M35815" s="4" t="s">
        <v>7</v>
      </c>
      <c r="N35815" s="4" t="s">
        <v>7</v>
      </c>
      <c r="O35815" s="4" t="s">
        <v>15</v>
      </c>
      <c r="P35815" s="4" t="s">
        <v>55</v>
      </c>
      <c r="Q35815" s="4" t="s">
        <v>7</v>
      </c>
      <c r="R35815" s="4" t="s">
        <v>7</v>
      </c>
      <c r="S35815" s="4" t="s">
        <v>7</v>
      </c>
      <c r="T35815" s="4" t="s">
        <v>15</v>
      </c>
      <c r="U35815" s="4" t="s">
        <v>55</v>
      </c>
      <c r="V35815" s="4" t="s">
        <v>7</v>
      </c>
      <c r="W35815" s="4" t="s">
        <v>7</v>
      </c>
    </row>
    <row r="35816" spans="1:9">
      <c r="A35816" t="n">
        <v>351263</v>
      </c>
      <c r="B35816" s="55" t="n">
        <v>26</v>
      </c>
      <c r="C35816" s="7" t="n">
        <v>0</v>
      </c>
      <c r="D35816" s="7" t="n">
        <v>17</v>
      </c>
      <c r="E35816" s="7" t="n">
        <v>64167</v>
      </c>
      <c r="F35816" s="7" t="s">
        <v>1053</v>
      </c>
      <c r="G35816" s="7" t="n">
        <v>2</v>
      </c>
      <c r="H35816" s="7" t="n">
        <v>3</v>
      </c>
      <c r="I35816" s="7" t="n">
        <v>17</v>
      </c>
      <c r="J35816" s="7" t="n">
        <v>64168</v>
      </c>
      <c r="K35816" s="7" t="s">
        <v>1054</v>
      </c>
      <c r="L35816" s="7" t="n">
        <v>2</v>
      </c>
      <c r="M35816" s="7" t="n">
        <v>3</v>
      </c>
      <c r="N35816" s="7" t="n">
        <v>17</v>
      </c>
      <c r="O35816" s="7" t="n">
        <v>64169</v>
      </c>
      <c r="P35816" s="7" t="s">
        <v>1055</v>
      </c>
      <c r="Q35816" s="7" t="n">
        <v>2</v>
      </c>
      <c r="R35816" s="7" t="n">
        <v>3</v>
      </c>
      <c r="S35816" s="7" t="n">
        <v>17</v>
      </c>
      <c r="T35816" s="7" t="n">
        <v>64170</v>
      </c>
      <c r="U35816" s="7" t="s">
        <v>1056</v>
      </c>
      <c r="V35816" s="7" t="n">
        <v>2</v>
      </c>
      <c r="W35816" s="7" t="n">
        <v>0</v>
      </c>
    </row>
    <row r="35817" spans="1:9">
      <c r="A35817" t="s">
        <v>4</v>
      </c>
      <c r="B35817" s="4" t="s">
        <v>5</v>
      </c>
    </row>
    <row r="35818" spans="1:9">
      <c r="A35818" t="n">
        <v>351781</v>
      </c>
      <c r="B35818" s="27" t="n">
        <v>28</v>
      </c>
    </row>
    <row r="35819" spans="1:9">
      <c r="A35819" t="s">
        <v>4</v>
      </c>
      <c r="B35819" s="4" t="s">
        <v>5</v>
      </c>
      <c r="C35819" s="4" t="s">
        <v>11</v>
      </c>
      <c r="D35819" s="4" t="s">
        <v>7</v>
      </c>
    </row>
    <row r="35820" spans="1:9">
      <c r="A35820" t="n">
        <v>351782</v>
      </c>
      <c r="B35820" s="68" t="n">
        <v>89</v>
      </c>
      <c r="C35820" s="7" t="n">
        <v>65533</v>
      </c>
      <c r="D35820" s="7" t="n">
        <v>1</v>
      </c>
    </row>
    <row r="35821" spans="1:9">
      <c r="A35821" t="s">
        <v>4</v>
      </c>
      <c r="B35821" s="4" t="s">
        <v>5</v>
      </c>
      <c r="C35821" s="4" t="s">
        <v>7</v>
      </c>
      <c r="D35821" s="4" t="s">
        <v>11</v>
      </c>
      <c r="E35821" s="4" t="s">
        <v>13</v>
      </c>
    </row>
    <row r="35822" spans="1:9">
      <c r="A35822" t="n">
        <v>351786</v>
      </c>
      <c r="B35822" s="23" t="n">
        <v>58</v>
      </c>
      <c r="C35822" s="7" t="n">
        <v>101</v>
      </c>
      <c r="D35822" s="7" t="n">
        <v>500</v>
      </c>
      <c r="E35822" s="7" t="n">
        <v>1</v>
      </c>
    </row>
    <row r="35823" spans="1:9">
      <c r="A35823" t="s">
        <v>4</v>
      </c>
      <c r="B35823" s="4" t="s">
        <v>5</v>
      </c>
      <c r="C35823" s="4" t="s">
        <v>7</v>
      </c>
      <c r="D35823" s="4" t="s">
        <v>11</v>
      </c>
    </row>
    <row r="35824" spans="1:9">
      <c r="A35824" t="n">
        <v>351794</v>
      </c>
      <c r="B35824" s="23" t="n">
        <v>58</v>
      </c>
      <c r="C35824" s="7" t="n">
        <v>254</v>
      </c>
      <c r="D35824" s="7" t="n">
        <v>0</v>
      </c>
    </row>
    <row r="35825" spans="1:23">
      <c r="A35825" t="s">
        <v>4</v>
      </c>
      <c r="B35825" s="4" t="s">
        <v>5</v>
      </c>
      <c r="C35825" s="4" t="s">
        <v>7</v>
      </c>
      <c r="D35825" s="4" t="s">
        <v>7</v>
      </c>
      <c r="E35825" s="4" t="s">
        <v>13</v>
      </c>
      <c r="F35825" s="4" t="s">
        <v>13</v>
      </c>
      <c r="G35825" s="4" t="s">
        <v>13</v>
      </c>
      <c r="H35825" s="4" t="s">
        <v>11</v>
      </c>
    </row>
    <row r="35826" spans="1:23">
      <c r="A35826" t="n">
        <v>351798</v>
      </c>
      <c r="B35826" s="51" t="n">
        <v>45</v>
      </c>
      <c r="C35826" s="7" t="n">
        <v>2</v>
      </c>
      <c r="D35826" s="7" t="n">
        <v>3</v>
      </c>
      <c r="E35826" s="7" t="n">
        <v>-7.36999988555908</v>
      </c>
      <c r="F35826" s="7" t="n">
        <v>6.51999998092651</v>
      </c>
      <c r="G35826" s="7" t="n">
        <v>29.8299999237061</v>
      </c>
      <c r="H35826" s="7" t="n">
        <v>0</v>
      </c>
    </row>
    <row r="35827" spans="1:23">
      <c r="A35827" t="s">
        <v>4</v>
      </c>
      <c r="B35827" s="4" t="s">
        <v>5</v>
      </c>
      <c r="C35827" s="4" t="s">
        <v>7</v>
      </c>
      <c r="D35827" s="4" t="s">
        <v>7</v>
      </c>
      <c r="E35827" s="4" t="s">
        <v>13</v>
      </c>
      <c r="F35827" s="4" t="s">
        <v>13</v>
      </c>
      <c r="G35827" s="4" t="s">
        <v>13</v>
      </c>
      <c r="H35827" s="4" t="s">
        <v>11</v>
      </c>
      <c r="I35827" s="4" t="s">
        <v>7</v>
      </c>
    </row>
    <row r="35828" spans="1:23">
      <c r="A35828" t="n">
        <v>351815</v>
      </c>
      <c r="B35828" s="51" t="n">
        <v>45</v>
      </c>
      <c r="C35828" s="7" t="n">
        <v>4</v>
      </c>
      <c r="D35828" s="7" t="n">
        <v>3</v>
      </c>
      <c r="E35828" s="7" t="n">
        <v>8.11999988555908</v>
      </c>
      <c r="F35828" s="7" t="n">
        <v>60.310001373291</v>
      </c>
      <c r="G35828" s="7" t="n">
        <v>354</v>
      </c>
      <c r="H35828" s="7" t="n">
        <v>0</v>
      </c>
      <c r="I35828" s="7" t="n">
        <v>0</v>
      </c>
    </row>
    <row r="35829" spans="1:23">
      <c r="A35829" t="s">
        <v>4</v>
      </c>
      <c r="B35829" s="4" t="s">
        <v>5</v>
      </c>
      <c r="C35829" s="4" t="s">
        <v>7</v>
      </c>
      <c r="D35829" s="4" t="s">
        <v>7</v>
      </c>
      <c r="E35829" s="4" t="s">
        <v>13</v>
      </c>
      <c r="F35829" s="4" t="s">
        <v>11</v>
      </c>
    </row>
    <row r="35830" spans="1:23">
      <c r="A35830" t="n">
        <v>351833</v>
      </c>
      <c r="B35830" s="51" t="n">
        <v>45</v>
      </c>
      <c r="C35830" s="7" t="n">
        <v>5</v>
      </c>
      <c r="D35830" s="7" t="n">
        <v>3</v>
      </c>
      <c r="E35830" s="7" t="n">
        <v>0.800000011920929</v>
      </c>
      <c r="F35830" s="7" t="n">
        <v>0</v>
      </c>
    </row>
    <row r="35831" spans="1:23">
      <c r="A35831" t="s">
        <v>4</v>
      </c>
      <c r="B35831" s="4" t="s">
        <v>5</v>
      </c>
      <c r="C35831" s="4" t="s">
        <v>7</v>
      </c>
      <c r="D35831" s="4" t="s">
        <v>7</v>
      </c>
      <c r="E35831" s="4" t="s">
        <v>13</v>
      </c>
      <c r="F35831" s="4" t="s">
        <v>11</v>
      </c>
    </row>
    <row r="35832" spans="1:23">
      <c r="A35832" t="n">
        <v>351842</v>
      </c>
      <c r="B35832" s="51" t="n">
        <v>45</v>
      </c>
      <c r="C35832" s="7" t="n">
        <v>11</v>
      </c>
      <c r="D35832" s="7" t="n">
        <v>3</v>
      </c>
      <c r="E35832" s="7" t="n">
        <v>40.2999992370605</v>
      </c>
      <c r="F35832" s="7" t="n">
        <v>0</v>
      </c>
    </row>
    <row r="35833" spans="1:23">
      <c r="A35833" t="s">
        <v>4</v>
      </c>
      <c r="B35833" s="4" t="s">
        <v>5</v>
      </c>
      <c r="C35833" s="4" t="s">
        <v>7</v>
      </c>
      <c r="D35833" s="4" t="s">
        <v>11</v>
      </c>
      <c r="E35833" s="4" t="s">
        <v>8</v>
      </c>
      <c r="F35833" s="4" t="s">
        <v>8</v>
      </c>
      <c r="G35833" s="4" t="s">
        <v>8</v>
      </c>
      <c r="H35833" s="4" t="s">
        <v>8</v>
      </c>
    </row>
    <row r="35834" spans="1:23">
      <c r="A35834" t="n">
        <v>351851</v>
      </c>
      <c r="B35834" s="38" t="n">
        <v>51</v>
      </c>
      <c r="C35834" s="7" t="n">
        <v>3</v>
      </c>
      <c r="D35834" s="7" t="n">
        <v>4</v>
      </c>
      <c r="E35834" s="7" t="s">
        <v>154</v>
      </c>
      <c r="F35834" s="7" t="s">
        <v>79</v>
      </c>
      <c r="G35834" s="7" t="s">
        <v>78</v>
      </c>
      <c r="H35834" s="7" t="s">
        <v>79</v>
      </c>
    </row>
    <row r="35835" spans="1:23">
      <c r="A35835" t="s">
        <v>4</v>
      </c>
      <c r="B35835" s="4" t="s">
        <v>5</v>
      </c>
      <c r="C35835" s="4" t="s">
        <v>7</v>
      </c>
      <c r="D35835" s="4" t="s">
        <v>11</v>
      </c>
    </row>
    <row r="35836" spans="1:23">
      <c r="A35836" t="n">
        <v>351864</v>
      </c>
      <c r="B35836" s="23" t="n">
        <v>58</v>
      </c>
      <c r="C35836" s="7" t="n">
        <v>255</v>
      </c>
      <c r="D35836" s="7" t="n">
        <v>0</v>
      </c>
    </row>
    <row r="35837" spans="1:23">
      <c r="A35837" t="s">
        <v>4</v>
      </c>
      <c r="B35837" s="4" t="s">
        <v>5</v>
      </c>
      <c r="C35837" s="4" t="s">
        <v>7</v>
      </c>
      <c r="D35837" s="4" t="s">
        <v>11</v>
      </c>
      <c r="E35837" s="4" t="s">
        <v>8</v>
      </c>
    </row>
    <row r="35838" spans="1:23">
      <c r="A35838" t="n">
        <v>351868</v>
      </c>
      <c r="B35838" s="38" t="n">
        <v>51</v>
      </c>
      <c r="C35838" s="7" t="n">
        <v>4</v>
      </c>
      <c r="D35838" s="7" t="n">
        <v>4</v>
      </c>
      <c r="E35838" s="7" t="s">
        <v>147</v>
      </c>
    </row>
    <row r="35839" spans="1:23">
      <c r="A35839" t="s">
        <v>4</v>
      </c>
      <c r="B35839" s="4" t="s">
        <v>5</v>
      </c>
      <c r="C35839" s="4" t="s">
        <v>11</v>
      </c>
    </row>
    <row r="35840" spans="1:23">
      <c r="A35840" t="n">
        <v>351882</v>
      </c>
      <c r="B35840" s="29" t="n">
        <v>16</v>
      </c>
      <c r="C35840" s="7" t="n">
        <v>0</v>
      </c>
    </row>
    <row r="35841" spans="1:9">
      <c r="A35841" t="s">
        <v>4</v>
      </c>
      <c r="B35841" s="4" t="s">
        <v>5</v>
      </c>
      <c r="C35841" s="4" t="s">
        <v>11</v>
      </c>
      <c r="D35841" s="4" t="s">
        <v>7</v>
      </c>
      <c r="E35841" s="4" t="s">
        <v>15</v>
      </c>
      <c r="F35841" s="4" t="s">
        <v>55</v>
      </c>
      <c r="G35841" s="4" t="s">
        <v>7</v>
      </c>
      <c r="H35841" s="4" t="s">
        <v>7</v>
      </c>
      <c r="I35841" s="4" t="s">
        <v>7</v>
      </c>
      <c r="J35841" s="4" t="s">
        <v>15</v>
      </c>
      <c r="K35841" s="4" t="s">
        <v>55</v>
      </c>
      <c r="L35841" s="4" t="s">
        <v>7</v>
      </c>
      <c r="M35841" s="4" t="s">
        <v>7</v>
      </c>
    </row>
    <row r="35842" spans="1:9">
      <c r="A35842" t="n">
        <v>351885</v>
      </c>
      <c r="B35842" s="55" t="n">
        <v>26</v>
      </c>
      <c r="C35842" s="7" t="n">
        <v>4</v>
      </c>
      <c r="D35842" s="7" t="n">
        <v>17</v>
      </c>
      <c r="E35842" s="7" t="n">
        <v>7824</v>
      </c>
      <c r="F35842" s="7" t="s">
        <v>1057</v>
      </c>
      <c r="G35842" s="7" t="n">
        <v>2</v>
      </c>
      <c r="H35842" s="7" t="n">
        <v>3</v>
      </c>
      <c r="I35842" s="7" t="n">
        <v>17</v>
      </c>
      <c r="J35842" s="7" t="n">
        <v>7825</v>
      </c>
      <c r="K35842" s="7" t="s">
        <v>1058</v>
      </c>
      <c r="L35842" s="7" t="n">
        <v>2</v>
      </c>
      <c r="M35842" s="7" t="n">
        <v>0</v>
      </c>
    </row>
    <row r="35843" spans="1:9">
      <c r="A35843" t="s">
        <v>4</v>
      </c>
      <c r="B35843" s="4" t="s">
        <v>5</v>
      </c>
    </row>
    <row r="35844" spans="1:9">
      <c r="A35844" t="n">
        <v>351974</v>
      </c>
      <c r="B35844" s="27" t="n">
        <v>28</v>
      </c>
    </row>
    <row r="35845" spans="1:9">
      <c r="A35845" t="s">
        <v>4</v>
      </c>
      <c r="B35845" s="4" t="s">
        <v>5</v>
      </c>
      <c r="C35845" s="4" t="s">
        <v>11</v>
      </c>
      <c r="D35845" s="4" t="s">
        <v>7</v>
      </c>
    </row>
    <row r="35846" spans="1:9">
      <c r="A35846" t="n">
        <v>351975</v>
      </c>
      <c r="B35846" s="68" t="n">
        <v>89</v>
      </c>
      <c r="C35846" s="7" t="n">
        <v>65533</v>
      </c>
      <c r="D35846" s="7" t="n">
        <v>1</v>
      </c>
    </row>
    <row r="35847" spans="1:9">
      <c r="A35847" t="s">
        <v>4</v>
      </c>
      <c r="B35847" s="4" t="s">
        <v>5</v>
      </c>
      <c r="C35847" s="4" t="s">
        <v>7</v>
      </c>
      <c r="D35847" s="4" t="s">
        <v>11</v>
      </c>
      <c r="E35847" s="4" t="s">
        <v>13</v>
      </c>
    </row>
    <row r="35848" spans="1:9">
      <c r="A35848" t="n">
        <v>351979</v>
      </c>
      <c r="B35848" s="23" t="n">
        <v>58</v>
      </c>
      <c r="C35848" s="7" t="n">
        <v>101</v>
      </c>
      <c r="D35848" s="7" t="n">
        <v>500</v>
      </c>
      <c r="E35848" s="7" t="n">
        <v>1</v>
      </c>
    </row>
    <row r="35849" spans="1:9">
      <c r="A35849" t="s">
        <v>4</v>
      </c>
      <c r="B35849" s="4" t="s">
        <v>5</v>
      </c>
      <c r="C35849" s="4" t="s">
        <v>7</v>
      </c>
      <c r="D35849" s="4" t="s">
        <v>11</v>
      </c>
    </row>
    <row r="35850" spans="1:9">
      <c r="A35850" t="n">
        <v>351987</v>
      </c>
      <c r="B35850" s="23" t="n">
        <v>58</v>
      </c>
      <c r="C35850" s="7" t="n">
        <v>254</v>
      </c>
      <c r="D35850" s="7" t="n">
        <v>0</v>
      </c>
    </row>
    <row r="35851" spans="1:9">
      <c r="A35851" t="s">
        <v>4</v>
      </c>
      <c r="B35851" s="4" t="s">
        <v>5</v>
      </c>
      <c r="C35851" s="4" t="s">
        <v>11</v>
      </c>
      <c r="D35851" s="4" t="s">
        <v>13</v>
      </c>
      <c r="E35851" s="4" t="s">
        <v>13</v>
      </c>
      <c r="F35851" s="4" t="s">
        <v>13</v>
      </c>
      <c r="G35851" s="4" t="s">
        <v>13</v>
      </c>
    </row>
    <row r="35852" spans="1:9">
      <c r="A35852" t="n">
        <v>351991</v>
      </c>
      <c r="B35852" s="36" t="n">
        <v>46</v>
      </c>
      <c r="C35852" s="7" t="n">
        <v>4</v>
      </c>
      <c r="D35852" s="7" t="n">
        <v>-7.38000011444092</v>
      </c>
      <c r="E35852" s="7" t="n">
        <v>5</v>
      </c>
      <c r="F35852" s="7" t="n">
        <v>29.8099994659424</v>
      </c>
      <c r="G35852" s="7" t="n">
        <v>83.9000015258789</v>
      </c>
    </row>
    <row r="35853" spans="1:9">
      <c r="A35853" t="s">
        <v>4</v>
      </c>
      <c r="B35853" s="4" t="s">
        <v>5</v>
      </c>
      <c r="C35853" s="4" t="s">
        <v>11</v>
      </c>
      <c r="D35853" s="4" t="s">
        <v>13</v>
      </c>
      <c r="E35853" s="4" t="s">
        <v>13</v>
      </c>
      <c r="F35853" s="4" t="s">
        <v>13</v>
      </c>
      <c r="G35853" s="4" t="s">
        <v>11</v>
      </c>
      <c r="H35853" s="4" t="s">
        <v>11</v>
      </c>
    </row>
    <row r="35854" spans="1:9">
      <c r="A35854" t="n">
        <v>352010</v>
      </c>
      <c r="B35854" s="37" t="n">
        <v>60</v>
      </c>
      <c r="C35854" s="7" t="n">
        <v>0</v>
      </c>
      <c r="D35854" s="7" t="n">
        <v>0</v>
      </c>
      <c r="E35854" s="7" t="n">
        <v>0</v>
      </c>
      <c r="F35854" s="7" t="n">
        <v>0</v>
      </c>
      <c r="G35854" s="7" t="n">
        <v>0</v>
      </c>
      <c r="H35854" s="7" t="n">
        <v>1</v>
      </c>
    </row>
    <row r="35855" spans="1:9">
      <c r="A35855" t="s">
        <v>4</v>
      </c>
      <c r="B35855" s="4" t="s">
        <v>5</v>
      </c>
      <c r="C35855" s="4" t="s">
        <v>11</v>
      </c>
      <c r="D35855" s="4" t="s">
        <v>13</v>
      </c>
      <c r="E35855" s="4" t="s">
        <v>13</v>
      </c>
      <c r="F35855" s="4" t="s">
        <v>13</v>
      </c>
      <c r="G35855" s="4" t="s">
        <v>11</v>
      </c>
      <c r="H35855" s="4" t="s">
        <v>11</v>
      </c>
    </row>
    <row r="35856" spans="1:9">
      <c r="A35856" t="n">
        <v>352029</v>
      </c>
      <c r="B35856" s="37" t="n">
        <v>60</v>
      </c>
      <c r="C35856" s="7" t="n">
        <v>0</v>
      </c>
      <c r="D35856" s="7" t="n">
        <v>0</v>
      </c>
      <c r="E35856" s="7" t="n">
        <v>0</v>
      </c>
      <c r="F35856" s="7" t="n">
        <v>0</v>
      </c>
      <c r="G35856" s="7" t="n">
        <v>0</v>
      </c>
      <c r="H35856" s="7" t="n">
        <v>0</v>
      </c>
    </row>
    <row r="35857" spans="1:13">
      <c r="A35857" t="s">
        <v>4</v>
      </c>
      <c r="B35857" s="4" t="s">
        <v>5</v>
      </c>
      <c r="C35857" s="4" t="s">
        <v>11</v>
      </c>
      <c r="D35857" s="4" t="s">
        <v>11</v>
      </c>
      <c r="E35857" s="4" t="s">
        <v>11</v>
      </c>
    </row>
    <row r="35858" spans="1:13">
      <c r="A35858" t="n">
        <v>352048</v>
      </c>
      <c r="B35858" s="72" t="n">
        <v>61</v>
      </c>
      <c r="C35858" s="7" t="n">
        <v>0</v>
      </c>
      <c r="D35858" s="7" t="n">
        <v>65533</v>
      </c>
      <c r="E35858" s="7" t="n">
        <v>0</v>
      </c>
    </row>
    <row r="35859" spans="1:13">
      <c r="A35859" t="s">
        <v>4</v>
      </c>
      <c r="B35859" s="4" t="s">
        <v>5</v>
      </c>
      <c r="C35859" s="4" t="s">
        <v>11</v>
      </c>
      <c r="D35859" s="4" t="s">
        <v>13</v>
      </c>
      <c r="E35859" s="4" t="s">
        <v>13</v>
      </c>
      <c r="F35859" s="4" t="s">
        <v>13</v>
      </c>
      <c r="G35859" s="4" t="s">
        <v>11</v>
      </c>
      <c r="H35859" s="4" t="s">
        <v>11</v>
      </c>
    </row>
    <row r="35860" spans="1:13">
      <c r="A35860" t="n">
        <v>352055</v>
      </c>
      <c r="B35860" s="37" t="n">
        <v>60</v>
      </c>
      <c r="C35860" s="7" t="n">
        <v>4</v>
      </c>
      <c r="D35860" s="7" t="n">
        <v>0</v>
      </c>
      <c r="E35860" s="7" t="n">
        <v>0</v>
      </c>
      <c r="F35860" s="7" t="n">
        <v>0</v>
      </c>
      <c r="G35860" s="7" t="n">
        <v>0</v>
      </c>
      <c r="H35860" s="7" t="n">
        <v>1</v>
      </c>
    </row>
    <row r="35861" spans="1:13">
      <c r="A35861" t="s">
        <v>4</v>
      </c>
      <c r="B35861" s="4" t="s">
        <v>5</v>
      </c>
      <c r="C35861" s="4" t="s">
        <v>11</v>
      </c>
      <c r="D35861" s="4" t="s">
        <v>13</v>
      </c>
      <c r="E35861" s="4" t="s">
        <v>13</v>
      </c>
      <c r="F35861" s="4" t="s">
        <v>13</v>
      </c>
      <c r="G35861" s="4" t="s">
        <v>11</v>
      </c>
      <c r="H35861" s="4" t="s">
        <v>11</v>
      </c>
    </row>
    <row r="35862" spans="1:13">
      <c r="A35862" t="n">
        <v>352074</v>
      </c>
      <c r="B35862" s="37" t="n">
        <v>60</v>
      </c>
      <c r="C35862" s="7" t="n">
        <v>4</v>
      </c>
      <c r="D35862" s="7" t="n">
        <v>0</v>
      </c>
      <c r="E35862" s="7" t="n">
        <v>0</v>
      </c>
      <c r="F35862" s="7" t="n">
        <v>0</v>
      </c>
      <c r="G35862" s="7" t="n">
        <v>0</v>
      </c>
      <c r="H35862" s="7" t="n">
        <v>0</v>
      </c>
    </row>
    <row r="35863" spans="1:13">
      <c r="A35863" t="s">
        <v>4</v>
      </c>
      <c r="B35863" s="4" t="s">
        <v>5</v>
      </c>
      <c r="C35863" s="4" t="s">
        <v>11</v>
      </c>
      <c r="D35863" s="4" t="s">
        <v>11</v>
      </c>
      <c r="E35863" s="4" t="s">
        <v>11</v>
      </c>
    </row>
    <row r="35864" spans="1:13">
      <c r="A35864" t="n">
        <v>352093</v>
      </c>
      <c r="B35864" s="72" t="n">
        <v>61</v>
      </c>
      <c r="C35864" s="7" t="n">
        <v>4</v>
      </c>
      <c r="D35864" s="7" t="n">
        <v>65533</v>
      </c>
      <c r="E35864" s="7" t="n">
        <v>0</v>
      </c>
    </row>
    <row r="35865" spans="1:13">
      <c r="A35865" t="s">
        <v>4</v>
      </c>
      <c r="B35865" s="4" t="s">
        <v>5</v>
      </c>
      <c r="C35865" s="4" t="s">
        <v>7</v>
      </c>
      <c r="D35865" s="4" t="s">
        <v>7</v>
      </c>
      <c r="E35865" s="4" t="s">
        <v>13</v>
      </c>
      <c r="F35865" s="4" t="s">
        <v>13</v>
      </c>
      <c r="G35865" s="4" t="s">
        <v>13</v>
      </c>
      <c r="H35865" s="4" t="s">
        <v>11</v>
      </c>
    </row>
    <row r="35866" spans="1:13">
      <c r="A35866" t="n">
        <v>352100</v>
      </c>
      <c r="B35866" s="51" t="n">
        <v>45</v>
      </c>
      <c r="C35866" s="7" t="n">
        <v>2</v>
      </c>
      <c r="D35866" s="7" t="n">
        <v>3</v>
      </c>
      <c r="E35866" s="7" t="n">
        <v>-6.96999979019165</v>
      </c>
      <c r="F35866" s="7" t="n">
        <v>6.25</v>
      </c>
      <c r="G35866" s="7" t="n">
        <v>29.8400001525879</v>
      </c>
      <c r="H35866" s="7" t="n">
        <v>0</v>
      </c>
    </row>
    <row r="35867" spans="1:13">
      <c r="A35867" t="s">
        <v>4</v>
      </c>
      <c r="B35867" s="4" t="s">
        <v>5</v>
      </c>
      <c r="C35867" s="4" t="s">
        <v>7</v>
      </c>
      <c r="D35867" s="4" t="s">
        <v>7</v>
      </c>
      <c r="E35867" s="4" t="s">
        <v>13</v>
      </c>
      <c r="F35867" s="4" t="s">
        <v>13</v>
      </c>
      <c r="G35867" s="4" t="s">
        <v>13</v>
      </c>
      <c r="H35867" s="4" t="s">
        <v>11</v>
      </c>
      <c r="I35867" s="4" t="s">
        <v>7</v>
      </c>
    </row>
    <row r="35868" spans="1:13">
      <c r="A35868" t="n">
        <v>352117</v>
      </c>
      <c r="B35868" s="51" t="n">
        <v>45</v>
      </c>
      <c r="C35868" s="7" t="n">
        <v>4</v>
      </c>
      <c r="D35868" s="7" t="n">
        <v>3</v>
      </c>
      <c r="E35868" s="7" t="n">
        <v>1.94000005722046</v>
      </c>
      <c r="F35868" s="7" t="n">
        <v>327.869995117188</v>
      </c>
      <c r="G35868" s="7" t="n">
        <v>354</v>
      </c>
      <c r="H35868" s="7" t="n">
        <v>0</v>
      </c>
      <c r="I35868" s="7" t="n">
        <v>0</v>
      </c>
    </row>
    <row r="35869" spans="1:13">
      <c r="A35869" t="s">
        <v>4</v>
      </c>
      <c r="B35869" s="4" t="s">
        <v>5</v>
      </c>
      <c r="C35869" s="4" t="s">
        <v>7</v>
      </c>
      <c r="D35869" s="4" t="s">
        <v>7</v>
      </c>
      <c r="E35869" s="4" t="s">
        <v>13</v>
      </c>
      <c r="F35869" s="4" t="s">
        <v>11</v>
      </c>
    </row>
    <row r="35870" spans="1:13">
      <c r="A35870" t="n">
        <v>352135</v>
      </c>
      <c r="B35870" s="51" t="n">
        <v>45</v>
      </c>
      <c r="C35870" s="7" t="n">
        <v>5</v>
      </c>
      <c r="D35870" s="7" t="n">
        <v>3</v>
      </c>
      <c r="E35870" s="7" t="n">
        <v>1.5</v>
      </c>
      <c r="F35870" s="7" t="n">
        <v>0</v>
      </c>
    </row>
    <row r="35871" spans="1:13">
      <c r="A35871" t="s">
        <v>4</v>
      </c>
      <c r="B35871" s="4" t="s">
        <v>5</v>
      </c>
      <c r="C35871" s="4" t="s">
        <v>7</v>
      </c>
      <c r="D35871" s="4" t="s">
        <v>7</v>
      </c>
      <c r="E35871" s="4" t="s">
        <v>13</v>
      </c>
      <c r="F35871" s="4" t="s">
        <v>11</v>
      </c>
    </row>
    <row r="35872" spans="1:13">
      <c r="A35872" t="n">
        <v>352144</v>
      </c>
      <c r="B35872" s="51" t="n">
        <v>45</v>
      </c>
      <c r="C35872" s="7" t="n">
        <v>11</v>
      </c>
      <c r="D35872" s="7" t="n">
        <v>3</v>
      </c>
      <c r="E35872" s="7" t="n">
        <v>40.2999992370605</v>
      </c>
      <c r="F35872" s="7" t="n">
        <v>0</v>
      </c>
    </row>
    <row r="35873" spans="1:9">
      <c r="A35873" t="s">
        <v>4</v>
      </c>
      <c r="B35873" s="4" t="s">
        <v>5</v>
      </c>
      <c r="C35873" s="4" t="s">
        <v>7</v>
      </c>
      <c r="D35873" s="4" t="s">
        <v>7</v>
      </c>
      <c r="E35873" s="4" t="s">
        <v>13</v>
      </c>
      <c r="F35873" s="4" t="s">
        <v>13</v>
      </c>
      <c r="G35873" s="4" t="s">
        <v>13</v>
      </c>
      <c r="H35873" s="4" t="s">
        <v>11</v>
      </c>
    </row>
    <row r="35874" spans="1:9">
      <c r="A35874" t="n">
        <v>352153</v>
      </c>
      <c r="B35874" s="51" t="n">
        <v>45</v>
      </c>
      <c r="C35874" s="7" t="n">
        <v>2</v>
      </c>
      <c r="D35874" s="7" t="n">
        <v>3</v>
      </c>
      <c r="E35874" s="7" t="n">
        <v>-6.92000007629395</v>
      </c>
      <c r="F35874" s="7" t="n">
        <v>6.46999979019165</v>
      </c>
      <c r="G35874" s="7" t="n">
        <v>29.7900009155273</v>
      </c>
      <c r="H35874" s="7" t="n">
        <v>4000</v>
      </c>
    </row>
    <row r="35875" spans="1:9">
      <c r="A35875" t="s">
        <v>4</v>
      </c>
      <c r="B35875" s="4" t="s">
        <v>5</v>
      </c>
      <c r="C35875" s="4" t="s">
        <v>7</v>
      </c>
      <c r="D35875" s="4" t="s">
        <v>7</v>
      </c>
      <c r="E35875" s="4" t="s">
        <v>13</v>
      </c>
      <c r="F35875" s="4" t="s">
        <v>13</v>
      </c>
      <c r="G35875" s="4" t="s">
        <v>13</v>
      </c>
      <c r="H35875" s="4" t="s">
        <v>11</v>
      </c>
      <c r="I35875" s="4" t="s">
        <v>7</v>
      </c>
    </row>
    <row r="35876" spans="1:9">
      <c r="A35876" t="n">
        <v>352170</v>
      </c>
      <c r="B35876" s="51" t="n">
        <v>45</v>
      </c>
      <c r="C35876" s="7" t="n">
        <v>4</v>
      </c>
      <c r="D35876" s="7" t="n">
        <v>3</v>
      </c>
      <c r="E35876" s="7" t="n">
        <v>7.76999998092651</v>
      </c>
      <c r="F35876" s="7" t="n">
        <v>41.4700012207031</v>
      </c>
      <c r="G35876" s="7" t="n">
        <v>354</v>
      </c>
      <c r="H35876" s="7" t="n">
        <v>4000</v>
      </c>
      <c r="I35876" s="7" t="n">
        <v>1</v>
      </c>
    </row>
    <row r="35877" spans="1:9">
      <c r="A35877" t="s">
        <v>4</v>
      </c>
      <c r="B35877" s="4" t="s">
        <v>5</v>
      </c>
      <c r="C35877" s="4" t="s">
        <v>7</v>
      </c>
      <c r="D35877" s="4" t="s">
        <v>7</v>
      </c>
      <c r="E35877" s="4" t="s">
        <v>13</v>
      </c>
      <c r="F35877" s="4" t="s">
        <v>11</v>
      </c>
    </row>
    <row r="35878" spans="1:9">
      <c r="A35878" t="n">
        <v>352188</v>
      </c>
      <c r="B35878" s="51" t="n">
        <v>45</v>
      </c>
      <c r="C35878" s="7" t="n">
        <v>5</v>
      </c>
      <c r="D35878" s="7" t="n">
        <v>3</v>
      </c>
      <c r="E35878" s="7" t="n">
        <v>1.10000002384186</v>
      </c>
      <c r="F35878" s="7" t="n">
        <v>4000</v>
      </c>
    </row>
    <row r="35879" spans="1:9">
      <c r="A35879" t="s">
        <v>4</v>
      </c>
      <c r="B35879" s="4" t="s">
        <v>5</v>
      </c>
      <c r="C35879" s="4" t="s">
        <v>11</v>
      </c>
      <c r="D35879" s="4" t="s">
        <v>7</v>
      </c>
      <c r="E35879" s="4" t="s">
        <v>8</v>
      </c>
      <c r="F35879" s="4" t="s">
        <v>13</v>
      </c>
      <c r="G35879" s="4" t="s">
        <v>13</v>
      </c>
      <c r="H35879" s="4" t="s">
        <v>13</v>
      </c>
    </row>
    <row r="35880" spans="1:9">
      <c r="A35880" t="n">
        <v>352197</v>
      </c>
      <c r="B35880" s="42" t="n">
        <v>48</v>
      </c>
      <c r="C35880" s="7" t="n">
        <v>0</v>
      </c>
      <c r="D35880" s="7" t="n">
        <v>0</v>
      </c>
      <c r="E35880" s="7" t="s">
        <v>210</v>
      </c>
      <c r="F35880" s="7" t="n">
        <v>0</v>
      </c>
      <c r="G35880" s="7" t="n">
        <v>1</v>
      </c>
      <c r="H35880" s="7" t="n">
        <v>0</v>
      </c>
    </row>
    <row r="35881" spans="1:9">
      <c r="A35881" t="s">
        <v>4</v>
      </c>
      <c r="B35881" s="4" t="s">
        <v>5</v>
      </c>
      <c r="C35881" s="4" t="s">
        <v>11</v>
      </c>
      <c r="D35881" s="4" t="s">
        <v>7</v>
      </c>
      <c r="E35881" s="4" t="s">
        <v>8</v>
      </c>
      <c r="F35881" s="4" t="s">
        <v>13</v>
      </c>
      <c r="G35881" s="4" t="s">
        <v>13</v>
      </c>
      <c r="H35881" s="4" t="s">
        <v>13</v>
      </c>
    </row>
    <row r="35882" spans="1:9">
      <c r="A35882" t="n">
        <v>352222</v>
      </c>
      <c r="B35882" s="42" t="n">
        <v>48</v>
      </c>
      <c r="C35882" s="7" t="n">
        <v>4</v>
      </c>
      <c r="D35882" s="7" t="n">
        <v>0</v>
      </c>
      <c r="E35882" s="7" t="s">
        <v>210</v>
      </c>
      <c r="F35882" s="7" t="n">
        <v>0</v>
      </c>
      <c r="G35882" s="7" t="n">
        <v>1</v>
      </c>
      <c r="H35882" s="7" t="n">
        <v>0</v>
      </c>
    </row>
    <row r="35883" spans="1:9">
      <c r="A35883" t="s">
        <v>4</v>
      </c>
      <c r="B35883" s="4" t="s">
        <v>5</v>
      </c>
      <c r="C35883" s="4" t="s">
        <v>7</v>
      </c>
      <c r="D35883" s="4" t="s">
        <v>11</v>
      </c>
      <c r="E35883" s="4" t="s">
        <v>8</v>
      </c>
      <c r="F35883" s="4" t="s">
        <v>8</v>
      </c>
      <c r="G35883" s="4" t="s">
        <v>8</v>
      </c>
      <c r="H35883" s="4" t="s">
        <v>8</v>
      </c>
    </row>
    <row r="35884" spans="1:9">
      <c r="A35884" t="n">
        <v>352247</v>
      </c>
      <c r="B35884" s="38" t="n">
        <v>51</v>
      </c>
      <c r="C35884" s="7" t="n">
        <v>3</v>
      </c>
      <c r="D35884" s="7" t="n">
        <v>4</v>
      </c>
      <c r="E35884" s="7" t="s">
        <v>79</v>
      </c>
      <c r="F35884" s="7" t="s">
        <v>232</v>
      </c>
      <c r="G35884" s="7" t="s">
        <v>78</v>
      </c>
      <c r="H35884" s="7" t="s">
        <v>79</v>
      </c>
    </row>
    <row r="35885" spans="1:9">
      <c r="A35885" t="s">
        <v>4</v>
      </c>
      <c r="B35885" s="4" t="s">
        <v>5</v>
      </c>
      <c r="C35885" s="4" t="s">
        <v>7</v>
      </c>
      <c r="D35885" s="4" t="s">
        <v>11</v>
      </c>
      <c r="E35885" s="4" t="s">
        <v>8</v>
      </c>
      <c r="F35885" s="4" t="s">
        <v>8</v>
      </c>
      <c r="G35885" s="4" t="s">
        <v>8</v>
      </c>
      <c r="H35885" s="4" t="s">
        <v>8</v>
      </c>
    </row>
    <row r="35886" spans="1:9">
      <c r="A35886" t="n">
        <v>352260</v>
      </c>
      <c r="B35886" s="38" t="n">
        <v>51</v>
      </c>
      <c r="C35886" s="7" t="n">
        <v>3</v>
      </c>
      <c r="D35886" s="7" t="n">
        <v>0</v>
      </c>
      <c r="E35886" s="7" t="s">
        <v>79</v>
      </c>
      <c r="F35886" s="7" t="s">
        <v>99</v>
      </c>
      <c r="G35886" s="7" t="s">
        <v>78</v>
      </c>
      <c r="H35886" s="7" t="s">
        <v>79</v>
      </c>
    </row>
    <row r="35887" spans="1:9">
      <c r="A35887" t="s">
        <v>4</v>
      </c>
      <c r="B35887" s="4" t="s">
        <v>5</v>
      </c>
      <c r="C35887" s="4" t="s">
        <v>7</v>
      </c>
      <c r="D35887" s="4" t="s">
        <v>11</v>
      </c>
    </row>
    <row r="35888" spans="1:9">
      <c r="A35888" t="n">
        <v>352273</v>
      </c>
      <c r="B35888" s="23" t="n">
        <v>58</v>
      </c>
      <c r="C35888" s="7" t="n">
        <v>255</v>
      </c>
      <c r="D35888" s="7" t="n">
        <v>0</v>
      </c>
    </row>
    <row r="35889" spans="1:9">
      <c r="A35889" t="s">
        <v>4</v>
      </c>
      <c r="B35889" s="4" t="s">
        <v>5</v>
      </c>
      <c r="C35889" s="4" t="s">
        <v>11</v>
      </c>
    </row>
    <row r="35890" spans="1:9">
      <c r="A35890" t="n">
        <v>352277</v>
      </c>
      <c r="B35890" s="29" t="n">
        <v>16</v>
      </c>
      <c r="C35890" s="7" t="n">
        <v>1000</v>
      </c>
    </row>
    <row r="35891" spans="1:9">
      <c r="A35891" t="s">
        <v>4</v>
      </c>
      <c r="B35891" s="4" t="s">
        <v>5</v>
      </c>
      <c r="C35891" s="4" t="s">
        <v>11</v>
      </c>
      <c r="D35891" s="4" t="s">
        <v>7</v>
      </c>
      <c r="E35891" s="4" t="s">
        <v>8</v>
      </c>
      <c r="F35891" s="4" t="s">
        <v>13</v>
      </c>
      <c r="G35891" s="4" t="s">
        <v>13</v>
      </c>
      <c r="H35891" s="4" t="s">
        <v>13</v>
      </c>
    </row>
    <row r="35892" spans="1:9">
      <c r="A35892" t="n">
        <v>352280</v>
      </c>
      <c r="B35892" s="42" t="n">
        <v>48</v>
      </c>
      <c r="C35892" s="7" t="n">
        <v>0</v>
      </c>
      <c r="D35892" s="7" t="n">
        <v>0</v>
      </c>
      <c r="E35892" s="7" t="s">
        <v>987</v>
      </c>
      <c r="F35892" s="7" t="n">
        <v>-1</v>
      </c>
      <c r="G35892" s="7" t="n">
        <v>1</v>
      </c>
      <c r="H35892" s="7" t="n">
        <v>0</v>
      </c>
    </row>
    <row r="35893" spans="1:9">
      <c r="A35893" t="s">
        <v>4</v>
      </c>
      <c r="B35893" s="4" t="s">
        <v>5</v>
      </c>
      <c r="C35893" s="4" t="s">
        <v>11</v>
      </c>
      <c r="D35893" s="4" t="s">
        <v>7</v>
      </c>
      <c r="E35893" s="4" t="s">
        <v>8</v>
      </c>
      <c r="F35893" s="4" t="s">
        <v>13</v>
      </c>
      <c r="G35893" s="4" t="s">
        <v>13</v>
      </c>
      <c r="H35893" s="4" t="s">
        <v>13</v>
      </c>
    </row>
    <row r="35894" spans="1:9">
      <c r="A35894" t="n">
        <v>352306</v>
      </c>
      <c r="B35894" s="42" t="n">
        <v>48</v>
      </c>
      <c r="C35894" s="7" t="n">
        <v>4</v>
      </c>
      <c r="D35894" s="7" t="n">
        <v>0</v>
      </c>
      <c r="E35894" s="7" t="s">
        <v>987</v>
      </c>
      <c r="F35894" s="7" t="n">
        <v>-1</v>
      </c>
      <c r="G35894" s="7" t="n">
        <v>1</v>
      </c>
      <c r="H35894" s="7" t="n">
        <v>0</v>
      </c>
    </row>
    <row r="35895" spans="1:9">
      <c r="A35895" t="s">
        <v>4</v>
      </c>
      <c r="B35895" s="4" t="s">
        <v>5</v>
      </c>
      <c r="C35895" s="4" t="s">
        <v>11</v>
      </c>
    </row>
    <row r="35896" spans="1:9">
      <c r="A35896" t="n">
        <v>352332</v>
      </c>
      <c r="B35896" s="29" t="n">
        <v>16</v>
      </c>
      <c r="C35896" s="7" t="n">
        <v>500</v>
      </c>
    </row>
    <row r="35897" spans="1:9">
      <c r="A35897" t="s">
        <v>4</v>
      </c>
      <c r="B35897" s="4" t="s">
        <v>5</v>
      </c>
      <c r="C35897" s="4" t="s">
        <v>7</v>
      </c>
      <c r="D35897" s="4" t="s">
        <v>11</v>
      </c>
      <c r="E35897" s="4" t="s">
        <v>13</v>
      </c>
      <c r="F35897" s="4" t="s">
        <v>11</v>
      </c>
      <c r="G35897" s="4" t="s">
        <v>15</v>
      </c>
      <c r="H35897" s="4" t="s">
        <v>15</v>
      </c>
      <c r="I35897" s="4" t="s">
        <v>11</v>
      </c>
      <c r="J35897" s="4" t="s">
        <v>11</v>
      </c>
      <c r="K35897" s="4" t="s">
        <v>15</v>
      </c>
      <c r="L35897" s="4" t="s">
        <v>15</v>
      </c>
      <c r="M35897" s="4" t="s">
        <v>15</v>
      </c>
      <c r="N35897" s="4" t="s">
        <v>15</v>
      </c>
      <c r="O35897" s="4" t="s">
        <v>8</v>
      </c>
    </row>
    <row r="35898" spans="1:9">
      <c r="A35898" t="n">
        <v>352335</v>
      </c>
      <c r="B35898" s="57" t="n">
        <v>50</v>
      </c>
      <c r="C35898" s="7" t="n">
        <v>0</v>
      </c>
      <c r="D35898" s="7" t="n">
        <v>2258</v>
      </c>
      <c r="E35898" s="7" t="n">
        <v>1</v>
      </c>
      <c r="F35898" s="7" t="n">
        <v>0</v>
      </c>
      <c r="G35898" s="7" t="n">
        <v>0</v>
      </c>
      <c r="H35898" s="7" t="n">
        <v>0</v>
      </c>
      <c r="I35898" s="7" t="n">
        <v>0</v>
      </c>
      <c r="J35898" s="7" t="n">
        <v>65533</v>
      </c>
      <c r="K35898" s="7" t="n">
        <v>0</v>
      </c>
      <c r="L35898" s="7" t="n">
        <v>0</v>
      </c>
      <c r="M35898" s="7" t="n">
        <v>0</v>
      </c>
      <c r="N35898" s="7" t="n">
        <v>0</v>
      </c>
      <c r="O35898" s="7" t="s">
        <v>16</v>
      </c>
    </row>
    <row r="35899" spans="1:9">
      <c r="A35899" t="s">
        <v>4</v>
      </c>
      <c r="B35899" s="4" t="s">
        <v>5</v>
      </c>
      <c r="C35899" s="4" t="s">
        <v>11</v>
      </c>
    </row>
    <row r="35900" spans="1:9">
      <c r="A35900" t="n">
        <v>352374</v>
      </c>
      <c r="B35900" s="29" t="n">
        <v>16</v>
      </c>
      <c r="C35900" s="7" t="n">
        <v>200</v>
      </c>
    </row>
    <row r="35901" spans="1:9">
      <c r="A35901" t="s">
        <v>4</v>
      </c>
      <c r="B35901" s="4" t="s">
        <v>5</v>
      </c>
      <c r="C35901" s="4" t="s">
        <v>7</v>
      </c>
      <c r="D35901" s="4" t="s">
        <v>13</v>
      </c>
      <c r="E35901" s="4" t="s">
        <v>13</v>
      </c>
      <c r="F35901" s="4" t="s">
        <v>13</v>
      </c>
    </row>
    <row r="35902" spans="1:9">
      <c r="A35902" t="n">
        <v>352377</v>
      </c>
      <c r="B35902" s="51" t="n">
        <v>45</v>
      </c>
      <c r="C35902" s="7" t="n">
        <v>9</v>
      </c>
      <c r="D35902" s="7" t="n">
        <v>0.00999999977648258</v>
      </c>
      <c r="E35902" s="7" t="n">
        <v>0.00999999977648258</v>
      </c>
      <c r="F35902" s="7" t="n">
        <v>0.300000011920929</v>
      </c>
    </row>
    <row r="35903" spans="1:9">
      <c r="A35903" t="s">
        <v>4</v>
      </c>
      <c r="B35903" s="4" t="s">
        <v>5</v>
      </c>
      <c r="C35903" s="4" t="s">
        <v>7</v>
      </c>
      <c r="D35903" s="4" t="s">
        <v>11</v>
      </c>
    </row>
    <row r="35904" spans="1:9">
      <c r="A35904" t="n">
        <v>352391</v>
      </c>
      <c r="B35904" s="51" t="n">
        <v>45</v>
      </c>
      <c r="C35904" s="7" t="n">
        <v>7</v>
      </c>
      <c r="D35904" s="7" t="n">
        <v>255</v>
      </c>
    </row>
    <row r="35905" spans="1:15">
      <c r="A35905" t="s">
        <v>4</v>
      </c>
      <c r="B35905" s="4" t="s">
        <v>5</v>
      </c>
      <c r="C35905" s="4" t="s">
        <v>7</v>
      </c>
      <c r="D35905" s="4" t="s">
        <v>7</v>
      </c>
      <c r="E35905" s="4" t="s">
        <v>13</v>
      </c>
      <c r="F35905" s="4" t="s">
        <v>13</v>
      </c>
      <c r="G35905" s="4" t="s">
        <v>13</v>
      </c>
      <c r="H35905" s="4" t="s">
        <v>11</v>
      </c>
      <c r="I35905" s="4" t="s">
        <v>7</v>
      </c>
    </row>
    <row r="35906" spans="1:15">
      <c r="A35906" t="n">
        <v>352395</v>
      </c>
      <c r="B35906" s="51" t="n">
        <v>45</v>
      </c>
      <c r="C35906" s="7" t="n">
        <v>4</v>
      </c>
      <c r="D35906" s="7" t="n">
        <v>3</v>
      </c>
      <c r="E35906" s="7" t="n">
        <v>9.89000034332275</v>
      </c>
      <c r="F35906" s="7" t="n">
        <v>47.2200012207031</v>
      </c>
      <c r="G35906" s="7" t="n">
        <v>354</v>
      </c>
      <c r="H35906" s="7" t="n">
        <v>30000</v>
      </c>
      <c r="I35906" s="7" t="n">
        <v>1</v>
      </c>
    </row>
    <row r="35907" spans="1:15">
      <c r="A35907" t="s">
        <v>4</v>
      </c>
      <c r="B35907" s="4" t="s">
        <v>5</v>
      </c>
      <c r="C35907" s="4" t="s">
        <v>7</v>
      </c>
      <c r="D35907" s="4" t="s">
        <v>11</v>
      </c>
      <c r="E35907" s="4" t="s">
        <v>8</v>
      </c>
    </row>
    <row r="35908" spans="1:15">
      <c r="A35908" t="n">
        <v>352413</v>
      </c>
      <c r="B35908" s="38" t="n">
        <v>51</v>
      </c>
      <c r="C35908" s="7" t="n">
        <v>4</v>
      </c>
      <c r="D35908" s="7" t="n">
        <v>4</v>
      </c>
      <c r="E35908" s="7" t="s">
        <v>1059</v>
      </c>
    </row>
    <row r="35909" spans="1:15">
      <c r="A35909" t="s">
        <v>4</v>
      </c>
      <c r="B35909" s="4" t="s">
        <v>5</v>
      </c>
      <c r="C35909" s="4" t="s">
        <v>11</v>
      </c>
    </row>
    <row r="35910" spans="1:15">
      <c r="A35910" t="n">
        <v>352427</v>
      </c>
      <c r="B35910" s="29" t="n">
        <v>16</v>
      </c>
      <c r="C35910" s="7" t="n">
        <v>0</v>
      </c>
    </row>
    <row r="35911" spans="1:15">
      <c r="A35911" t="s">
        <v>4</v>
      </c>
      <c r="B35911" s="4" t="s">
        <v>5</v>
      </c>
      <c r="C35911" s="4" t="s">
        <v>11</v>
      </c>
      <c r="D35911" s="4" t="s">
        <v>7</v>
      </c>
      <c r="E35911" s="4" t="s">
        <v>15</v>
      </c>
      <c r="F35911" s="4" t="s">
        <v>55</v>
      </c>
      <c r="G35911" s="4" t="s">
        <v>7</v>
      </c>
      <c r="H35911" s="4" t="s">
        <v>7</v>
      </c>
      <c r="I35911" s="4" t="s">
        <v>7</v>
      </c>
      <c r="J35911" s="4" t="s">
        <v>15</v>
      </c>
      <c r="K35911" s="4" t="s">
        <v>55</v>
      </c>
      <c r="L35911" s="4" t="s">
        <v>7</v>
      </c>
      <c r="M35911" s="4" t="s">
        <v>7</v>
      </c>
    </row>
    <row r="35912" spans="1:15">
      <c r="A35912" t="n">
        <v>352430</v>
      </c>
      <c r="B35912" s="55" t="n">
        <v>26</v>
      </c>
      <c r="C35912" s="7" t="n">
        <v>4</v>
      </c>
      <c r="D35912" s="7" t="n">
        <v>17</v>
      </c>
      <c r="E35912" s="7" t="n">
        <v>7826</v>
      </c>
      <c r="F35912" s="7" t="s">
        <v>1060</v>
      </c>
      <c r="G35912" s="7" t="n">
        <v>2</v>
      </c>
      <c r="H35912" s="7" t="n">
        <v>3</v>
      </c>
      <c r="I35912" s="7" t="n">
        <v>17</v>
      </c>
      <c r="J35912" s="7" t="n">
        <v>7827</v>
      </c>
      <c r="K35912" s="7" t="s">
        <v>1061</v>
      </c>
      <c r="L35912" s="7" t="n">
        <v>2</v>
      </c>
      <c r="M35912" s="7" t="n">
        <v>0</v>
      </c>
    </row>
    <row r="35913" spans="1:15">
      <c r="A35913" t="s">
        <v>4</v>
      </c>
      <c r="B35913" s="4" t="s">
        <v>5</v>
      </c>
    </row>
    <row r="35914" spans="1:15">
      <c r="A35914" t="n">
        <v>352623</v>
      </c>
      <c r="B35914" s="27" t="n">
        <v>28</v>
      </c>
    </row>
    <row r="35915" spans="1:15">
      <c r="A35915" t="s">
        <v>4</v>
      </c>
      <c r="B35915" s="4" t="s">
        <v>5</v>
      </c>
      <c r="C35915" s="4" t="s">
        <v>11</v>
      </c>
      <c r="D35915" s="4" t="s">
        <v>7</v>
      </c>
      <c r="E35915" s="4" t="s">
        <v>7</v>
      </c>
      <c r="F35915" s="4" t="s">
        <v>8</v>
      </c>
    </row>
    <row r="35916" spans="1:15">
      <c r="A35916" t="n">
        <v>352624</v>
      </c>
      <c r="B35916" s="50" t="n">
        <v>20</v>
      </c>
      <c r="C35916" s="7" t="n">
        <v>0</v>
      </c>
      <c r="D35916" s="7" t="n">
        <v>2</v>
      </c>
      <c r="E35916" s="7" t="n">
        <v>10</v>
      </c>
      <c r="F35916" s="7" t="s">
        <v>223</v>
      </c>
    </row>
    <row r="35917" spans="1:15">
      <c r="A35917" t="s">
        <v>4</v>
      </c>
      <c r="B35917" s="4" t="s">
        <v>5</v>
      </c>
      <c r="C35917" s="4" t="s">
        <v>7</v>
      </c>
      <c r="D35917" s="4" t="s">
        <v>11</v>
      </c>
      <c r="E35917" s="4" t="s">
        <v>8</v>
      </c>
    </row>
    <row r="35918" spans="1:15">
      <c r="A35918" t="n">
        <v>352645</v>
      </c>
      <c r="B35918" s="38" t="n">
        <v>51</v>
      </c>
      <c r="C35918" s="7" t="n">
        <v>4</v>
      </c>
      <c r="D35918" s="7" t="n">
        <v>0</v>
      </c>
      <c r="E35918" s="7" t="s">
        <v>285</v>
      </c>
    </row>
    <row r="35919" spans="1:15">
      <c r="A35919" t="s">
        <v>4</v>
      </c>
      <c r="B35919" s="4" t="s">
        <v>5</v>
      </c>
      <c r="C35919" s="4" t="s">
        <v>11</v>
      </c>
    </row>
    <row r="35920" spans="1:15">
      <c r="A35920" t="n">
        <v>352658</v>
      </c>
      <c r="B35920" s="29" t="n">
        <v>16</v>
      </c>
      <c r="C35920" s="7" t="n">
        <v>0</v>
      </c>
    </row>
    <row r="35921" spans="1:13">
      <c r="A35921" t="s">
        <v>4</v>
      </c>
      <c r="B35921" s="4" t="s">
        <v>5</v>
      </c>
      <c r="C35921" s="4" t="s">
        <v>11</v>
      </c>
      <c r="D35921" s="4" t="s">
        <v>7</v>
      </c>
      <c r="E35921" s="4" t="s">
        <v>15</v>
      </c>
      <c r="F35921" s="4" t="s">
        <v>55</v>
      </c>
      <c r="G35921" s="4" t="s">
        <v>7</v>
      </c>
      <c r="H35921" s="4" t="s">
        <v>7</v>
      </c>
    </row>
    <row r="35922" spans="1:13">
      <c r="A35922" t="n">
        <v>352661</v>
      </c>
      <c r="B35922" s="55" t="n">
        <v>26</v>
      </c>
      <c r="C35922" s="7" t="n">
        <v>0</v>
      </c>
      <c r="D35922" s="7" t="n">
        <v>17</v>
      </c>
      <c r="E35922" s="7" t="n">
        <v>64171</v>
      </c>
      <c r="F35922" s="7" t="s">
        <v>1062</v>
      </c>
      <c r="G35922" s="7" t="n">
        <v>2</v>
      </c>
      <c r="H35922" s="7" t="n">
        <v>0</v>
      </c>
    </row>
    <row r="35923" spans="1:13">
      <c r="A35923" t="s">
        <v>4</v>
      </c>
      <c r="B35923" s="4" t="s">
        <v>5</v>
      </c>
    </row>
    <row r="35924" spans="1:13">
      <c r="A35924" t="n">
        <v>352689</v>
      </c>
      <c r="B35924" s="27" t="n">
        <v>28</v>
      </c>
    </row>
    <row r="35925" spans="1:13">
      <c r="A35925" t="s">
        <v>4</v>
      </c>
      <c r="B35925" s="4" t="s">
        <v>5</v>
      </c>
      <c r="C35925" s="4" t="s">
        <v>11</v>
      </c>
      <c r="D35925" s="4" t="s">
        <v>7</v>
      </c>
    </row>
    <row r="35926" spans="1:13">
      <c r="A35926" t="n">
        <v>352690</v>
      </c>
      <c r="B35926" s="68" t="n">
        <v>89</v>
      </c>
      <c r="C35926" s="7" t="n">
        <v>65533</v>
      </c>
      <c r="D35926" s="7" t="n">
        <v>1</v>
      </c>
    </row>
    <row r="35927" spans="1:13">
      <c r="A35927" t="s">
        <v>4</v>
      </c>
      <c r="B35927" s="4" t="s">
        <v>5</v>
      </c>
      <c r="C35927" s="4" t="s">
        <v>11</v>
      </c>
    </row>
    <row r="35928" spans="1:13">
      <c r="A35928" t="n">
        <v>352694</v>
      </c>
      <c r="B35928" s="29" t="n">
        <v>16</v>
      </c>
      <c r="C35928" s="7" t="n">
        <v>1000</v>
      </c>
    </row>
    <row r="35929" spans="1:13">
      <c r="A35929" t="s">
        <v>4</v>
      </c>
      <c r="B35929" s="4" t="s">
        <v>5</v>
      </c>
      <c r="C35929" s="4" t="s">
        <v>7</v>
      </c>
      <c r="D35929" s="4" t="s">
        <v>13</v>
      </c>
      <c r="E35929" s="4" t="s">
        <v>11</v>
      </c>
      <c r="F35929" s="4" t="s">
        <v>7</v>
      </c>
    </row>
    <row r="35930" spans="1:13">
      <c r="A35930" t="n">
        <v>352697</v>
      </c>
      <c r="B35930" s="13" t="n">
        <v>49</v>
      </c>
      <c r="C35930" s="7" t="n">
        <v>3</v>
      </c>
      <c r="D35930" s="7" t="n">
        <v>1</v>
      </c>
      <c r="E35930" s="7" t="n">
        <v>1000</v>
      </c>
      <c r="F35930" s="7" t="n">
        <v>0</v>
      </c>
    </row>
    <row r="35931" spans="1:13">
      <c r="A35931" t="s">
        <v>4</v>
      </c>
      <c r="B35931" s="4" t="s">
        <v>5</v>
      </c>
      <c r="C35931" s="4" t="s">
        <v>7</v>
      </c>
      <c r="D35931" s="4" t="s">
        <v>11</v>
      </c>
      <c r="E35931" s="4" t="s">
        <v>13</v>
      </c>
    </row>
    <row r="35932" spans="1:13">
      <c r="A35932" t="n">
        <v>352706</v>
      </c>
      <c r="B35932" s="23" t="n">
        <v>58</v>
      </c>
      <c r="C35932" s="7" t="n">
        <v>101</v>
      </c>
      <c r="D35932" s="7" t="n">
        <v>1000</v>
      </c>
      <c r="E35932" s="7" t="n">
        <v>1</v>
      </c>
    </row>
    <row r="35933" spans="1:13">
      <c r="A35933" t="s">
        <v>4</v>
      </c>
      <c r="B35933" s="4" t="s">
        <v>5</v>
      </c>
      <c r="C35933" s="4" t="s">
        <v>7</v>
      </c>
      <c r="D35933" s="4" t="s">
        <v>11</v>
      </c>
    </row>
    <row r="35934" spans="1:13">
      <c r="A35934" t="n">
        <v>352714</v>
      </c>
      <c r="B35934" s="23" t="n">
        <v>58</v>
      </c>
      <c r="C35934" s="7" t="n">
        <v>254</v>
      </c>
      <c r="D35934" s="7" t="n">
        <v>0</v>
      </c>
    </row>
    <row r="35935" spans="1:13">
      <c r="A35935" t="s">
        <v>4</v>
      </c>
      <c r="B35935" s="4" t="s">
        <v>5</v>
      </c>
      <c r="C35935" s="4" t="s">
        <v>7</v>
      </c>
    </row>
    <row r="35936" spans="1:13">
      <c r="A35936" t="n">
        <v>352718</v>
      </c>
      <c r="B35936" s="49" t="n">
        <v>116</v>
      </c>
      <c r="C35936" s="7" t="n">
        <v>0</v>
      </c>
    </row>
    <row r="35937" spans="1:8">
      <c r="A35937" t="s">
        <v>4</v>
      </c>
      <c r="B35937" s="4" t="s">
        <v>5</v>
      </c>
      <c r="C35937" s="4" t="s">
        <v>7</v>
      </c>
      <c r="D35937" s="4" t="s">
        <v>11</v>
      </c>
    </row>
    <row r="35938" spans="1:8">
      <c r="A35938" t="n">
        <v>352720</v>
      </c>
      <c r="B35938" s="49" t="n">
        <v>116</v>
      </c>
      <c r="C35938" s="7" t="n">
        <v>2</v>
      </c>
      <c r="D35938" s="7" t="n">
        <v>1</v>
      </c>
    </row>
    <row r="35939" spans="1:8">
      <c r="A35939" t="s">
        <v>4</v>
      </c>
      <c r="B35939" s="4" t="s">
        <v>5</v>
      </c>
      <c r="C35939" s="4" t="s">
        <v>7</v>
      </c>
      <c r="D35939" s="4" t="s">
        <v>15</v>
      </c>
    </row>
    <row r="35940" spans="1:8">
      <c r="A35940" t="n">
        <v>352724</v>
      </c>
      <c r="B35940" s="49" t="n">
        <v>116</v>
      </c>
      <c r="C35940" s="7" t="n">
        <v>5</v>
      </c>
      <c r="D35940" s="7" t="n">
        <v>1092616192</v>
      </c>
    </row>
    <row r="35941" spans="1:8">
      <c r="A35941" t="s">
        <v>4</v>
      </c>
      <c r="B35941" s="4" t="s">
        <v>5</v>
      </c>
      <c r="C35941" s="4" t="s">
        <v>7</v>
      </c>
      <c r="D35941" s="4" t="s">
        <v>11</v>
      </c>
    </row>
    <row r="35942" spans="1:8">
      <c r="A35942" t="n">
        <v>352730</v>
      </c>
      <c r="B35942" s="49" t="n">
        <v>116</v>
      </c>
      <c r="C35942" s="7" t="n">
        <v>6</v>
      </c>
      <c r="D35942" s="7" t="n">
        <v>1</v>
      </c>
    </row>
    <row r="35943" spans="1:8">
      <c r="A35943" t="s">
        <v>4</v>
      </c>
      <c r="B35943" s="4" t="s">
        <v>5</v>
      </c>
      <c r="C35943" s="4" t="s">
        <v>7</v>
      </c>
      <c r="D35943" s="4" t="s">
        <v>7</v>
      </c>
      <c r="E35943" s="4" t="s">
        <v>13</v>
      </c>
      <c r="F35943" s="4" t="s">
        <v>13</v>
      </c>
      <c r="G35943" s="4" t="s">
        <v>13</v>
      </c>
      <c r="H35943" s="4" t="s">
        <v>11</v>
      </c>
    </row>
    <row r="35944" spans="1:8">
      <c r="A35944" t="n">
        <v>352734</v>
      </c>
      <c r="B35944" s="51" t="n">
        <v>45</v>
      </c>
      <c r="C35944" s="7" t="n">
        <v>2</v>
      </c>
      <c r="D35944" s="7" t="n">
        <v>3</v>
      </c>
      <c r="E35944" s="7" t="n">
        <v>-6.67000007629395</v>
      </c>
      <c r="F35944" s="7" t="n">
        <v>6.42000007629395</v>
      </c>
      <c r="G35944" s="7" t="n">
        <v>29.8899993896484</v>
      </c>
      <c r="H35944" s="7" t="n">
        <v>0</v>
      </c>
    </row>
    <row r="35945" spans="1:8">
      <c r="A35945" t="s">
        <v>4</v>
      </c>
      <c r="B35945" s="4" t="s">
        <v>5</v>
      </c>
      <c r="C35945" s="4" t="s">
        <v>7</v>
      </c>
      <c r="D35945" s="4" t="s">
        <v>7</v>
      </c>
      <c r="E35945" s="4" t="s">
        <v>13</v>
      </c>
      <c r="F35945" s="4" t="s">
        <v>13</v>
      </c>
      <c r="G35945" s="4" t="s">
        <v>13</v>
      </c>
      <c r="H35945" s="4" t="s">
        <v>11</v>
      </c>
      <c r="I35945" s="4" t="s">
        <v>7</v>
      </c>
    </row>
    <row r="35946" spans="1:8">
      <c r="A35946" t="n">
        <v>352751</v>
      </c>
      <c r="B35946" s="51" t="n">
        <v>45</v>
      </c>
      <c r="C35946" s="7" t="n">
        <v>4</v>
      </c>
      <c r="D35946" s="7" t="n">
        <v>3</v>
      </c>
      <c r="E35946" s="7" t="n">
        <v>15.4700002670288</v>
      </c>
      <c r="F35946" s="7" t="n">
        <v>56.1100006103516</v>
      </c>
      <c r="G35946" s="7" t="n">
        <v>354</v>
      </c>
      <c r="H35946" s="7" t="n">
        <v>0</v>
      </c>
      <c r="I35946" s="7" t="n">
        <v>0</v>
      </c>
    </row>
    <row r="35947" spans="1:8">
      <c r="A35947" t="s">
        <v>4</v>
      </c>
      <c r="B35947" s="4" t="s">
        <v>5</v>
      </c>
      <c r="C35947" s="4" t="s">
        <v>7</v>
      </c>
      <c r="D35947" s="4" t="s">
        <v>7</v>
      </c>
      <c r="E35947" s="4" t="s">
        <v>13</v>
      </c>
      <c r="F35947" s="4" t="s">
        <v>11</v>
      </c>
    </row>
    <row r="35948" spans="1:8">
      <c r="A35948" t="n">
        <v>352769</v>
      </c>
      <c r="B35948" s="51" t="n">
        <v>45</v>
      </c>
      <c r="C35948" s="7" t="n">
        <v>5</v>
      </c>
      <c r="D35948" s="7" t="n">
        <v>3</v>
      </c>
      <c r="E35948" s="7" t="n">
        <v>1.5</v>
      </c>
      <c r="F35948" s="7" t="n">
        <v>0</v>
      </c>
    </row>
    <row r="35949" spans="1:8">
      <c r="A35949" t="s">
        <v>4</v>
      </c>
      <c r="B35949" s="4" t="s">
        <v>5</v>
      </c>
      <c r="C35949" s="4" t="s">
        <v>7</v>
      </c>
      <c r="D35949" s="4" t="s">
        <v>7</v>
      </c>
      <c r="E35949" s="4" t="s">
        <v>13</v>
      </c>
      <c r="F35949" s="4" t="s">
        <v>11</v>
      </c>
    </row>
    <row r="35950" spans="1:8">
      <c r="A35950" t="n">
        <v>352778</v>
      </c>
      <c r="B35950" s="51" t="n">
        <v>45</v>
      </c>
      <c r="C35950" s="7" t="n">
        <v>11</v>
      </c>
      <c r="D35950" s="7" t="n">
        <v>3</v>
      </c>
      <c r="E35950" s="7" t="n">
        <v>40.2999992370605</v>
      </c>
      <c r="F35950" s="7" t="n">
        <v>0</v>
      </c>
    </row>
    <row r="35951" spans="1:8">
      <c r="A35951" t="s">
        <v>4</v>
      </c>
      <c r="B35951" s="4" t="s">
        <v>5</v>
      </c>
      <c r="C35951" s="4" t="s">
        <v>7</v>
      </c>
      <c r="D35951" s="4" t="s">
        <v>7</v>
      </c>
      <c r="E35951" s="4" t="s">
        <v>13</v>
      </c>
      <c r="F35951" s="4" t="s">
        <v>13</v>
      </c>
      <c r="G35951" s="4" t="s">
        <v>13</v>
      </c>
      <c r="H35951" s="4" t="s">
        <v>11</v>
      </c>
    </row>
    <row r="35952" spans="1:8">
      <c r="A35952" t="n">
        <v>352787</v>
      </c>
      <c r="B35952" s="51" t="n">
        <v>45</v>
      </c>
      <c r="C35952" s="7" t="n">
        <v>2</v>
      </c>
      <c r="D35952" s="7" t="n">
        <v>3</v>
      </c>
      <c r="E35952" s="7" t="n">
        <v>-6.34000015258789</v>
      </c>
      <c r="F35952" s="7" t="n">
        <v>6.59000015258789</v>
      </c>
      <c r="G35952" s="7" t="n">
        <v>28.8899993896484</v>
      </c>
      <c r="H35952" s="7" t="n">
        <v>6000</v>
      </c>
    </row>
    <row r="35953" spans="1:9">
      <c r="A35953" t="s">
        <v>4</v>
      </c>
      <c r="B35953" s="4" t="s">
        <v>5</v>
      </c>
      <c r="C35953" s="4" t="s">
        <v>7</v>
      </c>
      <c r="D35953" s="4" t="s">
        <v>7</v>
      </c>
      <c r="E35953" s="4" t="s">
        <v>13</v>
      </c>
      <c r="F35953" s="4" t="s">
        <v>13</v>
      </c>
      <c r="G35953" s="4" t="s">
        <v>13</v>
      </c>
      <c r="H35953" s="4" t="s">
        <v>11</v>
      </c>
      <c r="I35953" s="4" t="s">
        <v>7</v>
      </c>
    </row>
    <row r="35954" spans="1:9">
      <c r="A35954" t="n">
        <v>352804</v>
      </c>
      <c r="B35954" s="51" t="n">
        <v>45</v>
      </c>
      <c r="C35954" s="7" t="n">
        <v>4</v>
      </c>
      <c r="D35954" s="7" t="n">
        <v>3</v>
      </c>
      <c r="E35954" s="7" t="n">
        <v>10.7700004577637</v>
      </c>
      <c r="F35954" s="7" t="n">
        <v>43.6100006103516</v>
      </c>
      <c r="G35954" s="7" t="n">
        <v>360</v>
      </c>
      <c r="H35954" s="7" t="n">
        <v>6000</v>
      </c>
      <c r="I35954" s="7" t="n">
        <v>1</v>
      </c>
    </row>
    <row r="35955" spans="1:9">
      <c r="A35955" t="s">
        <v>4</v>
      </c>
      <c r="B35955" s="4" t="s">
        <v>5</v>
      </c>
      <c r="C35955" s="4" t="s">
        <v>7</v>
      </c>
      <c r="D35955" s="4" t="s">
        <v>11</v>
      </c>
    </row>
    <row r="35956" spans="1:9">
      <c r="A35956" t="n">
        <v>352822</v>
      </c>
      <c r="B35956" s="23" t="n">
        <v>58</v>
      </c>
      <c r="C35956" s="7" t="n">
        <v>255</v>
      </c>
      <c r="D35956" s="7" t="n">
        <v>0</v>
      </c>
    </row>
    <row r="35957" spans="1:9">
      <c r="A35957" t="s">
        <v>4</v>
      </c>
      <c r="B35957" s="4" t="s">
        <v>5</v>
      </c>
      <c r="C35957" s="4" t="s">
        <v>7</v>
      </c>
      <c r="D35957" s="4" t="s">
        <v>11</v>
      </c>
    </row>
    <row r="35958" spans="1:9">
      <c r="A35958" t="n">
        <v>352826</v>
      </c>
      <c r="B35958" s="51" t="n">
        <v>45</v>
      </c>
      <c r="C35958" s="7" t="n">
        <v>7</v>
      </c>
      <c r="D35958" s="7" t="n">
        <v>255</v>
      </c>
    </row>
    <row r="35959" spans="1:9">
      <c r="A35959" t="s">
        <v>4</v>
      </c>
      <c r="B35959" s="4" t="s">
        <v>5</v>
      </c>
      <c r="C35959" s="4" t="s">
        <v>7</v>
      </c>
      <c r="D35959" s="4" t="s">
        <v>11</v>
      </c>
      <c r="E35959" s="4" t="s">
        <v>13</v>
      </c>
    </row>
    <row r="35960" spans="1:9">
      <c r="A35960" t="n">
        <v>352830</v>
      </c>
      <c r="B35960" s="23" t="n">
        <v>58</v>
      </c>
      <c r="C35960" s="7" t="n">
        <v>0</v>
      </c>
      <c r="D35960" s="7" t="n">
        <v>2000</v>
      </c>
      <c r="E35960" s="7" t="n">
        <v>1</v>
      </c>
    </row>
    <row r="35961" spans="1:9">
      <c r="A35961" t="s">
        <v>4</v>
      </c>
      <c r="B35961" s="4" t="s">
        <v>5</v>
      </c>
      <c r="C35961" s="4" t="s">
        <v>7</v>
      </c>
      <c r="D35961" s="4" t="s">
        <v>11</v>
      </c>
    </row>
    <row r="35962" spans="1:9">
      <c r="A35962" t="n">
        <v>352838</v>
      </c>
      <c r="B35962" s="23" t="n">
        <v>58</v>
      </c>
      <c r="C35962" s="7" t="n">
        <v>255</v>
      </c>
      <c r="D35962" s="7" t="n">
        <v>0</v>
      </c>
    </row>
    <row r="35963" spans="1:9">
      <c r="A35963" t="s">
        <v>4</v>
      </c>
      <c r="B35963" s="4" t="s">
        <v>5</v>
      </c>
      <c r="C35963" s="4" t="s">
        <v>7</v>
      </c>
      <c r="D35963" s="4" t="s">
        <v>11</v>
      </c>
      <c r="E35963" s="4" t="s">
        <v>11</v>
      </c>
      <c r="F35963" s="4" t="s">
        <v>15</v>
      </c>
    </row>
    <row r="35964" spans="1:9">
      <c r="A35964" t="n">
        <v>352842</v>
      </c>
      <c r="B35964" s="76" t="n">
        <v>84</v>
      </c>
      <c r="C35964" s="7" t="n">
        <v>1</v>
      </c>
      <c r="D35964" s="7" t="n">
        <v>0</v>
      </c>
      <c r="E35964" s="7" t="n">
        <v>0</v>
      </c>
      <c r="F35964" s="7" t="n">
        <v>0</v>
      </c>
    </row>
    <row r="35965" spans="1:9">
      <c r="A35965" t="s">
        <v>4</v>
      </c>
      <c r="B35965" s="4" t="s">
        <v>5</v>
      </c>
      <c r="C35965" s="4" t="s">
        <v>7</v>
      </c>
    </row>
    <row r="35966" spans="1:9">
      <c r="A35966" t="n">
        <v>352852</v>
      </c>
      <c r="B35966" s="28" t="n">
        <v>78</v>
      </c>
      <c r="C35966" s="7" t="n">
        <v>255</v>
      </c>
    </row>
    <row r="35967" spans="1:9">
      <c r="A35967" t="s">
        <v>4</v>
      </c>
      <c r="B35967" s="4" t="s">
        <v>5</v>
      </c>
      <c r="C35967" s="4" t="s">
        <v>7</v>
      </c>
      <c r="D35967" s="4" t="s">
        <v>11</v>
      </c>
      <c r="E35967" s="4" t="s">
        <v>7</v>
      </c>
    </row>
    <row r="35968" spans="1:9">
      <c r="A35968" t="n">
        <v>352854</v>
      </c>
      <c r="B35968" s="40" t="n">
        <v>36</v>
      </c>
      <c r="C35968" s="7" t="n">
        <v>9</v>
      </c>
      <c r="D35968" s="7" t="n">
        <v>0</v>
      </c>
      <c r="E35968" s="7" t="n">
        <v>0</v>
      </c>
    </row>
    <row r="35969" spans="1:9">
      <c r="A35969" t="s">
        <v>4</v>
      </c>
      <c r="B35969" s="4" t="s">
        <v>5</v>
      </c>
      <c r="C35969" s="4" t="s">
        <v>7</v>
      </c>
      <c r="D35969" s="4" t="s">
        <v>11</v>
      </c>
      <c r="E35969" s="4" t="s">
        <v>7</v>
      </c>
    </row>
    <row r="35970" spans="1:9">
      <c r="A35970" t="n">
        <v>352859</v>
      </c>
      <c r="B35970" s="40" t="n">
        <v>36</v>
      </c>
      <c r="C35970" s="7" t="n">
        <v>9</v>
      </c>
      <c r="D35970" s="7" t="n">
        <v>4</v>
      </c>
      <c r="E35970" s="7" t="n">
        <v>0</v>
      </c>
    </row>
    <row r="35971" spans="1:9">
      <c r="A35971" t="s">
        <v>4</v>
      </c>
      <c r="B35971" s="4" t="s">
        <v>5</v>
      </c>
      <c r="C35971" s="4" t="s">
        <v>7</v>
      </c>
      <c r="D35971" s="4" t="s">
        <v>11</v>
      </c>
      <c r="E35971" s="4" t="s">
        <v>11</v>
      </c>
      <c r="F35971" s="4" t="s">
        <v>15</v>
      </c>
      <c r="G35971" s="4" t="s">
        <v>15</v>
      </c>
      <c r="H35971" s="4" t="s">
        <v>15</v>
      </c>
    </row>
    <row r="35972" spans="1:9">
      <c r="A35972" t="n">
        <v>352864</v>
      </c>
      <c r="B35972" s="77" t="n">
        <v>97</v>
      </c>
      <c r="C35972" s="7" t="n">
        <v>7</v>
      </c>
      <c r="D35972" s="7" t="n">
        <v>0</v>
      </c>
      <c r="E35972" s="7" t="n">
        <v>0</v>
      </c>
      <c r="F35972" s="7" t="n">
        <v>0</v>
      </c>
      <c r="G35972" s="7" t="n">
        <v>0</v>
      </c>
      <c r="H35972" s="7" t="n">
        <v>0</v>
      </c>
    </row>
    <row r="35973" spans="1:9">
      <c r="A35973" t="s">
        <v>4</v>
      </c>
      <c r="B35973" s="4" t="s">
        <v>5</v>
      </c>
      <c r="C35973" s="4" t="s">
        <v>11</v>
      </c>
      <c r="D35973" s="4" t="s">
        <v>13</v>
      </c>
      <c r="E35973" s="4" t="s">
        <v>13</v>
      </c>
      <c r="F35973" s="4" t="s">
        <v>13</v>
      </c>
      <c r="G35973" s="4" t="s">
        <v>13</v>
      </c>
    </row>
    <row r="35974" spans="1:9">
      <c r="A35974" t="n">
        <v>352882</v>
      </c>
      <c r="B35974" s="36" t="n">
        <v>46</v>
      </c>
      <c r="C35974" s="7" t="n">
        <v>61456</v>
      </c>
      <c r="D35974" s="7" t="n">
        <v>0</v>
      </c>
      <c r="E35974" s="7" t="n">
        <v>0</v>
      </c>
      <c r="F35974" s="7" t="n">
        <v>0</v>
      </c>
      <c r="G35974" s="7" t="n">
        <v>0</v>
      </c>
    </row>
    <row r="35975" spans="1:9">
      <c r="A35975" t="s">
        <v>4</v>
      </c>
      <c r="B35975" s="4" t="s">
        <v>5</v>
      </c>
      <c r="C35975" s="4" t="s">
        <v>7</v>
      </c>
      <c r="D35975" s="4" t="s">
        <v>8</v>
      </c>
    </row>
    <row r="35976" spans="1:9">
      <c r="A35976" t="n">
        <v>352901</v>
      </c>
      <c r="B35976" s="6" t="n">
        <v>2</v>
      </c>
      <c r="C35976" s="7" t="n">
        <v>10</v>
      </c>
      <c r="D35976" s="7" t="s">
        <v>1834</v>
      </c>
    </row>
    <row r="35977" spans="1:9">
      <c r="A35977" t="s">
        <v>4</v>
      </c>
      <c r="B35977" s="4" t="s">
        <v>5</v>
      </c>
    </row>
    <row r="35978" spans="1:9">
      <c r="A35978" t="n">
        <v>352922</v>
      </c>
      <c r="B35978" s="5" t="n">
        <v>1</v>
      </c>
    </row>
    <row r="35979" spans="1:9" s="3" customFormat="1" customHeight="0">
      <c r="A35979" s="3" t="s">
        <v>2</v>
      </c>
      <c r="B35979" s="3" t="s">
        <v>1852</v>
      </c>
    </row>
    <row r="35980" spans="1:9">
      <c r="A35980" t="s">
        <v>4</v>
      </c>
      <c r="B35980" s="4" t="s">
        <v>5</v>
      </c>
      <c r="C35980" s="4" t="s">
        <v>7</v>
      </c>
      <c r="D35980" s="4" t="s">
        <v>7</v>
      </c>
      <c r="E35980" s="4" t="s">
        <v>7</v>
      </c>
      <c r="F35980" s="4" t="s">
        <v>7</v>
      </c>
    </row>
    <row r="35981" spans="1:9">
      <c r="A35981" t="n">
        <v>352924</v>
      </c>
      <c r="B35981" s="9" t="n">
        <v>14</v>
      </c>
      <c r="C35981" s="7" t="n">
        <v>2</v>
      </c>
      <c r="D35981" s="7" t="n">
        <v>0</v>
      </c>
      <c r="E35981" s="7" t="n">
        <v>0</v>
      </c>
      <c r="F35981" s="7" t="n">
        <v>0</v>
      </c>
    </row>
    <row r="35982" spans="1:9">
      <c r="A35982" t="s">
        <v>4</v>
      </c>
      <c r="B35982" s="4" t="s">
        <v>5</v>
      </c>
      <c r="C35982" s="4" t="s">
        <v>7</v>
      </c>
      <c r="D35982" s="20" t="s">
        <v>35</v>
      </c>
      <c r="E35982" s="4" t="s">
        <v>5</v>
      </c>
      <c r="F35982" s="4" t="s">
        <v>7</v>
      </c>
      <c r="G35982" s="4" t="s">
        <v>11</v>
      </c>
      <c r="H35982" s="20" t="s">
        <v>36</v>
      </c>
      <c r="I35982" s="4" t="s">
        <v>7</v>
      </c>
      <c r="J35982" s="4" t="s">
        <v>15</v>
      </c>
      <c r="K35982" s="4" t="s">
        <v>7</v>
      </c>
      <c r="L35982" s="4" t="s">
        <v>7</v>
      </c>
      <c r="M35982" s="20" t="s">
        <v>35</v>
      </c>
      <c r="N35982" s="4" t="s">
        <v>5</v>
      </c>
      <c r="O35982" s="4" t="s">
        <v>7</v>
      </c>
      <c r="P35982" s="4" t="s">
        <v>11</v>
      </c>
      <c r="Q35982" s="20" t="s">
        <v>36</v>
      </c>
      <c r="R35982" s="4" t="s">
        <v>7</v>
      </c>
      <c r="S35982" s="4" t="s">
        <v>15</v>
      </c>
      <c r="T35982" s="4" t="s">
        <v>7</v>
      </c>
      <c r="U35982" s="4" t="s">
        <v>7</v>
      </c>
      <c r="V35982" s="4" t="s">
        <v>7</v>
      </c>
      <c r="W35982" s="4" t="s">
        <v>12</v>
      </c>
    </row>
    <row r="35983" spans="1:9">
      <c r="A35983" t="n">
        <v>352929</v>
      </c>
      <c r="B35983" s="10" t="n">
        <v>5</v>
      </c>
      <c r="C35983" s="7" t="n">
        <v>28</v>
      </c>
      <c r="D35983" s="20" t="s">
        <v>3</v>
      </c>
      <c r="E35983" s="8" t="n">
        <v>162</v>
      </c>
      <c r="F35983" s="7" t="n">
        <v>3</v>
      </c>
      <c r="G35983" s="7" t="n">
        <v>36876</v>
      </c>
      <c r="H35983" s="20" t="s">
        <v>3</v>
      </c>
      <c r="I35983" s="7" t="n">
        <v>0</v>
      </c>
      <c r="J35983" s="7" t="n">
        <v>1</v>
      </c>
      <c r="K35983" s="7" t="n">
        <v>2</v>
      </c>
      <c r="L35983" s="7" t="n">
        <v>28</v>
      </c>
      <c r="M35983" s="20" t="s">
        <v>3</v>
      </c>
      <c r="N35983" s="8" t="n">
        <v>162</v>
      </c>
      <c r="O35983" s="7" t="n">
        <v>3</v>
      </c>
      <c r="P35983" s="7" t="n">
        <v>36876</v>
      </c>
      <c r="Q35983" s="20" t="s">
        <v>3</v>
      </c>
      <c r="R35983" s="7" t="n">
        <v>0</v>
      </c>
      <c r="S35983" s="7" t="n">
        <v>2</v>
      </c>
      <c r="T35983" s="7" t="n">
        <v>2</v>
      </c>
      <c r="U35983" s="7" t="n">
        <v>11</v>
      </c>
      <c r="V35983" s="7" t="n">
        <v>1</v>
      </c>
      <c r="W35983" s="11" t="n">
        <f t="normal" ca="1">A35987</f>
        <v>0</v>
      </c>
    </row>
    <row r="35984" spans="1:9">
      <c r="A35984" t="s">
        <v>4</v>
      </c>
      <c r="B35984" s="4" t="s">
        <v>5</v>
      </c>
      <c r="C35984" s="4" t="s">
        <v>7</v>
      </c>
      <c r="D35984" s="4" t="s">
        <v>11</v>
      </c>
      <c r="E35984" s="4" t="s">
        <v>13</v>
      </c>
    </row>
    <row r="35985" spans="1:23">
      <c r="A35985" t="n">
        <v>352958</v>
      </c>
      <c r="B35985" s="23" t="n">
        <v>58</v>
      </c>
      <c r="C35985" s="7" t="n">
        <v>0</v>
      </c>
      <c r="D35985" s="7" t="n">
        <v>0</v>
      </c>
      <c r="E35985" s="7" t="n">
        <v>1</v>
      </c>
    </row>
    <row r="35986" spans="1:23">
      <c r="A35986" t="s">
        <v>4</v>
      </c>
      <c r="B35986" s="4" t="s">
        <v>5</v>
      </c>
      <c r="C35986" s="4" t="s">
        <v>7</v>
      </c>
      <c r="D35986" s="20" t="s">
        <v>35</v>
      </c>
      <c r="E35986" s="4" t="s">
        <v>5</v>
      </c>
      <c r="F35986" s="4" t="s">
        <v>7</v>
      </c>
      <c r="G35986" s="4" t="s">
        <v>11</v>
      </c>
      <c r="H35986" s="20" t="s">
        <v>36</v>
      </c>
      <c r="I35986" s="4" t="s">
        <v>7</v>
      </c>
      <c r="J35986" s="4" t="s">
        <v>15</v>
      </c>
      <c r="K35986" s="4" t="s">
        <v>7</v>
      </c>
      <c r="L35986" s="4" t="s">
        <v>7</v>
      </c>
      <c r="M35986" s="20" t="s">
        <v>35</v>
      </c>
      <c r="N35986" s="4" t="s">
        <v>5</v>
      </c>
      <c r="O35986" s="4" t="s">
        <v>7</v>
      </c>
      <c r="P35986" s="4" t="s">
        <v>11</v>
      </c>
      <c r="Q35986" s="20" t="s">
        <v>36</v>
      </c>
      <c r="R35986" s="4" t="s">
        <v>7</v>
      </c>
      <c r="S35986" s="4" t="s">
        <v>15</v>
      </c>
      <c r="T35986" s="4" t="s">
        <v>7</v>
      </c>
      <c r="U35986" s="4" t="s">
        <v>7</v>
      </c>
      <c r="V35986" s="4" t="s">
        <v>7</v>
      </c>
      <c r="W35986" s="4" t="s">
        <v>12</v>
      </c>
    </row>
    <row r="35987" spans="1:23">
      <c r="A35987" t="n">
        <v>352966</v>
      </c>
      <c r="B35987" s="10" t="n">
        <v>5</v>
      </c>
      <c r="C35987" s="7" t="n">
        <v>28</v>
      </c>
      <c r="D35987" s="20" t="s">
        <v>3</v>
      </c>
      <c r="E35987" s="8" t="n">
        <v>162</v>
      </c>
      <c r="F35987" s="7" t="n">
        <v>3</v>
      </c>
      <c r="G35987" s="7" t="n">
        <v>36876</v>
      </c>
      <c r="H35987" s="20" t="s">
        <v>3</v>
      </c>
      <c r="I35987" s="7" t="n">
        <v>0</v>
      </c>
      <c r="J35987" s="7" t="n">
        <v>1</v>
      </c>
      <c r="K35987" s="7" t="n">
        <v>3</v>
      </c>
      <c r="L35987" s="7" t="n">
        <v>28</v>
      </c>
      <c r="M35987" s="20" t="s">
        <v>3</v>
      </c>
      <c r="N35987" s="8" t="n">
        <v>162</v>
      </c>
      <c r="O35987" s="7" t="n">
        <v>3</v>
      </c>
      <c r="P35987" s="7" t="n">
        <v>36876</v>
      </c>
      <c r="Q35987" s="20" t="s">
        <v>3</v>
      </c>
      <c r="R35987" s="7" t="n">
        <v>0</v>
      </c>
      <c r="S35987" s="7" t="n">
        <v>2</v>
      </c>
      <c r="T35987" s="7" t="n">
        <v>3</v>
      </c>
      <c r="U35987" s="7" t="n">
        <v>9</v>
      </c>
      <c r="V35987" s="7" t="n">
        <v>1</v>
      </c>
      <c r="W35987" s="11" t="n">
        <f t="normal" ca="1">A35997</f>
        <v>0</v>
      </c>
    </row>
    <row r="35988" spans="1:23">
      <c r="A35988" t="s">
        <v>4</v>
      </c>
      <c r="B35988" s="4" t="s">
        <v>5</v>
      </c>
      <c r="C35988" s="4" t="s">
        <v>7</v>
      </c>
      <c r="D35988" s="20" t="s">
        <v>35</v>
      </c>
      <c r="E35988" s="4" t="s">
        <v>5</v>
      </c>
      <c r="F35988" s="4" t="s">
        <v>11</v>
      </c>
      <c r="G35988" s="4" t="s">
        <v>7</v>
      </c>
      <c r="H35988" s="4" t="s">
        <v>7</v>
      </c>
      <c r="I35988" s="4" t="s">
        <v>8</v>
      </c>
      <c r="J35988" s="20" t="s">
        <v>36</v>
      </c>
      <c r="K35988" s="4" t="s">
        <v>7</v>
      </c>
      <c r="L35988" s="4" t="s">
        <v>7</v>
      </c>
      <c r="M35988" s="20" t="s">
        <v>35</v>
      </c>
      <c r="N35988" s="4" t="s">
        <v>5</v>
      </c>
      <c r="O35988" s="4" t="s">
        <v>7</v>
      </c>
      <c r="P35988" s="20" t="s">
        <v>36</v>
      </c>
      <c r="Q35988" s="4" t="s">
        <v>7</v>
      </c>
      <c r="R35988" s="4" t="s">
        <v>15</v>
      </c>
      <c r="S35988" s="4" t="s">
        <v>7</v>
      </c>
      <c r="T35988" s="4" t="s">
        <v>7</v>
      </c>
      <c r="U35988" s="4" t="s">
        <v>7</v>
      </c>
      <c r="V35988" s="20" t="s">
        <v>35</v>
      </c>
      <c r="W35988" s="4" t="s">
        <v>5</v>
      </c>
      <c r="X35988" s="4" t="s">
        <v>7</v>
      </c>
      <c r="Y35988" s="20" t="s">
        <v>36</v>
      </c>
      <c r="Z35988" s="4" t="s">
        <v>7</v>
      </c>
      <c r="AA35988" s="4" t="s">
        <v>15</v>
      </c>
      <c r="AB35988" s="4" t="s">
        <v>7</v>
      </c>
      <c r="AC35988" s="4" t="s">
        <v>7</v>
      </c>
      <c r="AD35988" s="4" t="s">
        <v>7</v>
      </c>
      <c r="AE35988" s="4" t="s">
        <v>12</v>
      </c>
    </row>
    <row r="35989" spans="1:23">
      <c r="A35989" t="n">
        <v>352995</v>
      </c>
      <c r="B35989" s="10" t="n">
        <v>5</v>
      </c>
      <c r="C35989" s="7" t="n">
        <v>28</v>
      </c>
      <c r="D35989" s="20" t="s">
        <v>3</v>
      </c>
      <c r="E35989" s="41" t="n">
        <v>47</v>
      </c>
      <c r="F35989" s="7" t="n">
        <v>61456</v>
      </c>
      <c r="G35989" s="7" t="n">
        <v>2</v>
      </c>
      <c r="H35989" s="7" t="n">
        <v>0</v>
      </c>
      <c r="I35989" s="7" t="s">
        <v>105</v>
      </c>
      <c r="J35989" s="20" t="s">
        <v>3</v>
      </c>
      <c r="K35989" s="7" t="n">
        <v>8</v>
      </c>
      <c r="L35989" s="7" t="n">
        <v>28</v>
      </c>
      <c r="M35989" s="20" t="s">
        <v>3</v>
      </c>
      <c r="N35989" s="45" t="n">
        <v>74</v>
      </c>
      <c r="O35989" s="7" t="n">
        <v>65</v>
      </c>
      <c r="P35989" s="20" t="s">
        <v>3</v>
      </c>
      <c r="Q35989" s="7" t="n">
        <v>0</v>
      </c>
      <c r="R35989" s="7" t="n">
        <v>1</v>
      </c>
      <c r="S35989" s="7" t="n">
        <v>3</v>
      </c>
      <c r="T35989" s="7" t="n">
        <v>9</v>
      </c>
      <c r="U35989" s="7" t="n">
        <v>28</v>
      </c>
      <c r="V35989" s="20" t="s">
        <v>3</v>
      </c>
      <c r="W35989" s="45" t="n">
        <v>74</v>
      </c>
      <c r="X35989" s="7" t="n">
        <v>65</v>
      </c>
      <c r="Y35989" s="20" t="s">
        <v>3</v>
      </c>
      <c r="Z35989" s="7" t="n">
        <v>0</v>
      </c>
      <c r="AA35989" s="7" t="n">
        <v>2</v>
      </c>
      <c r="AB35989" s="7" t="n">
        <v>3</v>
      </c>
      <c r="AC35989" s="7" t="n">
        <v>9</v>
      </c>
      <c r="AD35989" s="7" t="n">
        <v>1</v>
      </c>
      <c r="AE35989" s="11" t="n">
        <f t="normal" ca="1">A35993</f>
        <v>0</v>
      </c>
    </row>
    <row r="35990" spans="1:23">
      <c r="A35990" t="s">
        <v>4</v>
      </c>
      <c r="B35990" s="4" t="s">
        <v>5</v>
      </c>
      <c r="C35990" s="4" t="s">
        <v>11</v>
      </c>
      <c r="D35990" s="4" t="s">
        <v>7</v>
      </c>
      <c r="E35990" s="4" t="s">
        <v>7</v>
      </c>
      <c r="F35990" s="4" t="s">
        <v>8</v>
      </c>
    </row>
    <row r="35991" spans="1:23">
      <c r="A35991" t="n">
        <v>353043</v>
      </c>
      <c r="B35991" s="41" t="n">
        <v>47</v>
      </c>
      <c r="C35991" s="7" t="n">
        <v>61456</v>
      </c>
      <c r="D35991" s="7" t="n">
        <v>0</v>
      </c>
      <c r="E35991" s="7" t="n">
        <v>0</v>
      </c>
      <c r="F35991" s="7" t="s">
        <v>106</v>
      </c>
    </row>
    <row r="35992" spans="1:23">
      <c r="A35992" t="s">
        <v>4</v>
      </c>
      <c r="B35992" s="4" t="s">
        <v>5</v>
      </c>
      <c r="C35992" s="4" t="s">
        <v>7</v>
      </c>
      <c r="D35992" s="4" t="s">
        <v>11</v>
      </c>
      <c r="E35992" s="4" t="s">
        <v>13</v>
      </c>
    </row>
    <row r="35993" spans="1:23">
      <c r="A35993" t="n">
        <v>353056</v>
      </c>
      <c r="B35993" s="23" t="n">
        <v>58</v>
      </c>
      <c r="C35993" s="7" t="n">
        <v>0</v>
      </c>
      <c r="D35993" s="7" t="n">
        <v>300</v>
      </c>
      <c r="E35993" s="7" t="n">
        <v>1</v>
      </c>
    </row>
    <row r="35994" spans="1:23">
      <c r="A35994" t="s">
        <v>4</v>
      </c>
      <c r="B35994" s="4" t="s">
        <v>5</v>
      </c>
      <c r="C35994" s="4" t="s">
        <v>7</v>
      </c>
      <c r="D35994" s="4" t="s">
        <v>11</v>
      </c>
    </row>
    <row r="35995" spans="1:23">
      <c r="A35995" t="n">
        <v>353064</v>
      </c>
      <c r="B35995" s="23" t="n">
        <v>58</v>
      </c>
      <c r="C35995" s="7" t="n">
        <v>255</v>
      </c>
      <c r="D35995" s="7" t="n">
        <v>0</v>
      </c>
    </row>
    <row r="35996" spans="1:23">
      <c r="A35996" t="s">
        <v>4</v>
      </c>
      <c r="B35996" s="4" t="s">
        <v>5</v>
      </c>
      <c r="C35996" s="4" t="s">
        <v>7</v>
      </c>
      <c r="D35996" s="4" t="s">
        <v>7</v>
      </c>
      <c r="E35996" s="4" t="s">
        <v>7</v>
      </c>
      <c r="F35996" s="4" t="s">
        <v>7</v>
      </c>
    </row>
    <row r="35997" spans="1:23">
      <c r="A35997" t="n">
        <v>353068</v>
      </c>
      <c r="B35997" s="9" t="n">
        <v>14</v>
      </c>
      <c r="C35997" s="7" t="n">
        <v>0</v>
      </c>
      <c r="D35997" s="7" t="n">
        <v>0</v>
      </c>
      <c r="E35997" s="7" t="n">
        <v>0</v>
      </c>
      <c r="F35997" s="7" t="n">
        <v>64</v>
      </c>
    </row>
    <row r="35998" spans="1:23">
      <c r="A35998" t="s">
        <v>4</v>
      </c>
      <c r="B35998" s="4" t="s">
        <v>5</v>
      </c>
      <c r="C35998" s="4" t="s">
        <v>7</v>
      </c>
      <c r="D35998" s="4" t="s">
        <v>11</v>
      </c>
    </row>
    <row r="35999" spans="1:23">
      <c r="A35999" t="n">
        <v>353073</v>
      </c>
      <c r="B35999" s="22" t="n">
        <v>22</v>
      </c>
      <c r="C35999" s="7" t="n">
        <v>0</v>
      </c>
      <c r="D35999" s="7" t="n">
        <v>36876</v>
      </c>
    </row>
    <row r="36000" spans="1:23">
      <c r="A36000" t="s">
        <v>4</v>
      </c>
      <c r="B36000" s="4" t="s">
        <v>5</v>
      </c>
      <c r="C36000" s="4" t="s">
        <v>7</v>
      </c>
      <c r="D36000" s="4" t="s">
        <v>11</v>
      </c>
    </row>
    <row r="36001" spans="1:31">
      <c r="A36001" t="n">
        <v>353077</v>
      </c>
      <c r="B36001" s="23" t="n">
        <v>58</v>
      </c>
      <c r="C36001" s="7" t="n">
        <v>5</v>
      </c>
      <c r="D36001" s="7" t="n">
        <v>300</v>
      </c>
    </row>
    <row r="36002" spans="1:31">
      <c r="A36002" t="s">
        <v>4</v>
      </c>
      <c r="B36002" s="4" t="s">
        <v>5</v>
      </c>
      <c r="C36002" s="4" t="s">
        <v>13</v>
      </c>
      <c r="D36002" s="4" t="s">
        <v>11</v>
      </c>
    </row>
    <row r="36003" spans="1:31">
      <c r="A36003" t="n">
        <v>353081</v>
      </c>
      <c r="B36003" s="46" t="n">
        <v>103</v>
      </c>
      <c r="C36003" s="7" t="n">
        <v>0</v>
      </c>
      <c r="D36003" s="7" t="n">
        <v>300</v>
      </c>
    </row>
    <row r="36004" spans="1:31">
      <c r="A36004" t="s">
        <v>4</v>
      </c>
      <c r="B36004" s="4" t="s">
        <v>5</v>
      </c>
      <c r="C36004" s="4" t="s">
        <v>7</v>
      </c>
    </row>
    <row r="36005" spans="1:31">
      <c r="A36005" t="n">
        <v>353088</v>
      </c>
      <c r="B36005" s="47" t="n">
        <v>64</v>
      </c>
      <c r="C36005" s="7" t="n">
        <v>7</v>
      </c>
    </row>
    <row r="36006" spans="1:31">
      <c r="A36006" t="s">
        <v>4</v>
      </c>
      <c r="B36006" s="4" t="s">
        <v>5</v>
      </c>
      <c r="C36006" s="4" t="s">
        <v>7</v>
      </c>
      <c r="D36006" s="4" t="s">
        <v>11</v>
      </c>
    </row>
    <row r="36007" spans="1:31">
      <c r="A36007" t="n">
        <v>353090</v>
      </c>
      <c r="B36007" s="48" t="n">
        <v>72</v>
      </c>
      <c r="C36007" s="7" t="n">
        <v>5</v>
      </c>
      <c r="D36007" s="7" t="n">
        <v>0</v>
      </c>
    </row>
    <row r="36008" spans="1:31">
      <c r="A36008" t="s">
        <v>4</v>
      </c>
      <c r="B36008" s="4" t="s">
        <v>5</v>
      </c>
      <c r="C36008" s="4" t="s">
        <v>7</v>
      </c>
      <c r="D36008" s="20" t="s">
        <v>35</v>
      </c>
      <c r="E36008" s="4" t="s">
        <v>5</v>
      </c>
      <c r="F36008" s="4" t="s">
        <v>7</v>
      </c>
      <c r="G36008" s="4" t="s">
        <v>11</v>
      </c>
      <c r="H36008" s="20" t="s">
        <v>36</v>
      </c>
      <c r="I36008" s="4" t="s">
        <v>7</v>
      </c>
      <c r="J36008" s="4" t="s">
        <v>15</v>
      </c>
      <c r="K36008" s="4" t="s">
        <v>7</v>
      </c>
      <c r="L36008" s="4" t="s">
        <v>7</v>
      </c>
      <c r="M36008" s="4" t="s">
        <v>12</v>
      </c>
    </row>
    <row r="36009" spans="1:31">
      <c r="A36009" t="n">
        <v>353094</v>
      </c>
      <c r="B36009" s="10" t="n">
        <v>5</v>
      </c>
      <c r="C36009" s="7" t="n">
        <v>28</v>
      </c>
      <c r="D36009" s="20" t="s">
        <v>3</v>
      </c>
      <c r="E36009" s="8" t="n">
        <v>162</v>
      </c>
      <c r="F36009" s="7" t="n">
        <v>4</v>
      </c>
      <c r="G36009" s="7" t="n">
        <v>36876</v>
      </c>
      <c r="H36009" s="20" t="s">
        <v>3</v>
      </c>
      <c r="I36009" s="7" t="n">
        <v>0</v>
      </c>
      <c r="J36009" s="7" t="n">
        <v>1</v>
      </c>
      <c r="K36009" s="7" t="n">
        <v>2</v>
      </c>
      <c r="L36009" s="7" t="n">
        <v>1</v>
      </c>
      <c r="M36009" s="11" t="n">
        <f t="normal" ca="1">A36015</f>
        <v>0</v>
      </c>
    </row>
    <row r="36010" spans="1:31">
      <c r="A36010" t="s">
        <v>4</v>
      </c>
      <c r="B36010" s="4" t="s">
        <v>5</v>
      </c>
      <c r="C36010" s="4" t="s">
        <v>7</v>
      </c>
      <c r="D36010" s="4" t="s">
        <v>8</v>
      </c>
    </row>
    <row r="36011" spans="1:31">
      <c r="A36011" t="n">
        <v>353111</v>
      </c>
      <c r="B36011" s="6" t="n">
        <v>2</v>
      </c>
      <c r="C36011" s="7" t="n">
        <v>10</v>
      </c>
      <c r="D36011" s="7" t="s">
        <v>107</v>
      </c>
    </row>
    <row r="36012" spans="1:31">
      <c r="A36012" t="s">
        <v>4</v>
      </c>
      <c r="B36012" s="4" t="s">
        <v>5</v>
      </c>
      <c r="C36012" s="4" t="s">
        <v>11</v>
      </c>
    </row>
    <row r="36013" spans="1:31">
      <c r="A36013" t="n">
        <v>353128</v>
      </c>
      <c r="B36013" s="29" t="n">
        <v>16</v>
      </c>
      <c r="C36013" s="7" t="n">
        <v>0</v>
      </c>
    </row>
    <row r="36014" spans="1:31">
      <c r="A36014" t="s">
        <v>4</v>
      </c>
      <c r="B36014" s="4" t="s">
        <v>5</v>
      </c>
      <c r="C36014" s="4" t="s">
        <v>7</v>
      </c>
      <c r="D36014" s="4" t="s">
        <v>11</v>
      </c>
      <c r="E36014" s="4" t="s">
        <v>15</v>
      </c>
      <c r="F36014" s="4" t="s">
        <v>11</v>
      </c>
      <c r="G36014" s="4" t="s">
        <v>15</v>
      </c>
      <c r="H36014" s="4" t="s">
        <v>7</v>
      </c>
    </row>
    <row r="36015" spans="1:31">
      <c r="A36015" t="n">
        <v>353131</v>
      </c>
      <c r="B36015" s="13" t="n">
        <v>49</v>
      </c>
      <c r="C36015" s="7" t="n">
        <v>0</v>
      </c>
      <c r="D36015" s="7" t="n">
        <v>501</v>
      </c>
      <c r="E36015" s="7" t="n">
        <v>1065353216</v>
      </c>
      <c r="F36015" s="7" t="n">
        <v>0</v>
      </c>
      <c r="G36015" s="7" t="n">
        <v>0</v>
      </c>
      <c r="H36015" s="7" t="n">
        <v>0</v>
      </c>
    </row>
    <row r="36016" spans="1:31">
      <c r="A36016" t="s">
        <v>4</v>
      </c>
      <c r="B36016" s="4" t="s">
        <v>5</v>
      </c>
      <c r="C36016" s="4" t="s">
        <v>11</v>
      </c>
      <c r="D36016" s="4" t="s">
        <v>8</v>
      </c>
      <c r="E36016" s="4" t="s">
        <v>8</v>
      </c>
      <c r="F36016" s="4" t="s">
        <v>8</v>
      </c>
      <c r="G36016" s="4" t="s">
        <v>7</v>
      </c>
      <c r="H36016" s="4" t="s">
        <v>15</v>
      </c>
      <c r="I36016" s="4" t="s">
        <v>13</v>
      </c>
      <c r="J36016" s="4" t="s">
        <v>13</v>
      </c>
      <c r="K36016" s="4" t="s">
        <v>13</v>
      </c>
      <c r="L36016" s="4" t="s">
        <v>13</v>
      </c>
      <c r="M36016" s="4" t="s">
        <v>13</v>
      </c>
      <c r="N36016" s="4" t="s">
        <v>13</v>
      </c>
      <c r="O36016" s="4" t="s">
        <v>13</v>
      </c>
      <c r="P36016" s="4" t="s">
        <v>8</v>
      </c>
      <c r="Q36016" s="4" t="s">
        <v>8</v>
      </c>
      <c r="R36016" s="4" t="s">
        <v>15</v>
      </c>
      <c r="S36016" s="4" t="s">
        <v>7</v>
      </c>
      <c r="T36016" s="4" t="s">
        <v>15</v>
      </c>
      <c r="U36016" s="4" t="s">
        <v>15</v>
      </c>
      <c r="V36016" s="4" t="s">
        <v>11</v>
      </c>
    </row>
    <row r="36017" spans="1:22">
      <c r="A36017" t="n">
        <v>353146</v>
      </c>
      <c r="B36017" s="62" t="n">
        <v>19</v>
      </c>
      <c r="C36017" s="7" t="n">
        <v>4</v>
      </c>
      <c r="D36017" s="7" t="s">
        <v>985</v>
      </c>
      <c r="E36017" s="7" t="s">
        <v>986</v>
      </c>
      <c r="F36017" s="7" t="s">
        <v>16</v>
      </c>
      <c r="G36017" s="7" t="n">
        <v>0</v>
      </c>
      <c r="H36017" s="7" t="n">
        <v>1</v>
      </c>
      <c r="I36017" s="7" t="n">
        <v>0</v>
      </c>
      <c r="J36017" s="7" t="n">
        <v>0</v>
      </c>
      <c r="K36017" s="7" t="n">
        <v>0</v>
      </c>
      <c r="L36017" s="7" t="n">
        <v>0</v>
      </c>
      <c r="M36017" s="7" t="n">
        <v>1</v>
      </c>
      <c r="N36017" s="7" t="n">
        <v>1.60000002384186</v>
      </c>
      <c r="O36017" s="7" t="n">
        <v>0.0900000035762787</v>
      </c>
      <c r="P36017" s="7" t="s">
        <v>16</v>
      </c>
      <c r="Q36017" s="7" t="s">
        <v>16</v>
      </c>
      <c r="R36017" s="7" t="n">
        <v>-1</v>
      </c>
      <c r="S36017" s="7" t="n">
        <v>0</v>
      </c>
      <c r="T36017" s="7" t="n">
        <v>0</v>
      </c>
      <c r="U36017" s="7" t="n">
        <v>0</v>
      </c>
      <c r="V36017" s="7" t="n">
        <v>0</v>
      </c>
    </row>
    <row r="36018" spans="1:22">
      <c r="A36018" t="s">
        <v>4</v>
      </c>
      <c r="B36018" s="4" t="s">
        <v>5</v>
      </c>
      <c r="C36018" s="4" t="s">
        <v>11</v>
      </c>
      <c r="D36018" s="4" t="s">
        <v>7</v>
      </c>
      <c r="E36018" s="4" t="s">
        <v>7</v>
      </c>
      <c r="F36018" s="4" t="s">
        <v>8</v>
      </c>
    </row>
    <row r="36019" spans="1:22">
      <c r="A36019" t="n">
        <v>353221</v>
      </c>
      <c r="B36019" s="50" t="n">
        <v>20</v>
      </c>
      <c r="C36019" s="7" t="n">
        <v>0</v>
      </c>
      <c r="D36019" s="7" t="n">
        <v>3</v>
      </c>
      <c r="E36019" s="7" t="n">
        <v>10</v>
      </c>
      <c r="F36019" s="7" t="s">
        <v>108</v>
      </c>
    </row>
    <row r="36020" spans="1:22">
      <c r="A36020" t="s">
        <v>4</v>
      </c>
      <c r="B36020" s="4" t="s">
        <v>5</v>
      </c>
      <c r="C36020" s="4" t="s">
        <v>11</v>
      </c>
    </row>
    <row r="36021" spans="1:22">
      <c r="A36021" t="n">
        <v>353239</v>
      </c>
      <c r="B36021" s="29" t="n">
        <v>16</v>
      </c>
      <c r="C36021" s="7" t="n">
        <v>0</v>
      </c>
    </row>
    <row r="36022" spans="1:22">
      <c r="A36022" t="s">
        <v>4</v>
      </c>
      <c r="B36022" s="4" t="s">
        <v>5</v>
      </c>
      <c r="C36022" s="4" t="s">
        <v>11</v>
      </c>
      <c r="D36022" s="4" t="s">
        <v>7</v>
      </c>
      <c r="E36022" s="4" t="s">
        <v>7</v>
      </c>
      <c r="F36022" s="4" t="s">
        <v>8</v>
      </c>
    </row>
    <row r="36023" spans="1:22">
      <c r="A36023" t="n">
        <v>353242</v>
      </c>
      <c r="B36023" s="50" t="n">
        <v>20</v>
      </c>
      <c r="C36023" s="7" t="n">
        <v>4</v>
      </c>
      <c r="D36023" s="7" t="n">
        <v>3</v>
      </c>
      <c r="E36023" s="7" t="n">
        <v>10</v>
      </c>
      <c r="F36023" s="7" t="s">
        <v>108</v>
      </c>
    </row>
    <row r="36024" spans="1:22">
      <c r="A36024" t="s">
        <v>4</v>
      </c>
      <c r="B36024" s="4" t="s">
        <v>5</v>
      </c>
      <c r="C36024" s="4" t="s">
        <v>11</v>
      </c>
    </row>
    <row r="36025" spans="1:22">
      <c r="A36025" t="n">
        <v>353260</v>
      </c>
      <c r="B36025" s="29" t="n">
        <v>16</v>
      </c>
      <c r="C36025" s="7" t="n">
        <v>0</v>
      </c>
    </row>
    <row r="36026" spans="1:22">
      <c r="A36026" t="s">
        <v>4</v>
      </c>
      <c r="B36026" s="4" t="s">
        <v>5</v>
      </c>
      <c r="C36026" s="4" t="s">
        <v>7</v>
      </c>
      <c r="D36026" s="4" t="s">
        <v>11</v>
      </c>
      <c r="E36026" s="4" t="s">
        <v>7</v>
      </c>
      <c r="F36026" s="4" t="s">
        <v>8</v>
      </c>
      <c r="G36026" s="4" t="s">
        <v>8</v>
      </c>
      <c r="H36026" s="4" t="s">
        <v>8</v>
      </c>
      <c r="I36026" s="4" t="s">
        <v>8</v>
      </c>
      <c r="J36026" s="4" t="s">
        <v>8</v>
      </c>
      <c r="K36026" s="4" t="s">
        <v>8</v>
      </c>
      <c r="L36026" s="4" t="s">
        <v>8</v>
      </c>
      <c r="M36026" s="4" t="s">
        <v>8</v>
      </c>
      <c r="N36026" s="4" t="s">
        <v>8</v>
      </c>
      <c r="O36026" s="4" t="s">
        <v>8</v>
      </c>
      <c r="P36026" s="4" t="s">
        <v>8</v>
      </c>
      <c r="Q36026" s="4" t="s">
        <v>8</v>
      </c>
      <c r="R36026" s="4" t="s">
        <v>8</v>
      </c>
      <c r="S36026" s="4" t="s">
        <v>8</v>
      </c>
      <c r="T36026" s="4" t="s">
        <v>8</v>
      </c>
      <c r="U36026" s="4" t="s">
        <v>8</v>
      </c>
    </row>
    <row r="36027" spans="1:22">
      <c r="A36027" t="n">
        <v>353263</v>
      </c>
      <c r="B36027" s="40" t="n">
        <v>36</v>
      </c>
      <c r="C36027" s="7" t="n">
        <v>8</v>
      </c>
      <c r="D36027" s="7" t="n">
        <v>4</v>
      </c>
      <c r="E36027" s="7" t="n">
        <v>0</v>
      </c>
      <c r="F36027" s="7" t="s">
        <v>74</v>
      </c>
      <c r="G36027" s="7" t="s">
        <v>16</v>
      </c>
      <c r="H36027" s="7" t="s">
        <v>16</v>
      </c>
      <c r="I36027" s="7" t="s">
        <v>16</v>
      </c>
      <c r="J36027" s="7" t="s">
        <v>16</v>
      </c>
      <c r="K36027" s="7" t="s">
        <v>16</v>
      </c>
      <c r="L36027" s="7" t="s">
        <v>16</v>
      </c>
      <c r="M36027" s="7" t="s">
        <v>16</v>
      </c>
      <c r="N36027" s="7" t="s">
        <v>16</v>
      </c>
      <c r="O36027" s="7" t="s">
        <v>16</v>
      </c>
      <c r="P36027" s="7" t="s">
        <v>16</v>
      </c>
      <c r="Q36027" s="7" t="s">
        <v>16</v>
      </c>
      <c r="R36027" s="7" t="s">
        <v>16</v>
      </c>
      <c r="S36027" s="7" t="s">
        <v>16</v>
      </c>
      <c r="T36027" s="7" t="s">
        <v>16</v>
      </c>
      <c r="U36027" s="7" t="s">
        <v>16</v>
      </c>
    </row>
    <row r="36028" spans="1:22">
      <c r="A36028" t="s">
        <v>4</v>
      </c>
      <c r="B36028" s="4" t="s">
        <v>5</v>
      </c>
      <c r="C36028" s="4" t="s">
        <v>7</v>
      </c>
    </row>
    <row r="36029" spans="1:22">
      <c r="A36029" t="n">
        <v>353296</v>
      </c>
      <c r="B36029" s="49" t="n">
        <v>116</v>
      </c>
      <c r="C36029" s="7" t="n">
        <v>0</v>
      </c>
    </row>
    <row r="36030" spans="1:22">
      <c r="A36030" t="s">
        <v>4</v>
      </c>
      <c r="B36030" s="4" t="s">
        <v>5</v>
      </c>
      <c r="C36030" s="4" t="s">
        <v>7</v>
      </c>
      <c r="D36030" s="4" t="s">
        <v>11</v>
      </c>
    </row>
    <row r="36031" spans="1:22">
      <c r="A36031" t="n">
        <v>353298</v>
      </c>
      <c r="B36031" s="49" t="n">
        <v>116</v>
      </c>
      <c r="C36031" s="7" t="n">
        <v>2</v>
      </c>
      <c r="D36031" s="7" t="n">
        <v>1</v>
      </c>
    </row>
    <row r="36032" spans="1:22">
      <c r="A36032" t="s">
        <v>4</v>
      </c>
      <c r="B36032" s="4" t="s">
        <v>5</v>
      </c>
      <c r="C36032" s="4" t="s">
        <v>7</v>
      </c>
      <c r="D36032" s="4" t="s">
        <v>15</v>
      </c>
    </row>
    <row r="36033" spans="1:22">
      <c r="A36033" t="n">
        <v>353302</v>
      </c>
      <c r="B36033" s="49" t="n">
        <v>116</v>
      </c>
      <c r="C36033" s="7" t="n">
        <v>5</v>
      </c>
      <c r="D36033" s="7" t="n">
        <v>1088421888</v>
      </c>
    </row>
    <row r="36034" spans="1:22">
      <c r="A36034" t="s">
        <v>4</v>
      </c>
      <c r="B36034" s="4" t="s">
        <v>5</v>
      </c>
      <c r="C36034" s="4" t="s">
        <v>7</v>
      </c>
      <c r="D36034" s="4" t="s">
        <v>11</v>
      </c>
    </row>
    <row r="36035" spans="1:22">
      <c r="A36035" t="n">
        <v>353308</v>
      </c>
      <c r="B36035" s="49" t="n">
        <v>116</v>
      </c>
      <c r="C36035" s="7" t="n">
        <v>6</v>
      </c>
      <c r="D36035" s="7" t="n">
        <v>1</v>
      </c>
    </row>
    <row r="36036" spans="1:22">
      <c r="A36036" t="s">
        <v>4</v>
      </c>
      <c r="B36036" s="4" t="s">
        <v>5</v>
      </c>
      <c r="C36036" s="4" t="s">
        <v>11</v>
      </c>
      <c r="D36036" s="4" t="s">
        <v>13</v>
      </c>
      <c r="E36036" s="4" t="s">
        <v>13</v>
      </c>
      <c r="F36036" s="4" t="s">
        <v>13</v>
      </c>
      <c r="G36036" s="4" t="s">
        <v>13</v>
      </c>
    </row>
    <row r="36037" spans="1:22">
      <c r="A36037" t="n">
        <v>353312</v>
      </c>
      <c r="B36037" s="36" t="n">
        <v>46</v>
      </c>
      <c r="C36037" s="7" t="n">
        <v>0</v>
      </c>
      <c r="D36037" s="7" t="n">
        <v>-19.0100002288818</v>
      </c>
      <c r="E36037" s="7" t="n">
        <v>5.01000022888184</v>
      </c>
      <c r="F36037" s="7" t="n">
        <v>50.3600006103516</v>
      </c>
      <c r="G36037" s="7" t="n">
        <v>289.899993896484</v>
      </c>
    </row>
    <row r="36038" spans="1:22">
      <c r="A36038" t="s">
        <v>4</v>
      </c>
      <c r="B36038" s="4" t="s">
        <v>5</v>
      </c>
      <c r="C36038" s="4" t="s">
        <v>11</v>
      </c>
      <c r="D36038" s="4" t="s">
        <v>13</v>
      </c>
      <c r="E36038" s="4" t="s">
        <v>13</v>
      </c>
      <c r="F36038" s="4" t="s">
        <v>13</v>
      </c>
      <c r="G36038" s="4" t="s">
        <v>13</v>
      </c>
    </row>
    <row r="36039" spans="1:22">
      <c r="A36039" t="n">
        <v>353331</v>
      </c>
      <c r="B36039" s="36" t="n">
        <v>46</v>
      </c>
      <c r="C36039" s="7" t="n">
        <v>4</v>
      </c>
      <c r="D36039" s="7" t="n">
        <v>-19.9599990844727</v>
      </c>
      <c r="E36039" s="7" t="n">
        <v>5.01000022888184</v>
      </c>
      <c r="F36039" s="7" t="n">
        <v>50.4700012207031</v>
      </c>
      <c r="G36039" s="7" t="n">
        <v>0</v>
      </c>
    </row>
    <row r="36040" spans="1:22">
      <c r="A36040" t="s">
        <v>4</v>
      </c>
      <c r="B36040" s="4" t="s">
        <v>5</v>
      </c>
      <c r="C36040" s="4" t="s">
        <v>11</v>
      </c>
      <c r="D36040" s="4" t="s">
        <v>7</v>
      </c>
      <c r="E36040" s="4" t="s">
        <v>8</v>
      </c>
      <c r="F36040" s="4" t="s">
        <v>13</v>
      </c>
      <c r="G36040" s="4" t="s">
        <v>13</v>
      </c>
      <c r="H36040" s="4" t="s">
        <v>13</v>
      </c>
    </row>
    <row r="36041" spans="1:22">
      <c r="A36041" t="n">
        <v>353350</v>
      </c>
      <c r="B36041" s="42" t="n">
        <v>48</v>
      </c>
      <c r="C36041" s="7" t="n">
        <v>4</v>
      </c>
      <c r="D36041" s="7" t="n">
        <v>0</v>
      </c>
      <c r="E36041" s="7" t="s">
        <v>74</v>
      </c>
      <c r="F36041" s="7" t="n">
        <v>0</v>
      </c>
      <c r="G36041" s="7" t="n">
        <v>1</v>
      </c>
      <c r="H36041" s="7" t="n">
        <v>0</v>
      </c>
    </row>
    <row r="36042" spans="1:22">
      <c r="A36042" t="s">
        <v>4</v>
      </c>
      <c r="B36042" s="4" t="s">
        <v>5</v>
      </c>
      <c r="C36042" s="4" t="s">
        <v>11</v>
      </c>
      <c r="D36042" s="4" t="s">
        <v>15</v>
      </c>
    </row>
    <row r="36043" spans="1:22">
      <c r="A36043" t="n">
        <v>353379</v>
      </c>
      <c r="B36043" s="39" t="n">
        <v>43</v>
      </c>
      <c r="C36043" s="7" t="n">
        <v>4</v>
      </c>
      <c r="D36043" s="7" t="n">
        <v>64</v>
      </c>
    </row>
    <row r="36044" spans="1:22">
      <c r="A36044" t="s">
        <v>4</v>
      </c>
      <c r="B36044" s="4" t="s">
        <v>5</v>
      </c>
      <c r="C36044" s="4" t="s">
        <v>7</v>
      </c>
      <c r="D36044" s="4" t="s">
        <v>8</v>
      </c>
      <c r="E36044" s="4" t="s">
        <v>13</v>
      </c>
      <c r="F36044" s="4" t="s">
        <v>13</v>
      </c>
      <c r="G36044" s="4" t="s">
        <v>13</v>
      </c>
    </row>
    <row r="36045" spans="1:22">
      <c r="A36045" t="n">
        <v>353386</v>
      </c>
      <c r="B36045" s="15" t="n">
        <v>94</v>
      </c>
      <c r="C36045" s="7" t="n">
        <v>2</v>
      </c>
      <c r="D36045" s="7" t="s">
        <v>75</v>
      </c>
      <c r="E36045" s="7" t="n">
        <v>-20</v>
      </c>
      <c r="F36045" s="7" t="n">
        <v>5</v>
      </c>
      <c r="G36045" s="7" t="n">
        <v>50.4650001525879</v>
      </c>
    </row>
    <row r="36046" spans="1:22">
      <c r="A36046" t="s">
        <v>4</v>
      </c>
      <c r="B36046" s="4" t="s">
        <v>5</v>
      </c>
      <c r="C36046" s="4" t="s">
        <v>7</v>
      </c>
      <c r="D36046" s="4" t="s">
        <v>8</v>
      </c>
      <c r="E36046" s="4" t="s">
        <v>11</v>
      </c>
    </row>
    <row r="36047" spans="1:22">
      <c r="A36047" t="n">
        <v>353410</v>
      </c>
      <c r="B36047" s="15" t="n">
        <v>94</v>
      </c>
      <c r="C36047" s="7" t="n">
        <v>0</v>
      </c>
      <c r="D36047" s="7" t="s">
        <v>18</v>
      </c>
      <c r="E36047" s="7" t="n">
        <v>1</v>
      </c>
    </row>
    <row r="36048" spans="1:22">
      <c r="A36048" t="s">
        <v>4</v>
      </c>
      <c r="B36048" s="4" t="s">
        <v>5</v>
      </c>
      <c r="C36048" s="4" t="s">
        <v>7</v>
      </c>
      <c r="D36048" s="4" t="s">
        <v>8</v>
      </c>
      <c r="E36048" s="4" t="s">
        <v>11</v>
      </c>
    </row>
    <row r="36049" spans="1:8">
      <c r="A36049" t="n">
        <v>353428</v>
      </c>
      <c r="B36049" s="15" t="n">
        <v>94</v>
      </c>
      <c r="C36049" s="7" t="n">
        <v>0</v>
      </c>
      <c r="D36049" s="7" t="s">
        <v>18</v>
      </c>
      <c r="E36049" s="7" t="n">
        <v>2</v>
      </c>
    </row>
    <row r="36050" spans="1:8">
      <c r="A36050" t="s">
        <v>4</v>
      </c>
      <c r="B36050" s="4" t="s">
        <v>5</v>
      </c>
      <c r="C36050" s="4" t="s">
        <v>7</v>
      </c>
      <c r="D36050" s="4" t="s">
        <v>8</v>
      </c>
      <c r="E36050" s="4" t="s">
        <v>11</v>
      </c>
    </row>
    <row r="36051" spans="1:8">
      <c r="A36051" t="n">
        <v>353446</v>
      </c>
      <c r="B36051" s="15" t="n">
        <v>94</v>
      </c>
      <c r="C36051" s="7" t="n">
        <v>1</v>
      </c>
      <c r="D36051" s="7" t="s">
        <v>18</v>
      </c>
      <c r="E36051" s="7" t="n">
        <v>4</v>
      </c>
    </row>
    <row r="36052" spans="1:8">
      <c r="A36052" t="s">
        <v>4</v>
      </c>
      <c r="B36052" s="4" t="s">
        <v>5</v>
      </c>
      <c r="C36052" s="4" t="s">
        <v>7</v>
      </c>
      <c r="D36052" s="4" t="s">
        <v>8</v>
      </c>
    </row>
    <row r="36053" spans="1:8">
      <c r="A36053" t="n">
        <v>353464</v>
      </c>
      <c r="B36053" s="15" t="n">
        <v>94</v>
      </c>
      <c r="C36053" s="7" t="n">
        <v>5</v>
      </c>
      <c r="D36053" s="7" t="s">
        <v>18</v>
      </c>
    </row>
    <row r="36054" spans="1:8">
      <c r="A36054" t="s">
        <v>4</v>
      </c>
      <c r="B36054" s="4" t="s">
        <v>5</v>
      </c>
      <c r="C36054" s="4" t="s">
        <v>11</v>
      </c>
    </row>
    <row r="36055" spans="1:8">
      <c r="A36055" t="n">
        <v>353480</v>
      </c>
      <c r="B36055" s="29" t="n">
        <v>16</v>
      </c>
      <c r="C36055" s="7" t="n">
        <v>0</v>
      </c>
    </row>
    <row r="36056" spans="1:8">
      <c r="A36056" t="s">
        <v>4</v>
      </c>
      <c r="B36056" s="4" t="s">
        <v>5</v>
      </c>
      <c r="C36056" s="4" t="s">
        <v>11</v>
      </c>
      <c r="D36056" s="4" t="s">
        <v>11</v>
      </c>
      <c r="E36056" s="4" t="s">
        <v>11</v>
      </c>
    </row>
    <row r="36057" spans="1:8">
      <c r="A36057" t="n">
        <v>353483</v>
      </c>
      <c r="B36057" s="72" t="n">
        <v>61</v>
      </c>
      <c r="C36057" s="7" t="n">
        <v>0</v>
      </c>
      <c r="D36057" s="7" t="n">
        <v>4</v>
      </c>
      <c r="E36057" s="7" t="n">
        <v>0</v>
      </c>
    </row>
    <row r="36058" spans="1:8">
      <c r="A36058" t="s">
        <v>4</v>
      </c>
      <c r="B36058" s="4" t="s">
        <v>5</v>
      </c>
      <c r="C36058" s="4" t="s">
        <v>11</v>
      </c>
      <c r="D36058" s="4" t="s">
        <v>11</v>
      </c>
      <c r="E36058" s="4" t="s">
        <v>11</v>
      </c>
      <c r="F36058" s="4" t="s">
        <v>15</v>
      </c>
      <c r="G36058" s="4" t="s">
        <v>15</v>
      </c>
      <c r="H36058" s="4" t="s">
        <v>15</v>
      </c>
    </row>
    <row r="36059" spans="1:8">
      <c r="A36059" t="n">
        <v>353490</v>
      </c>
      <c r="B36059" s="72" t="n">
        <v>61</v>
      </c>
      <c r="C36059" s="7" t="n">
        <v>4</v>
      </c>
      <c r="D36059" s="7" t="n">
        <v>65535</v>
      </c>
      <c r="E36059" s="7" t="n">
        <v>0</v>
      </c>
      <c r="F36059" s="7" t="n">
        <v>-1046478848</v>
      </c>
      <c r="G36059" s="7" t="n">
        <v>1086282793</v>
      </c>
      <c r="H36059" s="7" t="n">
        <v>1112311071</v>
      </c>
    </row>
    <row r="36060" spans="1:8">
      <c r="A36060" t="s">
        <v>4</v>
      </c>
      <c r="B36060" s="4" t="s">
        <v>5</v>
      </c>
      <c r="C36060" s="4" t="s">
        <v>7</v>
      </c>
      <c r="D36060" s="4" t="s">
        <v>11</v>
      </c>
      <c r="E36060" s="4" t="s">
        <v>8</v>
      </c>
      <c r="F36060" s="4" t="s">
        <v>8</v>
      </c>
      <c r="G36060" s="4" t="s">
        <v>8</v>
      </c>
      <c r="H36060" s="4" t="s">
        <v>8</v>
      </c>
    </row>
    <row r="36061" spans="1:8">
      <c r="A36061" t="n">
        <v>353509</v>
      </c>
      <c r="B36061" s="38" t="n">
        <v>51</v>
      </c>
      <c r="C36061" s="7" t="n">
        <v>3</v>
      </c>
      <c r="D36061" s="7" t="n">
        <v>4</v>
      </c>
      <c r="E36061" s="7" t="s">
        <v>68</v>
      </c>
      <c r="F36061" s="7" t="s">
        <v>218</v>
      </c>
      <c r="G36061" s="7" t="s">
        <v>78</v>
      </c>
      <c r="H36061" s="7" t="s">
        <v>79</v>
      </c>
    </row>
    <row r="36062" spans="1:8">
      <c r="A36062" t="s">
        <v>4</v>
      </c>
      <c r="B36062" s="4" t="s">
        <v>5</v>
      </c>
      <c r="C36062" s="4" t="s">
        <v>11</v>
      </c>
      <c r="D36062" s="4" t="s">
        <v>7</v>
      </c>
      <c r="E36062" s="4" t="s">
        <v>8</v>
      </c>
      <c r="F36062" s="4" t="s">
        <v>13</v>
      </c>
      <c r="G36062" s="4" t="s">
        <v>13</v>
      </c>
      <c r="H36062" s="4" t="s">
        <v>13</v>
      </c>
    </row>
    <row r="36063" spans="1:8">
      <c r="A36063" t="n">
        <v>353522</v>
      </c>
      <c r="B36063" s="42" t="n">
        <v>48</v>
      </c>
      <c r="C36063" s="7" t="n">
        <v>0</v>
      </c>
      <c r="D36063" s="7" t="n">
        <v>0</v>
      </c>
      <c r="E36063" s="7" t="s">
        <v>275</v>
      </c>
      <c r="F36063" s="7" t="n">
        <v>0</v>
      </c>
      <c r="G36063" s="7" t="n">
        <v>1</v>
      </c>
      <c r="H36063" s="7" t="n">
        <v>0</v>
      </c>
    </row>
    <row r="36064" spans="1:8">
      <c r="A36064" t="s">
        <v>4</v>
      </c>
      <c r="B36064" s="4" t="s">
        <v>5</v>
      </c>
      <c r="C36064" s="4" t="s">
        <v>7</v>
      </c>
      <c r="D36064" s="4" t="s">
        <v>7</v>
      </c>
      <c r="E36064" s="4" t="s">
        <v>13</v>
      </c>
      <c r="F36064" s="4" t="s">
        <v>13</v>
      </c>
      <c r="G36064" s="4" t="s">
        <v>13</v>
      </c>
      <c r="H36064" s="4" t="s">
        <v>11</v>
      </c>
    </row>
    <row r="36065" spans="1:8">
      <c r="A36065" t="n">
        <v>353547</v>
      </c>
      <c r="B36065" s="51" t="n">
        <v>45</v>
      </c>
      <c r="C36065" s="7" t="n">
        <v>2</v>
      </c>
      <c r="D36065" s="7" t="n">
        <v>3</v>
      </c>
      <c r="E36065" s="7" t="n">
        <v>-19.4500007629395</v>
      </c>
      <c r="F36065" s="7" t="n">
        <v>6.28000020980835</v>
      </c>
      <c r="G36065" s="7" t="n">
        <v>50.5900001525879</v>
      </c>
      <c r="H36065" s="7" t="n">
        <v>0</v>
      </c>
    </row>
    <row r="36066" spans="1:8">
      <c r="A36066" t="s">
        <v>4</v>
      </c>
      <c r="B36066" s="4" t="s">
        <v>5</v>
      </c>
      <c r="C36066" s="4" t="s">
        <v>7</v>
      </c>
      <c r="D36066" s="4" t="s">
        <v>7</v>
      </c>
      <c r="E36066" s="4" t="s">
        <v>13</v>
      </c>
      <c r="F36066" s="4" t="s">
        <v>13</v>
      </c>
      <c r="G36066" s="4" t="s">
        <v>13</v>
      </c>
      <c r="H36066" s="4" t="s">
        <v>11</v>
      </c>
      <c r="I36066" s="4" t="s">
        <v>7</v>
      </c>
    </row>
    <row r="36067" spans="1:8">
      <c r="A36067" t="n">
        <v>353564</v>
      </c>
      <c r="B36067" s="51" t="n">
        <v>45</v>
      </c>
      <c r="C36067" s="7" t="n">
        <v>4</v>
      </c>
      <c r="D36067" s="7" t="n">
        <v>3</v>
      </c>
      <c r="E36067" s="7" t="n">
        <v>25.8899993896484</v>
      </c>
      <c r="F36067" s="7" t="n">
        <v>145.389999389648</v>
      </c>
      <c r="G36067" s="7" t="n">
        <v>0</v>
      </c>
      <c r="H36067" s="7" t="n">
        <v>0</v>
      </c>
      <c r="I36067" s="7" t="n">
        <v>0</v>
      </c>
    </row>
    <row r="36068" spans="1:8">
      <c r="A36068" t="s">
        <v>4</v>
      </c>
      <c r="B36068" s="4" t="s">
        <v>5</v>
      </c>
      <c r="C36068" s="4" t="s">
        <v>7</v>
      </c>
      <c r="D36068" s="4" t="s">
        <v>7</v>
      </c>
      <c r="E36068" s="4" t="s">
        <v>13</v>
      </c>
      <c r="F36068" s="4" t="s">
        <v>11</v>
      </c>
    </row>
    <row r="36069" spans="1:8">
      <c r="A36069" t="n">
        <v>353582</v>
      </c>
      <c r="B36069" s="51" t="n">
        <v>45</v>
      </c>
      <c r="C36069" s="7" t="n">
        <v>5</v>
      </c>
      <c r="D36069" s="7" t="n">
        <v>3</v>
      </c>
      <c r="E36069" s="7" t="n">
        <v>1.70000004768372</v>
      </c>
      <c r="F36069" s="7" t="n">
        <v>0</v>
      </c>
    </row>
    <row r="36070" spans="1:8">
      <c r="A36070" t="s">
        <v>4</v>
      </c>
      <c r="B36070" s="4" t="s">
        <v>5</v>
      </c>
      <c r="C36070" s="4" t="s">
        <v>7</v>
      </c>
      <c r="D36070" s="4" t="s">
        <v>7</v>
      </c>
      <c r="E36070" s="4" t="s">
        <v>13</v>
      </c>
      <c r="F36070" s="4" t="s">
        <v>11</v>
      </c>
    </row>
    <row r="36071" spans="1:8">
      <c r="A36071" t="n">
        <v>353591</v>
      </c>
      <c r="B36071" s="51" t="n">
        <v>45</v>
      </c>
      <c r="C36071" s="7" t="n">
        <v>11</v>
      </c>
      <c r="D36071" s="7" t="n">
        <v>3</v>
      </c>
      <c r="E36071" s="7" t="n">
        <v>34</v>
      </c>
      <c r="F36071" s="7" t="n">
        <v>0</v>
      </c>
    </row>
    <row r="36072" spans="1:8">
      <c r="A36072" t="s">
        <v>4</v>
      </c>
      <c r="B36072" s="4" t="s">
        <v>5</v>
      </c>
      <c r="C36072" s="4" t="s">
        <v>7</v>
      </c>
      <c r="D36072" s="4" t="s">
        <v>7</v>
      </c>
      <c r="E36072" s="4" t="s">
        <v>13</v>
      </c>
      <c r="F36072" s="4" t="s">
        <v>11</v>
      </c>
    </row>
    <row r="36073" spans="1:8">
      <c r="A36073" t="n">
        <v>353600</v>
      </c>
      <c r="B36073" s="51" t="n">
        <v>45</v>
      </c>
      <c r="C36073" s="7" t="n">
        <v>5</v>
      </c>
      <c r="D36073" s="7" t="n">
        <v>3</v>
      </c>
      <c r="E36073" s="7" t="n">
        <v>1.5</v>
      </c>
      <c r="F36073" s="7" t="n">
        <v>3000</v>
      </c>
    </row>
    <row r="36074" spans="1:8">
      <c r="A36074" t="s">
        <v>4</v>
      </c>
      <c r="B36074" s="4" t="s">
        <v>5</v>
      </c>
      <c r="C36074" s="4" t="s">
        <v>7</v>
      </c>
      <c r="D36074" s="4" t="s">
        <v>11</v>
      </c>
      <c r="E36074" s="4" t="s">
        <v>13</v>
      </c>
    </row>
    <row r="36075" spans="1:8">
      <c r="A36075" t="n">
        <v>353609</v>
      </c>
      <c r="B36075" s="23" t="n">
        <v>58</v>
      </c>
      <c r="C36075" s="7" t="n">
        <v>100</v>
      </c>
      <c r="D36075" s="7" t="n">
        <v>1000</v>
      </c>
      <c r="E36075" s="7" t="n">
        <v>1</v>
      </c>
    </row>
    <row r="36076" spans="1:8">
      <c r="A36076" t="s">
        <v>4</v>
      </c>
      <c r="B36076" s="4" t="s">
        <v>5</v>
      </c>
      <c r="C36076" s="4" t="s">
        <v>7</v>
      </c>
      <c r="D36076" s="4" t="s">
        <v>11</v>
      </c>
    </row>
    <row r="36077" spans="1:8">
      <c r="A36077" t="n">
        <v>353617</v>
      </c>
      <c r="B36077" s="23" t="n">
        <v>58</v>
      </c>
      <c r="C36077" s="7" t="n">
        <v>255</v>
      </c>
      <c r="D36077" s="7" t="n">
        <v>0</v>
      </c>
    </row>
    <row r="36078" spans="1:8">
      <c r="A36078" t="s">
        <v>4</v>
      </c>
      <c r="B36078" s="4" t="s">
        <v>5</v>
      </c>
      <c r="C36078" s="4" t="s">
        <v>7</v>
      </c>
      <c r="D36078" s="4" t="s">
        <v>11</v>
      </c>
      <c r="E36078" s="4" t="s">
        <v>8</v>
      </c>
    </row>
    <row r="36079" spans="1:8">
      <c r="A36079" t="n">
        <v>353621</v>
      </c>
      <c r="B36079" s="38" t="n">
        <v>51</v>
      </c>
      <c r="C36079" s="7" t="n">
        <v>4</v>
      </c>
      <c r="D36079" s="7" t="n">
        <v>0</v>
      </c>
      <c r="E36079" s="7" t="s">
        <v>304</v>
      </c>
    </row>
    <row r="36080" spans="1:8">
      <c r="A36080" t="s">
        <v>4</v>
      </c>
      <c r="B36080" s="4" t="s">
        <v>5</v>
      </c>
      <c r="C36080" s="4" t="s">
        <v>11</v>
      </c>
    </row>
    <row r="36081" spans="1:9">
      <c r="A36081" t="n">
        <v>353634</v>
      </c>
      <c r="B36081" s="29" t="n">
        <v>16</v>
      </c>
      <c r="C36081" s="7" t="n">
        <v>0</v>
      </c>
    </row>
    <row r="36082" spans="1:9">
      <c r="A36082" t="s">
        <v>4</v>
      </c>
      <c r="B36082" s="4" t="s">
        <v>5</v>
      </c>
      <c r="C36082" s="4" t="s">
        <v>11</v>
      </c>
      <c r="D36082" s="4" t="s">
        <v>7</v>
      </c>
      <c r="E36082" s="4" t="s">
        <v>15</v>
      </c>
      <c r="F36082" s="4" t="s">
        <v>55</v>
      </c>
      <c r="G36082" s="4" t="s">
        <v>7</v>
      </c>
      <c r="H36082" s="4" t="s">
        <v>7</v>
      </c>
    </row>
    <row r="36083" spans="1:9">
      <c r="A36083" t="n">
        <v>353637</v>
      </c>
      <c r="B36083" s="55" t="n">
        <v>26</v>
      </c>
      <c r="C36083" s="7" t="n">
        <v>0</v>
      </c>
      <c r="D36083" s="7" t="n">
        <v>17</v>
      </c>
      <c r="E36083" s="7" t="n">
        <v>64433</v>
      </c>
      <c r="F36083" s="7" t="s">
        <v>1391</v>
      </c>
      <c r="G36083" s="7" t="n">
        <v>2</v>
      </c>
      <c r="H36083" s="7" t="n">
        <v>0</v>
      </c>
    </row>
    <row r="36084" spans="1:9">
      <c r="A36084" t="s">
        <v>4</v>
      </c>
      <c r="B36084" s="4" t="s">
        <v>5</v>
      </c>
    </row>
    <row r="36085" spans="1:9">
      <c r="A36085" t="n">
        <v>353688</v>
      </c>
      <c r="B36085" s="27" t="n">
        <v>28</v>
      </c>
    </row>
    <row r="36086" spans="1:9">
      <c r="A36086" t="s">
        <v>4</v>
      </c>
      <c r="B36086" s="4" t="s">
        <v>5</v>
      </c>
      <c r="C36086" s="4" t="s">
        <v>7</v>
      </c>
      <c r="D36086" s="4" t="s">
        <v>11</v>
      </c>
      <c r="E36086" s="4" t="s">
        <v>11</v>
      </c>
      <c r="F36086" s="4" t="s">
        <v>7</v>
      </c>
    </row>
    <row r="36087" spans="1:9">
      <c r="A36087" t="n">
        <v>353689</v>
      </c>
      <c r="B36087" s="31" t="n">
        <v>25</v>
      </c>
      <c r="C36087" s="7" t="n">
        <v>1</v>
      </c>
      <c r="D36087" s="7" t="n">
        <v>65535</v>
      </c>
      <c r="E36087" s="7" t="n">
        <v>65535</v>
      </c>
      <c r="F36087" s="7" t="n">
        <v>0</v>
      </c>
    </row>
    <row r="36088" spans="1:9">
      <c r="A36088" t="s">
        <v>4</v>
      </c>
      <c r="B36088" s="4" t="s">
        <v>5</v>
      </c>
      <c r="C36088" s="4" t="s">
        <v>11</v>
      </c>
    </row>
    <row r="36089" spans="1:9">
      <c r="A36089" t="n">
        <v>353696</v>
      </c>
      <c r="B36089" s="29" t="n">
        <v>16</v>
      </c>
      <c r="C36089" s="7" t="n">
        <v>100</v>
      </c>
    </row>
    <row r="36090" spans="1:9">
      <c r="A36090" t="s">
        <v>4</v>
      </c>
      <c r="B36090" s="4" t="s">
        <v>5</v>
      </c>
      <c r="C36090" s="4" t="s">
        <v>7</v>
      </c>
      <c r="D36090" s="4" t="s">
        <v>11</v>
      </c>
      <c r="E36090" s="4" t="s">
        <v>8</v>
      </c>
      <c r="F36090" s="4" t="s">
        <v>8</v>
      </c>
      <c r="G36090" s="4" t="s">
        <v>8</v>
      </c>
      <c r="H36090" s="4" t="s">
        <v>8</v>
      </c>
    </row>
    <row r="36091" spans="1:9">
      <c r="A36091" t="n">
        <v>353699</v>
      </c>
      <c r="B36091" s="38" t="n">
        <v>51</v>
      </c>
      <c r="C36091" s="7" t="n">
        <v>3</v>
      </c>
      <c r="D36091" s="7" t="n">
        <v>4</v>
      </c>
      <c r="E36091" s="7" t="s">
        <v>154</v>
      </c>
      <c r="F36091" s="7" t="s">
        <v>218</v>
      </c>
      <c r="G36091" s="7" t="s">
        <v>78</v>
      </c>
      <c r="H36091" s="7" t="s">
        <v>79</v>
      </c>
    </row>
    <row r="36092" spans="1:9">
      <c r="A36092" t="s">
        <v>4</v>
      </c>
      <c r="B36092" s="4" t="s">
        <v>5</v>
      </c>
      <c r="C36092" s="4" t="s">
        <v>11</v>
      </c>
      <c r="D36092" s="4" t="s">
        <v>7</v>
      </c>
      <c r="E36092" s="4" t="s">
        <v>13</v>
      </c>
      <c r="F36092" s="4" t="s">
        <v>11</v>
      </c>
    </row>
    <row r="36093" spans="1:9">
      <c r="A36093" t="n">
        <v>353712</v>
      </c>
      <c r="B36093" s="56" t="n">
        <v>59</v>
      </c>
      <c r="C36093" s="7" t="n">
        <v>4</v>
      </c>
      <c r="D36093" s="7" t="n">
        <v>13</v>
      </c>
      <c r="E36093" s="7" t="n">
        <v>0.150000005960464</v>
      </c>
      <c r="F36093" s="7" t="n">
        <v>0</v>
      </c>
    </row>
    <row r="36094" spans="1:9">
      <c r="A36094" t="s">
        <v>4</v>
      </c>
      <c r="B36094" s="4" t="s">
        <v>5</v>
      </c>
      <c r="C36094" s="4" t="s">
        <v>11</v>
      </c>
    </row>
    <row r="36095" spans="1:9">
      <c r="A36095" t="n">
        <v>353722</v>
      </c>
      <c r="B36095" s="29" t="n">
        <v>16</v>
      </c>
      <c r="C36095" s="7" t="n">
        <v>1000</v>
      </c>
    </row>
    <row r="36096" spans="1:9">
      <c r="A36096" t="s">
        <v>4</v>
      </c>
      <c r="B36096" s="4" t="s">
        <v>5</v>
      </c>
      <c r="C36096" s="4" t="s">
        <v>11</v>
      </c>
      <c r="D36096" s="4" t="s">
        <v>11</v>
      </c>
      <c r="E36096" s="4" t="s">
        <v>11</v>
      </c>
      <c r="F36096" s="4" t="s">
        <v>15</v>
      </c>
      <c r="G36096" s="4" t="s">
        <v>15</v>
      </c>
      <c r="H36096" s="4" t="s">
        <v>15</v>
      </c>
    </row>
    <row r="36097" spans="1:8">
      <c r="A36097" t="n">
        <v>353725</v>
      </c>
      <c r="B36097" s="72" t="n">
        <v>61</v>
      </c>
      <c r="C36097" s="7" t="n">
        <v>4</v>
      </c>
      <c r="D36097" s="7" t="n">
        <v>65535</v>
      </c>
      <c r="E36097" s="7" t="n">
        <v>1000</v>
      </c>
      <c r="F36097" s="7" t="n">
        <v>-1047013622</v>
      </c>
      <c r="G36097" s="7" t="n">
        <v>1087310397</v>
      </c>
      <c r="H36097" s="7" t="n">
        <v>1112106598</v>
      </c>
    </row>
    <row r="36098" spans="1:8">
      <c r="A36098" t="s">
        <v>4</v>
      </c>
      <c r="B36098" s="4" t="s">
        <v>5</v>
      </c>
      <c r="C36098" s="4" t="s">
        <v>11</v>
      </c>
      <c r="D36098" s="4" t="s">
        <v>13</v>
      </c>
      <c r="E36098" s="4" t="s">
        <v>13</v>
      </c>
      <c r="F36098" s="4" t="s">
        <v>7</v>
      </c>
    </row>
    <row r="36099" spans="1:8">
      <c r="A36099" t="n">
        <v>353744</v>
      </c>
      <c r="B36099" s="65" t="n">
        <v>52</v>
      </c>
      <c r="C36099" s="7" t="n">
        <v>4</v>
      </c>
      <c r="D36099" s="7" t="n">
        <v>45.7999992370605</v>
      </c>
      <c r="E36099" s="7" t="n">
        <v>5</v>
      </c>
      <c r="F36099" s="7" t="n">
        <v>1</v>
      </c>
    </row>
    <row r="36100" spans="1:8">
      <c r="A36100" t="s">
        <v>4</v>
      </c>
      <c r="B36100" s="4" t="s">
        <v>5</v>
      </c>
      <c r="C36100" s="4" t="s">
        <v>11</v>
      </c>
    </row>
    <row r="36101" spans="1:8">
      <c r="A36101" t="n">
        <v>353756</v>
      </c>
      <c r="B36101" s="29" t="n">
        <v>16</v>
      </c>
      <c r="C36101" s="7" t="n">
        <v>100</v>
      </c>
    </row>
    <row r="36102" spans="1:8">
      <c r="A36102" t="s">
        <v>4</v>
      </c>
      <c r="B36102" s="4" t="s">
        <v>5</v>
      </c>
      <c r="C36102" s="4" t="s">
        <v>7</v>
      </c>
      <c r="D36102" s="4" t="s">
        <v>11</v>
      </c>
      <c r="E36102" s="4" t="s">
        <v>13</v>
      </c>
    </row>
    <row r="36103" spans="1:8">
      <c r="A36103" t="n">
        <v>353759</v>
      </c>
      <c r="B36103" s="23" t="n">
        <v>58</v>
      </c>
      <c r="C36103" s="7" t="n">
        <v>101</v>
      </c>
      <c r="D36103" s="7" t="n">
        <v>300</v>
      </c>
      <c r="E36103" s="7" t="n">
        <v>1</v>
      </c>
    </row>
    <row r="36104" spans="1:8">
      <c r="A36104" t="s">
        <v>4</v>
      </c>
      <c r="B36104" s="4" t="s">
        <v>5</v>
      </c>
      <c r="C36104" s="4" t="s">
        <v>7</v>
      </c>
      <c r="D36104" s="4" t="s">
        <v>11</v>
      </c>
    </row>
    <row r="36105" spans="1:8">
      <c r="A36105" t="n">
        <v>353767</v>
      </c>
      <c r="B36105" s="23" t="n">
        <v>58</v>
      </c>
      <c r="C36105" s="7" t="n">
        <v>254</v>
      </c>
      <c r="D36105" s="7" t="n">
        <v>0</v>
      </c>
    </row>
    <row r="36106" spans="1:8">
      <c r="A36106" t="s">
        <v>4</v>
      </c>
      <c r="B36106" s="4" t="s">
        <v>5</v>
      </c>
      <c r="C36106" s="4" t="s">
        <v>11</v>
      </c>
      <c r="D36106" s="4" t="s">
        <v>7</v>
      </c>
      <c r="E36106" s="4" t="s">
        <v>8</v>
      </c>
      <c r="F36106" s="4" t="s">
        <v>13</v>
      </c>
      <c r="G36106" s="4" t="s">
        <v>13</v>
      </c>
      <c r="H36106" s="4" t="s">
        <v>13</v>
      </c>
    </row>
    <row r="36107" spans="1:8">
      <c r="A36107" t="n">
        <v>353771</v>
      </c>
      <c r="B36107" s="42" t="n">
        <v>48</v>
      </c>
      <c r="C36107" s="7" t="n">
        <v>4</v>
      </c>
      <c r="D36107" s="7" t="n">
        <v>0</v>
      </c>
      <c r="E36107" s="7" t="s">
        <v>1392</v>
      </c>
      <c r="F36107" s="7" t="n">
        <v>-1</v>
      </c>
      <c r="G36107" s="7" t="n">
        <v>1</v>
      </c>
      <c r="H36107" s="7" t="n">
        <v>0</v>
      </c>
    </row>
    <row r="36108" spans="1:8">
      <c r="A36108" t="s">
        <v>4</v>
      </c>
      <c r="B36108" s="4" t="s">
        <v>5</v>
      </c>
      <c r="C36108" s="4" t="s">
        <v>11</v>
      </c>
    </row>
    <row r="36109" spans="1:8">
      <c r="A36109" t="n">
        <v>353798</v>
      </c>
      <c r="B36109" s="66" t="n">
        <v>54</v>
      </c>
      <c r="C36109" s="7" t="n">
        <v>4</v>
      </c>
    </row>
    <row r="36110" spans="1:8">
      <c r="A36110" t="s">
        <v>4</v>
      </c>
      <c r="B36110" s="4" t="s">
        <v>5</v>
      </c>
      <c r="C36110" s="4" t="s">
        <v>7</v>
      </c>
      <c r="D36110" s="4" t="s">
        <v>11</v>
      </c>
    </row>
    <row r="36111" spans="1:8">
      <c r="A36111" t="n">
        <v>353801</v>
      </c>
      <c r="B36111" s="23" t="n">
        <v>58</v>
      </c>
      <c r="C36111" s="7" t="n">
        <v>255</v>
      </c>
      <c r="D36111" s="7" t="n">
        <v>0</v>
      </c>
    </row>
    <row r="36112" spans="1:8">
      <c r="A36112" t="s">
        <v>4</v>
      </c>
      <c r="B36112" s="4" t="s">
        <v>5</v>
      </c>
      <c r="C36112" s="4" t="s">
        <v>7</v>
      </c>
      <c r="D36112" s="4" t="s">
        <v>11</v>
      </c>
      <c r="E36112" s="4" t="s">
        <v>8</v>
      </c>
    </row>
    <row r="36113" spans="1:8">
      <c r="A36113" t="n">
        <v>353805</v>
      </c>
      <c r="B36113" s="38" t="n">
        <v>51</v>
      </c>
      <c r="C36113" s="7" t="n">
        <v>4</v>
      </c>
      <c r="D36113" s="7" t="n">
        <v>4</v>
      </c>
      <c r="E36113" s="7" t="s">
        <v>304</v>
      </c>
    </row>
    <row r="36114" spans="1:8">
      <c r="A36114" t="s">
        <v>4</v>
      </c>
      <c r="B36114" s="4" t="s">
        <v>5</v>
      </c>
      <c r="C36114" s="4" t="s">
        <v>11</v>
      </c>
    </row>
    <row r="36115" spans="1:8">
      <c r="A36115" t="n">
        <v>353818</v>
      </c>
      <c r="B36115" s="29" t="n">
        <v>16</v>
      </c>
      <c r="C36115" s="7" t="n">
        <v>0</v>
      </c>
    </row>
    <row r="36116" spans="1:8">
      <c r="A36116" t="s">
        <v>4</v>
      </c>
      <c r="B36116" s="4" t="s">
        <v>5</v>
      </c>
      <c r="C36116" s="4" t="s">
        <v>11</v>
      </c>
      <c r="D36116" s="4" t="s">
        <v>7</v>
      </c>
      <c r="E36116" s="4" t="s">
        <v>15</v>
      </c>
      <c r="F36116" s="4" t="s">
        <v>55</v>
      </c>
      <c r="G36116" s="4" t="s">
        <v>7</v>
      </c>
      <c r="H36116" s="4" t="s">
        <v>7</v>
      </c>
    </row>
    <row r="36117" spans="1:8">
      <c r="A36117" t="n">
        <v>353821</v>
      </c>
      <c r="B36117" s="55" t="n">
        <v>26</v>
      </c>
      <c r="C36117" s="7" t="n">
        <v>4</v>
      </c>
      <c r="D36117" s="7" t="n">
        <v>17</v>
      </c>
      <c r="E36117" s="7" t="n">
        <v>64434</v>
      </c>
      <c r="F36117" s="7" t="s">
        <v>1393</v>
      </c>
      <c r="G36117" s="7" t="n">
        <v>2</v>
      </c>
      <c r="H36117" s="7" t="n">
        <v>0</v>
      </c>
    </row>
    <row r="36118" spans="1:8">
      <c r="A36118" t="s">
        <v>4</v>
      </c>
      <c r="B36118" s="4" t="s">
        <v>5</v>
      </c>
    </row>
    <row r="36119" spans="1:8">
      <c r="A36119" t="n">
        <v>353862</v>
      </c>
      <c r="B36119" s="27" t="n">
        <v>28</v>
      </c>
    </row>
    <row r="36120" spans="1:8">
      <c r="A36120" t="s">
        <v>4</v>
      </c>
      <c r="B36120" s="4" t="s">
        <v>5</v>
      </c>
      <c r="C36120" s="4" t="s">
        <v>11</v>
      </c>
    </row>
    <row r="36121" spans="1:8">
      <c r="A36121" t="n">
        <v>353863</v>
      </c>
      <c r="B36121" s="29" t="n">
        <v>16</v>
      </c>
      <c r="C36121" s="7" t="n">
        <v>300</v>
      </c>
    </row>
    <row r="36122" spans="1:8">
      <c r="A36122" t="s">
        <v>4</v>
      </c>
      <c r="B36122" s="4" t="s">
        <v>5</v>
      </c>
      <c r="C36122" s="4" t="s">
        <v>11</v>
      </c>
      <c r="D36122" s="4" t="s">
        <v>13</v>
      </c>
      <c r="E36122" s="4" t="s">
        <v>13</v>
      </c>
      <c r="F36122" s="4" t="s">
        <v>13</v>
      </c>
      <c r="G36122" s="4" t="s">
        <v>11</v>
      </c>
      <c r="H36122" s="4" t="s">
        <v>11</v>
      </c>
    </row>
    <row r="36123" spans="1:8">
      <c r="A36123" t="n">
        <v>353866</v>
      </c>
      <c r="B36123" s="37" t="n">
        <v>60</v>
      </c>
      <c r="C36123" s="7" t="n">
        <v>4</v>
      </c>
      <c r="D36123" s="7" t="n">
        <v>-15</v>
      </c>
      <c r="E36123" s="7" t="n">
        <v>0</v>
      </c>
      <c r="F36123" s="7" t="n">
        <v>0</v>
      </c>
      <c r="G36123" s="7" t="n">
        <v>1000</v>
      </c>
      <c r="H36123" s="7" t="n">
        <v>0</v>
      </c>
    </row>
    <row r="36124" spans="1:8">
      <c r="A36124" t="s">
        <v>4</v>
      </c>
      <c r="B36124" s="4" t="s">
        <v>5</v>
      </c>
      <c r="C36124" s="4" t="s">
        <v>7</v>
      </c>
      <c r="D36124" s="4" t="s">
        <v>11</v>
      </c>
      <c r="E36124" s="4" t="s">
        <v>8</v>
      </c>
    </row>
    <row r="36125" spans="1:8">
      <c r="A36125" t="n">
        <v>353885</v>
      </c>
      <c r="B36125" s="38" t="n">
        <v>51</v>
      </c>
      <c r="C36125" s="7" t="n">
        <v>4</v>
      </c>
      <c r="D36125" s="7" t="n">
        <v>4</v>
      </c>
      <c r="E36125" s="7" t="s">
        <v>129</v>
      </c>
    </row>
    <row r="36126" spans="1:8">
      <c r="A36126" t="s">
        <v>4</v>
      </c>
      <c r="B36126" s="4" t="s">
        <v>5</v>
      </c>
      <c r="C36126" s="4" t="s">
        <v>11</v>
      </c>
    </row>
    <row r="36127" spans="1:8">
      <c r="A36127" t="n">
        <v>353898</v>
      </c>
      <c r="B36127" s="29" t="n">
        <v>16</v>
      </c>
      <c r="C36127" s="7" t="n">
        <v>0</v>
      </c>
    </row>
    <row r="36128" spans="1:8">
      <c r="A36128" t="s">
        <v>4</v>
      </c>
      <c r="B36128" s="4" t="s">
        <v>5</v>
      </c>
      <c r="C36128" s="4" t="s">
        <v>11</v>
      </c>
      <c r="D36128" s="4" t="s">
        <v>7</v>
      </c>
      <c r="E36128" s="4" t="s">
        <v>15</v>
      </c>
      <c r="F36128" s="4" t="s">
        <v>55</v>
      </c>
      <c r="G36128" s="4" t="s">
        <v>7</v>
      </c>
      <c r="H36128" s="4" t="s">
        <v>7</v>
      </c>
      <c r="I36128" s="4" t="s">
        <v>7</v>
      </c>
      <c r="J36128" s="4" t="s">
        <v>15</v>
      </c>
      <c r="K36128" s="4" t="s">
        <v>55</v>
      </c>
      <c r="L36128" s="4" t="s">
        <v>7</v>
      </c>
      <c r="M36128" s="4" t="s">
        <v>7</v>
      </c>
    </row>
    <row r="36129" spans="1:13">
      <c r="A36129" t="n">
        <v>353901</v>
      </c>
      <c r="B36129" s="55" t="n">
        <v>26</v>
      </c>
      <c r="C36129" s="7" t="n">
        <v>4</v>
      </c>
      <c r="D36129" s="7" t="n">
        <v>17</v>
      </c>
      <c r="E36129" s="7" t="n">
        <v>64435</v>
      </c>
      <c r="F36129" s="7" t="s">
        <v>1394</v>
      </c>
      <c r="G36129" s="7" t="n">
        <v>2</v>
      </c>
      <c r="H36129" s="7" t="n">
        <v>3</v>
      </c>
      <c r="I36129" s="7" t="n">
        <v>17</v>
      </c>
      <c r="J36129" s="7" t="n">
        <v>64436</v>
      </c>
      <c r="K36129" s="7" t="s">
        <v>1395</v>
      </c>
      <c r="L36129" s="7" t="n">
        <v>2</v>
      </c>
      <c r="M36129" s="7" t="n">
        <v>0</v>
      </c>
    </row>
    <row r="36130" spans="1:13">
      <c r="A36130" t="s">
        <v>4</v>
      </c>
      <c r="B36130" s="4" t="s">
        <v>5</v>
      </c>
    </row>
    <row r="36131" spans="1:13">
      <c r="A36131" t="n">
        <v>354092</v>
      </c>
      <c r="B36131" s="27" t="n">
        <v>28</v>
      </c>
    </row>
    <row r="36132" spans="1:13">
      <c r="A36132" t="s">
        <v>4</v>
      </c>
      <c r="B36132" s="4" t="s">
        <v>5</v>
      </c>
      <c r="C36132" s="4" t="s">
        <v>7</v>
      </c>
      <c r="D36132" s="4" t="s">
        <v>11</v>
      </c>
      <c r="E36132" s="4" t="s">
        <v>8</v>
      </c>
    </row>
    <row r="36133" spans="1:13">
      <c r="A36133" t="n">
        <v>354093</v>
      </c>
      <c r="B36133" s="38" t="n">
        <v>51</v>
      </c>
      <c r="C36133" s="7" t="n">
        <v>4</v>
      </c>
      <c r="D36133" s="7" t="n">
        <v>0</v>
      </c>
      <c r="E36133" s="7" t="s">
        <v>179</v>
      </c>
    </row>
    <row r="36134" spans="1:13">
      <c r="A36134" t="s">
        <v>4</v>
      </c>
      <c r="B36134" s="4" t="s">
        <v>5</v>
      </c>
      <c r="C36134" s="4" t="s">
        <v>11</v>
      </c>
    </row>
    <row r="36135" spans="1:13">
      <c r="A36135" t="n">
        <v>354107</v>
      </c>
      <c r="B36135" s="29" t="n">
        <v>16</v>
      </c>
      <c r="C36135" s="7" t="n">
        <v>0</v>
      </c>
    </row>
    <row r="36136" spans="1:13">
      <c r="A36136" t="s">
        <v>4</v>
      </c>
      <c r="B36136" s="4" t="s">
        <v>5</v>
      </c>
      <c r="C36136" s="4" t="s">
        <v>11</v>
      </c>
      <c r="D36136" s="4" t="s">
        <v>7</v>
      </c>
      <c r="E36136" s="4" t="s">
        <v>15</v>
      </c>
      <c r="F36136" s="4" t="s">
        <v>55</v>
      </c>
      <c r="G36136" s="4" t="s">
        <v>7</v>
      </c>
      <c r="H36136" s="4" t="s">
        <v>7</v>
      </c>
      <c r="I36136" s="4" t="s">
        <v>7</v>
      </c>
      <c r="J36136" s="4" t="s">
        <v>15</v>
      </c>
      <c r="K36136" s="4" t="s">
        <v>55</v>
      </c>
      <c r="L36136" s="4" t="s">
        <v>7</v>
      </c>
      <c r="M36136" s="4" t="s">
        <v>7</v>
      </c>
    </row>
    <row r="36137" spans="1:13">
      <c r="A36137" t="n">
        <v>354110</v>
      </c>
      <c r="B36137" s="55" t="n">
        <v>26</v>
      </c>
      <c r="C36137" s="7" t="n">
        <v>0</v>
      </c>
      <c r="D36137" s="7" t="n">
        <v>17</v>
      </c>
      <c r="E36137" s="7" t="n">
        <v>64437</v>
      </c>
      <c r="F36137" s="7" t="s">
        <v>1396</v>
      </c>
      <c r="G36137" s="7" t="n">
        <v>2</v>
      </c>
      <c r="H36137" s="7" t="n">
        <v>3</v>
      </c>
      <c r="I36137" s="7" t="n">
        <v>17</v>
      </c>
      <c r="J36137" s="7" t="n">
        <v>64438</v>
      </c>
      <c r="K36137" s="7" t="s">
        <v>1397</v>
      </c>
      <c r="L36137" s="7" t="n">
        <v>2</v>
      </c>
      <c r="M36137" s="7" t="n">
        <v>0</v>
      </c>
    </row>
    <row r="36138" spans="1:13">
      <c r="A36138" t="s">
        <v>4</v>
      </c>
      <c r="B36138" s="4" t="s">
        <v>5</v>
      </c>
    </row>
    <row r="36139" spans="1:13">
      <c r="A36139" t="n">
        <v>354287</v>
      </c>
      <c r="B36139" s="27" t="n">
        <v>28</v>
      </c>
    </row>
    <row r="36140" spans="1:13">
      <c r="A36140" t="s">
        <v>4</v>
      </c>
      <c r="B36140" s="4" t="s">
        <v>5</v>
      </c>
      <c r="C36140" s="4" t="s">
        <v>7</v>
      </c>
      <c r="D36140" s="4" t="s">
        <v>11</v>
      </c>
      <c r="E36140" s="4" t="s">
        <v>11</v>
      </c>
      <c r="F36140" s="4" t="s">
        <v>7</v>
      </c>
    </row>
    <row r="36141" spans="1:13">
      <c r="A36141" t="n">
        <v>354288</v>
      </c>
      <c r="B36141" s="31" t="n">
        <v>25</v>
      </c>
      <c r="C36141" s="7" t="n">
        <v>1</v>
      </c>
      <c r="D36141" s="7" t="n">
        <v>65535</v>
      </c>
      <c r="E36141" s="7" t="n">
        <v>65535</v>
      </c>
      <c r="F36141" s="7" t="n">
        <v>0</v>
      </c>
    </row>
    <row r="36142" spans="1:13">
      <c r="A36142" t="s">
        <v>4</v>
      </c>
      <c r="B36142" s="4" t="s">
        <v>5</v>
      </c>
      <c r="C36142" s="4" t="s">
        <v>11</v>
      </c>
      <c r="D36142" s="4" t="s">
        <v>13</v>
      </c>
      <c r="E36142" s="4" t="s">
        <v>13</v>
      </c>
      <c r="F36142" s="4" t="s">
        <v>13</v>
      </c>
      <c r="G36142" s="4" t="s">
        <v>11</v>
      </c>
      <c r="H36142" s="4" t="s">
        <v>11</v>
      </c>
    </row>
    <row r="36143" spans="1:13">
      <c r="A36143" t="n">
        <v>354295</v>
      </c>
      <c r="B36143" s="37" t="n">
        <v>60</v>
      </c>
      <c r="C36143" s="7" t="n">
        <v>4</v>
      </c>
      <c r="D36143" s="7" t="n">
        <v>0</v>
      </c>
      <c r="E36143" s="7" t="n">
        <v>0</v>
      </c>
      <c r="F36143" s="7" t="n">
        <v>0</v>
      </c>
      <c r="G36143" s="7" t="n">
        <v>1000</v>
      </c>
      <c r="H36143" s="7" t="n">
        <v>0</v>
      </c>
    </row>
    <row r="36144" spans="1:13">
      <c r="A36144" t="s">
        <v>4</v>
      </c>
      <c r="B36144" s="4" t="s">
        <v>5</v>
      </c>
      <c r="C36144" s="4" t="s">
        <v>7</v>
      </c>
      <c r="D36144" s="4" t="s">
        <v>11</v>
      </c>
      <c r="E36144" s="4" t="s">
        <v>8</v>
      </c>
    </row>
    <row r="36145" spans="1:13">
      <c r="A36145" t="n">
        <v>354314</v>
      </c>
      <c r="B36145" s="38" t="n">
        <v>51</v>
      </c>
      <c r="C36145" s="7" t="n">
        <v>4</v>
      </c>
      <c r="D36145" s="7" t="n">
        <v>4</v>
      </c>
      <c r="E36145" s="7" t="s">
        <v>285</v>
      </c>
    </row>
    <row r="36146" spans="1:13">
      <c r="A36146" t="s">
        <v>4</v>
      </c>
      <c r="B36146" s="4" t="s">
        <v>5</v>
      </c>
      <c r="C36146" s="4" t="s">
        <v>11</v>
      </c>
    </row>
    <row r="36147" spans="1:13">
      <c r="A36147" t="n">
        <v>354327</v>
      </c>
      <c r="B36147" s="29" t="n">
        <v>16</v>
      </c>
      <c r="C36147" s="7" t="n">
        <v>0</v>
      </c>
    </row>
    <row r="36148" spans="1:13">
      <c r="A36148" t="s">
        <v>4</v>
      </c>
      <c r="B36148" s="4" t="s">
        <v>5</v>
      </c>
      <c r="C36148" s="4" t="s">
        <v>11</v>
      </c>
      <c r="D36148" s="4" t="s">
        <v>7</v>
      </c>
      <c r="E36148" s="4" t="s">
        <v>15</v>
      </c>
      <c r="F36148" s="4" t="s">
        <v>55</v>
      </c>
      <c r="G36148" s="4" t="s">
        <v>7</v>
      </c>
      <c r="H36148" s="4" t="s">
        <v>7</v>
      </c>
      <c r="I36148" s="4" t="s">
        <v>7</v>
      </c>
      <c r="J36148" s="4" t="s">
        <v>15</v>
      </c>
      <c r="K36148" s="4" t="s">
        <v>55</v>
      </c>
      <c r="L36148" s="4" t="s">
        <v>7</v>
      </c>
      <c r="M36148" s="4" t="s">
        <v>7</v>
      </c>
      <c r="N36148" s="4" t="s">
        <v>7</v>
      </c>
      <c r="O36148" s="4" t="s">
        <v>15</v>
      </c>
      <c r="P36148" s="4" t="s">
        <v>55</v>
      </c>
      <c r="Q36148" s="4" t="s">
        <v>7</v>
      </c>
      <c r="R36148" s="4" t="s">
        <v>7</v>
      </c>
      <c r="S36148" s="4" t="s">
        <v>7</v>
      </c>
      <c r="T36148" s="4" t="s">
        <v>15</v>
      </c>
      <c r="U36148" s="4" t="s">
        <v>55</v>
      </c>
      <c r="V36148" s="4" t="s">
        <v>7</v>
      </c>
      <c r="W36148" s="4" t="s">
        <v>7</v>
      </c>
    </row>
    <row r="36149" spans="1:13">
      <c r="A36149" t="n">
        <v>354330</v>
      </c>
      <c r="B36149" s="55" t="n">
        <v>26</v>
      </c>
      <c r="C36149" s="7" t="n">
        <v>4</v>
      </c>
      <c r="D36149" s="7" t="n">
        <v>17</v>
      </c>
      <c r="E36149" s="7" t="n">
        <v>64439</v>
      </c>
      <c r="F36149" s="7" t="s">
        <v>1398</v>
      </c>
      <c r="G36149" s="7" t="n">
        <v>2</v>
      </c>
      <c r="H36149" s="7" t="n">
        <v>3</v>
      </c>
      <c r="I36149" s="7" t="n">
        <v>17</v>
      </c>
      <c r="J36149" s="7" t="n">
        <v>64440</v>
      </c>
      <c r="K36149" s="7" t="s">
        <v>1399</v>
      </c>
      <c r="L36149" s="7" t="n">
        <v>2</v>
      </c>
      <c r="M36149" s="7" t="n">
        <v>3</v>
      </c>
      <c r="N36149" s="7" t="n">
        <v>17</v>
      </c>
      <c r="O36149" s="7" t="n">
        <v>64441</v>
      </c>
      <c r="P36149" s="7" t="s">
        <v>1400</v>
      </c>
      <c r="Q36149" s="7" t="n">
        <v>2</v>
      </c>
      <c r="R36149" s="7" t="n">
        <v>3</v>
      </c>
      <c r="S36149" s="7" t="n">
        <v>17</v>
      </c>
      <c r="T36149" s="7" t="n">
        <v>64442</v>
      </c>
      <c r="U36149" s="7" t="s">
        <v>1401</v>
      </c>
      <c r="V36149" s="7" t="n">
        <v>2</v>
      </c>
      <c r="W36149" s="7" t="n">
        <v>0</v>
      </c>
    </row>
    <row r="36150" spans="1:13">
      <c r="A36150" t="s">
        <v>4</v>
      </c>
      <c r="B36150" s="4" t="s">
        <v>5</v>
      </c>
    </row>
    <row r="36151" spans="1:13">
      <c r="A36151" t="n">
        <v>354777</v>
      </c>
      <c r="B36151" s="27" t="n">
        <v>28</v>
      </c>
    </row>
    <row r="36152" spans="1:13">
      <c r="A36152" t="s">
        <v>4</v>
      </c>
      <c r="B36152" s="4" t="s">
        <v>5</v>
      </c>
      <c r="C36152" s="4" t="s">
        <v>7</v>
      </c>
      <c r="D36152" s="4" t="s">
        <v>11</v>
      </c>
      <c r="E36152" s="4" t="s">
        <v>8</v>
      </c>
    </row>
    <row r="36153" spans="1:13">
      <c r="A36153" t="n">
        <v>354778</v>
      </c>
      <c r="B36153" s="38" t="n">
        <v>51</v>
      </c>
      <c r="C36153" s="7" t="n">
        <v>4</v>
      </c>
      <c r="D36153" s="7" t="n">
        <v>0</v>
      </c>
      <c r="E36153" s="7" t="s">
        <v>173</v>
      </c>
    </row>
    <row r="36154" spans="1:13">
      <c r="A36154" t="s">
        <v>4</v>
      </c>
      <c r="B36154" s="4" t="s">
        <v>5</v>
      </c>
      <c r="C36154" s="4" t="s">
        <v>11</v>
      </c>
    </row>
    <row r="36155" spans="1:13">
      <c r="A36155" t="n">
        <v>354791</v>
      </c>
      <c r="B36155" s="29" t="n">
        <v>16</v>
      </c>
      <c r="C36155" s="7" t="n">
        <v>0</v>
      </c>
    </row>
    <row r="36156" spans="1:13">
      <c r="A36156" t="s">
        <v>4</v>
      </c>
      <c r="B36156" s="4" t="s">
        <v>5</v>
      </c>
      <c r="C36156" s="4" t="s">
        <v>11</v>
      </c>
      <c r="D36156" s="4" t="s">
        <v>7</v>
      </c>
      <c r="E36156" s="4" t="s">
        <v>15</v>
      </c>
      <c r="F36156" s="4" t="s">
        <v>55</v>
      </c>
      <c r="G36156" s="4" t="s">
        <v>7</v>
      </c>
      <c r="H36156" s="4" t="s">
        <v>7</v>
      </c>
      <c r="I36156" s="4" t="s">
        <v>7</v>
      </c>
      <c r="J36156" s="4" t="s">
        <v>15</v>
      </c>
      <c r="K36156" s="4" t="s">
        <v>55</v>
      </c>
      <c r="L36156" s="4" t="s">
        <v>7</v>
      </c>
      <c r="M36156" s="4" t="s">
        <v>7</v>
      </c>
      <c r="N36156" s="4" t="s">
        <v>7</v>
      </c>
      <c r="O36156" s="4" t="s">
        <v>15</v>
      </c>
      <c r="P36156" s="4" t="s">
        <v>55</v>
      </c>
      <c r="Q36156" s="4" t="s">
        <v>7</v>
      </c>
      <c r="R36156" s="4" t="s">
        <v>7</v>
      </c>
    </row>
    <row r="36157" spans="1:13">
      <c r="A36157" t="n">
        <v>354794</v>
      </c>
      <c r="B36157" s="55" t="n">
        <v>26</v>
      </c>
      <c r="C36157" s="7" t="n">
        <v>0</v>
      </c>
      <c r="D36157" s="7" t="n">
        <v>17</v>
      </c>
      <c r="E36157" s="7" t="n">
        <v>64443</v>
      </c>
      <c r="F36157" s="7" t="s">
        <v>1402</v>
      </c>
      <c r="G36157" s="7" t="n">
        <v>2</v>
      </c>
      <c r="H36157" s="7" t="n">
        <v>3</v>
      </c>
      <c r="I36157" s="7" t="n">
        <v>17</v>
      </c>
      <c r="J36157" s="7" t="n">
        <v>64444</v>
      </c>
      <c r="K36157" s="7" t="s">
        <v>1403</v>
      </c>
      <c r="L36157" s="7" t="n">
        <v>2</v>
      </c>
      <c r="M36157" s="7" t="n">
        <v>3</v>
      </c>
      <c r="N36157" s="7" t="n">
        <v>17</v>
      </c>
      <c r="O36157" s="7" t="n">
        <v>64445</v>
      </c>
      <c r="P36157" s="7" t="s">
        <v>1404</v>
      </c>
      <c r="Q36157" s="7" t="n">
        <v>2</v>
      </c>
      <c r="R36157" s="7" t="n">
        <v>0</v>
      </c>
    </row>
    <row r="36158" spans="1:13">
      <c r="A36158" t="s">
        <v>4</v>
      </c>
      <c r="B36158" s="4" t="s">
        <v>5</v>
      </c>
    </row>
    <row r="36159" spans="1:13">
      <c r="A36159" t="n">
        <v>355045</v>
      </c>
      <c r="B36159" s="27" t="n">
        <v>28</v>
      </c>
    </row>
    <row r="36160" spans="1:13">
      <c r="A36160" t="s">
        <v>4</v>
      </c>
      <c r="B36160" s="4" t="s">
        <v>5</v>
      </c>
      <c r="C36160" s="4" t="s">
        <v>7</v>
      </c>
      <c r="D36160" s="4" t="s">
        <v>11</v>
      </c>
      <c r="E36160" s="4" t="s">
        <v>11</v>
      </c>
      <c r="F36160" s="4" t="s">
        <v>7</v>
      </c>
    </row>
    <row r="36161" spans="1:23">
      <c r="A36161" t="n">
        <v>355046</v>
      </c>
      <c r="B36161" s="31" t="n">
        <v>25</v>
      </c>
      <c r="C36161" s="7" t="n">
        <v>1</v>
      </c>
      <c r="D36161" s="7" t="n">
        <v>65535</v>
      </c>
      <c r="E36161" s="7" t="n">
        <v>65535</v>
      </c>
      <c r="F36161" s="7" t="n">
        <v>0</v>
      </c>
    </row>
    <row r="36162" spans="1:23">
      <c r="A36162" t="s">
        <v>4</v>
      </c>
      <c r="B36162" s="4" t="s">
        <v>5</v>
      </c>
      <c r="C36162" s="4" t="s">
        <v>11</v>
      </c>
      <c r="D36162" s="4" t="s">
        <v>7</v>
      </c>
      <c r="E36162" s="4" t="s">
        <v>7</v>
      </c>
      <c r="F36162" s="4" t="s">
        <v>8</v>
      </c>
    </row>
    <row r="36163" spans="1:23">
      <c r="A36163" t="n">
        <v>355053</v>
      </c>
      <c r="B36163" s="50" t="n">
        <v>20</v>
      </c>
      <c r="C36163" s="7" t="n">
        <v>4</v>
      </c>
      <c r="D36163" s="7" t="n">
        <v>2</v>
      </c>
      <c r="E36163" s="7" t="n">
        <v>10</v>
      </c>
      <c r="F36163" s="7" t="s">
        <v>260</v>
      </c>
    </row>
    <row r="36164" spans="1:23">
      <c r="A36164" t="s">
        <v>4</v>
      </c>
      <c r="B36164" s="4" t="s">
        <v>5</v>
      </c>
      <c r="C36164" s="4" t="s">
        <v>7</v>
      </c>
      <c r="D36164" s="4" t="s">
        <v>11</v>
      </c>
      <c r="E36164" s="4" t="s">
        <v>8</v>
      </c>
    </row>
    <row r="36165" spans="1:23">
      <c r="A36165" t="n">
        <v>355073</v>
      </c>
      <c r="B36165" s="38" t="n">
        <v>51</v>
      </c>
      <c r="C36165" s="7" t="n">
        <v>4</v>
      </c>
      <c r="D36165" s="7" t="n">
        <v>4</v>
      </c>
      <c r="E36165" s="7" t="s">
        <v>658</v>
      </c>
    </row>
    <row r="36166" spans="1:23">
      <c r="A36166" t="s">
        <v>4</v>
      </c>
      <c r="B36166" s="4" t="s">
        <v>5</v>
      </c>
      <c r="C36166" s="4" t="s">
        <v>11</v>
      </c>
    </row>
    <row r="36167" spans="1:23">
      <c r="A36167" t="n">
        <v>355087</v>
      </c>
      <c r="B36167" s="29" t="n">
        <v>16</v>
      </c>
      <c r="C36167" s="7" t="n">
        <v>0</v>
      </c>
    </row>
    <row r="36168" spans="1:23">
      <c r="A36168" t="s">
        <v>4</v>
      </c>
      <c r="B36168" s="4" t="s">
        <v>5</v>
      </c>
      <c r="C36168" s="4" t="s">
        <v>11</v>
      </c>
      <c r="D36168" s="4" t="s">
        <v>7</v>
      </c>
      <c r="E36168" s="4" t="s">
        <v>15</v>
      </c>
      <c r="F36168" s="4" t="s">
        <v>55</v>
      </c>
      <c r="G36168" s="4" t="s">
        <v>7</v>
      </c>
      <c r="H36168" s="4" t="s">
        <v>7</v>
      </c>
    </row>
    <row r="36169" spans="1:23">
      <c r="A36169" t="n">
        <v>355090</v>
      </c>
      <c r="B36169" s="55" t="n">
        <v>26</v>
      </c>
      <c r="C36169" s="7" t="n">
        <v>4</v>
      </c>
      <c r="D36169" s="7" t="n">
        <v>17</v>
      </c>
      <c r="E36169" s="7" t="n">
        <v>64446</v>
      </c>
      <c r="F36169" s="7" t="s">
        <v>1405</v>
      </c>
      <c r="G36169" s="7" t="n">
        <v>2</v>
      </c>
      <c r="H36169" s="7" t="n">
        <v>0</v>
      </c>
    </row>
    <row r="36170" spans="1:23">
      <c r="A36170" t="s">
        <v>4</v>
      </c>
      <c r="B36170" s="4" t="s">
        <v>5</v>
      </c>
    </row>
    <row r="36171" spans="1:23">
      <c r="A36171" t="n">
        <v>355226</v>
      </c>
      <c r="B36171" s="27" t="n">
        <v>28</v>
      </c>
    </row>
    <row r="36172" spans="1:23">
      <c r="A36172" t="s">
        <v>4</v>
      </c>
      <c r="B36172" s="4" t="s">
        <v>5</v>
      </c>
      <c r="C36172" s="4" t="s">
        <v>11</v>
      </c>
      <c r="D36172" s="4" t="s">
        <v>13</v>
      </c>
      <c r="E36172" s="4" t="s">
        <v>13</v>
      </c>
      <c r="F36172" s="4" t="s">
        <v>13</v>
      </c>
      <c r="G36172" s="4" t="s">
        <v>11</v>
      </c>
      <c r="H36172" s="4" t="s">
        <v>11</v>
      </c>
    </row>
    <row r="36173" spans="1:23">
      <c r="A36173" t="n">
        <v>355227</v>
      </c>
      <c r="B36173" s="37" t="n">
        <v>60</v>
      </c>
      <c r="C36173" s="7" t="n">
        <v>4</v>
      </c>
      <c r="D36173" s="7" t="n">
        <v>0</v>
      </c>
      <c r="E36173" s="7" t="n">
        <v>-10</v>
      </c>
      <c r="F36173" s="7" t="n">
        <v>0</v>
      </c>
      <c r="G36173" s="7" t="n">
        <v>1000</v>
      </c>
      <c r="H36173" s="7" t="n">
        <v>0</v>
      </c>
    </row>
    <row r="36174" spans="1:23">
      <c r="A36174" t="s">
        <v>4</v>
      </c>
      <c r="B36174" s="4" t="s">
        <v>5</v>
      </c>
      <c r="C36174" s="4" t="s">
        <v>7</v>
      </c>
      <c r="D36174" s="4" t="s">
        <v>11</v>
      </c>
      <c r="E36174" s="4" t="s">
        <v>8</v>
      </c>
    </row>
    <row r="36175" spans="1:23">
      <c r="A36175" t="n">
        <v>355246</v>
      </c>
      <c r="B36175" s="38" t="n">
        <v>51</v>
      </c>
      <c r="C36175" s="7" t="n">
        <v>4</v>
      </c>
      <c r="D36175" s="7" t="n">
        <v>4</v>
      </c>
      <c r="E36175" s="7" t="s">
        <v>261</v>
      </c>
    </row>
    <row r="36176" spans="1:23">
      <c r="A36176" t="s">
        <v>4</v>
      </c>
      <c r="B36176" s="4" t="s">
        <v>5</v>
      </c>
      <c r="C36176" s="4" t="s">
        <v>11</v>
      </c>
    </row>
    <row r="36177" spans="1:8">
      <c r="A36177" t="n">
        <v>355261</v>
      </c>
      <c r="B36177" s="29" t="n">
        <v>16</v>
      </c>
      <c r="C36177" s="7" t="n">
        <v>0</v>
      </c>
    </row>
    <row r="36178" spans="1:8">
      <c r="A36178" t="s">
        <v>4</v>
      </c>
      <c r="B36178" s="4" t="s">
        <v>5</v>
      </c>
      <c r="C36178" s="4" t="s">
        <v>11</v>
      </c>
      <c r="D36178" s="4" t="s">
        <v>7</v>
      </c>
      <c r="E36178" s="4" t="s">
        <v>15</v>
      </c>
      <c r="F36178" s="4" t="s">
        <v>55</v>
      </c>
      <c r="G36178" s="4" t="s">
        <v>7</v>
      </c>
      <c r="H36178" s="4" t="s">
        <v>7</v>
      </c>
    </row>
    <row r="36179" spans="1:8">
      <c r="A36179" t="n">
        <v>355264</v>
      </c>
      <c r="B36179" s="55" t="n">
        <v>26</v>
      </c>
      <c r="C36179" s="7" t="n">
        <v>4</v>
      </c>
      <c r="D36179" s="7" t="n">
        <v>17</v>
      </c>
      <c r="E36179" s="7" t="n">
        <v>64447</v>
      </c>
      <c r="F36179" s="7" t="s">
        <v>464</v>
      </c>
      <c r="G36179" s="7" t="n">
        <v>2</v>
      </c>
      <c r="H36179" s="7" t="n">
        <v>0</v>
      </c>
    </row>
    <row r="36180" spans="1:8">
      <c r="A36180" t="s">
        <v>4</v>
      </c>
      <c r="B36180" s="4" t="s">
        <v>5</v>
      </c>
    </row>
    <row r="36181" spans="1:8">
      <c r="A36181" t="n">
        <v>355277</v>
      </c>
      <c r="B36181" s="27" t="n">
        <v>28</v>
      </c>
    </row>
    <row r="36182" spans="1:8">
      <c r="A36182" t="s">
        <v>4</v>
      </c>
      <c r="B36182" s="4" t="s">
        <v>5</v>
      </c>
      <c r="C36182" s="4" t="s">
        <v>11</v>
      </c>
      <c r="D36182" s="4" t="s">
        <v>7</v>
      </c>
    </row>
    <row r="36183" spans="1:8">
      <c r="A36183" t="n">
        <v>355278</v>
      </c>
      <c r="B36183" s="68" t="n">
        <v>89</v>
      </c>
      <c r="C36183" s="7" t="n">
        <v>65533</v>
      </c>
      <c r="D36183" s="7" t="n">
        <v>1</v>
      </c>
    </row>
    <row r="36184" spans="1:8">
      <c r="A36184" t="s">
        <v>4</v>
      </c>
      <c r="B36184" s="4" t="s">
        <v>5</v>
      </c>
      <c r="C36184" s="4" t="s">
        <v>7</v>
      </c>
      <c r="D36184" s="4" t="s">
        <v>11</v>
      </c>
      <c r="E36184" s="4" t="s">
        <v>13</v>
      </c>
    </row>
    <row r="36185" spans="1:8">
      <c r="A36185" t="n">
        <v>355282</v>
      </c>
      <c r="B36185" s="23" t="n">
        <v>58</v>
      </c>
      <c r="C36185" s="7" t="n">
        <v>101</v>
      </c>
      <c r="D36185" s="7" t="n">
        <v>800</v>
      </c>
      <c r="E36185" s="7" t="n">
        <v>1</v>
      </c>
    </row>
    <row r="36186" spans="1:8">
      <c r="A36186" t="s">
        <v>4</v>
      </c>
      <c r="B36186" s="4" t="s">
        <v>5</v>
      </c>
      <c r="C36186" s="4" t="s">
        <v>7</v>
      </c>
      <c r="D36186" s="4" t="s">
        <v>11</v>
      </c>
    </row>
    <row r="36187" spans="1:8">
      <c r="A36187" t="n">
        <v>355290</v>
      </c>
      <c r="B36187" s="23" t="n">
        <v>58</v>
      </c>
      <c r="C36187" s="7" t="n">
        <v>254</v>
      </c>
      <c r="D36187" s="7" t="n">
        <v>0</v>
      </c>
    </row>
    <row r="36188" spans="1:8">
      <c r="A36188" t="s">
        <v>4</v>
      </c>
      <c r="B36188" s="4" t="s">
        <v>5</v>
      </c>
      <c r="C36188" s="4" t="s">
        <v>7</v>
      </c>
      <c r="D36188" s="4" t="s">
        <v>7</v>
      </c>
      <c r="E36188" s="4" t="s">
        <v>13</v>
      </c>
      <c r="F36188" s="4" t="s">
        <v>13</v>
      </c>
      <c r="G36188" s="4" t="s">
        <v>13</v>
      </c>
      <c r="H36188" s="4" t="s">
        <v>11</v>
      </c>
    </row>
    <row r="36189" spans="1:8">
      <c r="A36189" t="n">
        <v>355294</v>
      </c>
      <c r="B36189" s="51" t="n">
        <v>45</v>
      </c>
      <c r="C36189" s="7" t="n">
        <v>2</v>
      </c>
      <c r="D36189" s="7" t="n">
        <v>3</v>
      </c>
      <c r="E36189" s="7" t="n">
        <v>-19.6399993896484</v>
      </c>
      <c r="F36189" s="7" t="n">
        <v>6.21000003814697</v>
      </c>
      <c r="G36189" s="7" t="n">
        <v>50.689998626709</v>
      </c>
      <c r="H36189" s="7" t="n">
        <v>0</v>
      </c>
    </row>
    <row r="36190" spans="1:8">
      <c r="A36190" t="s">
        <v>4</v>
      </c>
      <c r="B36190" s="4" t="s">
        <v>5</v>
      </c>
      <c r="C36190" s="4" t="s">
        <v>7</v>
      </c>
      <c r="D36190" s="4" t="s">
        <v>7</v>
      </c>
      <c r="E36190" s="4" t="s">
        <v>13</v>
      </c>
      <c r="F36190" s="4" t="s">
        <v>13</v>
      </c>
      <c r="G36190" s="4" t="s">
        <v>13</v>
      </c>
      <c r="H36190" s="4" t="s">
        <v>11</v>
      </c>
      <c r="I36190" s="4" t="s">
        <v>7</v>
      </c>
    </row>
    <row r="36191" spans="1:8">
      <c r="A36191" t="n">
        <v>355311</v>
      </c>
      <c r="B36191" s="51" t="n">
        <v>45</v>
      </c>
      <c r="C36191" s="7" t="n">
        <v>4</v>
      </c>
      <c r="D36191" s="7" t="n">
        <v>3</v>
      </c>
      <c r="E36191" s="7" t="n">
        <v>26.5</v>
      </c>
      <c r="F36191" s="7" t="n">
        <v>130.479995727539</v>
      </c>
      <c r="G36191" s="7" t="n">
        <v>4</v>
      </c>
      <c r="H36191" s="7" t="n">
        <v>0</v>
      </c>
      <c r="I36191" s="7" t="n">
        <v>0</v>
      </c>
    </row>
    <row r="36192" spans="1:8">
      <c r="A36192" t="s">
        <v>4</v>
      </c>
      <c r="B36192" s="4" t="s">
        <v>5</v>
      </c>
      <c r="C36192" s="4" t="s">
        <v>7</v>
      </c>
      <c r="D36192" s="4" t="s">
        <v>7</v>
      </c>
      <c r="E36192" s="4" t="s">
        <v>13</v>
      </c>
      <c r="F36192" s="4" t="s">
        <v>11</v>
      </c>
    </row>
    <row r="36193" spans="1:9">
      <c r="A36193" t="n">
        <v>355329</v>
      </c>
      <c r="B36193" s="51" t="n">
        <v>45</v>
      </c>
      <c r="C36193" s="7" t="n">
        <v>5</v>
      </c>
      <c r="D36193" s="7" t="n">
        <v>3</v>
      </c>
      <c r="E36193" s="7" t="n">
        <v>1.5</v>
      </c>
      <c r="F36193" s="7" t="n">
        <v>0</v>
      </c>
    </row>
    <row r="36194" spans="1:9">
      <c r="A36194" t="s">
        <v>4</v>
      </c>
      <c r="B36194" s="4" t="s">
        <v>5</v>
      </c>
      <c r="C36194" s="4" t="s">
        <v>7</v>
      </c>
      <c r="D36194" s="4" t="s">
        <v>7</v>
      </c>
      <c r="E36194" s="4" t="s">
        <v>13</v>
      </c>
      <c r="F36194" s="4" t="s">
        <v>11</v>
      </c>
    </row>
    <row r="36195" spans="1:9">
      <c r="A36195" t="n">
        <v>355338</v>
      </c>
      <c r="B36195" s="51" t="n">
        <v>45</v>
      </c>
      <c r="C36195" s="7" t="n">
        <v>5</v>
      </c>
      <c r="D36195" s="7" t="n">
        <v>3</v>
      </c>
      <c r="E36195" s="7" t="n">
        <v>1.39999997615814</v>
      </c>
      <c r="F36195" s="7" t="n">
        <v>3000</v>
      </c>
    </row>
    <row r="36196" spans="1:9">
      <c r="A36196" t="s">
        <v>4</v>
      </c>
      <c r="B36196" s="4" t="s">
        <v>5</v>
      </c>
      <c r="C36196" s="4" t="s">
        <v>7</v>
      </c>
      <c r="D36196" s="4" t="s">
        <v>7</v>
      </c>
      <c r="E36196" s="4" t="s">
        <v>13</v>
      </c>
      <c r="F36196" s="4" t="s">
        <v>11</v>
      </c>
    </row>
    <row r="36197" spans="1:9">
      <c r="A36197" t="n">
        <v>355347</v>
      </c>
      <c r="B36197" s="51" t="n">
        <v>45</v>
      </c>
      <c r="C36197" s="7" t="n">
        <v>11</v>
      </c>
      <c r="D36197" s="7" t="n">
        <v>3</v>
      </c>
      <c r="E36197" s="7" t="n">
        <v>35</v>
      </c>
      <c r="F36197" s="7" t="n">
        <v>0</v>
      </c>
    </row>
    <row r="36198" spans="1:9">
      <c r="A36198" t="s">
        <v>4</v>
      </c>
      <c r="B36198" s="4" t="s">
        <v>5</v>
      </c>
      <c r="C36198" s="4" t="s">
        <v>11</v>
      </c>
      <c r="D36198" s="4" t="s">
        <v>13</v>
      </c>
      <c r="E36198" s="4" t="s">
        <v>13</v>
      </c>
      <c r="F36198" s="4" t="s">
        <v>13</v>
      </c>
      <c r="G36198" s="4" t="s">
        <v>13</v>
      </c>
    </row>
    <row r="36199" spans="1:9">
      <c r="A36199" t="n">
        <v>355356</v>
      </c>
      <c r="B36199" s="36" t="n">
        <v>46</v>
      </c>
      <c r="C36199" s="7" t="n">
        <v>0</v>
      </c>
      <c r="D36199" s="7" t="n">
        <v>-19.0799999237061</v>
      </c>
      <c r="E36199" s="7" t="n">
        <v>5.01000022888184</v>
      </c>
      <c r="F36199" s="7" t="n">
        <v>50.3800010681152</v>
      </c>
      <c r="G36199" s="7" t="n">
        <v>289.899993896484</v>
      </c>
    </row>
    <row r="36200" spans="1:9">
      <c r="A36200" t="s">
        <v>4</v>
      </c>
      <c r="B36200" s="4" t="s">
        <v>5</v>
      </c>
      <c r="C36200" s="4" t="s">
        <v>7</v>
      </c>
      <c r="D36200" s="4" t="s">
        <v>11</v>
      </c>
    </row>
    <row r="36201" spans="1:9">
      <c r="A36201" t="n">
        <v>355375</v>
      </c>
      <c r="B36201" s="23" t="n">
        <v>58</v>
      </c>
      <c r="C36201" s="7" t="n">
        <v>255</v>
      </c>
      <c r="D36201" s="7" t="n">
        <v>0</v>
      </c>
    </row>
    <row r="36202" spans="1:9">
      <c r="A36202" t="s">
        <v>4</v>
      </c>
      <c r="B36202" s="4" t="s">
        <v>5</v>
      </c>
      <c r="C36202" s="4" t="s">
        <v>11</v>
      </c>
      <c r="D36202" s="4" t="s">
        <v>7</v>
      </c>
      <c r="E36202" s="4" t="s">
        <v>13</v>
      </c>
      <c r="F36202" s="4" t="s">
        <v>11</v>
      </c>
    </row>
    <row r="36203" spans="1:9">
      <c r="A36203" t="n">
        <v>355379</v>
      </c>
      <c r="B36203" s="56" t="n">
        <v>59</v>
      </c>
      <c r="C36203" s="7" t="n">
        <v>4</v>
      </c>
      <c r="D36203" s="7" t="n">
        <v>9</v>
      </c>
      <c r="E36203" s="7" t="n">
        <v>0.150000005960464</v>
      </c>
      <c r="F36203" s="7" t="n">
        <v>0</v>
      </c>
    </row>
    <row r="36204" spans="1:9">
      <c r="A36204" t="s">
        <v>4</v>
      </c>
      <c r="B36204" s="4" t="s">
        <v>5</v>
      </c>
      <c r="C36204" s="4" t="s">
        <v>11</v>
      </c>
    </row>
    <row r="36205" spans="1:9">
      <c r="A36205" t="n">
        <v>355389</v>
      </c>
      <c r="B36205" s="29" t="n">
        <v>16</v>
      </c>
      <c r="C36205" s="7" t="n">
        <v>1500</v>
      </c>
    </row>
    <row r="36206" spans="1:9">
      <c r="A36206" t="s">
        <v>4</v>
      </c>
      <c r="B36206" s="4" t="s">
        <v>5</v>
      </c>
      <c r="C36206" s="4" t="s">
        <v>7</v>
      </c>
      <c r="D36206" s="4" t="s">
        <v>11</v>
      </c>
      <c r="E36206" s="4" t="s">
        <v>8</v>
      </c>
      <c r="F36206" s="4" t="s">
        <v>8</v>
      </c>
      <c r="G36206" s="4" t="s">
        <v>8</v>
      </c>
      <c r="H36206" s="4" t="s">
        <v>8</v>
      </c>
    </row>
    <row r="36207" spans="1:9">
      <c r="A36207" t="n">
        <v>355392</v>
      </c>
      <c r="B36207" s="38" t="n">
        <v>51</v>
      </c>
      <c r="C36207" s="7" t="n">
        <v>3</v>
      </c>
      <c r="D36207" s="7" t="n">
        <v>4</v>
      </c>
      <c r="E36207" s="7" t="s">
        <v>68</v>
      </c>
      <c r="F36207" s="7" t="s">
        <v>218</v>
      </c>
      <c r="G36207" s="7" t="s">
        <v>78</v>
      </c>
      <c r="H36207" s="7" t="s">
        <v>79</v>
      </c>
    </row>
    <row r="36208" spans="1:9">
      <c r="A36208" t="s">
        <v>4</v>
      </c>
      <c r="B36208" s="4" t="s">
        <v>5</v>
      </c>
      <c r="C36208" s="4" t="s">
        <v>11</v>
      </c>
      <c r="D36208" s="4" t="s">
        <v>13</v>
      </c>
      <c r="E36208" s="4" t="s">
        <v>13</v>
      </c>
      <c r="F36208" s="4" t="s">
        <v>13</v>
      </c>
      <c r="G36208" s="4" t="s">
        <v>11</v>
      </c>
      <c r="H36208" s="4" t="s">
        <v>11</v>
      </c>
    </row>
    <row r="36209" spans="1:8">
      <c r="A36209" t="n">
        <v>355405</v>
      </c>
      <c r="B36209" s="37" t="n">
        <v>60</v>
      </c>
      <c r="C36209" s="7" t="n">
        <v>4</v>
      </c>
      <c r="D36209" s="7" t="n">
        <v>0</v>
      </c>
      <c r="E36209" s="7" t="n">
        <v>0</v>
      </c>
      <c r="F36209" s="7" t="n">
        <v>0</v>
      </c>
      <c r="G36209" s="7" t="n">
        <v>800</v>
      </c>
      <c r="H36209" s="7" t="n">
        <v>0</v>
      </c>
    </row>
    <row r="36210" spans="1:8">
      <c r="A36210" t="s">
        <v>4</v>
      </c>
      <c r="B36210" s="4" t="s">
        <v>5</v>
      </c>
      <c r="C36210" s="4" t="s">
        <v>11</v>
      </c>
    </row>
    <row r="36211" spans="1:8">
      <c r="A36211" t="n">
        <v>355424</v>
      </c>
      <c r="B36211" s="29" t="n">
        <v>16</v>
      </c>
      <c r="C36211" s="7" t="n">
        <v>300</v>
      </c>
    </row>
    <row r="36212" spans="1:8">
      <c r="A36212" t="s">
        <v>4</v>
      </c>
      <c r="B36212" s="4" t="s">
        <v>5</v>
      </c>
      <c r="C36212" s="4" t="s">
        <v>7</v>
      </c>
      <c r="D36212" s="4" t="s">
        <v>11</v>
      </c>
      <c r="E36212" s="4" t="s">
        <v>8</v>
      </c>
    </row>
    <row r="36213" spans="1:8">
      <c r="A36213" t="n">
        <v>355427</v>
      </c>
      <c r="B36213" s="38" t="n">
        <v>51</v>
      </c>
      <c r="C36213" s="7" t="n">
        <v>4</v>
      </c>
      <c r="D36213" s="7" t="n">
        <v>4</v>
      </c>
      <c r="E36213" s="7" t="s">
        <v>911</v>
      </c>
    </row>
    <row r="36214" spans="1:8">
      <c r="A36214" t="s">
        <v>4</v>
      </c>
      <c r="B36214" s="4" t="s">
        <v>5</v>
      </c>
      <c r="C36214" s="4" t="s">
        <v>11</v>
      </c>
    </row>
    <row r="36215" spans="1:8">
      <c r="A36215" t="n">
        <v>355440</v>
      </c>
      <c r="B36215" s="29" t="n">
        <v>16</v>
      </c>
      <c r="C36215" s="7" t="n">
        <v>0</v>
      </c>
    </row>
    <row r="36216" spans="1:8">
      <c r="A36216" t="s">
        <v>4</v>
      </c>
      <c r="B36216" s="4" t="s">
        <v>5</v>
      </c>
      <c r="C36216" s="4" t="s">
        <v>11</v>
      </c>
      <c r="D36216" s="4" t="s">
        <v>7</v>
      </c>
      <c r="E36216" s="4" t="s">
        <v>15</v>
      </c>
      <c r="F36216" s="4" t="s">
        <v>55</v>
      </c>
      <c r="G36216" s="4" t="s">
        <v>7</v>
      </c>
      <c r="H36216" s="4" t="s">
        <v>7</v>
      </c>
      <c r="I36216" s="4" t="s">
        <v>7</v>
      </c>
      <c r="J36216" s="4" t="s">
        <v>15</v>
      </c>
      <c r="K36216" s="4" t="s">
        <v>55</v>
      </c>
      <c r="L36216" s="4" t="s">
        <v>7</v>
      </c>
      <c r="M36216" s="4" t="s">
        <v>7</v>
      </c>
    </row>
    <row r="36217" spans="1:8">
      <c r="A36217" t="n">
        <v>355443</v>
      </c>
      <c r="B36217" s="55" t="n">
        <v>26</v>
      </c>
      <c r="C36217" s="7" t="n">
        <v>4</v>
      </c>
      <c r="D36217" s="7" t="n">
        <v>17</v>
      </c>
      <c r="E36217" s="7" t="n">
        <v>64456</v>
      </c>
      <c r="F36217" s="7" t="s">
        <v>1414</v>
      </c>
      <c r="G36217" s="7" t="n">
        <v>2</v>
      </c>
      <c r="H36217" s="7" t="n">
        <v>3</v>
      </c>
      <c r="I36217" s="7" t="n">
        <v>17</v>
      </c>
      <c r="J36217" s="7" t="n">
        <v>64457</v>
      </c>
      <c r="K36217" s="7" t="s">
        <v>1415</v>
      </c>
      <c r="L36217" s="7" t="n">
        <v>2</v>
      </c>
      <c r="M36217" s="7" t="n">
        <v>0</v>
      </c>
    </row>
    <row r="36218" spans="1:8">
      <c r="A36218" t="s">
        <v>4</v>
      </c>
      <c r="B36218" s="4" t="s">
        <v>5</v>
      </c>
    </row>
    <row r="36219" spans="1:8">
      <c r="A36219" t="n">
        <v>355502</v>
      </c>
      <c r="B36219" s="27" t="n">
        <v>28</v>
      </c>
    </row>
    <row r="36220" spans="1:8">
      <c r="A36220" t="s">
        <v>4</v>
      </c>
      <c r="B36220" s="4" t="s">
        <v>5</v>
      </c>
      <c r="C36220" s="4" t="s">
        <v>11</v>
      </c>
      <c r="D36220" s="4" t="s">
        <v>7</v>
      </c>
      <c r="E36220" s="4" t="s">
        <v>7</v>
      </c>
      <c r="F36220" s="4" t="s">
        <v>8</v>
      </c>
    </row>
    <row r="36221" spans="1:8">
      <c r="A36221" t="n">
        <v>355503</v>
      </c>
      <c r="B36221" s="50" t="n">
        <v>20</v>
      </c>
      <c r="C36221" s="7" t="n">
        <v>0</v>
      </c>
      <c r="D36221" s="7" t="n">
        <v>2</v>
      </c>
      <c r="E36221" s="7" t="n">
        <v>10</v>
      </c>
      <c r="F36221" s="7" t="s">
        <v>260</v>
      </c>
    </row>
    <row r="36222" spans="1:8">
      <c r="A36222" t="s">
        <v>4</v>
      </c>
      <c r="B36222" s="4" t="s">
        <v>5</v>
      </c>
      <c r="C36222" s="4" t="s">
        <v>7</v>
      </c>
      <c r="D36222" s="4" t="s">
        <v>11</v>
      </c>
      <c r="E36222" s="4" t="s">
        <v>8</v>
      </c>
    </row>
    <row r="36223" spans="1:8">
      <c r="A36223" t="n">
        <v>355523</v>
      </c>
      <c r="B36223" s="38" t="n">
        <v>51</v>
      </c>
      <c r="C36223" s="7" t="n">
        <v>4</v>
      </c>
      <c r="D36223" s="7" t="n">
        <v>0</v>
      </c>
      <c r="E36223" s="7" t="s">
        <v>242</v>
      </c>
    </row>
    <row r="36224" spans="1:8">
      <c r="A36224" t="s">
        <v>4</v>
      </c>
      <c r="B36224" s="4" t="s">
        <v>5</v>
      </c>
      <c r="C36224" s="4" t="s">
        <v>11</v>
      </c>
    </row>
    <row r="36225" spans="1:13">
      <c r="A36225" t="n">
        <v>355537</v>
      </c>
      <c r="B36225" s="29" t="n">
        <v>16</v>
      </c>
      <c r="C36225" s="7" t="n">
        <v>0</v>
      </c>
    </row>
    <row r="36226" spans="1:13">
      <c r="A36226" t="s">
        <v>4</v>
      </c>
      <c r="B36226" s="4" t="s">
        <v>5</v>
      </c>
      <c r="C36226" s="4" t="s">
        <v>11</v>
      </c>
      <c r="D36226" s="4" t="s">
        <v>7</v>
      </c>
      <c r="E36226" s="4" t="s">
        <v>15</v>
      </c>
      <c r="F36226" s="4" t="s">
        <v>55</v>
      </c>
      <c r="G36226" s="4" t="s">
        <v>7</v>
      </c>
      <c r="H36226" s="4" t="s">
        <v>7</v>
      </c>
      <c r="I36226" s="4" t="s">
        <v>7</v>
      </c>
      <c r="J36226" s="4" t="s">
        <v>15</v>
      </c>
      <c r="K36226" s="4" t="s">
        <v>55</v>
      </c>
      <c r="L36226" s="4" t="s">
        <v>7</v>
      </c>
      <c r="M36226" s="4" t="s">
        <v>7</v>
      </c>
    </row>
    <row r="36227" spans="1:13">
      <c r="A36227" t="n">
        <v>355540</v>
      </c>
      <c r="B36227" s="55" t="n">
        <v>26</v>
      </c>
      <c r="C36227" s="7" t="n">
        <v>0</v>
      </c>
      <c r="D36227" s="7" t="n">
        <v>17</v>
      </c>
      <c r="E36227" s="7" t="n">
        <v>64458</v>
      </c>
      <c r="F36227" s="7" t="s">
        <v>1416</v>
      </c>
      <c r="G36227" s="7" t="n">
        <v>2</v>
      </c>
      <c r="H36227" s="7" t="n">
        <v>3</v>
      </c>
      <c r="I36227" s="7" t="n">
        <v>17</v>
      </c>
      <c r="J36227" s="7" t="n">
        <v>64459</v>
      </c>
      <c r="K36227" s="7" t="s">
        <v>1417</v>
      </c>
      <c r="L36227" s="7" t="n">
        <v>2</v>
      </c>
      <c r="M36227" s="7" t="n">
        <v>0</v>
      </c>
    </row>
    <row r="36228" spans="1:13">
      <c r="A36228" t="s">
        <v>4</v>
      </c>
      <c r="B36228" s="4" t="s">
        <v>5</v>
      </c>
    </row>
    <row r="36229" spans="1:13">
      <c r="A36229" t="n">
        <v>355719</v>
      </c>
      <c r="B36229" s="27" t="n">
        <v>28</v>
      </c>
    </row>
    <row r="36230" spans="1:13">
      <c r="A36230" t="s">
        <v>4</v>
      </c>
      <c r="B36230" s="4" t="s">
        <v>5</v>
      </c>
      <c r="C36230" s="4" t="s">
        <v>7</v>
      </c>
      <c r="D36230" s="4" t="s">
        <v>11</v>
      </c>
      <c r="E36230" s="4" t="s">
        <v>11</v>
      </c>
      <c r="F36230" s="4" t="s">
        <v>7</v>
      </c>
    </row>
    <row r="36231" spans="1:13">
      <c r="A36231" t="n">
        <v>355720</v>
      </c>
      <c r="B36231" s="31" t="n">
        <v>25</v>
      </c>
      <c r="C36231" s="7" t="n">
        <v>1</v>
      </c>
      <c r="D36231" s="7" t="n">
        <v>65535</v>
      </c>
      <c r="E36231" s="7" t="n">
        <v>65535</v>
      </c>
      <c r="F36231" s="7" t="n">
        <v>0</v>
      </c>
    </row>
    <row r="36232" spans="1:13">
      <c r="A36232" t="s">
        <v>4</v>
      </c>
      <c r="B36232" s="4" t="s">
        <v>5</v>
      </c>
      <c r="C36232" s="4" t="s">
        <v>7</v>
      </c>
      <c r="D36232" s="4" t="s">
        <v>11</v>
      </c>
      <c r="E36232" s="4" t="s">
        <v>8</v>
      </c>
    </row>
    <row r="36233" spans="1:13">
      <c r="A36233" t="n">
        <v>355727</v>
      </c>
      <c r="B36233" s="38" t="n">
        <v>51</v>
      </c>
      <c r="C36233" s="7" t="n">
        <v>4</v>
      </c>
      <c r="D36233" s="7" t="n">
        <v>4</v>
      </c>
      <c r="E36233" s="7" t="s">
        <v>219</v>
      </c>
    </row>
    <row r="36234" spans="1:13">
      <c r="A36234" t="s">
        <v>4</v>
      </c>
      <c r="B36234" s="4" t="s">
        <v>5</v>
      </c>
      <c r="C36234" s="4" t="s">
        <v>11</v>
      </c>
    </row>
    <row r="36235" spans="1:13">
      <c r="A36235" t="n">
        <v>355740</v>
      </c>
      <c r="B36235" s="29" t="n">
        <v>16</v>
      </c>
      <c r="C36235" s="7" t="n">
        <v>0</v>
      </c>
    </row>
    <row r="36236" spans="1:13">
      <c r="A36236" t="s">
        <v>4</v>
      </c>
      <c r="B36236" s="4" t="s">
        <v>5</v>
      </c>
      <c r="C36236" s="4" t="s">
        <v>11</v>
      </c>
      <c r="D36236" s="4" t="s">
        <v>7</v>
      </c>
      <c r="E36236" s="4" t="s">
        <v>15</v>
      </c>
      <c r="F36236" s="4" t="s">
        <v>55</v>
      </c>
      <c r="G36236" s="4" t="s">
        <v>7</v>
      </c>
      <c r="H36236" s="4" t="s">
        <v>7</v>
      </c>
      <c r="I36236" s="4" t="s">
        <v>7</v>
      </c>
      <c r="J36236" s="4" t="s">
        <v>15</v>
      </c>
      <c r="K36236" s="4" t="s">
        <v>55</v>
      </c>
      <c r="L36236" s="4" t="s">
        <v>7</v>
      </c>
      <c r="M36236" s="4" t="s">
        <v>7</v>
      </c>
    </row>
    <row r="36237" spans="1:13">
      <c r="A36237" t="n">
        <v>355743</v>
      </c>
      <c r="B36237" s="55" t="n">
        <v>26</v>
      </c>
      <c r="C36237" s="7" t="n">
        <v>4</v>
      </c>
      <c r="D36237" s="7" t="n">
        <v>17</v>
      </c>
      <c r="E36237" s="7" t="n">
        <v>64460</v>
      </c>
      <c r="F36237" s="7" t="s">
        <v>1418</v>
      </c>
      <c r="G36237" s="7" t="n">
        <v>2</v>
      </c>
      <c r="H36237" s="7" t="n">
        <v>3</v>
      </c>
      <c r="I36237" s="7" t="n">
        <v>17</v>
      </c>
      <c r="J36237" s="7" t="n">
        <v>64461</v>
      </c>
      <c r="K36237" s="7" t="s">
        <v>1419</v>
      </c>
      <c r="L36237" s="7" t="n">
        <v>2</v>
      </c>
      <c r="M36237" s="7" t="n">
        <v>0</v>
      </c>
    </row>
    <row r="36238" spans="1:13">
      <c r="A36238" t="s">
        <v>4</v>
      </c>
      <c r="B36238" s="4" t="s">
        <v>5</v>
      </c>
    </row>
    <row r="36239" spans="1:13">
      <c r="A36239" t="n">
        <v>355854</v>
      </c>
      <c r="B36239" s="27" t="n">
        <v>28</v>
      </c>
    </row>
    <row r="36240" spans="1:13">
      <c r="A36240" t="s">
        <v>4</v>
      </c>
      <c r="B36240" s="4" t="s">
        <v>5</v>
      </c>
      <c r="C36240" s="4" t="s">
        <v>7</v>
      </c>
      <c r="D36240" s="4" t="s">
        <v>11</v>
      </c>
      <c r="E36240" s="4" t="s">
        <v>8</v>
      </c>
    </row>
    <row r="36241" spans="1:13">
      <c r="A36241" t="n">
        <v>355855</v>
      </c>
      <c r="B36241" s="38" t="n">
        <v>51</v>
      </c>
      <c r="C36241" s="7" t="n">
        <v>4</v>
      </c>
      <c r="D36241" s="7" t="n">
        <v>0</v>
      </c>
      <c r="E36241" s="7" t="s">
        <v>242</v>
      </c>
    </row>
    <row r="36242" spans="1:13">
      <c r="A36242" t="s">
        <v>4</v>
      </c>
      <c r="B36242" s="4" t="s">
        <v>5</v>
      </c>
      <c r="C36242" s="4" t="s">
        <v>11</v>
      </c>
    </row>
    <row r="36243" spans="1:13">
      <c r="A36243" t="n">
        <v>355869</v>
      </c>
      <c r="B36243" s="29" t="n">
        <v>16</v>
      </c>
      <c r="C36243" s="7" t="n">
        <v>0</v>
      </c>
    </row>
    <row r="36244" spans="1:13">
      <c r="A36244" t="s">
        <v>4</v>
      </c>
      <c r="B36244" s="4" t="s">
        <v>5</v>
      </c>
      <c r="C36244" s="4" t="s">
        <v>11</v>
      </c>
      <c r="D36244" s="4" t="s">
        <v>7</v>
      </c>
      <c r="E36244" s="4" t="s">
        <v>15</v>
      </c>
      <c r="F36244" s="4" t="s">
        <v>55</v>
      </c>
      <c r="G36244" s="4" t="s">
        <v>7</v>
      </c>
      <c r="H36244" s="4" t="s">
        <v>7</v>
      </c>
      <c r="I36244" s="4" t="s">
        <v>7</v>
      </c>
      <c r="J36244" s="4" t="s">
        <v>15</v>
      </c>
      <c r="K36244" s="4" t="s">
        <v>55</v>
      </c>
      <c r="L36244" s="4" t="s">
        <v>7</v>
      </c>
      <c r="M36244" s="4" t="s">
        <v>7</v>
      </c>
      <c r="N36244" s="4" t="s">
        <v>7</v>
      </c>
      <c r="O36244" s="4" t="s">
        <v>15</v>
      </c>
      <c r="P36244" s="4" t="s">
        <v>55</v>
      </c>
      <c r="Q36244" s="4" t="s">
        <v>7</v>
      </c>
      <c r="R36244" s="4" t="s">
        <v>7</v>
      </c>
    </row>
    <row r="36245" spans="1:13">
      <c r="A36245" t="n">
        <v>355872</v>
      </c>
      <c r="B36245" s="55" t="n">
        <v>26</v>
      </c>
      <c r="C36245" s="7" t="n">
        <v>0</v>
      </c>
      <c r="D36245" s="7" t="n">
        <v>17</v>
      </c>
      <c r="E36245" s="7" t="n">
        <v>64462</v>
      </c>
      <c r="F36245" s="7" t="s">
        <v>1420</v>
      </c>
      <c r="G36245" s="7" t="n">
        <v>2</v>
      </c>
      <c r="H36245" s="7" t="n">
        <v>3</v>
      </c>
      <c r="I36245" s="7" t="n">
        <v>17</v>
      </c>
      <c r="J36245" s="7" t="n">
        <v>64463</v>
      </c>
      <c r="K36245" s="7" t="s">
        <v>1421</v>
      </c>
      <c r="L36245" s="7" t="n">
        <v>2</v>
      </c>
      <c r="M36245" s="7" t="n">
        <v>3</v>
      </c>
      <c r="N36245" s="7" t="n">
        <v>17</v>
      </c>
      <c r="O36245" s="7" t="n">
        <v>64464</v>
      </c>
      <c r="P36245" s="7" t="s">
        <v>1422</v>
      </c>
      <c r="Q36245" s="7" t="n">
        <v>2</v>
      </c>
      <c r="R36245" s="7" t="n">
        <v>0</v>
      </c>
    </row>
    <row r="36246" spans="1:13">
      <c r="A36246" t="s">
        <v>4</v>
      </c>
      <c r="B36246" s="4" t="s">
        <v>5</v>
      </c>
    </row>
    <row r="36247" spans="1:13">
      <c r="A36247" t="n">
        <v>356181</v>
      </c>
      <c r="B36247" s="27" t="n">
        <v>28</v>
      </c>
    </row>
    <row r="36248" spans="1:13">
      <c r="A36248" t="s">
        <v>4</v>
      </c>
      <c r="B36248" s="4" t="s">
        <v>5</v>
      </c>
      <c r="C36248" s="4" t="s">
        <v>7</v>
      </c>
      <c r="D36248" s="4" t="s">
        <v>11</v>
      </c>
      <c r="E36248" s="4" t="s">
        <v>11</v>
      </c>
      <c r="F36248" s="4" t="s">
        <v>7</v>
      </c>
    </row>
    <row r="36249" spans="1:13">
      <c r="A36249" t="n">
        <v>356182</v>
      </c>
      <c r="B36249" s="31" t="n">
        <v>25</v>
      </c>
      <c r="C36249" s="7" t="n">
        <v>1</v>
      </c>
      <c r="D36249" s="7" t="n">
        <v>65535</v>
      </c>
      <c r="E36249" s="7" t="n">
        <v>65535</v>
      </c>
      <c r="F36249" s="7" t="n">
        <v>0</v>
      </c>
    </row>
    <row r="36250" spans="1:13">
      <c r="A36250" t="s">
        <v>4</v>
      </c>
      <c r="B36250" s="4" t="s">
        <v>5</v>
      </c>
      <c r="C36250" s="4" t="s">
        <v>7</v>
      </c>
      <c r="D36250" s="4" t="s">
        <v>11</v>
      </c>
      <c r="E36250" s="4" t="s">
        <v>8</v>
      </c>
      <c r="F36250" s="4" t="s">
        <v>8</v>
      </c>
      <c r="G36250" s="4" t="s">
        <v>8</v>
      </c>
      <c r="H36250" s="4" t="s">
        <v>8</v>
      </c>
    </row>
    <row r="36251" spans="1:13">
      <c r="A36251" t="n">
        <v>356189</v>
      </c>
      <c r="B36251" s="38" t="n">
        <v>51</v>
      </c>
      <c r="C36251" s="7" t="n">
        <v>3</v>
      </c>
      <c r="D36251" s="7" t="n">
        <v>4</v>
      </c>
      <c r="E36251" s="7" t="s">
        <v>99</v>
      </c>
      <c r="F36251" s="7" t="s">
        <v>79</v>
      </c>
      <c r="G36251" s="7" t="s">
        <v>78</v>
      </c>
      <c r="H36251" s="7" t="s">
        <v>79</v>
      </c>
    </row>
    <row r="36252" spans="1:13">
      <c r="A36252" t="s">
        <v>4</v>
      </c>
      <c r="B36252" s="4" t="s">
        <v>5</v>
      </c>
      <c r="C36252" s="4" t="s">
        <v>11</v>
      </c>
      <c r="D36252" s="4" t="s">
        <v>13</v>
      </c>
      <c r="E36252" s="4" t="s">
        <v>13</v>
      </c>
      <c r="F36252" s="4" t="s">
        <v>13</v>
      </c>
      <c r="G36252" s="4" t="s">
        <v>11</v>
      </c>
      <c r="H36252" s="4" t="s">
        <v>11</v>
      </c>
    </row>
    <row r="36253" spans="1:13">
      <c r="A36253" t="n">
        <v>356202</v>
      </c>
      <c r="B36253" s="37" t="n">
        <v>60</v>
      </c>
      <c r="C36253" s="7" t="n">
        <v>4</v>
      </c>
      <c r="D36253" s="7" t="n">
        <v>0</v>
      </c>
      <c r="E36253" s="7" t="n">
        <v>-10</v>
      </c>
      <c r="F36253" s="7" t="n">
        <v>0</v>
      </c>
      <c r="G36253" s="7" t="n">
        <v>1000</v>
      </c>
      <c r="H36253" s="7" t="n">
        <v>0</v>
      </c>
    </row>
    <row r="36254" spans="1:13">
      <c r="A36254" t="s">
        <v>4</v>
      </c>
      <c r="B36254" s="4" t="s">
        <v>5</v>
      </c>
      <c r="C36254" s="4" t="s">
        <v>11</v>
      </c>
    </row>
    <row r="36255" spans="1:13">
      <c r="A36255" t="n">
        <v>356221</v>
      </c>
      <c r="B36255" s="29" t="n">
        <v>16</v>
      </c>
      <c r="C36255" s="7" t="n">
        <v>1000</v>
      </c>
    </row>
    <row r="36256" spans="1:13">
      <c r="A36256" t="s">
        <v>4</v>
      </c>
      <c r="B36256" s="4" t="s">
        <v>5</v>
      </c>
      <c r="C36256" s="4" t="s">
        <v>7</v>
      </c>
      <c r="D36256" s="4" t="s">
        <v>11</v>
      </c>
      <c r="E36256" s="4" t="s">
        <v>8</v>
      </c>
    </row>
    <row r="36257" spans="1:18">
      <c r="A36257" t="n">
        <v>356224</v>
      </c>
      <c r="B36257" s="38" t="n">
        <v>51</v>
      </c>
      <c r="C36257" s="7" t="n">
        <v>4</v>
      </c>
      <c r="D36257" s="7" t="n">
        <v>4</v>
      </c>
      <c r="E36257" s="7" t="s">
        <v>752</v>
      </c>
    </row>
    <row r="36258" spans="1:18">
      <c r="A36258" t="s">
        <v>4</v>
      </c>
      <c r="B36258" s="4" t="s">
        <v>5</v>
      </c>
      <c r="C36258" s="4" t="s">
        <v>11</v>
      </c>
    </row>
    <row r="36259" spans="1:18">
      <c r="A36259" t="n">
        <v>356238</v>
      </c>
      <c r="B36259" s="29" t="n">
        <v>16</v>
      </c>
      <c r="C36259" s="7" t="n">
        <v>0</v>
      </c>
    </row>
    <row r="36260" spans="1:18">
      <c r="A36260" t="s">
        <v>4</v>
      </c>
      <c r="B36260" s="4" t="s">
        <v>5</v>
      </c>
      <c r="C36260" s="4" t="s">
        <v>11</v>
      </c>
      <c r="D36260" s="4" t="s">
        <v>7</v>
      </c>
      <c r="E36260" s="4" t="s">
        <v>15</v>
      </c>
      <c r="F36260" s="4" t="s">
        <v>55</v>
      </c>
      <c r="G36260" s="4" t="s">
        <v>7</v>
      </c>
      <c r="H36260" s="4" t="s">
        <v>7</v>
      </c>
      <c r="I36260" s="4" t="s">
        <v>7</v>
      </c>
      <c r="J36260" s="4" t="s">
        <v>15</v>
      </c>
      <c r="K36260" s="4" t="s">
        <v>55</v>
      </c>
      <c r="L36260" s="4" t="s">
        <v>7</v>
      </c>
      <c r="M36260" s="4" t="s">
        <v>7</v>
      </c>
      <c r="N36260" s="4" t="s">
        <v>7</v>
      </c>
      <c r="O36260" s="4" t="s">
        <v>15</v>
      </c>
      <c r="P36260" s="4" t="s">
        <v>55</v>
      </c>
      <c r="Q36260" s="4" t="s">
        <v>7</v>
      </c>
      <c r="R36260" s="4" t="s">
        <v>7</v>
      </c>
      <c r="S36260" s="4" t="s">
        <v>7</v>
      </c>
      <c r="T36260" s="4" t="s">
        <v>15</v>
      </c>
      <c r="U36260" s="4" t="s">
        <v>55</v>
      </c>
      <c r="V36260" s="4" t="s">
        <v>7</v>
      </c>
      <c r="W36260" s="4" t="s">
        <v>7</v>
      </c>
    </row>
    <row r="36261" spans="1:18">
      <c r="A36261" t="n">
        <v>356241</v>
      </c>
      <c r="B36261" s="55" t="n">
        <v>26</v>
      </c>
      <c r="C36261" s="7" t="n">
        <v>4</v>
      </c>
      <c r="D36261" s="7" t="n">
        <v>17</v>
      </c>
      <c r="E36261" s="7" t="n">
        <v>64465</v>
      </c>
      <c r="F36261" s="7" t="s">
        <v>1423</v>
      </c>
      <c r="G36261" s="7" t="n">
        <v>2</v>
      </c>
      <c r="H36261" s="7" t="n">
        <v>3</v>
      </c>
      <c r="I36261" s="7" t="n">
        <v>17</v>
      </c>
      <c r="J36261" s="7" t="n">
        <v>64466</v>
      </c>
      <c r="K36261" s="7" t="s">
        <v>1424</v>
      </c>
      <c r="L36261" s="7" t="n">
        <v>2</v>
      </c>
      <c r="M36261" s="7" t="n">
        <v>3</v>
      </c>
      <c r="N36261" s="7" t="n">
        <v>17</v>
      </c>
      <c r="O36261" s="7" t="n">
        <v>64467</v>
      </c>
      <c r="P36261" s="7" t="s">
        <v>1425</v>
      </c>
      <c r="Q36261" s="7" t="n">
        <v>2</v>
      </c>
      <c r="R36261" s="7" t="n">
        <v>3</v>
      </c>
      <c r="S36261" s="7" t="n">
        <v>17</v>
      </c>
      <c r="T36261" s="7" t="n">
        <v>64468</v>
      </c>
      <c r="U36261" s="7" t="s">
        <v>1426</v>
      </c>
      <c r="V36261" s="7" t="n">
        <v>2</v>
      </c>
      <c r="W36261" s="7" t="n">
        <v>0</v>
      </c>
    </row>
    <row r="36262" spans="1:18">
      <c r="A36262" t="s">
        <v>4</v>
      </c>
      <c r="B36262" s="4" t="s">
        <v>5</v>
      </c>
    </row>
    <row r="36263" spans="1:18">
      <c r="A36263" t="n">
        <v>356636</v>
      </c>
      <c r="B36263" s="27" t="n">
        <v>28</v>
      </c>
    </row>
    <row r="36264" spans="1:18">
      <c r="A36264" t="s">
        <v>4</v>
      </c>
      <c r="B36264" s="4" t="s">
        <v>5</v>
      </c>
      <c r="C36264" s="4" t="s">
        <v>7</v>
      </c>
      <c r="D36264" s="4" t="s">
        <v>11</v>
      </c>
      <c r="E36264" s="4" t="s">
        <v>8</v>
      </c>
      <c r="F36264" s="4" t="s">
        <v>8</v>
      </c>
      <c r="G36264" s="4" t="s">
        <v>8</v>
      </c>
      <c r="H36264" s="4" t="s">
        <v>8</v>
      </c>
    </row>
    <row r="36265" spans="1:18">
      <c r="A36265" t="n">
        <v>356637</v>
      </c>
      <c r="B36265" s="38" t="n">
        <v>51</v>
      </c>
      <c r="C36265" s="7" t="n">
        <v>3</v>
      </c>
      <c r="D36265" s="7" t="n">
        <v>4</v>
      </c>
      <c r="E36265" s="7" t="s">
        <v>86</v>
      </c>
      <c r="F36265" s="7" t="s">
        <v>79</v>
      </c>
      <c r="G36265" s="7" t="s">
        <v>78</v>
      </c>
      <c r="H36265" s="7" t="s">
        <v>79</v>
      </c>
    </row>
    <row r="36266" spans="1:18">
      <c r="A36266" t="s">
        <v>4</v>
      </c>
      <c r="B36266" s="4" t="s">
        <v>5</v>
      </c>
      <c r="C36266" s="4" t="s">
        <v>11</v>
      </c>
      <c r="D36266" s="4" t="s">
        <v>13</v>
      </c>
      <c r="E36266" s="4" t="s">
        <v>13</v>
      </c>
      <c r="F36266" s="4" t="s">
        <v>13</v>
      </c>
      <c r="G36266" s="4" t="s">
        <v>11</v>
      </c>
      <c r="H36266" s="4" t="s">
        <v>11</v>
      </c>
    </row>
    <row r="36267" spans="1:18">
      <c r="A36267" t="n">
        <v>356650</v>
      </c>
      <c r="B36267" s="37" t="n">
        <v>60</v>
      </c>
      <c r="C36267" s="7" t="n">
        <v>4</v>
      </c>
      <c r="D36267" s="7" t="n">
        <v>0</v>
      </c>
      <c r="E36267" s="7" t="n">
        <v>0</v>
      </c>
      <c r="F36267" s="7" t="n">
        <v>0</v>
      </c>
      <c r="G36267" s="7" t="n">
        <v>800</v>
      </c>
      <c r="H36267" s="7" t="n">
        <v>0</v>
      </c>
    </row>
    <row r="36268" spans="1:18">
      <c r="A36268" t="s">
        <v>4</v>
      </c>
      <c r="B36268" s="4" t="s">
        <v>5</v>
      </c>
      <c r="C36268" s="4" t="s">
        <v>11</v>
      </c>
    </row>
    <row r="36269" spans="1:18">
      <c r="A36269" t="n">
        <v>356669</v>
      </c>
      <c r="B36269" s="29" t="n">
        <v>16</v>
      </c>
      <c r="C36269" s="7" t="n">
        <v>1000</v>
      </c>
    </row>
    <row r="36270" spans="1:18">
      <c r="A36270" t="s">
        <v>4</v>
      </c>
      <c r="B36270" s="4" t="s">
        <v>5</v>
      </c>
      <c r="C36270" s="4" t="s">
        <v>7</v>
      </c>
      <c r="D36270" s="4" t="s">
        <v>11</v>
      </c>
      <c r="E36270" s="4" t="s">
        <v>8</v>
      </c>
    </row>
    <row r="36271" spans="1:18">
      <c r="A36271" t="n">
        <v>356672</v>
      </c>
      <c r="B36271" s="38" t="n">
        <v>51</v>
      </c>
      <c r="C36271" s="7" t="n">
        <v>4</v>
      </c>
      <c r="D36271" s="7" t="n">
        <v>4</v>
      </c>
      <c r="E36271" s="7" t="s">
        <v>288</v>
      </c>
    </row>
    <row r="36272" spans="1:18">
      <c r="A36272" t="s">
        <v>4</v>
      </c>
      <c r="B36272" s="4" t="s">
        <v>5</v>
      </c>
      <c r="C36272" s="4" t="s">
        <v>11</v>
      </c>
    </row>
    <row r="36273" spans="1:23">
      <c r="A36273" t="n">
        <v>356685</v>
      </c>
      <c r="B36273" s="29" t="n">
        <v>16</v>
      </c>
      <c r="C36273" s="7" t="n">
        <v>0</v>
      </c>
    </row>
    <row r="36274" spans="1:23">
      <c r="A36274" t="s">
        <v>4</v>
      </c>
      <c r="B36274" s="4" t="s">
        <v>5</v>
      </c>
      <c r="C36274" s="4" t="s">
        <v>11</v>
      </c>
      <c r="D36274" s="4" t="s">
        <v>7</v>
      </c>
      <c r="E36274" s="4" t="s">
        <v>15</v>
      </c>
      <c r="F36274" s="4" t="s">
        <v>55</v>
      </c>
      <c r="G36274" s="4" t="s">
        <v>7</v>
      </c>
      <c r="H36274" s="4" t="s">
        <v>7</v>
      </c>
      <c r="I36274" s="4" t="s">
        <v>7</v>
      </c>
      <c r="J36274" s="4" t="s">
        <v>15</v>
      </c>
      <c r="K36274" s="4" t="s">
        <v>55</v>
      </c>
      <c r="L36274" s="4" t="s">
        <v>7</v>
      </c>
      <c r="M36274" s="4" t="s">
        <v>7</v>
      </c>
      <c r="N36274" s="4" t="s">
        <v>7</v>
      </c>
      <c r="O36274" s="4" t="s">
        <v>15</v>
      </c>
      <c r="P36274" s="4" t="s">
        <v>55</v>
      </c>
      <c r="Q36274" s="4" t="s">
        <v>7</v>
      </c>
      <c r="R36274" s="4" t="s">
        <v>7</v>
      </c>
      <c r="S36274" s="4" t="s">
        <v>7</v>
      </c>
      <c r="T36274" s="4" t="s">
        <v>15</v>
      </c>
      <c r="U36274" s="4" t="s">
        <v>55</v>
      </c>
      <c r="V36274" s="4" t="s">
        <v>7</v>
      </c>
      <c r="W36274" s="4" t="s">
        <v>7</v>
      </c>
    </row>
    <row r="36275" spans="1:23">
      <c r="A36275" t="n">
        <v>356688</v>
      </c>
      <c r="B36275" s="55" t="n">
        <v>26</v>
      </c>
      <c r="C36275" s="7" t="n">
        <v>4</v>
      </c>
      <c r="D36275" s="7" t="n">
        <v>17</v>
      </c>
      <c r="E36275" s="7" t="n">
        <v>64469</v>
      </c>
      <c r="F36275" s="7" t="s">
        <v>1427</v>
      </c>
      <c r="G36275" s="7" t="n">
        <v>2</v>
      </c>
      <c r="H36275" s="7" t="n">
        <v>3</v>
      </c>
      <c r="I36275" s="7" t="n">
        <v>17</v>
      </c>
      <c r="J36275" s="7" t="n">
        <v>64470</v>
      </c>
      <c r="K36275" s="7" t="s">
        <v>1428</v>
      </c>
      <c r="L36275" s="7" t="n">
        <v>2</v>
      </c>
      <c r="M36275" s="7" t="n">
        <v>3</v>
      </c>
      <c r="N36275" s="7" t="n">
        <v>17</v>
      </c>
      <c r="O36275" s="7" t="n">
        <v>64471</v>
      </c>
      <c r="P36275" s="7" t="s">
        <v>1429</v>
      </c>
      <c r="Q36275" s="7" t="n">
        <v>2</v>
      </c>
      <c r="R36275" s="7" t="n">
        <v>3</v>
      </c>
      <c r="S36275" s="7" t="n">
        <v>17</v>
      </c>
      <c r="T36275" s="7" t="n">
        <v>64472</v>
      </c>
      <c r="U36275" s="7" t="s">
        <v>1430</v>
      </c>
      <c r="V36275" s="7" t="n">
        <v>2</v>
      </c>
      <c r="W36275" s="7" t="n">
        <v>0</v>
      </c>
    </row>
    <row r="36276" spans="1:23">
      <c r="A36276" t="s">
        <v>4</v>
      </c>
      <c r="B36276" s="4" t="s">
        <v>5</v>
      </c>
    </row>
    <row r="36277" spans="1:23">
      <c r="A36277" t="n">
        <v>357029</v>
      </c>
      <c r="B36277" s="27" t="n">
        <v>28</v>
      </c>
    </row>
    <row r="36278" spans="1:23">
      <c r="A36278" t="s">
        <v>4</v>
      </c>
      <c r="B36278" s="4" t="s">
        <v>5</v>
      </c>
      <c r="C36278" s="4" t="s">
        <v>11</v>
      </c>
      <c r="D36278" s="4" t="s">
        <v>7</v>
      </c>
      <c r="E36278" s="4" t="s">
        <v>7</v>
      </c>
      <c r="F36278" s="4" t="s">
        <v>8</v>
      </c>
    </row>
    <row r="36279" spans="1:23">
      <c r="A36279" t="n">
        <v>357030</v>
      </c>
      <c r="B36279" s="50" t="n">
        <v>20</v>
      </c>
      <c r="C36279" s="7" t="n">
        <v>0</v>
      </c>
      <c r="D36279" s="7" t="n">
        <v>2</v>
      </c>
      <c r="E36279" s="7" t="n">
        <v>10</v>
      </c>
      <c r="F36279" s="7" t="s">
        <v>223</v>
      </c>
    </row>
    <row r="36280" spans="1:23">
      <c r="A36280" t="s">
        <v>4</v>
      </c>
      <c r="B36280" s="4" t="s">
        <v>5</v>
      </c>
      <c r="C36280" s="4" t="s">
        <v>7</v>
      </c>
      <c r="D36280" s="4" t="s">
        <v>11</v>
      </c>
      <c r="E36280" s="4" t="s">
        <v>8</v>
      </c>
    </row>
    <row r="36281" spans="1:23">
      <c r="A36281" t="n">
        <v>357051</v>
      </c>
      <c r="B36281" s="38" t="n">
        <v>51</v>
      </c>
      <c r="C36281" s="7" t="n">
        <v>4</v>
      </c>
      <c r="D36281" s="7" t="n">
        <v>0</v>
      </c>
      <c r="E36281" s="7" t="s">
        <v>247</v>
      </c>
    </row>
    <row r="36282" spans="1:23">
      <c r="A36282" t="s">
        <v>4</v>
      </c>
      <c r="B36282" s="4" t="s">
        <v>5</v>
      </c>
      <c r="C36282" s="4" t="s">
        <v>11</v>
      </c>
    </row>
    <row r="36283" spans="1:23">
      <c r="A36283" t="n">
        <v>357065</v>
      </c>
      <c r="B36283" s="29" t="n">
        <v>16</v>
      </c>
      <c r="C36283" s="7" t="n">
        <v>0</v>
      </c>
    </row>
    <row r="36284" spans="1:23">
      <c r="A36284" t="s">
        <v>4</v>
      </c>
      <c r="B36284" s="4" t="s">
        <v>5</v>
      </c>
      <c r="C36284" s="4" t="s">
        <v>11</v>
      </c>
      <c r="D36284" s="4" t="s">
        <v>7</v>
      </c>
      <c r="E36284" s="4" t="s">
        <v>15</v>
      </c>
      <c r="F36284" s="4" t="s">
        <v>55</v>
      </c>
      <c r="G36284" s="4" t="s">
        <v>7</v>
      </c>
      <c r="H36284" s="4" t="s">
        <v>7</v>
      </c>
      <c r="I36284" s="4" t="s">
        <v>7</v>
      </c>
      <c r="J36284" s="4" t="s">
        <v>15</v>
      </c>
      <c r="K36284" s="4" t="s">
        <v>55</v>
      </c>
      <c r="L36284" s="4" t="s">
        <v>7</v>
      </c>
      <c r="M36284" s="4" t="s">
        <v>7</v>
      </c>
    </row>
    <row r="36285" spans="1:23">
      <c r="A36285" t="n">
        <v>357068</v>
      </c>
      <c r="B36285" s="55" t="n">
        <v>26</v>
      </c>
      <c r="C36285" s="7" t="n">
        <v>0</v>
      </c>
      <c r="D36285" s="7" t="n">
        <v>17</v>
      </c>
      <c r="E36285" s="7" t="n">
        <v>64473</v>
      </c>
      <c r="F36285" s="7" t="s">
        <v>1431</v>
      </c>
      <c r="G36285" s="7" t="n">
        <v>2</v>
      </c>
      <c r="H36285" s="7" t="n">
        <v>3</v>
      </c>
      <c r="I36285" s="7" t="n">
        <v>17</v>
      </c>
      <c r="J36285" s="7" t="n">
        <v>64474</v>
      </c>
      <c r="K36285" s="7" t="s">
        <v>1432</v>
      </c>
      <c r="L36285" s="7" t="n">
        <v>2</v>
      </c>
      <c r="M36285" s="7" t="n">
        <v>0</v>
      </c>
    </row>
    <row r="36286" spans="1:23">
      <c r="A36286" t="s">
        <v>4</v>
      </c>
      <c r="B36286" s="4" t="s">
        <v>5</v>
      </c>
    </row>
    <row r="36287" spans="1:23">
      <c r="A36287" t="n">
        <v>357191</v>
      </c>
      <c r="B36287" s="27" t="n">
        <v>28</v>
      </c>
    </row>
    <row r="36288" spans="1:23">
      <c r="A36288" t="s">
        <v>4</v>
      </c>
      <c r="B36288" s="4" t="s">
        <v>5</v>
      </c>
      <c r="C36288" s="4" t="s">
        <v>7</v>
      </c>
      <c r="D36288" s="4" t="s">
        <v>11</v>
      </c>
      <c r="E36288" s="4" t="s">
        <v>11</v>
      </c>
      <c r="F36288" s="4" t="s">
        <v>7</v>
      </c>
    </row>
    <row r="36289" spans="1:23">
      <c r="A36289" t="n">
        <v>357192</v>
      </c>
      <c r="B36289" s="31" t="n">
        <v>25</v>
      </c>
      <c r="C36289" s="7" t="n">
        <v>1</v>
      </c>
      <c r="D36289" s="7" t="n">
        <v>65535</v>
      </c>
      <c r="E36289" s="7" t="n">
        <v>65535</v>
      </c>
      <c r="F36289" s="7" t="n">
        <v>0</v>
      </c>
    </row>
    <row r="36290" spans="1:23">
      <c r="A36290" t="s">
        <v>4</v>
      </c>
      <c r="B36290" s="4" t="s">
        <v>5</v>
      </c>
      <c r="C36290" s="4" t="s">
        <v>7</v>
      </c>
      <c r="D36290" s="4" t="s">
        <v>11</v>
      </c>
      <c r="E36290" s="4" t="s">
        <v>8</v>
      </c>
    </row>
    <row r="36291" spans="1:23">
      <c r="A36291" t="n">
        <v>357199</v>
      </c>
      <c r="B36291" s="38" t="n">
        <v>51</v>
      </c>
      <c r="C36291" s="7" t="n">
        <v>4</v>
      </c>
      <c r="D36291" s="7" t="n">
        <v>4</v>
      </c>
      <c r="E36291" s="7" t="s">
        <v>238</v>
      </c>
    </row>
    <row r="36292" spans="1:23">
      <c r="A36292" t="s">
        <v>4</v>
      </c>
      <c r="B36292" s="4" t="s">
        <v>5</v>
      </c>
      <c r="C36292" s="4" t="s">
        <v>11</v>
      </c>
    </row>
    <row r="36293" spans="1:23">
      <c r="A36293" t="n">
        <v>357213</v>
      </c>
      <c r="B36293" s="29" t="n">
        <v>16</v>
      </c>
      <c r="C36293" s="7" t="n">
        <v>0</v>
      </c>
    </row>
    <row r="36294" spans="1:23">
      <c r="A36294" t="s">
        <v>4</v>
      </c>
      <c r="B36294" s="4" t="s">
        <v>5</v>
      </c>
      <c r="C36294" s="4" t="s">
        <v>11</v>
      </c>
      <c r="D36294" s="4" t="s">
        <v>7</v>
      </c>
      <c r="E36294" s="4" t="s">
        <v>15</v>
      </c>
      <c r="F36294" s="4" t="s">
        <v>55</v>
      </c>
      <c r="G36294" s="4" t="s">
        <v>7</v>
      </c>
      <c r="H36294" s="4" t="s">
        <v>7</v>
      </c>
    </row>
    <row r="36295" spans="1:23">
      <c r="A36295" t="n">
        <v>357216</v>
      </c>
      <c r="B36295" s="55" t="n">
        <v>26</v>
      </c>
      <c r="C36295" s="7" t="n">
        <v>4</v>
      </c>
      <c r="D36295" s="7" t="n">
        <v>17</v>
      </c>
      <c r="E36295" s="7" t="n">
        <v>64475</v>
      </c>
      <c r="F36295" s="7" t="s">
        <v>1433</v>
      </c>
      <c r="G36295" s="7" t="n">
        <v>2</v>
      </c>
      <c r="H36295" s="7" t="n">
        <v>0</v>
      </c>
    </row>
    <row r="36296" spans="1:23">
      <c r="A36296" t="s">
        <v>4</v>
      </c>
      <c r="B36296" s="4" t="s">
        <v>5</v>
      </c>
    </row>
    <row r="36297" spans="1:23">
      <c r="A36297" t="n">
        <v>357236</v>
      </c>
      <c r="B36297" s="27" t="n">
        <v>28</v>
      </c>
    </row>
    <row r="36298" spans="1:23">
      <c r="A36298" t="s">
        <v>4</v>
      </c>
      <c r="B36298" s="4" t="s">
        <v>5</v>
      </c>
      <c r="C36298" s="4" t="s">
        <v>7</v>
      </c>
      <c r="D36298" s="4" t="s">
        <v>11</v>
      </c>
      <c r="E36298" s="4" t="s">
        <v>13</v>
      </c>
    </row>
    <row r="36299" spans="1:23">
      <c r="A36299" t="n">
        <v>357237</v>
      </c>
      <c r="B36299" s="23" t="n">
        <v>58</v>
      </c>
      <c r="C36299" s="7" t="n">
        <v>0</v>
      </c>
      <c r="D36299" s="7" t="n">
        <v>2000</v>
      </c>
      <c r="E36299" s="7" t="n">
        <v>1</v>
      </c>
    </row>
    <row r="36300" spans="1:23">
      <c r="A36300" t="s">
        <v>4</v>
      </c>
      <c r="B36300" s="4" t="s">
        <v>5</v>
      </c>
      <c r="C36300" s="4" t="s">
        <v>7</v>
      </c>
      <c r="D36300" s="4" t="s">
        <v>11</v>
      </c>
    </row>
    <row r="36301" spans="1:23">
      <c r="A36301" t="n">
        <v>357245</v>
      </c>
      <c r="B36301" s="23" t="n">
        <v>58</v>
      </c>
      <c r="C36301" s="7" t="n">
        <v>255</v>
      </c>
      <c r="D36301" s="7" t="n">
        <v>0</v>
      </c>
    </row>
    <row r="36302" spans="1:23">
      <c r="A36302" t="s">
        <v>4</v>
      </c>
      <c r="B36302" s="4" t="s">
        <v>5</v>
      </c>
      <c r="C36302" s="4" t="s">
        <v>11</v>
      </c>
    </row>
    <row r="36303" spans="1:23">
      <c r="A36303" t="n">
        <v>357249</v>
      </c>
      <c r="B36303" s="29" t="n">
        <v>16</v>
      </c>
      <c r="C36303" s="7" t="n">
        <v>1000</v>
      </c>
    </row>
    <row r="36304" spans="1:23">
      <c r="A36304" t="s">
        <v>4</v>
      </c>
      <c r="B36304" s="4" t="s">
        <v>5</v>
      </c>
      <c r="C36304" s="4" t="s">
        <v>11</v>
      </c>
      <c r="D36304" s="4" t="s">
        <v>13</v>
      </c>
      <c r="E36304" s="4" t="s">
        <v>13</v>
      </c>
      <c r="F36304" s="4" t="s">
        <v>13</v>
      </c>
      <c r="G36304" s="4" t="s">
        <v>13</v>
      </c>
    </row>
    <row r="36305" spans="1:8">
      <c r="A36305" t="n">
        <v>357252</v>
      </c>
      <c r="B36305" s="36" t="n">
        <v>46</v>
      </c>
      <c r="C36305" s="7" t="n">
        <v>61456</v>
      </c>
      <c r="D36305" s="7" t="n">
        <v>-19.0799999237061</v>
      </c>
      <c r="E36305" s="7" t="n">
        <v>5.01000022888184</v>
      </c>
      <c r="F36305" s="7" t="n">
        <v>49.6599998474121</v>
      </c>
      <c r="G36305" s="7" t="n">
        <v>117.900001525879</v>
      </c>
    </row>
    <row r="36306" spans="1:8">
      <c r="A36306" t="s">
        <v>4</v>
      </c>
      <c r="B36306" s="4" t="s">
        <v>5</v>
      </c>
      <c r="C36306" s="4" t="s">
        <v>7</v>
      </c>
      <c r="D36306" s="4" t="s">
        <v>7</v>
      </c>
      <c r="E36306" s="4" t="s">
        <v>13</v>
      </c>
      <c r="F36306" s="4" t="s">
        <v>13</v>
      </c>
      <c r="G36306" s="4" t="s">
        <v>13</v>
      </c>
      <c r="H36306" s="4" t="s">
        <v>11</v>
      </c>
      <c r="I36306" s="4" t="s">
        <v>7</v>
      </c>
    </row>
    <row r="36307" spans="1:8">
      <c r="A36307" t="n">
        <v>357271</v>
      </c>
      <c r="B36307" s="51" t="n">
        <v>45</v>
      </c>
      <c r="C36307" s="7" t="n">
        <v>4</v>
      </c>
      <c r="D36307" s="7" t="n">
        <v>3</v>
      </c>
      <c r="E36307" s="7" t="n">
        <v>8.38000011444092</v>
      </c>
      <c r="F36307" s="7" t="n">
        <v>153.600006103516</v>
      </c>
      <c r="G36307" s="7" t="n">
        <v>0</v>
      </c>
      <c r="H36307" s="7" t="n">
        <v>0</v>
      </c>
      <c r="I36307" s="7" t="n">
        <v>0</v>
      </c>
    </row>
    <row r="36308" spans="1:8">
      <c r="A36308" t="s">
        <v>4</v>
      </c>
      <c r="B36308" s="4" t="s">
        <v>5</v>
      </c>
      <c r="C36308" s="4" t="s">
        <v>7</v>
      </c>
      <c r="D36308" s="4" t="s">
        <v>8</v>
      </c>
    </row>
    <row r="36309" spans="1:8">
      <c r="A36309" t="n">
        <v>357289</v>
      </c>
      <c r="B36309" s="6" t="n">
        <v>2</v>
      </c>
      <c r="C36309" s="7" t="n">
        <v>10</v>
      </c>
      <c r="D36309" s="7" t="s">
        <v>1834</v>
      </c>
    </row>
    <row r="36310" spans="1:8">
      <c r="A36310" t="s">
        <v>4</v>
      </c>
      <c r="B36310" s="4" t="s">
        <v>5</v>
      </c>
    </row>
    <row r="36311" spans="1:8">
      <c r="A36311" t="n">
        <v>357310</v>
      </c>
      <c r="B36311" s="5" t="n">
        <v>1</v>
      </c>
    </row>
    <row r="36312" spans="1:8" s="3" customFormat="1" customHeight="0">
      <c r="A36312" s="3" t="s">
        <v>2</v>
      </c>
      <c r="B36312" s="3" t="s">
        <v>1853</v>
      </c>
    </row>
    <row r="36313" spans="1:8">
      <c r="A36313" t="s">
        <v>4</v>
      </c>
      <c r="B36313" s="4" t="s">
        <v>5</v>
      </c>
      <c r="C36313" s="4" t="s">
        <v>7</v>
      </c>
      <c r="D36313" s="4" t="s">
        <v>7</v>
      </c>
      <c r="E36313" s="4" t="s">
        <v>7</v>
      </c>
      <c r="F36313" s="4" t="s">
        <v>7</v>
      </c>
    </row>
    <row r="36314" spans="1:8">
      <c r="A36314" t="n">
        <v>357312</v>
      </c>
      <c r="B36314" s="9" t="n">
        <v>14</v>
      </c>
      <c r="C36314" s="7" t="n">
        <v>2</v>
      </c>
      <c r="D36314" s="7" t="n">
        <v>0</v>
      </c>
      <c r="E36314" s="7" t="n">
        <v>0</v>
      </c>
      <c r="F36314" s="7" t="n">
        <v>0</v>
      </c>
    </row>
    <row r="36315" spans="1:8">
      <c r="A36315" t="s">
        <v>4</v>
      </c>
      <c r="B36315" s="4" t="s">
        <v>5</v>
      </c>
      <c r="C36315" s="4" t="s">
        <v>7</v>
      </c>
      <c r="D36315" s="20" t="s">
        <v>35</v>
      </c>
      <c r="E36315" s="4" t="s">
        <v>5</v>
      </c>
      <c r="F36315" s="4" t="s">
        <v>7</v>
      </c>
      <c r="G36315" s="4" t="s">
        <v>11</v>
      </c>
      <c r="H36315" s="20" t="s">
        <v>36</v>
      </c>
      <c r="I36315" s="4" t="s">
        <v>7</v>
      </c>
      <c r="J36315" s="4" t="s">
        <v>15</v>
      </c>
      <c r="K36315" s="4" t="s">
        <v>7</v>
      </c>
      <c r="L36315" s="4" t="s">
        <v>7</v>
      </c>
      <c r="M36315" s="20" t="s">
        <v>35</v>
      </c>
      <c r="N36315" s="4" t="s">
        <v>5</v>
      </c>
      <c r="O36315" s="4" t="s">
        <v>7</v>
      </c>
      <c r="P36315" s="4" t="s">
        <v>11</v>
      </c>
      <c r="Q36315" s="20" t="s">
        <v>36</v>
      </c>
      <c r="R36315" s="4" t="s">
        <v>7</v>
      </c>
      <c r="S36315" s="4" t="s">
        <v>15</v>
      </c>
      <c r="T36315" s="4" t="s">
        <v>7</v>
      </c>
      <c r="U36315" s="4" t="s">
        <v>7</v>
      </c>
      <c r="V36315" s="4" t="s">
        <v>7</v>
      </c>
      <c r="W36315" s="4" t="s">
        <v>12</v>
      </c>
    </row>
    <row r="36316" spans="1:8">
      <c r="A36316" t="n">
        <v>357317</v>
      </c>
      <c r="B36316" s="10" t="n">
        <v>5</v>
      </c>
      <c r="C36316" s="7" t="n">
        <v>28</v>
      </c>
      <c r="D36316" s="20" t="s">
        <v>3</v>
      </c>
      <c r="E36316" s="8" t="n">
        <v>162</v>
      </c>
      <c r="F36316" s="7" t="n">
        <v>3</v>
      </c>
      <c r="G36316" s="7" t="n">
        <v>36880</v>
      </c>
      <c r="H36316" s="20" t="s">
        <v>3</v>
      </c>
      <c r="I36316" s="7" t="n">
        <v>0</v>
      </c>
      <c r="J36316" s="7" t="n">
        <v>1</v>
      </c>
      <c r="K36316" s="7" t="n">
        <v>2</v>
      </c>
      <c r="L36316" s="7" t="n">
        <v>28</v>
      </c>
      <c r="M36316" s="20" t="s">
        <v>3</v>
      </c>
      <c r="N36316" s="8" t="n">
        <v>162</v>
      </c>
      <c r="O36316" s="7" t="n">
        <v>3</v>
      </c>
      <c r="P36316" s="7" t="n">
        <v>36880</v>
      </c>
      <c r="Q36316" s="20" t="s">
        <v>3</v>
      </c>
      <c r="R36316" s="7" t="n">
        <v>0</v>
      </c>
      <c r="S36316" s="7" t="n">
        <v>2</v>
      </c>
      <c r="T36316" s="7" t="n">
        <v>2</v>
      </c>
      <c r="U36316" s="7" t="n">
        <v>11</v>
      </c>
      <c r="V36316" s="7" t="n">
        <v>1</v>
      </c>
      <c r="W36316" s="11" t="n">
        <f t="normal" ca="1">A36320</f>
        <v>0</v>
      </c>
    </row>
    <row r="36317" spans="1:8">
      <c r="A36317" t="s">
        <v>4</v>
      </c>
      <c r="B36317" s="4" t="s">
        <v>5</v>
      </c>
      <c r="C36317" s="4" t="s">
        <v>7</v>
      </c>
      <c r="D36317" s="4" t="s">
        <v>11</v>
      </c>
      <c r="E36317" s="4" t="s">
        <v>13</v>
      </c>
    </row>
    <row r="36318" spans="1:8">
      <c r="A36318" t="n">
        <v>357346</v>
      </c>
      <c r="B36318" s="23" t="n">
        <v>58</v>
      </c>
      <c r="C36318" s="7" t="n">
        <v>0</v>
      </c>
      <c r="D36318" s="7" t="n">
        <v>0</v>
      </c>
      <c r="E36318" s="7" t="n">
        <v>1</v>
      </c>
    </row>
    <row r="36319" spans="1:8">
      <c r="A36319" t="s">
        <v>4</v>
      </c>
      <c r="B36319" s="4" t="s">
        <v>5</v>
      </c>
      <c r="C36319" s="4" t="s">
        <v>7</v>
      </c>
      <c r="D36319" s="20" t="s">
        <v>35</v>
      </c>
      <c r="E36319" s="4" t="s">
        <v>5</v>
      </c>
      <c r="F36319" s="4" t="s">
        <v>7</v>
      </c>
      <c r="G36319" s="4" t="s">
        <v>11</v>
      </c>
      <c r="H36319" s="20" t="s">
        <v>36</v>
      </c>
      <c r="I36319" s="4" t="s">
        <v>7</v>
      </c>
      <c r="J36319" s="4" t="s">
        <v>15</v>
      </c>
      <c r="K36319" s="4" t="s">
        <v>7</v>
      </c>
      <c r="L36319" s="4" t="s">
        <v>7</v>
      </c>
      <c r="M36319" s="20" t="s">
        <v>35</v>
      </c>
      <c r="N36319" s="4" t="s">
        <v>5</v>
      </c>
      <c r="O36319" s="4" t="s">
        <v>7</v>
      </c>
      <c r="P36319" s="4" t="s">
        <v>11</v>
      </c>
      <c r="Q36319" s="20" t="s">
        <v>36</v>
      </c>
      <c r="R36319" s="4" t="s">
        <v>7</v>
      </c>
      <c r="S36319" s="4" t="s">
        <v>15</v>
      </c>
      <c r="T36319" s="4" t="s">
        <v>7</v>
      </c>
      <c r="U36319" s="4" t="s">
        <v>7</v>
      </c>
      <c r="V36319" s="4" t="s">
        <v>7</v>
      </c>
      <c r="W36319" s="4" t="s">
        <v>12</v>
      </c>
    </row>
    <row r="36320" spans="1:8">
      <c r="A36320" t="n">
        <v>357354</v>
      </c>
      <c r="B36320" s="10" t="n">
        <v>5</v>
      </c>
      <c r="C36320" s="7" t="n">
        <v>28</v>
      </c>
      <c r="D36320" s="20" t="s">
        <v>3</v>
      </c>
      <c r="E36320" s="8" t="n">
        <v>162</v>
      </c>
      <c r="F36320" s="7" t="n">
        <v>3</v>
      </c>
      <c r="G36320" s="7" t="n">
        <v>36880</v>
      </c>
      <c r="H36320" s="20" t="s">
        <v>3</v>
      </c>
      <c r="I36320" s="7" t="n">
        <v>0</v>
      </c>
      <c r="J36320" s="7" t="n">
        <v>1</v>
      </c>
      <c r="K36320" s="7" t="n">
        <v>3</v>
      </c>
      <c r="L36320" s="7" t="n">
        <v>28</v>
      </c>
      <c r="M36320" s="20" t="s">
        <v>3</v>
      </c>
      <c r="N36320" s="8" t="n">
        <v>162</v>
      </c>
      <c r="O36320" s="7" t="n">
        <v>3</v>
      </c>
      <c r="P36320" s="7" t="n">
        <v>36880</v>
      </c>
      <c r="Q36320" s="20" t="s">
        <v>3</v>
      </c>
      <c r="R36320" s="7" t="n">
        <v>0</v>
      </c>
      <c r="S36320" s="7" t="n">
        <v>2</v>
      </c>
      <c r="T36320" s="7" t="n">
        <v>3</v>
      </c>
      <c r="U36320" s="7" t="n">
        <v>9</v>
      </c>
      <c r="V36320" s="7" t="n">
        <v>1</v>
      </c>
      <c r="W36320" s="11" t="n">
        <f t="normal" ca="1">A36330</f>
        <v>0</v>
      </c>
    </row>
    <row r="36321" spans="1:23">
      <c r="A36321" t="s">
        <v>4</v>
      </c>
      <c r="B36321" s="4" t="s">
        <v>5</v>
      </c>
      <c r="C36321" s="4" t="s">
        <v>7</v>
      </c>
      <c r="D36321" s="20" t="s">
        <v>35</v>
      </c>
      <c r="E36321" s="4" t="s">
        <v>5</v>
      </c>
      <c r="F36321" s="4" t="s">
        <v>11</v>
      </c>
      <c r="G36321" s="4" t="s">
        <v>7</v>
      </c>
      <c r="H36321" s="4" t="s">
        <v>7</v>
      </c>
      <c r="I36321" s="4" t="s">
        <v>8</v>
      </c>
      <c r="J36321" s="20" t="s">
        <v>36</v>
      </c>
      <c r="K36321" s="4" t="s">
        <v>7</v>
      </c>
      <c r="L36321" s="4" t="s">
        <v>7</v>
      </c>
      <c r="M36321" s="20" t="s">
        <v>35</v>
      </c>
      <c r="N36321" s="4" t="s">
        <v>5</v>
      </c>
      <c r="O36321" s="4" t="s">
        <v>7</v>
      </c>
      <c r="P36321" s="20" t="s">
        <v>36</v>
      </c>
      <c r="Q36321" s="4" t="s">
        <v>7</v>
      </c>
      <c r="R36321" s="4" t="s">
        <v>15</v>
      </c>
      <c r="S36321" s="4" t="s">
        <v>7</v>
      </c>
      <c r="T36321" s="4" t="s">
        <v>7</v>
      </c>
      <c r="U36321" s="4" t="s">
        <v>7</v>
      </c>
      <c r="V36321" s="20" t="s">
        <v>35</v>
      </c>
      <c r="W36321" s="4" t="s">
        <v>5</v>
      </c>
      <c r="X36321" s="4" t="s">
        <v>7</v>
      </c>
      <c r="Y36321" s="20" t="s">
        <v>36</v>
      </c>
      <c r="Z36321" s="4" t="s">
        <v>7</v>
      </c>
      <c r="AA36321" s="4" t="s">
        <v>15</v>
      </c>
      <c r="AB36321" s="4" t="s">
        <v>7</v>
      </c>
      <c r="AC36321" s="4" t="s">
        <v>7</v>
      </c>
      <c r="AD36321" s="4" t="s">
        <v>7</v>
      </c>
      <c r="AE36321" s="4" t="s">
        <v>12</v>
      </c>
    </row>
    <row r="36322" spans="1:23">
      <c r="A36322" t="n">
        <v>357383</v>
      </c>
      <c r="B36322" s="10" t="n">
        <v>5</v>
      </c>
      <c r="C36322" s="7" t="n">
        <v>28</v>
      </c>
      <c r="D36322" s="20" t="s">
        <v>3</v>
      </c>
      <c r="E36322" s="41" t="n">
        <v>47</v>
      </c>
      <c r="F36322" s="7" t="n">
        <v>61456</v>
      </c>
      <c r="G36322" s="7" t="n">
        <v>2</v>
      </c>
      <c r="H36322" s="7" t="n">
        <v>0</v>
      </c>
      <c r="I36322" s="7" t="s">
        <v>105</v>
      </c>
      <c r="J36322" s="20" t="s">
        <v>3</v>
      </c>
      <c r="K36322" s="7" t="n">
        <v>8</v>
      </c>
      <c r="L36322" s="7" t="n">
        <v>28</v>
      </c>
      <c r="M36322" s="20" t="s">
        <v>3</v>
      </c>
      <c r="N36322" s="45" t="n">
        <v>74</v>
      </c>
      <c r="O36322" s="7" t="n">
        <v>65</v>
      </c>
      <c r="P36322" s="20" t="s">
        <v>3</v>
      </c>
      <c r="Q36322" s="7" t="n">
        <v>0</v>
      </c>
      <c r="R36322" s="7" t="n">
        <v>1</v>
      </c>
      <c r="S36322" s="7" t="n">
        <v>3</v>
      </c>
      <c r="T36322" s="7" t="n">
        <v>9</v>
      </c>
      <c r="U36322" s="7" t="n">
        <v>28</v>
      </c>
      <c r="V36322" s="20" t="s">
        <v>3</v>
      </c>
      <c r="W36322" s="45" t="n">
        <v>74</v>
      </c>
      <c r="X36322" s="7" t="n">
        <v>65</v>
      </c>
      <c r="Y36322" s="20" t="s">
        <v>3</v>
      </c>
      <c r="Z36322" s="7" t="n">
        <v>0</v>
      </c>
      <c r="AA36322" s="7" t="n">
        <v>2</v>
      </c>
      <c r="AB36322" s="7" t="n">
        <v>3</v>
      </c>
      <c r="AC36322" s="7" t="n">
        <v>9</v>
      </c>
      <c r="AD36322" s="7" t="n">
        <v>1</v>
      </c>
      <c r="AE36322" s="11" t="n">
        <f t="normal" ca="1">A36326</f>
        <v>0</v>
      </c>
    </row>
    <row r="36323" spans="1:23">
      <c r="A36323" t="s">
        <v>4</v>
      </c>
      <c r="B36323" s="4" t="s">
        <v>5</v>
      </c>
      <c r="C36323" s="4" t="s">
        <v>11</v>
      </c>
      <c r="D36323" s="4" t="s">
        <v>7</v>
      </c>
      <c r="E36323" s="4" t="s">
        <v>7</v>
      </c>
      <c r="F36323" s="4" t="s">
        <v>8</v>
      </c>
    </row>
    <row r="36324" spans="1:23">
      <c r="A36324" t="n">
        <v>357431</v>
      </c>
      <c r="B36324" s="41" t="n">
        <v>47</v>
      </c>
      <c r="C36324" s="7" t="n">
        <v>61456</v>
      </c>
      <c r="D36324" s="7" t="n">
        <v>0</v>
      </c>
      <c r="E36324" s="7" t="n">
        <v>0</v>
      </c>
      <c r="F36324" s="7" t="s">
        <v>106</v>
      </c>
    </row>
    <row r="36325" spans="1:23">
      <c r="A36325" t="s">
        <v>4</v>
      </c>
      <c r="B36325" s="4" t="s">
        <v>5</v>
      </c>
      <c r="C36325" s="4" t="s">
        <v>7</v>
      </c>
      <c r="D36325" s="4" t="s">
        <v>11</v>
      </c>
      <c r="E36325" s="4" t="s">
        <v>13</v>
      </c>
    </row>
    <row r="36326" spans="1:23">
      <c r="A36326" t="n">
        <v>357444</v>
      </c>
      <c r="B36326" s="23" t="n">
        <v>58</v>
      </c>
      <c r="C36326" s="7" t="n">
        <v>0</v>
      </c>
      <c r="D36326" s="7" t="n">
        <v>300</v>
      </c>
      <c r="E36326" s="7" t="n">
        <v>1</v>
      </c>
    </row>
    <row r="36327" spans="1:23">
      <c r="A36327" t="s">
        <v>4</v>
      </c>
      <c r="B36327" s="4" t="s">
        <v>5</v>
      </c>
      <c r="C36327" s="4" t="s">
        <v>7</v>
      </c>
      <c r="D36327" s="4" t="s">
        <v>11</v>
      </c>
    </row>
    <row r="36328" spans="1:23">
      <c r="A36328" t="n">
        <v>357452</v>
      </c>
      <c r="B36328" s="23" t="n">
        <v>58</v>
      </c>
      <c r="C36328" s="7" t="n">
        <v>255</v>
      </c>
      <c r="D36328" s="7" t="n">
        <v>0</v>
      </c>
    </row>
    <row r="36329" spans="1:23">
      <c r="A36329" t="s">
        <v>4</v>
      </c>
      <c r="B36329" s="4" t="s">
        <v>5</v>
      </c>
      <c r="C36329" s="4" t="s">
        <v>7</v>
      </c>
      <c r="D36329" s="4" t="s">
        <v>7</v>
      </c>
      <c r="E36329" s="4" t="s">
        <v>7</v>
      </c>
      <c r="F36329" s="4" t="s">
        <v>7</v>
      </c>
    </row>
    <row r="36330" spans="1:23">
      <c r="A36330" t="n">
        <v>357456</v>
      </c>
      <c r="B36330" s="9" t="n">
        <v>14</v>
      </c>
      <c r="C36330" s="7" t="n">
        <v>0</v>
      </c>
      <c r="D36330" s="7" t="n">
        <v>0</v>
      </c>
      <c r="E36330" s="7" t="n">
        <v>0</v>
      </c>
      <c r="F36330" s="7" t="n">
        <v>64</v>
      </c>
    </row>
    <row r="36331" spans="1:23">
      <c r="A36331" t="s">
        <v>4</v>
      </c>
      <c r="B36331" s="4" t="s">
        <v>5</v>
      </c>
      <c r="C36331" s="4" t="s">
        <v>7</v>
      </c>
      <c r="D36331" s="4" t="s">
        <v>11</v>
      </c>
    </row>
    <row r="36332" spans="1:23">
      <c r="A36332" t="n">
        <v>357461</v>
      </c>
      <c r="B36332" s="22" t="n">
        <v>22</v>
      </c>
      <c r="C36332" s="7" t="n">
        <v>0</v>
      </c>
      <c r="D36332" s="7" t="n">
        <v>36880</v>
      </c>
    </row>
    <row r="36333" spans="1:23">
      <c r="A36333" t="s">
        <v>4</v>
      </c>
      <c r="B36333" s="4" t="s">
        <v>5</v>
      </c>
      <c r="C36333" s="4" t="s">
        <v>7</v>
      </c>
      <c r="D36333" s="4" t="s">
        <v>11</v>
      </c>
    </row>
    <row r="36334" spans="1:23">
      <c r="A36334" t="n">
        <v>357465</v>
      </c>
      <c r="B36334" s="23" t="n">
        <v>58</v>
      </c>
      <c r="C36334" s="7" t="n">
        <v>5</v>
      </c>
      <c r="D36334" s="7" t="n">
        <v>300</v>
      </c>
    </row>
    <row r="36335" spans="1:23">
      <c r="A36335" t="s">
        <v>4</v>
      </c>
      <c r="B36335" s="4" t="s">
        <v>5</v>
      </c>
      <c r="C36335" s="4" t="s">
        <v>13</v>
      </c>
      <c r="D36335" s="4" t="s">
        <v>11</v>
      </c>
    </row>
    <row r="36336" spans="1:23">
      <c r="A36336" t="n">
        <v>357469</v>
      </c>
      <c r="B36336" s="46" t="n">
        <v>103</v>
      </c>
      <c r="C36336" s="7" t="n">
        <v>0</v>
      </c>
      <c r="D36336" s="7" t="n">
        <v>300</v>
      </c>
    </row>
    <row r="36337" spans="1:31">
      <c r="A36337" t="s">
        <v>4</v>
      </c>
      <c r="B36337" s="4" t="s">
        <v>5</v>
      </c>
      <c r="C36337" s="4" t="s">
        <v>7</v>
      </c>
    </row>
    <row r="36338" spans="1:31">
      <c r="A36338" t="n">
        <v>357476</v>
      </c>
      <c r="B36338" s="47" t="n">
        <v>64</v>
      </c>
      <c r="C36338" s="7" t="n">
        <v>7</v>
      </c>
    </row>
    <row r="36339" spans="1:31">
      <c r="A36339" t="s">
        <v>4</v>
      </c>
      <c r="B36339" s="4" t="s">
        <v>5</v>
      </c>
      <c r="C36339" s="4" t="s">
        <v>7</v>
      </c>
      <c r="D36339" s="4" t="s">
        <v>11</v>
      </c>
    </row>
    <row r="36340" spans="1:31">
      <c r="A36340" t="n">
        <v>357478</v>
      </c>
      <c r="B36340" s="48" t="n">
        <v>72</v>
      </c>
      <c r="C36340" s="7" t="n">
        <v>5</v>
      </c>
      <c r="D36340" s="7" t="n">
        <v>0</v>
      </c>
    </row>
    <row r="36341" spans="1:31">
      <c r="A36341" t="s">
        <v>4</v>
      </c>
      <c r="B36341" s="4" t="s">
        <v>5</v>
      </c>
      <c r="C36341" s="4" t="s">
        <v>7</v>
      </c>
      <c r="D36341" s="20" t="s">
        <v>35</v>
      </c>
      <c r="E36341" s="4" t="s">
        <v>5</v>
      </c>
      <c r="F36341" s="4" t="s">
        <v>7</v>
      </c>
      <c r="G36341" s="4" t="s">
        <v>11</v>
      </c>
      <c r="H36341" s="20" t="s">
        <v>36</v>
      </c>
      <c r="I36341" s="4" t="s">
        <v>7</v>
      </c>
      <c r="J36341" s="4" t="s">
        <v>15</v>
      </c>
      <c r="K36341" s="4" t="s">
        <v>7</v>
      </c>
      <c r="L36341" s="4" t="s">
        <v>7</v>
      </c>
      <c r="M36341" s="4" t="s">
        <v>12</v>
      </c>
    </row>
    <row r="36342" spans="1:31">
      <c r="A36342" t="n">
        <v>357482</v>
      </c>
      <c r="B36342" s="10" t="n">
        <v>5</v>
      </c>
      <c r="C36342" s="7" t="n">
        <v>28</v>
      </c>
      <c r="D36342" s="20" t="s">
        <v>3</v>
      </c>
      <c r="E36342" s="8" t="n">
        <v>162</v>
      </c>
      <c r="F36342" s="7" t="n">
        <v>4</v>
      </c>
      <c r="G36342" s="7" t="n">
        <v>36880</v>
      </c>
      <c r="H36342" s="20" t="s">
        <v>3</v>
      </c>
      <c r="I36342" s="7" t="n">
        <v>0</v>
      </c>
      <c r="J36342" s="7" t="n">
        <v>1</v>
      </c>
      <c r="K36342" s="7" t="n">
        <v>2</v>
      </c>
      <c r="L36342" s="7" t="n">
        <v>1</v>
      </c>
      <c r="M36342" s="11" t="n">
        <f t="normal" ca="1">A36348</f>
        <v>0</v>
      </c>
    </row>
    <row r="36343" spans="1:31">
      <c r="A36343" t="s">
        <v>4</v>
      </c>
      <c r="B36343" s="4" t="s">
        <v>5</v>
      </c>
      <c r="C36343" s="4" t="s">
        <v>7</v>
      </c>
      <c r="D36343" s="4" t="s">
        <v>8</v>
      </c>
    </row>
    <row r="36344" spans="1:31">
      <c r="A36344" t="n">
        <v>357499</v>
      </c>
      <c r="B36344" s="6" t="n">
        <v>2</v>
      </c>
      <c r="C36344" s="7" t="n">
        <v>10</v>
      </c>
      <c r="D36344" s="7" t="s">
        <v>107</v>
      </c>
    </row>
    <row r="36345" spans="1:31">
      <c r="A36345" t="s">
        <v>4</v>
      </c>
      <c r="B36345" s="4" t="s">
        <v>5</v>
      </c>
      <c r="C36345" s="4" t="s">
        <v>11</v>
      </c>
    </row>
    <row r="36346" spans="1:31">
      <c r="A36346" t="n">
        <v>357516</v>
      </c>
      <c r="B36346" s="29" t="n">
        <v>16</v>
      </c>
      <c r="C36346" s="7" t="n">
        <v>0</v>
      </c>
    </row>
    <row r="36347" spans="1:31">
      <c r="A36347" t="s">
        <v>4</v>
      </c>
      <c r="B36347" s="4" t="s">
        <v>5</v>
      </c>
      <c r="C36347" s="4" t="s">
        <v>7</v>
      </c>
      <c r="D36347" s="4" t="s">
        <v>11</v>
      </c>
      <c r="E36347" s="4" t="s">
        <v>11</v>
      </c>
      <c r="F36347" s="4" t="s">
        <v>11</v>
      </c>
      <c r="G36347" s="4" t="s">
        <v>11</v>
      </c>
      <c r="H36347" s="4" t="s">
        <v>11</v>
      </c>
      <c r="I36347" s="4" t="s">
        <v>11</v>
      </c>
      <c r="J36347" s="4" t="s">
        <v>11</v>
      </c>
      <c r="K36347" s="4" t="s">
        <v>11</v>
      </c>
      <c r="L36347" s="4" t="s">
        <v>11</v>
      </c>
      <c r="M36347" s="4" t="s">
        <v>11</v>
      </c>
      <c r="N36347" s="4" t="s">
        <v>15</v>
      </c>
      <c r="O36347" s="4" t="s">
        <v>15</v>
      </c>
      <c r="P36347" s="4" t="s">
        <v>15</v>
      </c>
      <c r="Q36347" s="4" t="s">
        <v>15</v>
      </c>
      <c r="R36347" s="4" t="s">
        <v>7</v>
      </c>
      <c r="S36347" s="4" t="s">
        <v>8</v>
      </c>
    </row>
    <row r="36348" spans="1:31">
      <c r="A36348" t="n">
        <v>357519</v>
      </c>
      <c r="B36348" s="24" t="n">
        <v>75</v>
      </c>
      <c r="C36348" s="7" t="n">
        <v>0</v>
      </c>
      <c r="D36348" s="7" t="n">
        <v>484</v>
      </c>
      <c r="E36348" s="7" t="n">
        <v>328</v>
      </c>
      <c r="F36348" s="7" t="n">
        <v>996</v>
      </c>
      <c r="G36348" s="7" t="n">
        <v>392</v>
      </c>
      <c r="H36348" s="7" t="n">
        <v>0</v>
      </c>
      <c r="I36348" s="7" t="n">
        <v>0</v>
      </c>
      <c r="J36348" s="7" t="n">
        <v>0</v>
      </c>
      <c r="K36348" s="7" t="n">
        <v>448</v>
      </c>
      <c r="L36348" s="7" t="n">
        <v>512</v>
      </c>
      <c r="M36348" s="7" t="n">
        <v>512</v>
      </c>
      <c r="N36348" s="7" t="n">
        <v>1065353216</v>
      </c>
      <c r="O36348" s="7" t="n">
        <v>1065353216</v>
      </c>
      <c r="P36348" s="7" t="n">
        <v>1065353216</v>
      </c>
      <c r="Q36348" s="7" t="n">
        <v>0</v>
      </c>
      <c r="R36348" s="7" t="n">
        <v>0</v>
      </c>
      <c r="S36348" s="7" t="s">
        <v>271</v>
      </c>
    </row>
    <row r="36349" spans="1:31">
      <c r="A36349" t="s">
        <v>4</v>
      </c>
      <c r="B36349" s="4" t="s">
        <v>5</v>
      </c>
      <c r="C36349" s="4" t="s">
        <v>11</v>
      </c>
      <c r="D36349" s="4" t="s">
        <v>8</v>
      </c>
      <c r="E36349" s="4" t="s">
        <v>8</v>
      </c>
      <c r="F36349" s="4" t="s">
        <v>8</v>
      </c>
      <c r="G36349" s="4" t="s">
        <v>7</v>
      </c>
      <c r="H36349" s="4" t="s">
        <v>15</v>
      </c>
      <c r="I36349" s="4" t="s">
        <v>13</v>
      </c>
      <c r="J36349" s="4" t="s">
        <v>13</v>
      </c>
      <c r="K36349" s="4" t="s">
        <v>13</v>
      </c>
      <c r="L36349" s="4" t="s">
        <v>13</v>
      </c>
      <c r="M36349" s="4" t="s">
        <v>13</v>
      </c>
      <c r="N36349" s="4" t="s">
        <v>13</v>
      </c>
      <c r="O36349" s="4" t="s">
        <v>13</v>
      </c>
      <c r="P36349" s="4" t="s">
        <v>8</v>
      </c>
      <c r="Q36349" s="4" t="s">
        <v>8</v>
      </c>
      <c r="R36349" s="4" t="s">
        <v>15</v>
      </c>
      <c r="S36349" s="4" t="s">
        <v>7</v>
      </c>
      <c r="T36349" s="4" t="s">
        <v>15</v>
      </c>
      <c r="U36349" s="4" t="s">
        <v>15</v>
      </c>
      <c r="V36349" s="4" t="s">
        <v>11</v>
      </c>
    </row>
    <row r="36350" spans="1:31">
      <c r="A36350" t="n">
        <v>357568</v>
      </c>
      <c r="B36350" s="62" t="n">
        <v>19</v>
      </c>
      <c r="C36350" s="7" t="n">
        <v>6</v>
      </c>
      <c r="D36350" s="7" t="s">
        <v>1064</v>
      </c>
      <c r="E36350" s="7" t="s">
        <v>1065</v>
      </c>
      <c r="F36350" s="7" t="s">
        <v>16</v>
      </c>
      <c r="G36350" s="7" t="n">
        <v>0</v>
      </c>
      <c r="H36350" s="7" t="n">
        <v>1</v>
      </c>
      <c r="I36350" s="7" t="n">
        <v>0</v>
      </c>
      <c r="J36350" s="7" t="n">
        <v>0</v>
      </c>
      <c r="K36350" s="7" t="n">
        <v>0</v>
      </c>
      <c r="L36350" s="7" t="n">
        <v>0</v>
      </c>
      <c r="M36350" s="7" t="n">
        <v>1</v>
      </c>
      <c r="N36350" s="7" t="n">
        <v>1.60000002384186</v>
      </c>
      <c r="O36350" s="7" t="n">
        <v>0.0900000035762787</v>
      </c>
      <c r="P36350" s="7" t="s">
        <v>16</v>
      </c>
      <c r="Q36350" s="7" t="s">
        <v>16</v>
      </c>
      <c r="R36350" s="7" t="n">
        <v>-1</v>
      </c>
      <c r="S36350" s="7" t="n">
        <v>0</v>
      </c>
      <c r="T36350" s="7" t="n">
        <v>0</v>
      </c>
      <c r="U36350" s="7" t="n">
        <v>0</v>
      </c>
      <c r="V36350" s="7" t="n">
        <v>0</v>
      </c>
    </row>
    <row r="36351" spans="1:31">
      <c r="A36351" t="s">
        <v>4</v>
      </c>
      <c r="B36351" s="4" t="s">
        <v>5</v>
      </c>
      <c r="C36351" s="4" t="s">
        <v>11</v>
      </c>
      <c r="D36351" s="4" t="s">
        <v>7</v>
      </c>
      <c r="E36351" s="4" t="s">
        <v>7</v>
      </c>
      <c r="F36351" s="4" t="s">
        <v>8</v>
      </c>
    </row>
    <row r="36352" spans="1:31">
      <c r="A36352" t="n">
        <v>357641</v>
      </c>
      <c r="B36352" s="50" t="n">
        <v>20</v>
      </c>
      <c r="C36352" s="7" t="n">
        <v>0</v>
      </c>
      <c r="D36352" s="7" t="n">
        <v>3</v>
      </c>
      <c r="E36352" s="7" t="n">
        <v>10</v>
      </c>
      <c r="F36352" s="7" t="s">
        <v>108</v>
      </c>
    </row>
    <row r="36353" spans="1:22">
      <c r="A36353" t="s">
        <v>4</v>
      </c>
      <c r="B36353" s="4" t="s">
        <v>5</v>
      </c>
      <c r="C36353" s="4" t="s">
        <v>11</v>
      </c>
    </row>
    <row r="36354" spans="1:22">
      <c r="A36354" t="n">
        <v>357659</v>
      </c>
      <c r="B36354" s="29" t="n">
        <v>16</v>
      </c>
      <c r="C36354" s="7" t="n">
        <v>0</v>
      </c>
    </row>
    <row r="36355" spans="1:22">
      <c r="A36355" t="s">
        <v>4</v>
      </c>
      <c r="B36355" s="4" t="s">
        <v>5</v>
      </c>
      <c r="C36355" s="4" t="s">
        <v>11</v>
      </c>
      <c r="D36355" s="4" t="s">
        <v>7</v>
      </c>
      <c r="E36355" s="4" t="s">
        <v>7</v>
      </c>
      <c r="F36355" s="4" t="s">
        <v>8</v>
      </c>
    </row>
    <row r="36356" spans="1:22">
      <c r="A36356" t="n">
        <v>357662</v>
      </c>
      <c r="B36356" s="50" t="n">
        <v>20</v>
      </c>
      <c r="C36356" s="7" t="n">
        <v>6</v>
      </c>
      <c r="D36356" s="7" t="n">
        <v>3</v>
      </c>
      <c r="E36356" s="7" t="n">
        <v>10</v>
      </c>
      <c r="F36356" s="7" t="s">
        <v>108</v>
      </c>
    </row>
    <row r="36357" spans="1:22">
      <c r="A36357" t="s">
        <v>4</v>
      </c>
      <c r="B36357" s="4" t="s">
        <v>5</v>
      </c>
      <c r="C36357" s="4" t="s">
        <v>11</v>
      </c>
    </row>
    <row r="36358" spans="1:22">
      <c r="A36358" t="n">
        <v>357680</v>
      </c>
      <c r="B36358" s="29" t="n">
        <v>16</v>
      </c>
      <c r="C36358" s="7" t="n">
        <v>0</v>
      </c>
    </row>
    <row r="36359" spans="1:22">
      <c r="A36359" t="s">
        <v>4</v>
      </c>
      <c r="B36359" s="4" t="s">
        <v>5</v>
      </c>
      <c r="C36359" s="4" t="s">
        <v>11</v>
      </c>
      <c r="D36359" s="4" t="s">
        <v>15</v>
      </c>
    </row>
    <row r="36360" spans="1:22">
      <c r="A36360" t="n">
        <v>357683</v>
      </c>
      <c r="B36360" s="39" t="n">
        <v>43</v>
      </c>
      <c r="C36360" s="7" t="n">
        <v>6</v>
      </c>
      <c r="D36360" s="7" t="n">
        <v>1</v>
      </c>
    </row>
    <row r="36361" spans="1:22">
      <c r="A36361" t="s">
        <v>4</v>
      </c>
      <c r="B36361" s="4" t="s">
        <v>5</v>
      </c>
      <c r="C36361" s="4" t="s">
        <v>7</v>
      </c>
    </row>
    <row r="36362" spans="1:22">
      <c r="A36362" t="n">
        <v>357690</v>
      </c>
      <c r="B36362" s="49" t="n">
        <v>116</v>
      </c>
      <c r="C36362" s="7" t="n">
        <v>0</v>
      </c>
    </row>
    <row r="36363" spans="1:22">
      <c r="A36363" t="s">
        <v>4</v>
      </c>
      <c r="B36363" s="4" t="s">
        <v>5</v>
      </c>
      <c r="C36363" s="4" t="s">
        <v>7</v>
      </c>
      <c r="D36363" s="4" t="s">
        <v>11</v>
      </c>
    </row>
    <row r="36364" spans="1:22">
      <c r="A36364" t="n">
        <v>357692</v>
      </c>
      <c r="B36364" s="49" t="n">
        <v>116</v>
      </c>
      <c r="C36364" s="7" t="n">
        <v>2</v>
      </c>
      <c r="D36364" s="7" t="n">
        <v>1</v>
      </c>
    </row>
    <row r="36365" spans="1:22">
      <c r="A36365" t="s">
        <v>4</v>
      </c>
      <c r="B36365" s="4" t="s">
        <v>5</v>
      </c>
      <c r="C36365" s="4" t="s">
        <v>7</v>
      </c>
      <c r="D36365" s="4" t="s">
        <v>15</v>
      </c>
    </row>
    <row r="36366" spans="1:22">
      <c r="A36366" t="n">
        <v>357696</v>
      </c>
      <c r="B36366" s="49" t="n">
        <v>116</v>
      </c>
      <c r="C36366" s="7" t="n">
        <v>5</v>
      </c>
      <c r="D36366" s="7" t="n">
        <v>1106247680</v>
      </c>
    </row>
    <row r="36367" spans="1:22">
      <c r="A36367" t="s">
        <v>4</v>
      </c>
      <c r="B36367" s="4" t="s">
        <v>5</v>
      </c>
      <c r="C36367" s="4" t="s">
        <v>7</v>
      </c>
      <c r="D36367" s="4" t="s">
        <v>11</v>
      </c>
    </row>
    <row r="36368" spans="1:22">
      <c r="A36368" t="n">
        <v>357702</v>
      </c>
      <c r="B36368" s="49" t="n">
        <v>116</v>
      </c>
      <c r="C36368" s="7" t="n">
        <v>6</v>
      </c>
      <c r="D36368" s="7" t="n">
        <v>1</v>
      </c>
    </row>
    <row r="36369" spans="1:6">
      <c r="A36369" t="s">
        <v>4</v>
      </c>
      <c r="B36369" s="4" t="s">
        <v>5</v>
      </c>
      <c r="C36369" s="4" t="s">
        <v>7</v>
      </c>
      <c r="D36369" s="4" t="s">
        <v>11</v>
      </c>
      <c r="E36369" s="4" t="s">
        <v>11</v>
      </c>
      <c r="F36369" s="4" t="s">
        <v>15</v>
      </c>
    </row>
    <row r="36370" spans="1:6">
      <c r="A36370" t="n">
        <v>357706</v>
      </c>
      <c r="B36370" s="76" t="n">
        <v>84</v>
      </c>
      <c r="C36370" s="7" t="n">
        <v>0</v>
      </c>
      <c r="D36370" s="7" t="n">
        <v>0</v>
      </c>
      <c r="E36370" s="7" t="n">
        <v>0</v>
      </c>
      <c r="F36370" s="7" t="n">
        <v>1045220557</v>
      </c>
    </row>
    <row r="36371" spans="1:6">
      <c r="A36371" t="s">
        <v>4</v>
      </c>
      <c r="B36371" s="4" t="s">
        <v>5</v>
      </c>
      <c r="C36371" s="4" t="s">
        <v>11</v>
      </c>
      <c r="D36371" s="4" t="s">
        <v>13</v>
      </c>
      <c r="E36371" s="4" t="s">
        <v>13</v>
      </c>
      <c r="F36371" s="4" t="s">
        <v>13</v>
      </c>
      <c r="G36371" s="4" t="s">
        <v>13</v>
      </c>
    </row>
    <row r="36372" spans="1:6">
      <c r="A36372" t="n">
        <v>357716</v>
      </c>
      <c r="B36372" s="36" t="n">
        <v>46</v>
      </c>
      <c r="C36372" s="7" t="n">
        <v>6</v>
      </c>
      <c r="D36372" s="7" t="n">
        <v>7.6100001335144</v>
      </c>
      <c r="E36372" s="7" t="n">
        <v>0</v>
      </c>
      <c r="F36372" s="7" t="n">
        <v>46.0200004577637</v>
      </c>
      <c r="G36372" s="7" t="n">
        <v>272.200012207031</v>
      </c>
    </row>
    <row r="36373" spans="1:6">
      <c r="A36373" t="s">
        <v>4</v>
      </c>
      <c r="B36373" s="4" t="s">
        <v>5</v>
      </c>
      <c r="C36373" s="4" t="s">
        <v>11</v>
      </c>
      <c r="D36373" s="4" t="s">
        <v>13</v>
      </c>
      <c r="E36373" s="4" t="s">
        <v>13</v>
      </c>
      <c r="F36373" s="4" t="s">
        <v>13</v>
      </c>
      <c r="G36373" s="4" t="s">
        <v>13</v>
      </c>
    </row>
    <row r="36374" spans="1:6">
      <c r="A36374" t="n">
        <v>357735</v>
      </c>
      <c r="B36374" s="36" t="n">
        <v>46</v>
      </c>
      <c r="C36374" s="7" t="n">
        <v>0</v>
      </c>
      <c r="D36374" s="7" t="n">
        <v>4.78000020980835</v>
      </c>
      <c r="E36374" s="7" t="n">
        <v>0</v>
      </c>
      <c r="F36374" s="7" t="n">
        <v>45.3300018310547</v>
      </c>
      <c r="G36374" s="7" t="n">
        <v>-102.300003051758</v>
      </c>
    </row>
    <row r="36375" spans="1:6">
      <c r="A36375" t="s">
        <v>4</v>
      </c>
      <c r="B36375" s="4" t="s">
        <v>5</v>
      </c>
      <c r="C36375" s="4" t="s">
        <v>11</v>
      </c>
      <c r="D36375" s="4" t="s">
        <v>7</v>
      </c>
      <c r="E36375" s="4" t="s">
        <v>8</v>
      </c>
      <c r="F36375" s="4" t="s">
        <v>13</v>
      </c>
      <c r="G36375" s="4" t="s">
        <v>13</v>
      </c>
      <c r="H36375" s="4" t="s">
        <v>13</v>
      </c>
    </row>
    <row r="36376" spans="1:6">
      <c r="A36376" t="n">
        <v>357754</v>
      </c>
      <c r="B36376" s="42" t="n">
        <v>48</v>
      </c>
      <c r="C36376" s="7" t="n">
        <v>0</v>
      </c>
      <c r="D36376" s="7" t="n">
        <v>0</v>
      </c>
      <c r="E36376" s="7" t="s">
        <v>275</v>
      </c>
      <c r="F36376" s="7" t="n">
        <v>0</v>
      </c>
      <c r="G36376" s="7" t="n">
        <v>1</v>
      </c>
      <c r="H36376" s="7" t="n">
        <v>0</v>
      </c>
    </row>
    <row r="36377" spans="1:6">
      <c r="A36377" t="s">
        <v>4</v>
      </c>
      <c r="B36377" s="4" t="s">
        <v>5</v>
      </c>
      <c r="C36377" s="4" t="s">
        <v>7</v>
      </c>
      <c r="D36377" s="4" t="s">
        <v>11</v>
      </c>
      <c r="E36377" s="4" t="s">
        <v>8</v>
      </c>
      <c r="F36377" s="4" t="s">
        <v>8</v>
      </c>
      <c r="G36377" s="4" t="s">
        <v>8</v>
      </c>
      <c r="H36377" s="4" t="s">
        <v>8</v>
      </c>
    </row>
    <row r="36378" spans="1:6">
      <c r="A36378" t="n">
        <v>357779</v>
      </c>
      <c r="B36378" s="38" t="n">
        <v>51</v>
      </c>
      <c r="C36378" s="7" t="n">
        <v>3</v>
      </c>
      <c r="D36378" s="7" t="n">
        <v>0</v>
      </c>
      <c r="E36378" s="7" t="s">
        <v>101</v>
      </c>
      <c r="F36378" s="7" t="s">
        <v>99</v>
      </c>
      <c r="G36378" s="7" t="s">
        <v>78</v>
      </c>
      <c r="H36378" s="7" t="s">
        <v>79</v>
      </c>
    </row>
    <row r="36379" spans="1:6">
      <c r="A36379" t="s">
        <v>4</v>
      </c>
      <c r="B36379" s="4" t="s">
        <v>5</v>
      </c>
      <c r="C36379" s="4" t="s">
        <v>7</v>
      </c>
      <c r="D36379" s="4" t="s">
        <v>11</v>
      </c>
      <c r="E36379" s="4" t="s">
        <v>8</v>
      </c>
      <c r="F36379" s="4" t="s">
        <v>8</v>
      </c>
      <c r="G36379" s="4" t="s">
        <v>8</v>
      </c>
      <c r="H36379" s="4" t="s">
        <v>8</v>
      </c>
    </row>
    <row r="36380" spans="1:6">
      <c r="A36380" t="n">
        <v>357800</v>
      </c>
      <c r="B36380" s="38" t="n">
        <v>51</v>
      </c>
      <c r="C36380" s="7" t="n">
        <v>3</v>
      </c>
      <c r="D36380" s="7" t="n">
        <v>6</v>
      </c>
      <c r="E36380" s="7" t="s">
        <v>101</v>
      </c>
      <c r="F36380" s="7" t="s">
        <v>99</v>
      </c>
      <c r="G36380" s="7" t="s">
        <v>78</v>
      </c>
      <c r="H36380" s="7" t="s">
        <v>79</v>
      </c>
    </row>
    <row r="36381" spans="1:6">
      <c r="A36381" t="s">
        <v>4</v>
      </c>
      <c r="B36381" s="4" t="s">
        <v>5</v>
      </c>
      <c r="C36381" s="4" t="s">
        <v>7</v>
      </c>
      <c r="D36381" s="4" t="s">
        <v>11</v>
      </c>
      <c r="E36381" s="4" t="s">
        <v>7</v>
      </c>
      <c r="F36381" s="4" t="s">
        <v>8</v>
      </c>
      <c r="G36381" s="4" t="s">
        <v>8</v>
      </c>
      <c r="H36381" s="4" t="s">
        <v>8</v>
      </c>
      <c r="I36381" s="4" t="s">
        <v>8</v>
      </c>
      <c r="J36381" s="4" t="s">
        <v>8</v>
      </c>
      <c r="K36381" s="4" t="s">
        <v>8</v>
      </c>
      <c r="L36381" s="4" t="s">
        <v>8</v>
      </c>
      <c r="M36381" s="4" t="s">
        <v>8</v>
      </c>
      <c r="N36381" s="4" t="s">
        <v>8</v>
      </c>
      <c r="O36381" s="4" t="s">
        <v>8</v>
      </c>
      <c r="P36381" s="4" t="s">
        <v>8</v>
      </c>
      <c r="Q36381" s="4" t="s">
        <v>8</v>
      </c>
      <c r="R36381" s="4" t="s">
        <v>8</v>
      </c>
      <c r="S36381" s="4" t="s">
        <v>8</v>
      </c>
      <c r="T36381" s="4" t="s">
        <v>8</v>
      </c>
      <c r="U36381" s="4" t="s">
        <v>8</v>
      </c>
    </row>
    <row r="36382" spans="1:6">
      <c r="A36382" t="n">
        <v>357821</v>
      </c>
      <c r="B36382" s="40" t="n">
        <v>36</v>
      </c>
      <c r="C36382" s="7" t="n">
        <v>8</v>
      </c>
      <c r="D36382" s="7" t="n">
        <v>0</v>
      </c>
      <c r="E36382" s="7" t="n">
        <v>0</v>
      </c>
      <c r="F36382" s="7" t="s">
        <v>1066</v>
      </c>
      <c r="G36382" s="7" t="s">
        <v>16</v>
      </c>
      <c r="H36382" s="7" t="s">
        <v>16</v>
      </c>
      <c r="I36382" s="7" t="s">
        <v>16</v>
      </c>
      <c r="J36382" s="7" t="s">
        <v>16</v>
      </c>
      <c r="K36382" s="7" t="s">
        <v>16</v>
      </c>
      <c r="L36382" s="7" t="s">
        <v>16</v>
      </c>
      <c r="M36382" s="7" t="s">
        <v>16</v>
      </c>
      <c r="N36382" s="7" t="s">
        <v>16</v>
      </c>
      <c r="O36382" s="7" t="s">
        <v>16</v>
      </c>
      <c r="P36382" s="7" t="s">
        <v>16</v>
      </c>
      <c r="Q36382" s="7" t="s">
        <v>16</v>
      </c>
      <c r="R36382" s="7" t="s">
        <v>16</v>
      </c>
      <c r="S36382" s="7" t="s">
        <v>16</v>
      </c>
      <c r="T36382" s="7" t="s">
        <v>16</v>
      </c>
      <c r="U36382" s="7" t="s">
        <v>16</v>
      </c>
    </row>
    <row r="36383" spans="1:6">
      <c r="A36383" t="s">
        <v>4</v>
      </c>
      <c r="B36383" s="4" t="s">
        <v>5</v>
      </c>
      <c r="C36383" s="4" t="s">
        <v>7</v>
      </c>
      <c r="D36383" s="4" t="s">
        <v>11</v>
      </c>
      <c r="E36383" s="4" t="s">
        <v>7</v>
      </c>
      <c r="F36383" s="4" t="s">
        <v>8</v>
      </c>
      <c r="G36383" s="4" t="s">
        <v>8</v>
      </c>
      <c r="H36383" s="4" t="s">
        <v>8</v>
      </c>
      <c r="I36383" s="4" t="s">
        <v>8</v>
      </c>
      <c r="J36383" s="4" t="s">
        <v>8</v>
      </c>
      <c r="K36383" s="4" t="s">
        <v>8</v>
      </c>
      <c r="L36383" s="4" t="s">
        <v>8</v>
      </c>
      <c r="M36383" s="4" t="s">
        <v>8</v>
      </c>
      <c r="N36383" s="4" t="s">
        <v>8</v>
      </c>
      <c r="O36383" s="4" t="s">
        <v>8</v>
      </c>
      <c r="P36383" s="4" t="s">
        <v>8</v>
      </c>
      <c r="Q36383" s="4" t="s">
        <v>8</v>
      </c>
      <c r="R36383" s="4" t="s">
        <v>8</v>
      </c>
      <c r="S36383" s="4" t="s">
        <v>8</v>
      </c>
      <c r="T36383" s="4" t="s">
        <v>8</v>
      </c>
      <c r="U36383" s="4" t="s">
        <v>8</v>
      </c>
    </row>
    <row r="36384" spans="1:6">
      <c r="A36384" t="n">
        <v>357851</v>
      </c>
      <c r="B36384" s="40" t="n">
        <v>36</v>
      </c>
      <c r="C36384" s="7" t="n">
        <v>8</v>
      </c>
      <c r="D36384" s="7" t="n">
        <v>6</v>
      </c>
      <c r="E36384" s="7" t="n">
        <v>0</v>
      </c>
      <c r="F36384" s="7" t="s">
        <v>1066</v>
      </c>
      <c r="G36384" s="7" t="s">
        <v>16</v>
      </c>
      <c r="H36384" s="7" t="s">
        <v>16</v>
      </c>
      <c r="I36384" s="7" t="s">
        <v>16</v>
      </c>
      <c r="J36384" s="7" t="s">
        <v>16</v>
      </c>
      <c r="K36384" s="7" t="s">
        <v>16</v>
      </c>
      <c r="L36384" s="7" t="s">
        <v>16</v>
      </c>
      <c r="M36384" s="7" t="s">
        <v>16</v>
      </c>
      <c r="N36384" s="7" t="s">
        <v>16</v>
      </c>
      <c r="O36384" s="7" t="s">
        <v>16</v>
      </c>
      <c r="P36384" s="7" t="s">
        <v>16</v>
      </c>
      <c r="Q36384" s="7" t="s">
        <v>16</v>
      </c>
      <c r="R36384" s="7" t="s">
        <v>16</v>
      </c>
      <c r="S36384" s="7" t="s">
        <v>16</v>
      </c>
      <c r="T36384" s="7" t="s">
        <v>16</v>
      </c>
      <c r="U36384" s="7" t="s">
        <v>16</v>
      </c>
    </row>
    <row r="36385" spans="1:21">
      <c r="A36385" t="s">
        <v>4</v>
      </c>
      <c r="B36385" s="4" t="s">
        <v>5</v>
      </c>
      <c r="C36385" s="4" t="s">
        <v>7</v>
      </c>
      <c r="D36385" s="4" t="s">
        <v>7</v>
      </c>
      <c r="E36385" s="4" t="s">
        <v>13</v>
      </c>
      <c r="F36385" s="4" t="s">
        <v>13</v>
      </c>
      <c r="G36385" s="4" t="s">
        <v>13</v>
      </c>
      <c r="H36385" s="4" t="s">
        <v>11</v>
      </c>
    </row>
    <row r="36386" spans="1:21">
      <c r="A36386" t="n">
        <v>357881</v>
      </c>
      <c r="B36386" s="51" t="n">
        <v>45</v>
      </c>
      <c r="C36386" s="7" t="n">
        <v>2</v>
      </c>
      <c r="D36386" s="7" t="n">
        <v>3</v>
      </c>
      <c r="E36386" s="7" t="n">
        <v>-3</v>
      </c>
      <c r="F36386" s="7" t="n">
        <v>2.89000010490417</v>
      </c>
      <c r="G36386" s="7" t="n">
        <v>41.3699989318848</v>
      </c>
      <c r="H36386" s="7" t="n">
        <v>0</v>
      </c>
    </row>
    <row r="36387" spans="1:21">
      <c r="A36387" t="s">
        <v>4</v>
      </c>
      <c r="B36387" s="4" t="s">
        <v>5</v>
      </c>
      <c r="C36387" s="4" t="s">
        <v>7</v>
      </c>
      <c r="D36387" s="4" t="s">
        <v>7</v>
      </c>
      <c r="E36387" s="4" t="s">
        <v>13</v>
      </c>
      <c r="F36387" s="4" t="s">
        <v>13</v>
      </c>
      <c r="G36387" s="4" t="s">
        <v>13</v>
      </c>
      <c r="H36387" s="4" t="s">
        <v>11</v>
      </c>
      <c r="I36387" s="4" t="s">
        <v>7</v>
      </c>
    </row>
    <row r="36388" spans="1:21">
      <c r="A36388" t="n">
        <v>357898</v>
      </c>
      <c r="B36388" s="51" t="n">
        <v>45</v>
      </c>
      <c r="C36388" s="7" t="n">
        <v>4</v>
      </c>
      <c r="D36388" s="7" t="n">
        <v>3</v>
      </c>
      <c r="E36388" s="7" t="n">
        <v>0.649999976158142</v>
      </c>
      <c r="F36388" s="7" t="n">
        <v>105.529998779297</v>
      </c>
      <c r="G36388" s="7" t="n">
        <v>0</v>
      </c>
      <c r="H36388" s="7" t="n">
        <v>0</v>
      </c>
      <c r="I36388" s="7" t="n">
        <v>0</v>
      </c>
    </row>
    <row r="36389" spans="1:21">
      <c r="A36389" t="s">
        <v>4</v>
      </c>
      <c r="B36389" s="4" t="s">
        <v>5</v>
      </c>
      <c r="C36389" s="4" t="s">
        <v>7</v>
      </c>
      <c r="D36389" s="4" t="s">
        <v>7</v>
      </c>
      <c r="E36389" s="4" t="s">
        <v>13</v>
      </c>
      <c r="F36389" s="4" t="s">
        <v>11</v>
      </c>
    </row>
    <row r="36390" spans="1:21">
      <c r="A36390" t="n">
        <v>357916</v>
      </c>
      <c r="B36390" s="51" t="n">
        <v>45</v>
      </c>
      <c r="C36390" s="7" t="n">
        <v>5</v>
      </c>
      <c r="D36390" s="7" t="n">
        <v>3</v>
      </c>
      <c r="E36390" s="7" t="n">
        <v>2.40000009536743</v>
      </c>
      <c r="F36390" s="7" t="n">
        <v>0</v>
      </c>
    </row>
    <row r="36391" spans="1:21">
      <c r="A36391" t="s">
        <v>4</v>
      </c>
      <c r="B36391" s="4" t="s">
        <v>5</v>
      </c>
      <c r="C36391" s="4" t="s">
        <v>7</v>
      </c>
      <c r="D36391" s="4" t="s">
        <v>7</v>
      </c>
      <c r="E36391" s="4" t="s">
        <v>13</v>
      </c>
      <c r="F36391" s="4" t="s">
        <v>11</v>
      </c>
    </row>
    <row r="36392" spans="1:21">
      <c r="A36392" t="n">
        <v>357925</v>
      </c>
      <c r="B36392" s="51" t="n">
        <v>45</v>
      </c>
      <c r="C36392" s="7" t="n">
        <v>11</v>
      </c>
      <c r="D36392" s="7" t="n">
        <v>3</v>
      </c>
      <c r="E36392" s="7" t="n">
        <v>33.4000015258789</v>
      </c>
      <c r="F36392" s="7" t="n">
        <v>0</v>
      </c>
    </row>
    <row r="36393" spans="1:21">
      <c r="A36393" t="s">
        <v>4</v>
      </c>
      <c r="B36393" s="4" t="s">
        <v>5</v>
      </c>
      <c r="C36393" s="4" t="s">
        <v>11</v>
      </c>
      <c r="D36393" s="4" t="s">
        <v>13</v>
      </c>
      <c r="E36393" s="4" t="s">
        <v>13</v>
      </c>
      <c r="F36393" s="4" t="s">
        <v>13</v>
      </c>
      <c r="G36393" s="4" t="s">
        <v>11</v>
      </c>
      <c r="H36393" s="4" t="s">
        <v>11</v>
      </c>
    </row>
    <row r="36394" spans="1:21">
      <c r="A36394" t="n">
        <v>357934</v>
      </c>
      <c r="B36394" s="37" t="n">
        <v>60</v>
      </c>
      <c r="C36394" s="7" t="n">
        <v>0</v>
      </c>
      <c r="D36394" s="7" t="n">
        <v>0</v>
      </c>
      <c r="E36394" s="7" t="n">
        <v>20</v>
      </c>
      <c r="F36394" s="7" t="n">
        <v>0</v>
      </c>
      <c r="G36394" s="7" t="n">
        <v>0</v>
      </c>
      <c r="H36394" s="7" t="n">
        <v>0</v>
      </c>
    </row>
    <row r="36395" spans="1:21">
      <c r="A36395" t="s">
        <v>4</v>
      </c>
      <c r="B36395" s="4" t="s">
        <v>5</v>
      </c>
      <c r="C36395" s="4" t="s">
        <v>7</v>
      </c>
      <c r="D36395" s="4" t="s">
        <v>7</v>
      </c>
      <c r="E36395" s="4" t="s">
        <v>7</v>
      </c>
      <c r="F36395" s="4" t="s">
        <v>13</v>
      </c>
      <c r="G36395" s="4" t="s">
        <v>13</v>
      </c>
      <c r="H36395" s="4" t="s">
        <v>13</v>
      </c>
      <c r="I36395" s="4" t="s">
        <v>13</v>
      </c>
      <c r="J36395" s="4" t="s">
        <v>13</v>
      </c>
    </row>
    <row r="36396" spans="1:21">
      <c r="A36396" t="n">
        <v>357953</v>
      </c>
      <c r="B36396" s="25" t="n">
        <v>76</v>
      </c>
      <c r="C36396" s="7" t="n">
        <v>0</v>
      </c>
      <c r="D36396" s="7" t="n">
        <v>3</v>
      </c>
      <c r="E36396" s="7" t="n">
        <v>2</v>
      </c>
      <c r="F36396" s="7" t="n">
        <v>1</v>
      </c>
      <c r="G36396" s="7" t="n">
        <v>1</v>
      </c>
      <c r="H36396" s="7" t="n">
        <v>1</v>
      </c>
      <c r="I36396" s="7" t="n">
        <v>1</v>
      </c>
      <c r="J36396" s="7" t="n">
        <v>2000</v>
      </c>
    </row>
    <row r="36397" spans="1:21">
      <c r="A36397" t="s">
        <v>4</v>
      </c>
      <c r="B36397" s="4" t="s">
        <v>5</v>
      </c>
      <c r="C36397" s="4" t="s">
        <v>7</v>
      </c>
      <c r="D36397" s="4" t="s">
        <v>7</v>
      </c>
      <c r="E36397" s="4" t="s">
        <v>7</v>
      </c>
      <c r="F36397" s="4" t="s">
        <v>13</v>
      </c>
      <c r="G36397" s="4" t="s">
        <v>13</v>
      </c>
      <c r="H36397" s="4" t="s">
        <v>13</v>
      </c>
      <c r="I36397" s="4" t="s">
        <v>13</v>
      </c>
      <c r="J36397" s="4" t="s">
        <v>13</v>
      </c>
    </row>
    <row r="36398" spans="1:21">
      <c r="A36398" t="n">
        <v>357977</v>
      </c>
      <c r="B36398" s="25" t="n">
        <v>76</v>
      </c>
      <c r="C36398" s="7" t="n">
        <v>0</v>
      </c>
      <c r="D36398" s="7" t="n">
        <v>0</v>
      </c>
      <c r="E36398" s="7" t="n">
        <v>2</v>
      </c>
      <c r="F36398" s="7" t="n">
        <v>64</v>
      </c>
      <c r="G36398" s="7" t="n">
        <v>0</v>
      </c>
      <c r="H36398" s="7" t="n">
        <v>2000</v>
      </c>
      <c r="I36398" s="7" t="n">
        <v>0</v>
      </c>
      <c r="J36398" s="7" t="n">
        <v>0</v>
      </c>
    </row>
    <row r="36399" spans="1:21">
      <c r="A36399" t="s">
        <v>4</v>
      </c>
      <c r="B36399" s="4" t="s">
        <v>5</v>
      </c>
      <c r="C36399" s="4" t="s">
        <v>7</v>
      </c>
      <c r="D36399" s="4" t="s">
        <v>7</v>
      </c>
    </row>
    <row r="36400" spans="1:21">
      <c r="A36400" t="n">
        <v>358001</v>
      </c>
      <c r="B36400" s="26" t="n">
        <v>77</v>
      </c>
      <c r="C36400" s="7" t="n">
        <v>0</v>
      </c>
      <c r="D36400" s="7" t="n">
        <v>3</v>
      </c>
    </row>
    <row r="36401" spans="1:10">
      <c r="A36401" t="s">
        <v>4</v>
      </c>
      <c r="B36401" s="4" t="s">
        <v>5</v>
      </c>
      <c r="C36401" s="4" t="s">
        <v>7</v>
      </c>
      <c r="D36401" s="4" t="s">
        <v>7</v>
      </c>
    </row>
    <row r="36402" spans="1:10">
      <c r="A36402" t="n">
        <v>358004</v>
      </c>
      <c r="B36402" s="26" t="n">
        <v>77</v>
      </c>
      <c r="C36402" s="7" t="n">
        <v>0</v>
      </c>
      <c r="D36402" s="7" t="n">
        <v>0</v>
      </c>
    </row>
    <row r="36403" spans="1:10">
      <c r="A36403" t="s">
        <v>4</v>
      </c>
      <c r="B36403" s="4" t="s">
        <v>5</v>
      </c>
      <c r="C36403" s="4" t="s">
        <v>11</v>
      </c>
    </row>
    <row r="36404" spans="1:10">
      <c r="A36404" t="n">
        <v>358007</v>
      </c>
      <c r="B36404" s="29" t="n">
        <v>16</v>
      </c>
      <c r="C36404" s="7" t="n">
        <v>2000</v>
      </c>
    </row>
    <row r="36405" spans="1:10">
      <c r="A36405" t="s">
        <v>4</v>
      </c>
      <c r="B36405" s="4" t="s">
        <v>5</v>
      </c>
      <c r="C36405" s="4" t="s">
        <v>7</v>
      </c>
      <c r="D36405" s="4" t="s">
        <v>11</v>
      </c>
      <c r="E36405" s="4" t="s">
        <v>15</v>
      </c>
      <c r="F36405" s="4" t="s">
        <v>11</v>
      </c>
      <c r="G36405" s="4" t="s">
        <v>15</v>
      </c>
      <c r="H36405" s="4" t="s">
        <v>7</v>
      </c>
    </row>
    <row r="36406" spans="1:10">
      <c r="A36406" t="n">
        <v>358010</v>
      </c>
      <c r="B36406" s="13" t="n">
        <v>49</v>
      </c>
      <c r="C36406" s="7" t="n">
        <v>0</v>
      </c>
      <c r="D36406" s="7" t="n">
        <v>514</v>
      </c>
      <c r="E36406" s="7" t="n">
        <v>1065353216</v>
      </c>
      <c r="F36406" s="7" t="n">
        <v>0</v>
      </c>
      <c r="G36406" s="7" t="n">
        <v>0</v>
      </c>
      <c r="H36406" s="7" t="n">
        <v>0</v>
      </c>
    </row>
    <row r="36407" spans="1:10">
      <c r="A36407" t="s">
        <v>4</v>
      </c>
      <c r="B36407" s="4" t="s">
        <v>5</v>
      </c>
      <c r="C36407" s="4" t="s">
        <v>7</v>
      </c>
      <c r="D36407" s="4" t="s">
        <v>7</v>
      </c>
      <c r="E36407" s="4" t="s">
        <v>7</v>
      </c>
      <c r="F36407" s="4" t="s">
        <v>13</v>
      </c>
      <c r="G36407" s="4" t="s">
        <v>13</v>
      </c>
      <c r="H36407" s="4" t="s">
        <v>13</v>
      </c>
      <c r="I36407" s="4" t="s">
        <v>13</v>
      </c>
      <c r="J36407" s="4" t="s">
        <v>13</v>
      </c>
    </row>
    <row r="36408" spans="1:10">
      <c r="A36408" t="n">
        <v>358025</v>
      </c>
      <c r="B36408" s="25" t="n">
        <v>76</v>
      </c>
      <c r="C36408" s="7" t="n">
        <v>0</v>
      </c>
      <c r="D36408" s="7" t="n">
        <v>3</v>
      </c>
      <c r="E36408" s="7" t="n">
        <v>1</v>
      </c>
      <c r="F36408" s="7" t="n">
        <v>1</v>
      </c>
      <c r="G36408" s="7" t="n">
        <v>1</v>
      </c>
      <c r="H36408" s="7" t="n">
        <v>1</v>
      </c>
      <c r="I36408" s="7" t="n">
        <v>0</v>
      </c>
      <c r="J36408" s="7" t="n">
        <v>2000</v>
      </c>
    </row>
    <row r="36409" spans="1:10">
      <c r="A36409" t="s">
        <v>4</v>
      </c>
      <c r="B36409" s="4" t="s">
        <v>5</v>
      </c>
      <c r="C36409" s="4" t="s">
        <v>7</v>
      </c>
      <c r="D36409" s="4" t="s">
        <v>7</v>
      </c>
      <c r="E36409" s="4" t="s">
        <v>7</v>
      </c>
      <c r="F36409" s="4" t="s">
        <v>13</v>
      </c>
      <c r="G36409" s="4" t="s">
        <v>13</v>
      </c>
      <c r="H36409" s="4" t="s">
        <v>13</v>
      </c>
      <c r="I36409" s="4" t="s">
        <v>13</v>
      </c>
      <c r="J36409" s="4" t="s">
        <v>13</v>
      </c>
    </row>
    <row r="36410" spans="1:10">
      <c r="A36410" t="n">
        <v>358049</v>
      </c>
      <c r="B36410" s="25" t="n">
        <v>76</v>
      </c>
      <c r="C36410" s="7" t="n">
        <v>0</v>
      </c>
      <c r="D36410" s="7" t="n">
        <v>0</v>
      </c>
      <c r="E36410" s="7" t="n">
        <v>1</v>
      </c>
      <c r="F36410" s="7" t="n">
        <v>128</v>
      </c>
      <c r="G36410" s="7" t="n">
        <v>0</v>
      </c>
      <c r="H36410" s="7" t="n">
        <v>2000</v>
      </c>
      <c r="I36410" s="7" t="n">
        <v>0</v>
      </c>
      <c r="J36410" s="7" t="n">
        <v>0</v>
      </c>
    </row>
    <row r="36411" spans="1:10">
      <c r="A36411" t="s">
        <v>4</v>
      </c>
      <c r="B36411" s="4" t="s">
        <v>5</v>
      </c>
      <c r="C36411" s="4" t="s">
        <v>7</v>
      </c>
      <c r="D36411" s="4" t="s">
        <v>7</v>
      </c>
    </row>
    <row r="36412" spans="1:10">
      <c r="A36412" t="n">
        <v>358073</v>
      </c>
      <c r="B36412" s="26" t="n">
        <v>77</v>
      </c>
      <c r="C36412" s="7" t="n">
        <v>0</v>
      </c>
      <c r="D36412" s="7" t="n">
        <v>3</v>
      </c>
    </row>
    <row r="36413" spans="1:10">
      <c r="A36413" t="s">
        <v>4</v>
      </c>
      <c r="B36413" s="4" t="s">
        <v>5</v>
      </c>
      <c r="C36413" s="4" t="s">
        <v>7</v>
      </c>
      <c r="D36413" s="4" t="s">
        <v>7</v>
      </c>
    </row>
    <row r="36414" spans="1:10">
      <c r="A36414" t="n">
        <v>358076</v>
      </c>
      <c r="B36414" s="26" t="n">
        <v>77</v>
      </c>
      <c r="C36414" s="7" t="n">
        <v>0</v>
      </c>
      <c r="D36414" s="7" t="n">
        <v>0</v>
      </c>
    </row>
    <row r="36415" spans="1:10">
      <c r="A36415" t="s">
        <v>4</v>
      </c>
      <c r="B36415" s="4" t="s">
        <v>5</v>
      </c>
      <c r="C36415" s="4" t="s">
        <v>7</v>
      </c>
      <c r="D36415" s="4" t="s">
        <v>7</v>
      </c>
      <c r="E36415" s="4" t="s">
        <v>13</v>
      </c>
      <c r="F36415" s="4" t="s">
        <v>13</v>
      </c>
      <c r="G36415" s="4" t="s">
        <v>13</v>
      </c>
      <c r="H36415" s="4" t="s">
        <v>11</v>
      </c>
    </row>
    <row r="36416" spans="1:10">
      <c r="A36416" t="n">
        <v>358079</v>
      </c>
      <c r="B36416" s="51" t="n">
        <v>45</v>
      </c>
      <c r="C36416" s="7" t="n">
        <v>2</v>
      </c>
      <c r="D36416" s="7" t="n">
        <v>3</v>
      </c>
      <c r="E36416" s="7" t="n">
        <v>5.23999977111816</v>
      </c>
      <c r="F36416" s="7" t="n">
        <v>2.15000009536743</v>
      </c>
      <c r="G36416" s="7" t="n">
        <v>43.8600006103516</v>
      </c>
      <c r="H36416" s="7" t="n">
        <v>8000</v>
      </c>
    </row>
    <row r="36417" spans="1:10">
      <c r="A36417" t="s">
        <v>4</v>
      </c>
      <c r="B36417" s="4" t="s">
        <v>5</v>
      </c>
      <c r="C36417" s="4" t="s">
        <v>7</v>
      </c>
      <c r="D36417" s="4" t="s">
        <v>7</v>
      </c>
      <c r="E36417" s="4" t="s">
        <v>13</v>
      </c>
      <c r="F36417" s="4" t="s">
        <v>13</v>
      </c>
      <c r="G36417" s="4" t="s">
        <v>13</v>
      </c>
      <c r="H36417" s="4" t="s">
        <v>11</v>
      </c>
      <c r="I36417" s="4" t="s">
        <v>7</v>
      </c>
    </row>
    <row r="36418" spans="1:10">
      <c r="A36418" t="n">
        <v>358096</v>
      </c>
      <c r="B36418" s="51" t="n">
        <v>45</v>
      </c>
      <c r="C36418" s="7" t="n">
        <v>4</v>
      </c>
      <c r="D36418" s="7" t="n">
        <v>3</v>
      </c>
      <c r="E36418" s="7" t="n">
        <v>12.4799995422363</v>
      </c>
      <c r="F36418" s="7" t="n">
        <v>144.25</v>
      </c>
      <c r="G36418" s="7" t="n">
        <v>0</v>
      </c>
      <c r="H36418" s="7" t="n">
        <v>8000</v>
      </c>
      <c r="I36418" s="7" t="n">
        <v>0</v>
      </c>
    </row>
    <row r="36419" spans="1:10">
      <c r="A36419" t="s">
        <v>4</v>
      </c>
      <c r="B36419" s="4" t="s">
        <v>5</v>
      </c>
      <c r="C36419" s="4" t="s">
        <v>7</v>
      </c>
      <c r="D36419" s="4" t="s">
        <v>7</v>
      </c>
      <c r="E36419" s="4" t="s">
        <v>13</v>
      </c>
      <c r="F36419" s="4" t="s">
        <v>11</v>
      </c>
    </row>
    <row r="36420" spans="1:10">
      <c r="A36420" t="n">
        <v>358114</v>
      </c>
      <c r="B36420" s="51" t="n">
        <v>45</v>
      </c>
      <c r="C36420" s="7" t="n">
        <v>5</v>
      </c>
      <c r="D36420" s="7" t="n">
        <v>3</v>
      </c>
      <c r="E36420" s="7" t="n">
        <v>2.40000009536743</v>
      </c>
      <c r="F36420" s="7" t="n">
        <v>8000</v>
      </c>
    </row>
    <row r="36421" spans="1:10">
      <c r="A36421" t="s">
        <v>4</v>
      </c>
      <c r="B36421" s="4" t="s">
        <v>5</v>
      </c>
      <c r="C36421" s="4" t="s">
        <v>7</v>
      </c>
      <c r="D36421" s="4" t="s">
        <v>7</v>
      </c>
      <c r="E36421" s="4" t="s">
        <v>13</v>
      </c>
      <c r="F36421" s="4" t="s">
        <v>11</v>
      </c>
    </row>
    <row r="36422" spans="1:10">
      <c r="A36422" t="n">
        <v>358123</v>
      </c>
      <c r="B36422" s="51" t="n">
        <v>45</v>
      </c>
      <c r="C36422" s="7" t="n">
        <v>11</v>
      </c>
      <c r="D36422" s="7" t="n">
        <v>3</v>
      </c>
      <c r="E36422" s="7" t="n">
        <v>33.4000015258789</v>
      </c>
      <c r="F36422" s="7" t="n">
        <v>8000</v>
      </c>
    </row>
    <row r="36423" spans="1:10">
      <c r="A36423" t="s">
        <v>4</v>
      </c>
      <c r="B36423" s="4" t="s">
        <v>5</v>
      </c>
      <c r="C36423" s="4" t="s">
        <v>7</v>
      </c>
      <c r="D36423" s="4" t="s">
        <v>11</v>
      </c>
      <c r="E36423" s="4" t="s">
        <v>13</v>
      </c>
    </row>
    <row r="36424" spans="1:10">
      <c r="A36424" t="n">
        <v>358132</v>
      </c>
      <c r="B36424" s="23" t="n">
        <v>58</v>
      </c>
      <c r="C36424" s="7" t="n">
        <v>100</v>
      </c>
      <c r="D36424" s="7" t="n">
        <v>1000</v>
      </c>
      <c r="E36424" s="7" t="n">
        <v>1</v>
      </c>
    </row>
    <row r="36425" spans="1:10">
      <c r="A36425" t="s">
        <v>4</v>
      </c>
      <c r="B36425" s="4" t="s">
        <v>5</v>
      </c>
      <c r="C36425" s="4" t="s">
        <v>7</v>
      </c>
      <c r="D36425" s="4" t="s">
        <v>11</v>
      </c>
    </row>
    <row r="36426" spans="1:10">
      <c r="A36426" t="n">
        <v>358140</v>
      </c>
      <c r="B36426" s="23" t="n">
        <v>58</v>
      </c>
      <c r="C36426" s="7" t="n">
        <v>255</v>
      </c>
      <c r="D36426" s="7" t="n">
        <v>0</v>
      </c>
    </row>
    <row r="36427" spans="1:10">
      <c r="A36427" t="s">
        <v>4</v>
      </c>
      <c r="B36427" s="4" t="s">
        <v>5</v>
      </c>
      <c r="C36427" s="4" t="s">
        <v>7</v>
      </c>
      <c r="D36427" s="4" t="s">
        <v>11</v>
      </c>
    </row>
    <row r="36428" spans="1:10">
      <c r="A36428" t="n">
        <v>358144</v>
      </c>
      <c r="B36428" s="51" t="n">
        <v>45</v>
      </c>
      <c r="C36428" s="7" t="n">
        <v>7</v>
      </c>
      <c r="D36428" s="7" t="n">
        <v>255</v>
      </c>
    </row>
    <row r="36429" spans="1:10">
      <c r="A36429" t="s">
        <v>4</v>
      </c>
      <c r="B36429" s="4" t="s">
        <v>5</v>
      </c>
      <c r="C36429" s="4" t="s">
        <v>7</v>
      </c>
      <c r="D36429" s="4" t="s">
        <v>11</v>
      </c>
      <c r="E36429" s="4" t="s">
        <v>13</v>
      </c>
    </row>
    <row r="36430" spans="1:10">
      <c r="A36430" t="n">
        <v>358148</v>
      </c>
      <c r="B36430" s="23" t="n">
        <v>58</v>
      </c>
      <c r="C36430" s="7" t="n">
        <v>101</v>
      </c>
      <c r="D36430" s="7" t="n">
        <v>800</v>
      </c>
      <c r="E36430" s="7" t="n">
        <v>1</v>
      </c>
    </row>
    <row r="36431" spans="1:10">
      <c r="A36431" t="s">
        <v>4</v>
      </c>
      <c r="B36431" s="4" t="s">
        <v>5</v>
      </c>
      <c r="C36431" s="4" t="s">
        <v>7</v>
      </c>
      <c r="D36431" s="4" t="s">
        <v>11</v>
      </c>
    </row>
    <row r="36432" spans="1:10">
      <c r="A36432" t="n">
        <v>358156</v>
      </c>
      <c r="B36432" s="23" t="n">
        <v>58</v>
      </c>
      <c r="C36432" s="7" t="n">
        <v>254</v>
      </c>
      <c r="D36432" s="7" t="n">
        <v>0</v>
      </c>
    </row>
    <row r="36433" spans="1:9">
      <c r="A36433" t="s">
        <v>4</v>
      </c>
      <c r="B36433" s="4" t="s">
        <v>5</v>
      </c>
      <c r="C36433" s="4" t="s">
        <v>7</v>
      </c>
      <c r="D36433" s="4" t="s">
        <v>7</v>
      </c>
      <c r="E36433" s="4" t="s">
        <v>13</v>
      </c>
      <c r="F36433" s="4" t="s">
        <v>13</v>
      </c>
      <c r="G36433" s="4" t="s">
        <v>13</v>
      </c>
      <c r="H36433" s="4" t="s">
        <v>11</v>
      </c>
    </row>
    <row r="36434" spans="1:9">
      <c r="A36434" t="n">
        <v>358160</v>
      </c>
      <c r="B36434" s="51" t="n">
        <v>45</v>
      </c>
      <c r="C36434" s="7" t="n">
        <v>2</v>
      </c>
      <c r="D36434" s="7" t="n">
        <v>3</v>
      </c>
      <c r="E36434" s="7" t="n">
        <v>4.26999998092651</v>
      </c>
      <c r="F36434" s="7" t="n">
        <v>2.44000005722046</v>
      </c>
      <c r="G36434" s="7" t="n">
        <v>44.1500015258789</v>
      </c>
      <c r="H36434" s="7" t="n">
        <v>0</v>
      </c>
    </row>
    <row r="36435" spans="1:9">
      <c r="A36435" t="s">
        <v>4</v>
      </c>
      <c r="B36435" s="4" t="s">
        <v>5</v>
      </c>
      <c r="C36435" s="4" t="s">
        <v>7</v>
      </c>
      <c r="D36435" s="4" t="s">
        <v>7</v>
      </c>
      <c r="E36435" s="4" t="s">
        <v>13</v>
      </c>
      <c r="F36435" s="4" t="s">
        <v>13</v>
      </c>
      <c r="G36435" s="4" t="s">
        <v>13</v>
      </c>
      <c r="H36435" s="4" t="s">
        <v>11</v>
      </c>
      <c r="I36435" s="4" t="s">
        <v>7</v>
      </c>
    </row>
    <row r="36436" spans="1:9">
      <c r="A36436" t="n">
        <v>358177</v>
      </c>
      <c r="B36436" s="51" t="n">
        <v>45</v>
      </c>
      <c r="C36436" s="7" t="n">
        <v>4</v>
      </c>
      <c r="D36436" s="7" t="n">
        <v>3</v>
      </c>
      <c r="E36436" s="7" t="n">
        <v>357.880004882813</v>
      </c>
      <c r="F36436" s="7" t="n">
        <v>321.779998779297</v>
      </c>
      <c r="G36436" s="7" t="n">
        <v>0</v>
      </c>
      <c r="H36436" s="7" t="n">
        <v>0</v>
      </c>
      <c r="I36436" s="7" t="n">
        <v>0</v>
      </c>
    </row>
    <row r="36437" spans="1:9">
      <c r="A36437" t="s">
        <v>4</v>
      </c>
      <c r="B36437" s="4" t="s">
        <v>5</v>
      </c>
      <c r="C36437" s="4" t="s">
        <v>7</v>
      </c>
      <c r="D36437" s="4" t="s">
        <v>7</v>
      </c>
      <c r="E36437" s="4" t="s">
        <v>13</v>
      </c>
      <c r="F36437" s="4" t="s">
        <v>11</v>
      </c>
    </row>
    <row r="36438" spans="1:9">
      <c r="A36438" t="n">
        <v>358195</v>
      </c>
      <c r="B36438" s="51" t="n">
        <v>45</v>
      </c>
      <c r="C36438" s="7" t="n">
        <v>5</v>
      </c>
      <c r="D36438" s="7" t="n">
        <v>3</v>
      </c>
      <c r="E36438" s="7" t="n">
        <v>2.40000009536743</v>
      </c>
      <c r="F36438" s="7" t="n">
        <v>0</v>
      </c>
    </row>
    <row r="36439" spans="1:9">
      <c r="A36439" t="s">
        <v>4</v>
      </c>
      <c r="B36439" s="4" t="s">
        <v>5</v>
      </c>
      <c r="C36439" s="4" t="s">
        <v>7</v>
      </c>
      <c r="D36439" s="4" t="s">
        <v>7</v>
      </c>
      <c r="E36439" s="4" t="s">
        <v>13</v>
      </c>
      <c r="F36439" s="4" t="s">
        <v>11</v>
      </c>
    </row>
    <row r="36440" spans="1:9">
      <c r="A36440" t="n">
        <v>358204</v>
      </c>
      <c r="B36440" s="51" t="n">
        <v>45</v>
      </c>
      <c r="C36440" s="7" t="n">
        <v>11</v>
      </c>
      <c r="D36440" s="7" t="n">
        <v>3</v>
      </c>
      <c r="E36440" s="7" t="n">
        <v>33.4000015258789</v>
      </c>
      <c r="F36440" s="7" t="n">
        <v>0</v>
      </c>
    </row>
    <row r="36441" spans="1:9">
      <c r="A36441" t="s">
        <v>4</v>
      </c>
      <c r="B36441" s="4" t="s">
        <v>5</v>
      </c>
      <c r="C36441" s="4" t="s">
        <v>7</v>
      </c>
      <c r="D36441" s="4" t="s">
        <v>7</v>
      </c>
      <c r="E36441" s="4" t="s">
        <v>13</v>
      </c>
      <c r="F36441" s="4" t="s">
        <v>13</v>
      </c>
      <c r="G36441" s="4" t="s">
        <v>13</v>
      </c>
      <c r="H36441" s="4" t="s">
        <v>11</v>
      </c>
    </row>
    <row r="36442" spans="1:9">
      <c r="A36442" t="n">
        <v>358213</v>
      </c>
      <c r="B36442" s="51" t="n">
        <v>45</v>
      </c>
      <c r="C36442" s="7" t="n">
        <v>2</v>
      </c>
      <c r="D36442" s="7" t="n">
        <v>3</v>
      </c>
      <c r="E36442" s="7" t="n">
        <v>4.76999998092651</v>
      </c>
      <c r="F36442" s="7" t="n">
        <v>1.45000004768372</v>
      </c>
      <c r="G36442" s="7" t="n">
        <v>45.2599983215332</v>
      </c>
      <c r="H36442" s="7" t="n">
        <v>8000</v>
      </c>
    </row>
    <row r="36443" spans="1:9">
      <c r="A36443" t="s">
        <v>4</v>
      </c>
      <c r="B36443" s="4" t="s">
        <v>5</v>
      </c>
      <c r="C36443" s="4" t="s">
        <v>7</v>
      </c>
      <c r="D36443" s="4" t="s">
        <v>7</v>
      </c>
      <c r="E36443" s="4" t="s">
        <v>13</v>
      </c>
      <c r="F36443" s="4" t="s">
        <v>13</v>
      </c>
      <c r="G36443" s="4" t="s">
        <v>13</v>
      </c>
      <c r="H36443" s="4" t="s">
        <v>11</v>
      </c>
      <c r="I36443" s="4" t="s">
        <v>7</v>
      </c>
    </row>
    <row r="36444" spans="1:9">
      <c r="A36444" t="n">
        <v>358230</v>
      </c>
      <c r="B36444" s="51" t="n">
        <v>45</v>
      </c>
      <c r="C36444" s="7" t="n">
        <v>4</v>
      </c>
      <c r="D36444" s="7" t="n">
        <v>3</v>
      </c>
      <c r="E36444" s="7" t="n">
        <v>358.660003662109</v>
      </c>
      <c r="F36444" s="7" t="n">
        <v>283.079986572266</v>
      </c>
      <c r="G36444" s="7" t="n">
        <v>0</v>
      </c>
      <c r="H36444" s="7" t="n">
        <v>8000</v>
      </c>
      <c r="I36444" s="7" t="n">
        <v>0</v>
      </c>
    </row>
    <row r="36445" spans="1:9">
      <c r="A36445" t="s">
        <v>4</v>
      </c>
      <c r="B36445" s="4" t="s">
        <v>5</v>
      </c>
      <c r="C36445" s="4" t="s">
        <v>7</v>
      </c>
      <c r="D36445" s="4" t="s">
        <v>7</v>
      </c>
      <c r="E36445" s="4" t="s">
        <v>13</v>
      </c>
      <c r="F36445" s="4" t="s">
        <v>11</v>
      </c>
    </row>
    <row r="36446" spans="1:9">
      <c r="A36446" t="n">
        <v>358248</v>
      </c>
      <c r="B36446" s="51" t="n">
        <v>45</v>
      </c>
      <c r="C36446" s="7" t="n">
        <v>5</v>
      </c>
      <c r="D36446" s="7" t="n">
        <v>3</v>
      </c>
      <c r="E36446" s="7" t="n">
        <v>2</v>
      </c>
      <c r="F36446" s="7" t="n">
        <v>8000</v>
      </c>
    </row>
    <row r="36447" spans="1:9">
      <c r="A36447" t="s">
        <v>4</v>
      </c>
      <c r="B36447" s="4" t="s">
        <v>5</v>
      </c>
      <c r="C36447" s="4" t="s">
        <v>7</v>
      </c>
      <c r="D36447" s="4" t="s">
        <v>11</v>
      </c>
    </row>
    <row r="36448" spans="1:9">
      <c r="A36448" t="n">
        <v>358257</v>
      </c>
      <c r="B36448" s="23" t="n">
        <v>58</v>
      </c>
      <c r="C36448" s="7" t="n">
        <v>255</v>
      </c>
      <c r="D36448" s="7" t="n">
        <v>0</v>
      </c>
    </row>
    <row r="36449" spans="1:9">
      <c r="A36449" t="s">
        <v>4</v>
      </c>
      <c r="B36449" s="4" t="s">
        <v>5</v>
      </c>
      <c r="C36449" s="4" t="s">
        <v>7</v>
      </c>
      <c r="D36449" s="4" t="s">
        <v>11</v>
      </c>
    </row>
    <row r="36450" spans="1:9">
      <c r="A36450" t="n">
        <v>358261</v>
      </c>
      <c r="B36450" s="51" t="n">
        <v>45</v>
      </c>
      <c r="C36450" s="7" t="n">
        <v>7</v>
      </c>
      <c r="D36450" s="7" t="n">
        <v>255</v>
      </c>
    </row>
    <row r="36451" spans="1:9">
      <c r="A36451" t="s">
        <v>4</v>
      </c>
      <c r="B36451" s="4" t="s">
        <v>5</v>
      </c>
      <c r="C36451" s="4" t="s">
        <v>7</v>
      </c>
      <c r="D36451" s="4" t="s">
        <v>11</v>
      </c>
      <c r="E36451" s="4" t="s">
        <v>13</v>
      </c>
    </row>
    <row r="36452" spans="1:9">
      <c r="A36452" t="n">
        <v>358265</v>
      </c>
      <c r="B36452" s="23" t="n">
        <v>58</v>
      </c>
      <c r="C36452" s="7" t="n">
        <v>101</v>
      </c>
      <c r="D36452" s="7" t="n">
        <v>800</v>
      </c>
      <c r="E36452" s="7" t="n">
        <v>1</v>
      </c>
    </row>
    <row r="36453" spans="1:9">
      <c r="A36453" t="s">
        <v>4</v>
      </c>
      <c r="B36453" s="4" t="s">
        <v>5</v>
      </c>
      <c r="C36453" s="4" t="s">
        <v>7</v>
      </c>
      <c r="D36453" s="4" t="s">
        <v>11</v>
      </c>
    </row>
    <row r="36454" spans="1:9">
      <c r="A36454" t="n">
        <v>358273</v>
      </c>
      <c r="B36454" s="23" t="n">
        <v>58</v>
      </c>
      <c r="C36454" s="7" t="n">
        <v>254</v>
      </c>
      <c r="D36454" s="7" t="n">
        <v>0</v>
      </c>
    </row>
    <row r="36455" spans="1:9">
      <c r="A36455" t="s">
        <v>4</v>
      </c>
      <c r="B36455" s="4" t="s">
        <v>5</v>
      </c>
      <c r="C36455" s="4" t="s">
        <v>7</v>
      </c>
      <c r="D36455" s="4" t="s">
        <v>7</v>
      </c>
      <c r="E36455" s="4" t="s">
        <v>13</v>
      </c>
      <c r="F36455" s="4" t="s">
        <v>13</v>
      </c>
      <c r="G36455" s="4" t="s">
        <v>13</v>
      </c>
      <c r="H36455" s="4" t="s">
        <v>11</v>
      </c>
    </row>
    <row r="36456" spans="1:9">
      <c r="A36456" t="n">
        <v>358277</v>
      </c>
      <c r="B36456" s="51" t="n">
        <v>45</v>
      </c>
      <c r="C36456" s="7" t="n">
        <v>2</v>
      </c>
      <c r="D36456" s="7" t="n">
        <v>3</v>
      </c>
      <c r="E36456" s="7" t="n">
        <v>4.73999977111816</v>
      </c>
      <c r="F36456" s="7" t="n">
        <v>1.37000000476837</v>
      </c>
      <c r="G36456" s="7" t="n">
        <v>45.310001373291</v>
      </c>
      <c r="H36456" s="7" t="n">
        <v>0</v>
      </c>
    </row>
    <row r="36457" spans="1:9">
      <c r="A36457" t="s">
        <v>4</v>
      </c>
      <c r="B36457" s="4" t="s">
        <v>5</v>
      </c>
      <c r="C36457" s="4" t="s">
        <v>7</v>
      </c>
      <c r="D36457" s="4" t="s">
        <v>7</v>
      </c>
      <c r="E36457" s="4" t="s">
        <v>13</v>
      </c>
      <c r="F36457" s="4" t="s">
        <v>13</v>
      </c>
      <c r="G36457" s="4" t="s">
        <v>13</v>
      </c>
      <c r="H36457" s="4" t="s">
        <v>11</v>
      </c>
      <c r="I36457" s="4" t="s">
        <v>7</v>
      </c>
    </row>
    <row r="36458" spans="1:9">
      <c r="A36458" t="n">
        <v>358294</v>
      </c>
      <c r="B36458" s="51" t="n">
        <v>45</v>
      </c>
      <c r="C36458" s="7" t="n">
        <v>4</v>
      </c>
      <c r="D36458" s="7" t="n">
        <v>3</v>
      </c>
      <c r="E36458" s="7" t="n">
        <v>4.3899998664856</v>
      </c>
      <c r="F36458" s="7" t="n">
        <v>107.779998779297</v>
      </c>
      <c r="G36458" s="7" t="n">
        <v>0</v>
      </c>
      <c r="H36458" s="7" t="n">
        <v>0</v>
      </c>
      <c r="I36458" s="7" t="n">
        <v>0</v>
      </c>
    </row>
    <row r="36459" spans="1:9">
      <c r="A36459" t="s">
        <v>4</v>
      </c>
      <c r="B36459" s="4" t="s">
        <v>5</v>
      </c>
      <c r="C36459" s="4" t="s">
        <v>7</v>
      </c>
      <c r="D36459" s="4" t="s">
        <v>7</v>
      </c>
      <c r="E36459" s="4" t="s">
        <v>13</v>
      </c>
      <c r="F36459" s="4" t="s">
        <v>11</v>
      </c>
    </row>
    <row r="36460" spans="1:9">
      <c r="A36460" t="n">
        <v>358312</v>
      </c>
      <c r="B36460" s="51" t="n">
        <v>45</v>
      </c>
      <c r="C36460" s="7" t="n">
        <v>5</v>
      </c>
      <c r="D36460" s="7" t="n">
        <v>3</v>
      </c>
      <c r="E36460" s="7" t="n">
        <v>2</v>
      </c>
      <c r="F36460" s="7" t="n">
        <v>0</v>
      </c>
    </row>
    <row r="36461" spans="1:9">
      <c r="A36461" t="s">
        <v>4</v>
      </c>
      <c r="B36461" s="4" t="s">
        <v>5</v>
      </c>
      <c r="C36461" s="4" t="s">
        <v>7</v>
      </c>
      <c r="D36461" s="4" t="s">
        <v>7</v>
      </c>
      <c r="E36461" s="4" t="s">
        <v>13</v>
      </c>
      <c r="F36461" s="4" t="s">
        <v>11</v>
      </c>
    </row>
    <row r="36462" spans="1:9">
      <c r="A36462" t="n">
        <v>358321</v>
      </c>
      <c r="B36462" s="51" t="n">
        <v>45</v>
      </c>
      <c r="C36462" s="7" t="n">
        <v>11</v>
      </c>
      <c r="D36462" s="7" t="n">
        <v>3</v>
      </c>
      <c r="E36462" s="7" t="n">
        <v>33.4000015258789</v>
      </c>
      <c r="F36462" s="7" t="n">
        <v>0</v>
      </c>
    </row>
    <row r="36463" spans="1:9">
      <c r="A36463" t="s">
        <v>4</v>
      </c>
      <c r="B36463" s="4" t="s">
        <v>5</v>
      </c>
      <c r="C36463" s="4" t="s">
        <v>11</v>
      </c>
      <c r="D36463" s="4" t="s">
        <v>15</v>
      </c>
    </row>
    <row r="36464" spans="1:9">
      <c r="A36464" t="n">
        <v>358330</v>
      </c>
      <c r="B36464" s="63" t="n">
        <v>44</v>
      </c>
      <c r="C36464" s="7" t="n">
        <v>6</v>
      </c>
      <c r="D36464" s="7" t="n">
        <v>1</v>
      </c>
    </row>
    <row r="36465" spans="1:9">
      <c r="A36465" t="s">
        <v>4</v>
      </c>
      <c r="B36465" s="4" t="s">
        <v>5</v>
      </c>
      <c r="C36465" s="4" t="s">
        <v>7</v>
      </c>
      <c r="D36465" s="4" t="s">
        <v>11</v>
      </c>
    </row>
    <row r="36466" spans="1:9">
      <c r="A36466" t="n">
        <v>358337</v>
      </c>
      <c r="B36466" s="23" t="n">
        <v>58</v>
      </c>
      <c r="C36466" s="7" t="n">
        <v>255</v>
      </c>
      <c r="D36466" s="7" t="n">
        <v>0</v>
      </c>
    </row>
    <row r="36467" spans="1:9">
      <c r="A36467" t="s">
        <v>4</v>
      </c>
      <c r="B36467" s="4" t="s">
        <v>5</v>
      </c>
      <c r="C36467" s="4" t="s">
        <v>8</v>
      </c>
      <c r="D36467" s="4" t="s">
        <v>8</v>
      </c>
    </row>
    <row r="36468" spans="1:9">
      <c r="A36468" t="n">
        <v>358341</v>
      </c>
      <c r="B36468" s="52" t="n">
        <v>70</v>
      </c>
      <c r="C36468" s="7" t="s">
        <v>279</v>
      </c>
      <c r="D36468" s="7" t="s">
        <v>280</v>
      </c>
    </row>
    <row r="36469" spans="1:9">
      <c r="A36469" t="s">
        <v>4</v>
      </c>
      <c r="B36469" s="4" t="s">
        <v>5</v>
      </c>
      <c r="C36469" s="4" t="s">
        <v>11</v>
      </c>
    </row>
    <row r="36470" spans="1:9">
      <c r="A36470" t="n">
        <v>358358</v>
      </c>
      <c r="B36470" s="29" t="n">
        <v>16</v>
      </c>
      <c r="C36470" s="7" t="n">
        <v>1000</v>
      </c>
    </row>
    <row r="36471" spans="1:9">
      <c r="A36471" t="s">
        <v>4</v>
      </c>
      <c r="B36471" s="4" t="s">
        <v>5</v>
      </c>
      <c r="C36471" s="4" t="s">
        <v>7</v>
      </c>
      <c r="D36471" s="4" t="s">
        <v>11</v>
      </c>
      <c r="E36471" s="4" t="s">
        <v>11</v>
      </c>
      <c r="F36471" s="4" t="s">
        <v>7</v>
      </c>
    </row>
    <row r="36472" spans="1:9">
      <c r="A36472" t="n">
        <v>358361</v>
      </c>
      <c r="B36472" s="31" t="n">
        <v>25</v>
      </c>
      <c r="C36472" s="7" t="n">
        <v>1</v>
      </c>
      <c r="D36472" s="7" t="n">
        <v>100</v>
      </c>
      <c r="E36472" s="7" t="n">
        <v>500</v>
      </c>
      <c r="F36472" s="7" t="n">
        <v>5</v>
      </c>
    </row>
    <row r="36473" spans="1:9">
      <c r="A36473" t="s">
        <v>4</v>
      </c>
      <c r="B36473" s="4" t="s">
        <v>5</v>
      </c>
      <c r="C36473" s="4" t="s">
        <v>8</v>
      </c>
      <c r="D36473" s="4" t="s">
        <v>11</v>
      </c>
    </row>
    <row r="36474" spans="1:9">
      <c r="A36474" t="n">
        <v>358368</v>
      </c>
      <c r="B36474" s="67" t="n">
        <v>29</v>
      </c>
      <c r="C36474" s="7" t="s">
        <v>281</v>
      </c>
      <c r="D36474" s="7" t="n">
        <v>65533</v>
      </c>
    </row>
    <row r="36475" spans="1:9">
      <c r="A36475" t="s">
        <v>4</v>
      </c>
      <c r="B36475" s="4" t="s">
        <v>5</v>
      </c>
      <c r="C36475" s="4" t="s">
        <v>7</v>
      </c>
      <c r="D36475" s="4" t="s">
        <v>11</v>
      </c>
      <c r="E36475" s="4" t="s">
        <v>8</v>
      </c>
    </row>
    <row r="36476" spans="1:9">
      <c r="A36476" t="n">
        <v>358377</v>
      </c>
      <c r="B36476" s="38" t="n">
        <v>51</v>
      </c>
      <c r="C36476" s="7" t="n">
        <v>4</v>
      </c>
      <c r="D36476" s="7" t="n">
        <v>6</v>
      </c>
      <c r="E36476" s="7" t="s">
        <v>137</v>
      </c>
    </row>
    <row r="36477" spans="1:9">
      <c r="A36477" t="s">
        <v>4</v>
      </c>
      <c r="B36477" s="4" t="s">
        <v>5</v>
      </c>
      <c r="C36477" s="4" t="s">
        <v>11</v>
      </c>
    </row>
    <row r="36478" spans="1:9">
      <c r="A36478" t="n">
        <v>358390</v>
      </c>
      <c r="B36478" s="29" t="n">
        <v>16</v>
      </c>
      <c r="C36478" s="7" t="n">
        <v>0</v>
      </c>
    </row>
    <row r="36479" spans="1:9">
      <c r="A36479" t="s">
        <v>4</v>
      </c>
      <c r="B36479" s="4" t="s">
        <v>5</v>
      </c>
      <c r="C36479" s="4" t="s">
        <v>11</v>
      </c>
      <c r="D36479" s="4" t="s">
        <v>7</v>
      </c>
      <c r="E36479" s="4" t="s">
        <v>15</v>
      </c>
      <c r="F36479" s="4" t="s">
        <v>55</v>
      </c>
      <c r="G36479" s="4" t="s">
        <v>7</v>
      </c>
      <c r="H36479" s="4" t="s">
        <v>7</v>
      </c>
    </row>
    <row r="36480" spans="1:9">
      <c r="A36480" t="n">
        <v>358393</v>
      </c>
      <c r="B36480" s="55" t="n">
        <v>26</v>
      </c>
      <c r="C36480" s="7" t="n">
        <v>6</v>
      </c>
      <c r="D36480" s="7" t="n">
        <v>17</v>
      </c>
      <c r="E36480" s="7" t="n">
        <v>64172</v>
      </c>
      <c r="F36480" s="7" t="s">
        <v>1067</v>
      </c>
      <c r="G36480" s="7" t="n">
        <v>2</v>
      </c>
      <c r="H36480" s="7" t="n">
        <v>0</v>
      </c>
    </row>
    <row r="36481" spans="1:8">
      <c r="A36481" t="s">
        <v>4</v>
      </c>
      <c r="B36481" s="4" t="s">
        <v>5</v>
      </c>
    </row>
    <row r="36482" spans="1:8">
      <c r="A36482" t="n">
        <v>358436</v>
      </c>
      <c r="B36482" s="27" t="n">
        <v>28</v>
      </c>
    </row>
    <row r="36483" spans="1:8">
      <c r="A36483" t="s">
        <v>4</v>
      </c>
      <c r="B36483" s="4" t="s">
        <v>5</v>
      </c>
      <c r="C36483" s="4" t="s">
        <v>11</v>
      </c>
      <c r="D36483" s="4" t="s">
        <v>7</v>
      </c>
    </row>
    <row r="36484" spans="1:8">
      <c r="A36484" t="n">
        <v>358437</v>
      </c>
      <c r="B36484" s="68" t="n">
        <v>89</v>
      </c>
      <c r="C36484" s="7" t="n">
        <v>65533</v>
      </c>
      <c r="D36484" s="7" t="n">
        <v>1</v>
      </c>
    </row>
    <row r="36485" spans="1:8">
      <c r="A36485" t="s">
        <v>4</v>
      </c>
      <c r="B36485" s="4" t="s">
        <v>5</v>
      </c>
      <c r="C36485" s="4" t="s">
        <v>7</v>
      </c>
      <c r="D36485" s="4" t="s">
        <v>11</v>
      </c>
      <c r="E36485" s="4" t="s">
        <v>11</v>
      </c>
      <c r="F36485" s="4" t="s">
        <v>7</v>
      </c>
    </row>
    <row r="36486" spans="1:8">
      <c r="A36486" t="n">
        <v>358441</v>
      </c>
      <c r="B36486" s="31" t="n">
        <v>25</v>
      </c>
      <c r="C36486" s="7" t="n">
        <v>1</v>
      </c>
      <c r="D36486" s="7" t="n">
        <v>65535</v>
      </c>
      <c r="E36486" s="7" t="n">
        <v>65535</v>
      </c>
      <c r="F36486" s="7" t="n">
        <v>0</v>
      </c>
    </row>
    <row r="36487" spans="1:8">
      <c r="A36487" t="s">
        <v>4</v>
      </c>
      <c r="B36487" s="4" t="s">
        <v>5</v>
      </c>
      <c r="C36487" s="4" t="s">
        <v>8</v>
      </c>
      <c r="D36487" s="4" t="s">
        <v>11</v>
      </c>
    </row>
    <row r="36488" spans="1:8">
      <c r="A36488" t="n">
        <v>358448</v>
      </c>
      <c r="B36488" s="67" t="n">
        <v>29</v>
      </c>
      <c r="C36488" s="7" t="s">
        <v>16</v>
      </c>
      <c r="D36488" s="7" t="n">
        <v>65533</v>
      </c>
    </row>
    <row r="36489" spans="1:8">
      <c r="A36489" t="s">
        <v>4</v>
      </c>
      <c r="B36489" s="4" t="s">
        <v>5</v>
      </c>
      <c r="C36489" s="4" t="s">
        <v>11</v>
      </c>
      <c r="D36489" s="4" t="s">
        <v>7</v>
      </c>
      <c r="E36489" s="4" t="s">
        <v>13</v>
      </c>
      <c r="F36489" s="4" t="s">
        <v>11</v>
      </c>
    </row>
    <row r="36490" spans="1:8">
      <c r="A36490" t="n">
        <v>358452</v>
      </c>
      <c r="B36490" s="56" t="n">
        <v>59</v>
      </c>
      <c r="C36490" s="7" t="n">
        <v>0</v>
      </c>
      <c r="D36490" s="7" t="n">
        <v>13</v>
      </c>
      <c r="E36490" s="7" t="n">
        <v>0.150000005960464</v>
      </c>
      <c r="F36490" s="7" t="n">
        <v>0</v>
      </c>
    </row>
    <row r="36491" spans="1:8">
      <c r="A36491" t="s">
        <v>4</v>
      </c>
      <c r="B36491" s="4" t="s">
        <v>5</v>
      </c>
      <c r="C36491" s="4" t="s">
        <v>11</v>
      </c>
    </row>
    <row r="36492" spans="1:8">
      <c r="A36492" t="n">
        <v>358462</v>
      </c>
      <c r="B36492" s="29" t="n">
        <v>16</v>
      </c>
      <c r="C36492" s="7" t="n">
        <v>1000</v>
      </c>
    </row>
    <row r="36493" spans="1:8">
      <c r="A36493" t="s">
        <v>4</v>
      </c>
      <c r="B36493" s="4" t="s">
        <v>5</v>
      </c>
      <c r="C36493" s="4" t="s">
        <v>11</v>
      </c>
      <c r="D36493" s="4" t="s">
        <v>13</v>
      </c>
      <c r="E36493" s="4" t="s">
        <v>13</v>
      </c>
      <c r="F36493" s="4" t="s">
        <v>13</v>
      </c>
      <c r="G36493" s="4" t="s">
        <v>11</v>
      </c>
      <c r="H36493" s="4" t="s">
        <v>11</v>
      </c>
    </row>
    <row r="36494" spans="1:8">
      <c r="A36494" t="n">
        <v>358465</v>
      </c>
      <c r="B36494" s="37" t="n">
        <v>60</v>
      </c>
      <c r="C36494" s="7" t="n">
        <v>0</v>
      </c>
      <c r="D36494" s="7" t="n">
        <v>0</v>
      </c>
      <c r="E36494" s="7" t="n">
        <v>0</v>
      </c>
      <c r="F36494" s="7" t="n">
        <v>0</v>
      </c>
      <c r="G36494" s="7" t="n">
        <v>1000</v>
      </c>
      <c r="H36494" s="7" t="n">
        <v>0</v>
      </c>
    </row>
    <row r="36495" spans="1:8">
      <c r="A36495" t="s">
        <v>4</v>
      </c>
      <c r="B36495" s="4" t="s">
        <v>5</v>
      </c>
      <c r="C36495" s="4" t="s">
        <v>11</v>
      </c>
      <c r="D36495" s="4" t="s">
        <v>11</v>
      </c>
      <c r="E36495" s="4" t="s">
        <v>11</v>
      </c>
    </row>
    <row r="36496" spans="1:8">
      <c r="A36496" t="n">
        <v>358484</v>
      </c>
      <c r="B36496" s="72" t="n">
        <v>61</v>
      </c>
      <c r="C36496" s="7" t="n">
        <v>0</v>
      </c>
      <c r="D36496" s="7" t="n">
        <v>6</v>
      </c>
      <c r="E36496" s="7" t="n">
        <v>1000</v>
      </c>
    </row>
    <row r="36497" spans="1:8">
      <c r="A36497" t="s">
        <v>4</v>
      </c>
      <c r="B36497" s="4" t="s">
        <v>5</v>
      </c>
      <c r="C36497" s="4" t="s">
        <v>11</v>
      </c>
      <c r="D36497" s="4" t="s">
        <v>11</v>
      </c>
      <c r="E36497" s="4" t="s">
        <v>11</v>
      </c>
    </row>
    <row r="36498" spans="1:8">
      <c r="A36498" t="n">
        <v>358491</v>
      </c>
      <c r="B36498" s="72" t="n">
        <v>61</v>
      </c>
      <c r="C36498" s="7" t="n">
        <v>6</v>
      </c>
      <c r="D36498" s="7" t="n">
        <v>0</v>
      </c>
      <c r="E36498" s="7" t="n">
        <v>1000</v>
      </c>
    </row>
    <row r="36499" spans="1:8">
      <c r="A36499" t="s">
        <v>4</v>
      </c>
      <c r="B36499" s="4" t="s">
        <v>5</v>
      </c>
      <c r="C36499" s="4" t="s">
        <v>11</v>
      </c>
      <c r="D36499" s="4" t="s">
        <v>13</v>
      </c>
      <c r="E36499" s="4" t="s">
        <v>13</v>
      </c>
      <c r="F36499" s="4" t="s">
        <v>7</v>
      </c>
    </row>
    <row r="36500" spans="1:8">
      <c r="A36500" t="n">
        <v>358498</v>
      </c>
      <c r="B36500" s="65" t="n">
        <v>52</v>
      </c>
      <c r="C36500" s="7" t="n">
        <v>0</v>
      </c>
      <c r="D36500" s="7" t="n">
        <v>332.399993896484</v>
      </c>
      <c r="E36500" s="7" t="n">
        <v>5</v>
      </c>
      <c r="F36500" s="7" t="n">
        <v>0</v>
      </c>
    </row>
    <row r="36501" spans="1:8">
      <c r="A36501" t="s">
        <v>4</v>
      </c>
      <c r="B36501" s="4" t="s">
        <v>5</v>
      </c>
      <c r="C36501" s="4" t="s">
        <v>11</v>
      </c>
    </row>
    <row r="36502" spans="1:8">
      <c r="A36502" t="n">
        <v>358510</v>
      </c>
      <c r="B36502" s="66" t="n">
        <v>54</v>
      </c>
      <c r="C36502" s="7" t="n">
        <v>0</v>
      </c>
    </row>
    <row r="36503" spans="1:8">
      <c r="A36503" t="s">
        <v>4</v>
      </c>
      <c r="B36503" s="4" t="s">
        <v>5</v>
      </c>
      <c r="C36503" s="4" t="s">
        <v>7</v>
      </c>
      <c r="D36503" s="4" t="s">
        <v>11</v>
      </c>
      <c r="E36503" s="4" t="s">
        <v>13</v>
      </c>
    </row>
    <row r="36504" spans="1:8">
      <c r="A36504" t="n">
        <v>358513</v>
      </c>
      <c r="B36504" s="23" t="n">
        <v>58</v>
      </c>
      <c r="C36504" s="7" t="n">
        <v>101</v>
      </c>
      <c r="D36504" s="7" t="n">
        <v>500</v>
      </c>
      <c r="E36504" s="7" t="n">
        <v>1</v>
      </c>
    </row>
    <row r="36505" spans="1:8">
      <c r="A36505" t="s">
        <v>4</v>
      </c>
      <c r="B36505" s="4" t="s">
        <v>5</v>
      </c>
      <c r="C36505" s="4" t="s">
        <v>7</v>
      </c>
      <c r="D36505" s="4" t="s">
        <v>11</v>
      </c>
    </row>
    <row r="36506" spans="1:8">
      <c r="A36506" t="n">
        <v>358521</v>
      </c>
      <c r="B36506" s="23" t="n">
        <v>58</v>
      </c>
      <c r="C36506" s="7" t="n">
        <v>254</v>
      </c>
      <c r="D36506" s="7" t="n">
        <v>0</v>
      </c>
    </row>
    <row r="36507" spans="1:8">
      <c r="A36507" t="s">
        <v>4</v>
      </c>
      <c r="B36507" s="4" t="s">
        <v>5</v>
      </c>
      <c r="C36507" s="4" t="s">
        <v>7</v>
      </c>
      <c r="D36507" s="4" t="s">
        <v>7</v>
      </c>
      <c r="E36507" s="4" t="s">
        <v>13</v>
      </c>
      <c r="F36507" s="4" t="s">
        <v>13</v>
      </c>
      <c r="G36507" s="4" t="s">
        <v>13</v>
      </c>
      <c r="H36507" s="4" t="s">
        <v>11</v>
      </c>
    </row>
    <row r="36508" spans="1:8">
      <c r="A36508" t="n">
        <v>358525</v>
      </c>
      <c r="B36508" s="51" t="n">
        <v>45</v>
      </c>
      <c r="C36508" s="7" t="n">
        <v>2</v>
      </c>
      <c r="D36508" s="7" t="n">
        <v>3</v>
      </c>
      <c r="E36508" s="7" t="n">
        <v>4.92999982833862</v>
      </c>
      <c r="F36508" s="7" t="n">
        <v>1.46000003814697</v>
      </c>
      <c r="G36508" s="7" t="n">
        <v>45.6699981689453</v>
      </c>
      <c r="H36508" s="7" t="n">
        <v>0</v>
      </c>
    </row>
    <row r="36509" spans="1:8">
      <c r="A36509" t="s">
        <v>4</v>
      </c>
      <c r="B36509" s="4" t="s">
        <v>5</v>
      </c>
      <c r="C36509" s="4" t="s">
        <v>7</v>
      </c>
      <c r="D36509" s="4" t="s">
        <v>7</v>
      </c>
      <c r="E36509" s="4" t="s">
        <v>13</v>
      </c>
      <c r="F36509" s="4" t="s">
        <v>13</v>
      </c>
      <c r="G36509" s="4" t="s">
        <v>13</v>
      </c>
      <c r="H36509" s="4" t="s">
        <v>11</v>
      </c>
      <c r="I36509" s="4" t="s">
        <v>7</v>
      </c>
    </row>
    <row r="36510" spans="1:8">
      <c r="A36510" t="n">
        <v>358542</v>
      </c>
      <c r="B36510" s="51" t="n">
        <v>45</v>
      </c>
      <c r="C36510" s="7" t="n">
        <v>4</v>
      </c>
      <c r="D36510" s="7" t="n">
        <v>3</v>
      </c>
      <c r="E36510" s="7" t="n">
        <v>5.69000005722046</v>
      </c>
      <c r="F36510" s="7" t="n">
        <v>260.239990234375</v>
      </c>
      <c r="G36510" s="7" t="n">
        <v>0</v>
      </c>
      <c r="H36510" s="7" t="n">
        <v>0</v>
      </c>
      <c r="I36510" s="7" t="n">
        <v>0</v>
      </c>
    </row>
    <row r="36511" spans="1:8">
      <c r="A36511" t="s">
        <v>4</v>
      </c>
      <c r="B36511" s="4" t="s">
        <v>5</v>
      </c>
      <c r="C36511" s="4" t="s">
        <v>7</v>
      </c>
      <c r="D36511" s="4" t="s">
        <v>7</v>
      </c>
      <c r="E36511" s="4" t="s">
        <v>13</v>
      </c>
      <c r="F36511" s="4" t="s">
        <v>11</v>
      </c>
    </row>
    <row r="36512" spans="1:8">
      <c r="A36512" t="n">
        <v>358560</v>
      </c>
      <c r="B36512" s="51" t="n">
        <v>45</v>
      </c>
      <c r="C36512" s="7" t="n">
        <v>5</v>
      </c>
      <c r="D36512" s="7" t="n">
        <v>3</v>
      </c>
      <c r="E36512" s="7" t="n">
        <v>1.70000004768372</v>
      </c>
      <c r="F36512" s="7" t="n">
        <v>0</v>
      </c>
    </row>
    <row r="36513" spans="1:9">
      <c r="A36513" t="s">
        <v>4</v>
      </c>
      <c r="B36513" s="4" t="s">
        <v>5</v>
      </c>
      <c r="C36513" s="4" t="s">
        <v>7</v>
      </c>
      <c r="D36513" s="4" t="s">
        <v>7</v>
      </c>
      <c r="E36513" s="4" t="s">
        <v>13</v>
      </c>
      <c r="F36513" s="4" t="s">
        <v>11</v>
      </c>
    </row>
    <row r="36514" spans="1:9">
      <c r="A36514" t="n">
        <v>358569</v>
      </c>
      <c r="B36514" s="51" t="n">
        <v>45</v>
      </c>
      <c r="C36514" s="7" t="n">
        <v>11</v>
      </c>
      <c r="D36514" s="7" t="n">
        <v>3</v>
      </c>
      <c r="E36514" s="7" t="n">
        <v>34</v>
      </c>
      <c r="F36514" s="7" t="n">
        <v>0</v>
      </c>
    </row>
    <row r="36515" spans="1:9">
      <c r="A36515" t="s">
        <v>4</v>
      </c>
      <c r="B36515" s="4" t="s">
        <v>5</v>
      </c>
      <c r="C36515" s="4" t="s">
        <v>7</v>
      </c>
      <c r="D36515" s="4" t="s">
        <v>7</v>
      </c>
      <c r="E36515" s="4" t="s">
        <v>13</v>
      </c>
      <c r="F36515" s="4" t="s">
        <v>13</v>
      </c>
      <c r="G36515" s="4" t="s">
        <v>13</v>
      </c>
      <c r="H36515" s="4" t="s">
        <v>11</v>
      </c>
    </row>
    <row r="36516" spans="1:9">
      <c r="A36516" t="n">
        <v>358578</v>
      </c>
      <c r="B36516" s="51" t="n">
        <v>45</v>
      </c>
      <c r="C36516" s="7" t="n">
        <v>2</v>
      </c>
      <c r="D36516" s="7" t="n">
        <v>3</v>
      </c>
      <c r="E36516" s="7" t="n">
        <v>4.84999990463257</v>
      </c>
      <c r="F36516" s="7" t="n">
        <v>1.4099999666214</v>
      </c>
      <c r="G36516" s="7" t="n">
        <v>45.7999992370605</v>
      </c>
      <c r="H36516" s="7" t="n">
        <v>5500</v>
      </c>
    </row>
    <row r="36517" spans="1:9">
      <c r="A36517" t="s">
        <v>4</v>
      </c>
      <c r="B36517" s="4" t="s">
        <v>5</v>
      </c>
      <c r="C36517" s="4" t="s">
        <v>7</v>
      </c>
      <c r="D36517" s="4" t="s">
        <v>7</v>
      </c>
      <c r="E36517" s="4" t="s">
        <v>13</v>
      </c>
      <c r="F36517" s="4" t="s">
        <v>13</v>
      </c>
      <c r="G36517" s="4" t="s">
        <v>13</v>
      </c>
      <c r="H36517" s="4" t="s">
        <v>11</v>
      </c>
      <c r="I36517" s="4" t="s">
        <v>7</v>
      </c>
    </row>
    <row r="36518" spans="1:9">
      <c r="A36518" t="n">
        <v>358595</v>
      </c>
      <c r="B36518" s="51" t="n">
        <v>45</v>
      </c>
      <c r="C36518" s="7" t="n">
        <v>4</v>
      </c>
      <c r="D36518" s="7" t="n">
        <v>3</v>
      </c>
      <c r="E36518" s="7" t="n">
        <v>5.46999979019165</v>
      </c>
      <c r="F36518" s="7" t="n">
        <v>232.490005493164</v>
      </c>
      <c r="G36518" s="7" t="n">
        <v>0</v>
      </c>
      <c r="H36518" s="7" t="n">
        <v>5500</v>
      </c>
      <c r="I36518" s="7" t="n">
        <v>0</v>
      </c>
    </row>
    <row r="36519" spans="1:9">
      <c r="A36519" t="s">
        <v>4</v>
      </c>
      <c r="B36519" s="4" t="s">
        <v>5</v>
      </c>
      <c r="C36519" s="4" t="s">
        <v>11</v>
      </c>
      <c r="D36519" s="4" t="s">
        <v>7</v>
      </c>
      <c r="E36519" s="4" t="s">
        <v>7</v>
      </c>
      <c r="F36519" s="4" t="s">
        <v>8</v>
      </c>
    </row>
    <row r="36520" spans="1:9">
      <c r="A36520" t="n">
        <v>358613</v>
      </c>
      <c r="B36520" s="50" t="n">
        <v>20</v>
      </c>
      <c r="C36520" s="7" t="n">
        <v>6</v>
      </c>
      <c r="D36520" s="7" t="n">
        <v>2</v>
      </c>
      <c r="E36520" s="7" t="n">
        <v>11</v>
      </c>
      <c r="F36520" s="7" t="s">
        <v>283</v>
      </c>
    </row>
    <row r="36521" spans="1:9">
      <c r="A36521" t="s">
        <v>4</v>
      </c>
      <c r="B36521" s="4" t="s">
        <v>5</v>
      </c>
      <c r="C36521" s="4" t="s">
        <v>7</v>
      </c>
    </row>
    <row r="36522" spans="1:9">
      <c r="A36522" t="n">
        <v>358640</v>
      </c>
      <c r="B36522" s="49" t="n">
        <v>116</v>
      </c>
      <c r="C36522" s="7" t="n">
        <v>0</v>
      </c>
    </row>
    <row r="36523" spans="1:9">
      <c r="A36523" t="s">
        <v>4</v>
      </c>
      <c r="B36523" s="4" t="s">
        <v>5</v>
      </c>
      <c r="C36523" s="4" t="s">
        <v>7</v>
      </c>
      <c r="D36523" s="4" t="s">
        <v>11</v>
      </c>
    </row>
    <row r="36524" spans="1:9">
      <c r="A36524" t="n">
        <v>358642</v>
      </c>
      <c r="B36524" s="49" t="n">
        <v>116</v>
      </c>
      <c r="C36524" s="7" t="n">
        <v>2</v>
      </c>
      <c r="D36524" s="7" t="n">
        <v>1</v>
      </c>
    </row>
    <row r="36525" spans="1:9">
      <c r="A36525" t="s">
        <v>4</v>
      </c>
      <c r="B36525" s="4" t="s">
        <v>5</v>
      </c>
      <c r="C36525" s="4" t="s">
        <v>7</v>
      </c>
      <c r="D36525" s="4" t="s">
        <v>15</v>
      </c>
    </row>
    <row r="36526" spans="1:9">
      <c r="A36526" t="n">
        <v>358646</v>
      </c>
      <c r="B36526" s="49" t="n">
        <v>116</v>
      </c>
      <c r="C36526" s="7" t="n">
        <v>5</v>
      </c>
      <c r="D36526" s="7" t="n">
        <v>1084227584</v>
      </c>
    </row>
    <row r="36527" spans="1:9">
      <c r="A36527" t="s">
        <v>4</v>
      </c>
      <c r="B36527" s="4" t="s">
        <v>5</v>
      </c>
      <c r="C36527" s="4" t="s">
        <v>7</v>
      </c>
      <c r="D36527" s="4" t="s">
        <v>11</v>
      </c>
    </row>
    <row r="36528" spans="1:9">
      <c r="A36528" t="n">
        <v>358652</v>
      </c>
      <c r="B36528" s="49" t="n">
        <v>116</v>
      </c>
      <c r="C36528" s="7" t="n">
        <v>6</v>
      </c>
      <c r="D36528" s="7" t="n">
        <v>1</v>
      </c>
    </row>
    <row r="36529" spans="1:9">
      <c r="A36529" t="s">
        <v>4</v>
      </c>
      <c r="B36529" s="4" t="s">
        <v>5</v>
      </c>
      <c r="C36529" s="4" t="s">
        <v>7</v>
      </c>
      <c r="D36529" s="4" t="s">
        <v>11</v>
      </c>
    </row>
    <row r="36530" spans="1:9">
      <c r="A36530" t="n">
        <v>358656</v>
      </c>
      <c r="B36530" s="23" t="n">
        <v>58</v>
      </c>
      <c r="C36530" s="7" t="n">
        <v>255</v>
      </c>
      <c r="D36530" s="7" t="n">
        <v>0</v>
      </c>
    </row>
    <row r="36531" spans="1:9">
      <c r="A36531" t="s">
        <v>4</v>
      </c>
      <c r="B36531" s="4" t="s">
        <v>5</v>
      </c>
      <c r="C36531" s="4" t="s">
        <v>11</v>
      </c>
    </row>
    <row r="36532" spans="1:9">
      <c r="A36532" t="n">
        <v>358660</v>
      </c>
      <c r="B36532" s="29" t="n">
        <v>16</v>
      </c>
      <c r="C36532" s="7" t="n">
        <v>800</v>
      </c>
    </row>
    <row r="36533" spans="1:9">
      <c r="A36533" t="s">
        <v>4</v>
      </c>
      <c r="B36533" s="4" t="s">
        <v>5</v>
      </c>
      <c r="C36533" s="4" t="s">
        <v>8</v>
      </c>
      <c r="D36533" s="4" t="s">
        <v>8</v>
      </c>
    </row>
    <row r="36534" spans="1:9">
      <c r="A36534" t="n">
        <v>358663</v>
      </c>
      <c r="B36534" s="52" t="n">
        <v>70</v>
      </c>
      <c r="C36534" s="7" t="s">
        <v>279</v>
      </c>
      <c r="D36534" s="7" t="s">
        <v>284</v>
      </c>
    </row>
    <row r="36535" spans="1:9">
      <c r="A36535" t="s">
        <v>4</v>
      </c>
      <c r="B36535" s="4" t="s">
        <v>5</v>
      </c>
      <c r="C36535" s="4" t="s">
        <v>7</v>
      </c>
      <c r="D36535" s="4" t="s">
        <v>11</v>
      </c>
    </row>
    <row r="36536" spans="1:9">
      <c r="A36536" t="n">
        <v>358681</v>
      </c>
      <c r="B36536" s="51" t="n">
        <v>45</v>
      </c>
      <c r="C36536" s="7" t="n">
        <v>7</v>
      </c>
      <c r="D36536" s="7" t="n">
        <v>255</v>
      </c>
    </row>
    <row r="36537" spans="1:9">
      <c r="A36537" t="s">
        <v>4</v>
      </c>
      <c r="B36537" s="4" t="s">
        <v>5</v>
      </c>
      <c r="C36537" s="4" t="s">
        <v>7</v>
      </c>
      <c r="D36537" s="4" t="s">
        <v>11</v>
      </c>
      <c r="E36537" s="4" t="s">
        <v>8</v>
      </c>
    </row>
    <row r="36538" spans="1:9">
      <c r="A36538" t="n">
        <v>358685</v>
      </c>
      <c r="B36538" s="38" t="n">
        <v>51</v>
      </c>
      <c r="C36538" s="7" t="n">
        <v>4</v>
      </c>
      <c r="D36538" s="7" t="n">
        <v>0</v>
      </c>
      <c r="E36538" s="7" t="s">
        <v>173</v>
      </c>
    </row>
    <row r="36539" spans="1:9">
      <c r="A36539" t="s">
        <v>4</v>
      </c>
      <c r="B36539" s="4" t="s">
        <v>5</v>
      </c>
      <c r="C36539" s="4" t="s">
        <v>11</v>
      </c>
    </row>
    <row r="36540" spans="1:9">
      <c r="A36540" t="n">
        <v>358698</v>
      </c>
      <c r="B36540" s="29" t="n">
        <v>16</v>
      </c>
      <c r="C36540" s="7" t="n">
        <v>0</v>
      </c>
    </row>
    <row r="36541" spans="1:9">
      <c r="A36541" t="s">
        <v>4</v>
      </c>
      <c r="B36541" s="4" t="s">
        <v>5</v>
      </c>
      <c r="C36541" s="4" t="s">
        <v>11</v>
      </c>
      <c r="D36541" s="4" t="s">
        <v>7</v>
      </c>
      <c r="E36541" s="4" t="s">
        <v>15</v>
      </c>
      <c r="F36541" s="4" t="s">
        <v>55</v>
      </c>
      <c r="G36541" s="4" t="s">
        <v>7</v>
      </c>
      <c r="H36541" s="4" t="s">
        <v>7</v>
      </c>
      <c r="I36541" s="4" t="s">
        <v>7</v>
      </c>
      <c r="J36541" s="4" t="s">
        <v>15</v>
      </c>
      <c r="K36541" s="4" t="s">
        <v>55</v>
      </c>
      <c r="L36541" s="4" t="s">
        <v>7</v>
      </c>
      <c r="M36541" s="4" t="s">
        <v>7</v>
      </c>
    </row>
    <row r="36542" spans="1:9">
      <c r="A36542" t="n">
        <v>358701</v>
      </c>
      <c r="B36542" s="55" t="n">
        <v>26</v>
      </c>
      <c r="C36542" s="7" t="n">
        <v>0</v>
      </c>
      <c r="D36542" s="7" t="n">
        <v>17</v>
      </c>
      <c r="E36542" s="7" t="n">
        <v>64173</v>
      </c>
      <c r="F36542" s="7" t="s">
        <v>1068</v>
      </c>
      <c r="G36542" s="7" t="n">
        <v>2</v>
      </c>
      <c r="H36542" s="7" t="n">
        <v>3</v>
      </c>
      <c r="I36542" s="7" t="n">
        <v>17</v>
      </c>
      <c r="J36542" s="7" t="n">
        <v>64174</v>
      </c>
      <c r="K36542" s="7" t="s">
        <v>1069</v>
      </c>
      <c r="L36542" s="7" t="n">
        <v>2</v>
      </c>
      <c r="M36542" s="7" t="n">
        <v>0</v>
      </c>
    </row>
    <row r="36543" spans="1:9">
      <c r="A36543" t="s">
        <v>4</v>
      </c>
      <c r="B36543" s="4" t="s">
        <v>5</v>
      </c>
    </row>
    <row r="36544" spans="1:9">
      <c r="A36544" t="n">
        <v>358826</v>
      </c>
      <c r="B36544" s="27" t="n">
        <v>28</v>
      </c>
    </row>
    <row r="36545" spans="1:13">
      <c r="A36545" t="s">
        <v>4</v>
      </c>
      <c r="B36545" s="4" t="s">
        <v>5</v>
      </c>
      <c r="C36545" s="4" t="s">
        <v>11</v>
      </c>
      <c r="D36545" s="4" t="s">
        <v>7</v>
      </c>
    </row>
    <row r="36546" spans="1:13">
      <c r="A36546" t="n">
        <v>358827</v>
      </c>
      <c r="B36546" s="68" t="n">
        <v>89</v>
      </c>
      <c r="C36546" s="7" t="n">
        <v>65533</v>
      </c>
      <c r="D36546" s="7" t="n">
        <v>1</v>
      </c>
    </row>
    <row r="36547" spans="1:13">
      <c r="A36547" t="s">
        <v>4</v>
      </c>
      <c r="B36547" s="4" t="s">
        <v>5</v>
      </c>
      <c r="C36547" s="4" t="s">
        <v>7</v>
      </c>
      <c r="D36547" s="4" t="s">
        <v>11</v>
      </c>
      <c r="E36547" s="4" t="s">
        <v>13</v>
      </c>
    </row>
    <row r="36548" spans="1:13">
      <c r="A36548" t="n">
        <v>358831</v>
      </c>
      <c r="B36548" s="23" t="n">
        <v>58</v>
      </c>
      <c r="C36548" s="7" t="n">
        <v>101</v>
      </c>
      <c r="D36548" s="7" t="n">
        <v>500</v>
      </c>
      <c r="E36548" s="7" t="n">
        <v>1</v>
      </c>
    </row>
    <row r="36549" spans="1:13">
      <c r="A36549" t="s">
        <v>4</v>
      </c>
      <c r="B36549" s="4" t="s">
        <v>5</v>
      </c>
      <c r="C36549" s="4" t="s">
        <v>7</v>
      </c>
      <c r="D36549" s="4" t="s">
        <v>11</v>
      </c>
    </row>
    <row r="36550" spans="1:13">
      <c r="A36550" t="n">
        <v>358839</v>
      </c>
      <c r="B36550" s="23" t="n">
        <v>58</v>
      </c>
      <c r="C36550" s="7" t="n">
        <v>254</v>
      </c>
      <c r="D36550" s="7" t="n">
        <v>0</v>
      </c>
    </row>
    <row r="36551" spans="1:13">
      <c r="A36551" t="s">
        <v>4</v>
      </c>
      <c r="B36551" s="4" t="s">
        <v>5</v>
      </c>
      <c r="C36551" s="4" t="s">
        <v>7</v>
      </c>
      <c r="D36551" s="4" t="s">
        <v>7</v>
      </c>
      <c r="E36551" s="4" t="s">
        <v>13</v>
      </c>
      <c r="F36551" s="4" t="s">
        <v>13</v>
      </c>
      <c r="G36551" s="4" t="s">
        <v>13</v>
      </c>
      <c r="H36551" s="4" t="s">
        <v>11</v>
      </c>
    </row>
    <row r="36552" spans="1:13">
      <c r="A36552" t="n">
        <v>358843</v>
      </c>
      <c r="B36552" s="51" t="n">
        <v>45</v>
      </c>
      <c r="C36552" s="7" t="n">
        <v>2</v>
      </c>
      <c r="D36552" s="7" t="n">
        <v>3</v>
      </c>
      <c r="E36552" s="7" t="n">
        <v>4.96999979019165</v>
      </c>
      <c r="F36552" s="7" t="n">
        <v>1.51999998092651</v>
      </c>
      <c r="G36552" s="7" t="n">
        <v>46.3800010681152</v>
      </c>
      <c r="H36552" s="7" t="n">
        <v>0</v>
      </c>
    </row>
    <row r="36553" spans="1:13">
      <c r="A36553" t="s">
        <v>4</v>
      </c>
      <c r="B36553" s="4" t="s">
        <v>5</v>
      </c>
      <c r="C36553" s="4" t="s">
        <v>7</v>
      </c>
      <c r="D36553" s="4" t="s">
        <v>7</v>
      </c>
      <c r="E36553" s="4" t="s">
        <v>13</v>
      </c>
      <c r="F36553" s="4" t="s">
        <v>13</v>
      </c>
      <c r="G36553" s="4" t="s">
        <v>13</v>
      </c>
      <c r="H36553" s="4" t="s">
        <v>11</v>
      </c>
      <c r="I36553" s="4" t="s">
        <v>7</v>
      </c>
    </row>
    <row r="36554" spans="1:13">
      <c r="A36554" t="n">
        <v>358860</v>
      </c>
      <c r="B36554" s="51" t="n">
        <v>45</v>
      </c>
      <c r="C36554" s="7" t="n">
        <v>4</v>
      </c>
      <c r="D36554" s="7" t="n">
        <v>3</v>
      </c>
      <c r="E36554" s="7" t="n">
        <v>0.519999980926514</v>
      </c>
      <c r="F36554" s="7" t="n">
        <v>208.940002441406</v>
      </c>
      <c r="G36554" s="7" t="n">
        <v>0</v>
      </c>
      <c r="H36554" s="7" t="n">
        <v>0</v>
      </c>
      <c r="I36554" s="7" t="n">
        <v>0</v>
      </c>
    </row>
    <row r="36555" spans="1:13">
      <c r="A36555" t="s">
        <v>4</v>
      </c>
      <c r="B36555" s="4" t="s">
        <v>5</v>
      </c>
      <c r="C36555" s="4" t="s">
        <v>7</v>
      </c>
      <c r="D36555" s="4" t="s">
        <v>7</v>
      </c>
      <c r="E36555" s="4" t="s">
        <v>13</v>
      </c>
      <c r="F36555" s="4" t="s">
        <v>11</v>
      </c>
    </row>
    <row r="36556" spans="1:13">
      <c r="A36556" t="n">
        <v>358878</v>
      </c>
      <c r="B36556" s="51" t="n">
        <v>45</v>
      </c>
      <c r="C36556" s="7" t="n">
        <v>5</v>
      </c>
      <c r="D36556" s="7" t="n">
        <v>3</v>
      </c>
      <c r="E36556" s="7" t="n">
        <v>1</v>
      </c>
      <c r="F36556" s="7" t="n">
        <v>0</v>
      </c>
    </row>
    <row r="36557" spans="1:13">
      <c r="A36557" t="s">
        <v>4</v>
      </c>
      <c r="B36557" s="4" t="s">
        <v>5</v>
      </c>
      <c r="C36557" s="4" t="s">
        <v>7</v>
      </c>
      <c r="D36557" s="4" t="s">
        <v>7</v>
      </c>
      <c r="E36557" s="4" t="s">
        <v>13</v>
      </c>
      <c r="F36557" s="4" t="s">
        <v>11</v>
      </c>
    </row>
    <row r="36558" spans="1:13">
      <c r="A36558" t="n">
        <v>358887</v>
      </c>
      <c r="B36558" s="51" t="n">
        <v>45</v>
      </c>
      <c r="C36558" s="7" t="n">
        <v>11</v>
      </c>
      <c r="D36558" s="7" t="n">
        <v>3</v>
      </c>
      <c r="E36558" s="7" t="n">
        <v>34</v>
      </c>
      <c r="F36558" s="7" t="n">
        <v>0</v>
      </c>
    </row>
    <row r="36559" spans="1:13">
      <c r="A36559" t="s">
        <v>4</v>
      </c>
      <c r="B36559" s="4" t="s">
        <v>5</v>
      </c>
      <c r="C36559" s="4" t="s">
        <v>7</v>
      </c>
      <c r="D36559" s="4" t="s">
        <v>11</v>
      </c>
    </row>
    <row r="36560" spans="1:13">
      <c r="A36560" t="n">
        <v>358896</v>
      </c>
      <c r="B36560" s="23" t="n">
        <v>58</v>
      </c>
      <c r="C36560" s="7" t="n">
        <v>255</v>
      </c>
      <c r="D36560" s="7" t="n">
        <v>0</v>
      </c>
    </row>
    <row r="36561" spans="1:9">
      <c r="A36561" t="s">
        <v>4</v>
      </c>
      <c r="B36561" s="4" t="s">
        <v>5</v>
      </c>
      <c r="C36561" s="4" t="s">
        <v>7</v>
      </c>
      <c r="D36561" s="4" t="s">
        <v>11</v>
      </c>
      <c r="E36561" s="4" t="s">
        <v>8</v>
      </c>
    </row>
    <row r="36562" spans="1:9">
      <c r="A36562" t="n">
        <v>358900</v>
      </c>
      <c r="B36562" s="38" t="n">
        <v>51</v>
      </c>
      <c r="C36562" s="7" t="n">
        <v>4</v>
      </c>
      <c r="D36562" s="7" t="n">
        <v>6</v>
      </c>
      <c r="E36562" s="7" t="s">
        <v>304</v>
      </c>
    </row>
    <row r="36563" spans="1:9">
      <c r="A36563" t="s">
        <v>4</v>
      </c>
      <c r="B36563" s="4" t="s">
        <v>5</v>
      </c>
      <c r="C36563" s="4" t="s">
        <v>11</v>
      </c>
    </row>
    <row r="36564" spans="1:9">
      <c r="A36564" t="n">
        <v>358913</v>
      </c>
      <c r="B36564" s="29" t="n">
        <v>16</v>
      </c>
      <c r="C36564" s="7" t="n">
        <v>0</v>
      </c>
    </row>
    <row r="36565" spans="1:9">
      <c r="A36565" t="s">
        <v>4</v>
      </c>
      <c r="B36565" s="4" t="s">
        <v>5</v>
      </c>
      <c r="C36565" s="4" t="s">
        <v>11</v>
      </c>
      <c r="D36565" s="4" t="s">
        <v>7</v>
      </c>
      <c r="E36565" s="4" t="s">
        <v>15</v>
      </c>
      <c r="F36565" s="4" t="s">
        <v>55</v>
      </c>
      <c r="G36565" s="4" t="s">
        <v>7</v>
      </c>
      <c r="H36565" s="4" t="s">
        <v>7</v>
      </c>
      <c r="I36565" s="4" t="s">
        <v>7</v>
      </c>
      <c r="J36565" s="4" t="s">
        <v>15</v>
      </c>
      <c r="K36565" s="4" t="s">
        <v>55</v>
      </c>
      <c r="L36565" s="4" t="s">
        <v>7</v>
      </c>
      <c r="M36565" s="4" t="s">
        <v>7</v>
      </c>
    </row>
    <row r="36566" spans="1:9">
      <c r="A36566" t="n">
        <v>358916</v>
      </c>
      <c r="B36566" s="55" t="n">
        <v>26</v>
      </c>
      <c r="C36566" s="7" t="n">
        <v>6</v>
      </c>
      <c r="D36566" s="7" t="n">
        <v>17</v>
      </c>
      <c r="E36566" s="7" t="n">
        <v>64175</v>
      </c>
      <c r="F36566" s="7" t="s">
        <v>1070</v>
      </c>
      <c r="G36566" s="7" t="n">
        <v>2</v>
      </c>
      <c r="H36566" s="7" t="n">
        <v>3</v>
      </c>
      <c r="I36566" s="7" t="n">
        <v>17</v>
      </c>
      <c r="J36566" s="7" t="n">
        <v>64176</v>
      </c>
      <c r="K36566" s="7" t="s">
        <v>1071</v>
      </c>
      <c r="L36566" s="7" t="n">
        <v>2</v>
      </c>
      <c r="M36566" s="7" t="n">
        <v>0</v>
      </c>
    </row>
    <row r="36567" spans="1:9">
      <c r="A36567" t="s">
        <v>4</v>
      </c>
      <c r="B36567" s="4" t="s">
        <v>5</v>
      </c>
    </row>
    <row r="36568" spans="1:9">
      <c r="A36568" t="n">
        <v>359075</v>
      </c>
      <c r="B36568" s="27" t="n">
        <v>28</v>
      </c>
    </row>
    <row r="36569" spans="1:9">
      <c r="A36569" t="s">
        <v>4</v>
      </c>
      <c r="B36569" s="4" t="s">
        <v>5</v>
      </c>
      <c r="C36569" s="4" t="s">
        <v>7</v>
      </c>
      <c r="D36569" s="4" t="s">
        <v>11</v>
      </c>
      <c r="E36569" s="4" t="s">
        <v>8</v>
      </c>
    </row>
    <row r="36570" spans="1:9">
      <c r="A36570" t="n">
        <v>359076</v>
      </c>
      <c r="B36570" s="38" t="n">
        <v>51</v>
      </c>
      <c r="C36570" s="7" t="n">
        <v>4</v>
      </c>
      <c r="D36570" s="7" t="n">
        <v>0</v>
      </c>
      <c r="E36570" s="7" t="s">
        <v>304</v>
      </c>
    </row>
    <row r="36571" spans="1:9">
      <c r="A36571" t="s">
        <v>4</v>
      </c>
      <c r="B36571" s="4" t="s">
        <v>5</v>
      </c>
      <c r="C36571" s="4" t="s">
        <v>11</v>
      </c>
    </row>
    <row r="36572" spans="1:9">
      <c r="A36572" t="n">
        <v>359089</v>
      </c>
      <c r="B36572" s="29" t="n">
        <v>16</v>
      </c>
      <c r="C36572" s="7" t="n">
        <v>0</v>
      </c>
    </row>
    <row r="36573" spans="1:9">
      <c r="A36573" t="s">
        <v>4</v>
      </c>
      <c r="B36573" s="4" t="s">
        <v>5</v>
      </c>
      <c r="C36573" s="4" t="s">
        <v>11</v>
      </c>
      <c r="D36573" s="4" t="s">
        <v>7</v>
      </c>
      <c r="E36573" s="4" t="s">
        <v>15</v>
      </c>
      <c r="F36573" s="4" t="s">
        <v>55</v>
      </c>
      <c r="G36573" s="4" t="s">
        <v>7</v>
      </c>
      <c r="H36573" s="4" t="s">
        <v>7</v>
      </c>
    </row>
    <row r="36574" spans="1:9">
      <c r="A36574" t="n">
        <v>359092</v>
      </c>
      <c r="B36574" s="55" t="n">
        <v>26</v>
      </c>
      <c r="C36574" s="7" t="n">
        <v>0</v>
      </c>
      <c r="D36574" s="7" t="n">
        <v>17</v>
      </c>
      <c r="E36574" s="7" t="n">
        <v>64177</v>
      </c>
      <c r="F36574" s="7" t="s">
        <v>1072</v>
      </c>
      <c r="G36574" s="7" t="n">
        <v>2</v>
      </c>
      <c r="H36574" s="7" t="n">
        <v>0</v>
      </c>
    </row>
    <row r="36575" spans="1:9">
      <c r="A36575" t="s">
        <v>4</v>
      </c>
      <c r="B36575" s="4" t="s">
        <v>5</v>
      </c>
    </row>
    <row r="36576" spans="1:9">
      <c r="A36576" t="n">
        <v>359138</v>
      </c>
      <c r="B36576" s="27" t="n">
        <v>28</v>
      </c>
    </row>
    <row r="36577" spans="1:13">
      <c r="A36577" t="s">
        <v>4</v>
      </c>
      <c r="B36577" s="4" t="s">
        <v>5</v>
      </c>
      <c r="C36577" s="4" t="s">
        <v>11</v>
      </c>
      <c r="D36577" s="4" t="s">
        <v>7</v>
      </c>
    </row>
    <row r="36578" spans="1:13">
      <c r="A36578" t="n">
        <v>359139</v>
      </c>
      <c r="B36578" s="68" t="n">
        <v>89</v>
      </c>
      <c r="C36578" s="7" t="n">
        <v>65533</v>
      </c>
      <c r="D36578" s="7" t="n">
        <v>1</v>
      </c>
    </row>
    <row r="36579" spans="1:13">
      <c r="A36579" t="s">
        <v>4</v>
      </c>
      <c r="B36579" s="4" t="s">
        <v>5</v>
      </c>
      <c r="C36579" s="4" t="s">
        <v>7</v>
      </c>
      <c r="D36579" s="4" t="s">
        <v>11</v>
      </c>
      <c r="E36579" s="4" t="s">
        <v>8</v>
      </c>
      <c r="F36579" s="4" t="s">
        <v>8</v>
      </c>
      <c r="G36579" s="4" t="s">
        <v>8</v>
      </c>
      <c r="H36579" s="4" t="s">
        <v>8</v>
      </c>
    </row>
    <row r="36580" spans="1:13">
      <c r="A36580" t="n">
        <v>359143</v>
      </c>
      <c r="B36580" s="38" t="n">
        <v>51</v>
      </c>
      <c r="C36580" s="7" t="n">
        <v>3</v>
      </c>
      <c r="D36580" s="7" t="n">
        <v>6</v>
      </c>
      <c r="E36580" s="7" t="s">
        <v>295</v>
      </c>
      <c r="F36580" s="7" t="s">
        <v>79</v>
      </c>
      <c r="G36580" s="7" t="s">
        <v>78</v>
      </c>
      <c r="H36580" s="7" t="s">
        <v>79</v>
      </c>
    </row>
    <row r="36581" spans="1:13">
      <c r="A36581" t="s">
        <v>4</v>
      </c>
      <c r="B36581" s="4" t="s">
        <v>5</v>
      </c>
      <c r="C36581" s="4" t="s">
        <v>11</v>
      </c>
      <c r="D36581" s="4" t="s">
        <v>13</v>
      </c>
      <c r="E36581" s="4" t="s">
        <v>13</v>
      </c>
      <c r="F36581" s="4" t="s">
        <v>13</v>
      </c>
      <c r="G36581" s="4" t="s">
        <v>11</v>
      </c>
      <c r="H36581" s="4" t="s">
        <v>11</v>
      </c>
    </row>
    <row r="36582" spans="1:13">
      <c r="A36582" t="n">
        <v>359156</v>
      </c>
      <c r="B36582" s="37" t="n">
        <v>60</v>
      </c>
      <c r="C36582" s="7" t="n">
        <v>6</v>
      </c>
      <c r="D36582" s="7" t="n">
        <v>-45</v>
      </c>
      <c r="E36582" s="7" t="n">
        <v>0</v>
      </c>
      <c r="F36582" s="7" t="n">
        <v>0</v>
      </c>
      <c r="G36582" s="7" t="n">
        <v>1000</v>
      </c>
      <c r="H36582" s="7" t="n">
        <v>0</v>
      </c>
    </row>
    <row r="36583" spans="1:13">
      <c r="A36583" t="s">
        <v>4</v>
      </c>
      <c r="B36583" s="4" t="s">
        <v>5</v>
      </c>
      <c r="C36583" s="4" t="s">
        <v>11</v>
      </c>
    </row>
    <row r="36584" spans="1:13">
      <c r="A36584" t="n">
        <v>359175</v>
      </c>
      <c r="B36584" s="29" t="n">
        <v>16</v>
      </c>
      <c r="C36584" s="7" t="n">
        <v>1000</v>
      </c>
    </row>
    <row r="36585" spans="1:13">
      <c r="A36585" t="s">
        <v>4</v>
      </c>
      <c r="B36585" s="4" t="s">
        <v>5</v>
      </c>
      <c r="C36585" s="4" t="s">
        <v>7</v>
      </c>
      <c r="D36585" s="4" t="s">
        <v>11</v>
      </c>
      <c r="E36585" s="4" t="s">
        <v>8</v>
      </c>
      <c r="F36585" s="4" t="s">
        <v>8</v>
      </c>
      <c r="G36585" s="4" t="s">
        <v>8</v>
      </c>
      <c r="H36585" s="4" t="s">
        <v>8</v>
      </c>
    </row>
    <row r="36586" spans="1:13">
      <c r="A36586" t="n">
        <v>359178</v>
      </c>
      <c r="B36586" s="38" t="n">
        <v>51</v>
      </c>
      <c r="C36586" s="7" t="n">
        <v>3</v>
      </c>
      <c r="D36586" s="7" t="n">
        <v>6</v>
      </c>
      <c r="E36586" s="7" t="s">
        <v>296</v>
      </c>
      <c r="F36586" s="7" t="s">
        <v>79</v>
      </c>
      <c r="G36586" s="7" t="s">
        <v>78</v>
      </c>
      <c r="H36586" s="7" t="s">
        <v>79</v>
      </c>
    </row>
    <row r="36587" spans="1:13">
      <c r="A36587" t="s">
        <v>4</v>
      </c>
      <c r="B36587" s="4" t="s">
        <v>5</v>
      </c>
      <c r="C36587" s="4" t="s">
        <v>11</v>
      </c>
      <c r="D36587" s="4" t="s">
        <v>13</v>
      </c>
      <c r="E36587" s="4" t="s">
        <v>13</v>
      </c>
      <c r="F36587" s="4" t="s">
        <v>13</v>
      </c>
      <c r="G36587" s="4" t="s">
        <v>11</v>
      </c>
      <c r="H36587" s="4" t="s">
        <v>11</v>
      </c>
    </row>
    <row r="36588" spans="1:13">
      <c r="A36588" t="n">
        <v>359192</v>
      </c>
      <c r="B36588" s="37" t="n">
        <v>60</v>
      </c>
      <c r="C36588" s="7" t="n">
        <v>6</v>
      </c>
      <c r="D36588" s="7" t="n">
        <v>45</v>
      </c>
      <c r="E36588" s="7" t="n">
        <v>0</v>
      </c>
      <c r="F36588" s="7" t="n">
        <v>0</v>
      </c>
      <c r="G36588" s="7" t="n">
        <v>1000</v>
      </c>
      <c r="H36588" s="7" t="n">
        <v>0</v>
      </c>
    </row>
    <row r="36589" spans="1:13">
      <c r="A36589" t="s">
        <v>4</v>
      </c>
      <c r="B36589" s="4" t="s">
        <v>5</v>
      </c>
      <c r="C36589" s="4" t="s">
        <v>11</v>
      </c>
    </row>
    <row r="36590" spans="1:13">
      <c r="A36590" t="n">
        <v>359211</v>
      </c>
      <c r="B36590" s="29" t="n">
        <v>16</v>
      </c>
      <c r="C36590" s="7" t="n">
        <v>1200</v>
      </c>
    </row>
    <row r="36591" spans="1:13">
      <c r="A36591" t="s">
        <v>4</v>
      </c>
      <c r="B36591" s="4" t="s">
        <v>5</v>
      </c>
      <c r="C36591" s="4" t="s">
        <v>7</v>
      </c>
      <c r="D36591" s="4" t="s">
        <v>11</v>
      </c>
      <c r="E36591" s="4" t="s">
        <v>8</v>
      </c>
      <c r="F36591" s="4" t="s">
        <v>8</v>
      </c>
      <c r="G36591" s="4" t="s">
        <v>8</v>
      </c>
      <c r="H36591" s="4" t="s">
        <v>8</v>
      </c>
    </row>
    <row r="36592" spans="1:13">
      <c r="A36592" t="n">
        <v>359214</v>
      </c>
      <c r="B36592" s="38" t="n">
        <v>51</v>
      </c>
      <c r="C36592" s="7" t="n">
        <v>3</v>
      </c>
      <c r="D36592" s="7" t="n">
        <v>6</v>
      </c>
      <c r="E36592" s="7" t="s">
        <v>86</v>
      </c>
      <c r="F36592" s="7" t="s">
        <v>99</v>
      </c>
      <c r="G36592" s="7" t="s">
        <v>78</v>
      </c>
      <c r="H36592" s="7" t="s">
        <v>79</v>
      </c>
    </row>
    <row r="36593" spans="1:8">
      <c r="A36593" t="s">
        <v>4</v>
      </c>
      <c r="B36593" s="4" t="s">
        <v>5</v>
      </c>
      <c r="C36593" s="4" t="s">
        <v>11</v>
      </c>
      <c r="D36593" s="4" t="s">
        <v>13</v>
      </c>
      <c r="E36593" s="4" t="s">
        <v>13</v>
      </c>
      <c r="F36593" s="4" t="s">
        <v>13</v>
      </c>
      <c r="G36593" s="4" t="s">
        <v>11</v>
      </c>
      <c r="H36593" s="4" t="s">
        <v>11</v>
      </c>
    </row>
    <row r="36594" spans="1:8">
      <c r="A36594" t="n">
        <v>359227</v>
      </c>
      <c r="B36594" s="37" t="n">
        <v>60</v>
      </c>
      <c r="C36594" s="7" t="n">
        <v>6</v>
      </c>
      <c r="D36594" s="7" t="n">
        <v>0</v>
      </c>
      <c r="E36594" s="7" t="n">
        <v>0</v>
      </c>
      <c r="F36594" s="7" t="n">
        <v>0</v>
      </c>
      <c r="G36594" s="7" t="n">
        <v>1000</v>
      </c>
      <c r="H36594" s="7" t="n">
        <v>0</v>
      </c>
    </row>
    <row r="36595" spans="1:8">
      <c r="A36595" t="s">
        <v>4</v>
      </c>
      <c r="B36595" s="4" t="s">
        <v>5</v>
      </c>
      <c r="C36595" s="4" t="s">
        <v>11</v>
      </c>
    </row>
    <row r="36596" spans="1:8">
      <c r="A36596" t="n">
        <v>359246</v>
      </c>
      <c r="B36596" s="29" t="n">
        <v>16</v>
      </c>
      <c r="C36596" s="7" t="n">
        <v>1000</v>
      </c>
    </row>
    <row r="36597" spans="1:8">
      <c r="A36597" t="s">
        <v>4</v>
      </c>
      <c r="B36597" s="4" t="s">
        <v>5</v>
      </c>
      <c r="C36597" s="4" t="s">
        <v>7</v>
      </c>
      <c r="D36597" s="4" t="s">
        <v>11</v>
      </c>
      <c r="E36597" s="4" t="s">
        <v>8</v>
      </c>
    </row>
    <row r="36598" spans="1:8">
      <c r="A36598" t="n">
        <v>359249</v>
      </c>
      <c r="B36598" s="38" t="n">
        <v>51</v>
      </c>
      <c r="C36598" s="7" t="n">
        <v>4</v>
      </c>
      <c r="D36598" s="7" t="n">
        <v>6</v>
      </c>
      <c r="E36598" s="7" t="s">
        <v>173</v>
      </c>
    </row>
    <row r="36599" spans="1:8">
      <c r="A36599" t="s">
        <v>4</v>
      </c>
      <c r="B36599" s="4" t="s">
        <v>5</v>
      </c>
      <c r="C36599" s="4" t="s">
        <v>11</v>
      </c>
    </row>
    <row r="36600" spans="1:8">
      <c r="A36600" t="n">
        <v>359262</v>
      </c>
      <c r="B36600" s="29" t="n">
        <v>16</v>
      </c>
      <c r="C36600" s="7" t="n">
        <v>0</v>
      </c>
    </row>
    <row r="36601" spans="1:8">
      <c r="A36601" t="s">
        <v>4</v>
      </c>
      <c r="B36601" s="4" t="s">
        <v>5</v>
      </c>
      <c r="C36601" s="4" t="s">
        <v>11</v>
      </c>
      <c r="D36601" s="4" t="s">
        <v>7</v>
      </c>
      <c r="E36601" s="4" t="s">
        <v>15</v>
      </c>
      <c r="F36601" s="4" t="s">
        <v>55</v>
      </c>
      <c r="G36601" s="4" t="s">
        <v>7</v>
      </c>
      <c r="H36601" s="4" t="s">
        <v>7</v>
      </c>
      <c r="I36601" s="4" t="s">
        <v>7</v>
      </c>
      <c r="J36601" s="4" t="s">
        <v>15</v>
      </c>
      <c r="K36601" s="4" t="s">
        <v>55</v>
      </c>
      <c r="L36601" s="4" t="s">
        <v>7</v>
      </c>
      <c r="M36601" s="4" t="s">
        <v>7</v>
      </c>
    </row>
    <row r="36602" spans="1:8">
      <c r="A36602" t="n">
        <v>359265</v>
      </c>
      <c r="B36602" s="55" t="n">
        <v>26</v>
      </c>
      <c r="C36602" s="7" t="n">
        <v>6</v>
      </c>
      <c r="D36602" s="7" t="n">
        <v>17</v>
      </c>
      <c r="E36602" s="7" t="n">
        <v>64178</v>
      </c>
      <c r="F36602" s="7" t="s">
        <v>1073</v>
      </c>
      <c r="G36602" s="7" t="n">
        <v>2</v>
      </c>
      <c r="H36602" s="7" t="n">
        <v>3</v>
      </c>
      <c r="I36602" s="7" t="n">
        <v>17</v>
      </c>
      <c r="J36602" s="7" t="n">
        <v>64179</v>
      </c>
      <c r="K36602" s="7" t="s">
        <v>1074</v>
      </c>
      <c r="L36602" s="7" t="n">
        <v>2</v>
      </c>
      <c r="M36602" s="7" t="n">
        <v>0</v>
      </c>
    </row>
    <row r="36603" spans="1:8">
      <c r="A36603" t="s">
        <v>4</v>
      </c>
      <c r="B36603" s="4" t="s">
        <v>5</v>
      </c>
    </row>
    <row r="36604" spans="1:8">
      <c r="A36604" t="n">
        <v>359445</v>
      </c>
      <c r="B36604" s="27" t="n">
        <v>28</v>
      </c>
    </row>
    <row r="36605" spans="1:8">
      <c r="A36605" t="s">
        <v>4</v>
      </c>
      <c r="B36605" s="4" t="s">
        <v>5</v>
      </c>
      <c r="C36605" s="4" t="s">
        <v>7</v>
      </c>
      <c r="D36605" s="4" t="s">
        <v>11</v>
      </c>
      <c r="E36605" s="4" t="s">
        <v>8</v>
      </c>
    </row>
    <row r="36606" spans="1:8">
      <c r="A36606" t="n">
        <v>359446</v>
      </c>
      <c r="B36606" s="38" t="n">
        <v>51</v>
      </c>
      <c r="C36606" s="7" t="n">
        <v>4</v>
      </c>
      <c r="D36606" s="7" t="n">
        <v>0</v>
      </c>
      <c r="E36606" s="7" t="s">
        <v>179</v>
      </c>
    </row>
    <row r="36607" spans="1:8">
      <c r="A36607" t="s">
        <v>4</v>
      </c>
      <c r="B36607" s="4" t="s">
        <v>5</v>
      </c>
      <c r="C36607" s="4" t="s">
        <v>11</v>
      </c>
    </row>
    <row r="36608" spans="1:8">
      <c r="A36608" t="n">
        <v>359460</v>
      </c>
      <c r="B36608" s="29" t="n">
        <v>16</v>
      </c>
      <c r="C36608" s="7" t="n">
        <v>0</v>
      </c>
    </row>
    <row r="36609" spans="1:13">
      <c r="A36609" t="s">
        <v>4</v>
      </c>
      <c r="B36609" s="4" t="s">
        <v>5</v>
      </c>
      <c r="C36609" s="4" t="s">
        <v>11</v>
      </c>
      <c r="D36609" s="4" t="s">
        <v>7</v>
      </c>
      <c r="E36609" s="4" t="s">
        <v>15</v>
      </c>
      <c r="F36609" s="4" t="s">
        <v>55</v>
      </c>
      <c r="G36609" s="4" t="s">
        <v>7</v>
      </c>
      <c r="H36609" s="4" t="s">
        <v>7</v>
      </c>
      <c r="I36609" s="4" t="s">
        <v>7</v>
      </c>
      <c r="J36609" s="4" t="s">
        <v>15</v>
      </c>
      <c r="K36609" s="4" t="s">
        <v>55</v>
      </c>
      <c r="L36609" s="4" t="s">
        <v>7</v>
      </c>
      <c r="M36609" s="4" t="s">
        <v>7</v>
      </c>
      <c r="N36609" s="4" t="s">
        <v>7</v>
      </c>
      <c r="O36609" s="4" t="s">
        <v>15</v>
      </c>
      <c r="P36609" s="4" t="s">
        <v>55</v>
      </c>
      <c r="Q36609" s="4" t="s">
        <v>7</v>
      </c>
      <c r="R36609" s="4" t="s">
        <v>7</v>
      </c>
    </row>
    <row r="36610" spans="1:13">
      <c r="A36610" t="n">
        <v>359463</v>
      </c>
      <c r="B36610" s="55" t="n">
        <v>26</v>
      </c>
      <c r="C36610" s="7" t="n">
        <v>0</v>
      </c>
      <c r="D36610" s="7" t="n">
        <v>17</v>
      </c>
      <c r="E36610" s="7" t="n">
        <v>64180</v>
      </c>
      <c r="F36610" s="7" t="s">
        <v>1075</v>
      </c>
      <c r="G36610" s="7" t="n">
        <v>2</v>
      </c>
      <c r="H36610" s="7" t="n">
        <v>3</v>
      </c>
      <c r="I36610" s="7" t="n">
        <v>17</v>
      </c>
      <c r="J36610" s="7" t="n">
        <v>64181</v>
      </c>
      <c r="K36610" s="7" t="s">
        <v>1076</v>
      </c>
      <c r="L36610" s="7" t="n">
        <v>2</v>
      </c>
      <c r="M36610" s="7" t="n">
        <v>3</v>
      </c>
      <c r="N36610" s="7" t="n">
        <v>17</v>
      </c>
      <c r="O36610" s="7" t="n">
        <v>64182</v>
      </c>
      <c r="P36610" s="7" t="s">
        <v>1077</v>
      </c>
      <c r="Q36610" s="7" t="n">
        <v>2</v>
      </c>
      <c r="R36610" s="7" t="n">
        <v>0</v>
      </c>
    </row>
    <row r="36611" spans="1:13">
      <c r="A36611" t="s">
        <v>4</v>
      </c>
      <c r="B36611" s="4" t="s">
        <v>5</v>
      </c>
    </row>
    <row r="36612" spans="1:13">
      <c r="A36612" t="n">
        <v>359638</v>
      </c>
      <c r="B36612" s="27" t="n">
        <v>28</v>
      </c>
    </row>
    <row r="36613" spans="1:13">
      <c r="A36613" t="s">
        <v>4</v>
      </c>
      <c r="B36613" s="4" t="s">
        <v>5</v>
      </c>
      <c r="C36613" s="4" t="s">
        <v>7</v>
      </c>
      <c r="D36613" s="4" t="s">
        <v>11</v>
      </c>
      <c r="E36613" s="4" t="s">
        <v>8</v>
      </c>
    </row>
    <row r="36614" spans="1:13">
      <c r="A36614" t="n">
        <v>359639</v>
      </c>
      <c r="B36614" s="38" t="n">
        <v>51</v>
      </c>
      <c r="C36614" s="7" t="n">
        <v>4</v>
      </c>
      <c r="D36614" s="7" t="n">
        <v>6</v>
      </c>
      <c r="E36614" s="7" t="s">
        <v>233</v>
      </c>
    </row>
    <row r="36615" spans="1:13">
      <c r="A36615" t="s">
        <v>4</v>
      </c>
      <c r="B36615" s="4" t="s">
        <v>5</v>
      </c>
      <c r="C36615" s="4" t="s">
        <v>11</v>
      </c>
    </row>
    <row r="36616" spans="1:13">
      <c r="A36616" t="n">
        <v>359652</v>
      </c>
      <c r="B36616" s="29" t="n">
        <v>16</v>
      </c>
      <c r="C36616" s="7" t="n">
        <v>0</v>
      </c>
    </row>
    <row r="36617" spans="1:13">
      <c r="A36617" t="s">
        <v>4</v>
      </c>
      <c r="B36617" s="4" t="s">
        <v>5</v>
      </c>
      <c r="C36617" s="4" t="s">
        <v>11</v>
      </c>
      <c r="D36617" s="4" t="s">
        <v>7</v>
      </c>
      <c r="E36617" s="4" t="s">
        <v>15</v>
      </c>
      <c r="F36617" s="4" t="s">
        <v>55</v>
      </c>
      <c r="G36617" s="4" t="s">
        <v>7</v>
      </c>
      <c r="H36617" s="4" t="s">
        <v>7</v>
      </c>
    </row>
    <row r="36618" spans="1:13">
      <c r="A36618" t="n">
        <v>359655</v>
      </c>
      <c r="B36618" s="55" t="n">
        <v>26</v>
      </c>
      <c r="C36618" s="7" t="n">
        <v>6</v>
      </c>
      <c r="D36618" s="7" t="n">
        <v>17</v>
      </c>
      <c r="E36618" s="7" t="n">
        <v>64183</v>
      </c>
      <c r="F36618" s="7" t="s">
        <v>1078</v>
      </c>
      <c r="G36618" s="7" t="n">
        <v>2</v>
      </c>
      <c r="H36618" s="7" t="n">
        <v>0</v>
      </c>
    </row>
    <row r="36619" spans="1:13">
      <c r="A36619" t="s">
        <v>4</v>
      </c>
      <c r="B36619" s="4" t="s">
        <v>5</v>
      </c>
    </row>
    <row r="36620" spans="1:13">
      <c r="A36620" t="n">
        <v>359684</v>
      </c>
      <c r="B36620" s="27" t="n">
        <v>28</v>
      </c>
    </row>
    <row r="36621" spans="1:13">
      <c r="A36621" t="s">
        <v>4</v>
      </c>
      <c r="B36621" s="4" t="s">
        <v>5</v>
      </c>
      <c r="C36621" s="4" t="s">
        <v>11</v>
      </c>
      <c r="D36621" s="4" t="s">
        <v>7</v>
      </c>
    </row>
    <row r="36622" spans="1:13">
      <c r="A36622" t="n">
        <v>359685</v>
      </c>
      <c r="B36622" s="68" t="n">
        <v>89</v>
      </c>
      <c r="C36622" s="7" t="n">
        <v>65533</v>
      </c>
      <c r="D36622" s="7" t="n">
        <v>1</v>
      </c>
    </row>
    <row r="36623" spans="1:13">
      <c r="A36623" t="s">
        <v>4</v>
      </c>
      <c r="B36623" s="4" t="s">
        <v>5</v>
      </c>
      <c r="C36623" s="4" t="s">
        <v>7</v>
      </c>
      <c r="D36623" s="4" t="s">
        <v>11</v>
      </c>
      <c r="E36623" s="4" t="s">
        <v>13</v>
      </c>
    </row>
    <row r="36624" spans="1:13">
      <c r="A36624" t="n">
        <v>359689</v>
      </c>
      <c r="B36624" s="23" t="n">
        <v>58</v>
      </c>
      <c r="C36624" s="7" t="n">
        <v>101</v>
      </c>
      <c r="D36624" s="7" t="n">
        <v>500</v>
      </c>
      <c r="E36624" s="7" t="n">
        <v>1</v>
      </c>
    </row>
    <row r="36625" spans="1:18">
      <c r="A36625" t="s">
        <v>4</v>
      </c>
      <c r="B36625" s="4" t="s">
        <v>5</v>
      </c>
      <c r="C36625" s="4" t="s">
        <v>7</v>
      </c>
      <c r="D36625" s="4" t="s">
        <v>11</v>
      </c>
    </row>
    <row r="36626" spans="1:18">
      <c r="A36626" t="n">
        <v>359697</v>
      </c>
      <c r="B36626" s="23" t="n">
        <v>58</v>
      </c>
      <c r="C36626" s="7" t="n">
        <v>254</v>
      </c>
      <c r="D36626" s="7" t="n">
        <v>0</v>
      </c>
    </row>
    <row r="36627" spans="1:18">
      <c r="A36627" t="s">
        <v>4</v>
      </c>
      <c r="B36627" s="4" t="s">
        <v>5</v>
      </c>
      <c r="C36627" s="4" t="s">
        <v>7</v>
      </c>
      <c r="D36627" s="4" t="s">
        <v>11</v>
      </c>
      <c r="E36627" s="4" t="s">
        <v>8</v>
      </c>
      <c r="F36627" s="4" t="s">
        <v>8</v>
      </c>
      <c r="G36627" s="4" t="s">
        <v>8</v>
      </c>
      <c r="H36627" s="4" t="s">
        <v>8</v>
      </c>
    </row>
    <row r="36628" spans="1:18">
      <c r="A36628" t="n">
        <v>359701</v>
      </c>
      <c r="B36628" s="38" t="n">
        <v>51</v>
      </c>
      <c r="C36628" s="7" t="n">
        <v>3</v>
      </c>
      <c r="D36628" s="7" t="n">
        <v>0</v>
      </c>
      <c r="E36628" s="7" t="s">
        <v>65</v>
      </c>
      <c r="F36628" s="7" t="s">
        <v>99</v>
      </c>
      <c r="G36628" s="7" t="s">
        <v>78</v>
      </c>
      <c r="H36628" s="7" t="s">
        <v>79</v>
      </c>
    </row>
    <row r="36629" spans="1:18">
      <c r="A36629" t="s">
        <v>4</v>
      </c>
      <c r="B36629" s="4" t="s">
        <v>5</v>
      </c>
      <c r="C36629" s="4" t="s">
        <v>7</v>
      </c>
      <c r="D36629" s="4" t="s">
        <v>11</v>
      </c>
      <c r="E36629" s="4" t="s">
        <v>8</v>
      </c>
      <c r="F36629" s="4" t="s">
        <v>8</v>
      </c>
      <c r="G36629" s="4" t="s">
        <v>8</v>
      </c>
      <c r="H36629" s="4" t="s">
        <v>8</v>
      </c>
    </row>
    <row r="36630" spans="1:18">
      <c r="A36630" t="n">
        <v>359722</v>
      </c>
      <c r="B36630" s="38" t="n">
        <v>51</v>
      </c>
      <c r="C36630" s="7" t="n">
        <v>3</v>
      </c>
      <c r="D36630" s="7" t="n">
        <v>6</v>
      </c>
      <c r="E36630" s="7" t="s">
        <v>101</v>
      </c>
      <c r="F36630" s="7" t="s">
        <v>99</v>
      </c>
      <c r="G36630" s="7" t="s">
        <v>78</v>
      </c>
      <c r="H36630" s="7" t="s">
        <v>79</v>
      </c>
    </row>
    <row r="36631" spans="1:18">
      <c r="A36631" t="s">
        <v>4</v>
      </c>
      <c r="B36631" s="4" t="s">
        <v>5</v>
      </c>
      <c r="C36631" s="4" t="s">
        <v>11</v>
      </c>
      <c r="D36631" s="4" t="s">
        <v>11</v>
      </c>
      <c r="E36631" s="4" t="s">
        <v>11</v>
      </c>
    </row>
    <row r="36632" spans="1:18">
      <c r="A36632" t="n">
        <v>359743</v>
      </c>
      <c r="B36632" s="72" t="n">
        <v>61</v>
      </c>
      <c r="C36632" s="7" t="n">
        <v>0</v>
      </c>
      <c r="D36632" s="7" t="n">
        <v>65533</v>
      </c>
      <c r="E36632" s="7" t="n">
        <v>0</v>
      </c>
    </row>
    <row r="36633" spans="1:18">
      <c r="A36633" t="s">
        <v>4</v>
      </c>
      <c r="B36633" s="4" t="s">
        <v>5</v>
      </c>
      <c r="C36633" s="4" t="s">
        <v>11</v>
      </c>
      <c r="D36633" s="4" t="s">
        <v>11</v>
      </c>
      <c r="E36633" s="4" t="s">
        <v>11</v>
      </c>
    </row>
    <row r="36634" spans="1:18">
      <c r="A36634" t="n">
        <v>359750</v>
      </c>
      <c r="B36634" s="72" t="n">
        <v>61</v>
      </c>
      <c r="C36634" s="7" t="n">
        <v>6</v>
      </c>
      <c r="D36634" s="7" t="n">
        <v>65533</v>
      </c>
      <c r="E36634" s="7" t="n">
        <v>0</v>
      </c>
    </row>
    <row r="36635" spans="1:18">
      <c r="A36635" t="s">
        <v>4</v>
      </c>
      <c r="B36635" s="4" t="s">
        <v>5</v>
      </c>
      <c r="C36635" s="4" t="s">
        <v>7</v>
      </c>
    </row>
    <row r="36636" spans="1:18">
      <c r="A36636" t="n">
        <v>359757</v>
      </c>
      <c r="B36636" s="49" t="n">
        <v>116</v>
      </c>
      <c r="C36636" s="7" t="n">
        <v>0</v>
      </c>
    </row>
    <row r="36637" spans="1:18">
      <c r="A36637" t="s">
        <v>4</v>
      </c>
      <c r="B36637" s="4" t="s">
        <v>5</v>
      </c>
      <c r="C36637" s="4" t="s">
        <v>7</v>
      </c>
      <c r="D36637" s="4" t="s">
        <v>11</v>
      </c>
    </row>
    <row r="36638" spans="1:18">
      <c r="A36638" t="n">
        <v>359759</v>
      </c>
      <c r="B36638" s="49" t="n">
        <v>116</v>
      </c>
      <c r="C36638" s="7" t="n">
        <v>2</v>
      </c>
      <c r="D36638" s="7" t="n">
        <v>1</v>
      </c>
    </row>
    <row r="36639" spans="1:18">
      <c r="A36639" t="s">
        <v>4</v>
      </c>
      <c r="B36639" s="4" t="s">
        <v>5</v>
      </c>
      <c r="C36639" s="4" t="s">
        <v>7</v>
      </c>
      <c r="D36639" s="4" t="s">
        <v>15</v>
      </c>
    </row>
    <row r="36640" spans="1:18">
      <c r="A36640" t="n">
        <v>359763</v>
      </c>
      <c r="B36640" s="49" t="n">
        <v>116</v>
      </c>
      <c r="C36640" s="7" t="n">
        <v>5</v>
      </c>
      <c r="D36640" s="7" t="n">
        <v>1106247680</v>
      </c>
    </row>
    <row r="36641" spans="1:8">
      <c r="A36641" t="s">
        <v>4</v>
      </c>
      <c r="B36641" s="4" t="s">
        <v>5</v>
      </c>
      <c r="C36641" s="4" t="s">
        <v>7</v>
      </c>
      <c r="D36641" s="4" t="s">
        <v>11</v>
      </c>
    </row>
    <row r="36642" spans="1:8">
      <c r="A36642" t="n">
        <v>359769</v>
      </c>
      <c r="B36642" s="49" t="n">
        <v>116</v>
      </c>
      <c r="C36642" s="7" t="n">
        <v>6</v>
      </c>
      <c r="D36642" s="7" t="n">
        <v>1</v>
      </c>
    </row>
    <row r="36643" spans="1:8">
      <c r="A36643" t="s">
        <v>4</v>
      </c>
      <c r="B36643" s="4" t="s">
        <v>5</v>
      </c>
      <c r="C36643" s="4" t="s">
        <v>7</v>
      </c>
      <c r="D36643" s="4" t="s">
        <v>7</v>
      </c>
      <c r="E36643" s="4" t="s">
        <v>13</v>
      </c>
      <c r="F36643" s="4" t="s">
        <v>13</v>
      </c>
      <c r="G36643" s="4" t="s">
        <v>13</v>
      </c>
      <c r="H36643" s="4" t="s">
        <v>11</v>
      </c>
    </row>
    <row r="36644" spans="1:8">
      <c r="A36644" t="n">
        <v>359773</v>
      </c>
      <c r="B36644" s="51" t="n">
        <v>45</v>
      </c>
      <c r="C36644" s="7" t="n">
        <v>2</v>
      </c>
      <c r="D36644" s="7" t="n">
        <v>3</v>
      </c>
      <c r="E36644" s="7" t="n">
        <v>4.53000020980835</v>
      </c>
      <c r="F36644" s="7" t="n">
        <v>1.30999994277954</v>
      </c>
      <c r="G36644" s="7" t="n">
        <v>46.2700004577637</v>
      </c>
      <c r="H36644" s="7" t="n">
        <v>0</v>
      </c>
    </row>
    <row r="36645" spans="1:8">
      <c r="A36645" t="s">
        <v>4</v>
      </c>
      <c r="B36645" s="4" t="s">
        <v>5</v>
      </c>
      <c r="C36645" s="4" t="s">
        <v>7</v>
      </c>
      <c r="D36645" s="4" t="s">
        <v>7</v>
      </c>
      <c r="E36645" s="4" t="s">
        <v>13</v>
      </c>
      <c r="F36645" s="4" t="s">
        <v>13</v>
      </c>
      <c r="G36645" s="4" t="s">
        <v>13</v>
      </c>
      <c r="H36645" s="4" t="s">
        <v>11</v>
      </c>
      <c r="I36645" s="4" t="s">
        <v>7</v>
      </c>
    </row>
    <row r="36646" spans="1:8">
      <c r="A36646" t="n">
        <v>359790</v>
      </c>
      <c r="B36646" s="51" t="n">
        <v>45</v>
      </c>
      <c r="C36646" s="7" t="n">
        <v>4</v>
      </c>
      <c r="D36646" s="7" t="n">
        <v>3</v>
      </c>
      <c r="E36646" s="7" t="n">
        <v>12.8699998855591</v>
      </c>
      <c r="F36646" s="7" t="n">
        <v>80.0199966430664</v>
      </c>
      <c r="G36646" s="7" t="n">
        <v>0</v>
      </c>
      <c r="H36646" s="7" t="n">
        <v>0</v>
      </c>
      <c r="I36646" s="7" t="n">
        <v>0</v>
      </c>
    </row>
    <row r="36647" spans="1:8">
      <c r="A36647" t="s">
        <v>4</v>
      </c>
      <c r="B36647" s="4" t="s">
        <v>5</v>
      </c>
      <c r="C36647" s="4" t="s">
        <v>7</v>
      </c>
      <c r="D36647" s="4" t="s">
        <v>7</v>
      </c>
      <c r="E36647" s="4" t="s">
        <v>13</v>
      </c>
      <c r="F36647" s="4" t="s">
        <v>11</v>
      </c>
    </row>
    <row r="36648" spans="1:8">
      <c r="A36648" t="n">
        <v>359808</v>
      </c>
      <c r="B36648" s="51" t="n">
        <v>45</v>
      </c>
      <c r="C36648" s="7" t="n">
        <v>5</v>
      </c>
      <c r="D36648" s="7" t="n">
        <v>3</v>
      </c>
      <c r="E36648" s="7" t="n">
        <v>3</v>
      </c>
      <c r="F36648" s="7" t="n">
        <v>0</v>
      </c>
    </row>
    <row r="36649" spans="1:8">
      <c r="A36649" t="s">
        <v>4</v>
      </c>
      <c r="B36649" s="4" t="s">
        <v>5</v>
      </c>
      <c r="C36649" s="4" t="s">
        <v>7</v>
      </c>
      <c r="D36649" s="4" t="s">
        <v>7</v>
      </c>
      <c r="E36649" s="4" t="s">
        <v>13</v>
      </c>
      <c r="F36649" s="4" t="s">
        <v>11</v>
      </c>
    </row>
    <row r="36650" spans="1:8">
      <c r="A36650" t="n">
        <v>359817</v>
      </c>
      <c r="B36650" s="51" t="n">
        <v>45</v>
      </c>
      <c r="C36650" s="7" t="n">
        <v>11</v>
      </c>
      <c r="D36650" s="7" t="n">
        <v>3</v>
      </c>
      <c r="E36650" s="7" t="n">
        <v>34</v>
      </c>
      <c r="F36650" s="7" t="n">
        <v>0</v>
      </c>
    </row>
    <row r="36651" spans="1:8">
      <c r="A36651" t="s">
        <v>4</v>
      </c>
      <c r="B36651" s="4" t="s">
        <v>5</v>
      </c>
      <c r="C36651" s="4" t="s">
        <v>7</v>
      </c>
      <c r="D36651" s="4" t="s">
        <v>7</v>
      </c>
      <c r="E36651" s="4" t="s">
        <v>13</v>
      </c>
      <c r="F36651" s="4" t="s">
        <v>13</v>
      </c>
      <c r="G36651" s="4" t="s">
        <v>13</v>
      </c>
      <c r="H36651" s="4" t="s">
        <v>11</v>
      </c>
    </row>
    <row r="36652" spans="1:8">
      <c r="A36652" t="n">
        <v>359826</v>
      </c>
      <c r="B36652" s="51" t="n">
        <v>45</v>
      </c>
      <c r="C36652" s="7" t="n">
        <v>2</v>
      </c>
      <c r="D36652" s="7" t="n">
        <v>3</v>
      </c>
      <c r="E36652" s="7" t="n">
        <v>4.53000020980835</v>
      </c>
      <c r="F36652" s="7" t="n">
        <v>2.30999994277954</v>
      </c>
      <c r="G36652" s="7" t="n">
        <v>46.2700004577637</v>
      </c>
      <c r="H36652" s="7" t="n">
        <v>5000</v>
      </c>
    </row>
    <row r="36653" spans="1:8">
      <c r="A36653" t="s">
        <v>4</v>
      </c>
      <c r="B36653" s="4" t="s">
        <v>5</v>
      </c>
      <c r="C36653" s="4" t="s">
        <v>7</v>
      </c>
      <c r="D36653" s="4" t="s">
        <v>11</v>
      </c>
    </row>
    <row r="36654" spans="1:8">
      <c r="A36654" t="n">
        <v>359843</v>
      </c>
      <c r="B36654" s="23" t="n">
        <v>58</v>
      </c>
      <c r="C36654" s="7" t="n">
        <v>255</v>
      </c>
      <c r="D36654" s="7" t="n">
        <v>0</v>
      </c>
    </row>
    <row r="36655" spans="1:8">
      <c r="A36655" t="s">
        <v>4</v>
      </c>
      <c r="B36655" s="4" t="s">
        <v>5</v>
      </c>
      <c r="C36655" s="4" t="s">
        <v>11</v>
      </c>
      <c r="D36655" s="4" t="s">
        <v>13</v>
      </c>
      <c r="E36655" s="4" t="s">
        <v>13</v>
      </c>
      <c r="F36655" s="4" t="s">
        <v>7</v>
      </c>
    </row>
    <row r="36656" spans="1:8">
      <c r="A36656" t="n">
        <v>359847</v>
      </c>
      <c r="B36656" s="65" t="n">
        <v>52</v>
      </c>
      <c r="C36656" s="7" t="n">
        <v>0</v>
      </c>
      <c r="D36656" s="7" t="n">
        <v>255</v>
      </c>
      <c r="E36656" s="7" t="n">
        <v>5</v>
      </c>
      <c r="F36656" s="7" t="n">
        <v>0</v>
      </c>
    </row>
    <row r="36657" spans="1:9">
      <c r="A36657" t="s">
        <v>4</v>
      </c>
      <c r="B36657" s="4" t="s">
        <v>5</v>
      </c>
      <c r="C36657" s="4" t="s">
        <v>11</v>
      </c>
    </row>
    <row r="36658" spans="1:9">
      <c r="A36658" t="n">
        <v>359859</v>
      </c>
      <c r="B36658" s="29" t="n">
        <v>16</v>
      </c>
      <c r="C36658" s="7" t="n">
        <v>100</v>
      </c>
    </row>
    <row r="36659" spans="1:9">
      <c r="A36659" t="s">
        <v>4</v>
      </c>
      <c r="B36659" s="4" t="s">
        <v>5</v>
      </c>
      <c r="C36659" s="4" t="s">
        <v>11</v>
      </c>
      <c r="D36659" s="4" t="s">
        <v>13</v>
      </c>
      <c r="E36659" s="4" t="s">
        <v>13</v>
      </c>
      <c r="F36659" s="4" t="s">
        <v>7</v>
      </c>
    </row>
    <row r="36660" spans="1:9">
      <c r="A36660" t="n">
        <v>359862</v>
      </c>
      <c r="B36660" s="65" t="n">
        <v>52</v>
      </c>
      <c r="C36660" s="7" t="n">
        <v>6</v>
      </c>
      <c r="D36660" s="7" t="n">
        <v>255</v>
      </c>
      <c r="E36660" s="7" t="n">
        <v>5</v>
      </c>
      <c r="F36660" s="7" t="n">
        <v>0</v>
      </c>
    </row>
    <row r="36661" spans="1:9">
      <c r="A36661" t="s">
        <v>4</v>
      </c>
      <c r="B36661" s="4" t="s">
        <v>5</v>
      </c>
      <c r="C36661" s="4" t="s">
        <v>11</v>
      </c>
    </row>
    <row r="36662" spans="1:9">
      <c r="A36662" t="n">
        <v>359874</v>
      </c>
      <c r="B36662" s="66" t="n">
        <v>54</v>
      </c>
      <c r="C36662" s="7" t="n">
        <v>0</v>
      </c>
    </row>
    <row r="36663" spans="1:9">
      <c r="A36663" t="s">
        <v>4</v>
      </c>
      <c r="B36663" s="4" t="s">
        <v>5</v>
      </c>
      <c r="C36663" s="4" t="s">
        <v>11</v>
      </c>
      <c r="D36663" s="4" t="s">
        <v>11</v>
      </c>
      <c r="E36663" s="4" t="s">
        <v>13</v>
      </c>
      <c r="F36663" s="4" t="s">
        <v>13</v>
      </c>
      <c r="G36663" s="4" t="s">
        <v>13</v>
      </c>
      <c r="H36663" s="4" t="s">
        <v>13</v>
      </c>
      <c r="I36663" s="4" t="s">
        <v>7</v>
      </c>
      <c r="J36663" s="4" t="s">
        <v>11</v>
      </c>
    </row>
    <row r="36664" spans="1:9">
      <c r="A36664" t="n">
        <v>359877</v>
      </c>
      <c r="B36664" s="53" t="n">
        <v>55</v>
      </c>
      <c r="C36664" s="7" t="n">
        <v>0</v>
      </c>
      <c r="D36664" s="7" t="n">
        <v>65024</v>
      </c>
      <c r="E36664" s="7" t="n">
        <v>0</v>
      </c>
      <c r="F36664" s="7" t="n">
        <v>0</v>
      </c>
      <c r="G36664" s="7" t="n">
        <v>6</v>
      </c>
      <c r="H36664" s="7" t="n">
        <v>1.20000004768372</v>
      </c>
      <c r="I36664" s="7" t="n">
        <v>1</v>
      </c>
      <c r="J36664" s="7" t="n">
        <v>0</v>
      </c>
    </row>
    <row r="36665" spans="1:9">
      <c r="A36665" t="s">
        <v>4</v>
      </c>
      <c r="B36665" s="4" t="s">
        <v>5</v>
      </c>
      <c r="C36665" s="4" t="s">
        <v>11</v>
      </c>
    </row>
    <row r="36666" spans="1:9">
      <c r="A36666" t="n">
        <v>359901</v>
      </c>
      <c r="B36666" s="66" t="n">
        <v>54</v>
      </c>
      <c r="C36666" s="7" t="n">
        <v>6</v>
      </c>
    </row>
    <row r="36667" spans="1:9">
      <c r="A36667" t="s">
        <v>4</v>
      </c>
      <c r="B36667" s="4" t="s">
        <v>5</v>
      </c>
      <c r="C36667" s="4" t="s">
        <v>11</v>
      </c>
    </row>
    <row r="36668" spans="1:9">
      <c r="A36668" t="n">
        <v>359904</v>
      </c>
      <c r="B36668" s="29" t="n">
        <v>16</v>
      </c>
      <c r="C36668" s="7" t="n">
        <v>200</v>
      </c>
    </row>
    <row r="36669" spans="1:9">
      <c r="A36669" t="s">
        <v>4</v>
      </c>
      <c r="B36669" s="4" t="s">
        <v>5</v>
      </c>
      <c r="C36669" s="4" t="s">
        <v>11</v>
      </c>
      <c r="D36669" s="4" t="s">
        <v>11</v>
      </c>
      <c r="E36669" s="4" t="s">
        <v>13</v>
      </c>
      <c r="F36669" s="4" t="s">
        <v>13</v>
      </c>
      <c r="G36669" s="4" t="s">
        <v>13</v>
      </c>
      <c r="H36669" s="4" t="s">
        <v>13</v>
      </c>
      <c r="I36669" s="4" t="s">
        <v>7</v>
      </c>
      <c r="J36669" s="4" t="s">
        <v>11</v>
      </c>
    </row>
    <row r="36670" spans="1:9">
      <c r="A36670" t="n">
        <v>359907</v>
      </c>
      <c r="B36670" s="53" t="n">
        <v>55</v>
      </c>
      <c r="C36670" s="7" t="n">
        <v>6</v>
      </c>
      <c r="D36670" s="7" t="n">
        <v>65024</v>
      </c>
      <c r="E36670" s="7" t="n">
        <v>0</v>
      </c>
      <c r="F36670" s="7" t="n">
        <v>0</v>
      </c>
      <c r="G36670" s="7" t="n">
        <v>6</v>
      </c>
      <c r="H36670" s="7" t="n">
        <v>1.20000004768372</v>
      </c>
      <c r="I36670" s="7" t="n">
        <v>1</v>
      </c>
      <c r="J36670" s="7" t="n">
        <v>0</v>
      </c>
    </row>
    <row r="36671" spans="1:9">
      <c r="A36671" t="s">
        <v>4</v>
      </c>
      <c r="B36671" s="4" t="s">
        <v>5</v>
      </c>
      <c r="C36671" s="4" t="s">
        <v>11</v>
      </c>
    </row>
    <row r="36672" spans="1:9">
      <c r="A36672" t="n">
        <v>359931</v>
      </c>
      <c r="B36672" s="29" t="n">
        <v>16</v>
      </c>
      <c r="C36672" s="7" t="n">
        <v>2000</v>
      </c>
    </row>
    <row r="36673" spans="1:10">
      <c r="A36673" t="s">
        <v>4</v>
      </c>
      <c r="B36673" s="4" t="s">
        <v>5</v>
      </c>
      <c r="C36673" s="4" t="s">
        <v>7</v>
      </c>
      <c r="D36673" s="4" t="s">
        <v>11</v>
      </c>
      <c r="E36673" s="4" t="s">
        <v>13</v>
      </c>
    </row>
    <row r="36674" spans="1:10">
      <c r="A36674" t="n">
        <v>359934</v>
      </c>
      <c r="B36674" s="23" t="n">
        <v>58</v>
      </c>
      <c r="C36674" s="7" t="n">
        <v>0</v>
      </c>
      <c r="D36674" s="7" t="n">
        <v>1000</v>
      </c>
      <c r="E36674" s="7" t="n">
        <v>1</v>
      </c>
    </row>
    <row r="36675" spans="1:10">
      <c r="A36675" t="s">
        <v>4</v>
      </c>
      <c r="B36675" s="4" t="s">
        <v>5</v>
      </c>
      <c r="C36675" s="4" t="s">
        <v>7</v>
      </c>
      <c r="D36675" s="4" t="s">
        <v>11</v>
      </c>
    </row>
    <row r="36676" spans="1:10">
      <c r="A36676" t="n">
        <v>359942</v>
      </c>
      <c r="B36676" s="23" t="n">
        <v>58</v>
      </c>
      <c r="C36676" s="7" t="n">
        <v>255</v>
      </c>
      <c r="D36676" s="7" t="n">
        <v>0</v>
      </c>
    </row>
    <row r="36677" spans="1:10">
      <c r="A36677" t="s">
        <v>4</v>
      </c>
      <c r="B36677" s="4" t="s">
        <v>5</v>
      </c>
      <c r="C36677" s="4" t="s">
        <v>11</v>
      </c>
      <c r="D36677" s="4" t="s">
        <v>7</v>
      </c>
    </row>
    <row r="36678" spans="1:10">
      <c r="A36678" t="n">
        <v>359946</v>
      </c>
      <c r="B36678" s="54" t="n">
        <v>56</v>
      </c>
      <c r="C36678" s="7" t="n">
        <v>0</v>
      </c>
      <c r="D36678" s="7" t="n">
        <v>1</v>
      </c>
    </row>
    <row r="36679" spans="1:10">
      <c r="A36679" t="s">
        <v>4</v>
      </c>
      <c r="B36679" s="4" t="s">
        <v>5</v>
      </c>
      <c r="C36679" s="4" t="s">
        <v>11</v>
      </c>
      <c r="D36679" s="4" t="s">
        <v>7</v>
      </c>
    </row>
    <row r="36680" spans="1:10">
      <c r="A36680" t="n">
        <v>359950</v>
      </c>
      <c r="B36680" s="54" t="n">
        <v>56</v>
      </c>
      <c r="C36680" s="7" t="n">
        <v>6</v>
      </c>
      <c r="D36680" s="7" t="n">
        <v>1</v>
      </c>
    </row>
    <row r="36681" spans="1:10">
      <c r="A36681" t="s">
        <v>4</v>
      </c>
      <c r="B36681" s="4" t="s">
        <v>5</v>
      </c>
      <c r="C36681" s="4" t="s">
        <v>11</v>
      </c>
      <c r="D36681" s="4" t="s">
        <v>13</v>
      </c>
      <c r="E36681" s="4" t="s">
        <v>13</v>
      </c>
      <c r="F36681" s="4" t="s">
        <v>13</v>
      </c>
      <c r="G36681" s="4" t="s">
        <v>13</v>
      </c>
    </row>
    <row r="36682" spans="1:10">
      <c r="A36682" t="n">
        <v>359954</v>
      </c>
      <c r="B36682" s="36" t="n">
        <v>46</v>
      </c>
      <c r="C36682" s="7" t="n">
        <v>0</v>
      </c>
      <c r="D36682" s="7" t="n">
        <v>-2.5699999332428</v>
      </c>
      <c r="E36682" s="7" t="n">
        <v>5.01000022888184</v>
      </c>
      <c r="F36682" s="7" t="n">
        <v>55.7599983215332</v>
      </c>
      <c r="G36682" s="7" t="n">
        <v>93.1999969482422</v>
      </c>
    </row>
    <row r="36683" spans="1:10">
      <c r="A36683" t="s">
        <v>4</v>
      </c>
      <c r="B36683" s="4" t="s">
        <v>5</v>
      </c>
      <c r="C36683" s="4" t="s">
        <v>11</v>
      </c>
      <c r="D36683" s="4" t="s">
        <v>13</v>
      </c>
      <c r="E36683" s="4" t="s">
        <v>13</v>
      </c>
      <c r="F36683" s="4" t="s">
        <v>13</v>
      </c>
      <c r="G36683" s="4" t="s">
        <v>13</v>
      </c>
    </row>
    <row r="36684" spans="1:10">
      <c r="A36684" t="n">
        <v>359973</v>
      </c>
      <c r="B36684" s="36" t="n">
        <v>46</v>
      </c>
      <c r="C36684" s="7" t="n">
        <v>6</v>
      </c>
      <c r="D36684" s="7" t="n">
        <v>-2.17000007629395</v>
      </c>
      <c r="E36684" s="7" t="n">
        <v>5.01000022888184</v>
      </c>
      <c r="F36684" s="7" t="n">
        <v>56.4300003051758</v>
      </c>
      <c r="G36684" s="7" t="n">
        <v>92.0999984741211</v>
      </c>
    </row>
    <row r="36685" spans="1:10">
      <c r="A36685" t="s">
        <v>4</v>
      </c>
      <c r="B36685" s="4" t="s">
        <v>5</v>
      </c>
      <c r="C36685" s="4" t="s">
        <v>11</v>
      </c>
      <c r="D36685" s="4" t="s">
        <v>11</v>
      </c>
      <c r="E36685" s="4" t="s">
        <v>11</v>
      </c>
    </row>
    <row r="36686" spans="1:10">
      <c r="A36686" t="n">
        <v>359992</v>
      </c>
      <c r="B36686" s="72" t="n">
        <v>61</v>
      </c>
      <c r="C36686" s="7" t="n">
        <v>0</v>
      </c>
      <c r="D36686" s="7" t="n">
        <v>65533</v>
      </c>
      <c r="E36686" s="7" t="n">
        <v>0</v>
      </c>
    </row>
    <row r="36687" spans="1:10">
      <c r="A36687" t="s">
        <v>4</v>
      </c>
      <c r="B36687" s="4" t="s">
        <v>5</v>
      </c>
      <c r="C36687" s="4" t="s">
        <v>11</v>
      </c>
      <c r="D36687" s="4" t="s">
        <v>11</v>
      </c>
      <c r="E36687" s="4" t="s">
        <v>11</v>
      </c>
    </row>
    <row r="36688" spans="1:10">
      <c r="A36688" t="n">
        <v>359999</v>
      </c>
      <c r="B36688" s="72" t="n">
        <v>61</v>
      </c>
      <c r="C36688" s="7" t="n">
        <v>6</v>
      </c>
      <c r="D36688" s="7" t="n">
        <v>65533</v>
      </c>
      <c r="E36688" s="7" t="n">
        <v>0</v>
      </c>
    </row>
    <row r="36689" spans="1:7">
      <c r="A36689" t="s">
        <v>4</v>
      </c>
      <c r="B36689" s="4" t="s">
        <v>5</v>
      </c>
      <c r="C36689" s="4" t="s">
        <v>7</v>
      </c>
      <c r="D36689" s="4" t="s">
        <v>7</v>
      </c>
      <c r="E36689" s="4" t="s">
        <v>13</v>
      </c>
      <c r="F36689" s="4" t="s">
        <v>13</v>
      </c>
      <c r="G36689" s="4" t="s">
        <v>13</v>
      </c>
      <c r="H36689" s="4" t="s">
        <v>11</v>
      </c>
    </row>
    <row r="36690" spans="1:7">
      <c r="A36690" t="n">
        <v>360006</v>
      </c>
      <c r="B36690" s="51" t="n">
        <v>45</v>
      </c>
      <c r="C36690" s="7" t="n">
        <v>2</v>
      </c>
      <c r="D36690" s="7" t="n">
        <v>3</v>
      </c>
      <c r="E36690" s="7" t="n">
        <v>2.80999994277954</v>
      </c>
      <c r="F36690" s="7" t="n">
        <v>6.34000015258789</v>
      </c>
      <c r="G36690" s="7" t="n">
        <v>56.939998626709</v>
      </c>
      <c r="H36690" s="7" t="n">
        <v>0</v>
      </c>
    </row>
    <row r="36691" spans="1:7">
      <c r="A36691" t="s">
        <v>4</v>
      </c>
      <c r="B36691" s="4" t="s">
        <v>5</v>
      </c>
      <c r="C36691" s="4" t="s">
        <v>7</v>
      </c>
      <c r="D36691" s="4" t="s">
        <v>7</v>
      </c>
      <c r="E36691" s="4" t="s">
        <v>13</v>
      </c>
      <c r="F36691" s="4" t="s">
        <v>13</v>
      </c>
      <c r="G36691" s="4" t="s">
        <v>13</v>
      </c>
      <c r="H36691" s="4" t="s">
        <v>11</v>
      </c>
      <c r="I36691" s="4" t="s">
        <v>7</v>
      </c>
    </row>
    <row r="36692" spans="1:7">
      <c r="A36692" t="n">
        <v>360023</v>
      </c>
      <c r="B36692" s="51" t="n">
        <v>45</v>
      </c>
      <c r="C36692" s="7" t="n">
        <v>4</v>
      </c>
      <c r="D36692" s="7" t="n">
        <v>3</v>
      </c>
      <c r="E36692" s="7" t="n">
        <v>4.55999994277954</v>
      </c>
      <c r="F36692" s="7" t="n">
        <v>285.269989013672</v>
      </c>
      <c r="G36692" s="7" t="n">
        <v>0</v>
      </c>
      <c r="H36692" s="7" t="n">
        <v>0</v>
      </c>
      <c r="I36692" s="7" t="n">
        <v>0</v>
      </c>
    </row>
    <row r="36693" spans="1:7">
      <c r="A36693" t="s">
        <v>4</v>
      </c>
      <c r="B36693" s="4" t="s">
        <v>5</v>
      </c>
      <c r="C36693" s="4" t="s">
        <v>7</v>
      </c>
      <c r="D36693" s="4" t="s">
        <v>7</v>
      </c>
      <c r="E36693" s="4" t="s">
        <v>13</v>
      </c>
      <c r="F36693" s="4" t="s">
        <v>11</v>
      </c>
    </row>
    <row r="36694" spans="1:7">
      <c r="A36694" t="n">
        <v>360041</v>
      </c>
      <c r="B36694" s="51" t="n">
        <v>45</v>
      </c>
      <c r="C36694" s="7" t="n">
        <v>5</v>
      </c>
      <c r="D36694" s="7" t="n">
        <v>3</v>
      </c>
      <c r="E36694" s="7" t="n">
        <v>4.30000019073486</v>
      </c>
      <c r="F36694" s="7" t="n">
        <v>0</v>
      </c>
    </row>
    <row r="36695" spans="1:7">
      <c r="A36695" t="s">
        <v>4</v>
      </c>
      <c r="B36695" s="4" t="s">
        <v>5</v>
      </c>
      <c r="C36695" s="4" t="s">
        <v>7</v>
      </c>
      <c r="D36695" s="4" t="s">
        <v>7</v>
      </c>
      <c r="E36695" s="4" t="s">
        <v>13</v>
      </c>
      <c r="F36695" s="4" t="s">
        <v>11</v>
      </c>
    </row>
    <row r="36696" spans="1:7">
      <c r="A36696" t="n">
        <v>360050</v>
      </c>
      <c r="B36696" s="51" t="n">
        <v>45</v>
      </c>
      <c r="C36696" s="7" t="n">
        <v>11</v>
      </c>
      <c r="D36696" s="7" t="n">
        <v>3</v>
      </c>
      <c r="E36696" s="7" t="n">
        <v>34</v>
      </c>
      <c r="F36696" s="7" t="n">
        <v>0</v>
      </c>
    </row>
    <row r="36697" spans="1:7">
      <c r="A36697" t="s">
        <v>4</v>
      </c>
      <c r="B36697" s="4" t="s">
        <v>5</v>
      </c>
      <c r="C36697" s="4" t="s">
        <v>7</v>
      </c>
      <c r="D36697" s="4" t="s">
        <v>7</v>
      </c>
      <c r="E36697" s="4" t="s">
        <v>13</v>
      </c>
      <c r="F36697" s="4" t="s">
        <v>13</v>
      </c>
      <c r="G36697" s="4" t="s">
        <v>13</v>
      </c>
      <c r="H36697" s="4" t="s">
        <v>11</v>
      </c>
    </row>
    <row r="36698" spans="1:7">
      <c r="A36698" t="n">
        <v>360059</v>
      </c>
      <c r="B36698" s="51" t="n">
        <v>45</v>
      </c>
      <c r="C36698" s="7" t="n">
        <v>2</v>
      </c>
      <c r="D36698" s="7" t="n">
        <v>3</v>
      </c>
      <c r="E36698" s="7" t="n">
        <v>-1.79999995231628</v>
      </c>
      <c r="F36698" s="7" t="n">
        <v>6.51000022888184</v>
      </c>
      <c r="G36698" s="7" t="n">
        <v>56.5200004577637</v>
      </c>
      <c r="H36698" s="7" t="n">
        <v>6000</v>
      </c>
    </row>
    <row r="36699" spans="1:7">
      <c r="A36699" t="s">
        <v>4</v>
      </c>
      <c r="B36699" s="4" t="s">
        <v>5</v>
      </c>
      <c r="C36699" s="4" t="s">
        <v>7</v>
      </c>
      <c r="D36699" s="4" t="s">
        <v>7</v>
      </c>
      <c r="E36699" s="4" t="s">
        <v>13</v>
      </c>
      <c r="F36699" s="4" t="s">
        <v>13</v>
      </c>
      <c r="G36699" s="4" t="s">
        <v>13</v>
      </c>
      <c r="H36699" s="4" t="s">
        <v>11</v>
      </c>
      <c r="I36699" s="4" t="s">
        <v>7</v>
      </c>
    </row>
    <row r="36700" spans="1:7">
      <c r="A36700" t="n">
        <v>360076</v>
      </c>
      <c r="B36700" s="51" t="n">
        <v>45</v>
      </c>
      <c r="C36700" s="7" t="n">
        <v>4</v>
      </c>
      <c r="D36700" s="7" t="n">
        <v>3</v>
      </c>
      <c r="E36700" s="7" t="n">
        <v>4.55999994277954</v>
      </c>
      <c r="F36700" s="7" t="n">
        <v>303.769989013672</v>
      </c>
      <c r="G36700" s="7" t="n">
        <v>0</v>
      </c>
      <c r="H36700" s="7" t="n">
        <v>6000</v>
      </c>
      <c r="I36700" s="7" t="n">
        <v>1</v>
      </c>
    </row>
    <row r="36701" spans="1:7">
      <c r="A36701" t="s">
        <v>4</v>
      </c>
      <c r="B36701" s="4" t="s">
        <v>5</v>
      </c>
      <c r="C36701" s="4" t="s">
        <v>7</v>
      </c>
      <c r="D36701" s="4" t="s">
        <v>7</v>
      </c>
      <c r="E36701" s="4" t="s">
        <v>13</v>
      </c>
      <c r="F36701" s="4" t="s">
        <v>11</v>
      </c>
    </row>
    <row r="36702" spans="1:7">
      <c r="A36702" t="n">
        <v>360094</v>
      </c>
      <c r="B36702" s="51" t="n">
        <v>45</v>
      </c>
      <c r="C36702" s="7" t="n">
        <v>5</v>
      </c>
      <c r="D36702" s="7" t="n">
        <v>3</v>
      </c>
      <c r="E36702" s="7" t="n">
        <v>2.5</v>
      </c>
      <c r="F36702" s="7" t="n">
        <v>6000</v>
      </c>
    </row>
    <row r="36703" spans="1:7">
      <c r="A36703" t="s">
        <v>4</v>
      </c>
      <c r="B36703" s="4" t="s">
        <v>5</v>
      </c>
      <c r="C36703" s="4" t="s">
        <v>7</v>
      </c>
      <c r="D36703" s="4" t="s">
        <v>11</v>
      </c>
      <c r="E36703" s="4" t="s">
        <v>13</v>
      </c>
    </row>
    <row r="36704" spans="1:7">
      <c r="A36704" t="n">
        <v>360103</v>
      </c>
      <c r="B36704" s="23" t="n">
        <v>58</v>
      </c>
      <c r="C36704" s="7" t="n">
        <v>100</v>
      </c>
      <c r="D36704" s="7" t="n">
        <v>1000</v>
      </c>
      <c r="E36704" s="7" t="n">
        <v>1</v>
      </c>
    </row>
    <row r="36705" spans="1:9">
      <c r="A36705" t="s">
        <v>4</v>
      </c>
      <c r="B36705" s="4" t="s">
        <v>5</v>
      </c>
      <c r="C36705" s="4" t="s">
        <v>7</v>
      </c>
      <c r="D36705" s="4" t="s">
        <v>11</v>
      </c>
    </row>
    <row r="36706" spans="1:9">
      <c r="A36706" t="n">
        <v>360111</v>
      </c>
      <c r="B36706" s="23" t="n">
        <v>58</v>
      </c>
      <c r="C36706" s="7" t="n">
        <v>255</v>
      </c>
      <c r="D36706" s="7" t="n">
        <v>0</v>
      </c>
    </row>
    <row r="36707" spans="1:9">
      <c r="A36707" t="s">
        <v>4</v>
      </c>
      <c r="B36707" s="4" t="s">
        <v>5</v>
      </c>
      <c r="C36707" s="4" t="s">
        <v>8</v>
      </c>
      <c r="D36707" s="4" t="s">
        <v>8</v>
      </c>
    </row>
    <row r="36708" spans="1:9">
      <c r="A36708" t="n">
        <v>360115</v>
      </c>
      <c r="B36708" s="52" t="n">
        <v>70</v>
      </c>
      <c r="C36708" s="7" t="s">
        <v>1079</v>
      </c>
      <c r="D36708" s="7" t="s">
        <v>109</v>
      </c>
    </row>
    <row r="36709" spans="1:9">
      <c r="A36709" t="s">
        <v>4</v>
      </c>
      <c r="B36709" s="4" t="s">
        <v>5</v>
      </c>
      <c r="C36709" s="4" t="s">
        <v>11</v>
      </c>
    </row>
    <row r="36710" spans="1:9">
      <c r="A36710" t="n">
        <v>360132</v>
      </c>
      <c r="B36710" s="29" t="n">
        <v>16</v>
      </c>
      <c r="C36710" s="7" t="n">
        <v>3000</v>
      </c>
    </row>
    <row r="36711" spans="1:9">
      <c r="A36711" t="s">
        <v>4</v>
      </c>
      <c r="B36711" s="4" t="s">
        <v>5</v>
      </c>
      <c r="C36711" s="4" t="s">
        <v>11</v>
      </c>
      <c r="D36711" s="4" t="s">
        <v>7</v>
      </c>
      <c r="E36711" s="4" t="s">
        <v>13</v>
      </c>
      <c r="F36711" s="4" t="s">
        <v>11</v>
      </c>
    </row>
    <row r="36712" spans="1:9">
      <c r="A36712" t="n">
        <v>360135</v>
      </c>
      <c r="B36712" s="56" t="n">
        <v>59</v>
      </c>
      <c r="C36712" s="7" t="n">
        <v>6</v>
      </c>
      <c r="D36712" s="7" t="n">
        <v>9</v>
      </c>
      <c r="E36712" s="7" t="n">
        <v>0.150000005960464</v>
      </c>
      <c r="F36712" s="7" t="n">
        <v>0</v>
      </c>
    </row>
    <row r="36713" spans="1:9">
      <c r="A36713" t="s">
        <v>4</v>
      </c>
      <c r="B36713" s="4" t="s">
        <v>5</v>
      </c>
      <c r="C36713" s="4" t="s">
        <v>11</v>
      </c>
      <c r="D36713" s="4" t="s">
        <v>13</v>
      </c>
      <c r="E36713" s="4" t="s">
        <v>13</v>
      </c>
      <c r="F36713" s="4" t="s">
        <v>13</v>
      </c>
      <c r="G36713" s="4" t="s">
        <v>11</v>
      </c>
      <c r="H36713" s="4" t="s">
        <v>11</v>
      </c>
    </row>
    <row r="36714" spans="1:9">
      <c r="A36714" t="n">
        <v>360145</v>
      </c>
      <c r="B36714" s="37" t="n">
        <v>60</v>
      </c>
      <c r="C36714" s="7" t="n">
        <v>6</v>
      </c>
      <c r="D36714" s="7" t="n">
        <v>-45</v>
      </c>
      <c r="E36714" s="7" t="n">
        <v>0</v>
      </c>
      <c r="F36714" s="7" t="n">
        <v>0</v>
      </c>
      <c r="G36714" s="7" t="n">
        <v>1000</v>
      </c>
      <c r="H36714" s="7" t="n">
        <v>0</v>
      </c>
    </row>
    <row r="36715" spans="1:9">
      <c r="A36715" t="s">
        <v>4</v>
      </c>
      <c r="B36715" s="4" t="s">
        <v>5</v>
      </c>
      <c r="C36715" s="4" t="s">
        <v>11</v>
      </c>
    </row>
    <row r="36716" spans="1:9">
      <c r="A36716" t="n">
        <v>360164</v>
      </c>
      <c r="B36716" s="29" t="n">
        <v>16</v>
      </c>
      <c r="C36716" s="7" t="n">
        <v>1000</v>
      </c>
    </row>
    <row r="36717" spans="1:9">
      <c r="A36717" t="s">
        <v>4</v>
      </c>
      <c r="B36717" s="4" t="s">
        <v>5</v>
      </c>
      <c r="C36717" s="4" t="s">
        <v>11</v>
      </c>
      <c r="D36717" s="4" t="s">
        <v>13</v>
      </c>
      <c r="E36717" s="4" t="s">
        <v>13</v>
      </c>
      <c r="F36717" s="4" t="s">
        <v>13</v>
      </c>
      <c r="G36717" s="4" t="s">
        <v>11</v>
      </c>
      <c r="H36717" s="4" t="s">
        <v>11</v>
      </c>
    </row>
    <row r="36718" spans="1:9">
      <c r="A36718" t="n">
        <v>360167</v>
      </c>
      <c r="B36718" s="37" t="n">
        <v>60</v>
      </c>
      <c r="C36718" s="7" t="n">
        <v>6</v>
      </c>
      <c r="D36718" s="7" t="n">
        <v>45</v>
      </c>
      <c r="E36718" s="7" t="n">
        <v>0</v>
      </c>
      <c r="F36718" s="7" t="n">
        <v>0</v>
      </c>
      <c r="G36718" s="7" t="n">
        <v>1000</v>
      </c>
      <c r="H36718" s="7" t="n">
        <v>0</v>
      </c>
    </row>
    <row r="36719" spans="1:9">
      <c r="A36719" t="s">
        <v>4</v>
      </c>
      <c r="B36719" s="4" t="s">
        <v>5</v>
      </c>
      <c r="C36719" s="4" t="s">
        <v>11</v>
      </c>
    </row>
    <row r="36720" spans="1:9">
      <c r="A36720" t="n">
        <v>360186</v>
      </c>
      <c r="B36720" s="29" t="n">
        <v>16</v>
      </c>
      <c r="C36720" s="7" t="n">
        <v>1000</v>
      </c>
    </row>
    <row r="36721" spans="1:8">
      <c r="A36721" t="s">
        <v>4</v>
      </c>
      <c r="B36721" s="4" t="s">
        <v>5</v>
      </c>
      <c r="C36721" s="4" t="s">
        <v>11</v>
      </c>
      <c r="D36721" s="4" t="s">
        <v>13</v>
      </c>
      <c r="E36721" s="4" t="s">
        <v>13</v>
      </c>
      <c r="F36721" s="4" t="s">
        <v>13</v>
      </c>
      <c r="G36721" s="4" t="s">
        <v>11</v>
      </c>
      <c r="H36721" s="4" t="s">
        <v>11</v>
      </c>
    </row>
    <row r="36722" spans="1:8">
      <c r="A36722" t="n">
        <v>360189</v>
      </c>
      <c r="B36722" s="37" t="n">
        <v>60</v>
      </c>
      <c r="C36722" s="7" t="n">
        <v>6</v>
      </c>
      <c r="D36722" s="7" t="n">
        <v>0</v>
      </c>
      <c r="E36722" s="7" t="n">
        <v>0</v>
      </c>
      <c r="F36722" s="7" t="n">
        <v>0</v>
      </c>
      <c r="G36722" s="7" t="n">
        <v>500</v>
      </c>
      <c r="H36722" s="7" t="n">
        <v>0</v>
      </c>
    </row>
    <row r="36723" spans="1:8">
      <c r="A36723" t="s">
        <v>4</v>
      </c>
      <c r="B36723" s="4" t="s">
        <v>5</v>
      </c>
      <c r="C36723" s="4" t="s">
        <v>11</v>
      </c>
    </row>
    <row r="36724" spans="1:8">
      <c r="A36724" t="n">
        <v>360208</v>
      </c>
      <c r="B36724" s="29" t="n">
        <v>16</v>
      </c>
      <c r="C36724" s="7" t="n">
        <v>1000</v>
      </c>
    </row>
    <row r="36725" spans="1:8">
      <c r="A36725" t="s">
        <v>4</v>
      </c>
      <c r="B36725" s="4" t="s">
        <v>5</v>
      </c>
      <c r="C36725" s="4" t="s">
        <v>7</v>
      </c>
      <c r="D36725" s="4" t="s">
        <v>11</v>
      </c>
    </row>
    <row r="36726" spans="1:8">
      <c r="A36726" t="n">
        <v>360211</v>
      </c>
      <c r="B36726" s="51" t="n">
        <v>45</v>
      </c>
      <c r="C36726" s="7" t="n">
        <v>7</v>
      </c>
      <c r="D36726" s="7" t="n">
        <v>255</v>
      </c>
    </row>
    <row r="36727" spans="1:8">
      <c r="A36727" t="s">
        <v>4</v>
      </c>
      <c r="B36727" s="4" t="s">
        <v>5</v>
      </c>
      <c r="C36727" s="4" t="s">
        <v>7</v>
      </c>
      <c r="D36727" s="4" t="s">
        <v>11</v>
      </c>
      <c r="E36727" s="4" t="s">
        <v>13</v>
      </c>
    </row>
    <row r="36728" spans="1:8">
      <c r="A36728" t="n">
        <v>360215</v>
      </c>
      <c r="B36728" s="23" t="n">
        <v>58</v>
      </c>
      <c r="C36728" s="7" t="n">
        <v>0</v>
      </c>
      <c r="D36728" s="7" t="n">
        <v>1000</v>
      </c>
      <c r="E36728" s="7" t="n">
        <v>1</v>
      </c>
    </row>
    <row r="36729" spans="1:8">
      <c r="A36729" t="s">
        <v>4</v>
      </c>
      <c r="B36729" s="4" t="s">
        <v>5</v>
      </c>
      <c r="C36729" s="4" t="s">
        <v>7</v>
      </c>
      <c r="D36729" s="4" t="s">
        <v>11</v>
      </c>
    </row>
    <row r="36730" spans="1:8">
      <c r="A36730" t="n">
        <v>360223</v>
      </c>
      <c r="B36730" s="23" t="n">
        <v>58</v>
      </c>
      <c r="C36730" s="7" t="n">
        <v>255</v>
      </c>
      <c r="D36730" s="7" t="n">
        <v>0</v>
      </c>
    </row>
    <row r="36731" spans="1:8">
      <c r="A36731" t="s">
        <v>4</v>
      </c>
      <c r="B36731" s="4" t="s">
        <v>5</v>
      </c>
      <c r="C36731" s="4" t="s">
        <v>8</v>
      </c>
      <c r="D36731" s="4" t="s">
        <v>8</v>
      </c>
    </row>
    <row r="36732" spans="1:8">
      <c r="A36732" t="n">
        <v>360227</v>
      </c>
      <c r="B36732" s="52" t="n">
        <v>70</v>
      </c>
      <c r="C36732" s="7" t="s">
        <v>1079</v>
      </c>
      <c r="D36732" s="7" t="s">
        <v>118</v>
      </c>
    </row>
    <row r="36733" spans="1:8">
      <c r="A36733" t="s">
        <v>4</v>
      </c>
      <c r="B36733" s="4" t="s">
        <v>5</v>
      </c>
      <c r="C36733" s="4" t="s">
        <v>11</v>
      </c>
      <c r="D36733" s="4" t="s">
        <v>11</v>
      </c>
      <c r="E36733" s="4" t="s">
        <v>11</v>
      </c>
    </row>
    <row r="36734" spans="1:8">
      <c r="A36734" t="n">
        <v>360243</v>
      </c>
      <c r="B36734" s="72" t="n">
        <v>61</v>
      </c>
      <c r="C36734" s="7" t="n">
        <v>0</v>
      </c>
      <c r="D36734" s="7" t="n">
        <v>65533</v>
      </c>
      <c r="E36734" s="7" t="n">
        <v>1000</v>
      </c>
    </row>
    <row r="36735" spans="1:8">
      <c r="A36735" t="s">
        <v>4</v>
      </c>
      <c r="B36735" s="4" t="s">
        <v>5</v>
      </c>
      <c r="C36735" s="4" t="s">
        <v>11</v>
      </c>
      <c r="D36735" s="4" t="s">
        <v>11</v>
      </c>
      <c r="E36735" s="4" t="s">
        <v>11</v>
      </c>
    </row>
    <row r="36736" spans="1:8">
      <c r="A36736" t="n">
        <v>360250</v>
      </c>
      <c r="B36736" s="72" t="n">
        <v>61</v>
      </c>
      <c r="C36736" s="7" t="n">
        <v>6</v>
      </c>
      <c r="D36736" s="7" t="n">
        <v>65533</v>
      </c>
      <c r="E36736" s="7" t="n">
        <v>1000</v>
      </c>
    </row>
    <row r="36737" spans="1:8">
      <c r="A36737" t="s">
        <v>4</v>
      </c>
      <c r="B36737" s="4" t="s">
        <v>5</v>
      </c>
      <c r="C36737" s="4" t="s">
        <v>11</v>
      </c>
      <c r="D36737" s="4" t="s">
        <v>13</v>
      </c>
      <c r="E36737" s="4" t="s">
        <v>13</v>
      </c>
      <c r="F36737" s="4" t="s">
        <v>13</v>
      </c>
      <c r="G36737" s="4" t="s">
        <v>13</v>
      </c>
    </row>
    <row r="36738" spans="1:8">
      <c r="A36738" t="n">
        <v>360257</v>
      </c>
      <c r="B36738" s="36" t="n">
        <v>46</v>
      </c>
      <c r="C36738" s="7" t="n">
        <v>0</v>
      </c>
      <c r="D36738" s="7" t="n">
        <v>-2.66000008583069</v>
      </c>
      <c r="E36738" s="7" t="n">
        <v>5.01000022888184</v>
      </c>
      <c r="F36738" s="7" t="n">
        <v>32.189998626709</v>
      </c>
      <c r="G36738" s="7" t="n">
        <v>90</v>
      </c>
    </row>
    <row r="36739" spans="1:8">
      <c r="A36739" t="s">
        <v>4</v>
      </c>
      <c r="B36739" s="4" t="s">
        <v>5</v>
      </c>
      <c r="C36739" s="4" t="s">
        <v>11</v>
      </c>
      <c r="D36739" s="4" t="s">
        <v>13</v>
      </c>
      <c r="E36739" s="4" t="s">
        <v>13</v>
      </c>
      <c r="F36739" s="4" t="s">
        <v>13</v>
      </c>
      <c r="G36739" s="4" t="s">
        <v>13</v>
      </c>
    </row>
    <row r="36740" spans="1:8">
      <c r="A36740" t="n">
        <v>360276</v>
      </c>
      <c r="B36740" s="36" t="n">
        <v>46</v>
      </c>
      <c r="C36740" s="7" t="n">
        <v>6</v>
      </c>
      <c r="D36740" s="7" t="n">
        <v>-3.16000008583069</v>
      </c>
      <c r="E36740" s="7" t="n">
        <v>5.01000022888184</v>
      </c>
      <c r="F36740" s="7" t="n">
        <v>31.7900009155273</v>
      </c>
      <c r="G36740" s="7" t="n">
        <v>90</v>
      </c>
    </row>
    <row r="36741" spans="1:8">
      <c r="A36741" t="s">
        <v>4</v>
      </c>
      <c r="B36741" s="4" t="s">
        <v>5</v>
      </c>
      <c r="C36741" s="4" t="s">
        <v>7</v>
      </c>
      <c r="D36741" s="4" t="s">
        <v>7</v>
      </c>
      <c r="E36741" s="4" t="s">
        <v>13</v>
      </c>
      <c r="F36741" s="4" t="s">
        <v>13</v>
      </c>
      <c r="G36741" s="4" t="s">
        <v>13</v>
      </c>
      <c r="H36741" s="4" t="s">
        <v>11</v>
      </c>
    </row>
    <row r="36742" spans="1:8">
      <c r="A36742" t="n">
        <v>360295</v>
      </c>
      <c r="B36742" s="51" t="n">
        <v>45</v>
      </c>
      <c r="C36742" s="7" t="n">
        <v>2</v>
      </c>
      <c r="D36742" s="7" t="n">
        <v>3</v>
      </c>
      <c r="E36742" s="7" t="n">
        <v>6.82000017166138</v>
      </c>
      <c r="F36742" s="7" t="n">
        <v>6.17999982833862</v>
      </c>
      <c r="G36742" s="7" t="n">
        <v>32.2799987792969</v>
      </c>
      <c r="H36742" s="7" t="n">
        <v>0</v>
      </c>
    </row>
    <row r="36743" spans="1:8">
      <c r="A36743" t="s">
        <v>4</v>
      </c>
      <c r="B36743" s="4" t="s">
        <v>5</v>
      </c>
      <c r="C36743" s="4" t="s">
        <v>7</v>
      </c>
      <c r="D36743" s="4" t="s">
        <v>7</v>
      </c>
      <c r="E36743" s="4" t="s">
        <v>13</v>
      </c>
      <c r="F36743" s="4" t="s">
        <v>13</v>
      </c>
      <c r="G36743" s="4" t="s">
        <v>13</v>
      </c>
      <c r="H36743" s="4" t="s">
        <v>11</v>
      </c>
      <c r="I36743" s="4" t="s">
        <v>7</v>
      </c>
    </row>
    <row r="36744" spans="1:8">
      <c r="A36744" t="n">
        <v>360312</v>
      </c>
      <c r="B36744" s="51" t="n">
        <v>45</v>
      </c>
      <c r="C36744" s="7" t="n">
        <v>4</v>
      </c>
      <c r="D36744" s="7" t="n">
        <v>3</v>
      </c>
      <c r="E36744" s="7" t="n">
        <v>358.239990234375</v>
      </c>
      <c r="F36744" s="7" t="n">
        <v>344.200012207031</v>
      </c>
      <c r="G36744" s="7" t="n">
        <v>0</v>
      </c>
      <c r="H36744" s="7" t="n">
        <v>0</v>
      </c>
      <c r="I36744" s="7" t="n">
        <v>0</v>
      </c>
    </row>
    <row r="36745" spans="1:8">
      <c r="A36745" t="s">
        <v>4</v>
      </c>
      <c r="B36745" s="4" t="s">
        <v>5</v>
      </c>
      <c r="C36745" s="4" t="s">
        <v>7</v>
      </c>
      <c r="D36745" s="4" t="s">
        <v>7</v>
      </c>
      <c r="E36745" s="4" t="s">
        <v>13</v>
      </c>
      <c r="F36745" s="4" t="s">
        <v>11</v>
      </c>
    </row>
    <row r="36746" spans="1:8">
      <c r="A36746" t="n">
        <v>360330</v>
      </c>
      <c r="B36746" s="51" t="n">
        <v>45</v>
      </c>
      <c r="C36746" s="7" t="n">
        <v>5</v>
      </c>
      <c r="D36746" s="7" t="n">
        <v>3</v>
      </c>
      <c r="E36746" s="7" t="n">
        <v>3.40000009536743</v>
      </c>
      <c r="F36746" s="7" t="n">
        <v>0</v>
      </c>
    </row>
    <row r="36747" spans="1:8">
      <c r="A36747" t="s">
        <v>4</v>
      </c>
      <c r="B36747" s="4" t="s">
        <v>5</v>
      </c>
      <c r="C36747" s="4" t="s">
        <v>7</v>
      </c>
      <c r="D36747" s="4" t="s">
        <v>7</v>
      </c>
      <c r="E36747" s="4" t="s">
        <v>13</v>
      </c>
      <c r="F36747" s="4" t="s">
        <v>11</v>
      </c>
    </row>
    <row r="36748" spans="1:8">
      <c r="A36748" t="n">
        <v>360339</v>
      </c>
      <c r="B36748" s="51" t="n">
        <v>45</v>
      </c>
      <c r="C36748" s="7" t="n">
        <v>11</v>
      </c>
      <c r="D36748" s="7" t="n">
        <v>3</v>
      </c>
      <c r="E36748" s="7" t="n">
        <v>40.2999992370605</v>
      </c>
      <c r="F36748" s="7" t="n">
        <v>0</v>
      </c>
    </row>
    <row r="36749" spans="1:8">
      <c r="A36749" t="s">
        <v>4</v>
      </c>
      <c r="B36749" s="4" t="s">
        <v>5</v>
      </c>
      <c r="C36749" s="4" t="s">
        <v>7</v>
      </c>
      <c r="D36749" s="4" t="s">
        <v>7</v>
      </c>
      <c r="E36749" s="4" t="s">
        <v>13</v>
      </c>
      <c r="F36749" s="4" t="s">
        <v>13</v>
      </c>
      <c r="G36749" s="4" t="s">
        <v>13</v>
      </c>
      <c r="H36749" s="4" t="s">
        <v>11</v>
      </c>
    </row>
    <row r="36750" spans="1:8">
      <c r="A36750" t="n">
        <v>360348</v>
      </c>
      <c r="B36750" s="51" t="n">
        <v>45</v>
      </c>
      <c r="C36750" s="7" t="n">
        <v>2</v>
      </c>
      <c r="D36750" s="7" t="n">
        <v>3</v>
      </c>
      <c r="E36750" s="7" t="n">
        <v>-2.55999994277954</v>
      </c>
      <c r="F36750" s="7" t="n">
        <v>6.17999982833862</v>
      </c>
      <c r="G36750" s="7" t="n">
        <v>32.1800003051758</v>
      </c>
      <c r="H36750" s="7" t="n">
        <v>6000</v>
      </c>
    </row>
    <row r="36751" spans="1:8">
      <c r="A36751" t="s">
        <v>4</v>
      </c>
      <c r="B36751" s="4" t="s">
        <v>5</v>
      </c>
      <c r="C36751" s="4" t="s">
        <v>7</v>
      </c>
      <c r="D36751" s="4" t="s">
        <v>7</v>
      </c>
      <c r="E36751" s="4" t="s">
        <v>13</v>
      </c>
      <c r="F36751" s="4" t="s">
        <v>13</v>
      </c>
      <c r="G36751" s="4" t="s">
        <v>13</v>
      </c>
      <c r="H36751" s="4" t="s">
        <v>11</v>
      </c>
      <c r="I36751" s="4" t="s">
        <v>7</v>
      </c>
    </row>
    <row r="36752" spans="1:8">
      <c r="A36752" t="n">
        <v>360365</v>
      </c>
      <c r="B36752" s="51" t="n">
        <v>45</v>
      </c>
      <c r="C36752" s="7" t="n">
        <v>4</v>
      </c>
      <c r="D36752" s="7" t="n">
        <v>3</v>
      </c>
      <c r="E36752" s="7" t="n">
        <v>12.2700004577637</v>
      </c>
      <c r="F36752" s="7" t="n">
        <v>75.7099990844727</v>
      </c>
      <c r="G36752" s="7" t="n">
        <v>0</v>
      </c>
      <c r="H36752" s="7" t="n">
        <v>6000</v>
      </c>
      <c r="I36752" s="7" t="n">
        <v>1</v>
      </c>
    </row>
    <row r="36753" spans="1:9">
      <c r="A36753" t="s">
        <v>4</v>
      </c>
      <c r="B36753" s="4" t="s">
        <v>5</v>
      </c>
      <c r="C36753" s="4" t="s">
        <v>7</v>
      </c>
      <c r="D36753" s="4" t="s">
        <v>7</v>
      </c>
      <c r="E36753" s="4" t="s">
        <v>13</v>
      </c>
      <c r="F36753" s="4" t="s">
        <v>11</v>
      </c>
    </row>
    <row r="36754" spans="1:9">
      <c r="A36754" t="n">
        <v>360383</v>
      </c>
      <c r="B36754" s="51" t="n">
        <v>45</v>
      </c>
      <c r="C36754" s="7" t="n">
        <v>5</v>
      </c>
      <c r="D36754" s="7" t="n">
        <v>3</v>
      </c>
      <c r="E36754" s="7" t="n">
        <v>2.70000004768372</v>
      </c>
      <c r="F36754" s="7" t="n">
        <v>6000</v>
      </c>
    </row>
    <row r="36755" spans="1:9">
      <c r="A36755" t="s">
        <v>4</v>
      </c>
      <c r="B36755" s="4" t="s">
        <v>5</v>
      </c>
      <c r="C36755" s="4" t="s">
        <v>7</v>
      </c>
      <c r="D36755" s="4" t="s">
        <v>11</v>
      </c>
      <c r="E36755" s="4" t="s">
        <v>13</v>
      </c>
    </row>
    <row r="36756" spans="1:9">
      <c r="A36756" t="n">
        <v>360392</v>
      </c>
      <c r="B36756" s="23" t="n">
        <v>58</v>
      </c>
      <c r="C36756" s="7" t="n">
        <v>100</v>
      </c>
      <c r="D36756" s="7" t="n">
        <v>1000</v>
      </c>
      <c r="E36756" s="7" t="n">
        <v>1</v>
      </c>
    </row>
    <row r="36757" spans="1:9">
      <c r="A36757" t="s">
        <v>4</v>
      </c>
      <c r="B36757" s="4" t="s">
        <v>5</v>
      </c>
      <c r="C36757" s="4" t="s">
        <v>7</v>
      </c>
      <c r="D36757" s="4" t="s">
        <v>11</v>
      </c>
    </row>
    <row r="36758" spans="1:9">
      <c r="A36758" t="n">
        <v>360400</v>
      </c>
      <c r="B36758" s="23" t="n">
        <v>58</v>
      </c>
      <c r="C36758" s="7" t="n">
        <v>255</v>
      </c>
      <c r="D36758" s="7" t="n">
        <v>0</v>
      </c>
    </row>
    <row r="36759" spans="1:9">
      <c r="A36759" t="s">
        <v>4</v>
      </c>
      <c r="B36759" s="4" t="s">
        <v>5</v>
      </c>
      <c r="C36759" s="4" t="s">
        <v>8</v>
      </c>
      <c r="D36759" s="4" t="s">
        <v>8</v>
      </c>
    </row>
    <row r="36760" spans="1:9">
      <c r="A36760" t="n">
        <v>360404</v>
      </c>
      <c r="B36760" s="52" t="n">
        <v>70</v>
      </c>
      <c r="C36760" s="7" t="s">
        <v>24</v>
      </c>
      <c r="D36760" s="7" t="s">
        <v>109</v>
      </c>
    </row>
    <row r="36761" spans="1:9">
      <c r="A36761" t="s">
        <v>4</v>
      </c>
      <c r="B36761" s="4" t="s">
        <v>5</v>
      </c>
      <c r="C36761" s="4" t="s">
        <v>11</v>
      </c>
    </row>
    <row r="36762" spans="1:9">
      <c r="A36762" t="n">
        <v>360421</v>
      </c>
      <c r="B36762" s="29" t="n">
        <v>16</v>
      </c>
      <c r="C36762" s="7" t="n">
        <v>4000</v>
      </c>
    </row>
    <row r="36763" spans="1:9">
      <c r="A36763" t="s">
        <v>4</v>
      </c>
      <c r="B36763" s="4" t="s">
        <v>5</v>
      </c>
      <c r="C36763" s="4" t="s">
        <v>11</v>
      </c>
      <c r="D36763" s="4" t="s">
        <v>7</v>
      </c>
      <c r="E36763" s="4" t="s">
        <v>13</v>
      </c>
      <c r="F36763" s="4" t="s">
        <v>11</v>
      </c>
    </row>
    <row r="36764" spans="1:9">
      <c r="A36764" t="n">
        <v>360424</v>
      </c>
      <c r="B36764" s="56" t="n">
        <v>59</v>
      </c>
      <c r="C36764" s="7" t="n">
        <v>0</v>
      </c>
      <c r="D36764" s="7" t="n">
        <v>9</v>
      </c>
      <c r="E36764" s="7" t="n">
        <v>0.150000005960464</v>
      </c>
      <c r="F36764" s="7" t="n">
        <v>0</v>
      </c>
    </row>
    <row r="36765" spans="1:9">
      <c r="A36765" t="s">
        <v>4</v>
      </c>
      <c r="B36765" s="4" t="s">
        <v>5</v>
      </c>
      <c r="C36765" s="4" t="s">
        <v>11</v>
      </c>
    </row>
    <row r="36766" spans="1:9">
      <c r="A36766" t="n">
        <v>360434</v>
      </c>
      <c r="B36766" s="29" t="n">
        <v>16</v>
      </c>
      <c r="C36766" s="7" t="n">
        <v>1800</v>
      </c>
    </row>
    <row r="36767" spans="1:9">
      <c r="A36767" t="s">
        <v>4</v>
      </c>
      <c r="B36767" s="4" t="s">
        <v>5</v>
      </c>
      <c r="C36767" s="4" t="s">
        <v>7</v>
      </c>
      <c r="D36767" s="4" t="s">
        <v>11</v>
      </c>
    </row>
    <row r="36768" spans="1:9">
      <c r="A36768" t="n">
        <v>360437</v>
      </c>
      <c r="B36768" s="51" t="n">
        <v>45</v>
      </c>
      <c r="C36768" s="7" t="n">
        <v>7</v>
      </c>
      <c r="D36768" s="7" t="n">
        <v>255</v>
      </c>
    </row>
    <row r="36769" spans="1:6">
      <c r="A36769" t="s">
        <v>4</v>
      </c>
      <c r="B36769" s="4" t="s">
        <v>5</v>
      </c>
      <c r="C36769" s="4" t="s">
        <v>7</v>
      </c>
      <c r="D36769" s="4" t="s">
        <v>11</v>
      </c>
      <c r="E36769" s="4" t="s">
        <v>13</v>
      </c>
    </row>
    <row r="36770" spans="1:6">
      <c r="A36770" t="n">
        <v>360441</v>
      </c>
      <c r="B36770" s="23" t="n">
        <v>58</v>
      </c>
      <c r="C36770" s="7" t="n">
        <v>0</v>
      </c>
      <c r="D36770" s="7" t="n">
        <v>1000</v>
      </c>
      <c r="E36770" s="7" t="n">
        <v>1</v>
      </c>
    </row>
    <row r="36771" spans="1:6">
      <c r="A36771" t="s">
        <v>4</v>
      </c>
      <c r="B36771" s="4" t="s">
        <v>5</v>
      </c>
      <c r="C36771" s="4" t="s">
        <v>7</v>
      </c>
      <c r="D36771" s="4" t="s">
        <v>11</v>
      </c>
    </row>
    <row r="36772" spans="1:6">
      <c r="A36772" t="n">
        <v>360449</v>
      </c>
      <c r="B36772" s="23" t="n">
        <v>58</v>
      </c>
      <c r="C36772" s="7" t="n">
        <v>255</v>
      </c>
      <c r="D36772" s="7" t="n">
        <v>0</v>
      </c>
    </row>
    <row r="36773" spans="1:6">
      <c r="A36773" t="s">
        <v>4</v>
      </c>
      <c r="B36773" s="4" t="s">
        <v>5</v>
      </c>
      <c r="C36773" s="4" t="s">
        <v>8</v>
      </c>
      <c r="D36773" s="4" t="s">
        <v>8</v>
      </c>
    </row>
    <row r="36774" spans="1:6">
      <c r="A36774" t="n">
        <v>360453</v>
      </c>
      <c r="B36774" s="52" t="n">
        <v>70</v>
      </c>
      <c r="C36774" s="7" t="s">
        <v>24</v>
      </c>
      <c r="D36774" s="7" t="s">
        <v>118</v>
      </c>
    </row>
    <row r="36775" spans="1:6">
      <c r="A36775" t="s">
        <v>4</v>
      </c>
      <c r="B36775" s="4" t="s">
        <v>5</v>
      </c>
      <c r="C36775" s="4" t="s">
        <v>11</v>
      </c>
      <c r="D36775" s="4" t="s">
        <v>13</v>
      </c>
      <c r="E36775" s="4" t="s">
        <v>13</v>
      </c>
      <c r="F36775" s="4" t="s">
        <v>13</v>
      </c>
      <c r="G36775" s="4" t="s">
        <v>13</v>
      </c>
    </row>
    <row r="36776" spans="1:6">
      <c r="A36776" t="n">
        <v>360469</v>
      </c>
      <c r="B36776" s="36" t="n">
        <v>46</v>
      </c>
      <c r="C36776" s="7" t="n">
        <v>0</v>
      </c>
      <c r="D36776" s="7" t="n">
        <v>-10.9899997711182</v>
      </c>
      <c r="E36776" s="7" t="n">
        <v>5.01000022888184</v>
      </c>
      <c r="F36776" s="7" t="n">
        <v>32.4300003051758</v>
      </c>
      <c r="G36776" s="7" t="n">
        <v>270</v>
      </c>
    </row>
    <row r="36777" spans="1:6">
      <c r="A36777" t="s">
        <v>4</v>
      </c>
      <c r="B36777" s="4" t="s">
        <v>5</v>
      </c>
      <c r="C36777" s="4" t="s">
        <v>11</v>
      </c>
      <c r="D36777" s="4" t="s">
        <v>13</v>
      </c>
      <c r="E36777" s="4" t="s">
        <v>13</v>
      </c>
      <c r="F36777" s="4" t="s">
        <v>13</v>
      </c>
      <c r="G36777" s="4" t="s">
        <v>13</v>
      </c>
    </row>
    <row r="36778" spans="1:6">
      <c r="A36778" t="n">
        <v>360488</v>
      </c>
      <c r="B36778" s="36" t="n">
        <v>46</v>
      </c>
      <c r="C36778" s="7" t="n">
        <v>6</v>
      </c>
      <c r="D36778" s="7" t="n">
        <v>-10.5500001907349</v>
      </c>
      <c r="E36778" s="7" t="n">
        <v>5.01000022888184</v>
      </c>
      <c r="F36778" s="7" t="n">
        <v>31.5499992370605</v>
      </c>
      <c r="G36778" s="7" t="n">
        <v>270</v>
      </c>
    </row>
    <row r="36779" spans="1:6">
      <c r="A36779" t="s">
        <v>4</v>
      </c>
      <c r="B36779" s="4" t="s">
        <v>5</v>
      </c>
      <c r="C36779" s="4" t="s">
        <v>7</v>
      </c>
      <c r="D36779" s="4" t="s">
        <v>7</v>
      </c>
      <c r="E36779" s="4" t="s">
        <v>13</v>
      </c>
      <c r="F36779" s="4" t="s">
        <v>13</v>
      </c>
      <c r="G36779" s="4" t="s">
        <v>13</v>
      </c>
      <c r="H36779" s="4" t="s">
        <v>11</v>
      </c>
    </row>
    <row r="36780" spans="1:6">
      <c r="A36780" t="n">
        <v>360507</v>
      </c>
      <c r="B36780" s="51" t="n">
        <v>45</v>
      </c>
      <c r="C36780" s="7" t="n">
        <v>2</v>
      </c>
      <c r="D36780" s="7" t="n">
        <v>3</v>
      </c>
      <c r="E36780" s="7" t="n">
        <v>-14.1199998855591</v>
      </c>
      <c r="F36780" s="7" t="n">
        <v>6.75</v>
      </c>
      <c r="G36780" s="7" t="n">
        <v>31.9300003051758</v>
      </c>
      <c r="H36780" s="7" t="n">
        <v>0</v>
      </c>
    </row>
    <row r="36781" spans="1:6">
      <c r="A36781" t="s">
        <v>4</v>
      </c>
      <c r="B36781" s="4" t="s">
        <v>5</v>
      </c>
      <c r="C36781" s="4" t="s">
        <v>7</v>
      </c>
      <c r="D36781" s="4" t="s">
        <v>7</v>
      </c>
      <c r="E36781" s="4" t="s">
        <v>13</v>
      </c>
      <c r="F36781" s="4" t="s">
        <v>13</v>
      </c>
      <c r="G36781" s="4" t="s">
        <v>13</v>
      </c>
      <c r="H36781" s="4" t="s">
        <v>11</v>
      </c>
      <c r="I36781" s="4" t="s">
        <v>7</v>
      </c>
    </row>
    <row r="36782" spans="1:6">
      <c r="A36782" t="n">
        <v>360524</v>
      </c>
      <c r="B36782" s="51" t="n">
        <v>45</v>
      </c>
      <c r="C36782" s="7" t="n">
        <v>4</v>
      </c>
      <c r="D36782" s="7" t="n">
        <v>3</v>
      </c>
      <c r="E36782" s="7" t="n">
        <v>7.63000011444092</v>
      </c>
      <c r="F36782" s="7" t="n">
        <v>90</v>
      </c>
      <c r="G36782" s="7" t="n">
        <v>0</v>
      </c>
      <c r="H36782" s="7" t="n">
        <v>0</v>
      </c>
      <c r="I36782" s="7" t="n">
        <v>0</v>
      </c>
    </row>
    <row r="36783" spans="1:6">
      <c r="A36783" t="s">
        <v>4</v>
      </c>
      <c r="B36783" s="4" t="s">
        <v>5</v>
      </c>
      <c r="C36783" s="4" t="s">
        <v>7</v>
      </c>
      <c r="D36783" s="4" t="s">
        <v>7</v>
      </c>
      <c r="E36783" s="4" t="s">
        <v>13</v>
      </c>
      <c r="F36783" s="4" t="s">
        <v>11</v>
      </c>
    </row>
    <row r="36784" spans="1:6">
      <c r="A36784" t="n">
        <v>360542</v>
      </c>
      <c r="B36784" s="51" t="n">
        <v>45</v>
      </c>
      <c r="C36784" s="7" t="n">
        <v>5</v>
      </c>
      <c r="D36784" s="7" t="n">
        <v>3</v>
      </c>
      <c r="E36784" s="7" t="n">
        <v>2.09999990463257</v>
      </c>
      <c r="F36784" s="7" t="n">
        <v>0</v>
      </c>
    </row>
    <row r="36785" spans="1:9">
      <c r="A36785" t="s">
        <v>4</v>
      </c>
      <c r="B36785" s="4" t="s">
        <v>5</v>
      </c>
      <c r="C36785" s="4" t="s">
        <v>7</v>
      </c>
      <c r="D36785" s="4" t="s">
        <v>7</v>
      </c>
      <c r="E36785" s="4" t="s">
        <v>13</v>
      </c>
      <c r="F36785" s="4" t="s">
        <v>11</v>
      </c>
    </row>
    <row r="36786" spans="1:9">
      <c r="A36786" t="n">
        <v>360551</v>
      </c>
      <c r="B36786" s="51" t="n">
        <v>45</v>
      </c>
      <c r="C36786" s="7" t="n">
        <v>11</v>
      </c>
      <c r="D36786" s="7" t="n">
        <v>3</v>
      </c>
      <c r="E36786" s="7" t="n">
        <v>40.2999992370605</v>
      </c>
      <c r="F36786" s="7" t="n">
        <v>0</v>
      </c>
    </row>
    <row r="36787" spans="1:9">
      <c r="A36787" t="s">
        <v>4</v>
      </c>
      <c r="B36787" s="4" t="s">
        <v>5</v>
      </c>
      <c r="C36787" s="4" t="s">
        <v>7</v>
      </c>
      <c r="D36787" s="4" t="s">
        <v>7</v>
      </c>
      <c r="E36787" s="4" t="s">
        <v>13</v>
      </c>
      <c r="F36787" s="4" t="s">
        <v>13</v>
      </c>
      <c r="G36787" s="4" t="s">
        <v>13</v>
      </c>
      <c r="H36787" s="4" t="s">
        <v>11</v>
      </c>
    </row>
    <row r="36788" spans="1:9">
      <c r="A36788" t="n">
        <v>360560</v>
      </c>
      <c r="B36788" s="51" t="n">
        <v>45</v>
      </c>
      <c r="C36788" s="7" t="n">
        <v>2</v>
      </c>
      <c r="D36788" s="7" t="n">
        <v>3</v>
      </c>
      <c r="E36788" s="7" t="n">
        <v>-9.10000038146973</v>
      </c>
      <c r="F36788" s="7" t="n">
        <v>6.75</v>
      </c>
      <c r="G36788" s="7" t="n">
        <v>31.9699993133545</v>
      </c>
      <c r="H36788" s="7" t="n">
        <v>6000</v>
      </c>
    </row>
    <row r="36789" spans="1:9">
      <c r="A36789" t="s">
        <v>4</v>
      </c>
      <c r="B36789" s="4" t="s">
        <v>5</v>
      </c>
      <c r="C36789" s="4" t="s">
        <v>7</v>
      </c>
      <c r="D36789" s="4" t="s">
        <v>7</v>
      </c>
      <c r="E36789" s="4" t="s">
        <v>13</v>
      </c>
      <c r="F36789" s="4" t="s">
        <v>13</v>
      </c>
      <c r="G36789" s="4" t="s">
        <v>13</v>
      </c>
      <c r="H36789" s="4" t="s">
        <v>11</v>
      </c>
      <c r="I36789" s="4" t="s">
        <v>7</v>
      </c>
    </row>
    <row r="36790" spans="1:9">
      <c r="A36790" t="n">
        <v>360577</v>
      </c>
      <c r="B36790" s="51" t="n">
        <v>45</v>
      </c>
      <c r="C36790" s="7" t="n">
        <v>4</v>
      </c>
      <c r="D36790" s="7" t="n">
        <v>3</v>
      </c>
      <c r="E36790" s="7" t="n">
        <v>0.0299999993294477</v>
      </c>
      <c r="F36790" s="7" t="n">
        <v>90</v>
      </c>
      <c r="G36790" s="7" t="n">
        <v>0</v>
      </c>
      <c r="H36790" s="7" t="n">
        <v>6000</v>
      </c>
      <c r="I36790" s="7" t="n">
        <v>0</v>
      </c>
    </row>
    <row r="36791" spans="1:9">
      <c r="A36791" t="s">
        <v>4</v>
      </c>
      <c r="B36791" s="4" t="s">
        <v>5</v>
      </c>
      <c r="C36791" s="4" t="s">
        <v>7</v>
      </c>
      <c r="D36791" s="4" t="s">
        <v>7</v>
      </c>
      <c r="E36791" s="4" t="s">
        <v>13</v>
      </c>
      <c r="F36791" s="4" t="s">
        <v>11</v>
      </c>
    </row>
    <row r="36792" spans="1:9">
      <c r="A36792" t="n">
        <v>360595</v>
      </c>
      <c r="B36792" s="51" t="n">
        <v>45</v>
      </c>
      <c r="C36792" s="7" t="n">
        <v>5</v>
      </c>
      <c r="D36792" s="7" t="n">
        <v>3</v>
      </c>
      <c r="E36792" s="7" t="n">
        <v>1.79999995231628</v>
      </c>
      <c r="F36792" s="7" t="n">
        <v>6000</v>
      </c>
    </row>
    <row r="36793" spans="1:9">
      <c r="A36793" t="s">
        <v>4</v>
      </c>
      <c r="B36793" s="4" t="s">
        <v>5</v>
      </c>
      <c r="C36793" s="4" t="s">
        <v>8</v>
      </c>
      <c r="D36793" s="4" t="s">
        <v>8</v>
      </c>
    </row>
    <row r="36794" spans="1:9">
      <c r="A36794" t="n">
        <v>360604</v>
      </c>
      <c r="B36794" s="52" t="n">
        <v>70</v>
      </c>
      <c r="C36794" s="7" t="s">
        <v>25</v>
      </c>
      <c r="D36794" s="7" t="s">
        <v>109</v>
      </c>
    </row>
    <row r="36795" spans="1:9">
      <c r="A36795" t="s">
        <v>4</v>
      </c>
      <c r="B36795" s="4" t="s">
        <v>5</v>
      </c>
      <c r="C36795" s="4" t="s">
        <v>7</v>
      </c>
      <c r="D36795" s="4" t="s">
        <v>11</v>
      </c>
      <c r="E36795" s="4" t="s">
        <v>13</v>
      </c>
    </row>
    <row r="36796" spans="1:9">
      <c r="A36796" t="n">
        <v>360621</v>
      </c>
      <c r="B36796" s="23" t="n">
        <v>58</v>
      </c>
      <c r="C36796" s="7" t="n">
        <v>100</v>
      </c>
      <c r="D36796" s="7" t="n">
        <v>1000</v>
      </c>
      <c r="E36796" s="7" t="n">
        <v>1</v>
      </c>
    </row>
    <row r="36797" spans="1:9">
      <c r="A36797" t="s">
        <v>4</v>
      </c>
      <c r="B36797" s="4" t="s">
        <v>5</v>
      </c>
      <c r="C36797" s="4" t="s">
        <v>7</v>
      </c>
      <c r="D36797" s="4" t="s">
        <v>11</v>
      </c>
    </row>
    <row r="36798" spans="1:9">
      <c r="A36798" t="n">
        <v>360629</v>
      </c>
      <c r="B36798" s="23" t="n">
        <v>58</v>
      </c>
      <c r="C36798" s="7" t="n">
        <v>255</v>
      </c>
      <c r="D36798" s="7" t="n">
        <v>0</v>
      </c>
    </row>
    <row r="36799" spans="1:9">
      <c r="A36799" t="s">
        <v>4</v>
      </c>
      <c r="B36799" s="4" t="s">
        <v>5</v>
      </c>
      <c r="C36799" s="4" t="s">
        <v>7</v>
      </c>
      <c r="D36799" s="4" t="s">
        <v>8</v>
      </c>
      <c r="E36799" s="4" t="s">
        <v>11</v>
      </c>
    </row>
    <row r="36800" spans="1:9">
      <c r="A36800" t="n">
        <v>360633</v>
      </c>
      <c r="B36800" s="15" t="n">
        <v>94</v>
      </c>
      <c r="C36800" s="7" t="n">
        <v>1</v>
      </c>
      <c r="D36800" s="7" t="s">
        <v>25</v>
      </c>
      <c r="E36800" s="7" t="n">
        <v>512</v>
      </c>
    </row>
    <row r="36801" spans="1:9">
      <c r="A36801" t="s">
        <v>4</v>
      </c>
      <c r="B36801" s="4" t="s">
        <v>5</v>
      </c>
      <c r="C36801" s="4" t="s">
        <v>11</v>
      </c>
    </row>
    <row r="36802" spans="1:9">
      <c r="A36802" t="n">
        <v>360647</v>
      </c>
      <c r="B36802" s="29" t="n">
        <v>16</v>
      </c>
      <c r="C36802" s="7" t="n">
        <v>4000</v>
      </c>
    </row>
    <row r="36803" spans="1:9">
      <c r="A36803" t="s">
        <v>4</v>
      </c>
      <c r="B36803" s="4" t="s">
        <v>5</v>
      </c>
      <c r="C36803" s="4" t="s">
        <v>11</v>
      </c>
      <c r="D36803" s="4" t="s">
        <v>7</v>
      </c>
      <c r="E36803" s="4" t="s">
        <v>13</v>
      </c>
      <c r="F36803" s="4" t="s">
        <v>11</v>
      </c>
    </row>
    <row r="36804" spans="1:9">
      <c r="A36804" t="n">
        <v>360650</v>
      </c>
      <c r="B36804" s="56" t="n">
        <v>59</v>
      </c>
      <c r="C36804" s="7" t="n">
        <v>0</v>
      </c>
      <c r="D36804" s="7" t="n">
        <v>9</v>
      </c>
      <c r="E36804" s="7" t="n">
        <v>0.150000005960464</v>
      </c>
      <c r="F36804" s="7" t="n">
        <v>0</v>
      </c>
    </row>
    <row r="36805" spans="1:9">
      <c r="A36805" t="s">
        <v>4</v>
      </c>
      <c r="B36805" s="4" t="s">
        <v>5</v>
      </c>
      <c r="C36805" s="4" t="s">
        <v>11</v>
      </c>
      <c r="D36805" s="4" t="s">
        <v>7</v>
      </c>
      <c r="E36805" s="4" t="s">
        <v>13</v>
      </c>
      <c r="F36805" s="4" t="s">
        <v>11</v>
      </c>
    </row>
    <row r="36806" spans="1:9">
      <c r="A36806" t="n">
        <v>360660</v>
      </c>
      <c r="B36806" s="56" t="n">
        <v>59</v>
      </c>
      <c r="C36806" s="7" t="n">
        <v>6</v>
      </c>
      <c r="D36806" s="7" t="n">
        <v>9</v>
      </c>
      <c r="E36806" s="7" t="n">
        <v>0.150000005960464</v>
      </c>
      <c r="F36806" s="7" t="n">
        <v>0</v>
      </c>
    </row>
    <row r="36807" spans="1:9">
      <c r="A36807" t="s">
        <v>4</v>
      </c>
      <c r="B36807" s="4" t="s">
        <v>5</v>
      </c>
      <c r="C36807" s="4" t="s">
        <v>11</v>
      </c>
    </row>
    <row r="36808" spans="1:9">
      <c r="A36808" t="n">
        <v>360670</v>
      </c>
      <c r="B36808" s="29" t="n">
        <v>16</v>
      </c>
      <c r="C36808" s="7" t="n">
        <v>1500</v>
      </c>
    </row>
    <row r="36809" spans="1:9">
      <c r="A36809" t="s">
        <v>4</v>
      </c>
      <c r="B36809" s="4" t="s">
        <v>5</v>
      </c>
      <c r="C36809" s="4" t="s">
        <v>7</v>
      </c>
      <c r="D36809" s="4" t="s">
        <v>11</v>
      </c>
    </row>
    <row r="36810" spans="1:9">
      <c r="A36810" t="n">
        <v>360673</v>
      </c>
      <c r="B36810" s="51" t="n">
        <v>45</v>
      </c>
      <c r="C36810" s="7" t="n">
        <v>7</v>
      </c>
      <c r="D36810" s="7" t="n">
        <v>255</v>
      </c>
    </row>
    <row r="36811" spans="1:9">
      <c r="A36811" t="s">
        <v>4</v>
      </c>
      <c r="B36811" s="4" t="s">
        <v>5</v>
      </c>
      <c r="C36811" s="4" t="s">
        <v>7</v>
      </c>
      <c r="D36811" s="4" t="s">
        <v>11</v>
      </c>
      <c r="E36811" s="4" t="s">
        <v>13</v>
      </c>
    </row>
    <row r="36812" spans="1:9">
      <c r="A36812" t="n">
        <v>360677</v>
      </c>
      <c r="B36812" s="23" t="n">
        <v>58</v>
      </c>
      <c r="C36812" s="7" t="n">
        <v>0</v>
      </c>
      <c r="D36812" s="7" t="n">
        <v>2000</v>
      </c>
      <c r="E36812" s="7" t="n">
        <v>1</v>
      </c>
    </row>
    <row r="36813" spans="1:9">
      <c r="A36813" t="s">
        <v>4</v>
      </c>
      <c r="B36813" s="4" t="s">
        <v>5</v>
      </c>
      <c r="C36813" s="4" t="s">
        <v>7</v>
      </c>
      <c r="D36813" s="4" t="s">
        <v>11</v>
      </c>
    </row>
    <row r="36814" spans="1:9">
      <c r="A36814" t="n">
        <v>360685</v>
      </c>
      <c r="B36814" s="23" t="n">
        <v>58</v>
      </c>
      <c r="C36814" s="7" t="n">
        <v>255</v>
      </c>
      <c r="D36814" s="7" t="n">
        <v>0</v>
      </c>
    </row>
    <row r="36815" spans="1:9">
      <c r="A36815" t="s">
        <v>4</v>
      </c>
      <c r="B36815" s="4" t="s">
        <v>5</v>
      </c>
      <c r="C36815" s="4" t="s">
        <v>7</v>
      </c>
      <c r="D36815" s="4" t="s">
        <v>7</v>
      </c>
      <c r="E36815" s="4" t="s">
        <v>13</v>
      </c>
      <c r="F36815" s="4" t="s">
        <v>13</v>
      </c>
      <c r="G36815" s="4" t="s">
        <v>13</v>
      </c>
      <c r="H36815" s="4" t="s">
        <v>11</v>
      </c>
    </row>
    <row r="36816" spans="1:9">
      <c r="A36816" t="n">
        <v>360689</v>
      </c>
      <c r="B36816" s="51" t="n">
        <v>45</v>
      </c>
      <c r="C36816" s="7" t="n">
        <v>2</v>
      </c>
      <c r="D36816" s="7" t="n">
        <v>3</v>
      </c>
      <c r="E36816" s="7" t="n">
        <v>-7.84000015258789</v>
      </c>
      <c r="F36816" s="7" t="n">
        <v>7.17000007629395</v>
      </c>
      <c r="G36816" s="7" t="n">
        <v>31.6599998474121</v>
      </c>
      <c r="H36816" s="7" t="n">
        <v>0</v>
      </c>
    </row>
    <row r="36817" spans="1:8">
      <c r="A36817" t="s">
        <v>4</v>
      </c>
      <c r="B36817" s="4" t="s">
        <v>5</v>
      </c>
      <c r="C36817" s="4" t="s">
        <v>7</v>
      </c>
      <c r="D36817" s="4" t="s">
        <v>7</v>
      </c>
      <c r="E36817" s="4" t="s">
        <v>13</v>
      </c>
      <c r="F36817" s="4" t="s">
        <v>13</v>
      </c>
      <c r="G36817" s="4" t="s">
        <v>13</v>
      </c>
      <c r="H36817" s="4" t="s">
        <v>11</v>
      </c>
      <c r="I36817" s="4" t="s">
        <v>7</v>
      </c>
    </row>
    <row r="36818" spans="1:8">
      <c r="A36818" t="n">
        <v>360706</v>
      </c>
      <c r="B36818" s="51" t="n">
        <v>45</v>
      </c>
      <c r="C36818" s="7" t="n">
        <v>4</v>
      </c>
      <c r="D36818" s="7" t="n">
        <v>3</v>
      </c>
      <c r="E36818" s="7" t="n">
        <v>9.01000022888184</v>
      </c>
      <c r="F36818" s="7" t="n">
        <v>55.7900009155273</v>
      </c>
      <c r="G36818" s="7" t="n">
        <v>0</v>
      </c>
      <c r="H36818" s="7" t="n">
        <v>0</v>
      </c>
      <c r="I36818" s="7" t="n">
        <v>0</v>
      </c>
    </row>
    <row r="36819" spans="1:8">
      <c r="A36819" t="s">
        <v>4</v>
      </c>
      <c r="B36819" s="4" t="s">
        <v>5</v>
      </c>
      <c r="C36819" s="4" t="s">
        <v>7</v>
      </c>
      <c r="D36819" s="4" t="s">
        <v>7</v>
      </c>
      <c r="E36819" s="4" t="s">
        <v>13</v>
      </c>
      <c r="F36819" s="4" t="s">
        <v>11</v>
      </c>
    </row>
    <row r="36820" spans="1:8">
      <c r="A36820" t="n">
        <v>360724</v>
      </c>
      <c r="B36820" s="51" t="n">
        <v>45</v>
      </c>
      <c r="C36820" s="7" t="n">
        <v>5</v>
      </c>
      <c r="D36820" s="7" t="n">
        <v>3</v>
      </c>
      <c r="E36820" s="7" t="n">
        <v>2.40000009536743</v>
      </c>
      <c r="F36820" s="7" t="n">
        <v>0</v>
      </c>
    </row>
    <row r="36821" spans="1:8">
      <c r="A36821" t="s">
        <v>4</v>
      </c>
      <c r="B36821" s="4" t="s">
        <v>5</v>
      </c>
      <c r="C36821" s="4" t="s">
        <v>7</v>
      </c>
      <c r="D36821" s="4" t="s">
        <v>7</v>
      </c>
      <c r="E36821" s="4" t="s">
        <v>13</v>
      </c>
      <c r="F36821" s="4" t="s">
        <v>11</v>
      </c>
    </row>
    <row r="36822" spans="1:8">
      <c r="A36822" t="n">
        <v>360733</v>
      </c>
      <c r="B36822" s="51" t="n">
        <v>45</v>
      </c>
      <c r="C36822" s="7" t="n">
        <v>11</v>
      </c>
      <c r="D36822" s="7" t="n">
        <v>3</v>
      </c>
      <c r="E36822" s="7" t="n">
        <v>40.2999992370605</v>
      </c>
      <c r="F36822" s="7" t="n">
        <v>0</v>
      </c>
    </row>
    <row r="36823" spans="1:8">
      <c r="A36823" t="s">
        <v>4</v>
      </c>
      <c r="B36823" s="4" t="s">
        <v>5</v>
      </c>
      <c r="C36823" s="4" t="s">
        <v>7</v>
      </c>
      <c r="D36823" s="4" t="s">
        <v>7</v>
      </c>
      <c r="E36823" s="4" t="s">
        <v>13</v>
      </c>
      <c r="F36823" s="4" t="s">
        <v>13</v>
      </c>
      <c r="G36823" s="4" t="s">
        <v>13</v>
      </c>
      <c r="H36823" s="4" t="s">
        <v>11</v>
      </c>
    </row>
    <row r="36824" spans="1:8">
      <c r="A36824" t="n">
        <v>360742</v>
      </c>
      <c r="B36824" s="51" t="n">
        <v>45</v>
      </c>
      <c r="C36824" s="7" t="n">
        <v>2</v>
      </c>
      <c r="D36824" s="7" t="n">
        <v>3</v>
      </c>
      <c r="E36824" s="7" t="n">
        <v>-6.8899998664856</v>
      </c>
      <c r="F36824" s="7" t="n">
        <v>6.26999998092651</v>
      </c>
      <c r="G36824" s="7" t="n">
        <v>30.0599994659424</v>
      </c>
      <c r="H36824" s="7" t="n">
        <v>6000</v>
      </c>
    </row>
    <row r="36825" spans="1:8">
      <c r="A36825" t="s">
        <v>4</v>
      </c>
      <c r="B36825" s="4" t="s">
        <v>5</v>
      </c>
      <c r="C36825" s="4" t="s">
        <v>7</v>
      </c>
      <c r="D36825" s="4" t="s">
        <v>7</v>
      </c>
      <c r="E36825" s="4" t="s">
        <v>13</v>
      </c>
      <c r="F36825" s="4" t="s">
        <v>13</v>
      </c>
      <c r="G36825" s="4" t="s">
        <v>13</v>
      </c>
      <c r="H36825" s="4" t="s">
        <v>11</v>
      </c>
      <c r="I36825" s="4" t="s">
        <v>7</v>
      </c>
    </row>
    <row r="36826" spans="1:8">
      <c r="A36826" t="n">
        <v>360759</v>
      </c>
      <c r="B36826" s="51" t="n">
        <v>45</v>
      </c>
      <c r="C36826" s="7" t="n">
        <v>4</v>
      </c>
      <c r="D36826" s="7" t="n">
        <v>3</v>
      </c>
      <c r="E36826" s="7" t="n">
        <v>6.73999977111816</v>
      </c>
      <c r="F36826" s="7" t="n">
        <v>13.6199998855591</v>
      </c>
      <c r="G36826" s="7" t="n">
        <v>0</v>
      </c>
      <c r="H36826" s="7" t="n">
        <v>6000</v>
      </c>
      <c r="I36826" s="7" t="n">
        <v>1</v>
      </c>
    </row>
    <row r="36827" spans="1:8">
      <c r="A36827" t="s">
        <v>4</v>
      </c>
      <c r="B36827" s="4" t="s">
        <v>5</v>
      </c>
      <c r="C36827" s="4" t="s">
        <v>11</v>
      </c>
      <c r="D36827" s="4" t="s">
        <v>13</v>
      </c>
      <c r="E36827" s="4" t="s">
        <v>13</v>
      </c>
      <c r="F36827" s="4" t="s">
        <v>13</v>
      </c>
      <c r="G36827" s="4" t="s">
        <v>13</v>
      </c>
    </row>
    <row r="36828" spans="1:8">
      <c r="A36828" t="n">
        <v>360777</v>
      </c>
      <c r="B36828" s="36" t="n">
        <v>46</v>
      </c>
      <c r="C36828" s="7" t="n">
        <v>0</v>
      </c>
      <c r="D36828" s="7" t="n">
        <v>-6.51000022888184</v>
      </c>
      <c r="E36828" s="7" t="n">
        <v>5</v>
      </c>
      <c r="F36828" s="7" t="n">
        <v>29.8999996185303</v>
      </c>
      <c r="G36828" s="7" t="n">
        <v>208</v>
      </c>
    </row>
    <row r="36829" spans="1:8">
      <c r="A36829" t="s">
        <v>4</v>
      </c>
      <c r="B36829" s="4" t="s">
        <v>5</v>
      </c>
      <c r="C36829" s="4" t="s">
        <v>11</v>
      </c>
      <c r="D36829" s="4" t="s">
        <v>13</v>
      </c>
      <c r="E36829" s="4" t="s">
        <v>13</v>
      </c>
      <c r="F36829" s="4" t="s">
        <v>13</v>
      </c>
      <c r="G36829" s="4" t="s">
        <v>13</v>
      </c>
    </row>
    <row r="36830" spans="1:8">
      <c r="A36830" t="n">
        <v>360796</v>
      </c>
      <c r="B36830" s="36" t="n">
        <v>46</v>
      </c>
      <c r="C36830" s="7" t="n">
        <v>6</v>
      </c>
      <c r="D36830" s="7" t="n">
        <v>-7.44999980926514</v>
      </c>
      <c r="E36830" s="7" t="n">
        <v>5</v>
      </c>
      <c r="F36830" s="7" t="n">
        <v>29.7999992370605</v>
      </c>
      <c r="G36830" s="7" t="n">
        <v>151.199996948242</v>
      </c>
    </row>
    <row r="36831" spans="1:8">
      <c r="A36831" t="s">
        <v>4</v>
      </c>
      <c r="B36831" s="4" t="s">
        <v>5</v>
      </c>
      <c r="C36831" s="4" t="s">
        <v>8</v>
      </c>
      <c r="D36831" s="4" t="s">
        <v>8</v>
      </c>
    </row>
    <row r="36832" spans="1:8">
      <c r="A36832" t="n">
        <v>360815</v>
      </c>
      <c r="B36832" s="52" t="n">
        <v>70</v>
      </c>
      <c r="C36832" s="7" t="s">
        <v>25</v>
      </c>
      <c r="D36832" s="7" t="s">
        <v>118</v>
      </c>
    </row>
    <row r="36833" spans="1:9">
      <c r="A36833" t="s">
        <v>4</v>
      </c>
      <c r="B36833" s="4" t="s">
        <v>5</v>
      </c>
      <c r="C36833" s="4" t="s">
        <v>11</v>
      </c>
      <c r="D36833" s="4" t="s">
        <v>11</v>
      </c>
      <c r="E36833" s="4" t="s">
        <v>11</v>
      </c>
    </row>
    <row r="36834" spans="1:9">
      <c r="A36834" t="n">
        <v>360831</v>
      </c>
      <c r="B36834" s="72" t="n">
        <v>61</v>
      </c>
      <c r="C36834" s="7" t="n">
        <v>0</v>
      </c>
      <c r="D36834" s="7" t="n">
        <v>6</v>
      </c>
      <c r="E36834" s="7" t="n">
        <v>0</v>
      </c>
    </row>
    <row r="36835" spans="1:9">
      <c r="A36835" t="s">
        <v>4</v>
      </c>
      <c r="B36835" s="4" t="s">
        <v>5</v>
      </c>
      <c r="C36835" s="4" t="s">
        <v>11</v>
      </c>
      <c r="D36835" s="4" t="s">
        <v>11</v>
      </c>
      <c r="E36835" s="4" t="s">
        <v>11</v>
      </c>
    </row>
    <row r="36836" spans="1:9">
      <c r="A36836" t="n">
        <v>360838</v>
      </c>
      <c r="B36836" s="72" t="n">
        <v>61</v>
      </c>
      <c r="C36836" s="7" t="n">
        <v>6</v>
      </c>
      <c r="D36836" s="7" t="n">
        <v>0</v>
      </c>
      <c r="E36836" s="7" t="n">
        <v>0</v>
      </c>
    </row>
    <row r="36837" spans="1:9">
      <c r="A36837" t="s">
        <v>4</v>
      </c>
      <c r="B36837" s="4" t="s">
        <v>5</v>
      </c>
      <c r="C36837" s="4" t="s">
        <v>7</v>
      </c>
      <c r="D36837" s="4" t="s">
        <v>11</v>
      </c>
      <c r="E36837" s="4" t="s">
        <v>13</v>
      </c>
    </row>
    <row r="36838" spans="1:9">
      <c r="A36838" t="n">
        <v>360845</v>
      </c>
      <c r="B36838" s="23" t="n">
        <v>58</v>
      </c>
      <c r="C36838" s="7" t="n">
        <v>100</v>
      </c>
      <c r="D36838" s="7" t="n">
        <v>1000</v>
      </c>
      <c r="E36838" s="7" t="n">
        <v>1</v>
      </c>
    </row>
    <row r="36839" spans="1:9">
      <c r="A36839" t="s">
        <v>4</v>
      </c>
      <c r="B36839" s="4" t="s">
        <v>5</v>
      </c>
      <c r="C36839" s="4" t="s">
        <v>7</v>
      </c>
      <c r="D36839" s="4" t="s">
        <v>11</v>
      </c>
    </row>
    <row r="36840" spans="1:9">
      <c r="A36840" t="n">
        <v>360853</v>
      </c>
      <c r="B36840" s="23" t="n">
        <v>58</v>
      </c>
      <c r="C36840" s="7" t="n">
        <v>255</v>
      </c>
      <c r="D36840" s="7" t="n">
        <v>0</v>
      </c>
    </row>
    <row r="36841" spans="1:9">
      <c r="A36841" t="s">
        <v>4</v>
      </c>
      <c r="B36841" s="4" t="s">
        <v>5</v>
      </c>
      <c r="C36841" s="4" t="s">
        <v>11</v>
      </c>
    </row>
    <row r="36842" spans="1:9">
      <c r="A36842" t="n">
        <v>360857</v>
      </c>
      <c r="B36842" s="29" t="n">
        <v>16</v>
      </c>
      <c r="C36842" s="7" t="n">
        <v>1000</v>
      </c>
    </row>
    <row r="36843" spans="1:9">
      <c r="A36843" t="s">
        <v>4</v>
      </c>
      <c r="B36843" s="4" t="s">
        <v>5</v>
      </c>
      <c r="C36843" s="4" t="s">
        <v>7</v>
      </c>
      <c r="D36843" s="4" t="s">
        <v>11</v>
      </c>
    </row>
    <row r="36844" spans="1:9">
      <c r="A36844" t="n">
        <v>360860</v>
      </c>
      <c r="B36844" s="51" t="n">
        <v>45</v>
      </c>
      <c r="C36844" s="7" t="n">
        <v>7</v>
      </c>
      <c r="D36844" s="7" t="n">
        <v>255</v>
      </c>
    </row>
    <row r="36845" spans="1:9">
      <c r="A36845" t="s">
        <v>4</v>
      </c>
      <c r="B36845" s="4" t="s">
        <v>5</v>
      </c>
      <c r="C36845" s="4" t="s">
        <v>7</v>
      </c>
      <c r="D36845" s="4" t="s">
        <v>11</v>
      </c>
      <c r="E36845" s="4" t="s">
        <v>13</v>
      </c>
    </row>
    <row r="36846" spans="1:9">
      <c r="A36846" t="n">
        <v>360864</v>
      </c>
      <c r="B36846" s="23" t="n">
        <v>58</v>
      </c>
      <c r="C36846" s="7" t="n">
        <v>101</v>
      </c>
      <c r="D36846" s="7" t="n">
        <v>500</v>
      </c>
      <c r="E36846" s="7" t="n">
        <v>1</v>
      </c>
    </row>
    <row r="36847" spans="1:9">
      <c r="A36847" t="s">
        <v>4</v>
      </c>
      <c r="B36847" s="4" t="s">
        <v>5</v>
      </c>
      <c r="C36847" s="4" t="s">
        <v>7</v>
      </c>
      <c r="D36847" s="4" t="s">
        <v>11</v>
      </c>
    </row>
    <row r="36848" spans="1:9">
      <c r="A36848" t="n">
        <v>360872</v>
      </c>
      <c r="B36848" s="23" t="n">
        <v>58</v>
      </c>
      <c r="C36848" s="7" t="n">
        <v>254</v>
      </c>
      <c r="D36848" s="7" t="n">
        <v>0</v>
      </c>
    </row>
    <row r="36849" spans="1:5">
      <c r="A36849" t="s">
        <v>4</v>
      </c>
      <c r="B36849" s="4" t="s">
        <v>5</v>
      </c>
      <c r="C36849" s="4" t="s">
        <v>7</v>
      </c>
      <c r="D36849" s="4" t="s">
        <v>11</v>
      </c>
      <c r="E36849" s="4" t="s">
        <v>8</v>
      </c>
      <c r="F36849" s="4" t="s">
        <v>8</v>
      </c>
      <c r="G36849" s="4" t="s">
        <v>8</v>
      </c>
      <c r="H36849" s="4" t="s">
        <v>8</v>
      </c>
    </row>
    <row r="36850" spans="1:5">
      <c r="A36850" t="n">
        <v>360876</v>
      </c>
      <c r="B36850" s="38" t="n">
        <v>51</v>
      </c>
      <c r="C36850" s="7" t="n">
        <v>3</v>
      </c>
      <c r="D36850" s="7" t="n">
        <v>6</v>
      </c>
      <c r="E36850" s="7" t="s">
        <v>79</v>
      </c>
      <c r="F36850" s="7" t="s">
        <v>79</v>
      </c>
      <c r="G36850" s="7" t="s">
        <v>78</v>
      </c>
      <c r="H36850" s="7" t="s">
        <v>79</v>
      </c>
    </row>
    <row r="36851" spans="1:5">
      <c r="A36851" t="s">
        <v>4</v>
      </c>
      <c r="B36851" s="4" t="s">
        <v>5</v>
      </c>
      <c r="C36851" s="4" t="s">
        <v>7</v>
      </c>
      <c r="D36851" s="4" t="s">
        <v>11</v>
      </c>
      <c r="E36851" s="4" t="s">
        <v>11</v>
      </c>
      <c r="F36851" s="4" t="s">
        <v>15</v>
      </c>
      <c r="G36851" s="4" t="s">
        <v>15</v>
      </c>
      <c r="H36851" s="4" t="s">
        <v>15</v>
      </c>
    </row>
    <row r="36852" spans="1:5">
      <c r="A36852" t="n">
        <v>360889</v>
      </c>
      <c r="B36852" s="77" t="n">
        <v>97</v>
      </c>
      <c r="C36852" s="7" t="n">
        <v>6</v>
      </c>
      <c r="D36852" s="7" t="n">
        <v>0</v>
      </c>
      <c r="E36852" s="7" t="n">
        <v>0</v>
      </c>
      <c r="F36852" s="7" t="n">
        <v>-1065143501</v>
      </c>
      <c r="G36852" s="7" t="n">
        <v>1101004800</v>
      </c>
      <c r="H36852" s="7" t="n">
        <v>1101004800</v>
      </c>
    </row>
    <row r="36853" spans="1:5">
      <c r="A36853" t="s">
        <v>4</v>
      </c>
      <c r="B36853" s="4" t="s">
        <v>5</v>
      </c>
      <c r="C36853" s="4" t="s">
        <v>7</v>
      </c>
      <c r="D36853" s="4" t="s">
        <v>7</v>
      </c>
      <c r="E36853" s="4" t="s">
        <v>13</v>
      </c>
      <c r="F36853" s="4" t="s">
        <v>13</v>
      </c>
      <c r="G36853" s="4" t="s">
        <v>13</v>
      </c>
      <c r="H36853" s="4" t="s">
        <v>11</v>
      </c>
    </row>
    <row r="36854" spans="1:5">
      <c r="A36854" t="n">
        <v>360907</v>
      </c>
      <c r="B36854" s="51" t="n">
        <v>45</v>
      </c>
      <c r="C36854" s="7" t="n">
        <v>2</v>
      </c>
      <c r="D36854" s="7" t="n">
        <v>3</v>
      </c>
      <c r="E36854" s="7" t="n">
        <v>-6.86999988555908</v>
      </c>
      <c r="F36854" s="7" t="n">
        <v>6.44999980926514</v>
      </c>
      <c r="G36854" s="7" t="n">
        <v>29.8400001525879</v>
      </c>
      <c r="H36854" s="7" t="n">
        <v>0</v>
      </c>
    </row>
    <row r="36855" spans="1:5">
      <c r="A36855" t="s">
        <v>4</v>
      </c>
      <c r="B36855" s="4" t="s">
        <v>5</v>
      </c>
      <c r="C36855" s="4" t="s">
        <v>7</v>
      </c>
      <c r="D36855" s="4" t="s">
        <v>7</v>
      </c>
      <c r="E36855" s="4" t="s">
        <v>13</v>
      </c>
      <c r="F36855" s="4" t="s">
        <v>13</v>
      </c>
      <c r="G36855" s="4" t="s">
        <v>13</v>
      </c>
      <c r="H36855" s="4" t="s">
        <v>11</v>
      </c>
      <c r="I36855" s="4" t="s">
        <v>7</v>
      </c>
    </row>
    <row r="36856" spans="1:5">
      <c r="A36856" t="n">
        <v>360924</v>
      </c>
      <c r="B36856" s="51" t="n">
        <v>45</v>
      </c>
      <c r="C36856" s="7" t="n">
        <v>4</v>
      </c>
      <c r="D36856" s="7" t="n">
        <v>3</v>
      </c>
      <c r="E36856" s="7" t="n">
        <v>4.30999994277954</v>
      </c>
      <c r="F36856" s="7" t="n">
        <v>134.660003662109</v>
      </c>
      <c r="G36856" s="7" t="n">
        <v>0</v>
      </c>
      <c r="H36856" s="7" t="n">
        <v>0</v>
      </c>
      <c r="I36856" s="7" t="n">
        <v>0</v>
      </c>
    </row>
    <row r="36857" spans="1:5">
      <c r="A36857" t="s">
        <v>4</v>
      </c>
      <c r="B36857" s="4" t="s">
        <v>5</v>
      </c>
      <c r="C36857" s="4" t="s">
        <v>7</v>
      </c>
      <c r="D36857" s="4" t="s">
        <v>7</v>
      </c>
      <c r="E36857" s="4" t="s">
        <v>13</v>
      </c>
      <c r="F36857" s="4" t="s">
        <v>11</v>
      </c>
    </row>
    <row r="36858" spans="1:5">
      <c r="A36858" t="n">
        <v>360942</v>
      </c>
      <c r="B36858" s="51" t="n">
        <v>45</v>
      </c>
      <c r="C36858" s="7" t="n">
        <v>5</v>
      </c>
      <c r="D36858" s="7" t="n">
        <v>3</v>
      </c>
      <c r="E36858" s="7" t="n">
        <v>1.29999995231628</v>
      </c>
      <c r="F36858" s="7" t="n">
        <v>0</v>
      </c>
    </row>
    <row r="36859" spans="1:5">
      <c r="A36859" t="s">
        <v>4</v>
      </c>
      <c r="B36859" s="4" t="s">
        <v>5</v>
      </c>
      <c r="C36859" s="4" t="s">
        <v>7</v>
      </c>
      <c r="D36859" s="4" t="s">
        <v>7</v>
      </c>
      <c r="E36859" s="4" t="s">
        <v>13</v>
      </c>
      <c r="F36859" s="4" t="s">
        <v>11</v>
      </c>
    </row>
    <row r="36860" spans="1:5">
      <c r="A36860" t="n">
        <v>360951</v>
      </c>
      <c r="B36860" s="51" t="n">
        <v>45</v>
      </c>
      <c r="C36860" s="7" t="n">
        <v>11</v>
      </c>
      <c r="D36860" s="7" t="n">
        <v>3</v>
      </c>
      <c r="E36860" s="7" t="n">
        <v>40.2999992370605</v>
      </c>
      <c r="F36860" s="7" t="n">
        <v>0</v>
      </c>
    </row>
    <row r="36861" spans="1:5">
      <c r="A36861" t="s">
        <v>4</v>
      </c>
      <c r="B36861" s="4" t="s">
        <v>5</v>
      </c>
      <c r="C36861" s="4" t="s">
        <v>7</v>
      </c>
      <c r="D36861" s="4" t="s">
        <v>11</v>
      </c>
    </row>
    <row r="36862" spans="1:5">
      <c r="A36862" t="n">
        <v>360960</v>
      </c>
      <c r="B36862" s="23" t="n">
        <v>58</v>
      </c>
      <c r="C36862" s="7" t="n">
        <v>255</v>
      </c>
      <c r="D36862" s="7" t="n">
        <v>0</v>
      </c>
    </row>
    <row r="36863" spans="1:5">
      <c r="A36863" t="s">
        <v>4</v>
      </c>
      <c r="B36863" s="4" t="s">
        <v>5</v>
      </c>
      <c r="C36863" s="4" t="s">
        <v>7</v>
      </c>
      <c r="D36863" s="4" t="s">
        <v>11</v>
      </c>
      <c r="E36863" s="4" t="s">
        <v>8</v>
      </c>
    </row>
    <row r="36864" spans="1:5">
      <c r="A36864" t="n">
        <v>360964</v>
      </c>
      <c r="B36864" s="38" t="n">
        <v>51</v>
      </c>
      <c r="C36864" s="7" t="n">
        <v>4</v>
      </c>
      <c r="D36864" s="7" t="n">
        <v>6</v>
      </c>
      <c r="E36864" s="7" t="s">
        <v>1080</v>
      </c>
    </row>
    <row r="36865" spans="1:9">
      <c r="A36865" t="s">
        <v>4</v>
      </c>
      <c r="B36865" s="4" t="s">
        <v>5</v>
      </c>
      <c r="C36865" s="4" t="s">
        <v>11</v>
      </c>
    </row>
    <row r="36866" spans="1:9">
      <c r="A36866" t="n">
        <v>360977</v>
      </c>
      <c r="B36866" s="29" t="n">
        <v>16</v>
      </c>
      <c r="C36866" s="7" t="n">
        <v>0</v>
      </c>
    </row>
    <row r="36867" spans="1:9">
      <c r="A36867" t="s">
        <v>4</v>
      </c>
      <c r="B36867" s="4" t="s">
        <v>5</v>
      </c>
      <c r="C36867" s="4" t="s">
        <v>11</v>
      </c>
      <c r="D36867" s="4" t="s">
        <v>7</v>
      </c>
      <c r="E36867" s="4" t="s">
        <v>15</v>
      </c>
      <c r="F36867" s="4" t="s">
        <v>55</v>
      </c>
      <c r="G36867" s="4" t="s">
        <v>7</v>
      </c>
      <c r="H36867" s="4" t="s">
        <v>7</v>
      </c>
      <c r="I36867" s="4" t="s">
        <v>7</v>
      </c>
      <c r="J36867" s="4" t="s">
        <v>15</v>
      </c>
      <c r="K36867" s="4" t="s">
        <v>55</v>
      </c>
      <c r="L36867" s="4" t="s">
        <v>7</v>
      </c>
      <c r="M36867" s="4" t="s">
        <v>7</v>
      </c>
    </row>
    <row r="36868" spans="1:9">
      <c r="A36868" t="n">
        <v>360980</v>
      </c>
      <c r="B36868" s="55" t="n">
        <v>26</v>
      </c>
      <c r="C36868" s="7" t="n">
        <v>6</v>
      </c>
      <c r="D36868" s="7" t="n">
        <v>17</v>
      </c>
      <c r="E36868" s="7" t="n">
        <v>64184</v>
      </c>
      <c r="F36868" s="7" t="s">
        <v>1081</v>
      </c>
      <c r="G36868" s="7" t="n">
        <v>2</v>
      </c>
      <c r="H36868" s="7" t="n">
        <v>3</v>
      </c>
      <c r="I36868" s="7" t="n">
        <v>17</v>
      </c>
      <c r="J36868" s="7" t="n">
        <v>64185</v>
      </c>
      <c r="K36868" s="7" t="s">
        <v>1082</v>
      </c>
      <c r="L36868" s="7" t="n">
        <v>2</v>
      </c>
      <c r="M36868" s="7" t="n">
        <v>0</v>
      </c>
    </row>
    <row r="36869" spans="1:9">
      <c r="A36869" t="s">
        <v>4</v>
      </c>
      <c r="B36869" s="4" t="s">
        <v>5</v>
      </c>
    </row>
    <row r="36870" spans="1:9">
      <c r="A36870" t="n">
        <v>361169</v>
      </c>
      <c r="B36870" s="27" t="n">
        <v>28</v>
      </c>
    </row>
    <row r="36871" spans="1:9">
      <c r="A36871" t="s">
        <v>4</v>
      </c>
      <c r="B36871" s="4" t="s">
        <v>5</v>
      </c>
      <c r="C36871" s="4" t="s">
        <v>7</v>
      </c>
      <c r="D36871" s="4" t="s">
        <v>11</v>
      </c>
      <c r="E36871" s="4" t="s">
        <v>8</v>
      </c>
    </row>
    <row r="36872" spans="1:9">
      <c r="A36872" t="n">
        <v>361170</v>
      </c>
      <c r="B36872" s="38" t="n">
        <v>51</v>
      </c>
      <c r="C36872" s="7" t="n">
        <v>4</v>
      </c>
      <c r="D36872" s="7" t="n">
        <v>0</v>
      </c>
      <c r="E36872" s="7" t="s">
        <v>173</v>
      </c>
    </row>
    <row r="36873" spans="1:9">
      <c r="A36873" t="s">
        <v>4</v>
      </c>
      <c r="B36873" s="4" t="s">
        <v>5</v>
      </c>
      <c r="C36873" s="4" t="s">
        <v>11</v>
      </c>
    </row>
    <row r="36874" spans="1:9">
      <c r="A36874" t="n">
        <v>361183</v>
      </c>
      <c r="B36874" s="29" t="n">
        <v>16</v>
      </c>
      <c r="C36874" s="7" t="n">
        <v>0</v>
      </c>
    </row>
    <row r="36875" spans="1:9">
      <c r="A36875" t="s">
        <v>4</v>
      </c>
      <c r="B36875" s="4" t="s">
        <v>5</v>
      </c>
      <c r="C36875" s="4" t="s">
        <v>11</v>
      </c>
      <c r="D36875" s="4" t="s">
        <v>7</v>
      </c>
      <c r="E36875" s="4" t="s">
        <v>15</v>
      </c>
      <c r="F36875" s="4" t="s">
        <v>55</v>
      </c>
      <c r="G36875" s="4" t="s">
        <v>7</v>
      </c>
      <c r="H36875" s="4" t="s">
        <v>7</v>
      </c>
      <c r="I36875" s="4" t="s">
        <v>7</v>
      </c>
      <c r="J36875" s="4" t="s">
        <v>15</v>
      </c>
      <c r="K36875" s="4" t="s">
        <v>55</v>
      </c>
      <c r="L36875" s="4" t="s">
        <v>7</v>
      </c>
      <c r="M36875" s="4" t="s">
        <v>7</v>
      </c>
    </row>
    <row r="36876" spans="1:9">
      <c r="A36876" t="n">
        <v>361186</v>
      </c>
      <c r="B36876" s="55" t="n">
        <v>26</v>
      </c>
      <c r="C36876" s="7" t="n">
        <v>0</v>
      </c>
      <c r="D36876" s="7" t="n">
        <v>17</v>
      </c>
      <c r="E36876" s="7" t="n">
        <v>64186</v>
      </c>
      <c r="F36876" s="7" t="s">
        <v>1083</v>
      </c>
      <c r="G36876" s="7" t="n">
        <v>2</v>
      </c>
      <c r="H36876" s="7" t="n">
        <v>3</v>
      </c>
      <c r="I36876" s="7" t="n">
        <v>17</v>
      </c>
      <c r="J36876" s="7" t="n">
        <v>64187</v>
      </c>
      <c r="K36876" s="7" t="s">
        <v>1084</v>
      </c>
      <c r="L36876" s="7" t="n">
        <v>2</v>
      </c>
      <c r="M36876" s="7" t="n">
        <v>0</v>
      </c>
    </row>
    <row r="36877" spans="1:9">
      <c r="A36877" t="s">
        <v>4</v>
      </c>
      <c r="B36877" s="4" t="s">
        <v>5</v>
      </c>
    </row>
    <row r="36878" spans="1:9">
      <c r="A36878" t="n">
        <v>361391</v>
      </c>
      <c r="B36878" s="27" t="n">
        <v>28</v>
      </c>
    </row>
    <row r="36879" spans="1:9">
      <c r="A36879" t="s">
        <v>4</v>
      </c>
      <c r="B36879" s="4" t="s">
        <v>5</v>
      </c>
      <c r="C36879" s="4" t="s">
        <v>7</v>
      </c>
      <c r="D36879" s="4" t="s">
        <v>11</v>
      </c>
      <c r="E36879" s="4" t="s">
        <v>8</v>
      </c>
    </row>
    <row r="36880" spans="1:9">
      <c r="A36880" t="n">
        <v>361392</v>
      </c>
      <c r="B36880" s="38" t="n">
        <v>51</v>
      </c>
      <c r="C36880" s="7" t="n">
        <v>4</v>
      </c>
      <c r="D36880" s="7" t="n">
        <v>6</v>
      </c>
      <c r="E36880" s="7" t="s">
        <v>137</v>
      </c>
    </row>
    <row r="36881" spans="1:13">
      <c r="A36881" t="s">
        <v>4</v>
      </c>
      <c r="B36881" s="4" t="s">
        <v>5</v>
      </c>
      <c r="C36881" s="4" t="s">
        <v>11</v>
      </c>
    </row>
    <row r="36882" spans="1:13">
      <c r="A36882" t="n">
        <v>361405</v>
      </c>
      <c r="B36882" s="29" t="n">
        <v>16</v>
      </c>
      <c r="C36882" s="7" t="n">
        <v>0</v>
      </c>
    </row>
    <row r="36883" spans="1:13">
      <c r="A36883" t="s">
        <v>4</v>
      </c>
      <c r="B36883" s="4" t="s">
        <v>5</v>
      </c>
      <c r="C36883" s="4" t="s">
        <v>11</v>
      </c>
      <c r="D36883" s="4" t="s">
        <v>7</v>
      </c>
      <c r="E36883" s="4" t="s">
        <v>15</v>
      </c>
      <c r="F36883" s="4" t="s">
        <v>55</v>
      </c>
      <c r="G36883" s="4" t="s">
        <v>7</v>
      </c>
      <c r="H36883" s="4" t="s">
        <v>7</v>
      </c>
      <c r="I36883" s="4" t="s">
        <v>7</v>
      </c>
      <c r="J36883" s="4" t="s">
        <v>15</v>
      </c>
      <c r="K36883" s="4" t="s">
        <v>55</v>
      </c>
      <c r="L36883" s="4" t="s">
        <v>7</v>
      </c>
      <c r="M36883" s="4" t="s">
        <v>7</v>
      </c>
      <c r="N36883" s="4" t="s">
        <v>7</v>
      </c>
      <c r="O36883" s="4" t="s">
        <v>15</v>
      </c>
      <c r="P36883" s="4" t="s">
        <v>55</v>
      </c>
      <c r="Q36883" s="4" t="s">
        <v>7</v>
      </c>
      <c r="R36883" s="4" t="s">
        <v>7</v>
      </c>
    </row>
    <row r="36884" spans="1:13">
      <c r="A36884" t="n">
        <v>361408</v>
      </c>
      <c r="B36884" s="55" t="n">
        <v>26</v>
      </c>
      <c r="C36884" s="7" t="n">
        <v>6</v>
      </c>
      <c r="D36884" s="7" t="n">
        <v>17</v>
      </c>
      <c r="E36884" s="7" t="n">
        <v>64188</v>
      </c>
      <c r="F36884" s="7" t="s">
        <v>1085</v>
      </c>
      <c r="G36884" s="7" t="n">
        <v>2</v>
      </c>
      <c r="H36884" s="7" t="n">
        <v>3</v>
      </c>
      <c r="I36884" s="7" t="n">
        <v>17</v>
      </c>
      <c r="J36884" s="7" t="n">
        <v>64189</v>
      </c>
      <c r="K36884" s="7" t="s">
        <v>1086</v>
      </c>
      <c r="L36884" s="7" t="n">
        <v>2</v>
      </c>
      <c r="M36884" s="7" t="n">
        <v>3</v>
      </c>
      <c r="N36884" s="7" t="n">
        <v>17</v>
      </c>
      <c r="O36884" s="7" t="n">
        <v>64190</v>
      </c>
      <c r="P36884" s="7" t="s">
        <v>1087</v>
      </c>
      <c r="Q36884" s="7" t="n">
        <v>2</v>
      </c>
      <c r="R36884" s="7" t="n">
        <v>0</v>
      </c>
    </row>
    <row r="36885" spans="1:13">
      <c r="A36885" t="s">
        <v>4</v>
      </c>
      <c r="B36885" s="4" t="s">
        <v>5</v>
      </c>
    </row>
    <row r="36886" spans="1:13">
      <c r="A36886" t="n">
        <v>361712</v>
      </c>
      <c r="B36886" s="27" t="n">
        <v>28</v>
      </c>
    </row>
    <row r="36887" spans="1:13">
      <c r="A36887" t="s">
        <v>4</v>
      </c>
      <c r="B36887" s="4" t="s">
        <v>5</v>
      </c>
      <c r="C36887" s="4" t="s">
        <v>7</v>
      </c>
      <c r="D36887" s="4" t="s">
        <v>11</v>
      </c>
      <c r="E36887" s="4" t="s">
        <v>8</v>
      </c>
    </row>
    <row r="36888" spans="1:13">
      <c r="A36888" t="n">
        <v>361713</v>
      </c>
      <c r="B36888" s="38" t="n">
        <v>51</v>
      </c>
      <c r="C36888" s="7" t="n">
        <v>4</v>
      </c>
      <c r="D36888" s="7" t="n">
        <v>0</v>
      </c>
      <c r="E36888" s="7" t="s">
        <v>137</v>
      </c>
    </row>
    <row r="36889" spans="1:13">
      <c r="A36889" t="s">
        <v>4</v>
      </c>
      <c r="B36889" s="4" t="s">
        <v>5</v>
      </c>
      <c r="C36889" s="4" t="s">
        <v>11</v>
      </c>
    </row>
    <row r="36890" spans="1:13">
      <c r="A36890" t="n">
        <v>361726</v>
      </c>
      <c r="B36890" s="29" t="n">
        <v>16</v>
      </c>
      <c r="C36890" s="7" t="n">
        <v>0</v>
      </c>
    </row>
    <row r="36891" spans="1:13">
      <c r="A36891" t="s">
        <v>4</v>
      </c>
      <c r="B36891" s="4" t="s">
        <v>5</v>
      </c>
      <c r="C36891" s="4" t="s">
        <v>11</v>
      </c>
      <c r="D36891" s="4" t="s">
        <v>7</v>
      </c>
      <c r="E36891" s="4" t="s">
        <v>15</v>
      </c>
      <c r="F36891" s="4" t="s">
        <v>55</v>
      </c>
      <c r="G36891" s="4" t="s">
        <v>7</v>
      </c>
      <c r="H36891" s="4" t="s">
        <v>7</v>
      </c>
    </row>
    <row r="36892" spans="1:13">
      <c r="A36892" t="n">
        <v>361729</v>
      </c>
      <c r="B36892" s="55" t="n">
        <v>26</v>
      </c>
      <c r="C36892" s="7" t="n">
        <v>0</v>
      </c>
      <c r="D36892" s="7" t="n">
        <v>17</v>
      </c>
      <c r="E36892" s="7" t="n">
        <v>64191</v>
      </c>
      <c r="F36892" s="7" t="s">
        <v>1088</v>
      </c>
      <c r="G36892" s="7" t="n">
        <v>2</v>
      </c>
      <c r="H36892" s="7" t="n">
        <v>0</v>
      </c>
    </row>
    <row r="36893" spans="1:13">
      <c r="A36893" t="s">
        <v>4</v>
      </c>
      <c r="B36893" s="4" t="s">
        <v>5</v>
      </c>
    </row>
    <row r="36894" spans="1:13">
      <c r="A36894" t="n">
        <v>361764</v>
      </c>
      <c r="B36894" s="27" t="n">
        <v>28</v>
      </c>
    </row>
    <row r="36895" spans="1:13">
      <c r="A36895" t="s">
        <v>4</v>
      </c>
      <c r="B36895" s="4" t="s">
        <v>5</v>
      </c>
      <c r="C36895" s="4" t="s">
        <v>7</v>
      </c>
      <c r="D36895" s="4" t="s">
        <v>11</v>
      </c>
      <c r="E36895" s="4" t="s">
        <v>8</v>
      </c>
    </row>
    <row r="36896" spans="1:13">
      <c r="A36896" t="n">
        <v>361765</v>
      </c>
      <c r="B36896" s="38" t="n">
        <v>51</v>
      </c>
      <c r="C36896" s="7" t="n">
        <v>4</v>
      </c>
      <c r="D36896" s="7" t="n">
        <v>6</v>
      </c>
      <c r="E36896" s="7" t="s">
        <v>470</v>
      </c>
    </row>
    <row r="36897" spans="1:18">
      <c r="A36897" t="s">
        <v>4</v>
      </c>
      <c r="B36897" s="4" t="s">
        <v>5</v>
      </c>
      <c r="C36897" s="4" t="s">
        <v>11</v>
      </c>
    </row>
    <row r="36898" spans="1:18">
      <c r="A36898" t="n">
        <v>361779</v>
      </c>
      <c r="B36898" s="29" t="n">
        <v>16</v>
      </c>
      <c r="C36898" s="7" t="n">
        <v>0</v>
      </c>
    </row>
    <row r="36899" spans="1:18">
      <c r="A36899" t="s">
        <v>4</v>
      </c>
      <c r="B36899" s="4" t="s">
        <v>5</v>
      </c>
      <c r="C36899" s="4" t="s">
        <v>11</v>
      </c>
      <c r="D36899" s="4" t="s">
        <v>7</v>
      </c>
      <c r="E36899" s="4" t="s">
        <v>15</v>
      </c>
      <c r="F36899" s="4" t="s">
        <v>55</v>
      </c>
      <c r="G36899" s="4" t="s">
        <v>7</v>
      </c>
      <c r="H36899" s="4" t="s">
        <v>7</v>
      </c>
      <c r="I36899" s="4" t="s">
        <v>7</v>
      </c>
      <c r="J36899" s="4" t="s">
        <v>15</v>
      </c>
      <c r="K36899" s="4" t="s">
        <v>55</v>
      </c>
      <c r="L36899" s="4" t="s">
        <v>7</v>
      </c>
      <c r="M36899" s="4" t="s">
        <v>7</v>
      </c>
      <c r="N36899" s="4" t="s">
        <v>7</v>
      </c>
      <c r="O36899" s="4" t="s">
        <v>15</v>
      </c>
      <c r="P36899" s="4" t="s">
        <v>55</v>
      </c>
      <c r="Q36899" s="4" t="s">
        <v>7</v>
      </c>
      <c r="R36899" s="4" t="s">
        <v>7</v>
      </c>
      <c r="S36899" s="4" t="s">
        <v>7</v>
      </c>
      <c r="T36899" s="4" t="s">
        <v>15</v>
      </c>
      <c r="U36899" s="4" t="s">
        <v>55</v>
      </c>
      <c r="V36899" s="4" t="s">
        <v>7</v>
      </c>
      <c r="W36899" s="4" t="s">
        <v>7</v>
      </c>
    </row>
    <row r="36900" spans="1:18">
      <c r="A36900" t="n">
        <v>361782</v>
      </c>
      <c r="B36900" s="55" t="n">
        <v>26</v>
      </c>
      <c r="C36900" s="7" t="n">
        <v>6</v>
      </c>
      <c r="D36900" s="7" t="n">
        <v>17</v>
      </c>
      <c r="E36900" s="7" t="n">
        <v>64192</v>
      </c>
      <c r="F36900" s="7" t="s">
        <v>1089</v>
      </c>
      <c r="G36900" s="7" t="n">
        <v>2</v>
      </c>
      <c r="H36900" s="7" t="n">
        <v>3</v>
      </c>
      <c r="I36900" s="7" t="n">
        <v>17</v>
      </c>
      <c r="J36900" s="7" t="n">
        <v>64193</v>
      </c>
      <c r="K36900" s="7" t="s">
        <v>1090</v>
      </c>
      <c r="L36900" s="7" t="n">
        <v>2</v>
      </c>
      <c r="M36900" s="7" t="n">
        <v>3</v>
      </c>
      <c r="N36900" s="7" t="n">
        <v>17</v>
      </c>
      <c r="O36900" s="7" t="n">
        <v>64194</v>
      </c>
      <c r="P36900" s="7" t="s">
        <v>1091</v>
      </c>
      <c r="Q36900" s="7" t="n">
        <v>2</v>
      </c>
      <c r="R36900" s="7" t="n">
        <v>3</v>
      </c>
      <c r="S36900" s="7" t="n">
        <v>17</v>
      </c>
      <c r="T36900" s="7" t="n">
        <v>64195</v>
      </c>
      <c r="U36900" s="7" t="s">
        <v>1092</v>
      </c>
      <c r="V36900" s="7" t="n">
        <v>2</v>
      </c>
      <c r="W36900" s="7" t="n">
        <v>0</v>
      </c>
    </row>
    <row r="36901" spans="1:18">
      <c r="A36901" t="s">
        <v>4</v>
      </c>
      <c r="B36901" s="4" t="s">
        <v>5</v>
      </c>
    </row>
    <row r="36902" spans="1:18">
      <c r="A36902" t="n">
        <v>362156</v>
      </c>
      <c r="B36902" s="27" t="n">
        <v>28</v>
      </c>
    </row>
    <row r="36903" spans="1:18">
      <c r="A36903" t="s">
        <v>4</v>
      </c>
      <c r="B36903" s="4" t="s">
        <v>5</v>
      </c>
      <c r="C36903" s="4" t="s">
        <v>7</v>
      </c>
      <c r="D36903" s="4" t="s">
        <v>11</v>
      </c>
      <c r="E36903" s="4" t="s">
        <v>8</v>
      </c>
    </row>
    <row r="36904" spans="1:18">
      <c r="A36904" t="n">
        <v>362157</v>
      </c>
      <c r="B36904" s="38" t="n">
        <v>51</v>
      </c>
      <c r="C36904" s="7" t="n">
        <v>4</v>
      </c>
      <c r="D36904" s="7" t="n">
        <v>0</v>
      </c>
      <c r="E36904" s="7" t="s">
        <v>242</v>
      </c>
    </row>
    <row r="36905" spans="1:18">
      <c r="A36905" t="s">
        <v>4</v>
      </c>
      <c r="B36905" s="4" t="s">
        <v>5</v>
      </c>
      <c r="C36905" s="4" t="s">
        <v>11</v>
      </c>
    </row>
    <row r="36906" spans="1:18">
      <c r="A36906" t="n">
        <v>362171</v>
      </c>
      <c r="B36906" s="29" t="n">
        <v>16</v>
      </c>
      <c r="C36906" s="7" t="n">
        <v>0</v>
      </c>
    </row>
    <row r="36907" spans="1:18">
      <c r="A36907" t="s">
        <v>4</v>
      </c>
      <c r="B36907" s="4" t="s">
        <v>5</v>
      </c>
      <c r="C36907" s="4" t="s">
        <v>11</v>
      </c>
      <c r="D36907" s="4" t="s">
        <v>7</v>
      </c>
      <c r="E36907" s="4" t="s">
        <v>15</v>
      </c>
      <c r="F36907" s="4" t="s">
        <v>55</v>
      </c>
      <c r="G36907" s="4" t="s">
        <v>7</v>
      </c>
      <c r="H36907" s="4" t="s">
        <v>7</v>
      </c>
      <c r="I36907" s="4" t="s">
        <v>7</v>
      </c>
      <c r="J36907" s="4" t="s">
        <v>15</v>
      </c>
      <c r="K36907" s="4" t="s">
        <v>55</v>
      </c>
      <c r="L36907" s="4" t="s">
        <v>7</v>
      </c>
      <c r="M36907" s="4" t="s">
        <v>7</v>
      </c>
      <c r="N36907" s="4" t="s">
        <v>7</v>
      </c>
      <c r="O36907" s="4" t="s">
        <v>15</v>
      </c>
      <c r="P36907" s="4" t="s">
        <v>55</v>
      </c>
      <c r="Q36907" s="4" t="s">
        <v>7</v>
      </c>
      <c r="R36907" s="4" t="s">
        <v>7</v>
      </c>
      <c r="S36907" s="4" t="s">
        <v>7</v>
      </c>
      <c r="T36907" s="4" t="s">
        <v>15</v>
      </c>
      <c r="U36907" s="4" t="s">
        <v>55</v>
      </c>
      <c r="V36907" s="4" t="s">
        <v>7</v>
      </c>
      <c r="W36907" s="4" t="s">
        <v>7</v>
      </c>
    </row>
    <row r="36908" spans="1:18">
      <c r="A36908" t="n">
        <v>362174</v>
      </c>
      <c r="B36908" s="55" t="n">
        <v>26</v>
      </c>
      <c r="C36908" s="7" t="n">
        <v>0</v>
      </c>
      <c r="D36908" s="7" t="n">
        <v>17</v>
      </c>
      <c r="E36908" s="7" t="n">
        <v>64196</v>
      </c>
      <c r="F36908" s="7" t="s">
        <v>1093</v>
      </c>
      <c r="G36908" s="7" t="n">
        <v>2</v>
      </c>
      <c r="H36908" s="7" t="n">
        <v>3</v>
      </c>
      <c r="I36908" s="7" t="n">
        <v>17</v>
      </c>
      <c r="J36908" s="7" t="n">
        <v>64197</v>
      </c>
      <c r="K36908" s="7" t="s">
        <v>1094</v>
      </c>
      <c r="L36908" s="7" t="n">
        <v>2</v>
      </c>
      <c r="M36908" s="7" t="n">
        <v>3</v>
      </c>
      <c r="N36908" s="7" t="n">
        <v>17</v>
      </c>
      <c r="O36908" s="7" t="n">
        <v>64198</v>
      </c>
      <c r="P36908" s="7" t="s">
        <v>1095</v>
      </c>
      <c r="Q36908" s="7" t="n">
        <v>2</v>
      </c>
      <c r="R36908" s="7" t="n">
        <v>3</v>
      </c>
      <c r="S36908" s="7" t="n">
        <v>17</v>
      </c>
      <c r="T36908" s="7" t="n">
        <v>64199</v>
      </c>
      <c r="U36908" s="7" t="s">
        <v>1096</v>
      </c>
      <c r="V36908" s="7" t="n">
        <v>2</v>
      </c>
      <c r="W36908" s="7" t="n">
        <v>0</v>
      </c>
    </row>
    <row r="36909" spans="1:18">
      <c r="A36909" t="s">
        <v>4</v>
      </c>
      <c r="B36909" s="4" t="s">
        <v>5</v>
      </c>
    </row>
    <row r="36910" spans="1:18">
      <c r="A36910" t="n">
        <v>362540</v>
      </c>
      <c r="B36910" s="27" t="n">
        <v>28</v>
      </c>
    </row>
    <row r="36911" spans="1:18">
      <c r="A36911" t="s">
        <v>4</v>
      </c>
      <c r="B36911" s="4" t="s">
        <v>5</v>
      </c>
      <c r="C36911" s="4" t="s">
        <v>7</v>
      </c>
      <c r="D36911" s="4" t="s">
        <v>11</v>
      </c>
      <c r="E36911" s="4" t="s">
        <v>8</v>
      </c>
    </row>
    <row r="36912" spans="1:18">
      <c r="A36912" t="n">
        <v>362541</v>
      </c>
      <c r="B36912" s="38" t="n">
        <v>51</v>
      </c>
      <c r="C36912" s="7" t="n">
        <v>4</v>
      </c>
      <c r="D36912" s="7" t="n">
        <v>6</v>
      </c>
      <c r="E36912" s="7" t="s">
        <v>242</v>
      </c>
    </row>
    <row r="36913" spans="1:23">
      <c r="A36913" t="s">
        <v>4</v>
      </c>
      <c r="B36913" s="4" t="s">
        <v>5</v>
      </c>
      <c r="C36913" s="4" t="s">
        <v>11</v>
      </c>
    </row>
    <row r="36914" spans="1:23">
      <c r="A36914" t="n">
        <v>362555</v>
      </c>
      <c r="B36914" s="29" t="n">
        <v>16</v>
      </c>
      <c r="C36914" s="7" t="n">
        <v>0</v>
      </c>
    </row>
    <row r="36915" spans="1:23">
      <c r="A36915" t="s">
        <v>4</v>
      </c>
      <c r="B36915" s="4" t="s">
        <v>5</v>
      </c>
      <c r="C36915" s="4" t="s">
        <v>11</v>
      </c>
      <c r="D36915" s="4" t="s">
        <v>7</v>
      </c>
      <c r="E36915" s="4" t="s">
        <v>15</v>
      </c>
      <c r="F36915" s="4" t="s">
        <v>55</v>
      </c>
      <c r="G36915" s="4" t="s">
        <v>7</v>
      </c>
      <c r="H36915" s="4" t="s">
        <v>7</v>
      </c>
      <c r="I36915" s="4" t="s">
        <v>7</v>
      </c>
      <c r="J36915" s="4" t="s">
        <v>15</v>
      </c>
      <c r="K36915" s="4" t="s">
        <v>55</v>
      </c>
      <c r="L36915" s="4" t="s">
        <v>7</v>
      </c>
      <c r="M36915" s="4" t="s">
        <v>7</v>
      </c>
      <c r="N36915" s="4" t="s">
        <v>7</v>
      </c>
      <c r="O36915" s="4" t="s">
        <v>15</v>
      </c>
      <c r="P36915" s="4" t="s">
        <v>55</v>
      </c>
      <c r="Q36915" s="4" t="s">
        <v>7</v>
      </c>
      <c r="R36915" s="4" t="s">
        <v>7</v>
      </c>
    </row>
    <row r="36916" spans="1:23">
      <c r="A36916" t="n">
        <v>362558</v>
      </c>
      <c r="B36916" s="55" t="n">
        <v>26</v>
      </c>
      <c r="C36916" s="7" t="n">
        <v>6</v>
      </c>
      <c r="D36916" s="7" t="n">
        <v>17</v>
      </c>
      <c r="E36916" s="7" t="n">
        <v>64200</v>
      </c>
      <c r="F36916" s="7" t="s">
        <v>1097</v>
      </c>
      <c r="G36916" s="7" t="n">
        <v>2</v>
      </c>
      <c r="H36916" s="7" t="n">
        <v>3</v>
      </c>
      <c r="I36916" s="7" t="n">
        <v>17</v>
      </c>
      <c r="J36916" s="7" t="n">
        <v>64201</v>
      </c>
      <c r="K36916" s="7" t="s">
        <v>1098</v>
      </c>
      <c r="L36916" s="7" t="n">
        <v>2</v>
      </c>
      <c r="M36916" s="7" t="n">
        <v>3</v>
      </c>
      <c r="N36916" s="7" t="n">
        <v>17</v>
      </c>
      <c r="O36916" s="7" t="n">
        <v>64202</v>
      </c>
      <c r="P36916" s="7" t="s">
        <v>1099</v>
      </c>
      <c r="Q36916" s="7" t="n">
        <v>2</v>
      </c>
      <c r="R36916" s="7" t="n">
        <v>0</v>
      </c>
    </row>
    <row r="36917" spans="1:23">
      <c r="A36917" t="s">
        <v>4</v>
      </c>
      <c r="B36917" s="4" t="s">
        <v>5</v>
      </c>
    </row>
    <row r="36918" spans="1:23">
      <c r="A36918" t="n">
        <v>362742</v>
      </c>
      <c r="B36918" s="27" t="n">
        <v>28</v>
      </c>
    </row>
    <row r="36919" spans="1:23">
      <c r="A36919" t="s">
        <v>4</v>
      </c>
      <c r="B36919" s="4" t="s">
        <v>5</v>
      </c>
      <c r="C36919" s="4" t="s">
        <v>7</v>
      </c>
      <c r="D36919" s="4" t="s">
        <v>11</v>
      </c>
      <c r="E36919" s="4" t="s">
        <v>7</v>
      </c>
    </row>
    <row r="36920" spans="1:23">
      <c r="A36920" t="n">
        <v>362743</v>
      </c>
      <c r="B36920" s="13" t="n">
        <v>49</v>
      </c>
      <c r="C36920" s="7" t="n">
        <v>1</v>
      </c>
      <c r="D36920" s="7" t="n">
        <v>3000</v>
      </c>
      <c r="E36920" s="7" t="n">
        <v>0</v>
      </c>
    </row>
    <row r="36921" spans="1:23">
      <c r="A36921" t="s">
        <v>4</v>
      </c>
      <c r="B36921" s="4" t="s">
        <v>5</v>
      </c>
      <c r="C36921" s="4" t="s">
        <v>7</v>
      </c>
      <c r="D36921" s="4" t="s">
        <v>11</v>
      </c>
      <c r="E36921" s="4" t="s">
        <v>8</v>
      </c>
      <c r="F36921" s="4" t="s">
        <v>8</v>
      </c>
      <c r="G36921" s="4" t="s">
        <v>8</v>
      </c>
      <c r="H36921" s="4" t="s">
        <v>8</v>
      </c>
    </row>
    <row r="36922" spans="1:23">
      <c r="A36922" t="n">
        <v>362748</v>
      </c>
      <c r="B36922" s="38" t="n">
        <v>51</v>
      </c>
      <c r="C36922" s="7" t="n">
        <v>3</v>
      </c>
      <c r="D36922" s="7" t="n">
        <v>6</v>
      </c>
      <c r="E36922" s="7" t="s">
        <v>86</v>
      </c>
      <c r="F36922" s="7" t="s">
        <v>79</v>
      </c>
      <c r="G36922" s="7" t="s">
        <v>78</v>
      </c>
      <c r="H36922" s="7" t="s">
        <v>79</v>
      </c>
    </row>
    <row r="36923" spans="1:23">
      <c r="A36923" t="s">
        <v>4</v>
      </c>
      <c r="B36923" s="4" t="s">
        <v>5</v>
      </c>
      <c r="C36923" s="4" t="s">
        <v>11</v>
      </c>
      <c r="D36923" s="4" t="s">
        <v>7</v>
      </c>
      <c r="E36923" s="4" t="s">
        <v>13</v>
      </c>
      <c r="F36923" s="4" t="s">
        <v>11</v>
      </c>
    </row>
    <row r="36924" spans="1:23">
      <c r="A36924" t="n">
        <v>362761</v>
      </c>
      <c r="B36924" s="56" t="n">
        <v>59</v>
      </c>
      <c r="C36924" s="7" t="n">
        <v>6</v>
      </c>
      <c r="D36924" s="7" t="n">
        <v>9</v>
      </c>
      <c r="E36924" s="7" t="n">
        <v>0.150000005960464</v>
      </c>
      <c r="F36924" s="7" t="n">
        <v>0</v>
      </c>
    </row>
    <row r="36925" spans="1:23">
      <c r="A36925" t="s">
        <v>4</v>
      </c>
      <c r="B36925" s="4" t="s">
        <v>5</v>
      </c>
      <c r="C36925" s="4" t="s">
        <v>11</v>
      </c>
    </row>
    <row r="36926" spans="1:23">
      <c r="A36926" t="n">
        <v>362771</v>
      </c>
      <c r="B36926" s="29" t="n">
        <v>16</v>
      </c>
      <c r="C36926" s="7" t="n">
        <v>1800</v>
      </c>
    </row>
    <row r="36927" spans="1:23">
      <c r="A36927" t="s">
        <v>4</v>
      </c>
      <c r="B36927" s="4" t="s">
        <v>5</v>
      </c>
      <c r="C36927" s="4" t="s">
        <v>7</v>
      </c>
      <c r="D36927" s="4" t="s">
        <v>11</v>
      </c>
      <c r="E36927" s="4" t="s">
        <v>13</v>
      </c>
    </row>
    <row r="36928" spans="1:23">
      <c r="A36928" t="n">
        <v>362774</v>
      </c>
      <c r="B36928" s="23" t="n">
        <v>58</v>
      </c>
      <c r="C36928" s="7" t="n">
        <v>101</v>
      </c>
      <c r="D36928" s="7" t="n">
        <v>800</v>
      </c>
      <c r="E36928" s="7" t="n">
        <v>1</v>
      </c>
    </row>
    <row r="36929" spans="1:18">
      <c r="A36929" t="s">
        <v>4</v>
      </c>
      <c r="B36929" s="4" t="s">
        <v>5</v>
      </c>
      <c r="C36929" s="4" t="s">
        <v>7</v>
      </c>
      <c r="D36929" s="4" t="s">
        <v>11</v>
      </c>
    </row>
    <row r="36930" spans="1:18">
      <c r="A36930" t="n">
        <v>362782</v>
      </c>
      <c r="B36930" s="23" t="n">
        <v>58</v>
      </c>
      <c r="C36930" s="7" t="n">
        <v>254</v>
      </c>
      <c r="D36930" s="7" t="n">
        <v>0</v>
      </c>
    </row>
    <row r="36931" spans="1:18">
      <c r="A36931" t="s">
        <v>4</v>
      </c>
      <c r="B36931" s="4" t="s">
        <v>5</v>
      </c>
      <c r="C36931" s="4" t="s">
        <v>7</v>
      </c>
      <c r="D36931" s="4" t="s">
        <v>7</v>
      </c>
      <c r="E36931" s="4" t="s">
        <v>13</v>
      </c>
      <c r="F36931" s="4" t="s">
        <v>13</v>
      </c>
      <c r="G36931" s="4" t="s">
        <v>13</v>
      </c>
      <c r="H36931" s="4" t="s">
        <v>11</v>
      </c>
    </row>
    <row r="36932" spans="1:18">
      <c r="A36932" t="n">
        <v>362786</v>
      </c>
      <c r="B36932" s="51" t="n">
        <v>45</v>
      </c>
      <c r="C36932" s="7" t="n">
        <v>2</v>
      </c>
      <c r="D36932" s="7" t="n">
        <v>3</v>
      </c>
      <c r="E36932" s="7" t="n">
        <v>-7.36999988555908</v>
      </c>
      <c r="F36932" s="7" t="n">
        <v>6.51999998092651</v>
      </c>
      <c r="G36932" s="7" t="n">
        <v>29.8299999237061</v>
      </c>
      <c r="H36932" s="7" t="n">
        <v>0</v>
      </c>
    </row>
    <row r="36933" spans="1:18">
      <c r="A36933" t="s">
        <v>4</v>
      </c>
      <c r="B36933" s="4" t="s">
        <v>5</v>
      </c>
      <c r="C36933" s="4" t="s">
        <v>7</v>
      </c>
      <c r="D36933" s="4" t="s">
        <v>7</v>
      </c>
      <c r="E36933" s="4" t="s">
        <v>13</v>
      </c>
      <c r="F36933" s="4" t="s">
        <v>13</v>
      </c>
      <c r="G36933" s="4" t="s">
        <v>13</v>
      </c>
      <c r="H36933" s="4" t="s">
        <v>11</v>
      </c>
      <c r="I36933" s="4" t="s">
        <v>7</v>
      </c>
    </row>
    <row r="36934" spans="1:18">
      <c r="A36934" t="n">
        <v>362803</v>
      </c>
      <c r="B36934" s="51" t="n">
        <v>45</v>
      </c>
      <c r="C36934" s="7" t="n">
        <v>4</v>
      </c>
      <c r="D36934" s="7" t="n">
        <v>3</v>
      </c>
      <c r="E36934" s="7" t="n">
        <v>356.940002441406</v>
      </c>
      <c r="F36934" s="7" t="n">
        <v>63.8499984741211</v>
      </c>
      <c r="G36934" s="7" t="n">
        <v>356</v>
      </c>
      <c r="H36934" s="7" t="n">
        <v>0</v>
      </c>
      <c r="I36934" s="7" t="n">
        <v>0</v>
      </c>
    </row>
    <row r="36935" spans="1:18">
      <c r="A36935" t="s">
        <v>4</v>
      </c>
      <c r="B36935" s="4" t="s">
        <v>5</v>
      </c>
      <c r="C36935" s="4" t="s">
        <v>7</v>
      </c>
      <c r="D36935" s="4" t="s">
        <v>7</v>
      </c>
      <c r="E36935" s="4" t="s">
        <v>13</v>
      </c>
      <c r="F36935" s="4" t="s">
        <v>11</v>
      </c>
    </row>
    <row r="36936" spans="1:18">
      <c r="A36936" t="n">
        <v>362821</v>
      </c>
      <c r="B36936" s="51" t="n">
        <v>45</v>
      </c>
      <c r="C36936" s="7" t="n">
        <v>5</v>
      </c>
      <c r="D36936" s="7" t="n">
        <v>3</v>
      </c>
      <c r="E36936" s="7" t="n">
        <v>0.800000011920929</v>
      </c>
      <c r="F36936" s="7" t="n">
        <v>0</v>
      </c>
    </row>
    <row r="36937" spans="1:18">
      <c r="A36937" t="s">
        <v>4</v>
      </c>
      <c r="B36937" s="4" t="s">
        <v>5</v>
      </c>
      <c r="C36937" s="4" t="s">
        <v>7</v>
      </c>
      <c r="D36937" s="4" t="s">
        <v>7</v>
      </c>
      <c r="E36937" s="4" t="s">
        <v>13</v>
      </c>
      <c r="F36937" s="4" t="s">
        <v>11</v>
      </c>
    </row>
    <row r="36938" spans="1:18">
      <c r="A36938" t="n">
        <v>362830</v>
      </c>
      <c r="B36938" s="51" t="n">
        <v>45</v>
      </c>
      <c r="C36938" s="7" t="n">
        <v>11</v>
      </c>
      <c r="D36938" s="7" t="n">
        <v>3</v>
      </c>
      <c r="E36938" s="7" t="n">
        <v>40.2999992370605</v>
      </c>
      <c r="F36938" s="7" t="n">
        <v>0</v>
      </c>
    </row>
    <row r="36939" spans="1:18">
      <c r="A36939" t="s">
        <v>4</v>
      </c>
      <c r="B36939" s="4" t="s">
        <v>5</v>
      </c>
      <c r="C36939" s="4" t="s">
        <v>7</v>
      </c>
    </row>
    <row r="36940" spans="1:18">
      <c r="A36940" t="n">
        <v>362839</v>
      </c>
      <c r="B36940" s="49" t="n">
        <v>116</v>
      </c>
      <c r="C36940" s="7" t="n">
        <v>0</v>
      </c>
    </row>
    <row r="36941" spans="1:18">
      <c r="A36941" t="s">
        <v>4</v>
      </c>
      <c r="B36941" s="4" t="s">
        <v>5</v>
      </c>
      <c r="C36941" s="4" t="s">
        <v>7</v>
      </c>
      <c r="D36941" s="4" t="s">
        <v>11</v>
      </c>
    </row>
    <row r="36942" spans="1:18">
      <c r="A36942" t="n">
        <v>362841</v>
      </c>
      <c r="B36942" s="49" t="n">
        <v>116</v>
      </c>
      <c r="C36942" s="7" t="n">
        <v>2</v>
      </c>
      <c r="D36942" s="7" t="n">
        <v>1</v>
      </c>
    </row>
    <row r="36943" spans="1:18">
      <c r="A36943" t="s">
        <v>4</v>
      </c>
      <c r="B36943" s="4" t="s">
        <v>5</v>
      </c>
      <c r="C36943" s="4" t="s">
        <v>7</v>
      </c>
      <c r="D36943" s="4" t="s">
        <v>15</v>
      </c>
    </row>
    <row r="36944" spans="1:18">
      <c r="A36944" t="n">
        <v>362845</v>
      </c>
      <c r="B36944" s="49" t="n">
        <v>116</v>
      </c>
      <c r="C36944" s="7" t="n">
        <v>5</v>
      </c>
      <c r="D36944" s="7" t="n">
        <v>1077936128</v>
      </c>
    </row>
    <row r="36945" spans="1:9">
      <c r="A36945" t="s">
        <v>4</v>
      </c>
      <c r="B36945" s="4" t="s">
        <v>5</v>
      </c>
      <c r="C36945" s="4" t="s">
        <v>7</v>
      </c>
      <c r="D36945" s="4" t="s">
        <v>11</v>
      </c>
    </row>
    <row r="36946" spans="1:9">
      <c r="A36946" t="n">
        <v>362851</v>
      </c>
      <c r="B36946" s="49" t="n">
        <v>116</v>
      </c>
      <c r="C36946" s="7" t="n">
        <v>6</v>
      </c>
      <c r="D36946" s="7" t="n">
        <v>1</v>
      </c>
    </row>
    <row r="36947" spans="1:9">
      <c r="A36947" t="s">
        <v>4</v>
      </c>
      <c r="B36947" s="4" t="s">
        <v>5</v>
      </c>
      <c r="C36947" s="4" t="s">
        <v>7</v>
      </c>
      <c r="D36947" s="4" t="s">
        <v>11</v>
      </c>
      <c r="E36947" s="4" t="s">
        <v>8</v>
      </c>
      <c r="F36947" s="4" t="s">
        <v>8</v>
      </c>
      <c r="G36947" s="4" t="s">
        <v>8</v>
      </c>
      <c r="H36947" s="4" t="s">
        <v>8</v>
      </c>
    </row>
    <row r="36948" spans="1:9">
      <c r="A36948" t="n">
        <v>362855</v>
      </c>
      <c r="B36948" s="38" t="n">
        <v>51</v>
      </c>
      <c r="C36948" s="7" t="n">
        <v>3</v>
      </c>
      <c r="D36948" s="7" t="n">
        <v>6</v>
      </c>
      <c r="E36948" s="7" t="s">
        <v>86</v>
      </c>
      <c r="F36948" s="7" t="s">
        <v>79</v>
      </c>
      <c r="G36948" s="7" t="s">
        <v>78</v>
      </c>
      <c r="H36948" s="7" t="s">
        <v>79</v>
      </c>
    </row>
    <row r="36949" spans="1:9">
      <c r="A36949" t="s">
        <v>4</v>
      </c>
      <c r="B36949" s="4" t="s">
        <v>5</v>
      </c>
      <c r="C36949" s="4" t="s">
        <v>11</v>
      </c>
      <c r="D36949" s="4" t="s">
        <v>11</v>
      </c>
      <c r="E36949" s="4" t="s">
        <v>13</v>
      </c>
      <c r="F36949" s="4" t="s">
        <v>7</v>
      </c>
    </row>
    <row r="36950" spans="1:9">
      <c r="A36950" t="n">
        <v>362868</v>
      </c>
      <c r="B36950" s="73" t="n">
        <v>53</v>
      </c>
      <c r="C36950" s="7" t="n">
        <v>0</v>
      </c>
      <c r="D36950" s="7" t="n">
        <v>6</v>
      </c>
      <c r="E36950" s="7" t="n">
        <v>0</v>
      </c>
      <c r="F36950" s="7" t="n">
        <v>0</v>
      </c>
    </row>
    <row r="36951" spans="1:9">
      <c r="A36951" t="s">
        <v>4</v>
      </c>
      <c r="B36951" s="4" t="s">
        <v>5</v>
      </c>
      <c r="C36951" s="4" t="s">
        <v>7</v>
      </c>
      <c r="D36951" s="4" t="s">
        <v>11</v>
      </c>
    </row>
    <row r="36952" spans="1:9">
      <c r="A36952" t="n">
        <v>362878</v>
      </c>
      <c r="B36952" s="23" t="n">
        <v>58</v>
      </c>
      <c r="C36952" s="7" t="n">
        <v>255</v>
      </c>
      <c r="D36952" s="7" t="n">
        <v>0</v>
      </c>
    </row>
    <row r="36953" spans="1:9">
      <c r="A36953" t="s">
        <v>4</v>
      </c>
      <c r="B36953" s="4" t="s">
        <v>5</v>
      </c>
      <c r="C36953" s="4" t="s">
        <v>11</v>
      </c>
      <c r="D36953" s="4" t="s">
        <v>11</v>
      </c>
      <c r="E36953" s="4" t="s">
        <v>13</v>
      </c>
      <c r="F36953" s="4" t="s">
        <v>7</v>
      </c>
    </row>
    <row r="36954" spans="1:9">
      <c r="A36954" t="n">
        <v>362882</v>
      </c>
      <c r="B36954" s="73" t="n">
        <v>53</v>
      </c>
      <c r="C36954" s="7" t="n">
        <v>6</v>
      </c>
      <c r="D36954" s="7" t="n">
        <v>0</v>
      </c>
      <c r="E36954" s="7" t="n">
        <v>5</v>
      </c>
      <c r="F36954" s="7" t="n">
        <v>0</v>
      </c>
    </row>
    <row r="36955" spans="1:9">
      <c r="A36955" t="s">
        <v>4</v>
      </c>
      <c r="B36955" s="4" t="s">
        <v>5</v>
      </c>
      <c r="C36955" s="4" t="s">
        <v>11</v>
      </c>
    </row>
    <row r="36956" spans="1:9">
      <c r="A36956" t="n">
        <v>362892</v>
      </c>
      <c r="B36956" s="66" t="n">
        <v>54</v>
      </c>
      <c r="C36956" s="7" t="n">
        <v>6</v>
      </c>
    </row>
    <row r="36957" spans="1:9">
      <c r="A36957" t="s">
        <v>4</v>
      </c>
      <c r="B36957" s="4" t="s">
        <v>5</v>
      </c>
      <c r="C36957" s="4" t="s">
        <v>7</v>
      </c>
      <c r="D36957" s="4" t="s">
        <v>7</v>
      </c>
    </row>
    <row r="36958" spans="1:9">
      <c r="A36958" t="n">
        <v>362895</v>
      </c>
      <c r="B36958" s="13" t="n">
        <v>49</v>
      </c>
      <c r="C36958" s="7" t="n">
        <v>2</v>
      </c>
      <c r="D36958" s="7" t="n">
        <v>0</v>
      </c>
    </row>
    <row r="36959" spans="1:9">
      <c r="A36959" t="s">
        <v>4</v>
      </c>
      <c r="B36959" s="4" t="s">
        <v>5</v>
      </c>
      <c r="C36959" s="4" t="s">
        <v>7</v>
      </c>
      <c r="D36959" s="4" t="s">
        <v>11</v>
      </c>
      <c r="E36959" s="4" t="s">
        <v>15</v>
      </c>
      <c r="F36959" s="4" t="s">
        <v>11</v>
      </c>
      <c r="G36959" s="4" t="s">
        <v>15</v>
      </c>
      <c r="H36959" s="4" t="s">
        <v>7</v>
      </c>
    </row>
    <row r="36960" spans="1:9">
      <c r="A36960" t="n">
        <v>362898</v>
      </c>
      <c r="B36960" s="13" t="n">
        <v>49</v>
      </c>
      <c r="C36960" s="7" t="n">
        <v>0</v>
      </c>
      <c r="D36960" s="7" t="n">
        <v>551</v>
      </c>
      <c r="E36960" s="7" t="n">
        <v>1061997773</v>
      </c>
      <c r="F36960" s="7" t="n">
        <v>0</v>
      </c>
      <c r="G36960" s="7" t="n">
        <v>0</v>
      </c>
      <c r="H36960" s="7" t="n">
        <v>0</v>
      </c>
    </row>
    <row r="36961" spans="1:8">
      <c r="A36961" t="s">
        <v>4</v>
      </c>
      <c r="B36961" s="4" t="s">
        <v>5</v>
      </c>
      <c r="C36961" s="4" t="s">
        <v>7</v>
      </c>
      <c r="D36961" s="4" t="s">
        <v>11</v>
      </c>
    </row>
    <row r="36962" spans="1:8">
      <c r="A36962" t="n">
        <v>362913</v>
      </c>
      <c r="B36962" s="13" t="n">
        <v>49</v>
      </c>
      <c r="C36962" s="7" t="n">
        <v>6</v>
      </c>
      <c r="D36962" s="7" t="n">
        <v>551</v>
      </c>
    </row>
    <row r="36963" spans="1:8">
      <c r="A36963" t="s">
        <v>4</v>
      </c>
      <c r="B36963" s="4" t="s">
        <v>5</v>
      </c>
      <c r="C36963" s="4" t="s">
        <v>11</v>
      </c>
    </row>
    <row r="36964" spans="1:8">
      <c r="A36964" t="n">
        <v>362917</v>
      </c>
      <c r="B36964" s="29" t="n">
        <v>16</v>
      </c>
      <c r="C36964" s="7" t="n">
        <v>500</v>
      </c>
    </row>
    <row r="36965" spans="1:8">
      <c r="A36965" t="s">
        <v>4</v>
      </c>
      <c r="B36965" s="4" t="s">
        <v>5</v>
      </c>
      <c r="C36965" s="4" t="s">
        <v>7</v>
      </c>
      <c r="D36965" s="4" t="s">
        <v>11</v>
      </c>
      <c r="E36965" s="4" t="s">
        <v>8</v>
      </c>
    </row>
    <row r="36966" spans="1:8">
      <c r="A36966" t="n">
        <v>362920</v>
      </c>
      <c r="B36966" s="38" t="n">
        <v>51</v>
      </c>
      <c r="C36966" s="7" t="n">
        <v>4</v>
      </c>
      <c r="D36966" s="7" t="n">
        <v>6</v>
      </c>
      <c r="E36966" s="7" t="s">
        <v>173</v>
      </c>
    </row>
    <row r="36967" spans="1:8">
      <c r="A36967" t="s">
        <v>4</v>
      </c>
      <c r="B36967" s="4" t="s">
        <v>5</v>
      </c>
      <c r="C36967" s="4" t="s">
        <v>11</v>
      </c>
    </row>
    <row r="36968" spans="1:8">
      <c r="A36968" t="n">
        <v>362933</v>
      </c>
      <c r="B36968" s="29" t="n">
        <v>16</v>
      </c>
      <c r="C36968" s="7" t="n">
        <v>0</v>
      </c>
    </row>
    <row r="36969" spans="1:8">
      <c r="A36969" t="s">
        <v>4</v>
      </c>
      <c r="B36969" s="4" t="s">
        <v>5</v>
      </c>
      <c r="C36969" s="4" t="s">
        <v>11</v>
      </c>
      <c r="D36969" s="4" t="s">
        <v>7</v>
      </c>
      <c r="E36969" s="4" t="s">
        <v>15</v>
      </c>
      <c r="F36969" s="4" t="s">
        <v>55</v>
      </c>
      <c r="G36969" s="4" t="s">
        <v>7</v>
      </c>
      <c r="H36969" s="4" t="s">
        <v>7</v>
      </c>
      <c r="I36969" s="4" t="s">
        <v>7</v>
      </c>
      <c r="J36969" s="4" t="s">
        <v>15</v>
      </c>
      <c r="K36969" s="4" t="s">
        <v>55</v>
      </c>
      <c r="L36969" s="4" t="s">
        <v>7</v>
      </c>
      <c r="M36969" s="4" t="s">
        <v>7</v>
      </c>
      <c r="N36969" s="4" t="s">
        <v>7</v>
      </c>
      <c r="O36969" s="4" t="s">
        <v>15</v>
      </c>
      <c r="P36969" s="4" t="s">
        <v>55</v>
      </c>
      <c r="Q36969" s="4" t="s">
        <v>7</v>
      </c>
      <c r="R36969" s="4" t="s">
        <v>7</v>
      </c>
      <c r="S36969" s="4" t="s">
        <v>7</v>
      </c>
      <c r="T36969" s="4" t="s">
        <v>15</v>
      </c>
      <c r="U36969" s="4" t="s">
        <v>55</v>
      </c>
      <c r="V36969" s="4" t="s">
        <v>7</v>
      </c>
      <c r="W36969" s="4" t="s">
        <v>7</v>
      </c>
      <c r="X36969" s="4" t="s">
        <v>7</v>
      </c>
      <c r="Y36969" s="4" t="s">
        <v>15</v>
      </c>
      <c r="Z36969" s="4" t="s">
        <v>55</v>
      </c>
      <c r="AA36969" s="4" t="s">
        <v>7</v>
      </c>
      <c r="AB36969" s="4" t="s">
        <v>7</v>
      </c>
      <c r="AC36969" s="4" t="s">
        <v>7</v>
      </c>
      <c r="AD36969" s="4" t="s">
        <v>15</v>
      </c>
      <c r="AE36969" s="4" t="s">
        <v>55</v>
      </c>
      <c r="AF36969" s="4" t="s">
        <v>7</v>
      </c>
      <c r="AG36969" s="4" t="s">
        <v>7</v>
      </c>
    </row>
    <row r="36970" spans="1:8">
      <c r="A36970" t="n">
        <v>362936</v>
      </c>
      <c r="B36970" s="55" t="n">
        <v>26</v>
      </c>
      <c r="C36970" s="7" t="n">
        <v>6</v>
      </c>
      <c r="D36970" s="7" t="n">
        <v>17</v>
      </c>
      <c r="E36970" s="7" t="n">
        <v>8800</v>
      </c>
      <c r="F36970" s="7" t="s">
        <v>1100</v>
      </c>
      <c r="G36970" s="7" t="n">
        <v>2</v>
      </c>
      <c r="H36970" s="7" t="n">
        <v>3</v>
      </c>
      <c r="I36970" s="7" t="n">
        <v>17</v>
      </c>
      <c r="J36970" s="7" t="n">
        <v>8801</v>
      </c>
      <c r="K36970" s="7" t="s">
        <v>1101</v>
      </c>
      <c r="L36970" s="7" t="n">
        <v>2</v>
      </c>
      <c r="M36970" s="7" t="n">
        <v>3</v>
      </c>
      <c r="N36970" s="7" t="n">
        <v>17</v>
      </c>
      <c r="O36970" s="7" t="n">
        <v>8802</v>
      </c>
      <c r="P36970" s="7" t="s">
        <v>1102</v>
      </c>
      <c r="Q36970" s="7" t="n">
        <v>2</v>
      </c>
      <c r="R36970" s="7" t="n">
        <v>3</v>
      </c>
      <c r="S36970" s="7" t="n">
        <v>17</v>
      </c>
      <c r="T36970" s="7" t="n">
        <v>8803</v>
      </c>
      <c r="U36970" s="7" t="s">
        <v>1103</v>
      </c>
      <c r="V36970" s="7" t="n">
        <v>2</v>
      </c>
      <c r="W36970" s="7" t="n">
        <v>3</v>
      </c>
      <c r="X36970" s="7" t="n">
        <v>17</v>
      </c>
      <c r="Y36970" s="7" t="n">
        <v>8804</v>
      </c>
      <c r="Z36970" s="7" t="s">
        <v>1104</v>
      </c>
      <c r="AA36970" s="7" t="n">
        <v>2</v>
      </c>
      <c r="AB36970" s="7" t="n">
        <v>3</v>
      </c>
      <c r="AC36970" s="7" t="n">
        <v>17</v>
      </c>
      <c r="AD36970" s="7" t="n">
        <v>8805</v>
      </c>
      <c r="AE36970" s="7" t="s">
        <v>1105</v>
      </c>
      <c r="AF36970" s="7" t="n">
        <v>2</v>
      </c>
      <c r="AG36970" s="7" t="n">
        <v>0</v>
      </c>
    </row>
    <row r="36971" spans="1:8">
      <c r="A36971" t="s">
        <v>4</v>
      </c>
      <c r="B36971" s="4" t="s">
        <v>5</v>
      </c>
    </row>
    <row r="36972" spans="1:8">
      <c r="A36972" t="n">
        <v>363594</v>
      </c>
      <c r="B36972" s="27" t="n">
        <v>28</v>
      </c>
    </row>
    <row r="36973" spans="1:8">
      <c r="A36973" t="s">
        <v>4</v>
      </c>
      <c r="B36973" s="4" t="s">
        <v>5</v>
      </c>
      <c r="C36973" s="4" t="s">
        <v>7</v>
      </c>
      <c r="D36973" s="4" t="s">
        <v>11</v>
      </c>
      <c r="E36973" s="4" t="s">
        <v>8</v>
      </c>
    </row>
    <row r="36974" spans="1:8">
      <c r="A36974" t="n">
        <v>363595</v>
      </c>
      <c r="B36974" s="38" t="n">
        <v>51</v>
      </c>
      <c r="C36974" s="7" t="n">
        <v>4</v>
      </c>
      <c r="D36974" s="7" t="n">
        <v>0</v>
      </c>
      <c r="E36974" s="7" t="s">
        <v>206</v>
      </c>
    </row>
    <row r="36975" spans="1:8">
      <c r="A36975" t="s">
        <v>4</v>
      </c>
      <c r="B36975" s="4" t="s">
        <v>5</v>
      </c>
      <c r="C36975" s="4" t="s">
        <v>11</v>
      </c>
    </row>
    <row r="36976" spans="1:8">
      <c r="A36976" t="n">
        <v>363610</v>
      </c>
      <c r="B36976" s="29" t="n">
        <v>16</v>
      </c>
      <c r="C36976" s="7" t="n">
        <v>0</v>
      </c>
    </row>
    <row r="36977" spans="1:33">
      <c r="A36977" t="s">
        <v>4</v>
      </c>
      <c r="B36977" s="4" t="s">
        <v>5</v>
      </c>
      <c r="C36977" s="4" t="s">
        <v>11</v>
      </c>
      <c r="D36977" s="4" t="s">
        <v>7</v>
      </c>
      <c r="E36977" s="4" t="s">
        <v>15</v>
      </c>
      <c r="F36977" s="4" t="s">
        <v>55</v>
      </c>
      <c r="G36977" s="4" t="s">
        <v>7</v>
      </c>
      <c r="H36977" s="4" t="s">
        <v>7</v>
      </c>
    </row>
    <row r="36978" spans="1:33">
      <c r="A36978" t="n">
        <v>363613</v>
      </c>
      <c r="B36978" s="55" t="n">
        <v>26</v>
      </c>
      <c r="C36978" s="7" t="n">
        <v>0</v>
      </c>
      <c r="D36978" s="7" t="n">
        <v>17</v>
      </c>
      <c r="E36978" s="7" t="n">
        <v>64268</v>
      </c>
      <c r="F36978" s="7" t="s">
        <v>446</v>
      </c>
      <c r="G36978" s="7" t="n">
        <v>2</v>
      </c>
      <c r="H36978" s="7" t="n">
        <v>0</v>
      </c>
    </row>
    <row r="36979" spans="1:33">
      <c r="A36979" t="s">
        <v>4</v>
      </c>
      <c r="B36979" s="4" t="s">
        <v>5</v>
      </c>
    </row>
    <row r="36980" spans="1:33">
      <c r="A36980" t="n">
        <v>363629</v>
      </c>
      <c r="B36980" s="27" t="n">
        <v>28</v>
      </c>
    </row>
    <row r="36981" spans="1:33">
      <c r="A36981" t="s">
        <v>4</v>
      </c>
      <c r="B36981" s="4" t="s">
        <v>5</v>
      </c>
      <c r="C36981" s="4" t="s">
        <v>7</v>
      </c>
      <c r="D36981" s="4" t="s">
        <v>11</v>
      </c>
      <c r="E36981" s="4" t="s">
        <v>8</v>
      </c>
    </row>
    <row r="36982" spans="1:33">
      <c r="A36982" t="n">
        <v>363630</v>
      </c>
      <c r="B36982" s="38" t="n">
        <v>51</v>
      </c>
      <c r="C36982" s="7" t="n">
        <v>4</v>
      </c>
      <c r="D36982" s="7" t="n">
        <v>6</v>
      </c>
      <c r="E36982" s="7" t="s">
        <v>235</v>
      </c>
    </row>
    <row r="36983" spans="1:33">
      <c r="A36983" t="s">
        <v>4</v>
      </c>
      <c r="B36983" s="4" t="s">
        <v>5</v>
      </c>
      <c r="C36983" s="4" t="s">
        <v>11</v>
      </c>
    </row>
    <row r="36984" spans="1:33">
      <c r="A36984" t="n">
        <v>363644</v>
      </c>
      <c r="B36984" s="29" t="n">
        <v>16</v>
      </c>
      <c r="C36984" s="7" t="n">
        <v>0</v>
      </c>
    </row>
    <row r="36985" spans="1:33">
      <c r="A36985" t="s">
        <v>4</v>
      </c>
      <c r="B36985" s="4" t="s">
        <v>5</v>
      </c>
      <c r="C36985" s="4" t="s">
        <v>11</v>
      </c>
      <c r="D36985" s="4" t="s">
        <v>7</v>
      </c>
      <c r="E36985" s="4" t="s">
        <v>15</v>
      </c>
      <c r="F36985" s="4" t="s">
        <v>55</v>
      </c>
      <c r="G36985" s="4" t="s">
        <v>7</v>
      </c>
      <c r="H36985" s="4" t="s">
        <v>7</v>
      </c>
      <c r="I36985" s="4" t="s">
        <v>7</v>
      </c>
      <c r="J36985" s="4" t="s">
        <v>15</v>
      </c>
      <c r="K36985" s="4" t="s">
        <v>55</v>
      </c>
      <c r="L36985" s="4" t="s">
        <v>7</v>
      </c>
      <c r="M36985" s="4" t="s">
        <v>7</v>
      </c>
      <c r="N36985" s="4" t="s">
        <v>7</v>
      </c>
      <c r="O36985" s="4" t="s">
        <v>15</v>
      </c>
      <c r="P36985" s="4" t="s">
        <v>55</v>
      </c>
      <c r="Q36985" s="4" t="s">
        <v>7</v>
      </c>
      <c r="R36985" s="4" t="s">
        <v>7</v>
      </c>
      <c r="S36985" s="4" t="s">
        <v>7</v>
      </c>
      <c r="T36985" s="4" t="s">
        <v>15</v>
      </c>
      <c r="U36985" s="4" t="s">
        <v>55</v>
      </c>
      <c r="V36985" s="4" t="s">
        <v>7</v>
      </c>
      <c r="W36985" s="4" t="s">
        <v>7</v>
      </c>
    </row>
    <row r="36986" spans="1:33">
      <c r="A36986" t="n">
        <v>363647</v>
      </c>
      <c r="B36986" s="55" t="n">
        <v>26</v>
      </c>
      <c r="C36986" s="7" t="n">
        <v>6</v>
      </c>
      <c r="D36986" s="7" t="n">
        <v>17</v>
      </c>
      <c r="E36986" s="7" t="n">
        <v>8806</v>
      </c>
      <c r="F36986" s="7" t="s">
        <v>1106</v>
      </c>
      <c r="G36986" s="7" t="n">
        <v>2</v>
      </c>
      <c r="H36986" s="7" t="n">
        <v>3</v>
      </c>
      <c r="I36986" s="7" t="n">
        <v>17</v>
      </c>
      <c r="J36986" s="7" t="n">
        <v>8807</v>
      </c>
      <c r="K36986" s="7" t="s">
        <v>1107</v>
      </c>
      <c r="L36986" s="7" t="n">
        <v>2</v>
      </c>
      <c r="M36986" s="7" t="n">
        <v>3</v>
      </c>
      <c r="N36986" s="7" t="n">
        <v>17</v>
      </c>
      <c r="O36986" s="7" t="n">
        <v>8808</v>
      </c>
      <c r="P36986" s="7" t="s">
        <v>1108</v>
      </c>
      <c r="Q36986" s="7" t="n">
        <v>2</v>
      </c>
      <c r="R36986" s="7" t="n">
        <v>3</v>
      </c>
      <c r="S36986" s="7" t="n">
        <v>17</v>
      </c>
      <c r="T36986" s="7" t="n">
        <v>8809</v>
      </c>
      <c r="U36986" s="7" t="s">
        <v>1109</v>
      </c>
      <c r="V36986" s="7" t="n">
        <v>2</v>
      </c>
      <c r="W36986" s="7" t="n">
        <v>0</v>
      </c>
    </row>
    <row r="36987" spans="1:33">
      <c r="A36987" t="s">
        <v>4</v>
      </c>
      <c r="B36987" s="4" t="s">
        <v>5</v>
      </c>
    </row>
    <row r="36988" spans="1:33">
      <c r="A36988" t="n">
        <v>364085</v>
      </c>
      <c r="B36988" s="27" t="n">
        <v>28</v>
      </c>
    </row>
    <row r="36989" spans="1:33">
      <c r="A36989" t="s">
        <v>4</v>
      </c>
      <c r="B36989" s="4" t="s">
        <v>5</v>
      </c>
      <c r="C36989" s="4" t="s">
        <v>11</v>
      </c>
      <c r="D36989" s="4" t="s">
        <v>7</v>
      </c>
    </row>
    <row r="36990" spans="1:33">
      <c r="A36990" t="n">
        <v>364086</v>
      </c>
      <c r="B36990" s="68" t="n">
        <v>89</v>
      </c>
      <c r="C36990" s="7" t="n">
        <v>65533</v>
      </c>
      <c r="D36990" s="7" t="n">
        <v>1</v>
      </c>
    </row>
    <row r="36991" spans="1:33">
      <c r="A36991" t="s">
        <v>4</v>
      </c>
      <c r="B36991" s="4" t="s">
        <v>5</v>
      </c>
      <c r="C36991" s="4" t="s">
        <v>7</v>
      </c>
      <c r="D36991" s="4" t="s">
        <v>11</v>
      </c>
      <c r="E36991" s="4" t="s">
        <v>13</v>
      </c>
    </row>
    <row r="36992" spans="1:33">
      <c r="A36992" t="n">
        <v>364090</v>
      </c>
      <c r="B36992" s="23" t="n">
        <v>58</v>
      </c>
      <c r="C36992" s="7" t="n">
        <v>101</v>
      </c>
      <c r="D36992" s="7" t="n">
        <v>500</v>
      </c>
      <c r="E36992" s="7" t="n">
        <v>1</v>
      </c>
    </row>
    <row r="36993" spans="1:23">
      <c r="A36993" t="s">
        <v>4</v>
      </c>
      <c r="B36993" s="4" t="s">
        <v>5</v>
      </c>
      <c r="C36993" s="4" t="s">
        <v>7</v>
      </c>
      <c r="D36993" s="4" t="s">
        <v>11</v>
      </c>
    </row>
    <row r="36994" spans="1:23">
      <c r="A36994" t="n">
        <v>364098</v>
      </c>
      <c r="B36994" s="23" t="n">
        <v>58</v>
      </c>
      <c r="C36994" s="7" t="n">
        <v>254</v>
      </c>
      <c r="D36994" s="7" t="n">
        <v>0</v>
      </c>
    </row>
    <row r="36995" spans="1:23">
      <c r="A36995" t="s">
        <v>4</v>
      </c>
      <c r="B36995" s="4" t="s">
        <v>5</v>
      </c>
      <c r="C36995" s="4" t="s">
        <v>7</v>
      </c>
      <c r="D36995" s="4" t="s">
        <v>7</v>
      </c>
      <c r="E36995" s="4" t="s">
        <v>13</v>
      </c>
      <c r="F36995" s="4" t="s">
        <v>13</v>
      </c>
      <c r="G36995" s="4" t="s">
        <v>13</v>
      </c>
      <c r="H36995" s="4" t="s">
        <v>11</v>
      </c>
    </row>
    <row r="36996" spans="1:23">
      <c r="A36996" t="n">
        <v>364102</v>
      </c>
      <c r="B36996" s="51" t="n">
        <v>45</v>
      </c>
      <c r="C36996" s="7" t="n">
        <v>2</v>
      </c>
      <c r="D36996" s="7" t="n">
        <v>3</v>
      </c>
      <c r="E36996" s="7" t="n">
        <v>-6.8899998664856</v>
      </c>
      <c r="F36996" s="7" t="n">
        <v>6.5</v>
      </c>
      <c r="G36996" s="7" t="n">
        <v>29.9400005340576</v>
      </c>
      <c r="H36996" s="7" t="n">
        <v>0</v>
      </c>
    </row>
    <row r="36997" spans="1:23">
      <c r="A36997" t="s">
        <v>4</v>
      </c>
      <c r="B36997" s="4" t="s">
        <v>5</v>
      </c>
      <c r="C36997" s="4" t="s">
        <v>7</v>
      </c>
      <c r="D36997" s="4" t="s">
        <v>7</v>
      </c>
      <c r="E36997" s="4" t="s">
        <v>13</v>
      </c>
      <c r="F36997" s="4" t="s">
        <v>13</v>
      </c>
      <c r="G36997" s="4" t="s">
        <v>13</v>
      </c>
      <c r="H36997" s="4" t="s">
        <v>11</v>
      </c>
      <c r="I36997" s="4" t="s">
        <v>7</v>
      </c>
    </row>
    <row r="36998" spans="1:23">
      <c r="A36998" t="n">
        <v>364119</v>
      </c>
      <c r="B36998" s="51" t="n">
        <v>45</v>
      </c>
      <c r="C36998" s="7" t="n">
        <v>4</v>
      </c>
      <c r="D36998" s="7" t="n">
        <v>3</v>
      </c>
      <c r="E36998" s="7" t="n">
        <v>355.829986572266</v>
      </c>
      <c r="F36998" s="7" t="n">
        <v>50.6699981689453</v>
      </c>
      <c r="G36998" s="7" t="n">
        <v>8</v>
      </c>
      <c r="H36998" s="7" t="n">
        <v>0</v>
      </c>
      <c r="I36998" s="7" t="n">
        <v>0</v>
      </c>
    </row>
    <row r="36999" spans="1:23">
      <c r="A36999" t="s">
        <v>4</v>
      </c>
      <c r="B36999" s="4" t="s">
        <v>5</v>
      </c>
      <c r="C36999" s="4" t="s">
        <v>7</v>
      </c>
      <c r="D36999" s="4" t="s">
        <v>7</v>
      </c>
      <c r="E36999" s="4" t="s">
        <v>13</v>
      </c>
      <c r="F36999" s="4" t="s">
        <v>11</v>
      </c>
    </row>
    <row r="37000" spans="1:23">
      <c r="A37000" t="n">
        <v>364137</v>
      </c>
      <c r="B37000" s="51" t="n">
        <v>45</v>
      </c>
      <c r="C37000" s="7" t="n">
        <v>5</v>
      </c>
      <c r="D37000" s="7" t="n">
        <v>3</v>
      </c>
      <c r="E37000" s="7" t="n">
        <v>1.10000002384186</v>
      </c>
      <c r="F37000" s="7" t="n">
        <v>0</v>
      </c>
    </row>
    <row r="37001" spans="1:23">
      <c r="A37001" t="s">
        <v>4</v>
      </c>
      <c r="B37001" s="4" t="s">
        <v>5</v>
      </c>
      <c r="C37001" s="4" t="s">
        <v>7</v>
      </c>
      <c r="D37001" s="4" t="s">
        <v>7</v>
      </c>
      <c r="E37001" s="4" t="s">
        <v>13</v>
      </c>
      <c r="F37001" s="4" t="s">
        <v>11</v>
      </c>
    </row>
    <row r="37002" spans="1:23">
      <c r="A37002" t="n">
        <v>364146</v>
      </c>
      <c r="B37002" s="51" t="n">
        <v>45</v>
      </c>
      <c r="C37002" s="7" t="n">
        <v>11</v>
      </c>
      <c r="D37002" s="7" t="n">
        <v>3</v>
      </c>
      <c r="E37002" s="7" t="n">
        <v>40.2999992370605</v>
      </c>
      <c r="F37002" s="7" t="n">
        <v>0</v>
      </c>
    </row>
    <row r="37003" spans="1:23">
      <c r="A37003" t="s">
        <v>4</v>
      </c>
      <c r="B37003" s="4" t="s">
        <v>5</v>
      </c>
      <c r="C37003" s="4" t="s">
        <v>7</v>
      </c>
      <c r="D37003" s="4" t="s">
        <v>11</v>
      </c>
    </row>
    <row r="37004" spans="1:23">
      <c r="A37004" t="n">
        <v>364155</v>
      </c>
      <c r="B37004" s="23" t="n">
        <v>58</v>
      </c>
      <c r="C37004" s="7" t="n">
        <v>255</v>
      </c>
      <c r="D37004" s="7" t="n">
        <v>0</v>
      </c>
    </row>
    <row r="37005" spans="1:23">
      <c r="A37005" t="s">
        <v>4</v>
      </c>
      <c r="B37005" s="4" t="s">
        <v>5</v>
      </c>
      <c r="C37005" s="4" t="s">
        <v>7</v>
      </c>
      <c r="D37005" s="4" t="s">
        <v>11</v>
      </c>
      <c r="E37005" s="4" t="s">
        <v>8</v>
      </c>
    </row>
    <row r="37006" spans="1:23">
      <c r="A37006" t="n">
        <v>364159</v>
      </c>
      <c r="B37006" s="38" t="n">
        <v>51</v>
      </c>
      <c r="C37006" s="7" t="n">
        <v>4</v>
      </c>
      <c r="D37006" s="7" t="n">
        <v>0</v>
      </c>
      <c r="E37006" s="7" t="s">
        <v>137</v>
      </c>
    </row>
    <row r="37007" spans="1:23">
      <c r="A37007" t="s">
        <v>4</v>
      </c>
      <c r="B37007" s="4" t="s">
        <v>5</v>
      </c>
      <c r="C37007" s="4" t="s">
        <v>11</v>
      </c>
    </row>
    <row r="37008" spans="1:23">
      <c r="A37008" t="n">
        <v>364172</v>
      </c>
      <c r="B37008" s="29" t="n">
        <v>16</v>
      </c>
      <c r="C37008" s="7" t="n">
        <v>0</v>
      </c>
    </row>
    <row r="37009" spans="1:9">
      <c r="A37009" t="s">
        <v>4</v>
      </c>
      <c r="B37009" s="4" t="s">
        <v>5</v>
      </c>
      <c r="C37009" s="4" t="s">
        <v>11</v>
      </c>
      <c r="D37009" s="4" t="s">
        <v>7</v>
      </c>
      <c r="E37009" s="4" t="s">
        <v>15</v>
      </c>
      <c r="F37009" s="4" t="s">
        <v>55</v>
      </c>
      <c r="G37009" s="4" t="s">
        <v>7</v>
      </c>
      <c r="H37009" s="4" t="s">
        <v>7</v>
      </c>
    </row>
    <row r="37010" spans="1:9">
      <c r="A37010" t="n">
        <v>364175</v>
      </c>
      <c r="B37010" s="55" t="n">
        <v>26</v>
      </c>
      <c r="C37010" s="7" t="n">
        <v>0</v>
      </c>
      <c r="D37010" s="7" t="n">
        <v>17</v>
      </c>
      <c r="E37010" s="7" t="n">
        <v>64203</v>
      </c>
      <c r="F37010" s="7" t="s">
        <v>1110</v>
      </c>
      <c r="G37010" s="7" t="n">
        <v>2</v>
      </c>
      <c r="H37010" s="7" t="n">
        <v>0</v>
      </c>
    </row>
    <row r="37011" spans="1:9">
      <c r="A37011" t="s">
        <v>4</v>
      </c>
      <c r="B37011" s="4" t="s">
        <v>5</v>
      </c>
    </row>
    <row r="37012" spans="1:9">
      <c r="A37012" t="n">
        <v>364202</v>
      </c>
      <c r="B37012" s="27" t="n">
        <v>28</v>
      </c>
    </row>
    <row r="37013" spans="1:9">
      <c r="A37013" t="s">
        <v>4</v>
      </c>
      <c r="B37013" s="4" t="s">
        <v>5</v>
      </c>
      <c r="C37013" s="4" t="s">
        <v>7</v>
      </c>
      <c r="D37013" s="4" t="s">
        <v>11</v>
      </c>
      <c r="E37013" s="4" t="s">
        <v>8</v>
      </c>
    </row>
    <row r="37014" spans="1:9">
      <c r="A37014" t="n">
        <v>364203</v>
      </c>
      <c r="B37014" s="38" t="n">
        <v>51</v>
      </c>
      <c r="C37014" s="7" t="n">
        <v>4</v>
      </c>
      <c r="D37014" s="7" t="n">
        <v>6</v>
      </c>
      <c r="E37014" s="7" t="s">
        <v>574</v>
      </c>
    </row>
    <row r="37015" spans="1:9">
      <c r="A37015" t="s">
        <v>4</v>
      </c>
      <c r="B37015" s="4" t="s">
        <v>5</v>
      </c>
      <c r="C37015" s="4" t="s">
        <v>11</v>
      </c>
    </row>
    <row r="37016" spans="1:9">
      <c r="A37016" t="n">
        <v>364216</v>
      </c>
      <c r="B37016" s="29" t="n">
        <v>16</v>
      </c>
      <c r="C37016" s="7" t="n">
        <v>0</v>
      </c>
    </row>
    <row r="37017" spans="1:9">
      <c r="A37017" t="s">
        <v>4</v>
      </c>
      <c r="B37017" s="4" t="s">
        <v>5</v>
      </c>
      <c r="C37017" s="4" t="s">
        <v>11</v>
      </c>
      <c r="D37017" s="4" t="s">
        <v>7</v>
      </c>
      <c r="E37017" s="4" t="s">
        <v>15</v>
      </c>
      <c r="F37017" s="4" t="s">
        <v>55</v>
      </c>
      <c r="G37017" s="4" t="s">
        <v>7</v>
      </c>
      <c r="H37017" s="4" t="s">
        <v>7</v>
      </c>
      <c r="I37017" s="4" t="s">
        <v>7</v>
      </c>
      <c r="J37017" s="4" t="s">
        <v>15</v>
      </c>
      <c r="K37017" s="4" t="s">
        <v>55</v>
      </c>
      <c r="L37017" s="4" t="s">
        <v>7</v>
      </c>
      <c r="M37017" s="4" t="s">
        <v>7</v>
      </c>
      <c r="N37017" s="4" t="s">
        <v>7</v>
      </c>
      <c r="O37017" s="4" t="s">
        <v>15</v>
      </c>
      <c r="P37017" s="4" t="s">
        <v>55</v>
      </c>
      <c r="Q37017" s="4" t="s">
        <v>7</v>
      </c>
      <c r="R37017" s="4" t="s">
        <v>7</v>
      </c>
      <c r="S37017" s="4" t="s">
        <v>7</v>
      </c>
      <c r="T37017" s="4" t="s">
        <v>15</v>
      </c>
      <c r="U37017" s="4" t="s">
        <v>55</v>
      </c>
      <c r="V37017" s="4" t="s">
        <v>7</v>
      </c>
      <c r="W37017" s="4" t="s">
        <v>7</v>
      </c>
    </row>
    <row r="37018" spans="1:9">
      <c r="A37018" t="n">
        <v>364219</v>
      </c>
      <c r="B37018" s="55" t="n">
        <v>26</v>
      </c>
      <c r="C37018" s="7" t="n">
        <v>6</v>
      </c>
      <c r="D37018" s="7" t="n">
        <v>17</v>
      </c>
      <c r="E37018" s="7" t="n">
        <v>8810</v>
      </c>
      <c r="F37018" s="7" t="s">
        <v>1111</v>
      </c>
      <c r="G37018" s="7" t="n">
        <v>2</v>
      </c>
      <c r="H37018" s="7" t="n">
        <v>3</v>
      </c>
      <c r="I37018" s="7" t="n">
        <v>17</v>
      </c>
      <c r="J37018" s="7" t="n">
        <v>8811</v>
      </c>
      <c r="K37018" s="7" t="s">
        <v>1112</v>
      </c>
      <c r="L37018" s="7" t="n">
        <v>2</v>
      </c>
      <c r="M37018" s="7" t="n">
        <v>3</v>
      </c>
      <c r="N37018" s="7" t="n">
        <v>17</v>
      </c>
      <c r="O37018" s="7" t="n">
        <v>8812</v>
      </c>
      <c r="P37018" s="7" t="s">
        <v>1113</v>
      </c>
      <c r="Q37018" s="7" t="n">
        <v>2</v>
      </c>
      <c r="R37018" s="7" t="n">
        <v>3</v>
      </c>
      <c r="S37018" s="7" t="n">
        <v>17</v>
      </c>
      <c r="T37018" s="7" t="n">
        <v>8813</v>
      </c>
      <c r="U37018" s="7" t="s">
        <v>1114</v>
      </c>
      <c r="V37018" s="7" t="n">
        <v>2</v>
      </c>
      <c r="W37018" s="7" t="n">
        <v>0</v>
      </c>
    </row>
    <row r="37019" spans="1:9">
      <c r="A37019" t="s">
        <v>4</v>
      </c>
      <c r="B37019" s="4" t="s">
        <v>5</v>
      </c>
    </row>
    <row r="37020" spans="1:9">
      <c r="A37020" t="n">
        <v>364518</v>
      </c>
      <c r="B37020" s="27" t="n">
        <v>28</v>
      </c>
    </row>
    <row r="37021" spans="1:9">
      <c r="A37021" t="s">
        <v>4</v>
      </c>
      <c r="B37021" s="4" t="s">
        <v>5</v>
      </c>
      <c r="C37021" s="4" t="s">
        <v>11</v>
      </c>
      <c r="D37021" s="4" t="s">
        <v>7</v>
      </c>
      <c r="E37021" s="4" t="s">
        <v>13</v>
      </c>
      <c r="F37021" s="4" t="s">
        <v>11</v>
      </c>
    </row>
    <row r="37022" spans="1:9">
      <c r="A37022" t="n">
        <v>364519</v>
      </c>
      <c r="B37022" s="56" t="n">
        <v>59</v>
      </c>
      <c r="C37022" s="7" t="n">
        <v>0</v>
      </c>
      <c r="D37022" s="7" t="n">
        <v>1</v>
      </c>
      <c r="E37022" s="7" t="n">
        <v>0.150000005960464</v>
      </c>
      <c r="F37022" s="7" t="n">
        <v>0</v>
      </c>
    </row>
    <row r="37023" spans="1:9">
      <c r="A37023" t="s">
        <v>4</v>
      </c>
      <c r="B37023" s="4" t="s">
        <v>5</v>
      </c>
      <c r="C37023" s="4" t="s">
        <v>11</v>
      </c>
    </row>
    <row r="37024" spans="1:9">
      <c r="A37024" t="n">
        <v>364529</v>
      </c>
      <c r="B37024" s="29" t="n">
        <v>16</v>
      </c>
      <c r="C37024" s="7" t="n">
        <v>1300</v>
      </c>
    </row>
    <row r="37025" spans="1:23">
      <c r="A37025" t="s">
        <v>4</v>
      </c>
      <c r="B37025" s="4" t="s">
        <v>5</v>
      </c>
      <c r="C37025" s="4" t="s">
        <v>7</v>
      </c>
      <c r="D37025" s="4" t="s">
        <v>11</v>
      </c>
      <c r="E37025" s="4" t="s">
        <v>13</v>
      </c>
    </row>
    <row r="37026" spans="1:23">
      <c r="A37026" t="n">
        <v>364532</v>
      </c>
      <c r="B37026" s="23" t="n">
        <v>58</v>
      </c>
      <c r="C37026" s="7" t="n">
        <v>101</v>
      </c>
      <c r="D37026" s="7" t="n">
        <v>500</v>
      </c>
      <c r="E37026" s="7" t="n">
        <v>1</v>
      </c>
    </row>
    <row r="37027" spans="1:23">
      <c r="A37027" t="s">
        <v>4</v>
      </c>
      <c r="B37027" s="4" t="s">
        <v>5</v>
      </c>
      <c r="C37027" s="4" t="s">
        <v>7</v>
      </c>
      <c r="D37027" s="4" t="s">
        <v>11</v>
      </c>
    </row>
    <row r="37028" spans="1:23">
      <c r="A37028" t="n">
        <v>364540</v>
      </c>
      <c r="B37028" s="23" t="n">
        <v>58</v>
      </c>
      <c r="C37028" s="7" t="n">
        <v>254</v>
      </c>
      <c r="D37028" s="7" t="n">
        <v>0</v>
      </c>
    </row>
    <row r="37029" spans="1:23">
      <c r="A37029" t="s">
        <v>4</v>
      </c>
      <c r="B37029" s="4" t="s">
        <v>5</v>
      </c>
      <c r="C37029" s="4" t="s">
        <v>7</v>
      </c>
      <c r="D37029" s="4" t="s">
        <v>7</v>
      </c>
      <c r="E37029" s="4" t="s">
        <v>13</v>
      </c>
      <c r="F37029" s="4" t="s">
        <v>13</v>
      </c>
      <c r="G37029" s="4" t="s">
        <v>13</v>
      </c>
      <c r="H37029" s="4" t="s">
        <v>11</v>
      </c>
    </row>
    <row r="37030" spans="1:23">
      <c r="A37030" t="n">
        <v>364544</v>
      </c>
      <c r="B37030" s="51" t="n">
        <v>45</v>
      </c>
      <c r="C37030" s="7" t="n">
        <v>2</v>
      </c>
      <c r="D37030" s="7" t="n">
        <v>3</v>
      </c>
      <c r="E37030" s="7" t="n">
        <v>-6.6100001335144</v>
      </c>
      <c r="F37030" s="7" t="n">
        <v>6.44000005722046</v>
      </c>
      <c r="G37030" s="7" t="n">
        <v>29.9300003051758</v>
      </c>
      <c r="H37030" s="7" t="n">
        <v>0</v>
      </c>
    </row>
    <row r="37031" spans="1:23">
      <c r="A37031" t="s">
        <v>4</v>
      </c>
      <c r="B37031" s="4" t="s">
        <v>5</v>
      </c>
      <c r="C37031" s="4" t="s">
        <v>7</v>
      </c>
      <c r="D37031" s="4" t="s">
        <v>7</v>
      </c>
      <c r="E37031" s="4" t="s">
        <v>13</v>
      </c>
      <c r="F37031" s="4" t="s">
        <v>13</v>
      </c>
      <c r="G37031" s="4" t="s">
        <v>13</v>
      </c>
      <c r="H37031" s="4" t="s">
        <v>11</v>
      </c>
      <c r="I37031" s="4" t="s">
        <v>7</v>
      </c>
    </row>
    <row r="37032" spans="1:23">
      <c r="A37032" t="n">
        <v>364561</v>
      </c>
      <c r="B37032" s="51" t="n">
        <v>45</v>
      </c>
      <c r="C37032" s="7" t="n">
        <v>4</v>
      </c>
      <c r="D37032" s="7" t="n">
        <v>3</v>
      </c>
      <c r="E37032" s="7" t="n">
        <v>357</v>
      </c>
      <c r="F37032" s="7" t="n">
        <v>284.700012207031</v>
      </c>
      <c r="G37032" s="7" t="n">
        <v>4</v>
      </c>
      <c r="H37032" s="7" t="n">
        <v>0</v>
      </c>
      <c r="I37032" s="7" t="n">
        <v>0</v>
      </c>
    </row>
    <row r="37033" spans="1:23">
      <c r="A37033" t="s">
        <v>4</v>
      </c>
      <c r="B37033" s="4" t="s">
        <v>5</v>
      </c>
      <c r="C37033" s="4" t="s">
        <v>7</v>
      </c>
      <c r="D37033" s="4" t="s">
        <v>7</v>
      </c>
      <c r="E37033" s="4" t="s">
        <v>13</v>
      </c>
      <c r="F37033" s="4" t="s">
        <v>11</v>
      </c>
    </row>
    <row r="37034" spans="1:23">
      <c r="A37034" t="n">
        <v>364579</v>
      </c>
      <c r="B37034" s="51" t="n">
        <v>45</v>
      </c>
      <c r="C37034" s="7" t="n">
        <v>5</v>
      </c>
      <c r="D37034" s="7" t="n">
        <v>3</v>
      </c>
      <c r="E37034" s="7" t="n">
        <v>1</v>
      </c>
      <c r="F37034" s="7" t="n">
        <v>0</v>
      </c>
    </row>
    <row r="37035" spans="1:23">
      <c r="A37035" t="s">
        <v>4</v>
      </c>
      <c r="B37035" s="4" t="s">
        <v>5</v>
      </c>
      <c r="C37035" s="4" t="s">
        <v>7</v>
      </c>
      <c r="D37035" s="4" t="s">
        <v>7</v>
      </c>
      <c r="E37035" s="4" t="s">
        <v>13</v>
      </c>
      <c r="F37035" s="4" t="s">
        <v>11</v>
      </c>
    </row>
    <row r="37036" spans="1:23">
      <c r="A37036" t="n">
        <v>364588</v>
      </c>
      <c r="B37036" s="51" t="n">
        <v>45</v>
      </c>
      <c r="C37036" s="7" t="n">
        <v>11</v>
      </c>
      <c r="D37036" s="7" t="n">
        <v>3</v>
      </c>
      <c r="E37036" s="7" t="n">
        <v>40.2999992370605</v>
      </c>
      <c r="F37036" s="7" t="n">
        <v>0</v>
      </c>
    </row>
    <row r="37037" spans="1:23">
      <c r="A37037" t="s">
        <v>4</v>
      </c>
      <c r="B37037" s="4" t="s">
        <v>5</v>
      </c>
      <c r="C37037" s="4" t="s">
        <v>7</v>
      </c>
      <c r="D37037" s="4" t="s">
        <v>11</v>
      </c>
      <c r="E37037" s="4" t="s">
        <v>8</v>
      </c>
      <c r="F37037" s="4" t="s">
        <v>8</v>
      </c>
      <c r="G37037" s="4" t="s">
        <v>8</v>
      </c>
      <c r="H37037" s="4" t="s">
        <v>8</v>
      </c>
    </row>
    <row r="37038" spans="1:23">
      <c r="A37038" t="n">
        <v>364597</v>
      </c>
      <c r="B37038" s="38" t="n">
        <v>51</v>
      </c>
      <c r="C37038" s="7" t="n">
        <v>3</v>
      </c>
      <c r="D37038" s="7" t="n">
        <v>0</v>
      </c>
      <c r="E37038" s="7" t="s">
        <v>154</v>
      </c>
      <c r="F37038" s="7" t="s">
        <v>155</v>
      </c>
      <c r="G37038" s="7" t="s">
        <v>78</v>
      </c>
      <c r="H37038" s="7" t="s">
        <v>79</v>
      </c>
    </row>
    <row r="37039" spans="1:23">
      <c r="A37039" t="s">
        <v>4</v>
      </c>
      <c r="B37039" s="4" t="s">
        <v>5</v>
      </c>
      <c r="C37039" s="4" t="s">
        <v>7</v>
      </c>
      <c r="D37039" s="4" t="s">
        <v>11</v>
      </c>
    </row>
    <row r="37040" spans="1:23">
      <c r="A37040" t="n">
        <v>364610</v>
      </c>
      <c r="B37040" s="23" t="n">
        <v>58</v>
      </c>
      <c r="C37040" s="7" t="n">
        <v>255</v>
      </c>
      <c r="D37040" s="7" t="n">
        <v>0</v>
      </c>
    </row>
    <row r="37041" spans="1:9">
      <c r="A37041" t="s">
        <v>4</v>
      </c>
      <c r="B37041" s="4" t="s">
        <v>5</v>
      </c>
      <c r="C37041" s="4" t="s">
        <v>7</v>
      </c>
      <c r="D37041" s="4" t="s">
        <v>11</v>
      </c>
      <c r="E37041" s="4" t="s">
        <v>8</v>
      </c>
    </row>
    <row r="37042" spans="1:9">
      <c r="A37042" t="n">
        <v>364614</v>
      </c>
      <c r="B37042" s="38" t="n">
        <v>51</v>
      </c>
      <c r="C37042" s="7" t="n">
        <v>4</v>
      </c>
      <c r="D37042" s="7" t="n">
        <v>0</v>
      </c>
      <c r="E37042" s="7" t="s">
        <v>173</v>
      </c>
    </row>
    <row r="37043" spans="1:9">
      <c r="A37043" t="s">
        <v>4</v>
      </c>
      <c r="B37043" s="4" t="s">
        <v>5</v>
      </c>
      <c r="C37043" s="4" t="s">
        <v>11</v>
      </c>
    </row>
    <row r="37044" spans="1:9">
      <c r="A37044" t="n">
        <v>364627</v>
      </c>
      <c r="B37044" s="29" t="n">
        <v>16</v>
      </c>
      <c r="C37044" s="7" t="n">
        <v>0</v>
      </c>
    </row>
    <row r="37045" spans="1:9">
      <c r="A37045" t="s">
        <v>4</v>
      </c>
      <c r="B37045" s="4" t="s">
        <v>5</v>
      </c>
      <c r="C37045" s="4" t="s">
        <v>11</v>
      </c>
      <c r="D37045" s="4" t="s">
        <v>7</v>
      </c>
      <c r="E37045" s="4" t="s">
        <v>15</v>
      </c>
      <c r="F37045" s="4" t="s">
        <v>55</v>
      </c>
      <c r="G37045" s="4" t="s">
        <v>7</v>
      </c>
      <c r="H37045" s="4" t="s">
        <v>7</v>
      </c>
      <c r="I37045" s="4" t="s">
        <v>7</v>
      </c>
      <c r="J37045" s="4" t="s">
        <v>15</v>
      </c>
      <c r="K37045" s="4" t="s">
        <v>55</v>
      </c>
      <c r="L37045" s="4" t="s">
        <v>7</v>
      </c>
      <c r="M37045" s="4" t="s">
        <v>7</v>
      </c>
      <c r="N37045" s="4" t="s">
        <v>7</v>
      </c>
      <c r="O37045" s="4" t="s">
        <v>15</v>
      </c>
      <c r="P37045" s="4" t="s">
        <v>55</v>
      </c>
      <c r="Q37045" s="4" t="s">
        <v>7</v>
      </c>
      <c r="R37045" s="4" t="s">
        <v>7</v>
      </c>
      <c r="S37045" s="4" t="s">
        <v>7</v>
      </c>
      <c r="T37045" s="4" t="s">
        <v>15</v>
      </c>
      <c r="U37045" s="4" t="s">
        <v>55</v>
      </c>
      <c r="V37045" s="4" t="s">
        <v>7</v>
      </c>
      <c r="W37045" s="4" t="s">
        <v>7</v>
      </c>
    </row>
    <row r="37046" spans="1:9">
      <c r="A37046" t="n">
        <v>364630</v>
      </c>
      <c r="B37046" s="55" t="n">
        <v>26</v>
      </c>
      <c r="C37046" s="7" t="n">
        <v>0</v>
      </c>
      <c r="D37046" s="7" t="n">
        <v>17</v>
      </c>
      <c r="E37046" s="7" t="n">
        <v>64204</v>
      </c>
      <c r="F37046" s="7" t="s">
        <v>1115</v>
      </c>
      <c r="G37046" s="7" t="n">
        <v>2</v>
      </c>
      <c r="H37046" s="7" t="n">
        <v>3</v>
      </c>
      <c r="I37046" s="7" t="n">
        <v>17</v>
      </c>
      <c r="J37046" s="7" t="n">
        <v>64205</v>
      </c>
      <c r="K37046" s="7" t="s">
        <v>1116</v>
      </c>
      <c r="L37046" s="7" t="n">
        <v>2</v>
      </c>
      <c r="M37046" s="7" t="n">
        <v>3</v>
      </c>
      <c r="N37046" s="7" t="n">
        <v>17</v>
      </c>
      <c r="O37046" s="7" t="n">
        <v>64206</v>
      </c>
      <c r="P37046" s="7" t="s">
        <v>1117</v>
      </c>
      <c r="Q37046" s="7" t="n">
        <v>2</v>
      </c>
      <c r="R37046" s="7" t="n">
        <v>3</v>
      </c>
      <c r="S37046" s="7" t="n">
        <v>17</v>
      </c>
      <c r="T37046" s="7" t="n">
        <v>64207</v>
      </c>
      <c r="U37046" s="7" t="s">
        <v>1118</v>
      </c>
      <c r="V37046" s="7" t="n">
        <v>2</v>
      </c>
      <c r="W37046" s="7" t="n">
        <v>0</v>
      </c>
    </row>
    <row r="37047" spans="1:9">
      <c r="A37047" t="s">
        <v>4</v>
      </c>
      <c r="B37047" s="4" t="s">
        <v>5</v>
      </c>
    </row>
    <row r="37048" spans="1:9">
      <c r="A37048" t="n">
        <v>365057</v>
      </c>
      <c r="B37048" s="27" t="n">
        <v>28</v>
      </c>
    </row>
    <row r="37049" spans="1:9">
      <c r="A37049" t="s">
        <v>4</v>
      </c>
      <c r="B37049" s="4" t="s">
        <v>5</v>
      </c>
      <c r="C37049" s="4" t="s">
        <v>11</v>
      </c>
      <c r="D37049" s="4" t="s">
        <v>7</v>
      </c>
    </row>
    <row r="37050" spans="1:9">
      <c r="A37050" t="n">
        <v>365058</v>
      </c>
      <c r="B37050" s="68" t="n">
        <v>89</v>
      </c>
      <c r="C37050" s="7" t="n">
        <v>65533</v>
      </c>
      <c r="D37050" s="7" t="n">
        <v>1</v>
      </c>
    </row>
    <row r="37051" spans="1:9">
      <c r="A37051" t="s">
        <v>4</v>
      </c>
      <c r="B37051" s="4" t="s">
        <v>5</v>
      </c>
      <c r="C37051" s="4" t="s">
        <v>7</v>
      </c>
      <c r="D37051" s="4" t="s">
        <v>11</v>
      </c>
      <c r="E37051" s="4" t="s">
        <v>13</v>
      </c>
    </row>
    <row r="37052" spans="1:9">
      <c r="A37052" t="n">
        <v>365062</v>
      </c>
      <c r="B37052" s="23" t="n">
        <v>58</v>
      </c>
      <c r="C37052" s="7" t="n">
        <v>101</v>
      </c>
      <c r="D37052" s="7" t="n">
        <v>500</v>
      </c>
      <c r="E37052" s="7" t="n">
        <v>1</v>
      </c>
    </row>
    <row r="37053" spans="1:9">
      <c r="A37053" t="s">
        <v>4</v>
      </c>
      <c r="B37053" s="4" t="s">
        <v>5</v>
      </c>
      <c r="C37053" s="4" t="s">
        <v>7</v>
      </c>
      <c r="D37053" s="4" t="s">
        <v>11</v>
      </c>
    </row>
    <row r="37054" spans="1:9">
      <c r="A37054" t="n">
        <v>365070</v>
      </c>
      <c r="B37054" s="23" t="n">
        <v>58</v>
      </c>
      <c r="C37054" s="7" t="n">
        <v>254</v>
      </c>
      <c r="D37054" s="7" t="n">
        <v>0</v>
      </c>
    </row>
    <row r="37055" spans="1:9">
      <c r="A37055" t="s">
        <v>4</v>
      </c>
      <c r="B37055" s="4" t="s">
        <v>5</v>
      </c>
      <c r="C37055" s="4" t="s">
        <v>7</v>
      </c>
      <c r="D37055" s="4" t="s">
        <v>7</v>
      </c>
      <c r="E37055" s="4" t="s">
        <v>13</v>
      </c>
      <c r="F37055" s="4" t="s">
        <v>13</v>
      </c>
      <c r="G37055" s="4" t="s">
        <v>13</v>
      </c>
      <c r="H37055" s="4" t="s">
        <v>11</v>
      </c>
    </row>
    <row r="37056" spans="1:9">
      <c r="A37056" t="n">
        <v>365074</v>
      </c>
      <c r="B37056" s="51" t="n">
        <v>45</v>
      </c>
      <c r="C37056" s="7" t="n">
        <v>2</v>
      </c>
      <c r="D37056" s="7" t="n">
        <v>3</v>
      </c>
      <c r="E37056" s="7" t="n">
        <v>-7.36999988555908</v>
      </c>
      <c r="F37056" s="7" t="n">
        <v>6.51999998092651</v>
      </c>
      <c r="G37056" s="7" t="n">
        <v>29.8299999237061</v>
      </c>
      <c r="H37056" s="7" t="n">
        <v>0</v>
      </c>
    </row>
    <row r="37057" spans="1:23">
      <c r="A37057" t="s">
        <v>4</v>
      </c>
      <c r="B37057" s="4" t="s">
        <v>5</v>
      </c>
      <c r="C37057" s="4" t="s">
        <v>7</v>
      </c>
      <c r="D37057" s="4" t="s">
        <v>7</v>
      </c>
      <c r="E37057" s="4" t="s">
        <v>13</v>
      </c>
      <c r="F37057" s="4" t="s">
        <v>13</v>
      </c>
      <c r="G37057" s="4" t="s">
        <v>13</v>
      </c>
      <c r="H37057" s="4" t="s">
        <v>11</v>
      </c>
      <c r="I37057" s="4" t="s">
        <v>7</v>
      </c>
    </row>
    <row r="37058" spans="1:23">
      <c r="A37058" t="n">
        <v>365091</v>
      </c>
      <c r="B37058" s="51" t="n">
        <v>45</v>
      </c>
      <c r="C37058" s="7" t="n">
        <v>4</v>
      </c>
      <c r="D37058" s="7" t="n">
        <v>3</v>
      </c>
      <c r="E37058" s="7" t="n">
        <v>357.320007324219</v>
      </c>
      <c r="F37058" s="7" t="n">
        <v>60.310001373291</v>
      </c>
      <c r="G37058" s="7" t="n">
        <v>354</v>
      </c>
      <c r="H37058" s="7" t="n">
        <v>0</v>
      </c>
      <c r="I37058" s="7" t="n">
        <v>0</v>
      </c>
    </row>
    <row r="37059" spans="1:23">
      <c r="A37059" t="s">
        <v>4</v>
      </c>
      <c r="B37059" s="4" t="s">
        <v>5</v>
      </c>
      <c r="C37059" s="4" t="s">
        <v>7</v>
      </c>
      <c r="D37059" s="4" t="s">
        <v>7</v>
      </c>
      <c r="E37059" s="4" t="s">
        <v>13</v>
      </c>
      <c r="F37059" s="4" t="s">
        <v>11</v>
      </c>
    </row>
    <row r="37060" spans="1:23">
      <c r="A37060" t="n">
        <v>365109</v>
      </c>
      <c r="B37060" s="51" t="n">
        <v>45</v>
      </c>
      <c r="C37060" s="7" t="n">
        <v>5</v>
      </c>
      <c r="D37060" s="7" t="n">
        <v>3</v>
      </c>
      <c r="E37060" s="7" t="n">
        <v>0.800000011920929</v>
      </c>
      <c r="F37060" s="7" t="n">
        <v>0</v>
      </c>
    </row>
    <row r="37061" spans="1:23">
      <c r="A37061" t="s">
        <v>4</v>
      </c>
      <c r="B37061" s="4" t="s">
        <v>5</v>
      </c>
      <c r="C37061" s="4" t="s">
        <v>7</v>
      </c>
      <c r="D37061" s="4" t="s">
        <v>7</v>
      </c>
      <c r="E37061" s="4" t="s">
        <v>13</v>
      </c>
      <c r="F37061" s="4" t="s">
        <v>11</v>
      </c>
    </row>
    <row r="37062" spans="1:23">
      <c r="A37062" t="n">
        <v>365118</v>
      </c>
      <c r="B37062" s="51" t="n">
        <v>45</v>
      </c>
      <c r="C37062" s="7" t="n">
        <v>11</v>
      </c>
      <c r="D37062" s="7" t="n">
        <v>3</v>
      </c>
      <c r="E37062" s="7" t="n">
        <v>40.2999992370605</v>
      </c>
      <c r="F37062" s="7" t="n">
        <v>0</v>
      </c>
    </row>
    <row r="37063" spans="1:23">
      <c r="A37063" t="s">
        <v>4</v>
      </c>
      <c r="B37063" s="4" t="s">
        <v>5</v>
      </c>
      <c r="C37063" s="4" t="s">
        <v>7</v>
      </c>
      <c r="D37063" s="4" t="s">
        <v>11</v>
      </c>
      <c r="E37063" s="4" t="s">
        <v>8</v>
      </c>
      <c r="F37063" s="4" t="s">
        <v>8</v>
      </c>
      <c r="G37063" s="4" t="s">
        <v>8</v>
      </c>
      <c r="H37063" s="4" t="s">
        <v>8</v>
      </c>
    </row>
    <row r="37064" spans="1:23">
      <c r="A37064" t="n">
        <v>365127</v>
      </c>
      <c r="B37064" s="38" t="n">
        <v>51</v>
      </c>
      <c r="C37064" s="7" t="n">
        <v>3</v>
      </c>
      <c r="D37064" s="7" t="n">
        <v>6</v>
      </c>
      <c r="E37064" s="7" t="s">
        <v>99</v>
      </c>
      <c r="F37064" s="7" t="s">
        <v>232</v>
      </c>
      <c r="G37064" s="7" t="s">
        <v>78</v>
      </c>
      <c r="H37064" s="7" t="s">
        <v>79</v>
      </c>
    </row>
    <row r="37065" spans="1:23">
      <c r="A37065" t="s">
        <v>4</v>
      </c>
      <c r="B37065" s="4" t="s">
        <v>5</v>
      </c>
      <c r="C37065" s="4" t="s">
        <v>7</v>
      </c>
      <c r="D37065" s="4" t="s">
        <v>11</v>
      </c>
    </row>
    <row r="37066" spans="1:23">
      <c r="A37066" t="n">
        <v>365140</v>
      </c>
      <c r="B37066" s="23" t="n">
        <v>58</v>
      </c>
      <c r="C37066" s="7" t="n">
        <v>255</v>
      </c>
      <c r="D37066" s="7" t="n">
        <v>0</v>
      </c>
    </row>
    <row r="37067" spans="1:23">
      <c r="A37067" t="s">
        <v>4</v>
      </c>
      <c r="B37067" s="4" t="s">
        <v>5</v>
      </c>
      <c r="C37067" s="4" t="s">
        <v>11</v>
      </c>
      <c r="D37067" s="4" t="s">
        <v>7</v>
      </c>
      <c r="E37067" s="4" t="s">
        <v>7</v>
      </c>
      <c r="F37067" s="4" t="s">
        <v>8</v>
      </c>
    </row>
    <row r="37068" spans="1:23">
      <c r="A37068" t="n">
        <v>365144</v>
      </c>
      <c r="B37068" s="50" t="n">
        <v>20</v>
      </c>
      <c r="C37068" s="7" t="n">
        <v>6</v>
      </c>
      <c r="D37068" s="7" t="n">
        <v>2</v>
      </c>
      <c r="E37068" s="7" t="n">
        <v>10</v>
      </c>
      <c r="F37068" s="7" t="s">
        <v>260</v>
      </c>
    </row>
    <row r="37069" spans="1:23">
      <c r="A37069" t="s">
        <v>4</v>
      </c>
      <c r="B37069" s="4" t="s">
        <v>5</v>
      </c>
      <c r="C37069" s="4" t="s">
        <v>7</v>
      </c>
      <c r="D37069" s="4" t="s">
        <v>11</v>
      </c>
      <c r="E37069" s="4" t="s">
        <v>8</v>
      </c>
    </row>
    <row r="37070" spans="1:23">
      <c r="A37070" t="n">
        <v>365164</v>
      </c>
      <c r="B37070" s="38" t="n">
        <v>51</v>
      </c>
      <c r="C37070" s="7" t="n">
        <v>4</v>
      </c>
      <c r="D37070" s="7" t="n">
        <v>6</v>
      </c>
      <c r="E37070" s="7" t="s">
        <v>417</v>
      </c>
    </row>
    <row r="37071" spans="1:23">
      <c r="A37071" t="s">
        <v>4</v>
      </c>
      <c r="B37071" s="4" t="s">
        <v>5</v>
      </c>
      <c r="C37071" s="4" t="s">
        <v>11</v>
      </c>
    </row>
    <row r="37072" spans="1:23">
      <c r="A37072" t="n">
        <v>365178</v>
      </c>
      <c r="B37072" s="29" t="n">
        <v>16</v>
      </c>
      <c r="C37072" s="7" t="n">
        <v>0</v>
      </c>
    </row>
    <row r="37073" spans="1:9">
      <c r="A37073" t="s">
        <v>4</v>
      </c>
      <c r="B37073" s="4" t="s">
        <v>5</v>
      </c>
      <c r="C37073" s="4" t="s">
        <v>11</v>
      </c>
      <c r="D37073" s="4" t="s">
        <v>7</v>
      </c>
      <c r="E37073" s="4" t="s">
        <v>15</v>
      </c>
      <c r="F37073" s="4" t="s">
        <v>55</v>
      </c>
      <c r="G37073" s="4" t="s">
        <v>7</v>
      </c>
      <c r="H37073" s="4" t="s">
        <v>7</v>
      </c>
      <c r="I37073" s="4" t="s">
        <v>7</v>
      </c>
      <c r="J37073" s="4" t="s">
        <v>15</v>
      </c>
      <c r="K37073" s="4" t="s">
        <v>55</v>
      </c>
      <c r="L37073" s="4" t="s">
        <v>7</v>
      </c>
      <c r="M37073" s="4" t="s">
        <v>7</v>
      </c>
      <c r="N37073" s="4" t="s">
        <v>7</v>
      </c>
      <c r="O37073" s="4" t="s">
        <v>15</v>
      </c>
      <c r="P37073" s="4" t="s">
        <v>55</v>
      </c>
      <c r="Q37073" s="4" t="s">
        <v>7</v>
      </c>
      <c r="R37073" s="4" t="s">
        <v>7</v>
      </c>
    </row>
    <row r="37074" spans="1:9">
      <c r="A37074" t="n">
        <v>365181</v>
      </c>
      <c r="B37074" s="55" t="n">
        <v>26</v>
      </c>
      <c r="C37074" s="7" t="n">
        <v>6</v>
      </c>
      <c r="D37074" s="7" t="n">
        <v>17</v>
      </c>
      <c r="E37074" s="7" t="n">
        <v>8814</v>
      </c>
      <c r="F37074" s="7" t="s">
        <v>1119</v>
      </c>
      <c r="G37074" s="7" t="n">
        <v>2</v>
      </c>
      <c r="H37074" s="7" t="n">
        <v>3</v>
      </c>
      <c r="I37074" s="7" t="n">
        <v>17</v>
      </c>
      <c r="J37074" s="7" t="n">
        <v>8815</v>
      </c>
      <c r="K37074" s="7" t="s">
        <v>1120</v>
      </c>
      <c r="L37074" s="7" t="n">
        <v>2</v>
      </c>
      <c r="M37074" s="7" t="n">
        <v>3</v>
      </c>
      <c r="N37074" s="7" t="n">
        <v>17</v>
      </c>
      <c r="O37074" s="7" t="n">
        <v>8816</v>
      </c>
      <c r="P37074" s="7" t="s">
        <v>1121</v>
      </c>
      <c r="Q37074" s="7" t="n">
        <v>2</v>
      </c>
      <c r="R37074" s="7" t="n">
        <v>0</v>
      </c>
    </row>
    <row r="37075" spans="1:9">
      <c r="A37075" t="s">
        <v>4</v>
      </c>
      <c r="B37075" s="4" t="s">
        <v>5</v>
      </c>
    </row>
    <row r="37076" spans="1:9">
      <c r="A37076" t="n">
        <v>365537</v>
      </c>
      <c r="B37076" s="27" t="n">
        <v>28</v>
      </c>
    </row>
    <row r="37077" spans="1:9">
      <c r="A37077" t="s">
        <v>4</v>
      </c>
      <c r="B37077" s="4" t="s">
        <v>5</v>
      </c>
      <c r="C37077" s="4" t="s">
        <v>7</v>
      </c>
      <c r="D37077" s="4" t="s">
        <v>11</v>
      </c>
      <c r="E37077" s="4" t="s">
        <v>8</v>
      </c>
    </row>
    <row r="37078" spans="1:9">
      <c r="A37078" t="n">
        <v>365538</v>
      </c>
      <c r="B37078" s="38" t="n">
        <v>51</v>
      </c>
      <c r="C37078" s="7" t="n">
        <v>4</v>
      </c>
      <c r="D37078" s="7" t="n">
        <v>0</v>
      </c>
      <c r="E37078" s="7" t="s">
        <v>285</v>
      </c>
    </row>
    <row r="37079" spans="1:9">
      <c r="A37079" t="s">
        <v>4</v>
      </c>
      <c r="B37079" s="4" t="s">
        <v>5</v>
      </c>
      <c r="C37079" s="4" t="s">
        <v>11</v>
      </c>
    </row>
    <row r="37080" spans="1:9">
      <c r="A37080" t="n">
        <v>365551</v>
      </c>
      <c r="B37080" s="29" t="n">
        <v>16</v>
      </c>
      <c r="C37080" s="7" t="n">
        <v>0</v>
      </c>
    </row>
    <row r="37081" spans="1:9">
      <c r="A37081" t="s">
        <v>4</v>
      </c>
      <c r="B37081" s="4" t="s">
        <v>5</v>
      </c>
      <c r="C37081" s="4" t="s">
        <v>11</v>
      </c>
      <c r="D37081" s="4" t="s">
        <v>7</v>
      </c>
      <c r="E37081" s="4" t="s">
        <v>15</v>
      </c>
      <c r="F37081" s="4" t="s">
        <v>55</v>
      </c>
      <c r="G37081" s="4" t="s">
        <v>7</v>
      </c>
      <c r="H37081" s="4" t="s">
        <v>7</v>
      </c>
    </row>
    <row r="37082" spans="1:9">
      <c r="A37082" t="n">
        <v>365554</v>
      </c>
      <c r="B37082" s="55" t="n">
        <v>26</v>
      </c>
      <c r="C37082" s="7" t="n">
        <v>0</v>
      </c>
      <c r="D37082" s="7" t="n">
        <v>17</v>
      </c>
      <c r="E37082" s="7" t="n">
        <v>64208</v>
      </c>
      <c r="F37082" s="7" t="s">
        <v>1122</v>
      </c>
      <c r="G37082" s="7" t="n">
        <v>2</v>
      </c>
      <c r="H37082" s="7" t="n">
        <v>0</v>
      </c>
    </row>
    <row r="37083" spans="1:9">
      <c r="A37083" t="s">
        <v>4</v>
      </c>
      <c r="B37083" s="4" t="s">
        <v>5</v>
      </c>
    </row>
    <row r="37084" spans="1:9">
      <c r="A37084" t="n">
        <v>365592</v>
      </c>
      <c r="B37084" s="27" t="n">
        <v>28</v>
      </c>
    </row>
    <row r="37085" spans="1:9">
      <c r="A37085" t="s">
        <v>4</v>
      </c>
      <c r="B37085" s="4" t="s">
        <v>5</v>
      </c>
      <c r="C37085" s="4" t="s">
        <v>11</v>
      </c>
      <c r="D37085" s="4" t="s">
        <v>7</v>
      </c>
    </row>
    <row r="37086" spans="1:9">
      <c r="A37086" t="n">
        <v>365593</v>
      </c>
      <c r="B37086" s="68" t="n">
        <v>89</v>
      </c>
      <c r="C37086" s="7" t="n">
        <v>65533</v>
      </c>
      <c r="D37086" s="7" t="n">
        <v>1</v>
      </c>
    </row>
    <row r="37087" spans="1:9">
      <c r="A37087" t="s">
        <v>4</v>
      </c>
      <c r="B37087" s="4" t="s">
        <v>5</v>
      </c>
      <c r="C37087" s="4" t="s">
        <v>7</v>
      </c>
      <c r="D37087" s="4" t="s">
        <v>11</v>
      </c>
      <c r="E37087" s="4" t="s">
        <v>13</v>
      </c>
    </row>
    <row r="37088" spans="1:9">
      <c r="A37088" t="n">
        <v>365597</v>
      </c>
      <c r="B37088" s="23" t="n">
        <v>58</v>
      </c>
      <c r="C37088" s="7" t="n">
        <v>101</v>
      </c>
      <c r="D37088" s="7" t="n">
        <v>500</v>
      </c>
      <c r="E37088" s="7" t="n">
        <v>1</v>
      </c>
    </row>
    <row r="37089" spans="1:18">
      <c r="A37089" t="s">
        <v>4</v>
      </c>
      <c r="B37089" s="4" t="s">
        <v>5</v>
      </c>
      <c r="C37089" s="4" t="s">
        <v>7</v>
      </c>
      <c r="D37089" s="4" t="s">
        <v>11</v>
      </c>
    </row>
    <row r="37090" spans="1:18">
      <c r="A37090" t="n">
        <v>365605</v>
      </c>
      <c r="B37090" s="23" t="n">
        <v>58</v>
      </c>
      <c r="C37090" s="7" t="n">
        <v>254</v>
      </c>
      <c r="D37090" s="7" t="n">
        <v>0</v>
      </c>
    </row>
    <row r="37091" spans="1:18">
      <c r="A37091" t="s">
        <v>4</v>
      </c>
      <c r="B37091" s="4" t="s">
        <v>5</v>
      </c>
      <c r="C37091" s="4" t="s">
        <v>11</v>
      </c>
      <c r="D37091" s="4" t="s">
        <v>13</v>
      </c>
      <c r="E37091" s="4" t="s">
        <v>13</v>
      </c>
      <c r="F37091" s="4" t="s">
        <v>13</v>
      </c>
      <c r="G37091" s="4" t="s">
        <v>13</v>
      </c>
    </row>
    <row r="37092" spans="1:18">
      <c r="A37092" t="n">
        <v>365609</v>
      </c>
      <c r="B37092" s="36" t="n">
        <v>46</v>
      </c>
      <c r="C37092" s="7" t="n">
        <v>6</v>
      </c>
      <c r="D37092" s="7" t="n">
        <v>-7.28999996185303</v>
      </c>
      <c r="E37092" s="7" t="n">
        <v>5</v>
      </c>
      <c r="F37092" s="7" t="n">
        <v>29.7399997711182</v>
      </c>
      <c r="G37092" s="7" t="n">
        <v>83.9000015258789</v>
      </c>
    </row>
    <row r="37093" spans="1:18">
      <c r="A37093" t="s">
        <v>4</v>
      </c>
      <c r="B37093" s="4" t="s">
        <v>5</v>
      </c>
      <c r="C37093" s="4" t="s">
        <v>7</v>
      </c>
      <c r="D37093" s="4" t="s">
        <v>7</v>
      </c>
      <c r="E37093" s="4" t="s">
        <v>13</v>
      </c>
      <c r="F37093" s="4" t="s">
        <v>13</v>
      </c>
      <c r="G37093" s="4" t="s">
        <v>13</v>
      </c>
      <c r="H37093" s="4" t="s">
        <v>11</v>
      </c>
    </row>
    <row r="37094" spans="1:18">
      <c r="A37094" t="n">
        <v>365628</v>
      </c>
      <c r="B37094" s="51" t="n">
        <v>45</v>
      </c>
      <c r="C37094" s="7" t="n">
        <v>2</v>
      </c>
      <c r="D37094" s="7" t="n">
        <v>3</v>
      </c>
      <c r="E37094" s="7" t="n">
        <v>-6.92999982833862</v>
      </c>
      <c r="F37094" s="7" t="n">
        <v>6.44000005722046</v>
      </c>
      <c r="G37094" s="7" t="n">
        <v>29.8400001525879</v>
      </c>
      <c r="H37094" s="7" t="n">
        <v>0</v>
      </c>
    </row>
    <row r="37095" spans="1:18">
      <c r="A37095" t="s">
        <v>4</v>
      </c>
      <c r="B37095" s="4" t="s">
        <v>5</v>
      </c>
      <c r="C37095" s="4" t="s">
        <v>7</v>
      </c>
      <c r="D37095" s="4" t="s">
        <v>7</v>
      </c>
      <c r="E37095" s="4" t="s">
        <v>13</v>
      </c>
      <c r="F37095" s="4" t="s">
        <v>13</v>
      </c>
      <c r="G37095" s="4" t="s">
        <v>13</v>
      </c>
      <c r="H37095" s="4" t="s">
        <v>11</v>
      </c>
      <c r="I37095" s="4" t="s">
        <v>7</v>
      </c>
    </row>
    <row r="37096" spans="1:18">
      <c r="A37096" t="n">
        <v>365645</v>
      </c>
      <c r="B37096" s="51" t="n">
        <v>45</v>
      </c>
      <c r="C37096" s="7" t="n">
        <v>4</v>
      </c>
      <c r="D37096" s="7" t="n">
        <v>3</v>
      </c>
      <c r="E37096" s="7" t="n">
        <v>2.8199999332428</v>
      </c>
      <c r="F37096" s="7" t="n">
        <v>322.450012207031</v>
      </c>
      <c r="G37096" s="7" t="n">
        <v>354</v>
      </c>
      <c r="H37096" s="7" t="n">
        <v>0</v>
      </c>
      <c r="I37096" s="7" t="n">
        <v>0</v>
      </c>
    </row>
    <row r="37097" spans="1:18">
      <c r="A37097" t="s">
        <v>4</v>
      </c>
      <c r="B37097" s="4" t="s">
        <v>5</v>
      </c>
      <c r="C37097" s="4" t="s">
        <v>7</v>
      </c>
      <c r="D37097" s="4" t="s">
        <v>7</v>
      </c>
      <c r="E37097" s="4" t="s">
        <v>13</v>
      </c>
      <c r="F37097" s="4" t="s">
        <v>11</v>
      </c>
    </row>
    <row r="37098" spans="1:18">
      <c r="A37098" t="n">
        <v>365663</v>
      </c>
      <c r="B37098" s="51" t="n">
        <v>45</v>
      </c>
      <c r="C37098" s="7" t="n">
        <v>5</v>
      </c>
      <c r="D37098" s="7" t="n">
        <v>3</v>
      </c>
      <c r="E37098" s="7" t="n">
        <v>1.20000004768372</v>
      </c>
      <c r="F37098" s="7" t="n">
        <v>0</v>
      </c>
    </row>
    <row r="37099" spans="1:18">
      <c r="A37099" t="s">
        <v>4</v>
      </c>
      <c r="B37099" s="4" t="s">
        <v>5</v>
      </c>
      <c r="C37099" s="4" t="s">
        <v>7</v>
      </c>
      <c r="D37099" s="4" t="s">
        <v>7</v>
      </c>
      <c r="E37099" s="4" t="s">
        <v>13</v>
      </c>
      <c r="F37099" s="4" t="s">
        <v>11</v>
      </c>
    </row>
    <row r="37100" spans="1:18">
      <c r="A37100" t="n">
        <v>365672</v>
      </c>
      <c r="B37100" s="51" t="n">
        <v>45</v>
      </c>
      <c r="C37100" s="7" t="n">
        <v>11</v>
      </c>
      <c r="D37100" s="7" t="n">
        <v>3</v>
      </c>
      <c r="E37100" s="7" t="n">
        <v>40.2999992370605</v>
      </c>
      <c r="F37100" s="7" t="n">
        <v>0</v>
      </c>
    </row>
    <row r="37101" spans="1:18">
      <c r="A37101" t="s">
        <v>4</v>
      </c>
      <c r="B37101" s="4" t="s">
        <v>5</v>
      </c>
      <c r="C37101" s="4" t="s">
        <v>7</v>
      </c>
      <c r="D37101" s="4" t="s">
        <v>7</v>
      </c>
      <c r="E37101" s="4" t="s">
        <v>13</v>
      </c>
      <c r="F37101" s="4" t="s">
        <v>13</v>
      </c>
      <c r="G37101" s="4" t="s">
        <v>13</v>
      </c>
      <c r="H37101" s="4" t="s">
        <v>11</v>
      </c>
    </row>
    <row r="37102" spans="1:18">
      <c r="A37102" t="n">
        <v>365681</v>
      </c>
      <c r="B37102" s="51" t="n">
        <v>45</v>
      </c>
      <c r="C37102" s="7" t="n">
        <v>2</v>
      </c>
      <c r="D37102" s="7" t="n">
        <v>3</v>
      </c>
      <c r="E37102" s="7" t="n">
        <v>-6.88000011444092</v>
      </c>
      <c r="F37102" s="7" t="n">
        <v>6.48000001907349</v>
      </c>
      <c r="G37102" s="7" t="n">
        <v>29.7600002288818</v>
      </c>
      <c r="H37102" s="7" t="n">
        <v>4000</v>
      </c>
    </row>
    <row r="37103" spans="1:18">
      <c r="A37103" t="s">
        <v>4</v>
      </c>
      <c r="B37103" s="4" t="s">
        <v>5</v>
      </c>
      <c r="C37103" s="4" t="s">
        <v>7</v>
      </c>
      <c r="D37103" s="4" t="s">
        <v>7</v>
      </c>
      <c r="E37103" s="4" t="s">
        <v>13</v>
      </c>
      <c r="F37103" s="4" t="s">
        <v>13</v>
      </c>
      <c r="G37103" s="4" t="s">
        <v>13</v>
      </c>
      <c r="H37103" s="4" t="s">
        <v>11</v>
      </c>
      <c r="I37103" s="4" t="s">
        <v>7</v>
      </c>
    </row>
    <row r="37104" spans="1:18">
      <c r="A37104" t="n">
        <v>365698</v>
      </c>
      <c r="B37104" s="51" t="n">
        <v>45</v>
      </c>
      <c r="C37104" s="7" t="n">
        <v>4</v>
      </c>
      <c r="D37104" s="7" t="n">
        <v>3</v>
      </c>
      <c r="E37104" s="7" t="n">
        <v>8.09000015258789</v>
      </c>
      <c r="F37104" s="7" t="n">
        <v>44.4799995422363</v>
      </c>
      <c r="G37104" s="7" t="n">
        <v>354</v>
      </c>
      <c r="H37104" s="7" t="n">
        <v>4000</v>
      </c>
      <c r="I37104" s="7" t="n">
        <v>1</v>
      </c>
    </row>
    <row r="37105" spans="1:9">
      <c r="A37105" t="s">
        <v>4</v>
      </c>
      <c r="B37105" s="4" t="s">
        <v>5</v>
      </c>
      <c r="C37105" s="4" t="s">
        <v>7</v>
      </c>
      <c r="D37105" s="4" t="s">
        <v>7</v>
      </c>
      <c r="E37105" s="4" t="s">
        <v>13</v>
      </c>
      <c r="F37105" s="4" t="s">
        <v>11</v>
      </c>
    </row>
    <row r="37106" spans="1:9">
      <c r="A37106" t="n">
        <v>365716</v>
      </c>
      <c r="B37106" s="51" t="n">
        <v>45</v>
      </c>
      <c r="C37106" s="7" t="n">
        <v>5</v>
      </c>
      <c r="D37106" s="7" t="n">
        <v>3</v>
      </c>
      <c r="E37106" s="7" t="n">
        <v>0.899999976158142</v>
      </c>
      <c r="F37106" s="7" t="n">
        <v>4000</v>
      </c>
    </row>
    <row r="37107" spans="1:9">
      <c r="A37107" t="s">
        <v>4</v>
      </c>
      <c r="B37107" s="4" t="s">
        <v>5</v>
      </c>
      <c r="C37107" s="4" t="s">
        <v>11</v>
      </c>
      <c r="D37107" s="4" t="s">
        <v>15</v>
      </c>
    </row>
    <row r="37108" spans="1:9">
      <c r="A37108" t="n">
        <v>365725</v>
      </c>
      <c r="B37108" s="39" t="n">
        <v>43</v>
      </c>
      <c r="C37108" s="7" t="n">
        <v>0</v>
      </c>
      <c r="D37108" s="7" t="n">
        <v>256</v>
      </c>
    </row>
    <row r="37109" spans="1:9">
      <c r="A37109" t="s">
        <v>4</v>
      </c>
      <c r="B37109" s="4" t="s">
        <v>5</v>
      </c>
      <c r="C37109" s="4" t="s">
        <v>11</v>
      </c>
      <c r="D37109" s="4" t="s">
        <v>7</v>
      </c>
      <c r="E37109" s="4" t="s">
        <v>8</v>
      </c>
      <c r="F37109" s="4" t="s">
        <v>13</v>
      </c>
      <c r="G37109" s="4" t="s">
        <v>13</v>
      </c>
      <c r="H37109" s="4" t="s">
        <v>13</v>
      </c>
    </row>
    <row r="37110" spans="1:9">
      <c r="A37110" t="n">
        <v>365732</v>
      </c>
      <c r="B37110" s="42" t="n">
        <v>48</v>
      </c>
      <c r="C37110" s="7" t="n">
        <v>0</v>
      </c>
      <c r="D37110" s="7" t="n">
        <v>0</v>
      </c>
      <c r="E37110" s="7" t="s">
        <v>210</v>
      </c>
      <c r="F37110" s="7" t="n">
        <v>0</v>
      </c>
      <c r="G37110" s="7" t="n">
        <v>1</v>
      </c>
      <c r="H37110" s="7" t="n">
        <v>0</v>
      </c>
    </row>
    <row r="37111" spans="1:9">
      <c r="A37111" t="s">
        <v>4</v>
      </c>
      <c r="B37111" s="4" t="s">
        <v>5</v>
      </c>
      <c r="C37111" s="4" t="s">
        <v>11</v>
      </c>
      <c r="D37111" s="4" t="s">
        <v>7</v>
      </c>
      <c r="E37111" s="4" t="s">
        <v>8</v>
      </c>
      <c r="F37111" s="4" t="s">
        <v>13</v>
      </c>
      <c r="G37111" s="4" t="s">
        <v>13</v>
      </c>
      <c r="H37111" s="4" t="s">
        <v>13</v>
      </c>
    </row>
    <row r="37112" spans="1:9">
      <c r="A37112" t="n">
        <v>365757</v>
      </c>
      <c r="B37112" s="42" t="n">
        <v>48</v>
      </c>
      <c r="C37112" s="7" t="n">
        <v>6</v>
      </c>
      <c r="D37112" s="7" t="n">
        <v>0</v>
      </c>
      <c r="E37112" s="7" t="s">
        <v>210</v>
      </c>
      <c r="F37112" s="7" t="n">
        <v>0</v>
      </c>
      <c r="G37112" s="7" t="n">
        <v>1</v>
      </c>
      <c r="H37112" s="7" t="n">
        <v>0</v>
      </c>
    </row>
    <row r="37113" spans="1:9">
      <c r="A37113" t="s">
        <v>4</v>
      </c>
      <c r="B37113" s="4" t="s">
        <v>5</v>
      </c>
      <c r="C37113" s="4" t="s">
        <v>7</v>
      </c>
      <c r="D37113" s="4" t="s">
        <v>11</v>
      </c>
      <c r="E37113" s="4" t="s">
        <v>8</v>
      </c>
      <c r="F37113" s="4" t="s">
        <v>8</v>
      </c>
      <c r="G37113" s="4" t="s">
        <v>8</v>
      </c>
      <c r="H37113" s="4" t="s">
        <v>8</v>
      </c>
    </row>
    <row r="37114" spans="1:9">
      <c r="A37114" t="n">
        <v>365782</v>
      </c>
      <c r="B37114" s="38" t="n">
        <v>51</v>
      </c>
      <c r="C37114" s="7" t="n">
        <v>3</v>
      </c>
      <c r="D37114" s="7" t="n">
        <v>6</v>
      </c>
      <c r="E37114" s="7" t="s">
        <v>79</v>
      </c>
      <c r="F37114" s="7" t="s">
        <v>232</v>
      </c>
      <c r="G37114" s="7" t="s">
        <v>78</v>
      </c>
      <c r="H37114" s="7" t="s">
        <v>79</v>
      </c>
    </row>
    <row r="37115" spans="1:9">
      <c r="A37115" t="s">
        <v>4</v>
      </c>
      <c r="B37115" s="4" t="s">
        <v>5</v>
      </c>
      <c r="C37115" s="4" t="s">
        <v>7</v>
      </c>
      <c r="D37115" s="4" t="s">
        <v>11</v>
      </c>
      <c r="E37115" s="4" t="s">
        <v>8</v>
      </c>
      <c r="F37115" s="4" t="s">
        <v>8</v>
      </c>
      <c r="G37115" s="4" t="s">
        <v>8</v>
      </c>
      <c r="H37115" s="4" t="s">
        <v>8</v>
      </c>
    </row>
    <row r="37116" spans="1:9">
      <c r="A37116" t="n">
        <v>365795</v>
      </c>
      <c r="B37116" s="38" t="n">
        <v>51</v>
      </c>
      <c r="C37116" s="7" t="n">
        <v>3</v>
      </c>
      <c r="D37116" s="7" t="n">
        <v>0</v>
      </c>
      <c r="E37116" s="7" t="s">
        <v>79</v>
      </c>
      <c r="F37116" s="7" t="s">
        <v>99</v>
      </c>
      <c r="G37116" s="7" t="s">
        <v>78</v>
      </c>
      <c r="H37116" s="7" t="s">
        <v>79</v>
      </c>
    </row>
    <row r="37117" spans="1:9">
      <c r="A37117" t="s">
        <v>4</v>
      </c>
      <c r="B37117" s="4" t="s">
        <v>5</v>
      </c>
      <c r="C37117" s="4" t="s">
        <v>7</v>
      </c>
      <c r="D37117" s="4" t="s">
        <v>11</v>
      </c>
    </row>
    <row r="37118" spans="1:9">
      <c r="A37118" t="n">
        <v>365808</v>
      </c>
      <c r="B37118" s="23" t="n">
        <v>58</v>
      </c>
      <c r="C37118" s="7" t="n">
        <v>255</v>
      </c>
      <c r="D37118" s="7" t="n">
        <v>0</v>
      </c>
    </row>
    <row r="37119" spans="1:9">
      <c r="A37119" t="s">
        <v>4</v>
      </c>
      <c r="B37119" s="4" t="s">
        <v>5</v>
      </c>
      <c r="C37119" s="4" t="s">
        <v>11</v>
      </c>
    </row>
    <row r="37120" spans="1:9">
      <c r="A37120" t="n">
        <v>365812</v>
      </c>
      <c r="B37120" s="29" t="n">
        <v>16</v>
      </c>
      <c r="C37120" s="7" t="n">
        <v>1000</v>
      </c>
    </row>
    <row r="37121" spans="1:8">
      <c r="A37121" t="s">
        <v>4</v>
      </c>
      <c r="B37121" s="4" t="s">
        <v>5</v>
      </c>
      <c r="C37121" s="4" t="s">
        <v>11</v>
      </c>
      <c r="D37121" s="4" t="s">
        <v>7</v>
      </c>
      <c r="E37121" s="4" t="s">
        <v>8</v>
      </c>
      <c r="F37121" s="4" t="s">
        <v>13</v>
      </c>
      <c r="G37121" s="4" t="s">
        <v>13</v>
      </c>
      <c r="H37121" s="4" t="s">
        <v>13</v>
      </c>
    </row>
    <row r="37122" spans="1:8">
      <c r="A37122" t="n">
        <v>365815</v>
      </c>
      <c r="B37122" s="42" t="n">
        <v>48</v>
      </c>
      <c r="C37122" s="7" t="n">
        <v>0</v>
      </c>
      <c r="D37122" s="7" t="n">
        <v>0</v>
      </c>
      <c r="E37122" s="7" t="s">
        <v>1066</v>
      </c>
      <c r="F37122" s="7" t="n">
        <v>-1</v>
      </c>
      <c r="G37122" s="7" t="n">
        <v>1</v>
      </c>
      <c r="H37122" s="7" t="n">
        <v>0</v>
      </c>
    </row>
    <row r="37123" spans="1:8">
      <c r="A37123" t="s">
        <v>4</v>
      </c>
      <c r="B37123" s="4" t="s">
        <v>5</v>
      </c>
      <c r="C37123" s="4" t="s">
        <v>11</v>
      </c>
    </row>
    <row r="37124" spans="1:8">
      <c r="A37124" t="n">
        <v>365841</v>
      </c>
      <c r="B37124" s="29" t="n">
        <v>16</v>
      </c>
      <c r="C37124" s="7" t="n">
        <v>50</v>
      </c>
    </row>
    <row r="37125" spans="1:8">
      <c r="A37125" t="s">
        <v>4</v>
      </c>
      <c r="B37125" s="4" t="s">
        <v>5</v>
      </c>
      <c r="C37125" s="4" t="s">
        <v>11</v>
      </c>
      <c r="D37125" s="4" t="s">
        <v>7</v>
      </c>
      <c r="E37125" s="4" t="s">
        <v>8</v>
      </c>
      <c r="F37125" s="4" t="s">
        <v>13</v>
      </c>
      <c r="G37125" s="4" t="s">
        <v>13</v>
      </c>
      <c r="H37125" s="4" t="s">
        <v>13</v>
      </c>
    </row>
    <row r="37126" spans="1:8">
      <c r="A37126" t="n">
        <v>365844</v>
      </c>
      <c r="B37126" s="42" t="n">
        <v>48</v>
      </c>
      <c r="C37126" s="7" t="n">
        <v>6</v>
      </c>
      <c r="D37126" s="7" t="n">
        <v>0</v>
      </c>
      <c r="E37126" s="7" t="s">
        <v>1066</v>
      </c>
      <c r="F37126" s="7" t="n">
        <v>-1</v>
      </c>
      <c r="G37126" s="7" t="n">
        <v>1</v>
      </c>
      <c r="H37126" s="7" t="n">
        <v>0</v>
      </c>
    </row>
    <row r="37127" spans="1:8">
      <c r="A37127" t="s">
        <v>4</v>
      </c>
      <c r="B37127" s="4" t="s">
        <v>5</v>
      </c>
      <c r="C37127" s="4" t="s">
        <v>11</v>
      </c>
    </row>
    <row r="37128" spans="1:8">
      <c r="A37128" t="n">
        <v>365870</v>
      </c>
      <c r="B37128" s="29" t="n">
        <v>16</v>
      </c>
      <c r="C37128" s="7" t="n">
        <v>500</v>
      </c>
    </row>
    <row r="37129" spans="1:8">
      <c r="A37129" t="s">
        <v>4</v>
      </c>
      <c r="B37129" s="4" t="s">
        <v>5</v>
      </c>
      <c r="C37129" s="4" t="s">
        <v>7</v>
      </c>
      <c r="D37129" s="4" t="s">
        <v>11</v>
      </c>
      <c r="E37129" s="4" t="s">
        <v>13</v>
      </c>
      <c r="F37129" s="4" t="s">
        <v>11</v>
      </c>
      <c r="G37129" s="4" t="s">
        <v>15</v>
      </c>
      <c r="H37129" s="4" t="s">
        <v>15</v>
      </c>
      <c r="I37129" s="4" t="s">
        <v>11</v>
      </c>
      <c r="J37129" s="4" t="s">
        <v>11</v>
      </c>
      <c r="K37129" s="4" t="s">
        <v>15</v>
      </c>
      <c r="L37129" s="4" t="s">
        <v>15</v>
      </c>
      <c r="M37129" s="4" t="s">
        <v>15</v>
      </c>
      <c r="N37129" s="4" t="s">
        <v>15</v>
      </c>
      <c r="O37129" s="4" t="s">
        <v>8</v>
      </c>
    </row>
    <row r="37130" spans="1:8">
      <c r="A37130" t="n">
        <v>365873</v>
      </c>
      <c r="B37130" s="57" t="n">
        <v>50</v>
      </c>
      <c r="C37130" s="7" t="n">
        <v>0</v>
      </c>
      <c r="D37130" s="7" t="n">
        <v>2003</v>
      </c>
      <c r="E37130" s="7" t="n">
        <v>0.5</v>
      </c>
      <c r="F37130" s="7" t="n">
        <v>0</v>
      </c>
      <c r="G37130" s="7" t="n">
        <v>0</v>
      </c>
      <c r="H37130" s="7" t="n">
        <v>1082130432</v>
      </c>
      <c r="I37130" s="7" t="n">
        <v>0</v>
      </c>
      <c r="J37130" s="7" t="n">
        <v>65533</v>
      </c>
      <c r="K37130" s="7" t="n">
        <v>0</v>
      </c>
      <c r="L37130" s="7" t="n">
        <v>0</v>
      </c>
      <c r="M37130" s="7" t="n">
        <v>0</v>
      </c>
      <c r="N37130" s="7" t="n">
        <v>0</v>
      </c>
      <c r="O37130" s="7" t="s">
        <v>16</v>
      </c>
    </row>
    <row r="37131" spans="1:8">
      <c r="A37131" t="s">
        <v>4</v>
      </c>
      <c r="B37131" s="4" t="s">
        <v>5</v>
      </c>
      <c r="C37131" s="4" t="s">
        <v>7</v>
      </c>
      <c r="D37131" s="4" t="s">
        <v>11</v>
      </c>
      <c r="E37131" s="4" t="s">
        <v>13</v>
      </c>
      <c r="F37131" s="4" t="s">
        <v>11</v>
      </c>
      <c r="G37131" s="4" t="s">
        <v>15</v>
      </c>
      <c r="H37131" s="4" t="s">
        <v>15</v>
      </c>
      <c r="I37131" s="4" t="s">
        <v>11</v>
      </c>
      <c r="J37131" s="4" t="s">
        <v>11</v>
      </c>
      <c r="K37131" s="4" t="s">
        <v>15</v>
      </c>
      <c r="L37131" s="4" t="s">
        <v>15</v>
      </c>
      <c r="M37131" s="4" t="s">
        <v>15</v>
      </c>
      <c r="N37131" s="4" t="s">
        <v>15</v>
      </c>
      <c r="O37131" s="4" t="s">
        <v>8</v>
      </c>
    </row>
    <row r="37132" spans="1:8">
      <c r="A37132" t="n">
        <v>365912</v>
      </c>
      <c r="B37132" s="57" t="n">
        <v>50</v>
      </c>
      <c r="C37132" s="7" t="n">
        <v>0</v>
      </c>
      <c r="D37132" s="7" t="n">
        <v>4272</v>
      </c>
      <c r="E37132" s="7" t="n">
        <v>0.5</v>
      </c>
      <c r="F37132" s="7" t="n">
        <v>0</v>
      </c>
      <c r="G37132" s="7" t="n">
        <v>0</v>
      </c>
      <c r="H37132" s="7" t="n">
        <v>1084227584</v>
      </c>
      <c r="I37132" s="7" t="n">
        <v>0</v>
      </c>
      <c r="J37132" s="7" t="n">
        <v>65533</v>
      </c>
      <c r="K37132" s="7" t="n">
        <v>0</v>
      </c>
      <c r="L37132" s="7" t="n">
        <v>0</v>
      </c>
      <c r="M37132" s="7" t="n">
        <v>0</v>
      </c>
      <c r="N37132" s="7" t="n">
        <v>0</v>
      </c>
      <c r="O37132" s="7" t="s">
        <v>16</v>
      </c>
    </row>
    <row r="37133" spans="1:8">
      <c r="A37133" t="s">
        <v>4</v>
      </c>
      <c r="B37133" s="4" t="s">
        <v>5</v>
      </c>
      <c r="C37133" s="4" t="s">
        <v>7</v>
      </c>
      <c r="D37133" s="4" t="s">
        <v>13</v>
      </c>
      <c r="E37133" s="4" t="s">
        <v>13</v>
      </c>
      <c r="F37133" s="4" t="s">
        <v>13</v>
      </c>
    </row>
    <row r="37134" spans="1:8">
      <c r="A37134" t="n">
        <v>365951</v>
      </c>
      <c r="B37134" s="51" t="n">
        <v>45</v>
      </c>
      <c r="C37134" s="7" t="n">
        <v>9</v>
      </c>
      <c r="D37134" s="7" t="n">
        <v>0.00999999977648258</v>
      </c>
      <c r="E37134" s="7" t="n">
        <v>0.00999999977648258</v>
      </c>
      <c r="F37134" s="7" t="n">
        <v>0.300000011920929</v>
      </c>
    </row>
    <row r="37135" spans="1:8">
      <c r="A37135" t="s">
        <v>4</v>
      </c>
      <c r="B37135" s="4" t="s">
        <v>5</v>
      </c>
      <c r="C37135" s="4" t="s">
        <v>7</v>
      </c>
      <c r="D37135" s="4" t="s">
        <v>11</v>
      </c>
    </row>
    <row r="37136" spans="1:8">
      <c r="A37136" t="n">
        <v>365965</v>
      </c>
      <c r="B37136" s="51" t="n">
        <v>45</v>
      </c>
      <c r="C37136" s="7" t="n">
        <v>7</v>
      </c>
      <c r="D37136" s="7" t="n">
        <v>255</v>
      </c>
    </row>
    <row r="37137" spans="1:15">
      <c r="A37137" t="s">
        <v>4</v>
      </c>
      <c r="B37137" s="4" t="s">
        <v>5</v>
      </c>
      <c r="C37137" s="4" t="s">
        <v>7</v>
      </c>
      <c r="D37137" s="4" t="s">
        <v>7</v>
      </c>
      <c r="E37137" s="4" t="s">
        <v>13</v>
      </c>
      <c r="F37137" s="4" t="s">
        <v>13</v>
      </c>
      <c r="G37137" s="4" t="s">
        <v>13</v>
      </c>
      <c r="H37137" s="4" t="s">
        <v>11</v>
      </c>
    </row>
    <row r="37138" spans="1:15">
      <c r="A37138" t="n">
        <v>365969</v>
      </c>
      <c r="B37138" s="51" t="n">
        <v>45</v>
      </c>
      <c r="C37138" s="7" t="n">
        <v>2</v>
      </c>
      <c r="D37138" s="7" t="n">
        <v>3</v>
      </c>
      <c r="E37138" s="7" t="n">
        <v>-6.88000011444092</v>
      </c>
      <c r="F37138" s="7" t="n">
        <v>6.5</v>
      </c>
      <c r="G37138" s="7" t="n">
        <v>29.7600002288818</v>
      </c>
      <c r="H37138" s="7" t="n">
        <v>40000</v>
      </c>
    </row>
    <row r="37139" spans="1:15">
      <c r="A37139" t="s">
        <v>4</v>
      </c>
      <c r="B37139" s="4" t="s">
        <v>5</v>
      </c>
      <c r="C37139" s="4" t="s">
        <v>7</v>
      </c>
      <c r="D37139" s="4" t="s">
        <v>7</v>
      </c>
      <c r="E37139" s="4" t="s">
        <v>13</v>
      </c>
      <c r="F37139" s="4" t="s">
        <v>13</v>
      </c>
      <c r="G37139" s="4" t="s">
        <v>13</v>
      </c>
      <c r="H37139" s="4" t="s">
        <v>11</v>
      </c>
      <c r="I37139" s="4" t="s">
        <v>7</v>
      </c>
    </row>
    <row r="37140" spans="1:15">
      <c r="A37140" t="n">
        <v>365986</v>
      </c>
      <c r="B37140" s="51" t="n">
        <v>45</v>
      </c>
      <c r="C37140" s="7" t="n">
        <v>4</v>
      </c>
      <c r="D37140" s="7" t="n">
        <v>3</v>
      </c>
      <c r="E37140" s="7" t="n">
        <v>11.2600002288818</v>
      </c>
      <c r="F37140" s="7" t="n">
        <v>52.6300010681152</v>
      </c>
      <c r="G37140" s="7" t="n">
        <v>354</v>
      </c>
      <c r="H37140" s="7" t="n">
        <v>40000</v>
      </c>
      <c r="I37140" s="7" t="n">
        <v>1</v>
      </c>
    </row>
    <row r="37141" spans="1:15">
      <c r="A37141" t="s">
        <v>4</v>
      </c>
      <c r="B37141" s="4" t="s">
        <v>5</v>
      </c>
      <c r="C37141" s="4" t="s">
        <v>7</v>
      </c>
      <c r="D37141" s="4" t="s">
        <v>11</v>
      </c>
      <c r="E37141" s="4" t="s">
        <v>8</v>
      </c>
    </row>
    <row r="37142" spans="1:15">
      <c r="A37142" t="n">
        <v>366004</v>
      </c>
      <c r="B37142" s="38" t="n">
        <v>51</v>
      </c>
      <c r="C37142" s="7" t="n">
        <v>4</v>
      </c>
      <c r="D37142" s="7" t="n">
        <v>0</v>
      </c>
      <c r="E37142" s="7" t="s">
        <v>285</v>
      </c>
    </row>
    <row r="37143" spans="1:15">
      <c r="A37143" t="s">
        <v>4</v>
      </c>
      <c r="B37143" s="4" t="s">
        <v>5</v>
      </c>
      <c r="C37143" s="4" t="s">
        <v>11</v>
      </c>
    </row>
    <row r="37144" spans="1:15">
      <c r="A37144" t="n">
        <v>366017</v>
      </c>
      <c r="B37144" s="29" t="n">
        <v>16</v>
      </c>
      <c r="C37144" s="7" t="n">
        <v>0</v>
      </c>
    </row>
    <row r="37145" spans="1:15">
      <c r="A37145" t="s">
        <v>4</v>
      </c>
      <c r="B37145" s="4" t="s">
        <v>5</v>
      </c>
      <c r="C37145" s="4" t="s">
        <v>11</v>
      </c>
      <c r="D37145" s="4" t="s">
        <v>7</v>
      </c>
      <c r="E37145" s="4" t="s">
        <v>15</v>
      </c>
      <c r="F37145" s="4" t="s">
        <v>55</v>
      </c>
      <c r="G37145" s="4" t="s">
        <v>7</v>
      </c>
      <c r="H37145" s="4" t="s">
        <v>7</v>
      </c>
      <c r="I37145" s="4" t="s">
        <v>7</v>
      </c>
      <c r="J37145" s="4" t="s">
        <v>15</v>
      </c>
      <c r="K37145" s="4" t="s">
        <v>55</v>
      </c>
      <c r="L37145" s="4" t="s">
        <v>7</v>
      </c>
      <c r="M37145" s="4" t="s">
        <v>7</v>
      </c>
    </row>
    <row r="37146" spans="1:15">
      <c r="A37146" t="n">
        <v>366020</v>
      </c>
      <c r="B37146" s="55" t="n">
        <v>26</v>
      </c>
      <c r="C37146" s="7" t="n">
        <v>0</v>
      </c>
      <c r="D37146" s="7" t="n">
        <v>17</v>
      </c>
      <c r="E37146" s="7" t="n">
        <v>64209</v>
      </c>
      <c r="F37146" s="7" t="s">
        <v>1123</v>
      </c>
      <c r="G37146" s="7" t="n">
        <v>2</v>
      </c>
      <c r="H37146" s="7" t="n">
        <v>3</v>
      </c>
      <c r="I37146" s="7" t="n">
        <v>17</v>
      </c>
      <c r="J37146" s="7" t="n">
        <v>64210</v>
      </c>
      <c r="K37146" s="7" t="s">
        <v>1124</v>
      </c>
      <c r="L37146" s="7" t="n">
        <v>2</v>
      </c>
      <c r="M37146" s="7" t="n">
        <v>0</v>
      </c>
    </row>
    <row r="37147" spans="1:15">
      <c r="A37147" t="s">
        <v>4</v>
      </c>
      <c r="B37147" s="4" t="s">
        <v>5</v>
      </c>
    </row>
    <row r="37148" spans="1:15">
      <c r="A37148" t="n">
        <v>366139</v>
      </c>
      <c r="B37148" s="27" t="n">
        <v>28</v>
      </c>
    </row>
    <row r="37149" spans="1:15">
      <c r="A37149" t="s">
        <v>4</v>
      </c>
      <c r="B37149" s="4" t="s">
        <v>5</v>
      </c>
      <c r="C37149" s="4" t="s">
        <v>7</v>
      </c>
      <c r="D37149" s="4" t="s">
        <v>11</v>
      </c>
      <c r="E37149" s="4" t="s">
        <v>8</v>
      </c>
    </row>
    <row r="37150" spans="1:15">
      <c r="A37150" t="n">
        <v>366140</v>
      </c>
      <c r="B37150" s="38" t="n">
        <v>51</v>
      </c>
      <c r="C37150" s="7" t="n">
        <v>4</v>
      </c>
      <c r="D37150" s="7" t="n">
        <v>6</v>
      </c>
      <c r="E37150" s="7" t="s">
        <v>247</v>
      </c>
    </row>
    <row r="37151" spans="1:15">
      <c r="A37151" t="s">
        <v>4</v>
      </c>
      <c r="B37151" s="4" t="s">
        <v>5</v>
      </c>
      <c r="C37151" s="4" t="s">
        <v>11</v>
      </c>
    </row>
    <row r="37152" spans="1:15">
      <c r="A37152" t="n">
        <v>366154</v>
      </c>
      <c r="B37152" s="29" t="n">
        <v>16</v>
      </c>
      <c r="C37152" s="7" t="n">
        <v>0</v>
      </c>
    </row>
    <row r="37153" spans="1:13">
      <c r="A37153" t="s">
        <v>4</v>
      </c>
      <c r="B37153" s="4" t="s">
        <v>5</v>
      </c>
      <c r="C37153" s="4" t="s">
        <v>11</v>
      </c>
      <c r="D37153" s="4" t="s">
        <v>7</v>
      </c>
      <c r="E37153" s="4" t="s">
        <v>15</v>
      </c>
      <c r="F37153" s="4" t="s">
        <v>55</v>
      </c>
      <c r="G37153" s="4" t="s">
        <v>7</v>
      </c>
      <c r="H37153" s="4" t="s">
        <v>7</v>
      </c>
      <c r="I37153" s="4" t="s">
        <v>7</v>
      </c>
      <c r="J37153" s="4" t="s">
        <v>15</v>
      </c>
      <c r="K37153" s="4" t="s">
        <v>55</v>
      </c>
      <c r="L37153" s="4" t="s">
        <v>7</v>
      </c>
      <c r="M37153" s="4" t="s">
        <v>7</v>
      </c>
    </row>
    <row r="37154" spans="1:13">
      <c r="A37154" t="n">
        <v>366157</v>
      </c>
      <c r="B37154" s="55" t="n">
        <v>26</v>
      </c>
      <c r="C37154" s="7" t="n">
        <v>6</v>
      </c>
      <c r="D37154" s="7" t="n">
        <v>17</v>
      </c>
      <c r="E37154" s="7" t="n">
        <v>8817</v>
      </c>
      <c r="F37154" s="7" t="s">
        <v>1125</v>
      </c>
      <c r="G37154" s="7" t="n">
        <v>2</v>
      </c>
      <c r="H37154" s="7" t="n">
        <v>3</v>
      </c>
      <c r="I37154" s="7" t="n">
        <v>17</v>
      </c>
      <c r="J37154" s="7" t="n">
        <v>8818</v>
      </c>
      <c r="K37154" s="7" t="s">
        <v>1126</v>
      </c>
      <c r="L37154" s="7" t="n">
        <v>2</v>
      </c>
      <c r="M37154" s="7" t="n">
        <v>0</v>
      </c>
    </row>
    <row r="37155" spans="1:13">
      <c r="A37155" t="s">
        <v>4</v>
      </c>
      <c r="B37155" s="4" t="s">
        <v>5</v>
      </c>
    </row>
    <row r="37156" spans="1:13">
      <c r="A37156" t="n">
        <v>366256</v>
      </c>
      <c r="B37156" s="27" t="n">
        <v>28</v>
      </c>
    </row>
    <row r="37157" spans="1:13">
      <c r="A37157" t="s">
        <v>4</v>
      </c>
      <c r="B37157" s="4" t="s">
        <v>5</v>
      </c>
      <c r="C37157" s="4" t="s">
        <v>11</v>
      </c>
      <c r="D37157" s="4" t="s">
        <v>7</v>
      </c>
    </row>
    <row r="37158" spans="1:13">
      <c r="A37158" t="n">
        <v>366257</v>
      </c>
      <c r="B37158" s="68" t="n">
        <v>89</v>
      </c>
      <c r="C37158" s="7" t="n">
        <v>65533</v>
      </c>
      <c r="D37158" s="7" t="n">
        <v>1</v>
      </c>
    </row>
    <row r="37159" spans="1:13">
      <c r="A37159" t="s">
        <v>4</v>
      </c>
      <c r="B37159" s="4" t="s">
        <v>5</v>
      </c>
      <c r="C37159" s="4" t="s">
        <v>11</v>
      </c>
    </row>
    <row r="37160" spans="1:13">
      <c r="A37160" t="n">
        <v>366261</v>
      </c>
      <c r="B37160" s="29" t="n">
        <v>16</v>
      </c>
      <c r="C37160" s="7" t="n">
        <v>1000</v>
      </c>
    </row>
    <row r="37161" spans="1:13">
      <c r="A37161" t="s">
        <v>4</v>
      </c>
      <c r="B37161" s="4" t="s">
        <v>5</v>
      </c>
      <c r="C37161" s="4" t="s">
        <v>7</v>
      </c>
      <c r="D37161" s="4" t="s">
        <v>13</v>
      </c>
      <c r="E37161" s="4" t="s">
        <v>11</v>
      </c>
      <c r="F37161" s="4" t="s">
        <v>7</v>
      </c>
    </row>
    <row r="37162" spans="1:13">
      <c r="A37162" t="n">
        <v>366264</v>
      </c>
      <c r="B37162" s="13" t="n">
        <v>49</v>
      </c>
      <c r="C37162" s="7" t="n">
        <v>3</v>
      </c>
      <c r="D37162" s="7" t="n">
        <v>1</v>
      </c>
      <c r="E37162" s="7" t="n">
        <v>1000</v>
      </c>
      <c r="F37162" s="7" t="n">
        <v>0</v>
      </c>
    </row>
    <row r="37163" spans="1:13">
      <c r="A37163" t="s">
        <v>4</v>
      </c>
      <c r="B37163" s="4" t="s">
        <v>5</v>
      </c>
      <c r="C37163" s="4" t="s">
        <v>7</v>
      </c>
      <c r="D37163" s="4" t="s">
        <v>11</v>
      </c>
      <c r="E37163" s="4" t="s">
        <v>13</v>
      </c>
    </row>
    <row r="37164" spans="1:13">
      <c r="A37164" t="n">
        <v>366273</v>
      </c>
      <c r="B37164" s="23" t="n">
        <v>58</v>
      </c>
      <c r="C37164" s="7" t="n">
        <v>101</v>
      </c>
      <c r="D37164" s="7" t="n">
        <v>1000</v>
      </c>
      <c r="E37164" s="7" t="n">
        <v>1</v>
      </c>
    </row>
    <row r="37165" spans="1:13">
      <c r="A37165" t="s">
        <v>4</v>
      </c>
      <c r="B37165" s="4" t="s">
        <v>5</v>
      </c>
      <c r="C37165" s="4" t="s">
        <v>7</v>
      </c>
      <c r="D37165" s="4" t="s">
        <v>11</v>
      </c>
    </row>
    <row r="37166" spans="1:13">
      <c r="A37166" t="n">
        <v>366281</v>
      </c>
      <c r="B37166" s="23" t="n">
        <v>58</v>
      </c>
      <c r="C37166" s="7" t="n">
        <v>254</v>
      </c>
      <c r="D37166" s="7" t="n">
        <v>0</v>
      </c>
    </row>
    <row r="37167" spans="1:13">
      <c r="A37167" t="s">
        <v>4</v>
      </c>
      <c r="B37167" s="4" t="s">
        <v>5</v>
      </c>
      <c r="C37167" s="4" t="s">
        <v>7</v>
      </c>
    </row>
    <row r="37168" spans="1:13">
      <c r="A37168" t="n">
        <v>366285</v>
      </c>
      <c r="B37168" s="49" t="n">
        <v>116</v>
      </c>
      <c r="C37168" s="7" t="n">
        <v>0</v>
      </c>
    </row>
    <row r="37169" spans="1:13">
      <c r="A37169" t="s">
        <v>4</v>
      </c>
      <c r="B37169" s="4" t="s">
        <v>5</v>
      </c>
      <c r="C37169" s="4" t="s">
        <v>7</v>
      </c>
      <c r="D37169" s="4" t="s">
        <v>11</v>
      </c>
    </row>
    <row r="37170" spans="1:13">
      <c r="A37170" t="n">
        <v>366287</v>
      </c>
      <c r="B37170" s="49" t="n">
        <v>116</v>
      </c>
      <c r="C37170" s="7" t="n">
        <v>2</v>
      </c>
      <c r="D37170" s="7" t="n">
        <v>1</v>
      </c>
    </row>
    <row r="37171" spans="1:13">
      <c r="A37171" t="s">
        <v>4</v>
      </c>
      <c r="B37171" s="4" t="s">
        <v>5</v>
      </c>
      <c r="C37171" s="4" t="s">
        <v>7</v>
      </c>
      <c r="D37171" s="4" t="s">
        <v>15</v>
      </c>
    </row>
    <row r="37172" spans="1:13">
      <c r="A37172" t="n">
        <v>366291</v>
      </c>
      <c r="B37172" s="49" t="n">
        <v>116</v>
      </c>
      <c r="C37172" s="7" t="n">
        <v>5</v>
      </c>
      <c r="D37172" s="7" t="n">
        <v>1092616192</v>
      </c>
    </row>
    <row r="37173" spans="1:13">
      <c r="A37173" t="s">
        <v>4</v>
      </c>
      <c r="B37173" s="4" t="s">
        <v>5</v>
      </c>
      <c r="C37173" s="4" t="s">
        <v>7</v>
      </c>
      <c r="D37173" s="4" t="s">
        <v>11</v>
      </c>
    </row>
    <row r="37174" spans="1:13">
      <c r="A37174" t="n">
        <v>366297</v>
      </c>
      <c r="B37174" s="49" t="n">
        <v>116</v>
      </c>
      <c r="C37174" s="7" t="n">
        <v>6</v>
      </c>
      <c r="D37174" s="7" t="n">
        <v>1</v>
      </c>
    </row>
    <row r="37175" spans="1:13">
      <c r="A37175" t="s">
        <v>4</v>
      </c>
      <c r="B37175" s="4" t="s">
        <v>5</v>
      </c>
      <c r="C37175" s="4" t="s">
        <v>7</v>
      </c>
      <c r="D37175" s="4" t="s">
        <v>7</v>
      </c>
      <c r="E37175" s="4" t="s">
        <v>13</v>
      </c>
      <c r="F37175" s="4" t="s">
        <v>13</v>
      </c>
      <c r="G37175" s="4" t="s">
        <v>13</v>
      </c>
      <c r="H37175" s="4" t="s">
        <v>11</v>
      </c>
    </row>
    <row r="37176" spans="1:13">
      <c r="A37176" t="n">
        <v>366301</v>
      </c>
      <c r="B37176" s="51" t="n">
        <v>45</v>
      </c>
      <c r="C37176" s="7" t="n">
        <v>2</v>
      </c>
      <c r="D37176" s="7" t="n">
        <v>3</v>
      </c>
      <c r="E37176" s="7" t="n">
        <v>-6.67000007629395</v>
      </c>
      <c r="F37176" s="7" t="n">
        <v>6.42000007629395</v>
      </c>
      <c r="G37176" s="7" t="n">
        <v>29.8899993896484</v>
      </c>
      <c r="H37176" s="7" t="n">
        <v>0</v>
      </c>
    </row>
    <row r="37177" spans="1:13">
      <c r="A37177" t="s">
        <v>4</v>
      </c>
      <c r="B37177" s="4" t="s">
        <v>5</v>
      </c>
      <c r="C37177" s="4" t="s">
        <v>7</v>
      </c>
      <c r="D37177" s="4" t="s">
        <v>7</v>
      </c>
      <c r="E37177" s="4" t="s">
        <v>13</v>
      </c>
      <c r="F37177" s="4" t="s">
        <v>13</v>
      </c>
      <c r="G37177" s="4" t="s">
        <v>13</v>
      </c>
      <c r="H37177" s="4" t="s">
        <v>11</v>
      </c>
      <c r="I37177" s="4" t="s">
        <v>7</v>
      </c>
    </row>
    <row r="37178" spans="1:13">
      <c r="A37178" t="n">
        <v>366318</v>
      </c>
      <c r="B37178" s="51" t="n">
        <v>45</v>
      </c>
      <c r="C37178" s="7" t="n">
        <v>4</v>
      </c>
      <c r="D37178" s="7" t="n">
        <v>3</v>
      </c>
      <c r="E37178" s="7" t="n">
        <v>15.4700002670288</v>
      </c>
      <c r="F37178" s="7" t="n">
        <v>56.1100006103516</v>
      </c>
      <c r="G37178" s="7" t="n">
        <v>354</v>
      </c>
      <c r="H37178" s="7" t="n">
        <v>0</v>
      </c>
      <c r="I37178" s="7" t="n">
        <v>0</v>
      </c>
    </row>
    <row r="37179" spans="1:13">
      <c r="A37179" t="s">
        <v>4</v>
      </c>
      <c r="B37179" s="4" t="s">
        <v>5</v>
      </c>
      <c r="C37179" s="4" t="s">
        <v>7</v>
      </c>
      <c r="D37179" s="4" t="s">
        <v>7</v>
      </c>
      <c r="E37179" s="4" t="s">
        <v>13</v>
      </c>
      <c r="F37179" s="4" t="s">
        <v>11</v>
      </c>
    </row>
    <row r="37180" spans="1:13">
      <c r="A37180" t="n">
        <v>366336</v>
      </c>
      <c r="B37180" s="51" t="n">
        <v>45</v>
      </c>
      <c r="C37180" s="7" t="n">
        <v>5</v>
      </c>
      <c r="D37180" s="7" t="n">
        <v>3</v>
      </c>
      <c r="E37180" s="7" t="n">
        <v>1.5</v>
      </c>
      <c r="F37180" s="7" t="n">
        <v>0</v>
      </c>
    </row>
    <row r="37181" spans="1:13">
      <c r="A37181" t="s">
        <v>4</v>
      </c>
      <c r="B37181" s="4" t="s">
        <v>5</v>
      </c>
      <c r="C37181" s="4" t="s">
        <v>7</v>
      </c>
      <c r="D37181" s="4" t="s">
        <v>7</v>
      </c>
      <c r="E37181" s="4" t="s">
        <v>13</v>
      </c>
      <c r="F37181" s="4" t="s">
        <v>11</v>
      </c>
    </row>
    <row r="37182" spans="1:13">
      <c r="A37182" t="n">
        <v>366345</v>
      </c>
      <c r="B37182" s="51" t="n">
        <v>45</v>
      </c>
      <c r="C37182" s="7" t="n">
        <v>11</v>
      </c>
      <c r="D37182" s="7" t="n">
        <v>3</v>
      </c>
      <c r="E37182" s="7" t="n">
        <v>40.2999992370605</v>
      </c>
      <c r="F37182" s="7" t="n">
        <v>0</v>
      </c>
    </row>
    <row r="37183" spans="1:13">
      <c r="A37183" t="s">
        <v>4</v>
      </c>
      <c r="B37183" s="4" t="s">
        <v>5</v>
      </c>
      <c r="C37183" s="4" t="s">
        <v>7</v>
      </c>
      <c r="D37183" s="4" t="s">
        <v>7</v>
      </c>
      <c r="E37183" s="4" t="s">
        <v>13</v>
      </c>
      <c r="F37183" s="4" t="s">
        <v>13</v>
      </c>
      <c r="G37183" s="4" t="s">
        <v>13</v>
      </c>
      <c r="H37183" s="4" t="s">
        <v>11</v>
      </c>
    </row>
    <row r="37184" spans="1:13">
      <c r="A37184" t="n">
        <v>366354</v>
      </c>
      <c r="B37184" s="51" t="n">
        <v>45</v>
      </c>
      <c r="C37184" s="7" t="n">
        <v>2</v>
      </c>
      <c r="D37184" s="7" t="n">
        <v>3</v>
      </c>
      <c r="E37184" s="7" t="n">
        <v>-6.34000015258789</v>
      </c>
      <c r="F37184" s="7" t="n">
        <v>6.59000015258789</v>
      </c>
      <c r="G37184" s="7" t="n">
        <v>28.8899993896484</v>
      </c>
      <c r="H37184" s="7" t="n">
        <v>6000</v>
      </c>
    </row>
    <row r="37185" spans="1:9">
      <c r="A37185" t="s">
        <v>4</v>
      </c>
      <c r="B37185" s="4" t="s">
        <v>5</v>
      </c>
      <c r="C37185" s="4" t="s">
        <v>7</v>
      </c>
      <c r="D37185" s="4" t="s">
        <v>7</v>
      </c>
      <c r="E37185" s="4" t="s">
        <v>13</v>
      </c>
      <c r="F37185" s="4" t="s">
        <v>13</v>
      </c>
      <c r="G37185" s="4" t="s">
        <v>13</v>
      </c>
      <c r="H37185" s="4" t="s">
        <v>11</v>
      </c>
      <c r="I37185" s="4" t="s">
        <v>7</v>
      </c>
    </row>
    <row r="37186" spans="1:9">
      <c r="A37186" t="n">
        <v>366371</v>
      </c>
      <c r="B37186" s="51" t="n">
        <v>45</v>
      </c>
      <c r="C37186" s="7" t="n">
        <v>4</v>
      </c>
      <c r="D37186" s="7" t="n">
        <v>3</v>
      </c>
      <c r="E37186" s="7" t="n">
        <v>10.7700004577637</v>
      </c>
      <c r="F37186" s="7" t="n">
        <v>43.6100006103516</v>
      </c>
      <c r="G37186" s="7" t="n">
        <v>360</v>
      </c>
      <c r="H37186" s="7" t="n">
        <v>6000</v>
      </c>
      <c r="I37186" s="7" t="n">
        <v>1</v>
      </c>
    </row>
    <row r="37187" spans="1:9">
      <c r="A37187" t="s">
        <v>4</v>
      </c>
      <c r="B37187" s="4" t="s">
        <v>5</v>
      </c>
      <c r="C37187" s="4" t="s">
        <v>7</v>
      </c>
      <c r="D37187" s="4" t="s">
        <v>11</v>
      </c>
    </row>
    <row r="37188" spans="1:9">
      <c r="A37188" t="n">
        <v>366389</v>
      </c>
      <c r="B37188" s="23" t="n">
        <v>58</v>
      </c>
      <c r="C37188" s="7" t="n">
        <v>255</v>
      </c>
      <c r="D37188" s="7" t="n">
        <v>0</v>
      </c>
    </row>
    <row r="37189" spans="1:9">
      <c r="A37189" t="s">
        <v>4</v>
      </c>
      <c r="B37189" s="4" t="s">
        <v>5</v>
      </c>
      <c r="C37189" s="4" t="s">
        <v>7</v>
      </c>
      <c r="D37189" s="4" t="s">
        <v>11</v>
      </c>
    </row>
    <row r="37190" spans="1:9">
      <c r="A37190" t="n">
        <v>366393</v>
      </c>
      <c r="B37190" s="51" t="n">
        <v>45</v>
      </c>
      <c r="C37190" s="7" t="n">
        <v>7</v>
      </c>
      <c r="D37190" s="7" t="n">
        <v>255</v>
      </c>
    </row>
    <row r="37191" spans="1:9">
      <c r="A37191" t="s">
        <v>4</v>
      </c>
      <c r="B37191" s="4" t="s">
        <v>5</v>
      </c>
      <c r="C37191" s="4" t="s">
        <v>7</v>
      </c>
      <c r="D37191" s="4" t="s">
        <v>11</v>
      </c>
      <c r="E37191" s="4" t="s">
        <v>13</v>
      </c>
    </row>
    <row r="37192" spans="1:9">
      <c r="A37192" t="n">
        <v>366397</v>
      </c>
      <c r="B37192" s="23" t="n">
        <v>58</v>
      </c>
      <c r="C37192" s="7" t="n">
        <v>0</v>
      </c>
      <c r="D37192" s="7" t="n">
        <v>2000</v>
      </c>
      <c r="E37192" s="7" t="n">
        <v>1</v>
      </c>
    </row>
    <row r="37193" spans="1:9">
      <c r="A37193" t="s">
        <v>4</v>
      </c>
      <c r="B37193" s="4" t="s">
        <v>5</v>
      </c>
      <c r="C37193" s="4" t="s">
        <v>7</v>
      </c>
      <c r="D37193" s="4" t="s">
        <v>11</v>
      </c>
    </row>
    <row r="37194" spans="1:9">
      <c r="A37194" t="n">
        <v>366405</v>
      </c>
      <c r="B37194" s="23" t="n">
        <v>58</v>
      </c>
      <c r="C37194" s="7" t="n">
        <v>255</v>
      </c>
      <c r="D37194" s="7" t="n">
        <v>0</v>
      </c>
    </row>
    <row r="37195" spans="1:9">
      <c r="A37195" t="s">
        <v>4</v>
      </c>
      <c r="B37195" s="4" t="s">
        <v>5</v>
      </c>
      <c r="C37195" s="4" t="s">
        <v>7</v>
      </c>
      <c r="D37195" s="4" t="s">
        <v>11</v>
      </c>
      <c r="E37195" s="4" t="s">
        <v>11</v>
      </c>
      <c r="F37195" s="4" t="s">
        <v>15</v>
      </c>
    </row>
    <row r="37196" spans="1:9">
      <c r="A37196" t="n">
        <v>366409</v>
      </c>
      <c r="B37196" s="76" t="n">
        <v>84</v>
      </c>
      <c r="C37196" s="7" t="n">
        <v>1</v>
      </c>
      <c r="D37196" s="7" t="n">
        <v>0</v>
      </c>
      <c r="E37196" s="7" t="n">
        <v>0</v>
      </c>
      <c r="F37196" s="7" t="n">
        <v>0</v>
      </c>
    </row>
    <row r="37197" spans="1:9">
      <c r="A37197" t="s">
        <v>4</v>
      </c>
      <c r="B37197" s="4" t="s">
        <v>5</v>
      </c>
      <c r="C37197" s="4" t="s">
        <v>7</v>
      </c>
    </row>
    <row r="37198" spans="1:9">
      <c r="A37198" t="n">
        <v>366419</v>
      </c>
      <c r="B37198" s="28" t="n">
        <v>78</v>
      </c>
      <c r="C37198" s="7" t="n">
        <v>255</v>
      </c>
    </row>
    <row r="37199" spans="1:9">
      <c r="A37199" t="s">
        <v>4</v>
      </c>
      <c r="B37199" s="4" t="s">
        <v>5</v>
      </c>
      <c r="C37199" s="4" t="s">
        <v>7</v>
      </c>
      <c r="D37199" s="4" t="s">
        <v>11</v>
      </c>
      <c r="E37199" s="4" t="s">
        <v>7</v>
      </c>
    </row>
    <row r="37200" spans="1:9">
      <c r="A37200" t="n">
        <v>366421</v>
      </c>
      <c r="B37200" s="40" t="n">
        <v>36</v>
      </c>
      <c r="C37200" s="7" t="n">
        <v>9</v>
      </c>
      <c r="D37200" s="7" t="n">
        <v>0</v>
      </c>
      <c r="E37200" s="7" t="n">
        <v>0</v>
      </c>
    </row>
    <row r="37201" spans="1:9">
      <c r="A37201" t="s">
        <v>4</v>
      </c>
      <c r="B37201" s="4" t="s">
        <v>5</v>
      </c>
      <c r="C37201" s="4" t="s">
        <v>7</v>
      </c>
      <c r="D37201" s="4" t="s">
        <v>11</v>
      </c>
      <c r="E37201" s="4" t="s">
        <v>7</v>
      </c>
    </row>
    <row r="37202" spans="1:9">
      <c r="A37202" t="n">
        <v>366426</v>
      </c>
      <c r="B37202" s="40" t="n">
        <v>36</v>
      </c>
      <c r="C37202" s="7" t="n">
        <v>9</v>
      </c>
      <c r="D37202" s="7" t="n">
        <v>6</v>
      </c>
      <c r="E37202" s="7" t="n">
        <v>0</v>
      </c>
    </row>
    <row r="37203" spans="1:9">
      <c r="A37203" t="s">
        <v>4</v>
      </c>
      <c r="B37203" s="4" t="s">
        <v>5</v>
      </c>
      <c r="C37203" s="4" t="s">
        <v>7</v>
      </c>
      <c r="D37203" s="4" t="s">
        <v>11</v>
      </c>
      <c r="E37203" s="4" t="s">
        <v>11</v>
      </c>
      <c r="F37203" s="4" t="s">
        <v>15</v>
      </c>
      <c r="G37203" s="4" t="s">
        <v>15</v>
      </c>
      <c r="H37203" s="4" t="s">
        <v>15</v>
      </c>
    </row>
    <row r="37204" spans="1:9">
      <c r="A37204" t="n">
        <v>366431</v>
      </c>
      <c r="B37204" s="77" t="n">
        <v>97</v>
      </c>
      <c r="C37204" s="7" t="n">
        <v>7</v>
      </c>
      <c r="D37204" s="7" t="n">
        <v>0</v>
      </c>
      <c r="E37204" s="7" t="n">
        <v>0</v>
      </c>
      <c r="F37204" s="7" t="n">
        <v>0</v>
      </c>
      <c r="G37204" s="7" t="n">
        <v>0</v>
      </c>
      <c r="H37204" s="7" t="n">
        <v>0</v>
      </c>
    </row>
    <row r="37205" spans="1:9">
      <c r="A37205" t="s">
        <v>4</v>
      </c>
      <c r="B37205" s="4" t="s">
        <v>5</v>
      </c>
      <c r="C37205" s="4" t="s">
        <v>11</v>
      </c>
      <c r="D37205" s="4" t="s">
        <v>15</v>
      </c>
    </row>
    <row r="37206" spans="1:9">
      <c r="A37206" t="n">
        <v>366449</v>
      </c>
      <c r="B37206" s="63" t="n">
        <v>44</v>
      </c>
      <c r="C37206" s="7" t="n">
        <v>0</v>
      </c>
      <c r="D37206" s="7" t="n">
        <v>256</v>
      </c>
    </row>
    <row r="37207" spans="1:9">
      <c r="A37207" t="s">
        <v>4</v>
      </c>
      <c r="B37207" s="4" t="s">
        <v>5</v>
      </c>
      <c r="C37207" s="4" t="s">
        <v>11</v>
      </c>
      <c r="D37207" s="4" t="s">
        <v>13</v>
      </c>
      <c r="E37207" s="4" t="s">
        <v>13</v>
      </c>
      <c r="F37207" s="4" t="s">
        <v>13</v>
      </c>
      <c r="G37207" s="4" t="s">
        <v>13</v>
      </c>
    </row>
    <row r="37208" spans="1:9">
      <c r="A37208" t="n">
        <v>366456</v>
      </c>
      <c r="B37208" s="36" t="n">
        <v>46</v>
      </c>
      <c r="C37208" s="7" t="n">
        <v>61456</v>
      </c>
      <c r="D37208" s="7" t="n">
        <v>0</v>
      </c>
      <c r="E37208" s="7" t="n">
        <v>0</v>
      </c>
      <c r="F37208" s="7" t="n">
        <v>0</v>
      </c>
      <c r="G37208" s="7" t="n">
        <v>0</v>
      </c>
    </row>
    <row r="37209" spans="1:9">
      <c r="A37209" t="s">
        <v>4</v>
      </c>
      <c r="B37209" s="4" t="s">
        <v>5</v>
      </c>
      <c r="C37209" s="4" t="s">
        <v>7</v>
      </c>
      <c r="D37209" s="4" t="s">
        <v>8</v>
      </c>
    </row>
    <row r="37210" spans="1:9">
      <c r="A37210" t="n">
        <v>366475</v>
      </c>
      <c r="B37210" s="6" t="n">
        <v>2</v>
      </c>
      <c r="C37210" s="7" t="n">
        <v>10</v>
      </c>
      <c r="D37210" s="7" t="s">
        <v>1834</v>
      </c>
    </row>
    <row r="37211" spans="1:9">
      <c r="A37211" t="s">
        <v>4</v>
      </c>
      <c r="B37211" s="4" t="s">
        <v>5</v>
      </c>
    </row>
    <row r="37212" spans="1:9">
      <c r="A37212" t="n">
        <v>366496</v>
      </c>
      <c r="B37212" s="5" t="n">
        <v>1</v>
      </c>
    </row>
    <row r="37213" spans="1:9" s="3" customFormat="1" customHeight="0">
      <c r="A37213" s="3" t="s">
        <v>2</v>
      </c>
      <c r="B37213" s="3" t="s">
        <v>1854</v>
      </c>
    </row>
    <row r="37214" spans="1:9">
      <c r="A37214" t="s">
        <v>4</v>
      </c>
      <c r="B37214" s="4" t="s">
        <v>5</v>
      </c>
      <c r="C37214" s="4" t="s">
        <v>7</v>
      </c>
      <c r="D37214" s="4" t="s">
        <v>7</v>
      </c>
      <c r="E37214" s="4" t="s">
        <v>7</v>
      </c>
      <c r="F37214" s="4" t="s">
        <v>7</v>
      </c>
    </row>
    <row r="37215" spans="1:9">
      <c r="A37215" t="n">
        <v>366500</v>
      </c>
      <c r="B37215" s="9" t="n">
        <v>14</v>
      </c>
      <c r="C37215" s="7" t="n">
        <v>2</v>
      </c>
      <c r="D37215" s="7" t="n">
        <v>0</v>
      </c>
      <c r="E37215" s="7" t="n">
        <v>0</v>
      </c>
      <c r="F37215" s="7" t="n">
        <v>0</v>
      </c>
    </row>
    <row r="37216" spans="1:9">
      <c r="A37216" t="s">
        <v>4</v>
      </c>
      <c r="B37216" s="4" t="s">
        <v>5</v>
      </c>
      <c r="C37216" s="4" t="s">
        <v>7</v>
      </c>
      <c r="D37216" s="20" t="s">
        <v>35</v>
      </c>
      <c r="E37216" s="4" t="s">
        <v>5</v>
      </c>
      <c r="F37216" s="4" t="s">
        <v>7</v>
      </c>
      <c r="G37216" s="4" t="s">
        <v>11</v>
      </c>
      <c r="H37216" s="20" t="s">
        <v>36</v>
      </c>
      <c r="I37216" s="4" t="s">
        <v>7</v>
      </c>
      <c r="J37216" s="4" t="s">
        <v>15</v>
      </c>
      <c r="K37216" s="4" t="s">
        <v>7</v>
      </c>
      <c r="L37216" s="4" t="s">
        <v>7</v>
      </c>
      <c r="M37216" s="20" t="s">
        <v>35</v>
      </c>
      <c r="N37216" s="4" t="s">
        <v>5</v>
      </c>
      <c r="O37216" s="4" t="s">
        <v>7</v>
      </c>
      <c r="P37216" s="4" t="s">
        <v>11</v>
      </c>
      <c r="Q37216" s="20" t="s">
        <v>36</v>
      </c>
      <c r="R37216" s="4" t="s">
        <v>7</v>
      </c>
      <c r="S37216" s="4" t="s">
        <v>15</v>
      </c>
      <c r="T37216" s="4" t="s">
        <v>7</v>
      </c>
      <c r="U37216" s="4" t="s">
        <v>7</v>
      </c>
      <c r="V37216" s="4" t="s">
        <v>7</v>
      </c>
      <c r="W37216" s="4" t="s">
        <v>12</v>
      </c>
    </row>
    <row r="37217" spans="1:23">
      <c r="A37217" t="n">
        <v>366505</v>
      </c>
      <c r="B37217" s="10" t="n">
        <v>5</v>
      </c>
      <c r="C37217" s="7" t="n">
        <v>28</v>
      </c>
      <c r="D37217" s="20" t="s">
        <v>3</v>
      </c>
      <c r="E37217" s="8" t="n">
        <v>162</v>
      </c>
      <c r="F37217" s="7" t="n">
        <v>3</v>
      </c>
      <c r="G37217" s="7" t="n">
        <v>36882</v>
      </c>
      <c r="H37217" s="20" t="s">
        <v>3</v>
      </c>
      <c r="I37217" s="7" t="n">
        <v>0</v>
      </c>
      <c r="J37217" s="7" t="n">
        <v>1</v>
      </c>
      <c r="K37217" s="7" t="n">
        <v>2</v>
      </c>
      <c r="L37217" s="7" t="n">
        <v>28</v>
      </c>
      <c r="M37217" s="20" t="s">
        <v>3</v>
      </c>
      <c r="N37217" s="8" t="n">
        <v>162</v>
      </c>
      <c r="O37217" s="7" t="n">
        <v>3</v>
      </c>
      <c r="P37217" s="7" t="n">
        <v>36882</v>
      </c>
      <c r="Q37217" s="20" t="s">
        <v>3</v>
      </c>
      <c r="R37217" s="7" t="n">
        <v>0</v>
      </c>
      <c r="S37217" s="7" t="n">
        <v>2</v>
      </c>
      <c r="T37217" s="7" t="n">
        <v>2</v>
      </c>
      <c r="U37217" s="7" t="n">
        <v>11</v>
      </c>
      <c r="V37217" s="7" t="n">
        <v>1</v>
      </c>
      <c r="W37217" s="11" t="n">
        <f t="normal" ca="1">A37221</f>
        <v>0</v>
      </c>
    </row>
    <row r="37218" spans="1:23">
      <c r="A37218" t="s">
        <v>4</v>
      </c>
      <c r="B37218" s="4" t="s">
        <v>5</v>
      </c>
      <c r="C37218" s="4" t="s">
        <v>7</v>
      </c>
      <c r="D37218" s="4" t="s">
        <v>11</v>
      </c>
      <c r="E37218" s="4" t="s">
        <v>13</v>
      </c>
    </row>
    <row r="37219" spans="1:23">
      <c r="A37219" t="n">
        <v>366534</v>
      </c>
      <c r="B37219" s="23" t="n">
        <v>58</v>
      </c>
      <c r="C37219" s="7" t="n">
        <v>0</v>
      </c>
      <c r="D37219" s="7" t="n">
        <v>0</v>
      </c>
      <c r="E37219" s="7" t="n">
        <v>1</v>
      </c>
    </row>
    <row r="37220" spans="1:23">
      <c r="A37220" t="s">
        <v>4</v>
      </c>
      <c r="B37220" s="4" t="s">
        <v>5</v>
      </c>
      <c r="C37220" s="4" t="s">
        <v>7</v>
      </c>
      <c r="D37220" s="20" t="s">
        <v>35</v>
      </c>
      <c r="E37220" s="4" t="s">
        <v>5</v>
      </c>
      <c r="F37220" s="4" t="s">
        <v>7</v>
      </c>
      <c r="G37220" s="4" t="s">
        <v>11</v>
      </c>
      <c r="H37220" s="20" t="s">
        <v>36</v>
      </c>
      <c r="I37220" s="4" t="s">
        <v>7</v>
      </c>
      <c r="J37220" s="4" t="s">
        <v>15</v>
      </c>
      <c r="K37220" s="4" t="s">
        <v>7</v>
      </c>
      <c r="L37220" s="4" t="s">
        <v>7</v>
      </c>
      <c r="M37220" s="20" t="s">
        <v>35</v>
      </c>
      <c r="N37220" s="4" t="s">
        <v>5</v>
      </c>
      <c r="O37220" s="4" t="s">
        <v>7</v>
      </c>
      <c r="P37220" s="4" t="s">
        <v>11</v>
      </c>
      <c r="Q37220" s="20" t="s">
        <v>36</v>
      </c>
      <c r="R37220" s="4" t="s">
        <v>7</v>
      </c>
      <c r="S37220" s="4" t="s">
        <v>15</v>
      </c>
      <c r="T37220" s="4" t="s">
        <v>7</v>
      </c>
      <c r="U37220" s="4" t="s">
        <v>7</v>
      </c>
      <c r="V37220" s="4" t="s">
        <v>7</v>
      </c>
      <c r="W37220" s="4" t="s">
        <v>12</v>
      </c>
    </row>
    <row r="37221" spans="1:23">
      <c r="A37221" t="n">
        <v>366542</v>
      </c>
      <c r="B37221" s="10" t="n">
        <v>5</v>
      </c>
      <c r="C37221" s="7" t="n">
        <v>28</v>
      </c>
      <c r="D37221" s="20" t="s">
        <v>3</v>
      </c>
      <c r="E37221" s="8" t="n">
        <v>162</v>
      </c>
      <c r="F37221" s="7" t="n">
        <v>3</v>
      </c>
      <c r="G37221" s="7" t="n">
        <v>36882</v>
      </c>
      <c r="H37221" s="20" t="s">
        <v>3</v>
      </c>
      <c r="I37221" s="7" t="n">
        <v>0</v>
      </c>
      <c r="J37221" s="7" t="n">
        <v>1</v>
      </c>
      <c r="K37221" s="7" t="n">
        <v>3</v>
      </c>
      <c r="L37221" s="7" t="n">
        <v>28</v>
      </c>
      <c r="M37221" s="20" t="s">
        <v>3</v>
      </c>
      <c r="N37221" s="8" t="n">
        <v>162</v>
      </c>
      <c r="O37221" s="7" t="n">
        <v>3</v>
      </c>
      <c r="P37221" s="7" t="n">
        <v>36882</v>
      </c>
      <c r="Q37221" s="20" t="s">
        <v>3</v>
      </c>
      <c r="R37221" s="7" t="n">
        <v>0</v>
      </c>
      <c r="S37221" s="7" t="n">
        <v>2</v>
      </c>
      <c r="T37221" s="7" t="n">
        <v>3</v>
      </c>
      <c r="U37221" s="7" t="n">
        <v>9</v>
      </c>
      <c r="V37221" s="7" t="n">
        <v>1</v>
      </c>
      <c r="W37221" s="11" t="n">
        <f t="normal" ca="1">A37231</f>
        <v>0</v>
      </c>
    </row>
    <row r="37222" spans="1:23">
      <c r="A37222" t="s">
        <v>4</v>
      </c>
      <c r="B37222" s="4" t="s">
        <v>5</v>
      </c>
      <c r="C37222" s="4" t="s">
        <v>7</v>
      </c>
      <c r="D37222" s="20" t="s">
        <v>35</v>
      </c>
      <c r="E37222" s="4" t="s">
        <v>5</v>
      </c>
      <c r="F37222" s="4" t="s">
        <v>11</v>
      </c>
      <c r="G37222" s="4" t="s">
        <v>7</v>
      </c>
      <c r="H37222" s="4" t="s">
        <v>7</v>
      </c>
      <c r="I37222" s="4" t="s">
        <v>8</v>
      </c>
      <c r="J37222" s="20" t="s">
        <v>36</v>
      </c>
      <c r="K37222" s="4" t="s">
        <v>7</v>
      </c>
      <c r="L37222" s="4" t="s">
        <v>7</v>
      </c>
      <c r="M37222" s="20" t="s">
        <v>35</v>
      </c>
      <c r="N37222" s="4" t="s">
        <v>5</v>
      </c>
      <c r="O37222" s="4" t="s">
        <v>7</v>
      </c>
      <c r="P37222" s="20" t="s">
        <v>36</v>
      </c>
      <c r="Q37222" s="4" t="s">
        <v>7</v>
      </c>
      <c r="R37222" s="4" t="s">
        <v>15</v>
      </c>
      <c r="S37222" s="4" t="s">
        <v>7</v>
      </c>
      <c r="T37222" s="4" t="s">
        <v>7</v>
      </c>
      <c r="U37222" s="4" t="s">
        <v>7</v>
      </c>
      <c r="V37222" s="20" t="s">
        <v>35</v>
      </c>
      <c r="W37222" s="4" t="s">
        <v>5</v>
      </c>
      <c r="X37222" s="4" t="s">
        <v>7</v>
      </c>
      <c r="Y37222" s="20" t="s">
        <v>36</v>
      </c>
      <c r="Z37222" s="4" t="s">
        <v>7</v>
      </c>
      <c r="AA37222" s="4" t="s">
        <v>15</v>
      </c>
      <c r="AB37222" s="4" t="s">
        <v>7</v>
      </c>
      <c r="AC37222" s="4" t="s">
        <v>7</v>
      </c>
      <c r="AD37222" s="4" t="s">
        <v>7</v>
      </c>
      <c r="AE37222" s="4" t="s">
        <v>12</v>
      </c>
    </row>
    <row r="37223" spans="1:23">
      <c r="A37223" t="n">
        <v>366571</v>
      </c>
      <c r="B37223" s="10" t="n">
        <v>5</v>
      </c>
      <c r="C37223" s="7" t="n">
        <v>28</v>
      </c>
      <c r="D37223" s="20" t="s">
        <v>3</v>
      </c>
      <c r="E37223" s="41" t="n">
        <v>47</v>
      </c>
      <c r="F37223" s="7" t="n">
        <v>61456</v>
      </c>
      <c r="G37223" s="7" t="n">
        <v>2</v>
      </c>
      <c r="H37223" s="7" t="n">
        <v>0</v>
      </c>
      <c r="I37223" s="7" t="s">
        <v>105</v>
      </c>
      <c r="J37223" s="20" t="s">
        <v>3</v>
      </c>
      <c r="K37223" s="7" t="n">
        <v>8</v>
      </c>
      <c r="L37223" s="7" t="n">
        <v>28</v>
      </c>
      <c r="M37223" s="20" t="s">
        <v>3</v>
      </c>
      <c r="N37223" s="45" t="n">
        <v>74</v>
      </c>
      <c r="O37223" s="7" t="n">
        <v>65</v>
      </c>
      <c r="P37223" s="20" t="s">
        <v>3</v>
      </c>
      <c r="Q37223" s="7" t="n">
        <v>0</v>
      </c>
      <c r="R37223" s="7" t="n">
        <v>1</v>
      </c>
      <c r="S37223" s="7" t="n">
        <v>3</v>
      </c>
      <c r="T37223" s="7" t="n">
        <v>9</v>
      </c>
      <c r="U37223" s="7" t="n">
        <v>28</v>
      </c>
      <c r="V37223" s="20" t="s">
        <v>3</v>
      </c>
      <c r="W37223" s="45" t="n">
        <v>74</v>
      </c>
      <c r="X37223" s="7" t="n">
        <v>65</v>
      </c>
      <c r="Y37223" s="20" t="s">
        <v>3</v>
      </c>
      <c r="Z37223" s="7" t="n">
        <v>0</v>
      </c>
      <c r="AA37223" s="7" t="n">
        <v>2</v>
      </c>
      <c r="AB37223" s="7" t="n">
        <v>3</v>
      </c>
      <c r="AC37223" s="7" t="n">
        <v>9</v>
      </c>
      <c r="AD37223" s="7" t="n">
        <v>1</v>
      </c>
      <c r="AE37223" s="11" t="n">
        <f t="normal" ca="1">A37227</f>
        <v>0</v>
      </c>
    </row>
    <row r="37224" spans="1:23">
      <c r="A37224" t="s">
        <v>4</v>
      </c>
      <c r="B37224" s="4" t="s">
        <v>5</v>
      </c>
      <c r="C37224" s="4" t="s">
        <v>11</v>
      </c>
      <c r="D37224" s="4" t="s">
        <v>7</v>
      </c>
      <c r="E37224" s="4" t="s">
        <v>7</v>
      </c>
      <c r="F37224" s="4" t="s">
        <v>8</v>
      </c>
    </row>
    <row r="37225" spans="1:23">
      <c r="A37225" t="n">
        <v>366619</v>
      </c>
      <c r="B37225" s="41" t="n">
        <v>47</v>
      </c>
      <c r="C37225" s="7" t="n">
        <v>61456</v>
      </c>
      <c r="D37225" s="7" t="n">
        <v>0</v>
      </c>
      <c r="E37225" s="7" t="n">
        <v>0</v>
      </c>
      <c r="F37225" s="7" t="s">
        <v>106</v>
      </c>
    </row>
    <row r="37226" spans="1:23">
      <c r="A37226" t="s">
        <v>4</v>
      </c>
      <c r="B37226" s="4" t="s">
        <v>5</v>
      </c>
      <c r="C37226" s="4" t="s">
        <v>7</v>
      </c>
      <c r="D37226" s="4" t="s">
        <v>11</v>
      </c>
      <c r="E37226" s="4" t="s">
        <v>13</v>
      </c>
    </row>
    <row r="37227" spans="1:23">
      <c r="A37227" t="n">
        <v>366632</v>
      </c>
      <c r="B37227" s="23" t="n">
        <v>58</v>
      </c>
      <c r="C37227" s="7" t="n">
        <v>0</v>
      </c>
      <c r="D37227" s="7" t="n">
        <v>300</v>
      </c>
      <c r="E37227" s="7" t="n">
        <v>1</v>
      </c>
    </row>
    <row r="37228" spans="1:23">
      <c r="A37228" t="s">
        <v>4</v>
      </c>
      <c r="B37228" s="4" t="s">
        <v>5</v>
      </c>
      <c r="C37228" s="4" t="s">
        <v>7</v>
      </c>
      <c r="D37228" s="4" t="s">
        <v>11</v>
      </c>
    </row>
    <row r="37229" spans="1:23">
      <c r="A37229" t="n">
        <v>366640</v>
      </c>
      <c r="B37229" s="23" t="n">
        <v>58</v>
      </c>
      <c r="C37229" s="7" t="n">
        <v>255</v>
      </c>
      <c r="D37229" s="7" t="n">
        <v>0</v>
      </c>
    </row>
    <row r="37230" spans="1:23">
      <c r="A37230" t="s">
        <v>4</v>
      </c>
      <c r="B37230" s="4" t="s">
        <v>5</v>
      </c>
      <c r="C37230" s="4" t="s">
        <v>7</v>
      </c>
      <c r="D37230" s="4" t="s">
        <v>7</v>
      </c>
      <c r="E37230" s="4" t="s">
        <v>7</v>
      </c>
      <c r="F37230" s="4" t="s">
        <v>7</v>
      </c>
    </row>
    <row r="37231" spans="1:23">
      <c r="A37231" t="n">
        <v>366644</v>
      </c>
      <c r="B37231" s="9" t="n">
        <v>14</v>
      </c>
      <c r="C37231" s="7" t="n">
        <v>0</v>
      </c>
      <c r="D37231" s="7" t="n">
        <v>0</v>
      </c>
      <c r="E37231" s="7" t="n">
        <v>0</v>
      </c>
      <c r="F37231" s="7" t="n">
        <v>64</v>
      </c>
    </row>
    <row r="37232" spans="1:23">
      <c r="A37232" t="s">
        <v>4</v>
      </c>
      <c r="B37232" s="4" t="s">
        <v>5</v>
      </c>
      <c r="C37232" s="4" t="s">
        <v>7</v>
      </c>
      <c r="D37232" s="4" t="s">
        <v>11</v>
      </c>
    </row>
    <row r="37233" spans="1:31">
      <c r="A37233" t="n">
        <v>366649</v>
      </c>
      <c r="B37233" s="22" t="n">
        <v>22</v>
      </c>
      <c r="C37233" s="7" t="n">
        <v>0</v>
      </c>
      <c r="D37233" s="7" t="n">
        <v>36882</v>
      </c>
    </row>
    <row r="37234" spans="1:31">
      <c r="A37234" t="s">
        <v>4</v>
      </c>
      <c r="B37234" s="4" t="s">
        <v>5</v>
      </c>
      <c r="C37234" s="4" t="s">
        <v>7</v>
      </c>
      <c r="D37234" s="4" t="s">
        <v>11</v>
      </c>
    </row>
    <row r="37235" spans="1:31">
      <c r="A37235" t="n">
        <v>366653</v>
      </c>
      <c r="B37235" s="23" t="n">
        <v>58</v>
      </c>
      <c r="C37235" s="7" t="n">
        <v>5</v>
      </c>
      <c r="D37235" s="7" t="n">
        <v>300</v>
      </c>
    </row>
    <row r="37236" spans="1:31">
      <c r="A37236" t="s">
        <v>4</v>
      </c>
      <c r="B37236" s="4" t="s">
        <v>5</v>
      </c>
      <c r="C37236" s="4" t="s">
        <v>13</v>
      </c>
      <c r="D37236" s="4" t="s">
        <v>11</v>
      </c>
    </row>
    <row r="37237" spans="1:31">
      <c r="A37237" t="n">
        <v>366657</v>
      </c>
      <c r="B37237" s="46" t="n">
        <v>103</v>
      </c>
      <c r="C37237" s="7" t="n">
        <v>0</v>
      </c>
      <c r="D37237" s="7" t="n">
        <v>300</v>
      </c>
    </row>
    <row r="37238" spans="1:31">
      <c r="A37238" t="s">
        <v>4</v>
      </c>
      <c r="B37238" s="4" t="s">
        <v>5</v>
      </c>
      <c r="C37238" s="4" t="s">
        <v>7</v>
      </c>
    </row>
    <row r="37239" spans="1:31">
      <c r="A37239" t="n">
        <v>366664</v>
      </c>
      <c r="B37239" s="47" t="n">
        <v>64</v>
      </c>
      <c r="C37239" s="7" t="n">
        <v>7</v>
      </c>
    </row>
    <row r="37240" spans="1:31">
      <c r="A37240" t="s">
        <v>4</v>
      </c>
      <c r="B37240" s="4" t="s">
        <v>5</v>
      </c>
      <c r="C37240" s="4" t="s">
        <v>7</v>
      </c>
      <c r="D37240" s="4" t="s">
        <v>11</v>
      </c>
    </row>
    <row r="37241" spans="1:31">
      <c r="A37241" t="n">
        <v>366666</v>
      </c>
      <c r="B37241" s="48" t="n">
        <v>72</v>
      </c>
      <c r="C37241" s="7" t="n">
        <v>5</v>
      </c>
      <c r="D37241" s="7" t="n">
        <v>0</v>
      </c>
    </row>
    <row r="37242" spans="1:31">
      <c r="A37242" t="s">
        <v>4</v>
      </c>
      <c r="B37242" s="4" t="s">
        <v>5</v>
      </c>
      <c r="C37242" s="4" t="s">
        <v>7</v>
      </c>
      <c r="D37242" s="20" t="s">
        <v>35</v>
      </c>
      <c r="E37242" s="4" t="s">
        <v>5</v>
      </c>
      <c r="F37242" s="4" t="s">
        <v>7</v>
      </c>
      <c r="G37242" s="4" t="s">
        <v>11</v>
      </c>
      <c r="H37242" s="20" t="s">
        <v>36</v>
      </c>
      <c r="I37242" s="4" t="s">
        <v>7</v>
      </c>
      <c r="J37242" s="4" t="s">
        <v>15</v>
      </c>
      <c r="K37242" s="4" t="s">
        <v>7</v>
      </c>
      <c r="L37242" s="4" t="s">
        <v>7</v>
      </c>
      <c r="M37242" s="4" t="s">
        <v>12</v>
      </c>
    </row>
    <row r="37243" spans="1:31">
      <c r="A37243" t="n">
        <v>366670</v>
      </c>
      <c r="B37243" s="10" t="n">
        <v>5</v>
      </c>
      <c r="C37243" s="7" t="n">
        <v>28</v>
      </c>
      <c r="D37243" s="20" t="s">
        <v>3</v>
      </c>
      <c r="E37243" s="8" t="n">
        <v>162</v>
      </c>
      <c r="F37243" s="7" t="n">
        <v>4</v>
      </c>
      <c r="G37243" s="7" t="n">
        <v>36882</v>
      </c>
      <c r="H37243" s="20" t="s">
        <v>3</v>
      </c>
      <c r="I37243" s="7" t="n">
        <v>0</v>
      </c>
      <c r="J37243" s="7" t="n">
        <v>1</v>
      </c>
      <c r="K37243" s="7" t="n">
        <v>2</v>
      </c>
      <c r="L37243" s="7" t="n">
        <v>1</v>
      </c>
      <c r="M37243" s="11" t="n">
        <f t="normal" ca="1">A37249</f>
        <v>0</v>
      </c>
    </row>
    <row r="37244" spans="1:31">
      <c r="A37244" t="s">
        <v>4</v>
      </c>
      <c r="B37244" s="4" t="s">
        <v>5</v>
      </c>
      <c r="C37244" s="4" t="s">
        <v>7</v>
      </c>
      <c r="D37244" s="4" t="s">
        <v>8</v>
      </c>
    </row>
    <row r="37245" spans="1:31">
      <c r="A37245" t="n">
        <v>366687</v>
      </c>
      <c r="B37245" s="6" t="n">
        <v>2</v>
      </c>
      <c r="C37245" s="7" t="n">
        <v>10</v>
      </c>
      <c r="D37245" s="7" t="s">
        <v>107</v>
      </c>
    </row>
    <row r="37246" spans="1:31">
      <c r="A37246" t="s">
        <v>4</v>
      </c>
      <c r="B37246" s="4" t="s">
        <v>5</v>
      </c>
      <c r="C37246" s="4" t="s">
        <v>11</v>
      </c>
    </row>
    <row r="37247" spans="1:31">
      <c r="A37247" t="n">
        <v>366704</v>
      </c>
      <c r="B37247" s="29" t="n">
        <v>16</v>
      </c>
      <c r="C37247" s="7" t="n">
        <v>0</v>
      </c>
    </row>
    <row r="37248" spans="1:31">
      <c r="A37248" t="s">
        <v>4</v>
      </c>
      <c r="B37248" s="4" t="s">
        <v>5</v>
      </c>
      <c r="C37248" s="4" t="s">
        <v>7</v>
      </c>
      <c r="D37248" s="4" t="s">
        <v>11</v>
      </c>
      <c r="E37248" s="4" t="s">
        <v>15</v>
      </c>
      <c r="F37248" s="4" t="s">
        <v>11</v>
      </c>
      <c r="G37248" s="4" t="s">
        <v>15</v>
      </c>
      <c r="H37248" s="4" t="s">
        <v>7</v>
      </c>
    </row>
    <row r="37249" spans="1:13">
      <c r="A37249" t="n">
        <v>366707</v>
      </c>
      <c r="B37249" s="13" t="n">
        <v>49</v>
      </c>
      <c r="C37249" s="7" t="n">
        <v>0</v>
      </c>
      <c r="D37249" s="7" t="n">
        <v>501</v>
      </c>
      <c r="E37249" s="7" t="n">
        <v>1065353216</v>
      </c>
      <c r="F37249" s="7" t="n">
        <v>0</v>
      </c>
      <c r="G37249" s="7" t="n">
        <v>0</v>
      </c>
      <c r="H37249" s="7" t="n">
        <v>0</v>
      </c>
    </row>
    <row r="37250" spans="1:13">
      <c r="A37250" t="s">
        <v>4</v>
      </c>
      <c r="B37250" s="4" t="s">
        <v>5</v>
      </c>
      <c r="C37250" s="4" t="s">
        <v>11</v>
      </c>
      <c r="D37250" s="4" t="s">
        <v>8</v>
      </c>
      <c r="E37250" s="4" t="s">
        <v>8</v>
      </c>
      <c r="F37250" s="4" t="s">
        <v>8</v>
      </c>
      <c r="G37250" s="4" t="s">
        <v>7</v>
      </c>
      <c r="H37250" s="4" t="s">
        <v>15</v>
      </c>
      <c r="I37250" s="4" t="s">
        <v>13</v>
      </c>
      <c r="J37250" s="4" t="s">
        <v>13</v>
      </c>
      <c r="K37250" s="4" t="s">
        <v>13</v>
      </c>
      <c r="L37250" s="4" t="s">
        <v>13</v>
      </c>
      <c r="M37250" s="4" t="s">
        <v>13</v>
      </c>
      <c r="N37250" s="4" t="s">
        <v>13</v>
      </c>
      <c r="O37250" s="4" t="s">
        <v>13</v>
      </c>
      <c r="P37250" s="4" t="s">
        <v>8</v>
      </c>
      <c r="Q37250" s="4" t="s">
        <v>8</v>
      </c>
      <c r="R37250" s="4" t="s">
        <v>15</v>
      </c>
      <c r="S37250" s="4" t="s">
        <v>7</v>
      </c>
      <c r="T37250" s="4" t="s">
        <v>15</v>
      </c>
      <c r="U37250" s="4" t="s">
        <v>15</v>
      </c>
      <c r="V37250" s="4" t="s">
        <v>11</v>
      </c>
    </row>
    <row r="37251" spans="1:13">
      <c r="A37251" t="n">
        <v>366722</v>
      </c>
      <c r="B37251" s="62" t="n">
        <v>19</v>
      </c>
      <c r="C37251" s="7" t="n">
        <v>6</v>
      </c>
      <c r="D37251" s="7" t="s">
        <v>1064</v>
      </c>
      <c r="E37251" s="7" t="s">
        <v>1065</v>
      </c>
      <c r="F37251" s="7" t="s">
        <v>16</v>
      </c>
      <c r="G37251" s="7" t="n">
        <v>0</v>
      </c>
      <c r="H37251" s="7" t="n">
        <v>1</v>
      </c>
      <c r="I37251" s="7" t="n">
        <v>0</v>
      </c>
      <c r="J37251" s="7" t="n">
        <v>0</v>
      </c>
      <c r="K37251" s="7" t="n">
        <v>0</v>
      </c>
      <c r="L37251" s="7" t="n">
        <v>0</v>
      </c>
      <c r="M37251" s="7" t="n">
        <v>1</v>
      </c>
      <c r="N37251" s="7" t="n">
        <v>1.60000002384186</v>
      </c>
      <c r="O37251" s="7" t="n">
        <v>0.0900000035762787</v>
      </c>
      <c r="P37251" s="7" t="s">
        <v>16</v>
      </c>
      <c r="Q37251" s="7" t="s">
        <v>16</v>
      </c>
      <c r="R37251" s="7" t="n">
        <v>-1</v>
      </c>
      <c r="S37251" s="7" t="n">
        <v>0</v>
      </c>
      <c r="T37251" s="7" t="n">
        <v>0</v>
      </c>
      <c r="U37251" s="7" t="n">
        <v>0</v>
      </c>
      <c r="V37251" s="7" t="n">
        <v>0</v>
      </c>
    </row>
    <row r="37252" spans="1:13">
      <c r="A37252" t="s">
        <v>4</v>
      </c>
      <c r="B37252" s="4" t="s">
        <v>5</v>
      </c>
      <c r="C37252" s="4" t="s">
        <v>11</v>
      </c>
      <c r="D37252" s="4" t="s">
        <v>7</v>
      </c>
      <c r="E37252" s="4" t="s">
        <v>7</v>
      </c>
      <c r="F37252" s="4" t="s">
        <v>8</v>
      </c>
    </row>
    <row r="37253" spans="1:13">
      <c r="A37253" t="n">
        <v>366795</v>
      </c>
      <c r="B37253" s="50" t="n">
        <v>20</v>
      </c>
      <c r="C37253" s="7" t="n">
        <v>0</v>
      </c>
      <c r="D37253" s="7" t="n">
        <v>3</v>
      </c>
      <c r="E37253" s="7" t="n">
        <v>10</v>
      </c>
      <c r="F37253" s="7" t="s">
        <v>108</v>
      </c>
    </row>
    <row r="37254" spans="1:13">
      <c r="A37254" t="s">
        <v>4</v>
      </c>
      <c r="B37254" s="4" t="s">
        <v>5</v>
      </c>
      <c r="C37254" s="4" t="s">
        <v>11</v>
      </c>
    </row>
    <row r="37255" spans="1:13">
      <c r="A37255" t="n">
        <v>366813</v>
      </c>
      <c r="B37255" s="29" t="n">
        <v>16</v>
      </c>
      <c r="C37255" s="7" t="n">
        <v>0</v>
      </c>
    </row>
    <row r="37256" spans="1:13">
      <c r="A37256" t="s">
        <v>4</v>
      </c>
      <c r="B37256" s="4" t="s">
        <v>5</v>
      </c>
      <c r="C37256" s="4" t="s">
        <v>11</v>
      </c>
      <c r="D37256" s="4" t="s">
        <v>7</v>
      </c>
      <c r="E37256" s="4" t="s">
        <v>7</v>
      </c>
      <c r="F37256" s="4" t="s">
        <v>8</v>
      </c>
    </row>
    <row r="37257" spans="1:13">
      <c r="A37257" t="n">
        <v>366816</v>
      </c>
      <c r="B37257" s="50" t="n">
        <v>20</v>
      </c>
      <c r="C37257" s="7" t="n">
        <v>6</v>
      </c>
      <c r="D37257" s="7" t="n">
        <v>3</v>
      </c>
      <c r="E37257" s="7" t="n">
        <v>10</v>
      </c>
      <c r="F37257" s="7" t="s">
        <v>108</v>
      </c>
    </row>
    <row r="37258" spans="1:13">
      <c r="A37258" t="s">
        <v>4</v>
      </c>
      <c r="B37258" s="4" t="s">
        <v>5</v>
      </c>
      <c r="C37258" s="4" t="s">
        <v>11</v>
      </c>
    </row>
    <row r="37259" spans="1:13">
      <c r="A37259" t="n">
        <v>366834</v>
      </c>
      <c r="B37259" s="29" t="n">
        <v>16</v>
      </c>
      <c r="C37259" s="7" t="n">
        <v>0</v>
      </c>
    </row>
    <row r="37260" spans="1:13">
      <c r="A37260" t="s">
        <v>4</v>
      </c>
      <c r="B37260" s="4" t="s">
        <v>5</v>
      </c>
      <c r="C37260" s="4" t="s">
        <v>7</v>
      </c>
      <c r="D37260" s="4" t="s">
        <v>11</v>
      </c>
      <c r="E37260" s="4" t="s">
        <v>7</v>
      </c>
      <c r="F37260" s="4" t="s">
        <v>8</v>
      </c>
      <c r="G37260" s="4" t="s">
        <v>8</v>
      </c>
      <c r="H37260" s="4" t="s">
        <v>8</v>
      </c>
      <c r="I37260" s="4" t="s">
        <v>8</v>
      </c>
      <c r="J37260" s="4" t="s">
        <v>8</v>
      </c>
      <c r="K37260" s="4" t="s">
        <v>8</v>
      </c>
      <c r="L37260" s="4" t="s">
        <v>8</v>
      </c>
      <c r="M37260" s="4" t="s">
        <v>8</v>
      </c>
      <c r="N37260" s="4" t="s">
        <v>8</v>
      </c>
      <c r="O37260" s="4" t="s">
        <v>8</v>
      </c>
      <c r="P37260" s="4" t="s">
        <v>8</v>
      </c>
      <c r="Q37260" s="4" t="s">
        <v>8</v>
      </c>
      <c r="R37260" s="4" t="s">
        <v>8</v>
      </c>
      <c r="S37260" s="4" t="s">
        <v>8</v>
      </c>
      <c r="T37260" s="4" t="s">
        <v>8</v>
      </c>
      <c r="U37260" s="4" t="s">
        <v>8</v>
      </c>
    </row>
    <row r="37261" spans="1:13">
      <c r="A37261" t="n">
        <v>366837</v>
      </c>
      <c r="B37261" s="40" t="n">
        <v>36</v>
      </c>
      <c r="C37261" s="7" t="n">
        <v>8</v>
      </c>
      <c r="D37261" s="7" t="n">
        <v>6</v>
      </c>
      <c r="E37261" s="7" t="n">
        <v>0</v>
      </c>
      <c r="F37261" s="7" t="s">
        <v>230</v>
      </c>
      <c r="G37261" s="7" t="s">
        <v>89</v>
      </c>
      <c r="H37261" s="7" t="s">
        <v>16</v>
      </c>
      <c r="I37261" s="7" t="s">
        <v>16</v>
      </c>
      <c r="J37261" s="7" t="s">
        <v>16</v>
      </c>
      <c r="K37261" s="7" t="s">
        <v>16</v>
      </c>
      <c r="L37261" s="7" t="s">
        <v>16</v>
      </c>
      <c r="M37261" s="7" t="s">
        <v>16</v>
      </c>
      <c r="N37261" s="7" t="s">
        <v>16</v>
      </c>
      <c r="O37261" s="7" t="s">
        <v>16</v>
      </c>
      <c r="P37261" s="7" t="s">
        <v>16</v>
      </c>
      <c r="Q37261" s="7" t="s">
        <v>16</v>
      </c>
      <c r="R37261" s="7" t="s">
        <v>16</v>
      </c>
      <c r="S37261" s="7" t="s">
        <v>16</v>
      </c>
      <c r="T37261" s="7" t="s">
        <v>16</v>
      </c>
      <c r="U37261" s="7" t="s">
        <v>16</v>
      </c>
    </row>
    <row r="37262" spans="1:13">
      <c r="A37262" t="s">
        <v>4</v>
      </c>
      <c r="B37262" s="4" t="s">
        <v>5</v>
      </c>
      <c r="C37262" s="4" t="s">
        <v>7</v>
      </c>
    </row>
    <row r="37263" spans="1:13">
      <c r="A37263" t="n">
        <v>366883</v>
      </c>
      <c r="B37263" s="49" t="n">
        <v>116</v>
      </c>
      <c r="C37263" s="7" t="n">
        <v>0</v>
      </c>
    </row>
    <row r="37264" spans="1:13">
      <c r="A37264" t="s">
        <v>4</v>
      </c>
      <c r="B37264" s="4" t="s">
        <v>5</v>
      </c>
      <c r="C37264" s="4" t="s">
        <v>7</v>
      </c>
      <c r="D37264" s="4" t="s">
        <v>11</v>
      </c>
    </row>
    <row r="37265" spans="1:22">
      <c r="A37265" t="n">
        <v>366885</v>
      </c>
      <c r="B37265" s="49" t="n">
        <v>116</v>
      </c>
      <c r="C37265" s="7" t="n">
        <v>2</v>
      </c>
      <c r="D37265" s="7" t="n">
        <v>1</v>
      </c>
    </row>
    <row r="37266" spans="1:22">
      <c r="A37266" t="s">
        <v>4</v>
      </c>
      <c r="B37266" s="4" t="s">
        <v>5</v>
      </c>
      <c r="C37266" s="4" t="s">
        <v>7</v>
      </c>
      <c r="D37266" s="4" t="s">
        <v>15</v>
      </c>
    </row>
    <row r="37267" spans="1:22">
      <c r="A37267" t="n">
        <v>366889</v>
      </c>
      <c r="B37267" s="49" t="n">
        <v>116</v>
      </c>
      <c r="C37267" s="7" t="n">
        <v>5</v>
      </c>
      <c r="D37267" s="7" t="n">
        <v>1088421888</v>
      </c>
    </row>
    <row r="37268" spans="1:22">
      <c r="A37268" t="s">
        <v>4</v>
      </c>
      <c r="B37268" s="4" t="s">
        <v>5</v>
      </c>
      <c r="C37268" s="4" t="s">
        <v>7</v>
      </c>
      <c r="D37268" s="4" t="s">
        <v>11</v>
      </c>
    </row>
    <row r="37269" spans="1:22">
      <c r="A37269" t="n">
        <v>366895</v>
      </c>
      <c r="B37269" s="49" t="n">
        <v>116</v>
      </c>
      <c r="C37269" s="7" t="n">
        <v>6</v>
      </c>
      <c r="D37269" s="7" t="n">
        <v>1</v>
      </c>
    </row>
    <row r="37270" spans="1:22">
      <c r="A37270" t="s">
        <v>4</v>
      </c>
      <c r="B37270" s="4" t="s">
        <v>5</v>
      </c>
      <c r="C37270" s="4" t="s">
        <v>11</v>
      </c>
      <c r="D37270" s="4" t="s">
        <v>13</v>
      </c>
      <c r="E37270" s="4" t="s">
        <v>13</v>
      </c>
      <c r="F37270" s="4" t="s">
        <v>13</v>
      </c>
      <c r="G37270" s="4" t="s">
        <v>13</v>
      </c>
    </row>
    <row r="37271" spans="1:22">
      <c r="A37271" t="n">
        <v>366899</v>
      </c>
      <c r="B37271" s="36" t="n">
        <v>46</v>
      </c>
      <c r="C37271" s="7" t="n">
        <v>0</v>
      </c>
      <c r="D37271" s="7" t="n">
        <v>6.28999996185303</v>
      </c>
      <c r="E37271" s="7" t="n">
        <v>5.01000022888184</v>
      </c>
      <c r="F37271" s="7" t="n">
        <v>54.5200004577637</v>
      </c>
      <c r="G37271" s="7" t="n">
        <v>126.5</v>
      </c>
    </row>
    <row r="37272" spans="1:22">
      <c r="A37272" t="s">
        <v>4</v>
      </c>
      <c r="B37272" s="4" t="s">
        <v>5</v>
      </c>
      <c r="C37272" s="4" t="s">
        <v>11</v>
      </c>
      <c r="D37272" s="4" t="s">
        <v>13</v>
      </c>
      <c r="E37272" s="4" t="s">
        <v>13</v>
      </c>
      <c r="F37272" s="4" t="s">
        <v>13</v>
      </c>
      <c r="G37272" s="4" t="s">
        <v>13</v>
      </c>
    </row>
    <row r="37273" spans="1:22">
      <c r="A37273" t="n">
        <v>366918</v>
      </c>
      <c r="B37273" s="36" t="n">
        <v>46</v>
      </c>
      <c r="C37273" s="7" t="n">
        <v>6</v>
      </c>
      <c r="D37273" s="7" t="n">
        <v>7.26000022888184</v>
      </c>
      <c r="E37273" s="7" t="n">
        <v>5.01000022888184</v>
      </c>
      <c r="F37273" s="7" t="n">
        <v>53.9500007629395</v>
      </c>
      <c r="G37273" s="7" t="n">
        <v>90</v>
      </c>
    </row>
    <row r="37274" spans="1:22">
      <c r="A37274" t="s">
        <v>4</v>
      </c>
      <c r="B37274" s="4" t="s">
        <v>5</v>
      </c>
      <c r="C37274" s="4" t="s">
        <v>7</v>
      </c>
      <c r="D37274" s="4" t="s">
        <v>8</v>
      </c>
      <c r="E37274" s="4" t="s">
        <v>11</v>
      </c>
    </row>
    <row r="37275" spans="1:22">
      <c r="A37275" t="n">
        <v>366937</v>
      </c>
      <c r="B37275" s="15" t="n">
        <v>94</v>
      </c>
      <c r="C37275" s="7" t="n">
        <v>0</v>
      </c>
      <c r="D37275" s="7" t="s">
        <v>19</v>
      </c>
      <c r="E37275" s="7" t="n">
        <v>1</v>
      </c>
    </row>
    <row r="37276" spans="1:22">
      <c r="A37276" t="s">
        <v>4</v>
      </c>
      <c r="B37276" s="4" t="s">
        <v>5</v>
      </c>
      <c r="C37276" s="4" t="s">
        <v>7</v>
      </c>
      <c r="D37276" s="4" t="s">
        <v>8</v>
      </c>
      <c r="E37276" s="4" t="s">
        <v>11</v>
      </c>
    </row>
    <row r="37277" spans="1:22">
      <c r="A37277" t="n">
        <v>366955</v>
      </c>
      <c r="B37277" s="15" t="n">
        <v>94</v>
      </c>
      <c r="C37277" s="7" t="n">
        <v>0</v>
      </c>
      <c r="D37277" s="7" t="s">
        <v>19</v>
      </c>
      <c r="E37277" s="7" t="n">
        <v>2</v>
      </c>
    </row>
    <row r="37278" spans="1:22">
      <c r="A37278" t="s">
        <v>4</v>
      </c>
      <c r="B37278" s="4" t="s">
        <v>5</v>
      </c>
      <c r="C37278" s="4" t="s">
        <v>7</v>
      </c>
      <c r="D37278" s="4" t="s">
        <v>8</v>
      </c>
      <c r="E37278" s="4" t="s">
        <v>11</v>
      </c>
    </row>
    <row r="37279" spans="1:22">
      <c r="A37279" t="n">
        <v>366973</v>
      </c>
      <c r="B37279" s="15" t="n">
        <v>94</v>
      </c>
      <c r="C37279" s="7" t="n">
        <v>1</v>
      </c>
      <c r="D37279" s="7" t="s">
        <v>19</v>
      </c>
      <c r="E37279" s="7" t="n">
        <v>4</v>
      </c>
    </row>
    <row r="37280" spans="1:22">
      <c r="A37280" t="s">
        <v>4</v>
      </c>
      <c r="B37280" s="4" t="s">
        <v>5</v>
      </c>
      <c r="C37280" s="4" t="s">
        <v>7</v>
      </c>
      <c r="D37280" s="4" t="s">
        <v>8</v>
      </c>
    </row>
    <row r="37281" spans="1:7">
      <c r="A37281" t="n">
        <v>366991</v>
      </c>
      <c r="B37281" s="15" t="n">
        <v>94</v>
      </c>
      <c r="C37281" s="7" t="n">
        <v>5</v>
      </c>
      <c r="D37281" s="7" t="s">
        <v>19</v>
      </c>
    </row>
    <row r="37282" spans="1:7">
      <c r="A37282" t="s">
        <v>4</v>
      </c>
      <c r="B37282" s="4" t="s">
        <v>5</v>
      </c>
      <c r="C37282" s="4" t="s">
        <v>11</v>
      </c>
    </row>
    <row r="37283" spans="1:7">
      <c r="A37283" t="n">
        <v>367007</v>
      </c>
      <c r="B37283" s="29" t="n">
        <v>16</v>
      </c>
      <c r="C37283" s="7" t="n">
        <v>0</v>
      </c>
    </row>
    <row r="37284" spans="1:7">
      <c r="A37284" t="s">
        <v>4</v>
      </c>
      <c r="B37284" s="4" t="s">
        <v>5</v>
      </c>
      <c r="C37284" s="4" t="s">
        <v>11</v>
      </c>
      <c r="D37284" s="4" t="s">
        <v>11</v>
      </c>
      <c r="E37284" s="4" t="s">
        <v>11</v>
      </c>
    </row>
    <row r="37285" spans="1:7">
      <c r="A37285" t="n">
        <v>367010</v>
      </c>
      <c r="B37285" s="72" t="n">
        <v>61</v>
      </c>
      <c r="C37285" s="7" t="n">
        <v>0</v>
      </c>
      <c r="D37285" s="7" t="n">
        <v>6</v>
      </c>
      <c r="E37285" s="7" t="n">
        <v>0</v>
      </c>
    </row>
    <row r="37286" spans="1:7">
      <c r="A37286" t="s">
        <v>4</v>
      </c>
      <c r="B37286" s="4" t="s">
        <v>5</v>
      </c>
      <c r="C37286" s="4" t="s">
        <v>11</v>
      </c>
      <c r="D37286" s="4" t="s">
        <v>7</v>
      </c>
      <c r="E37286" s="4" t="s">
        <v>8</v>
      </c>
      <c r="F37286" s="4" t="s">
        <v>13</v>
      </c>
      <c r="G37286" s="4" t="s">
        <v>13</v>
      </c>
      <c r="H37286" s="4" t="s">
        <v>13</v>
      </c>
    </row>
    <row r="37287" spans="1:7">
      <c r="A37287" t="n">
        <v>367017</v>
      </c>
      <c r="B37287" s="42" t="n">
        <v>48</v>
      </c>
      <c r="C37287" s="7" t="n">
        <v>0</v>
      </c>
      <c r="D37287" s="7" t="n">
        <v>0</v>
      </c>
      <c r="E37287" s="7" t="s">
        <v>275</v>
      </c>
      <c r="F37287" s="7" t="n">
        <v>0</v>
      </c>
      <c r="G37287" s="7" t="n">
        <v>1</v>
      </c>
      <c r="H37287" s="7" t="n">
        <v>0</v>
      </c>
    </row>
    <row r="37288" spans="1:7">
      <c r="A37288" t="s">
        <v>4</v>
      </c>
      <c r="B37288" s="4" t="s">
        <v>5</v>
      </c>
      <c r="C37288" s="4" t="s">
        <v>11</v>
      </c>
      <c r="D37288" s="4" t="s">
        <v>7</v>
      </c>
      <c r="E37288" s="4" t="s">
        <v>8</v>
      </c>
      <c r="F37288" s="4" t="s">
        <v>13</v>
      </c>
      <c r="G37288" s="4" t="s">
        <v>13</v>
      </c>
      <c r="H37288" s="4" t="s">
        <v>13</v>
      </c>
    </row>
    <row r="37289" spans="1:7">
      <c r="A37289" t="n">
        <v>367042</v>
      </c>
      <c r="B37289" s="42" t="n">
        <v>48</v>
      </c>
      <c r="C37289" s="7" t="n">
        <v>6</v>
      </c>
      <c r="D37289" s="7" t="n">
        <v>0</v>
      </c>
      <c r="E37289" s="7" t="s">
        <v>89</v>
      </c>
      <c r="F37289" s="7" t="n">
        <v>0</v>
      </c>
      <c r="G37289" s="7" t="n">
        <v>1</v>
      </c>
      <c r="H37289" s="7" t="n">
        <v>1.40129846432482e-45</v>
      </c>
    </row>
    <row r="37290" spans="1:7">
      <c r="A37290" t="s">
        <v>4</v>
      </c>
      <c r="B37290" s="4" t="s">
        <v>5</v>
      </c>
      <c r="C37290" s="4" t="s">
        <v>7</v>
      </c>
      <c r="D37290" s="4" t="s">
        <v>7</v>
      </c>
      <c r="E37290" s="4" t="s">
        <v>13</v>
      </c>
      <c r="F37290" s="4" t="s">
        <v>13</v>
      </c>
      <c r="G37290" s="4" t="s">
        <v>13</v>
      </c>
      <c r="H37290" s="4" t="s">
        <v>11</v>
      </c>
    </row>
    <row r="37291" spans="1:7">
      <c r="A37291" t="n">
        <v>367070</v>
      </c>
      <c r="B37291" s="51" t="n">
        <v>45</v>
      </c>
      <c r="C37291" s="7" t="n">
        <v>2</v>
      </c>
      <c r="D37291" s="7" t="n">
        <v>3</v>
      </c>
      <c r="E37291" s="7" t="n">
        <v>6.48000001907349</v>
      </c>
      <c r="F37291" s="7" t="n">
        <v>6.44000005722046</v>
      </c>
      <c r="G37291" s="7" t="n">
        <v>54.1800003051758</v>
      </c>
      <c r="H37291" s="7" t="n">
        <v>0</v>
      </c>
    </row>
    <row r="37292" spans="1:7">
      <c r="A37292" t="s">
        <v>4</v>
      </c>
      <c r="B37292" s="4" t="s">
        <v>5</v>
      </c>
      <c r="C37292" s="4" t="s">
        <v>7</v>
      </c>
      <c r="D37292" s="4" t="s">
        <v>7</v>
      </c>
      <c r="E37292" s="4" t="s">
        <v>13</v>
      </c>
      <c r="F37292" s="4" t="s">
        <v>13</v>
      </c>
      <c r="G37292" s="4" t="s">
        <v>13</v>
      </c>
      <c r="H37292" s="4" t="s">
        <v>11</v>
      </c>
      <c r="I37292" s="4" t="s">
        <v>7</v>
      </c>
    </row>
    <row r="37293" spans="1:7">
      <c r="A37293" t="n">
        <v>367087</v>
      </c>
      <c r="B37293" s="51" t="n">
        <v>45</v>
      </c>
      <c r="C37293" s="7" t="n">
        <v>4</v>
      </c>
      <c r="D37293" s="7" t="n">
        <v>3</v>
      </c>
      <c r="E37293" s="7" t="n">
        <v>8.52000045776367</v>
      </c>
      <c r="F37293" s="7" t="n">
        <v>260.510009765625</v>
      </c>
      <c r="G37293" s="7" t="n">
        <v>0</v>
      </c>
      <c r="H37293" s="7" t="n">
        <v>0</v>
      </c>
      <c r="I37293" s="7" t="n">
        <v>0</v>
      </c>
    </row>
    <row r="37294" spans="1:7">
      <c r="A37294" t="s">
        <v>4</v>
      </c>
      <c r="B37294" s="4" t="s">
        <v>5</v>
      </c>
      <c r="C37294" s="4" t="s">
        <v>7</v>
      </c>
      <c r="D37294" s="4" t="s">
        <v>7</v>
      </c>
      <c r="E37294" s="4" t="s">
        <v>13</v>
      </c>
      <c r="F37294" s="4" t="s">
        <v>11</v>
      </c>
    </row>
    <row r="37295" spans="1:7">
      <c r="A37295" t="n">
        <v>367105</v>
      </c>
      <c r="B37295" s="51" t="n">
        <v>45</v>
      </c>
      <c r="C37295" s="7" t="n">
        <v>5</v>
      </c>
      <c r="D37295" s="7" t="n">
        <v>3</v>
      </c>
      <c r="E37295" s="7" t="n">
        <v>1.89999997615814</v>
      </c>
      <c r="F37295" s="7" t="n">
        <v>0</v>
      </c>
    </row>
    <row r="37296" spans="1:7">
      <c r="A37296" t="s">
        <v>4</v>
      </c>
      <c r="B37296" s="4" t="s">
        <v>5</v>
      </c>
      <c r="C37296" s="4" t="s">
        <v>7</v>
      </c>
      <c r="D37296" s="4" t="s">
        <v>7</v>
      </c>
      <c r="E37296" s="4" t="s">
        <v>13</v>
      </c>
      <c r="F37296" s="4" t="s">
        <v>11</v>
      </c>
    </row>
    <row r="37297" spans="1:9">
      <c r="A37297" t="n">
        <v>367114</v>
      </c>
      <c r="B37297" s="51" t="n">
        <v>45</v>
      </c>
      <c r="C37297" s="7" t="n">
        <v>11</v>
      </c>
      <c r="D37297" s="7" t="n">
        <v>3</v>
      </c>
      <c r="E37297" s="7" t="n">
        <v>33.5</v>
      </c>
      <c r="F37297" s="7" t="n">
        <v>0</v>
      </c>
    </row>
    <row r="37298" spans="1:9">
      <c r="A37298" t="s">
        <v>4</v>
      </c>
      <c r="B37298" s="4" t="s">
        <v>5</v>
      </c>
      <c r="C37298" s="4" t="s">
        <v>7</v>
      </c>
      <c r="D37298" s="4" t="s">
        <v>7</v>
      </c>
      <c r="E37298" s="4" t="s">
        <v>13</v>
      </c>
      <c r="F37298" s="4" t="s">
        <v>11</v>
      </c>
    </row>
    <row r="37299" spans="1:9">
      <c r="A37299" t="n">
        <v>367123</v>
      </c>
      <c r="B37299" s="51" t="n">
        <v>45</v>
      </c>
      <c r="C37299" s="7" t="n">
        <v>5</v>
      </c>
      <c r="D37299" s="7" t="n">
        <v>3</v>
      </c>
      <c r="E37299" s="7" t="n">
        <v>1.60000002384186</v>
      </c>
      <c r="F37299" s="7" t="n">
        <v>3000</v>
      </c>
    </row>
    <row r="37300" spans="1:9">
      <c r="A37300" t="s">
        <v>4</v>
      </c>
      <c r="B37300" s="4" t="s">
        <v>5</v>
      </c>
      <c r="C37300" s="4" t="s">
        <v>7</v>
      </c>
      <c r="D37300" s="4" t="s">
        <v>11</v>
      </c>
      <c r="E37300" s="4" t="s">
        <v>13</v>
      </c>
    </row>
    <row r="37301" spans="1:9">
      <c r="A37301" t="n">
        <v>367132</v>
      </c>
      <c r="B37301" s="23" t="n">
        <v>58</v>
      </c>
      <c r="C37301" s="7" t="n">
        <v>100</v>
      </c>
      <c r="D37301" s="7" t="n">
        <v>1000</v>
      </c>
      <c r="E37301" s="7" t="n">
        <v>1</v>
      </c>
    </row>
    <row r="37302" spans="1:9">
      <c r="A37302" t="s">
        <v>4</v>
      </c>
      <c r="B37302" s="4" t="s">
        <v>5</v>
      </c>
      <c r="C37302" s="4" t="s">
        <v>7</v>
      </c>
      <c r="D37302" s="4" t="s">
        <v>11</v>
      </c>
    </row>
    <row r="37303" spans="1:9">
      <c r="A37303" t="n">
        <v>367140</v>
      </c>
      <c r="B37303" s="23" t="n">
        <v>58</v>
      </c>
      <c r="C37303" s="7" t="n">
        <v>255</v>
      </c>
      <c r="D37303" s="7" t="n">
        <v>0</v>
      </c>
    </row>
    <row r="37304" spans="1:9">
      <c r="A37304" t="s">
        <v>4</v>
      </c>
      <c r="B37304" s="4" t="s">
        <v>5</v>
      </c>
      <c r="C37304" s="4" t="s">
        <v>7</v>
      </c>
      <c r="D37304" s="4" t="s">
        <v>11</v>
      </c>
      <c r="E37304" s="4" t="s">
        <v>8</v>
      </c>
    </row>
    <row r="37305" spans="1:9">
      <c r="A37305" t="n">
        <v>367144</v>
      </c>
      <c r="B37305" s="38" t="n">
        <v>51</v>
      </c>
      <c r="C37305" s="7" t="n">
        <v>4</v>
      </c>
      <c r="D37305" s="7" t="n">
        <v>0</v>
      </c>
      <c r="E37305" s="7" t="s">
        <v>430</v>
      </c>
    </row>
    <row r="37306" spans="1:9">
      <c r="A37306" t="s">
        <v>4</v>
      </c>
      <c r="B37306" s="4" t="s">
        <v>5</v>
      </c>
      <c r="C37306" s="4" t="s">
        <v>11</v>
      </c>
    </row>
    <row r="37307" spans="1:9">
      <c r="A37307" t="n">
        <v>367157</v>
      </c>
      <c r="B37307" s="29" t="n">
        <v>16</v>
      </c>
      <c r="C37307" s="7" t="n">
        <v>0</v>
      </c>
    </row>
    <row r="37308" spans="1:9">
      <c r="A37308" t="s">
        <v>4</v>
      </c>
      <c r="B37308" s="4" t="s">
        <v>5</v>
      </c>
      <c r="C37308" s="4" t="s">
        <v>11</v>
      </c>
      <c r="D37308" s="4" t="s">
        <v>7</v>
      </c>
      <c r="E37308" s="4" t="s">
        <v>15</v>
      </c>
      <c r="F37308" s="4" t="s">
        <v>55</v>
      </c>
      <c r="G37308" s="4" t="s">
        <v>7</v>
      </c>
      <c r="H37308" s="4" t="s">
        <v>7</v>
      </c>
    </row>
    <row r="37309" spans="1:9">
      <c r="A37309" t="n">
        <v>367160</v>
      </c>
      <c r="B37309" s="55" t="n">
        <v>26</v>
      </c>
      <c r="C37309" s="7" t="n">
        <v>0</v>
      </c>
      <c r="D37309" s="7" t="n">
        <v>17</v>
      </c>
      <c r="E37309" s="7" t="n">
        <v>64354</v>
      </c>
      <c r="F37309" s="7" t="s">
        <v>1308</v>
      </c>
      <c r="G37309" s="7" t="n">
        <v>2</v>
      </c>
      <c r="H37309" s="7" t="n">
        <v>0</v>
      </c>
    </row>
    <row r="37310" spans="1:9">
      <c r="A37310" t="s">
        <v>4</v>
      </c>
      <c r="B37310" s="4" t="s">
        <v>5</v>
      </c>
    </row>
    <row r="37311" spans="1:9">
      <c r="A37311" t="n">
        <v>367206</v>
      </c>
      <c r="B37311" s="27" t="n">
        <v>28</v>
      </c>
    </row>
    <row r="37312" spans="1:9">
      <c r="A37312" t="s">
        <v>4</v>
      </c>
      <c r="B37312" s="4" t="s">
        <v>5</v>
      </c>
      <c r="C37312" s="4" t="s">
        <v>7</v>
      </c>
      <c r="D37312" s="4" t="s">
        <v>11</v>
      </c>
      <c r="E37312" s="4" t="s">
        <v>11</v>
      </c>
      <c r="F37312" s="4" t="s">
        <v>7</v>
      </c>
    </row>
    <row r="37313" spans="1:8">
      <c r="A37313" t="n">
        <v>367207</v>
      </c>
      <c r="B37313" s="31" t="n">
        <v>25</v>
      </c>
      <c r="C37313" s="7" t="n">
        <v>1</v>
      </c>
      <c r="D37313" s="7" t="n">
        <v>65535</v>
      </c>
      <c r="E37313" s="7" t="n">
        <v>65535</v>
      </c>
      <c r="F37313" s="7" t="n">
        <v>0</v>
      </c>
    </row>
    <row r="37314" spans="1:8">
      <c r="A37314" t="s">
        <v>4</v>
      </c>
      <c r="B37314" s="4" t="s">
        <v>5</v>
      </c>
      <c r="C37314" s="4" t="s">
        <v>11</v>
      </c>
      <c r="D37314" s="4" t="s">
        <v>7</v>
      </c>
      <c r="E37314" s="4" t="s">
        <v>13</v>
      </c>
      <c r="F37314" s="4" t="s">
        <v>11</v>
      </c>
    </row>
    <row r="37315" spans="1:8">
      <c r="A37315" t="n">
        <v>367214</v>
      </c>
      <c r="B37315" s="56" t="n">
        <v>59</v>
      </c>
      <c r="C37315" s="7" t="n">
        <v>6</v>
      </c>
      <c r="D37315" s="7" t="n">
        <v>13</v>
      </c>
      <c r="E37315" s="7" t="n">
        <v>0.150000005960464</v>
      </c>
      <c r="F37315" s="7" t="n">
        <v>0</v>
      </c>
    </row>
    <row r="37316" spans="1:8">
      <c r="A37316" t="s">
        <v>4</v>
      </c>
      <c r="B37316" s="4" t="s">
        <v>5</v>
      </c>
      <c r="C37316" s="4" t="s">
        <v>11</v>
      </c>
    </row>
    <row r="37317" spans="1:8">
      <c r="A37317" t="n">
        <v>367224</v>
      </c>
      <c r="B37317" s="29" t="n">
        <v>16</v>
      </c>
      <c r="C37317" s="7" t="n">
        <v>1000</v>
      </c>
    </row>
    <row r="37318" spans="1:8">
      <c r="A37318" t="s">
        <v>4</v>
      </c>
      <c r="B37318" s="4" t="s">
        <v>5</v>
      </c>
      <c r="C37318" s="4" t="s">
        <v>11</v>
      </c>
      <c r="D37318" s="4" t="s">
        <v>13</v>
      </c>
      <c r="E37318" s="4" t="s">
        <v>13</v>
      </c>
      <c r="F37318" s="4" t="s">
        <v>7</v>
      </c>
    </row>
    <row r="37319" spans="1:8">
      <c r="A37319" t="n">
        <v>367227</v>
      </c>
      <c r="B37319" s="65" t="n">
        <v>52</v>
      </c>
      <c r="C37319" s="7" t="n">
        <v>6</v>
      </c>
      <c r="D37319" s="7" t="n">
        <v>306.799987792969</v>
      </c>
      <c r="E37319" s="7" t="n">
        <v>5</v>
      </c>
      <c r="F37319" s="7" t="n">
        <v>0</v>
      </c>
    </row>
    <row r="37320" spans="1:8">
      <c r="A37320" t="s">
        <v>4</v>
      </c>
      <c r="B37320" s="4" t="s">
        <v>5</v>
      </c>
      <c r="C37320" s="4" t="s">
        <v>11</v>
      </c>
    </row>
    <row r="37321" spans="1:8">
      <c r="A37321" t="n">
        <v>367239</v>
      </c>
      <c r="B37321" s="66" t="n">
        <v>54</v>
      </c>
      <c r="C37321" s="7" t="n">
        <v>6</v>
      </c>
    </row>
    <row r="37322" spans="1:8">
      <c r="A37322" t="s">
        <v>4</v>
      </c>
      <c r="B37322" s="4" t="s">
        <v>5</v>
      </c>
      <c r="C37322" s="4" t="s">
        <v>11</v>
      </c>
      <c r="D37322" s="4" t="s">
        <v>11</v>
      </c>
      <c r="E37322" s="4" t="s">
        <v>11</v>
      </c>
    </row>
    <row r="37323" spans="1:8">
      <c r="A37323" t="n">
        <v>367242</v>
      </c>
      <c r="B37323" s="72" t="n">
        <v>61</v>
      </c>
      <c r="C37323" s="7" t="n">
        <v>6</v>
      </c>
      <c r="D37323" s="7" t="n">
        <v>0</v>
      </c>
      <c r="E37323" s="7" t="n">
        <v>1000</v>
      </c>
    </row>
    <row r="37324" spans="1:8">
      <c r="A37324" t="s">
        <v>4</v>
      </c>
      <c r="B37324" s="4" t="s">
        <v>5</v>
      </c>
      <c r="C37324" s="4" t="s">
        <v>7</v>
      </c>
      <c r="D37324" s="4" t="s">
        <v>11</v>
      </c>
      <c r="E37324" s="4" t="s">
        <v>8</v>
      </c>
    </row>
    <row r="37325" spans="1:8">
      <c r="A37325" t="n">
        <v>367249</v>
      </c>
      <c r="B37325" s="38" t="n">
        <v>51</v>
      </c>
      <c r="C37325" s="7" t="n">
        <v>4</v>
      </c>
      <c r="D37325" s="7" t="n">
        <v>6</v>
      </c>
      <c r="E37325" s="7" t="s">
        <v>679</v>
      </c>
    </row>
    <row r="37326" spans="1:8">
      <c r="A37326" t="s">
        <v>4</v>
      </c>
      <c r="B37326" s="4" t="s">
        <v>5</v>
      </c>
      <c r="C37326" s="4" t="s">
        <v>11</v>
      </c>
    </row>
    <row r="37327" spans="1:8">
      <c r="A37327" t="n">
        <v>367262</v>
      </c>
      <c r="B37327" s="29" t="n">
        <v>16</v>
      </c>
      <c r="C37327" s="7" t="n">
        <v>0</v>
      </c>
    </row>
    <row r="37328" spans="1:8">
      <c r="A37328" t="s">
        <v>4</v>
      </c>
      <c r="B37328" s="4" t="s">
        <v>5</v>
      </c>
      <c r="C37328" s="4" t="s">
        <v>11</v>
      </c>
      <c r="D37328" s="4" t="s">
        <v>7</v>
      </c>
      <c r="E37328" s="4" t="s">
        <v>15</v>
      </c>
      <c r="F37328" s="4" t="s">
        <v>55</v>
      </c>
      <c r="G37328" s="4" t="s">
        <v>7</v>
      </c>
      <c r="H37328" s="4" t="s">
        <v>7</v>
      </c>
      <c r="I37328" s="4" t="s">
        <v>7</v>
      </c>
      <c r="J37328" s="4" t="s">
        <v>15</v>
      </c>
      <c r="K37328" s="4" t="s">
        <v>55</v>
      </c>
      <c r="L37328" s="4" t="s">
        <v>7</v>
      </c>
      <c r="M37328" s="4" t="s">
        <v>7</v>
      </c>
    </row>
    <row r="37329" spans="1:13">
      <c r="A37329" t="n">
        <v>367265</v>
      </c>
      <c r="B37329" s="55" t="n">
        <v>26</v>
      </c>
      <c r="C37329" s="7" t="n">
        <v>6</v>
      </c>
      <c r="D37329" s="7" t="n">
        <v>17</v>
      </c>
      <c r="E37329" s="7" t="n">
        <v>64355</v>
      </c>
      <c r="F37329" s="7" t="s">
        <v>1309</v>
      </c>
      <c r="G37329" s="7" t="n">
        <v>2</v>
      </c>
      <c r="H37329" s="7" t="n">
        <v>3</v>
      </c>
      <c r="I37329" s="7" t="n">
        <v>17</v>
      </c>
      <c r="J37329" s="7" t="n">
        <v>64356</v>
      </c>
      <c r="K37329" s="7" t="s">
        <v>1310</v>
      </c>
      <c r="L37329" s="7" t="n">
        <v>2</v>
      </c>
      <c r="M37329" s="7" t="n">
        <v>0</v>
      </c>
    </row>
    <row r="37330" spans="1:13">
      <c r="A37330" t="s">
        <v>4</v>
      </c>
      <c r="B37330" s="4" t="s">
        <v>5</v>
      </c>
    </row>
    <row r="37331" spans="1:13">
      <c r="A37331" t="n">
        <v>367430</v>
      </c>
      <c r="B37331" s="27" t="n">
        <v>28</v>
      </c>
    </row>
    <row r="37332" spans="1:13">
      <c r="A37332" t="s">
        <v>4</v>
      </c>
      <c r="B37332" s="4" t="s">
        <v>5</v>
      </c>
      <c r="C37332" s="4" t="s">
        <v>11</v>
      </c>
    </row>
    <row r="37333" spans="1:13">
      <c r="A37333" t="n">
        <v>367431</v>
      </c>
      <c r="B37333" s="29" t="n">
        <v>16</v>
      </c>
      <c r="C37333" s="7" t="n">
        <v>200</v>
      </c>
    </row>
    <row r="37334" spans="1:13">
      <c r="A37334" t="s">
        <v>4</v>
      </c>
      <c r="B37334" s="4" t="s">
        <v>5</v>
      </c>
      <c r="C37334" s="4" t="s">
        <v>11</v>
      </c>
      <c r="D37334" s="4" t="s">
        <v>7</v>
      </c>
      <c r="E37334" s="4" t="s">
        <v>13</v>
      </c>
      <c r="F37334" s="4" t="s">
        <v>11</v>
      </c>
    </row>
    <row r="37335" spans="1:13">
      <c r="A37335" t="n">
        <v>367434</v>
      </c>
      <c r="B37335" s="56" t="n">
        <v>59</v>
      </c>
      <c r="C37335" s="7" t="n">
        <v>0</v>
      </c>
      <c r="D37335" s="7" t="n">
        <v>13</v>
      </c>
      <c r="E37335" s="7" t="n">
        <v>0.150000005960464</v>
      </c>
      <c r="F37335" s="7" t="n">
        <v>0</v>
      </c>
    </row>
    <row r="37336" spans="1:13">
      <c r="A37336" t="s">
        <v>4</v>
      </c>
      <c r="B37336" s="4" t="s">
        <v>5</v>
      </c>
      <c r="C37336" s="4" t="s">
        <v>11</v>
      </c>
    </row>
    <row r="37337" spans="1:13">
      <c r="A37337" t="n">
        <v>367444</v>
      </c>
      <c r="B37337" s="29" t="n">
        <v>16</v>
      </c>
      <c r="C37337" s="7" t="n">
        <v>1000</v>
      </c>
    </row>
    <row r="37338" spans="1:13">
      <c r="A37338" t="s">
        <v>4</v>
      </c>
      <c r="B37338" s="4" t="s">
        <v>5</v>
      </c>
      <c r="C37338" s="4" t="s">
        <v>11</v>
      </c>
      <c r="D37338" s="4" t="s">
        <v>13</v>
      </c>
      <c r="E37338" s="4" t="s">
        <v>13</v>
      </c>
      <c r="F37338" s="4" t="s">
        <v>13</v>
      </c>
      <c r="G37338" s="4" t="s">
        <v>11</v>
      </c>
      <c r="H37338" s="4" t="s">
        <v>11</v>
      </c>
    </row>
    <row r="37339" spans="1:13">
      <c r="A37339" t="n">
        <v>367447</v>
      </c>
      <c r="B37339" s="37" t="n">
        <v>60</v>
      </c>
      <c r="C37339" s="7" t="n">
        <v>0</v>
      </c>
      <c r="D37339" s="7" t="n">
        <v>20</v>
      </c>
      <c r="E37339" s="7" t="n">
        <v>-3</v>
      </c>
      <c r="F37339" s="7" t="n">
        <v>0</v>
      </c>
      <c r="G37339" s="7" t="n">
        <v>1000</v>
      </c>
      <c r="H37339" s="7" t="n">
        <v>0</v>
      </c>
    </row>
    <row r="37340" spans="1:13">
      <c r="A37340" t="s">
        <v>4</v>
      </c>
      <c r="B37340" s="4" t="s">
        <v>5</v>
      </c>
      <c r="C37340" s="4" t="s">
        <v>7</v>
      </c>
      <c r="D37340" s="4" t="s">
        <v>7</v>
      </c>
      <c r="E37340" s="4" t="s">
        <v>13</v>
      </c>
      <c r="F37340" s="4" t="s">
        <v>13</v>
      </c>
      <c r="G37340" s="4" t="s">
        <v>13</v>
      </c>
      <c r="H37340" s="4" t="s">
        <v>11</v>
      </c>
    </row>
    <row r="37341" spans="1:13">
      <c r="A37341" t="n">
        <v>367466</v>
      </c>
      <c r="B37341" s="51" t="n">
        <v>45</v>
      </c>
      <c r="C37341" s="7" t="n">
        <v>2</v>
      </c>
      <c r="D37341" s="7" t="n">
        <v>3</v>
      </c>
      <c r="E37341" s="7" t="n">
        <v>6.23000001907349</v>
      </c>
      <c r="F37341" s="7" t="n">
        <v>6.44000005722046</v>
      </c>
      <c r="G37341" s="7" t="n">
        <v>53.9199981689453</v>
      </c>
      <c r="H37341" s="7" t="n">
        <v>2500</v>
      </c>
    </row>
    <row r="37342" spans="1:13">
      <c r="A37342" t="s">
        <v>4</v>
      </c>
      <c r="B37342" s="4" t="s">
        <v>5</v>
      </c>
      <c r="C37342" s="4" t="s">
        <v>7</v>
      </c>
      <c r="D37342" s="4" t="s">
        <v>7</v>
      </c>
      <c r="E37342" s="4" t="s">
        <v>13</v>
      </c>
      <c r="F37342" s="4" t="s">
        <v>13</v>
      </c>
      <c r="G37342" s="4" t="s">
        <v>13</v>
      </c>
      <c r="H37342" s="4" t="s">
        <v>11</v>
      </c>
      <c r="I37342" s="4" t="s">
        <v>7</v>
      </c>
    </row>
    <row r="37343" spans="1:13">
      <c r="A37343" t="n">
        <v>367483</v>
      </c>
      <c r="B37343" s="51" t="n">
        <v>45</v>
      </c>
      <c r="C37343" s="7" t="n">
        <v>4</v>
      </c>
      <c r="D37343" s="7" t="n">
        <v>3</v>
      </c>
      <c r="E37343" s="7" t="n">
        <v>9.23999977111816</v>
      </c>
      <c r="F37343" s="7" t="n">
        <v>285.019989013672</v>
      </c>
      <c r="G37343" s="7" t="n">
        <v>0</v>
      </c>
      <c r="H37343" s="7" t="n">
        <v>2500</v>
      </c>
      <c r="I37343" s="7" t="n">
        <v>1</v>
      </c>
    </row>
    <row r="37344" spans="1:13">
      <c r="A37344" t="s">
        <v>4</v>
      </c>
      <c r="B37344" s="4" t="s">
        <v>5</v>
      </c>
      <c r="C37344" s="4" t="s">
        <v>7</v>
      </c>
      <c r="D37344" s="4" t="s">
        <v>7</v>
      </c>
      <c r="E37344" s="4" t="s">
        <v>13</v>
      </c>
      <c r="F37344" s="4" t="s">
        <v>11</v>
      </c>
    </row>
    <row r="37345" spans="1:13">
      <c r="A37345" t="n">
        <v>367501</v>
      </c>
      <c r="B37345" s="51" t="n">
        <v>45</v>
      </c>
      <c r="C37345" s="7" t="n">
        <v>5</v>
      </c>
      <c r="D37345" s="7" t="n">
        <v>3</v>
      </c>
      <c r="E37345" s="7" t="n">
        <v>1.60000002384186</v>
      </c>
      <c r="F37345" s="7" t="n">
        <v>2500</v>
      </c>
    </row>
    <row r="37346" spans="1:13">
      <c r="A37346" t="s">
        <v>4</v>
      </c>
      <c r="B37346" s="4" t="s">
        <v>5</v>
      </c>
      <c r="C37346" s="4" t="s">
        <v>7</v>
      </c>
      <c r="D37346" s="4" t="s">
        <v>7</v>
      </c>
      <c r="E37346" s="4" t="s">
        <v>13</v>
      </c>
      <c r="F37346" s="4" t="s">
        <v>11</v>
      </c>
    </row>
    <row r="37347" spans="1:13">
      <c r="A37347" t="n">
        <v>367510</v>
      </c>
      <c r="B37347" s="51" t="n">
        <v>45</v>
      </c>
      <c r="C37347" s="7" t="n">
        <v>11</v>
      </c>
      <c r="D37347" s="7" t="n">
        <v>3</v>
      </c>
      <c r="E37347" s="7" t="n">
        <v>33.5</v>
      </c>
      <c r="F37347" s="7" t="n">
        <v>2500</v>
      </c>
    </row>
    <row r="37348" spans="1:13">
      <c r="A37348" t="s">
        <v>4</v>
      </c>
      <c r="B37348" s="4" t="s">
        <v>5</v>
      </c>
      <c r="C37348" s="4" t="s">
        <v>11</v>
      </c>
    </row>
    <row r="37349" spans="1:13">
      <c r="A37349" t="n">
        <v>367519</v>
      </c>
      <c r="B37349" s="29" t="n">
        <v>16</v>
      </c>
      <c r="C37349" s="7" t="n">
        <v>2500</v>
      </c>
    </row>
    <row r="37350" spans="1:13">
      <c r="A37350" t="s">
        <v>4</v>
      </c>
      <c r="B37350" s="4" t="s">
        <v>5</v>
      </c>
      <c r="C37350" s="4" t="s">
        <v>7</v>
      </c>
      <c r="D37350" s="4" t="s">
        <v>11</v>
      </c>
      <c r="E37350" s="4" t="s">
        <v>8</v>
      </c>
    </row>
    <row r="37351" spans="1:13">
      <c r="A37351" t="n">
        <v>367522</v>
      </c>
      <c r="B37351" s="38" t="n">
        <v>51</v>
      </c>
      <c r="C37351" s="7" t="n">
        <v>4</v>
      </c>
      <c r="D37351" s="7" t="n">
        <v>0</v>
      </c>
      <c r="E37351" s="7" t="s">
        <v>147</v>
      </c>
    </row>
    <row r="37352" spans="1:13">
      <c r="A37352" t="s">
        <v>4</v>
      </c>
      <c r="B37352" s="4" t="s">
        <v>5</v>
      </c>
      <c r="C37352" s="4" t="s">
        <v>11</v>
      </c>
    </row>
    <row r="37353" spans="1:13">
      <c r="A37353" t="n">
        <v>367536</v>
      </c>
      <c r="B37353" s="29" t="n">
        <v>16</v>
      </c>
      <c r="C37353" s="7" t="n">
        <v>0</v>
      </c>
    </row>
    <row r="37354" spans="1:13">
      <c r="A37354" t="s">
        <v>4</v>
      </c>
      <c r="B37354" s="4" t="s">
        <v>5</v>
      </c>
      <c r="C37354" s="4" t="s">
        <v>11</v>
      </c>
      <c r="D37354" s="4" t="s">
        <v>7</v>
      </c>
      <c r="E37354" s="4" t="s">
        <v>15</v>
      </c>
      <c r="F37354" s="4" t="s">
        <v>55</v>
      </c>
      <c r="G37354" s="4" t="s">
        <v>7</v>
      </c>
      <c r="H37354" s="4" t="s">
        <v>7</v>
      </c>
    </row>
    <row r="37355" spans="1:13">
      <c r="A37355" t="n">
        <v>367539</v>
      </c>
      <c r="B37355" s="55" t="n">
        <v>26</v>
      </c>
      <c r="C37355" s="7" t="n">
        <v>0</v>
      </c>
      <c r="D37355" s="7" t="n">
        <v>17</v>
      </c>
      <c r="E37355" s="7" t="n">
        <v>64357</v>
      </c>
      <c r="F37355" s="7" t="s">
        <v>1311</v>
      </c>
      <c r="G37355" s="7" t="n">
        <v>2</v>
      </c>
      <c r="H37355" s="7" t="n">
        <v>0</v>
      </c>
    </row>
    <row r="37356" spans="1:13">
      <c r="A37356" t="s">
        <v>4</v>
      </c>
      <c r="B37356" s="4" t="s">
        <v>5</v>
      </c>
    </row>
    <row r="37357" spans="1:13">
      <c r="A37357" t="n">
        <v>367599</v>
      </c>
      <c r="B37357" s="27" t="n">
        <v>28</v>
      </c>
    </row>
    <row r="37358" spans="1:13">
      <c r="A37358" t="s">
        <v>4</v>
      </c>
      <c r="B37358" s="4" t="s">
        <v>5</v>
      </c>
      <c r="C37358" s="4" t="s">
        <v>7</v>
      </c>
      <c r="D37358" s="4" t="s">
        <v>11</v>
      </c>
      <c r="E37358" s="4" t="s">
        <v>11</v>
      </c>
      <c r="F37358" s="4" t="s">
        <v>7</v>
      </c>
    </row>
    <row r="37359" spans="1:13">
      <c r="A37359" t="n">
        <v>367600</v>
      </c>
      <c r="B37359" s="31" t="n">
        <v>25</v>
      </c>
      <c r="C37359" s="7" t="n">
        <v>1</v>
      </c>
      <c r="D37359" s="7" t="n">
        <v>65535</v>
      </c>
      <c r="E37359" s="7" t="n">
        <v>65535</v>
      </c>
      <c r="F37359" s="7" t="n">
        <v>0</v>
      </c>
    </row>
    <row r="37360" spans="1:13">
      <c r="A37360" t="s">
        <v>4</v>
      </c>
      <c r="B37360" s="4" t="s">
        <v>5</v>
      </c>
      <c r="C37360" s="4" t="s">
        <v>11</v>
      </c>
      <c r="D37360" s="4" t="s">
        <v>7</v>
      </c>
      <c r="E37360" s="4" t="s">
        <v>8</v>
      </c>
      <c r="F37360" s="4" t="s">
        <v>13</v>
      </c>
      <c r="G37360" s="4" t="s">
        <v>13</v>
      </c>
      <c r="H37360" s="4" t="s">
        <v>13</v>
      </c>
    </row>
    <row r="37361" spans="1:8">
      <c r="A37361" t="n">
        <v>367607</v>
      </c>
      <c r="B37361" s="42" t="n">
        <v>48</v>
      </c>
      <c r="C37361" s="7" t="n">
        <v>6</v>
      </c>
      <c r="D37361" s="7" t="n">
        <v>0</v>
      </c>
      <c r="E37361" s="7" t="s">
        <v>230</v>
      </c>
      <c r="F37361" s="7" t="n">
        <v>0.400000005960464</v>
      </c>
      <c r="G37361" s="7" t="n">
        <v>1</v>
      </c>
      <c r="H37361" s="7" t="n">
        <v>5.60519385729927e-45</v>
      </c>
    </row>
    <row r="37362" spans="1:8">
      <c r="A37362" t="s">
        <v>4</v>
      </c>
      <c r="B37362" s="4" t="s">
        <v>5</v>
      </c>
      <c r="C37362" s="4" t="s">
        <v>7</v>
      </c>
      <c r="D37362" s="4" t="s">
        <v>11</v>
      </c>
      <c r="E37362" s="4" t="s">
        <v>8</v>
      </c>
    </row>
    <row r="37363" spans="1:8">
      <c r="A37363" t="n">
        <v>367638</v>
      </c>
      <c r="B37363" s="38" t="n">
        <v>51</v>
      </c>
      <c r="C37363" s="7" t="n">
        <v>4</v>
      </c>
      <c r="D37363" s="7" t="n">
        <v>6</v>
      </c>
      <c r="E37363" s="7" t="s">
        <v>643</v>
      </c>
    </row>
    <row r="37364" spans="1:8">
      <c r="A37364" t="s">
        <v>4</v>
      </c>
      <c r="B37364" s="4" t="s">
        <v>5</v>
      </c>
      <c r="C37364" s="4" t="s">
        <v>11</v>
      </c>
    </row>
    <row r="37365" spans="1:8">
      <c r="A37365" t="n">
        <v>367651</v>
      </c>
      <c r="B37365" s="29" t="n">
        <v>16</v>
      </c>
      <c r="C37365" s="7" t="n">
        <v>0</v>
      </c>
    </row>
    <row r="37366" spans="1:8">
      <c r="A37366" t="s">
        <v>4</v>
      </c>
      <c r="B37366" s="4" t="s">
        <v>5</v>
      </c>
      <c r="C37366" s="4" t="s">
        <v>11</v>
      </c>
      <c r="D37366" s="4" t="s">
        <v>7</v>
      </c>
      <c r="E37366" s="4" t="s">
        <v>15</v>
      </c>
      <c r="F37366" s="4" t="s">
        <v>55</v>
      </c>
      <c r="G37366" s="4" t="s">
        <v>7</v>
      </c>
      <c r="H37366" s="4" t="s">
        <v>7</v>
      </c>
      <c r="I37366" s="4" t="s">
        <v>7</v>
      </c>
      <c r="J37366" s="4" t="s">
        <v>15</v>
      </c>
      <c r="K37366" s="4" t="s">
        <v>55</v>
      </c>
      <c r="L37366" s="4" t="s">
        <v>7</v>
      </c>
      <c r="M37366" s="4" t="s">
        <v>7</v>
      </c>
      <c r="N37366" s="4" t="s">
        <v>7</v>
      </c>
      <c r="O37366" s="4" t="s">
        <v>15</v>
      </c>
      <c r="P37366" s="4" t="s">
        <v>55</v>
      </c>
      <c r="Q37366" s="4" t="s">
        <v>7</v>
      </c>
      <c r="R37366" s="4" t="s">
        <v>7</v>
      </c>
    </row>
    <row r="37367" spans="1:8">
      <c r="A37367" t="n">
        <v>367654</v>
      </c>
      <c r="B37367" s="55" t="n">
        <v>26</v>
      </c>
      <c r="C37367" s="7" t="n">
        <v>6</v>
      </c>
      <c r="D37367" s="7" t="n">
        <v>17</v>
      </c>
      <c r="E37367" s="7" t="n">
        <v>64358</v>
      </c>
      <c r="F37367" s="7" t="s">
        <v>1312</v>
      </c>
      <c r="G37367" s="7" t="n">
        <v>2</v>
      </c>
      <c r="H37367" s="7" t="n">
        <v>3</v>
      </c>
      <c r="I37367" s="7" t="n">
        <v>17</v>
      </c>
      <c r="J37367" s="7" t="n">
        <v>64359</v>
      </c>
      <c r="K37367" s="7" t="s">
        <v>1313</v>
      </c>
      <c r="L37367" s="7" t="n">
        <v>2</v>
      </c>
      <c r="M37367" s="7" t="n">
        <v>3</v>
      </c>
      <c r="N37367" s="7" t="n">
        <v>17</v>
      </c>
      <c r="O37367" s="7" t="n">
        <v>64360</v>
      </c>
      <c r="P37367" s="7" t="s">
        <v>1314</v>
      </c>
      <c r="Q37367" s="7" t="n">
        <v>2</v>
      </c>
      <c r="R37367" s="7" t="n">
        <v>0</v>
      </c>
    </row>
    <row r="37368" spans="1:8">
      <c r="A37368" t="s">
        <v>4</v>
      </c>
      <c r="B37368" s="4" t="s">
        <v>5</v>
      </c>
    </row>
    <row r="37369" spans="1:8">
      <c r="A37369" t="n">
        <v>367911</v>
      </c>
      <c r="B37369" s="27" t="n">
        <v>28</v>
      </c>
    </row>
    <row r="37370" spans="1:8">
      <c r="A37370" t="s">
        <v>4</v>
      </c>
      <c r="B37370" s="4" t="s">
        <v>5</v>
      </c>
      <c r="C37370" s="4" t="s">
        <v>11</v>
      </c>
      <c r="D37370" s="4" t="s">
        <v>7</v>
      </c>
    </row>
    <row r="37371" spans="1:8">
      <c r="A37371" t="n">
        <v>367912</v>
      </c>
      <c r="B37371" s="68" t="n">
        <v>89</v>
      </c>
      <c r="C37371" s="7" t="n">
        <v>65533</v>
      </c>
      <c r="D37371" s="7" t="n">
        <v>1</v>
      </c>
    </row>
    <row r="37372" spans="1:8">
      <c r="A37372" t="s">
        <v>4</v>
      </c>
      <c r="B37372" s="4" t="s">
        <v>5</v>
      </c>
      <c r="C37372" s="4" t="s">
        <v>7</v>
      </c>
      <c r="D37372" s="4" t="s">
        <v>11</v>
      </c>
      <c r="E37372" s="4" t="s">
        <v>13</v>
      </c>
    </row>
    <row r="37373" spans="1:8">
      <c r="A37373" t="n">
        <v>367916</v>
      </c>
      <c r="B37373" s="23" t="n">
        <v>58</v>
      </c>
      <c r="C37373" s="7" t="n">
        <v>101</v>
      </c>
      <c r="D37373" s="7" t="n">
        <v>500</v>
      </c>
      <c r="E37373" s="7" t="n">
        <v>1</v>
      </c>
    </row>
    <row r="37374" spans="1:8">
      <c r="A37374" t="s">
        <v>4</v>
      </c>
      <c r="B37374" s="4" t="s">
        <v>5</v>
      </c>
      <c r="C37374" s="4" t="s">
        <v>7</v>
      </c>
      <c r="D37374" s="4" t="s">
        <v>11</v>
      </c>
    </row>
    <row r="37375" spans="1:8">
      <c r="A37375" t="n">
        <v>367924</v>
      </c>
      <c r="B37375" s="23" t="n">
        <v>58</v>
      </c>
      <c r="C37375" s="7" t="n">
        <v>254</v>
      </c>
      <c r="D37375" s="7" t="n">
        <v>0</v>
      </c>
    </row>
    <row r="37376" spans="1:8">
      <c r="A37376" t="s">
        <v>4</v>
      </c>
      <c r="B37376" s="4" t="s">
        <v>5</v>
      </c>
      <c r="C37376" s="4" t="s">
        <v>7</v>
      </c>
      <c r="D37376" s="4" t="s">
        <v>7</v>
      </c>
      <c r="E37376" s="4" t="s">
        <v>13</v>
      </c>
      <c r="F37376" s="4" t="s">
        <v>13</v>
      </c>
      <c r="G37376" s="4" t="s">
        <v>13</v>
      </c>
      <c r="H37376" s="4" t="s">
        <v>11</v>
      </c>
    </row>
    <row r="37377" spans="1:18">
      <c r="A37377" t="n">
        <v>367928</v>
      </c>
      <c r="B37377" s="51" t="n">
        <v>45</v>
      </c>
      <c r="C37377" s="7" t="n">
        <v>2</v>
      </c>
      <c r="D37377" s="7" t="n">
        <v>3</v>
      </c>
      <c r="E37377" s="7" t="n">
        <v>6.48000001907349</v>
      </c>
      <c r="F37377" s="7" t="n">
        <v>6.44000005722046</v>
      </c>
      <c r="G37377" s="7" t="n">
        <v>54.1800003051758</v>
      </c>
      <c r="H37377" s="7" t="n">
        <v>0</v>
      </c>
    </row>
    <row r="37378" spans="1:18">
      <c r="A37378" t="s">
        <v>4</v>
      </c>
      <c r="B37378" s="4" t="s">
        <v>5</v>
      </c>
      <c r="C37378" s="4" t="s">
        <v>7</v>
      </c>
      <c r="D37378" s="4" t="s">
        <v>7</v>
      </c>
      <c r="E37378" s="4" t="s">
        <v>13</v>
      </c>
      <c r="F37378" s="4" t="s">
        <v>13</v>
      </c>
      <c r="G37378" s="4" t="s">
        <v>13</v>
      </c>
      <c r="H37378" s="4" t="s">
        <v>11</v>
      </c>
      <c r="I37378" s="4" t="s">
        <v>7</v>
      </c>
    </row>
    <row r="37379" spans="1:18">
      <c r="A37379" t="n">
        <v>367945</v>
      </c>
      <c r="B37379" s="51" t="n">
        <v>45</v>
      </c>
      <c r="C37379" s="7" t="n">
        <v>4</v>
      </c>
      <c r="D37379" s="7" t="n">
        <v>3</v>
      </c>
      <c r="E37379" s="7" t="n">
        <v>8.52000045776367</v>
      </c>
      <c r="F37379" s="7" t="n">
        <v>260.510009765625</v>
      </c>
      <c r="G37379" s="7" t="n">
        <v>0</v>
      </c>
      <c r="H37379" s="7" t="n">
        <v>0</v>
      </c>
      <c r="I37379" s="7" t="n">
        <v>0</v>
      </c>
    </row>
    <row r="37380" spans="1:18">
      <c r="A37380" t="s">
        <v>4</v>
      </c>
      <c r="B37380" s="4" t="s">
        <v>5</v>
      </c>
      <c r="C37380" s="4" t="s">
        <v>7</v>
      </c>
      <c r="D37380" s="4" t="s">
        <v>7</v>
      </c>
      <c r="E37380" s="4" t="s">
        <v>13</v>
      </c>
      <c r="F37380" s="4" t="s">
        <v>11</v>
      </c>
    </row>
    <row r="37381" spans="1:18">
      <c r="A37381" t="n">
        <v>367963</v>
      </c>
      <c r="B37381" s="51" t="n">
        <v>45</v>
      </c>
      <c r="C37381" s="7" t="n">
        <v>5</v>
      </c>
      <c r="D37381" s="7" t="n">
        <v>3</v>
      </c>
      <c r="E37381" s="7" t="n">
        <v>1.60000002384186</v>
      </c>
      <c r="F37381" s="7" t="n">
        <v>0</v>
      </c>
    </row>
    <row r="37382" spans="1:18">
      <c r="A37382" t="s">
        <v>4</v>
      </c>
      <c r="B37382" s="4" t="s">
        <v>5</v>
      </c>
      <c r="C37382" s="4" t="s">
        <v>7</v>
      </c>
      <c r="D37382" s="4" t="s">
        <v>7</v>
      </c>
      <c r="E37382" s="4" t="s">
        <v>13</v>
      </c>
      <c r="F37382" s="4" t="s">
        <v>11</v>
      </c>
    </row>
    <row r="37383" spans="1:18">
      <c r="A37383" t="n">
        <v>367972</v>
      </c>
      <c r="B37383" s="51" t="n">
        <v>45</v>
      </c>
      <c r="C37383" s="7" t="n">
        <v>11</v>
      </c>
      <c r="D37383" s="7" t="n">
        <v>3</v>
      </c>
      <c r="E37383" s="7" t="n">
        <v>33.5</v>
      </c>
      <c r="F37383" s="7" t="n">
        <v>0</v>
      </c>
    </row>
    <row r="37384" spans="1:18">
      <c r="A37384" t="s">
        <v>4</v>
      </c>
      <c r="B37384" s="4" t="s">
        <v>5</v>
      </c>
      <c r="C37384" s="4" t="s">
        <v>11</v>
      </c>
      <c r="D37384" s="4" t="s">
        <v>13</v>
      </c>
      <c r="E37384" s="4" t="s">
        <v>13</v>
      </c>
      <c r="F37384" s="4" t="s">
        <v>13</v>
      </c>
      <c r="G37384" s="4" t="s">
        <v>11</v>
      </c>
      <c r="H37384" s="4" t="s">
        <v>11</v>
      </c>
    </row>
    <row r="37385" spans="1:18">
      <c r="A37385" t="n">
        <v>367981</v>
      </c>
      <c r="B37385" s="37" t="n">
        <v>60</v>
      </c>
      <c r="C37385" s="7" t="n">
        <v>0</v>
      </c>
      <c r="D37385" s="7" t="n">
        <v>0</v>
      </c>
      <c r="E37385" s="7" t="n">
        <v>0</v>
      </c>
      <c r="F37385" s="7" t="n">
        <v>0</v>
      </c>
      <c r="G37385" s="7" t="n">
        <v>0</v>
      </c>
      <c r="H37385" s="7" t="n">
        <v>0</v>
      </c>
    </row>
    <row r="37386" spans="1:18">
      <c r="A37386" t="s">
        <v>4</v>
      </c>
      <c r="B37386" s="4" t="s">
        <v>5</v>
      </c>
      <c r="C37386" s="4" t="s">
        <v>7</v>
      </c>
      <c r="D37386" s="4" t="s">
        <v>11</v>
      </c>
    </row>
    <row r="37387" spans="1:18">
      <c r="A37387" t="n">
        <v>368000</v>
      </c>
      <c r="B37387" s="23" t="n">
        <v>58</v>
      </c>
      <c r="C37387" s="7" t="n">
        <v>255</v>
      </c>
      <c r="D37387" s="7" t="n">
        <v>0</v>
      </c>
    </row>
    <row r="37388" spans="1:18">
      <c r="A37388" t="s">
        <v>4</v>
      </c>
      <c r="B37388" s="4" t="s">
        <v>5</v>
      </c>
      <c r="C37388" s="4" t="s">
        <v>11</v>
      </c>
      <c r="D37388" s="4" t="s">
        <v>7</v>
      </c>
      <c r="E37388" s="4" t="s">
        <v>7</v>
      </c>
      <c r="F37388" s="4" t="s">
        <v>8</v>
      </c>
    </row>
    <row r="37389" spans="1:18">
      <c r="A37389" t="n">
        <v>368004</v>
      </c>
      <c r="B37389" s="50" t="n">
        <v>20</v>
      </c>
      <c r="C37389" s="7" t="n">
        <v>0</v>
      </c>
      <c r="D37389" s="7" t="n">
        <v>2</v>
      </c>
      <c r="E37389" s="7" t="n">
        <v>10</v>
      </c>
      <c r="F37389" s="7" t="s">
        <v>260</v>
      </c>
    </row>
    <row r="37390" spans="1:18">
      <c r="A37390" t="s">
        <v>4</v>
      </c>
      <c r="B37390" s="4" t="s">
        <v>5</v>
      </c>
      <c r="C37390" s="4" t="s">
        <v>7</v>
      </c>
      <c r="D37390" s="4" t="s">
        <v>11</v>
      </c>
      <c r="E37390" s="4" t="s">
        <v>8</v>
      </c>
    </row>
    <row r="37391" spans="1:18">
      <c r="A37391" t="n">
        <v>368024</v>
      </c>
      <c r="B37391" s="38" t="n">
        <v>51</v>
      </c>
      <c r="C37391" s="7" t="n">
        <v>4</v>
      </c>
      <c r="D37391" s="7" t="n">
        <v>0</v>
      </c>
      <c r="E37391" s="7" t="s">
        <v>235</v>
      </c>
    </row>
    <row r="37392" spans="1:18">
      <c r="A37392" t="s">
        <v>4</v>
      </c>
      <c r="B37392" s="4" t="s">
        <v>5</v>
      </c>
      <c r="C37392" s="4" t="s">
        <v>11</v>
      </c>
    </row>
    <row r="37393" spans="1:9">
      <c r="A37393" t="n">
        <v>368038</v>
      </c>
      <c r="B37393" s="29" t="n">
        <v>16</v>
      </c>
      <c r="C37393" s="7" t="n">
        <v>0</v>
      </c>
    </row>
    <row r="37394" spans="1:9">
      <c r="A37394" t="s">
        <v>4</v>
      </c>
      <c r="B37394" s="4" t="s">
        <v>5</v>
      </c>
      <c r="C37394" s="4" t="s">
        <v>11</v>
      </c>
      <c r="D37394" s="4" t="s">
        <v>7</v>
      </c>
      <c r="E37394" s="4" t="s">
        <v>15</v>
      </c>
      <c r="F37394" s="4" t="s">
        <v>55</v>
      </c>
      <c r="G37394" s="4" t="s">
        <v>7</v>
      </c>
      <c r="H37394" s="4" t="s">
        <v>7</v>
      </c>
      <c r="I37394" s="4" t="s">
        <v>7</v>
      </c>
      <c r="J37394" s="4" t="s">
        <v>15</v>
      </c>
      <c r="K37394" s="4" t="s">
        <v>55</v>
      </c>
      <c r="L37394" s="4" t="s">
        <v>7</v>
      </c>
      <c r="M37394" s="4" t="s">
        <v>7</v>
      </c>
    </row>
    <row r="37395" spans="1:9">
      <c r="A37395" t="n">
        <v>368041</v>
      </c>
      <c r="B37395" s="55" t="n">
        <v>26</v>
      </c>
      <c r="C37395" s="7" t="n">
        <v>0</v>
      </c>
      <c r="D37395" s="7" t="n">
        <v>17</v>
      </c>
      <c r="E37395" s="7" t="n">
        <v>64361</v>
      </c>
      <c r="F37395" s="7" t="s">
        <v>1315</v>
      </c>
      <c r="G37395" s="7" t="n">
        <v>2</v>
      </c>
      <c r="H37395" s="7" t="n">
        <v>3</v>
      </c>
      <c r="I37395" s="7" t="n">
        <v>17</v>
      </c>
      <c r="J37395" s="7" t="n">
        <v>64362</v>
      </c>
      <c r="K37395" s="7" t="s">
        <v>1316</v>
      </c>
      <c r="L37395" s="7" t="n">
        <v>2</v>
      </c>
      <c r="M37395" s="7" t="n">
        <v>0</v>
      </c>
    </row>
    <row r="37396" spans="1:9">
      <c r="A37396" t="s">
        <v>4</v>
      </c>
      <c r="B37396" s="4" t="s">
        <v>5</v>
      </c>
    </row>
    <row r="37397" spans="1:9">
      <c r="A37397" t="n">
        <v>368182</v>
      </c>
      <c r="B37397" s="27" t="n">
        <v>28</v>
      </c>
    </row>
    <row r="37398" spans="1:9">
      <c r="A37398" t="s">
        <v>4</v>
      </c>
      <c r="B37398" s="4" t="s">
        <v>5</v>
      </c>
      <c r="C37398" s="4" t="s">
        <v>7</v>
      </c>
      <c r="D37398" s="4" t="s">
        <v>11</v>
      </c>
      <c r="E37398" s="4" t="s">
        <v>11</v>
      </c>
      <c r="F37398" s="4" t="s">
        <v>7</v>
      </c>
    </row>
    <row r="37399" spans="1:9">
      <c r="A37399" t="n">
        <v>368183</v>
      </c>
      <c r="B37399" s="31" t="n">
        <v>25</v>
      </c>
      <c r="C37399" s="7" t="n">
        <v>1</v>
      </c>
      <c r="D37399" s="7" t="n">
        <v>65535</v>
      </c>
      <c r="E37399" s="7" t="n">
        <v>65535</v>
      </c>
      <c r="F37399" s="7" t="n">
        <v>0</v>
      </c>
    </row>
    <row r="37400" spans="1:9">
      <c r="A37400" t="s">
        <v>4</v>
      </c>
      <c r="B37400" s="4" t="s">
        <v>5</v>
      </c>
      <c r="C37400" s="4" t="s">
        <v>7</v>
      </c>
      <c r="D37400" s="4" t="s">
        <v>11</v>
      </c>
      <c r="E37400" s="4" t="s">
        <v>8</v>
      </c>
    </row>
    <row r="37401" spans="1:9">
      <c r="A37401" t="n">
        <v>368190</v>
      </c>
      <c r="B37401" s="38" t="n">
        <v>51</v>
      </c>
      <c r="C37401" s="7" t="n">
        <v>4</v>
      </c>
      <c r="D37401" s="7" t="n">
        <v>6</v>
      </c>
      <c r="E37401" s="7" t="s">
        <v>242</v>
      </c>
    </row>
    <row r="37402" spans="1:9">
      <c r="A37402" t="s">
        <v>4</v>
      </c>
      <c r="B37402" s="4" t="s">
        <v>5</v>
      </c>
      <c r="C37402" s="4" t="s">
        <v>11</v>
      </c>
    </row>
    <row r="37403" spans="1:9">
      <c r="A37403" t="n">
        <v>368204</v>
      </c>
      <c r="B37403" s="29" t="n">
        <v>16</v>
      </c>
      <c r="C37403" s="7" t="n">
        <v>0</v>
      </c>
    </row>
    <row r="37404" spans="1:9">
      <c r="A37404" t="s">
        <v>4</v>
      </c>
      <c r="B37404" s="4" t="s">
        <v>5</v>
      </c>
      <c r="C37404" s="4" t="s">
        <v>11</v>
      </c>
      <c r="D37404" s="4" t="s">
        <v>7</v>
      </c>
      <c r="E37404" s="4" t="s">
        <v>15</v>
      </c>
      <c r="F37404" s="4" t="s">
        <v>55</v>
      </c>
      <c r="G37404" s="4" t="s">
        <v>7</v>
      </c>
      <c r="H37404" s="4" t="s">
        <v>7</v>
      </c>
      <c r="I37404" s="4" t="s">
        <v>7</v>
      </c>
      <c r="J37404" s="4" t="s">
        <v>15</v>
      </c>
      <c r="K37404" s="4" t="s">
        <v>55</v>
      </c>
      <c r="L37404" s="4" t="s">
        <v>7</v>
      </c>
      <c r="M37404" s="4" t="s">
        <v>7</v>
      </c>
      <c r="N37404" s="4" t="s">
        <v>7</v>
      </c>
      <c r="O37404" s="4" t="s">
        <v>15</v>
      </c>
      <c r="P37404" s="4" t="s">
        <v>55</v>
      </c>
      <c r="Q37404" s="4" t="s">
        <v>7</v>
      </c>
      <c r="R37404" s="4" t="s">
        <v>7</v>
      </c>
    </row>
    <row r="37405" spans="1:9">
      <c r="A37405" t="n">
        <v>368207</v>
      </c>
      <c r="B37405" s="55" t="n">
        <v>26</v>
      </c>
      <c r="C37405" s="7" t="n">
        <v>6</v>
      </c>
      <c r="D37405" s="7" t="n">
        <v>17</v>
      </c>
      <c r="E37405" s="7" t="n">
        <v>64363</v>
      </c>
      <c r="F37405" s="7" t="s">
        <v>1317</v>
      </c>
      <c r="G37405" s="7" t="n">
        <v>2</v>
      </c>
      <c r="H37405" s="7" t="n">
        <v>3</v>
      </c>
      <c r="I37405" s="7" t="n">
        <v>17</v>
      </c>
      <c r="J37405" s="7" t="n">
        <v>64364</v>
      </c>
      <c r="K37405" s="7" t="s">
        <v>1318</v>
      </c>
      <c r="L37405" s="7" t="n">
        <v>2</v>
      </c>
      <c r="M37405" s="7" t="n">
        <v>3</v>
      </c>
      <c r="N37405" s="7" t="n">
        <v>17</v>
      </c>
      <c r="O37405" s="7" t="n">
        <v>64365</v>
      </c>
      <c r="P37405" s="7" t="s">
        <v>1319</v>
      </c>
      <c r="Q37405" s="7" t="n">
        <v>2</v>
      </c>
      <c r="R37405" s="7" t="n">
        <v>0</v>
      </c>
    </row>
    <row r="37406" spans="1:9">
      <c r="A37406" t="s">
        <v>4</v>
      </c>
      <c r="B37406" s="4" t="s">
        <v>5</v>
      </c>
    </row>
    <row r="37407" spans="1:9">
      <c r="A37407" t="n">
        <v>368586</v>
      </c>
      <c r="B37407" s="27" t="n">
        <v>28</v>
      </c>
    </row>
    <row r="37408" spans="1:9">
      <c r="A37408" t="s">
        <v>4</v>
      </c>
      <c r="B37408" s="4" t="s">
        <v>5</v>
      </c>
      <c r="C37408" s="4" t="s">
        <v>7</v>
      </c>
      <c r="D37408" s="4" t="s">
        <v>11</v>
      </c>
      <c r="E37408" s="4" t="s">
        <v>8</v>
      </c>
    </row>
    <row r="37409" spans="1:18">
      <c r="A37409" t="n">
        <v>368587</v>
      </c>
      <c r="B37409" s="38" t="n">
        <v>51</v>
      </c>
      <c r="C37409" s="7" t="n">
        <v>4</v>
      </c>
      <c r="D37409" s="7" t="n">
        <v>0</v>
      </c>
      <c r="E37409" s="7" t="s">
        <v>752</v>
      </c>
    </row>
    <row r="37410" spans="1:18">
      <c r="A37410" t="s">
        <v>4</v>
      </c>
      <c r="B37410" s="4" t="s">
        <v>5</v>
      </c>
      <c r="C37410" s="4" t="s">
        <v>11</v>
      </c>
    </row>
    <row r="37411" spans="1:18">
      <c r="A37411" t="n">
        <v>368601</v>
      </c>
      <c r="B37411" s="29" t="n">
        <v>16</v>
      </c>
      <c r="C37411" s="7" t="n">
        <v>0</v>
      </c>
    </row>
    <row r="37412" spans="1:18">
      <c r="A37412" t="s">
        <v>4</v>
      </c>
      <c r="B37412" s="4" t="s">
        <v>5</v>
      </c>
      <c r="C37412" s="4" t="s">
        <v>11</v>
      </c>
      <c r="D37412" s="4" t="s">
        <v>7</v>
      </c>
      <c r="E37412" s="4" t="s">
        <v>15</v>
      </c>
      <c r="F37412" s="4" t="s">
        <v>55</v>
      </c>
      <c r="G37412" s="4" t="s">
        <v>7</v>
      </c>
      <c r="H37412" s="4" t="s">
        <v>7</v>
      </c>
      <c r="I37412" s="4" t="s">
        <v>7</v>
      </c>
      <c r="J37412" s="4" t="s">
        <v>15</v>
      </c>
      <c r="K37412" s="4" t="s">
        <v>55</v>
      </c>
      <c r="L37412" s="4" t="s">
        <v>7</v>
      </c>
      <c r="M37412" s="4" t="s">
        <v>7</v>
      </c>
    </row>
    <row r="37413" spans="1:18">
      <c r="A37413" t="n">
        <v>368604</v>
      </c>
      <c r="B37413" s="55" t="n">
        <v>26</v>
      </c>
      <c r="C37413" s="7" t="n">
        <v>0</v>
      </c>
      <c r="D37413" s="7" t="n">
        <v>17</v>
      </c>
      <c r="E37413" s="7" t="n">
        <v>64366</v>
      </c>
      <c r="F37413" s="7" t="s">
        <v>1320</v>
      </c>
      <c r="G37413" s="7" t="n">
        <v>2</v>
      </c>
      <c r="H37413" s="7" t="n">
        <v>3</v>
      </c>
      <c r="I37413" s="7" t="n">
        <v>17</v>
      </c>
      <c r="J37413" s="7" t="n">
        <v>64367</v>
      </c>
      <c r="K37413" s="7" t="s">
        <v>1321</v>
      </c>
      <c r="L37413" s="7" t="n">
        <v>2</v>
      </c>
      <c r="M37413" s="7" t="n">
        <v>0</v>
      </c>
    </row>
    <row r="37414" spans="1:18">
      <c r="A37414" t="s">
        <v>4</v>
      </c>
      <c r="B37414" s="4" t="s">
        <v>5</v>
      </c>
    </row>
    <row r="37415" spans="1:18">
      <c r="A37415" t="n">
        <v>368824</v>
      </c>
      <c r="B37415" s="27" t="n">
        <v>28</v>
      </c>
    </row>
    <row r="37416" spans="1:18">
      <c r="A37416" t="s">
        <v>4</v>
      </c>
      <c r="B37416" s="4" t="s">
        <v>5</v>
      </c>
      <c r="C37416" s="4" t="s">
        <v>7</v>
      </c>
      <c r="D37416" s="4" t="s">
        <v>11</v>
      </c>
      <c r="E37416" s="4" t="s">
        <v>11</v>
      </c>
      <c r="F37416" s="4" t="s">
        <v>7</v>
      </c>
    </row>
    <row r="37417" spans="1:18">
      <c r="A37417" t="n">
        <v>368825</v>
      </c>
      <c r="B37417" s="31" t="n">
        <v>25</v>
      </c>
      <c r="C37417" s="7" t="n">
        <v>1</v>
      </c>
      <c r="D37417" s="7" t="n">
        <v>65535</v>
      </c>
      <c r="E37417" s="7" t="n">
        <v>65535</v>
      </c>
      <c r="F37417" s="7" t="n">
        <v>0</v>
      </c>
    </row>
    <row r="37418" spans="1:18">
      <c r="A37418" t="s">
        <v>4</v>
      </c>
      <c r="B37418" s="4" t="s">
        <v>5</v>
      </c>
      <c r="C37418" s="4" t="s">
        <v>7</v>
      </c>
      <c r="D37418" s="4" t="s">
        <v>11</v>
      </c>
      <c r="E37418" s="4" t="s">
        <v>8</v>
      </c>
    </row>
    <row r="37419" spans="1:18">
      <c r="A37419" t="n">
        <v>368832</v>
      </c>
      <c r="B37419" s="38" t="n">
        <v>51</v>
      </c>
      <c r="C37419" s="7" t="n">
        <v>4</v>
      </c>
      <c r="D37419" s="7" t="n">
        <v>6</v>
      </c>
      <c r="E37419" s="7" t="s">
        <v>179</v>
      </c>
    </row>
    <row r="37420" spans="1:18">
      <c r="A37420" t="s">
        <v>4</v>
      </c>
      <c r="B37420" s="4" t="s">
        <v>5</v>
      </c>
      <c r="C37420" s="4" t="s">
        <v>11</v>
      </c>
    </row>
    <row r="37421" spans="1:18">
      <c r="A37421" t="n">
        <v>368846</v>
      </c>
      <c r="B37421" s="29" t="n">
        <v>16</v>
      </c>
      <c r="C37421" s="7" t="n">
        <v>0</v>
      </c>
    </row>
    <row r="37422" spans="1:18">
      <c r="A37422" t="s">
        <v>4</v>
      </c>
      <c r="B37422" s="4" t="s">
        <v>5</v>
      </c>
      <c r="C37422" s="4" t="s">
        <v>11</v>
      </c>
      <c r="D37422" s="4" t="s">
        <v>7</v>
      </c>
      <c r="E37422" s="4" t="s">
        <v>15</v>
      </c>
      <c r="F37422" s="4" t="s">
        <v>55</v>
      </c>
      <c r="G37422" s="4" t="s">
        <v>7</v>
      </c>
      <c r="H37422" s="4" t="s">
        <v>7</v>
      </c>
    </row>
    <row r="37423" spans="1:18">
      <c r="A37423" t="n">
        <v>368849</v>
      </c>
      <c r="B37423" s="55" t="n">
        <v>26</v>
      </c>
      <c r="C37423" s="7" t="n">
        <v>6</v>
      </c>
      <c r="D37423" s="7" t="n">
        <v>17</v>
      </c>
      <c r="E37423" s="7" t="n">
        <v>64368</v>
      </c>
      <c r="F37423" s="7" t="s">
        <v>1322</v>
      </c>
      <c r="G37423" s="7" t="n">
        <v>2</v>
      </c>
      <c r="H37423" s="7" t="n">
        <v>0</v>
      </c>
    </row>
    <row r="37424" spans="1:18">
      <c r="A37424" t="s">
        <v>4</v>
      </c>
      <c r="B37424" s="4" t="s">
        <v>5</v>
      </c>
    </row>
    <row r="37425" spans="1:13">
      <c r="A37425" t="n">
        <v>368886</v>
      </c>
      <c r="B37425" s="27" t="n">
        <v>28</v>
      </c>
    </row>
    <row r="37426" spans="1:13">
      <c r="A37426" t="s">
        <v>4</v>
      </c>
      <c r="B37426" s="4" t="s">
        <v>5</v>
      </c>
      <c r="C37426" s="4" t="s">
        <v>11</v>
      </c>
      <c r="D37426" s="4" t="s">
        <v>13</v>
      </c>
      <c r="E37426" s="4" t="s">
        <v>13</v>
      </c>
      <c r="F37426" s="4" t="s">
        <v>13</v>
      </c>
      <c r="G37426" s="4" t="s">
        <v>11</v>
      </c>
      <c r="H37426" s="4" t="s">
        <v>11</v>
      </c>
    </row>
    <row r="37427" spans="1:13">
      <c r="A37427" t="n">
        <v>368887</v>
      </c>
      <c r="B37427" s="37" t="n">
        <v>60</v>
      </c>
      <c r="C37427" s="7" t="n">
        <v>6</v>
      </c>
      <c r="D37427" s="7" t="n">
        <v>0</v>
      </c>
      <c r="E37427" s="7" t="n">
        <v>-10</v>
      </c>
      <c r="F37427" s="7" t="n">
        <v>0</v>
      </c>
      <c r="G37427" s="7" t="n">
        <v>1000</v>
      </c>
      <c r="H37427" s="7" t="n">
        <v>0</v>
      </c>
    </row>
    <row r="37428" spans="1:13">
      <c r="A37428" t="s">
        <v>4</v>
      </c>
      <c r="B37428" s="4" t="s">
        <v>5</v>
      </c>
      <c r="C37428" s="4" t="s">
        <v>11</v>
      </c>
      <c r="D37428" s="4" t="s">
        <v>7</v>
      </c>
      <c r="E37428" s="4" t="s">
        <v>8</v>
      </c>
      <c r="F37428" s="4" t="s">
        <v>13</v>
      </c>
      <c r="G37428" s="4" t="s">
        <v>13</v>
      </c>
      <c r="H37428" s="4" t="s">
        <v>13</v>
      </c>
    </row>
    <row r="37429" spans="1:13">
      <c r="A37429" t="n">
        <v>368906</v>
      </c>
      <c r="B37429" s="42" t="n">
        <v>48</v>
      </c>
      <c r="C37429" s="7" t="n">
        <v>6</v>
      </c>
      <c r="D37429" s="7" t="n">
        <v>0</v>
      </c>
      <c r="E37429" s="7" t="s">
        <v>230</v>
      </c>
      <c r="F37429" s="7" t="n">
        <v>0.400000005960464</v>
      </c>
      <c r="G37429" s="7" t="n">
        <v>1</v>
      </c>
      <c r="H37429" s="7" t="n">
        <v>8.4077907859489e-45</v>
      </c>
    </row>
    <row r="37430" spans="1:13">
      <c r="A37430" t="s">
        <v>4</v>
      </c>
      <c r="B37430" s="4" t="s">
        <v>5</v>
      </c>
      <c r="C37430" s="4" t="s">
        <v>7</v>
      </c>
      <c r="D37430" s="4" t="s">
        <v>11</v>
      </c>
      <c r="E37430" s="4" t="s">
        <v>8</v>
      </c>
    </row>
    <row r="37431" spans="1:13">
      <c r="A37431" t="n">
        <v>368937</v>
      </c>
      <c r="B37431" s="38" t="n">
        <v>51</v>
      </c>
      <c r="C37431" s="7" t="n">
        <v>4</v>
      </c>
      <c r="D37431" s="7" t="n">
        <v>6</v>
      </c>
      <c r="E37431" s="7" t="s">
        <v>261</v>
      </c>
    </row>
    <row r="37432" spans="1:13">
      <c r="A37432" t="s">
        <v>4</v>
      </c>
      <c r="B37432" s="4" t="s">
        <v>5</v>
      </c>
      <c r="C37432" s="4" t="s">
        <v>11</v>
      </c>
    </row>
    <row r="37433" spans="1:13">
      <c r="A37433" t="n">
        <v>368952</v>
      </c>
      <c r="B37433" s="29" t="n">
        <v>16</v>
      </c>
      <c r="C37433" s="7" t="n">
        <v>0</v>
      </c>
    </row>
    <row r="37434" spans="1:13">
      <c r="A37434" t="s">
        <v>4</v>
      </c>
      <c r="B37434" s="4" t="s">
        <v>5</v>
      </c>
      <c r="C37434" s="4" t="s">
        <v>11</v>
      </c>
      <c r="D37434" s="4" t="s">
        <v>7</v>
      </c>
      <c r="E37434" s="4" t="s">
        <v>15</v>
      </c>
      <c r="F37434" s="4" t="s">
        <v>55</v>
      </c>
      <c r="G37434" s="4" t="s">
        <v>7</v>
      </c>
      <c r="H37434" s="4" t="s">
        <v>7</v>
      </c>
    </row>
    <row r="37435" spans="1:13">
      <c r="A37435" t="n">
        <v>368955</v>
      </c>
      <c r="B37435" s="55" t="n">
        <v>26</v>
      </c>
      <c r="C37435" s="7" t="n">
        <v>6</v>
      </c>
      <c r="D37435" s="7" t="n">
        <v>17</v>
      </c>
      <c r="E37435" s="7" t="n">
        <v>64369</v>
      </c>
      <c r="F37435" s="7" t="s">
        <v>464</v>
      </c>
      <c r="G37435" s="7" t="n">
        <v>2</v>
      </c>
      <c r="H37435" s="7" t="n">
        <v>0</v>
      </c>
    </row>
    <row r="37436" spans="1:13">
      <c r="A37436" t="s">
        <v>4</v>
      </c>
      <c r="B37436" s="4" t="s">
        <v>5</v>
      </c>
    </row>
    <row r="37437" spans="1:13">
      <c r="A37437" t="n">
        <v>368968</v>
      </c>
      <c r="B37437" s="27" t="n">
        <v>28</v>
      </c>
    </row>
    <row r="37438" spans="1:13">
      <c r="A37438" t="s">
        <v>4</v>
      </c>
      <c r="B37438" s="4" t="s">
        <v>5</v>
      </c>
      <c r="C37438" s="4" t="s">
        <v>11</v>
      </c>
      <c r="D37438" s="4" t="s">
        <v>7</v>
      </c>
    </row>
    <row r="37439" spans="1:13">
      <c r="A37439" t="n">
        <v>368969</v>
      </c>
      <c r="B37439" s="68" t="n">
        <v>89</v>
      </c>
      <c r="C37439" s="7" t="n">
        <v>65533</v>
      </c>
      <c r="D37439" s="7" t="n">
        <v>1</v>
      </c>
    </row>
    <row r="37440" spans="1:13">
      <c r="A37440" t="s">
        <v>4</v>
      </c>
      <c r="B37440" s="4" t="s">
        <v>5</v>
      </c>
      <c r="C37440" s="4" t="s">
        <v>7</v>
      </c>
      <c r="D37440" s="4" t="s">
        <v>11</v>
      </c>
      <c r="E37440" s="4" t="s">
        <v>13</v>
      </c>
    </row>
    <row r="37441" spans="1:8">
      <c r="A37441" t="n">
        <v>368973</v>
      </c>
      <c r="B37441" s="23" t="n">
        <v>58</v>
      </c>
      <c r="C37441" s="7" t="n">
        <v>101</v>
      </c>
      <c r="D37441" s="7" t="n">
        <v>800</v>
      </c>
      <c r="E37441" s="7" t="n">
        <v>1</v>
      </c>
    </row>
    <row r="37442" spans="1:8">
      <c r="A37442" t="s">
        <v>4</v>
      </c>
      <c r="B37442" s="4" t="s">
        <v>5</v>
      </c>
      <c r="C37442" s="4" t="s">
        <v>7</v>
      </c>
      <c r="D37442" s="4" t="s">
        <v>11</v>
      </c>
    </row>
    <row r="37443" spans="1:8">
      <c r="A37443" t="n">
        <v>368981</v>
      </c>
      <c r="B37443" s="23" t="n">
        <v>58</v>
      </c>
      <c r="C37443" s="7" t="n">
        <v>254</v>
      </c>
      <c r="D37443" s="7" t="n">
        <v>0</v>
      </c>
    </row>
    <row r="37444" spans="1:8">
      <c r="A37444" t="s">
        <v>4</v>
      </c>
      <c r="B37444" s="4" t="s">
        <v>5</v>
      </c>
      <c r="C37444" s="4" t="s">
        <v>7</v>
      </c>
      <c r="D37444" s="4" t="s">
        <v>7</v>
      </c>
      <c r="E37444" s="4" t="s">
        <v>13</v>
      </c>
      <c r="F37444" s="4" t="s">
        <v>13</v>
      </c>
      <c r="G37444" s="4" t="s">
        <v>13</v>
      </c>
      <c r="H37444" s="4" t="s">
        <v>11</v>
      </c>
    </row>
    <row r="37445" spans="1:8">
      <c r="A37445" t="n">
        <v>368985</v>
      </c>
      <c r="B37445" s="51" t="n">
        <v>45</v>
      </c>
      <c r="C37445" s="7" t="n">
        <v>2</v>
      </c>
      <c r="D37445" s="7" t="n">
        <v>3</v>
      </c>
      <c r="E37445" s="7" t="n">
        <v>6.73999977111816</v>
      </c>
      <c r="F37445" s="7" t="n">
        <v>6.48999977111816</v>
      </c>
      <c r="G37445" s="7" t="n">
        <v>54.25</v>
      </c>
      <c r="H37445" s="7" t="n">
        <v>0</v>
      </c>
    </row>
    <row r="37446" spans="1:8">
      <c r="A37446" t="s">
        <v>4</v>
      </c>
      <c r="B37446" s="4" t="s">
        <v>5</v>
      </c>
      <c r="C37446" s="4" t="s">
        <v>7</v>
      </c>
      <c r="D37446" s="4" t="s">
        <v>7</v>
      </c>
      <c r="E37446" s="4" t="s">
        <v>13</v>
      </c>
      <c r="F37446" s="4" t="s">
        <v>13</v>
      </c>
      <c r="G37446" s="4" t="s">
        <v>13</v>
      </c>
      <c r="H37446" s="4" t="s">
        <v>11</v>
      </c>
      <c r="I37446" s="4" t="s">
        <v>7</v>
      </c>
    </row>
    <row r="37447" spans="1:8">
      <c r="A37447" t="n">
        <v>369002</v>
      </c>
      <c r="B37447" s="51" t="n">
        <v>45</v>
      </c>
      <c r="C37447" s="7" t="n">
        <v>4</v>
      </c>
      <c r="D37447" s="7" t="n">
        <v>3</v>
      </c>
      <c r="E37447" s="7" t="n">
        <v>4.05000019073486</v>
      </c>
      <c r="F37447" s="7" t="n">
        <v>274.170013427734</v>
      </c>
      <c r="G37447" s="7" t="n">
        <v>358</v>
      </c>
      <c r="H37447" s="7" t="n">
        <v>0</v>
      </c>
      <c r="I37447" s="7" t="n">
        <v>0</v>
      </c>
    </row>
    <row r="37448" spans="1:8">
      <c r="A37448" t="s">
        <v>4</v>
      </c>
      <c r="B37448" s="4" t="s">
        <v>5</v>
      </c>
      <c r="C37448" s="4" t="s">
        <v>7</v>
      </c>
      <c r="D37448" s="4" t="s">
        <v>7</v>
      </c>
      <c r="E37448" s="4" t="s">
        <v>13</v>
      </c>
      <c r="F37448" s="4" t="s">
        <v>11</v>
      </c>
    </row>
    <row r="37449" spans="1:8">
      <c r="A37449" t="n">
        <v>369020</v>
      </c>
      <c r="B37449" s="51" t="n">
        <v>45</v>
      </c>
      <c r="C37449" s="7" t="n">
        <v>5</v>
      </c>
      <c r="D37449" s="7" t="n">
        <v>3</v>
      </c>
      <c r="E37449" s="7" t="n">
        <v>1.39999997615814</v>
      </c>
      <c r="F37449" s="7" t="n">
        <v>0</v>
      </c>
    </row>
    <row r="37450" spans="1:8">
      <c r="A37450" t="s">
        <v>4</v>
      </c>
      <c r="B37450" s="4" t="s">
        <v>5</v>
      </c>
      <c r="C37450" s="4" t="s">
        <v>7</v>
      </c>
      <c r="D37450" s="4" t="s">
        <v>7</v>
      </c>
      <c r="E37450" s="4" t="s">
        <v>13</v>
      </c>
      <c r="F37450" s="4" t="s">
        <v>11</v>
      </c>
    </row>
    <row r="37451" spans="1:8">
      <c r="A37451" t="n">
        <v>369029</v>
      </c>
      <c r="B37451" s="51" t="n">
        <v>45</v>
      </c>
      <c r="C37451" s="7" t="n">
        <v>5</v>
      </c>
      <c r="D37451" s="7" t="n">
        <v>3</v>
      </c>
      <c r="E37451" s="7" t="n">
        <v>1.5</v>
      </c>
      <c r="F37451" s="7" t="n">
        <v>3000</v>
      </c>
    </row>
    <row r="37452" spans="1:8">
      <c r="A37452" t="s">
        <v>4</v>
      </c>
      <c r="B37452" s="4" t="s">
        <v>5</v>
      </c>
      <c r="C37452" s="4" t="s">
        <v>7</v>
      </c>
      <c r="D37452" s="4" t="s">
        <v>7</v>
      </c>
      <c r="E37452" s="4" t="s">
        <v>13</v>
      </c>
      <c r="F37452" s="4" t="s">
        <v>11</v>
      </c>
    </row>
    <row r="37453" spans="1:8">
      <c r="A37453" t="n">
        <v>369038</v>
      </c>
      <c r="B37453" s="51" t="n">
        <v>45</v>
      </c>
      <c r="C37453" s="7" t="n">
        <v>11</v>
      </c>
      <c r="D37453" s="7" t="n">
        <v>3</v>
      </c>
      <c r="E37453" s="7" t="n">
        <v>30</v>
      </c>
      <c r="F37453" s="7" t="n">
        <v>0</v>
      </c>
    </row>
    <row r="37454" spans="1:8">
      <c r="A37454" t="s">
        <v>4</v>
      </c>
      <c r="B37454" s="4" t="s">
        <v>5</v>
      </c>
      <c r="C37454" s="4" t="s">
        <v>7</v>
      </c>
      <c r="D37454" s="4" t="s">
        <v>11</v>
      </c>
      <c r="E37454" s="4" t="s">
        <v>8</v>
      </c>
      <c r="F37454" s="4" t="s">
        <v>8</v>
      </c>
      <c r="G37454" s="4" t="s">
        <v>8</v>
      </c>
      <c r="H37454" s="4" t="s">
        <v>8</v>
      </c>
    </row>
    <row r="37455" spans="1:8">
      <c r="A37455" t="n">
        <v>369047</v>
      </c>
      <c r="B37455" s="38" t="n">
        <v>51</v>
      </c>
      <c r="C37455" s="7" t="n">
        <v>3</v>
      </c>
      <c r="D37455" s="7" t="n">
        <v>6</v>
      </c>
      <c r="E37455" s="7" t="s">
        <v>86</v>
      </c>
      <c r="F37455" s="7" t="s">
        <v>218</v>
      </c>
      <c r="G37455" s="7" t="s">
        <v>78</v>
      </c>
      <c r="H37455" s="7" t="s">
        <v>79</v>
      </c>
    </row>
    <row r="37456" spans="1:8">
      <c r="A37456" t="s">
        <v>4</v>
      </c>
      <c r="B37456" s="4" t="s">
        <v>5</v>
      </c>
      <c r="C37456" s="4" t="s">
        <v>7</v>
      </c>
      <c r="D37456" s="4" t="s">
        <v>11</v>
      </c>
    </row>
    <row r="37457" spans="1:9">
      <c r="A37457" t="n">
        <v>369060</v>
      </c>
      <c r="B37457" s="23" t="n">
        <v>58</v>
      </c>
      <c r="C37457" s="7" t="n">
        <v>255</v>
      </c>
      <c r="D37457" s="7" t="n">
        <v>0</v>
      </c>
    </row>
    <row r="37458" spans="1:9">
      <c r="A37458" t="s">
        <v>4</v>
      </c>
      <c r="B37458" s="4" t="s">
        <v>5</v>
      </c>
      <c r="C37458" s="4" t="s">
        <v>11</v>
      </c>
      <c r="D37458" s="4" t="s">
        <v>7</v>
      </c>
      <c r="E37458" s="4" t="s">
        <v>13</v>
      </c>
      <c r="F37458" s="4" t="s">
        <v>11</v>
      </c>
    </row>
    <row r="37459" spans="1:9">
      <c r="A37459" t="n">
        <v>369064</v>
      </c>
      <c r="B37459" s="56" t="n">
        <v>59</v>
      </c>
      <c r="C37459" s="7" t="n">
        <v>6</v>
      </c>
      <c r="D37459" s="7" t="n">
        <v>9</v>
      </c>
      <c r="E37459" s="7" t="n">
        <v>0.150000005960464</v>
      </c>
      <c r="F37459" s="7" t="n">
        <v>0</v>
      </c>
    </row>
    <row r="37460" spans="1:9">
      <c r="A37460" t="s">
        <v>4</v>
      </c>
      <c r="B37460" s="4" t="s">
        <v>5</v>
      </c>
      <c r="C37460" s="4" t="s">
        <v>11</v>
      </c>
    </row>
    <row r="37461" spans="1:9">
      <c r="A37461" t="n">
        <v>369074</v>
      </c>
      <c r="B37461" s="29" t="n">
        <v>16</v>
      </c>
      <c r="C37461" s="7" t="n">
        <v>1500</v>
      </c>
    </row>
    <row r="37462" spans="1:9">
      <c r="A37462" t="s">
        <v>4</v>
      </c>
      <c r="B37462" s="4" t="s">
        <v>5</v>
      </c>
      <c r="C37462" s="4" t="s">
        <v>7</v>
      </c>
      <c r="D37462" s="4" t="s">
        <v>11</v>
      </c>
      <c r="E37462" s="4" t="s">
        <v>8</v>
      </c>
    </row>
    <row r="37463" spans="1:9">
      <c r="A37463" t="n">
        <v>369077</v>
      </c>
      <c r="B37463" s="38" t="n">
        <v>51</v>
      </c>
      <c r="C37463" s="7" t="n">
        <v>4</v>
      </c>
      <c r="D37463" s="7" t="n">
        <v>6</v>
      </c>
      <c r="E37463" s="7" t="s">
        <v>224</v>
      </c>
    </row>
    <row r="37464" spans="1:9">
      <c r="A37464" t="s">
        <v>4</v>
      </c>
      <c r="B37464" s="4" t="s">
        <v>5</v>
      </c>
      <c r="C37464" s="4" t="s">
        <v>11</v>
      </c>
    </row>
    <row r="37465" spans="1:9">
      <c r="A37465" t="n">
        <v>369091</v>
      </c>
      <c r="B37465" s="29" t="n">
        <v>16</v>
      </c>
      <c r="C37465" s="7" t="n">
        <v>0</v>
      </c>
    </row>
    <row r="37466" spans="1:9">
      <c r="A37466" t="s">
        <v>4</v>
      </c>
      <c r="B37466" s="4" t="s">
        <v>5</v>
      </c>
      <c r="C37466" s="4" t="s">
        <v>11</v>
      </c>
      <c r="D37466" s="4" t="s">
        <v>7</v>
      </c>
      <c r="E37466" s="4" t="s">
        <v>15</v>
      </c>
      <c r="F37466" s="4" t="s">
        <v>55</v>
      </c>
      <c r="G37466" s="4" t="s">
        <v>7</v>
      </c>
      <c r="H37466" s="4" t="s">
        <v>7</v>
      </c>
    </row>
    <row r="37467" spans="1:9">
      <c r="A37467" t="n">
        <v>369094</v>
      </c>
      <c r="B37467" s="55" t="n">
        <v>26</v>
      </c>
      <c r="C37467" s="7" t="n">
        <v>6</v>
      </c>
      <c r="D37467" s="7" t="n">
        <v>17</v>
      </c>
      <c r="E37467" s="7" t="n">
        <v>64378</v>
      </c>
      <c r="F37467" s="7" t="s">
        <v>1331</v>
      </c>
      <c r="G37467" s="7" t="n">
        <v>2</v>
      </c>
      <c r="H37467" s="7" t="n">
        <v>0</v>
      </c>
    </row>
    <row r="37468" spans="1:9">
      <c r="A37468" t="s">
        <v>4</v>
      </c>
      <c r="B37468" s="4" t="s">
        <v>5</v>
      </c>
    </row>
    <row r="37469" spans="1:9">
      <c r="A37469" t="n">
        <v>369222</v>
      </c>
      <c r="B37469" s="27" t="n">
        <v>28</v>
      </c>
    </row>
    <row r="37470" spans="1:9">
      <c r="A37470" t="s">
        <v>4</v>
      </c>
      <c r="B37470" s="4" t="s">
        <v>5</v>
      </c>
      <c r="C37470" s="4" t="s">
        <v>11</v>
      </c>
      <c r="D37470" s="4" t="s">
        <v>13</v>
      </c>
      <c r="E37470" s="4" t="s">
        <v>13</v>
      </c>
      <c r="F37470" s="4" t="s">
        <v>13</v>
      </c>
      <c r="G37470" s="4" t="s">
        <v>11</v>
      </c>
      <c r="H37470" s="4" t="s">
        <v>11</v>
      </c>
    </row>
    <row r="37471" spans="1:9">
      <c r="A37471" t="n">
        <v>369223</v>
      </c>
      <c r="B37471" s="37" t="n">
        <v>60</v>
      </c>
      <c r="C37471" s="7" t="n">
        <v>6</v>
      </c>
      <c r="D37471" s="7" t="n">
        <v>0</v>
      </c>
      <c r="E37471" s="7" t="n">
        <v>0</v>
      </c>
      <c r="F37471" s="7" t="n">
        <v>0</v>
      </c>
      <c r="G37471" s="7" t="n">
        <v>800</v>
      </c>
      <c r="H37471" s="7" t="n">
        <v>0</v>
      </c>
    </row>
    <row r="37472" spans="1:9">
      <c r="A37472" t="s">
        <v>4</v>
      </c>
      <c r="B37472" s="4" t="s">
        <v>5</v>
      </c>
      <c r="C37472" s="4" t="s">
        <v>11</v>
      </c>
    </row>
    <row r="37473" spans="1:8">
      <c r="A37473" t="n">
        <v>369242</v>
      </c>
      <c r="B37473" s="29" t="n">
        <v>16</v>
      </c>
      <c r="C37473" s="7" t="n">
        <v>300</v>
      </c>
    </row>
    <row r="37474" spans="1:8">
      <c r="A37474" t="s">
        <v>4</v>
      </c>
      <c r="B37474" s="4" t="s">
        <v>5</v>
      </c>
      <c r="C37474" s="4" t="s">
        <v>7</v>
      </c>
      <c r="D37474" s="4" t="s">
        <v>11</v>
      </c>
      <c r="E37474" s="4" t="s">
        <v>8</v>
      </c>
    </row>
    <row r="37475" spans="1:8">
      <c r="A37475" t="n">
        <v>369245</v>
      </c>
      <c r="B37475" s="38" t="n">
        <v>51</v>
      </c>
      <c r="C37475" s="7" t="n">
        <v>4</v>
      </c>
      <c r="D37475" s="7" t="n">
        <v>6</v>
      </c>
      <c r="E37475" s="7" t="s">
        <v>137</v>
      </c>
    </row>
    <row r="37476" spans="1:8">
      <c r="A37476" t="s">
        <v>4</v>
      </c>
      <c r="B37476" s="4" t="s">
        <v>5</v>
      </c>
      <c r="C37476" s="4" t="s">
        <v>11</v>
      </c>
    </row>
    <row r="37477" spans="1:8">
      <c r="A37477" t="n">
        <v>369258</v>
      </c>
      <c r="B37477" s="29" t="n">
        <v>16</v>
      </c>
      <c r="C37477" s="7" t="n">
        <v>0</v>
      </c>
    </row>
    <row r="37478" spans="1:8">
      <c r="A37478" t="s">
        <v>4</v>
      </c>
      <c r="B37478" s="4" t="s">
        <v>5</v>
      </c>
      <c r="C37478" s="4" t="s">
        <v>11</v>
      </c>
      <c r="D37478" s="4" t="s">
        <v>7</v>
      </c>
      <c r="E37478" s="4" t="s">
        <v>15</v>
      </c>
      <c r="F37478" s="4" t="s">
        <v>55</v>
      </c>
      <c r="G37478" s="4" t="s">
        <v>7</v>
      </c>
      <c r="H37478" s="4" t="s">
        <v>7</v>
      </c>
    </row>
    <row r="37479" spans="1:8">
      <c r="A37479" t="n">
        <v>369261</v>
      </c>
      <c r="B37479" s="55" t="n">
        <v>26</v>
      </c>
      <c r="C37479" s="7" t="n">
        <v>6</v>
      </c>
      <c r="D37479" s="7" t="n">
        <v>17</v>
      </c>
      <c r="E37479" s="7" t="n">
        <v>64379</v>
      </c>
      <c r="F37479" s="7" t="s">
        <v>1332</v>
      </c>
      <c r="G37479" s="7" t="n">
        <v>2</v>
      </c>
      <c r="H37479" s="7" t="n">
        <v>0</v>
      </c>
    </row>
    <row r="37480" spans="1:8">
      <c r="A37480" t="s">
        <v>4</v>
      </c>
      <c r="B37480" s="4" t="s">
        <v>5</v>
      </c>
    </row>
    <row r="37481" spans="1:8">
      <c r="A37481" t="n">
        <v>369361</v>
      </c>
      <c r="B37481" s="27" t="n">
        <v>28</v>
      </c>
    </row>
    <row r="37482" spans="1:8">
      <c r="A37482" t="s">
        <v>4</v>
      </c>
      <c r="B37482" s="4" t="s">
        <v>5</v>
      </c>
      <c r="C37482" s="4" t="s">
        <v>11</v>
      </c>
      <c r="D37482" s="4" t="s">
        <v>7</v>
      </c>
      <c r="E37482" s="4" t="s">
        <v>7</v>
      </c>
      <c r="F37482" s="4" t="s">
        <v>8</v>
      </c>
    </row>
    <row r="37483" spans="1:8">
      <c r="A37483" t="n">
        <v>369362</v>
      </c>
      <c r="B37483" s="50" t="n">
        <v>20</v>
      </c>
      <c r="C37483" s="7" t="n">
        <v>0</v>
      </c>
      <c r="D37483" s="7" t="n">
        <v>2</v>
      </c>
      <c r="E37483" s="7" t="n">
        <v>10</v>
      </c>
      <c r="F37483" s="7" t="s">
        <v>260</v>
      </c>
    </row>
    <row r="37484" spans="1:8">
      <c r="A37484" t="s">
        <v>4</v>
      </c>
      <c r="B37484" s="4" t="s">
        <v>5</v>
      </c>
      <c r="C37484" s="4" t="s">
        <v>7</v>
      </c>
      <c r="D37484" s="4" t="s">
        <v>11</v>
      </c>
      <c r="E37484" s="4" t="s">
        <v>8</v>
      </c>
    </row>
    <row r="37485" spans="1:8">
      <c r="A37485" t="n">
        <v>369382</v>
      </c>
      <c r="B37485" s="38" t="n">
        <v>51</v>
      </c>
      <c r="C37485" s="7" t="n">
        <v>4</v>
      </c>
      <c r="D37485" s="7" t="n">
        <v>0</v>
      </c>
      <c r="E37485" s="7" t="s">
        <v>242</v>
      </c>
    </row>
    <row r="37486" spans="1:8">
      <c r="A37486" t="s">
        <v>4</v>
      </c>
      <c r="B37486" s="4" t="s">
        <v>5</v>
      </c>
      <c r="C37486" s="4" t="s">
        <v>11</v>
      </c>
    </row>
    <row r="37487" spans="1:8">
      <c r="A37487" t="n">
        <v>369396</v>
      </c>
      <c r="B37487" s="29" t="n">
        <v>16</v>
      </c>
      <c r="C37487" s="7" t="n">
        <v>0</v>
      </c>
    </row>
    <row r="37488" spans="1:8">
      <c r="A37488" t="s">
        <v>4</v>
      </c>
      <c r="B37488" s="4" t="s">
        <v>5</v>
      </c>
      <c r="C37488" s="4" t="s">
        <v>11</v>
      </c>
      <c r="D37488" s="4" t="s">
        <v>7</v>
      </c>
      <c r="E37488" s="4" t="s">
        <v>15</v>
      </c>
      <c r="F37488" s="4" t="s">
        <v>55</v>
      </c>
      <c r="G37488" s="4" t="s">
        <v>7</v>
      </c>
      <c r="H37488" s="4" t="s">
        <v>7</v>
      </c>
      <c r="I37488" s="4" t="s">
        <v>7</v>
      </c>
      <c r="J37488" s="4" t="s">
        <v>15</v>
      </c>
      <c r="K37488" s="4" t="s">
        <v>55</v>
      </c>
      <c r="L37488" s="4" t="s">
        <v>7</v>
      </c>
      <c r="M37488" s="4" t="s">
        <v>7</v>
      </c>
    </row>
    <row r="37489" spans="1:13">
      <c r="A37489" t="n">
        <v>369399</v>
      </c>
      <c r="B37489" s="55" t="n">
        <v>26</v>
      </c>
      <c r="C37489" s="7" t="n">
        <v>0</v>
      </c>
      <c r="D37489" s="7" t="n">
        <v>17</v>
      </c>
      <c r="E37489" s="7" t="n">
        <v>64380</v>
      </c>
      <c r="F37489" s="7" t="s">
        <v>1333</v>
      </c>
      <c r="G37489" s="7" t="n">
        <v>2</v>
      </c>
      <c r="H37489" s="7" t="n">
        <v>3</v>
      </c>
      <c r="I37489" s="7" t="n">
        <v>17</v>
      </c>
      <c r="J37489" s="7" t="n">
        <v>64381</v>
      </c>
      <c r="K37489" s="7" t="s">
        <v>1334</v>
      </c>
      <c r="L37489" s="7" t="n">
        <v>2</v>
      </c>
      <c r="M37489" s="7" t="n">
        <v>0</v>
      </c>
    </row>
    <row r="37490" spans="1:13">
      <c r="A37490" t="s">
        <v>4</v>
      </c>
      <c r="B37490" s="4" t="s">
        <v>5</v>
      </c>
    </row>
    <row r="37491" spans="1:13">
      <c r="A37491" t="n">
        <v>369513</v>
      </c>
      <c r="B37491" s="27" t="n">
        <v>28</v>
      </c>
    </row>
    <row r="37492" spans="1:13">
      <c r="A37492" t="s">
        <v>4</v>
      </c>
      <c r="B37492" s="4" t="s">
        <v>5</v>
      </c>
      <c r="C37492" s="4" t="s">
        <v>7</v>
      </c>
      <c r="D37492" s="4" t="s">
        <v>11</v>
      </c>
      <c r="E37492" s="4" t="s">
        <v>11</v>
      </c>
      <c r="F37492" s="4" t="s">
        <v>7</v>
      </c>
    </row>
    <row r="37493" spans="1:13">
      <c r="A37493" t="n">
        <v>369514</v>
      </c>
      <c r="B37493" s="31" t="n">
        <v>25</v>
      </c>
      <c r="C37493" s="7" t="n">
        <v>1</v>
      </c>
      <c r="D37493" s="7" t="n">
        <v>65535</v>
      </c>
      <c r="E37493" s="7" t="n">
        <v>65535</v>
      </c>
      <c r="F37493" s="7" t="n">
        <v>0</v>
      </c>
    </row>
    <row r="37494" spans="1:13">
      <c r="A37494" t="s">
        <v>4</v>
      </c>
      <c r="B37494" s="4" t="s">
        <v>5</v>
      </c>
      <c r="C37494" s="4" t="s">
        <v>7</v>
      </c>
      <c r="D37494" s="4" t="s">
        <v>11</v>
      </c>
      <c r="E37494" s="4" t="s">
        <v>8</v>
      </c>
    </row>
    <row r="37495" spans="1:13">
      <c r="A37495" t="n">
        <v>369521</v>
      </c>
      <c r="B37495" s="38" t="n">
        <v>51</v>
      </c>
      <c r="C37495" s="7" t="n">
        <v>4</v>
      </c>
      <c r="D37495" s="7" t="n">
        <v>6</v>
      </c>
      <c r="E37495" s="7" t="s">
        <v>1335</v>
      </c>
    </row>
    <row r="37496" spans="1:13">
      <c r="A37496" t="s">
        <v>4</v>
      </c>
      <c r="B37496" s="4" t="s">
        <v>5</v>
      </c>
      <c r="C37496" s="4" t="s">
        <v>11</v>
      </c>
    </row>
    <row r="37497" spans="1:13">
      <c r="A37497" t="n">
        <v>369535</v>
      </c>
      <c r="B37497" s="29" t="n">
        <v>16</v>
      </c>
      <c r="C37497" s="7" t="n">
        <v>0</v>
      </c>
    </row>
    <row r="37498" spans="1:13">
      <c r="A37498" t="s">
        <v>4</v>
      </c>
      <c r="B37498" s="4" t="s">
        <v>5</v>
      </c>
      <c r="C37498" s="4" t="s">
        <v>11</v>
      </c>
      <c r="D37498" s="4" t="s">
        <v>7</v>
      </c>
      <c r="E37498" s="4" t="s">
        <v>15</v>
      </c>
      <c r="F37498" s="4" t="s">
        <v>55</v>
      </c>
      <c r="G37498" s="4" t="s">
        <v>7</v>
      </c>
      <c r="H37498" s="4" t="s">
        <v>7</v>
      </c>
    </row>
    <row r="37499" spans="1:13">
      <c r="A37499" t="n">
        <v>369538</v>
      </c>
      <c r="B37499" s="55" t="n">
        <v>26</v>
      </c>
      <c r="C37499" s="7" t="n">
        <v>6</v>
      </c>
      <c r="D37499" s="7" t="n">
        <v>17</v>
      </c>
      <c r="E37499" s="7" t="n">
        <v>65313</v>
      </c>
      <c r="F37499" s="7" t="s">
        <v>464</v>
      </c>
      <c r="G37499" s="7" t="n">
        <v>2</v>
      </c>
      <c r="H37499" s="7" t="n">
        <v>0</v>
      </c>
    </row>
    <row r="37500" spans="1:13">
      <c r="A37500" t="s">
        <v>4</v>
      </c>
      <c r="B37500" s="4" t="s">
        <v>5</v>
      </c>
    </row>
    <row r="37501" spans="1:13">
      <c r="A37501" t="n">
        <v>369551</v>
      </c>
      <c r="B37501" s="27" t="n">
        <v>28</v>
      </c>
    </row>
    <row r="37502" spans="1:13">
      <c r="A37502" t="s">
        <v>4</v>
      </c>
      <c r="B37502" s="4" t="s">
        <v>5</v>
      </c>
      <c r="C37502" s="4" t="s">
        <v>7</v>
      </c>
      <c r="D37502" s="4" t="s">
        <v>11</v>
      </c>
      <c r="E37502" s="4" t="s">
        <v>8</v>
      </c>
    </row>
    <row r="37503" spans="1:13">
      <c r="A37503" t="n">
        <v>369552</v>
      </c>
      <c r="B37503" s="38" t="n">
        <v>51</v>
      </c>
      <c r="C37503" s="7" t="n">
        <v>4</v>
      </c>
      <c r="D37503" s="7" t="n">
        <v>0</v>
      </c>
      <c r="E37503" s="7" t="s">
        <v>242</v>
      </c>
    </row>
    <row r="37504" spans="1:13">
      <c r="A37504" t="s">
        <v>4</v>
      </c>
      <c r="B37504" s="4" t="s">
        <v>5</v>
      </c>
      <c r="C37504" s="4" t="s">
        <v>11</v>
      </c>
    </row>
    <row r="37505" spans="1:13">
      <c r="A37505" t="n">
        <v>369566</v>
      </c>
      <c r="B37505" s="29" t="n">
        <v>16</v>
      </c>
      <c r="C37505" s="7" t="n">
        <v>0</v>
      </c>
    </row>
    <row r="37506" spans="1:13">
      <c r="A37506" t="s">
        <v>4</v>
      </c>
      <c r="B37506" s="4" t="s">
        <v>5</v>
      </c>
      <c r="C37506" s="4" t="s">
        <v>11</v>
      </c>
      <c r="D37506" s="4" t="s">
        <v>7</v>
      </c>
      <c r="E37506" s="4" t="s">
        <v>15</v>
      </c>
      <c r="F37506" s="4" t="s">
        <v>55</v>
      </c>
      <c r="G37506" s="4" t="s">
        <v>7</v>
      </c>
      <c r="H37506" s="4" t="s">
        <v>7</v>
      </c>
      <c r="I37506" s="4" t="s">
        <v>7</v>
      </c>
      <c r="J37506" s="4" t="s">
        <v>15</v>
      </c>
      <c r="K37506" s="4" t="s">
        <v>55</v>
      </c>
      <c r="L37506" s="4" t="s">
        <v>7</v>
      </c>
      <c r="M37506" s="4" t="s">
        <v>7</v>
      </c>
      <c r="N37506" s="4" t="s">
        <v>7</v>
      </c>
      <c r="O37506" s="4" t="s">
        <v>15</v>
      </c>
      <c r="P37506" s="4" t="s">
        <v>55</v>
      </c>
      <c r="Q37506" s="4" t="s">
        <v>7</v>
      </c>
      <c r="R37506" s="4" t="s">
        <v>7</v>
      </c>
    </row>
    <row r="37507" spans="1:13">
      <c r="A37507" t="n">
        <v>369569</v>
      </c>
      <c r="B37507" s="55" t="n">
        <v>26</v>
      </c>
      <c r="C37507" s="7" t="n">
        <v>0</v>
      </c>
      <c r="D37507" s="7" t="n">
        <v>17</v>
      </c>
      <c r="E37507" s="7" t="n">
        <v>64382</v>
      </c>
      <c r="F37507" s="7" t="s">
        <v>1336</v>
      </c>
      <c r="G37507" s="7" t="n">
        <v>2</v>
      </c>
      <c r="H37507" s="7" t="n">
        <v>3</v>
      </c>
      <c r="I37507" s="7" t="n">
        <v>17</v>
      </c>
      <c r="J37507" s="7" t="n">
        <v>64383</v>
      </c>
      <c r="K37507" s="7" t="s">
        <v>1337</v>
      </c>
      <c r="L37507" s="7" t="n">
        <v>2</v>
      </c>
      <c r="M37507" s="7" t="n">
        <v>3</v>
      </c>
      <c r="N37507" s="7" t="n">
        <v>17</v>
      </c>
      <c r="O37507" s="7" t="n">
        <v>64336</v>
      </c>
      <c r="P37507" s="7" t="s">
        <v>1288</v>
      </c>
      <c r="Q37507" s="7" t="n">
        <v>2</v>
      </c>
      <c r="R37507" s="7" t="n">
        <v>0</v>
      </c>
    </row>
    <row r="37508" spans="1:13">
      <c r="A37508" t="s">
        <v>4</v>
      </c>
      <c r="B37508" s="4" t="s">
        <v>5</v>
      </c>
    </row>
    <row r="37509" spans="1:13">
      <c r="A37509" t="n">
        <v>369900</v>
      </c>
      <c r="B37509" s="27" t="n">
        <v>28</v>
      </c>
    </row>
    <row r="37510" spans="1:13">
      <c r="A37510" t="s">
        <v>4</v>
      </c>
      <c r="B37510" s="4" t="s">
        <v>5</v>
      </c>
      <c r="C37510" s="4" t="s">
        <v>7</v>
      </c>
      <c r="D37510" s="4" t="s">
        <v>11</v>
      </c>
      <c r="E37510" s="4" t="s">
        <v>11</v>
      </c>
      <c r="F37510" s="4" t="s">
        <v>7</v>
      </c>
    </row>
    <row r="37511" spans="1:13">
      <c r="A37511" t="n">
        <v>369901</v>
      </c>
      <c r="B37511" s="31" t="n">
        <v>25</v>
      </c>
      <c r="C37511" s="7" t="n">
        <v>1</v>
      </c>
      <c r="D37511" s="7" t="n">
        <v>65535</v>
      </c>
      <c r="E37511" s="7" t="n">
        <v>65535</v>
      </c>
      <c r="F37511" s="7" t="n">
        <v>0</v>
      </c>
    </row>
    <row r="37512" spans="1:13">
      <c r="A37512" t="s">
        <v>4</v>
      </c>
      <c r="B37512" s="4" t="s">
        <v>5</v>
      </c>
      <c r="C37512" s="4" t="s">
        <v>11</v>
      </c>
      <c r="D37512" s="4" t="s">
        <v>13</v>
      </c>
      <c r="E37512" s="4" t="s">
        <v>13</v>
      </c>
      <c r="F37512" s="4" t="s">
        <v>13</v>
      </c>
      <c r="G37512" s="4" t="s">
        <v>11</v>
      </c>
      <c r="H37512" s="4" t="s">
        <v>11</v>
      </c>
    </row>
    <row r="37513" spans="1:13">
      <c r="A37513" t="n">
        <v>369908</v>
      </c>
      <c r="B37513" s="37" t="n">
        <v>60</v>
      </c>
      <c r="C37513" s="7" t="n">
        <v>6</v>
      </c>
      <c r="D37513" s="7" t="n">
        <v>0</v>
      </c>
      <c r="E37513" s="7" t="n">
        <v>-10</v>
      </c>
      <c r="F37513" s="7" t="n">
        <v>0</v>
      </c>
      <c r="G37513" s="7" t="n">
        <v>800</v>
      </c>
      <c r="H37513" s="7" t="n">
        <v>0</v>
      </c>
    </row>
    <row r="37514" spans="1:13">
      <c r="A37514" t="s">
        <v>4</v>
      </c>
      <c r="B37514" s="4" t="s">
        <v>5</v>
      </c>
      <c r="C37514" s="4" t="s">
        <v>7</v>
      </c>
      <c r="D37514" s="4" t="s">
        <v>11</v>
      </c>
      <c r="E37514" s="4" t="s">
        <v>8</v>
      </c>
    </row>
    <row r="37515" spans="1:13">
      <c r="A37515" t="n">
        <v>369927</v>
      </c>
      <c r="B37515" s="38" t="n">
        <v>51</v>
      </c>
      <c r="C37515" s="7" t="n">
        <v>4</v>
      </c>
      <c r="D37515" s="7" t="n">
        <v>6</v>
      </c>
      <c r="E37515" s="7" t="s">
        <v>235</v>
      </c>
    </row>
    <row r="37516" spans="1:13">
      <c r="A37516" t="s">
        <v>4</v>
      </c>
      <c r="B37516" s="4" t="s">
        <v>5</v>
      </c>
      <c r="C37516" s="4" t="s">
        <v>11</v>
      </c>
    </row>
    <row r="37517" spans="1:13">
      <c r="A37517" t="n">
        <v>369941</v>
      </c>
      <c r="B37517" s="29" t="n">
        <v>16</v>
      </c>
      <c r="C37517" s="7" t="n">
        <v>0</v>
      </c>
    </row>
    <row r="37518" spans="1:13">
      <c r="A37518" t="s">
        <v>4</v>
      </c>
      <c r="B37518" s="4" t="s">
        <v>5</v>
      </c>
      <c r="C37518" s="4" t="s">
        <v>11</v>
      </c>
      <c r="D37518" s="4" t="s">
        <v>7</v>
      </c>
      <c r="E37518" s="4" t="s">
        <v>15</v>
      </c>
      <c r="F37518" s="4" t="s">
        <v>55</v>
      </c>
      <c r="G37518" s="4" t="s">
        <v>7</v>
      </c>
      <c r="H37518" s="4" t="s">
        <v>7</v>
      </c>
      <c r="I37518" s="4" t="s">
        <v>7</v>
      </c>
      <c r="J37518" s="4" t="s">
        <v>15</v>
      </c>
      <c r="K37518" s="4" t="s">
        <v>55</v>
      </c>
      <c r="L37518" s="4" t="s">
        <v>7</v>
      </c>
      <c r="M37518" s="4" t="s">
        <v>7</v>
      </c>
      <c r="N37518" s="4" t="s">
        <v>7</v>
      </c>
      <c r="O37518" s="4" t="s">
        <v>15</v>
      </c>
      <c r="P37518" s="4" t="s">
        <v>55</v>
      </c>
      <c r="Q37518" s="4" t="s">
        <v>7</v>
      </c>
      <c r="R37518" s="4" t="s">
        <v>7</v>
      </c>
    </row>
    <row r="37519" spans="1:13">
      <c r="A37519" t="n">
        <v>369944</v>
      </c>
      <c r="B37519" s="55" t="n">
        <v>26</v>
      </c>
      <c r="C37519" s="7" t="n">
        <v>6</v>
      </c>
      <c r="D37519" s="7" t="n">
        <v>17</v>
      </c>
      <c r="E37519" s="7" t="n">
        <v>64384</v>
      </c>
      <c r="F37519" s="7" t="s">
        <v>1338</v>
      </c>
      <c r="G37519" s="7" t="n">
        <v>2</v>
      </c>
      <c r="H37519" s="7" t="n">
        <v>3</v>
      </c>
      <c r="I37519" s="7" t="n">
        <v>17</v>
      </c>
      <c r="J37519" s="7" t="n">
        <v>64385</v>
      </c>
      <c r="K37519" s="7" t="s">
        <v>1339</v>
      </c>
      <c r="L37519" s="7" t="n">
        <v>2</v>
      </c>
      <c r="M37519" s="7" t="n">
        <v>3</v>
      </c>
      <c r="N37519" s="7" t="n">
        <v>17</v>
      </c>
      <c r="O37519" s="7" t="n">
        <v>64386</v>
      </c>
      <c r="P37519" s="7" t="s">
        <v>1340</v>
      </c>
      <c r="Q37519" s="7" t="n">
        <v>2</v>
      </c>
      <c r="R37519" s="7" t="n">
        <v>0</v>
      </c>
    </row>
    <row r="37520" spans="1:13">
      <c r="A37520" t="s">
        <v>4</v>
      </c>
      <c r="B37520" s="4" t="s">
        <v>5</v>
      </c>
    </row>
    <row r="37521" spans="1:18">
      <c r="A37521" t="n">
        <v>370227</v>
      </c>
      <c r="B37521" s="27" t="n">
        <v>28</v>
      </c>
    </row>
    <row r="37522" spans="1:18">
      <c r="A37522" t="s">
        <v>4</v>
      </c>
      <c r="B37522" s="4" t="s">
        <v>5</v>
      </c>
      <c r="C37522" s="4" t="s">
        <v>11</v>
      </c>
      <c r="D37522" s="4" t="s">
        <v>13</v>
      </c>
      <c r="E37522" s="4" t="s">
        <v>13</v>
      </c>
      <c r="F37522" s="4" t="s">
        <v>13</v>
      </c>
      <c r="G37522" s="4" t="s">
        <v>11</v>
      </c>
      <c r="H37522" s="4" t="s">
        <v>11</v>
      </c>
    </row>
    <row r="37523" spans="1:18">
      <c r="A37523" t="n">
        <v>370228</v>
      </c>
      <c r="B37523" s="37" t="n">
        <v>60</v>
      </c>
      <c r="C37523" s="7" t="n">
        <v>6</v>
      </c>
      <c r="D37523" s="7" t="n">
        <v>0</v>
      </c>
      <c r="E37523" s="7" t="n">
        <v>0</v>
      </c>
      <c r="F37523" s="7" t="n">
        <v>0</v>
      </c>
      <c r="G37523" s="7" t="n">
        <v>800</v>
      </c>
      <c r="H37523" s="7" t="n">
        <v>0</v>
      </c>
    </row>
    <row r="37524" spans="1:18">
      <c r="A37524" t="s">
        <v>4</v>
      </c>
      <c r="B37524" s="4" t="s">
        <v>5</v>
      </c>
      <c r="C37524" s="4" t="s">
        <v>11</v>
      </c>
    </row>
    <row r="37525" spans="1:18">
      <c r="A37525" t="n">
        <v>370247</v>
      </c>
      <c r="B37525" s="29" t="n">
        <v>16</v>
      </c>
      <c r="C37525" s="7" t="n">
        <v>500</v>
      </c>
    </row>
    <row r="37526" spans="1:18">
      <c r="A37526" t="s">
        <v>4</v>
      </c>
      <c r="B37526" s="4" t="s">
        <v>5</v>
      </c>
      <c r="C37526" s="4" t="s">
        <v>7</v>
      </c>
      <c r="D37526" s="4" t="s">
        <v>11</v>
      </c>
      <c r="E37526" s="4" t="s">
        <v>8</v>
      </c>
    </row>
    <row r="37527" spans="1:18">
      <c r="A37527" t="n">
        <v>370250</v>
      </c>
      <c r="B37527" s="38" t="n">
        <v>51</v>
      </c>
      <c r="C37527" s="7" t="n">
        <v>4</v>
      </c>
      <c r="D37527" s="7" t="n">
        <v>6</v>
      </c>
      <c r="E37527" s="7" t="s">
        <v>137</v>
      </c>
    </row>
    <row r="37528" spans="1:18">
      <c r="A37528" t="s">
        <v>4</v>
      </c>
      <c r="B37528" s="4" t="s">
        <v>5</v>
      </c>
      <c r="C37528" s="4" t="s">
        <v>11</v>
      </c>
    </row>
    <row r="37529" spans="1:18">
      <c r="A37529" t="n">
        <v>370263</v>
      </c>
      <c r="B37529" s="29" t="n">
        <v>16</v>
      </c>
      <c r="C37529" s="7" t="n">
        <v>0</v>
      </c>
    </row>
    <row r="37530" spans="1:18">
      <c r="A37530" t="s">
        <v>4</v>
      </c>
      <c r="B37530" s="4" t="s">
        <v>5</v>
      </c>
      <c r="C37530" s="4" t="s">
        <v>11</v>
      </c>
      <c r="D37530" s="4" t="s">
        <v>7</v>
      </c>
      <c r="E37530" s="4" t="s">
        <v>15</v>
      </c>
      <c r="F37530" s="4" t="s">
        <v>55</v>
      </c>
      <c r="G37530" s="4" t="s">
        <v>7</v>
      </c>
      <c r="H37530" s="4" t="s">
        <v>7</v>
      </c>
      <c r="I37530" s="4" t="s">
        <v>7</v>
      </c>
      <c r="J37530" s="4" t="s">
        <v>15</v>
      </c>
      <c r="K37530" s="4" t="s">
        <v>55</v>
      </c>
      <c r="L37530" s="4" t="s">
        <v>7</v>
      </c>
      <c r="M37530" s="4" t="s">
        <v>7</v>
      </c>
      <c r="N37530" s="4" t="s">
        <v>7</v>
      </c>
      <c r="O37530" s="4" t="s">
        <v>15</v>
      </c>
      <c r="P37530" s="4" t="s">
        <v>55</v>
      </c>
      <c r="Q37530" s="4" t="s">
        <v>7</v>
      </c>
      <c r="R37530" s="4" t="s">
        <v>7</v>
      </c>
      <c r="S37530" s="4" t="s">
        <v>7</v>
      </c>
      <c r="T37530" s="4" t="s">
        <v>15</v>
      </c>
      <c r="U37530" s="4" t="s">
        <v>55</v>
      </c>
      <c r="V37530" s="4" t="s">
        <v>7</v>
      </c>
      <c r="W37530" s="4" t="s">
        <v>7</v>
      </c>
    </row>
    <row r="37531" spans="1:18">
      <c r="A37531" t="n">
        <v>370266</v>
      </c>
      <c r="B37531" s="55" t="n">
        <v>26</v>
      </c>
      <c r="C37531" s="7" t="n">
        <v>6</v>
      </c>
      <c r="D37531" s="7" t="n">
        <v>17</v>
      </c>
      <c r="E37531" s="7" t="n">
        <v>64387</v>
      </c>
      <c r="F37531" s="7" t="s">
        <v>1341</v>
      </c>
      <c r="G37531" s="7" t="n">
        <v>2</v>
      </c>
      <c r="H37531" s="7" t="n">
        <v>3</v>
      </c>
      <c r="I37531" s="7" t="n">
        <v>17</v>
      </c>
      <c r="J37531" s="7" t="n">
        <v>64388</v>
      </c>
      <c r="K37531" s="7" t="s">
        <v>1342</v>
      </c>
      <c r="L37531" s="7" t="n">
        <v>2</v>
      </c>
      <c r="M37531" s="7" t="n">
        <v>3</v>
      </c>
      <c r="N37531" s="7" t="n">
        <v>17</v>
      </c>
      <c r="O37531" s="7" t="n">
        <v>64389</v>
      </c>
      <c r="P37531" s="7" t="s">
        <v>1343</v>
      </c>
      <c r="Q37531" s="7" t="n">
        <v>2</v>
      </c>
      <c r="R37531" s="7" t="n">
        <v>3</v>
      </c>
      <c r="S37531" s="7" t="n">
        <v>17</v>
      </c>
      <c r="T37531" s="7" t="n">
        <v>64390</v>
      </c>
      <c r="U37531" s="7" t="s">
        <v>1344</v>
      </c>
      <c r="V37531" s="7" t="n">
        <v>2</v>
      </c>
      <c r="W37531" s="7" t="n">
        <v>0</v>
      </c>
    </row>
    <row r="37532" spans="1:18">
      <c r="A37532" t="s">
        <v>4</v>
      </c>
      <c r="B37532" s="4" t="s">
        <v>5</v>
      </c>
    </row>
    <row r="37533" spans="1:18">
      <c r="A37533" t="n">
        <v>370728</v>
      </c>
      <c r="B37533" s="27" t="n">
        <v>28</v>
      </c>
    </row>
    <row r="37534" spans="1:18">
      <c r="A37534" t="s">
        <v>4</v>
      </c>
      <c r="B37534" s="4" t="s">
        <v>5</v>
      </c>
      <c r="C37534" s="4" t="s">
        <v>7</v>
      </c>
      <c r="D37534" s="4" t="s">
        <v>11</v>
      </c>
      <c r="E37534" s="4" t="s">
        <v>8</v>
      </c>
    </row>
    <row r="37535" spans="1:18">
      <c r="A37535" t="n">
        <v>370729</v>
      </c>
      <c r="B37535" s="38" t="n">
        <v>51</v>
      </c>
      <c r="C37535" s="7" t="n">
        <v>4</v>
      </c>
      <c r="D37535" s="7" t="n">
        <v>0</v>
      </c>
      <c r="E37535" s="7" t="s">
        <v>304</v>
      </c>
    </row>
    <row r="37536" spans="1:18">
      <c r="A37536" t="s">
        <v>4</v>
      </c>
      <c r="B37536" s="4" t="s">
        <v>5</v>
      </c>
      <c r="C37536" s="4" t="s">
        <v>11</v>
      </c>
    </row>
    <row r="37537" spans="1:23">
      <c r="A37537" t="n">
        <v>370742</v>
      </c>
      <c r="B37537" s="29" t="n">
        <v>16</v>
      </c>
      <c r="C37537" s="7" t="n">
        <v>0</v>
      </c>
    </row>
    <row r="37538" spans="1:23">
      <c r="A37538" t="s">
        <v>4</v>
      </c>
      <c r="B37538" s="4" t="s">
        <v>5</v>
      </c>
      <c r="C37538" s="4" t="s">
        <v>11</v>
      </c>
      <c r="D37538" s="4" t="s">
        <v>7</v>
      </c>
      <c r="E37538" s="4" t="s">
        <v>15</v>
      </c>
      <c r="F37538" s="4" t="s">
        <v>55</v>
      </c>
      <c r="G37538" s="4" t="s">
        <v>7</v>
      </c>
      <c r="H37538" s="4" t="s">
        <v>7</v>
      </c>
      <c r="I37538" s="4" t="s">
        <v>7</v>
      </c>
      <c r="J37538" s="4" t="s">
        <v>15</v>
      </c>
      <c r="K37538" s="4" t="s">
        <v>55</v>
      </c>
      <c r="L37538" s="4" t="s">
        <v>7</v>
      </c>
      <c r="M37538" s="4" t="s">
        <v>7</v>
      </c>
    </row>
    <row r="37539" spans="1:23">
      <c r="A37539" t="n">
        <v>370745</v>
      </c>
      <c r="B37539" s="55" t="n">
        <v>26</v>
      </c>
      <c r="C37539" s="7" t="n">
        <v>0</v>
      </c>
      <c r="D37539" s="7" t="n">
        <v>17</v>
      </c>
      <c r="E37539" s="7" t="n">
        <v>64391</v>
      </c>
      <c r="F37539" s="7" t="s">
        <v>1345</v>
      </c>
      <c r="G37539" s="7" t="n">
        <v>2</v>
      </c>
      <c r="H37539" s="7" t="n">
        <v>3</v>
      </c>
      <c r="I37539" s="7" t="n">
        <v>17</v>
      </c>
      <c r="J37539" s="7" t="n">
        <v>64392</v>
      </c>
      <c r="K37539" s="7" t="s">
        <v>1346</v>
      </c>
      <c r="L37539" s="7" t="n">
        <v>2</v>
      </c>
      <c r="M37539" s="7" t="n">
        <v>0</v>
      </c>
    </row>
    <row r="37540" spans="1:23">
      <c r="A37540" t="s">
        <v>4</v>
      </c>
      <c r="B37540" s="4" t="s">
        <v>5</v>
      </c>
    </row>
    <row r="37541" spans="1:23">
      <c r="A37541" t="n">
        <v>370807</v>
      </c>
      <c r="B37541" s="27" t="n">
        <v>28</v>
      </c>
    </row>
    <row r="37542" spans="1:23">
      <c r="A37542" t="s">
        <v>4</v>
      </c>
      <c r="B37542" s="4" t="s">
        <v>5</v>
      </c>
      <c r="C37542" s="4" t="s">
        <v>7</v>
      </c>
      <c r="D37542" s="4" t="s">
        <v>11</v>
      </c>
      <c r="E37542" s="4" t="s">
        <v>11</v>
      </c>
      <c r="F37542" s="4" t="s">
        <v>7</v>
      </c>
    </row>
    <row r="37543" spans="1:23">
      <c r="A37543" t="n">
        <v>370808</v>
      </c>
      <c r="B37543" s="31" t="n">
        <v>25</v>
      </c>
      <c r="C37543" s="7" t="n">
        <v>1</v>
      </c>
      <c r="D37543" s="7" t="n">
        <v>65535</v>
      </c>
      <c r="E37543" s="7" t="n">
        <v>65535</v>
      </c>
      <c r="F37543" s="7" t="n">
        <v>0</v>
      </c>
    </row>
    <row r="37544" spans="1:23">
      <c r="A37544" t="s">
        <v>4</v>
      </c>
      <c r="B37544" s="4" t="s">
        <v>5</v>
      </c>
      <c r="C37544" s="4" t="s">
        <v>7</v>
      </c>
      <c r="D37544" s="4" t="s">
        <v>11</v>
      </c>
      <c r="E37544" s="4" t="s">
        <v>8</v>
      </c>
    </row>
    <row r="37545" spans="1:23">
      <c r="A37545" t="n">
        <v>370815</v>
      </c>
      <c r="B37545" s="38" t="n">
        <v>51</v>
      </c>
      <c r="C37545" s="7" t="n">
        <v>4</v>
      </c>
      <c r="D37545" s="7" t="n">
        <v>6</v>
      </c>
      <c r="E37545" s="7" t="s">
        <v>233</v>
      </c>
    </row>
    <row r="37546" spans="1:23">
      <c r="A37546" t="s">
        <v>4</v>
      </c>
      <c r="B37546" s="4" t="s">
        <v>5</v>
      </c>
      <c r="C37546" s="4" t="s">
        <v>11</v>
      </c>
    </row>
    <row r="37547" spans="1:23">
      <c r="A37547" t="n">
        <v>370828</v>
      </c>
      <c r="B37547" s="29" t="n">
        <v>16</v>
      </c>
      <c r="C37547" s="7" t="n">
        <v>0</v>
      </c>
    </row>
    <row r="37548" spans="1:23">
      <c r="A37548" t="s">
        <v>4</v>
      </c>
      <c r="B37548" s="4" t="s">
        <v>5</v>
      </c>
      <c r="C37548" s="4" t="s">
        <v>11</v>
      </c>
      <c r="D37548" s="4" t="s">
        <v>7</v>
      </c>
      <c r="E37548" s="4" t="s">
        <v>15</v>
      </c>
      <c r="F37548" s="4" t="s">
        <v>55</v>
      </c>
      <c r="G37548" s="4" t="s">
        <v>7</v>
      </c>
      <c r="H37548" s="4" t="s">
        <v>7</v>
      </c>
    </row>
    <row r="37549" spans="1:23">
      <c r="A37549" t="n">
        <v>370831</v>
      </c>
      <c r="B37549" s="55" t="n">
        <v>26</v>
      </c>
      <c r="C37549" s="7" t="n">
        <v>6</v>
      </c>
      <c r="D37549" s="7" t="n">
        <v>17</v>
      </c>
      <c r="E37549" s="7" t="n">
        <v>64393</v>
      </c>
      <c r="F37549" s="7" t="s">
        <v>1347</v>
      </c>
      <c r="G37549" s="7" t="n">
        <v>2</v>
      </c>
      <c r="H37549" s="7" t="n">
        <v>0</v>
      </c>
    </row>
    <row r="37550" spans="1:23">
      <c r="A37550" t="s">
        <v>4</v>
      </c>
      <c r="B37550" s="4" t="s">
        <v>5</v>
      </c>
    </row>
    <row r="37551" spans="1:23">
      <c r="A37551" t="n">
        <v>370860</v>
      </c>
      <c r="B37551" s="27" t="n">
        <v>28</v>
      </c>
    </row>
    <row r="37552" spans="1:23">
      <c r="A37552" t="s">
        <v>4</v>
      </c>
      <c r="B37552" s="4" t="s">
        <v>5</v>
      </c>
      <c r="C37552" s="4" t="s">
        <v>7</v>
      </c>
      <c r="D37552" s="4" t="s">
        <v>11</v>
      </c>
      <c r="E37552" s="4" t="s">
        <v>13</v>
      </c>
    </row>
    <row r="37553" spans="1:13">
      <c r="A37553" t="n">
        <v>370861</v>
      </c>
      <c r="B37553" s="23" t="n">
        <v>58</v>
      </c>
      <c r="C37553" s="7" t="n">
        <v>0</v>
      </c>
      <c r="D37553" s="7" t="n">
        <v>2000</v>
      </c>
      <c r="E37553" s="7" t="n">
        <v>1</v>
      </c>
    </row>
    <row r="37554" spans="1:13">
      <c r="A37554" t="s">
        <v>4</v>
      </c>
      <c r="B37554" s="4" t="s">
        <v>5</v>
      </c>
      <c r="C37554" s="4" t="s">
        <v>7</v>
      </c>
      <c r="D37554" s="4" t="s">
        <v>11</v>
      </c>
    </row>
    <row r="37555" spans="1:13">
      <c r="A37555" t="n">
        <v>370869</v>
      </c>
      <c r="B37555" s="23" t="n">
        <v>58</v>
      </c>
      <c r="C37555" s="7" t="n">
        <v>255</v>
      </c>
      <c r="D37555" s="7" t="n">
        <v>0</v>
      </c>
    </row>
    <row r="37556" spans="1:13">
      <c r="A37556" t="s">
        <v>4</v>
      </c>
      <c r="B37556" s="4" t="s">
        <v>5</v>
      </c>
      <c r="C37556" s="4" t="s">
        <v>11</v>
      </c>
    </row>
    <row r="37557" spans="1:13">
      <c r="A37557" t="n">
        <v>370873</v>
      </c>
      <c r="B37557" s="29" t="n">
        <v>16</v>
      </c>
      <c r="C37557" s="7" t="n">
        <v>1000</v>
      </c>
    </row>
    <row r="37558" spans="1:13">
      <c r="A37558" t="s">
        <v>4</v>
      </c>
      <c r="B37558" s="4" t="s">
        <v>5</v>
      </c>
      <c r="C37558" s="4" t="s">
        <v>7</v>
      </c>
      <c r="D37558" s="4" t="s">
        <v>11</v>
      </c>
      <c r="E37558" s="4" t="s">
        <v>7</v>
      </c>
    </row>
    <row r="37559" spans="1:13">
      <c r="A37559" t="n">
        <v>370876</v>
      </c>
      <c r="B37559" s="40" t="n">
        <v>36</v>
      </c>
      <c r="C37559" s="7" t="n">
        <v>9</v>
      </c>
      <c r="D37559" s="7" t="n">
        <v>6</v>
      </c>
      <c r="E37559" s="7" t="n">
        <v>0</v>
      </c>
    </row>
    <row r="37560" spans="1:13">
      <c r="A37560" t="s">
        <v>4</v>
      </c>
      <c r="B37560" s="4" t="s">
        <v>5</v>
      </c>
      <c r="C37560" s="4" t="s">
        <v>11</v>
      </c>
      <c r="D37560" s="4" t="s">
        <v>13</v>
      </c>
      <c r="E37560" s="4" t="s">
        <v>13</v>
      </c>
      <c r="F37560" s="4" t="s">
        <v>13</v>
      </c>
      <c r="G37560" s="4" t="s">
        <v>13</v>
      </c>
    </row>
    <row r="37561" spans="1:13">
      <c r="A37561" t="n">
        <v>370881</v>
      </c>
      <c r="B37561" s="36" t="n">
        <v>46</v>
      </c>
      <c r="C37561" s="7" t="n">
        <v>61456</v>
      </c>
      <c r="D37561" s="7" t="n">
        <v>5.94000005722046</v>
      </c>
      <c r="E37561" s="7" t="n">
        <v>5.01000022888184</v>
      </c>
      <c r="F37561" s="7" t="n">
        <v>54.9300003051758</v>
      </c>
      <c r="G37561" s="7" t="n">
        <v>287.100006103516</v>
      </c>
    </row>
    <row r="37562" spans="1:13">
      <c r="A37562" t="s">
        <v>4</v>
      </c>
      <c r="B37562" s="4" t="s">
        <v>5</v>
      </c>
      <c r="C37562" s="4" t="s">
        <v>7</v>
      </c>
      <c r="D37562" s="4" t="s">
        <v>7</v>
      </c>
      <c r="E37562" s="4" t="s">
        <v>13</v>
      </c>
      <c r="F37562" s="4" t="s">
        <v>13</v>
      </c>
      <c r="G37562" s="4" t="s">
        <v>13</v>
      </c>
      <c r="H37562" s="4" t="s">
        <v>11</v>
      </c>
      <c r="I37562" s="4" t="s">
        <v>7</v>
      </c>
    </row>
    <row r="37563" spans="1:13">
      <c r="A37563" t="n">
        <v>370900</v>
      </c>
      <c r="B37563" s="51" t="n">
        <v>45</v>
      </c>
      <c r="C37563" s="7" t="n">
        <v>4</v>
      </c>
      <c r="D37563" s="7" t="n">
        <v>3</v>
      </c>
      <c r="E37563" s="7" t="n">
        <v>7.07999992370605</v>
      </c>
      <c r="F37563" s="7" t="n">
        <v>273.489990234375</v>
      </c>
      <c r="G37563" s="7" t="n">
        <v>0</v>
      </c>
      <c r="H37563" s="7" t="n">
        <v>0</v>
      </c>
      <c r="I37563" s="7" t="n">
        <v>0</v>
      </c>
    </row>
    <row r="37564" spans="1:13">
      <c r="A37564" t="s">
        <v>4</v>
      </c>
      <c r="B37564" s="4" t="s">
        <v>5</v>
      </c>
      <c r="C37564" s="4" t="s">
        <v>7</v>
      </c>
      <c r="D37564" s="4" t="s">
        <v>8</v>
      </c>
    </row>
    <row r="37565" spans="1:13">
      <c r="A37565" t="n">
        <v>370918</v>
      </c>
      <c r="B37565" s="6" t="n">
        <v>2</v>
      </c>
      <c r="C37565" s="7" t="n">
        <v>10</v>
      </c>
      <c r="D37565" s="7" t="s">
        <v>1834</v>
      </c>
    </row>
    <row r="37566" spans="1:13">
      <c r="A37566" t="s">
        <v>4</v>
      </c>
      <c r="B37566" s="4" t="s">
        <v>5</v>
      </c>
    </row>
    <row r="37567" spans="1:13">
      <c r="A37567" t="n">
        <v>370939</v>
      </c>
      <c r="B37567" s="5" t="n">
        <v>1</v>
      </c>
    </row>
    <row r="37568" spans="1:13" s="3" customFormat="1" customHeight="0">
      <c r="A37568" s="3" t="s">
        <v>2</v>
      </c>
      <c r="B37568" s="3" t="s">
        <v>1855</v>
      </c>
    </row>
    <row r="37569" spans="1:9">
      <c r="A37569" t="s">
        <v>4</v>
      </c>
      <c r="B37569" s="4" t="s">
        <v>5</v>
      </c>
      <c r="C37569" s="4" t="s">
        <v>7</v>
      </c>
      <c r="D37569" s="4" t="s">
        <v>7</v>
      </c>
      <c r="E37569" s="4" t="s">
        <v>7</v>
      </c>
      <c r="F37569" s="4" t="s">
        <v>7</v>
      </c>
    </row>
    <row r="37570" spans="1:9">
      <c r="A37570" t="n">
        <v>370940</v>
      </c>
      <c r="B37570" s="9" t="n">
        <v>14</v>
      </c>
      <c r="C37570" s="7" t="n">
        <v>2</v>
      </c>
      <c r="D37570" s="7" t="n">
        <v>0</v>
      </c>
      <c r="E37570" s="7" t="n">
        <v>0</v>
      </c>
      <c r="F37570" s="7" t="n">
        <v>0</v>
      </c>
    </row>
    <row r="37571" spans="1:9">
      <c r="A37571" t="s">
        <v>4</v>
      </c>
      <c r="B37571" s="4" t="s">
        <v>5</v>
      </c>
      <c r="C37571" s="4" t="s">
        <v>7</v>
      </c>
      <c r="D37571" s="20" t="s">
        <v>35</v>
      </c>
      <c r="E37571" s="4" t="s">
        <v>5</v>
      </c>
      <c r="F37571" s="4" t="s">
        <v>7</v>
      </c>
      <c r="G37571" s="4" t="s">
        <v>11</v>
      </c>
      <c r="H37571" s="20" t="s">
        <v>36</v>
      </c>
      <c r="I37571" s="4" t="s">
        <v>7</v>
      </c>
      <c r="J37571" s="4" t="s">
        <v>15</v>
      </c>
      <c r="K37571" s="4" t="s">
        <v>7</v>
      </c>
      <c r="L37571" s="4" t="s">
        <v>7</v>
      </c>
      <c r="M37571" s="20" t="s">
        <v>35</v>
      </c>
      <c r="N37571" s="4" t="s">
        <v>5</v>
      </c>
      <c r="O37571" s="4" t="s">
        <v>7</v>
      </c>
      <c r="P37571" s="4" t="s">
        <v>11</v>
      </c>
      <c r="Q37571" s="20" t="s">
        <v>36</v>
      </c>
      <c r="R37571" s="4" t="s">
        <v>7</v>
      </c>
      <c r="S37571" s="4" t="s">
        <v>15</v>
      </c>
      <c r="T37571" s="4" t="s">
        <v>7</v>
      </c>
      <c r="U37571" s="4" t="s">
        <v>7</v>
      </c>
      <c r="V37571" s="4" t="s">
        <v>7</v>
      </c>
      <c r="W37571" s="4" t="s">
        <v>12</v>
      </c>
    </row>
    <row r="37572" spans="1:9">
      <c r="A37572" t="n">
        <v>370945</v>
      </c>
      <c r="B37572" s="10" t="n">
        <v>5</v>
      </c>
      <c r="C37572" s="7" t="n">
        <v>28</v>
      </c>
      <c r="D37572" s="20" t="s">
        <v>3</v>
      </c>
      <c r="E37572" s="8" t="n">
        <v>162</v>
      </c>
      <c r="F37572" s="7" t="n">
        <v>3</v>
      </c>
      <c r="G37572" s="7" t="n">
        <v>36886</v>
      </c>
      <c r="H37572" s="20" t="s">
        <v>3</v>
      </c>
      <c r="I37572" s="7" t="n">
        <v>0</v>
      </c>
      <c r="J37572" s="7" t="n">
        <v>1</v>
      </c>
      <c r="K37572" s="7" t="n">
        <v>2</v>
      </c>
      <c r="L37572" s="7" t="n">
        <v>28</v>
      </c>
      <c r="M37572" s="20" t="s">
        <v>3</v>
      </c>
      <c r="N37572" s="8" t="n">
        <v>162</v>
      </c>
      <c r="O37572" s="7" t="n">
        <v>3</v>
      </c>
      <c r="P37572" s="7" t="n">
        <v>36886</v>
      </c>
      <c r="Q37572" s="20" t="s">
        <v>3</v>
      </c>
      <c r="R37572" s="7" t="n">
        <v>0</v>
      </c>
      <c r="S37572" s="7" t="n">
        <v>2</v>
      </c>
      <c r="T37572" s="7" t="n">
        <v>2</v>
      </c>
      <c r="U37572" s="7" t="n">
        <v>11</v>
      </c>
      <c r="V37572" s="7" t="n">
        <v>1</v>
      </c>
      <c r="W37572" s="11" t="n">
        <f t="normal" ca="1">A37576</f>
        <v>0</v>
      </c>
    </row>
    <row r="37573" spans="1:9">
      <c r="A37573" t="s">
        <v>4</v>
      </c>
      <c r="B37573" s="4" t="s">
        <v>5</v>
      </c>
      <c r="C37573" s="4" t="s">
        <v>7</v>
      </c>
      <c r="D37573" s="4" t="s">
        <v>11</v>
      </c>
      <c r="E37573" s="4" t="s">
        <v>13</v>
      </c>
    </row>
    <row r="37574" spans="1:9">
      <c r="A37574" t="n">
        <v>370974</v>
      </c>
      <c r="B37574" s="23" t="n">
        <v>58</v>
      </c>
      <c r="C37574" s="7" t="n">
        <v>0</v>
      </c>
      <c r="D37574" s="7" t="n">
        <v>0</v>
      </c>
      <c r="E37574" s="7" t="n">
        <v>1</v>
      </c>
    </row>
    <row r="37575" spans="1:9">
      <c r="A37575" t="s">
        <v>4</v>
      </c>
      <c r="B37575" s="4" t="s">
        <v>5</v>
      </c>
      <c r="C37575" s="4" t="s">
        <v>7</v>
      </c>
      <c r="D37575" s="20" t="s">
        <v>35</v>
      </c>
      <c r="E37575" s="4" t="s">
        <v>5</v>
      </c>
      <c r="F37575" s="4" t="s">
        <v>7</v>
      </c>
      <c r="G37575" s="4" t="s">
        <v>11</v>
      </c>
      <c r="H37575" s="20" t="s">
        <v>36</v>
      </c>
      <c r="I37575" s="4" t="s">
        <v>7</v>
      </c>
      <c r="J37575" s="4" t="s">
        <v>15</v>
      </c>
      <c r="K37575" s="4" t="s">
        <v>7</v>
      </c>
      <c r="L37575" s="4" t="s">
        <v>7</v>
      </c>
      <c r="M37575" s="20" t="s">
        <v>35</v>
      </c>
      <c r="N37575" s="4" t="s">
        <v>5</v>
      </c>
      <c r="O37575" s="4" t="s">
        <v>7</v>
      </c>
      <c r="P37575" s="4" t="s">
        <v>11</v>
      </c>
      <c r="Q37575" s="20" t="s">
        <v>36</v>
      </c>
      <c r="R37575" s="4" t="s">
        <v>7</v>
      </c>
      <c r="S37575" s="4" t="s">
        <v>15</v>
      </c>
      <c r="T37575" s="4" t="s">
        <v>7</v>
      </c>
      <c r="U37575" s="4" t="s">
        <v>7</v>
      </c>
      <c r="V37575" s="4" t="s">
        <v>7</v>
      </c>
      <c r="W37575" s="4" t="s">
        <v>12</v>
      </c>
    </row>
    <row r="37576" spans="1:9">
      <c r="A37576" t="n">
        <v>370982</v>
      </c>
      <c r="B37576" s="10" t="n">
        <v>5</v>
      </c>
      <c r="C37576" s="7" t="n">
        <v>28</v>
      </c>
      <c r="D37576" s="20" t="s">
        <v>3</v>
      </c>
      <c r="E37576" s="8" t="n">
        <v>162</v>
      </c>
      <c r="F37576" s="7" t="n">
        <v>3</v>
      </c>
      <c r="G37576" s="7" t="n">
        <v>36886</v>
      </c>
      <c r="H37576" s="20" t="s">
        <v>3</v>
      </c>
      <c r="I37576" s="7" t="n">
        <v>0</v>
      </c>
      <c r="J37576" s="7" t="n">
        <v>1</v>
      </c>
      <c r="K37576" s="7" t="n">
        <v>3</v>
      </c>
      <c r="L37576" s="7" t="n">
        <v>28</v>
      </c>
      <c r="M37576" s="20" t="s">
        <v>3</v>
      </c>
      <c r="N37576" s="8" t="n">
        <v>162</v>
      </c>
      <c r="O37576" s="7" t="n">
        <v>3</v>
      </c>
      <c r="P37576" s="7" t="n">
        <v>36886</v>
      </c>
      <c r="Q37576" s="20" t="s">
        <v>3</v>
      </c>
      <c r="R37576" s="7" t="n">
        <v>0</v>
      </c>
      <c r="S37576" s="7" t="n">
        <v>2</v>
      </c>
      <c r="T37576" s="7" t="n">
        <v>3</v>
      </c>
      <c r="U37576" s="7" t="n">
        <v>9</v>
      </c>
      <c r="V37576" s="7" t="n">
        <v>1</v>
      </c>
      <c r="W37576" s="11" t="n">
        <f t="normal" ca="1">A37586</f>
        <v>0</v>
      </c>
    </row>
    <row r="37577" spans="1:9">
      <c r="A37577" t="s">
        <v>4</v>
      </c>
      <c r="B37577" s="4" t="s">
        <v>5</v>
      </c>
      <c r="C37577" s="4" t="s">
        <v>7</v>
      </c>
      <c r="D37577" s="20" t="s">
        <v>35</v>
      </c>
      <c r="E37577" s="4" t="s">
        <v>5</v>
      </c>
      <c r="F37577" s="4" t="s">
        <v>11</v>
      </c>
      <c r="G37577" s="4" t="s">
        <v>7</v>
      </c>
      <c r="H37577" s="4" t="s">
        <v>7</v>
      </c>
      <c r="I37577" s="4" t="s">
        <v>8</v>
      </c>
      <c r="J37577" s="20" t="s">
        <v>36</v>
      </c>
      <c r="K37577" s="4" t="s">
        <v>7</v>
      </c>
      <c r="L37577" s="4" t="s">
        <v>7</v>
      </c>
      <c r="M37577" s="20" t="s">
        <v>35</v>
      </c>
      <c r="N37577" s="4" t="s">
        <v>5</v>
      </c>
      <c r="O37577" s="4" t="s">
        <v>7</v>
      </c>
      <c r="P37577" s="20" t="s">
        <v>36</v>
      </c>
      <c r="Q37577" s="4" t="s">
        <v>7</v>
      </c>
      <c r="R37577" s="4" t="s">
        <v>15</v>
      </c>
      <c r="S37577" s="4" t="s">
        <v>7</v>
      </c>
      <c r="T37577" s="4" t="s">
        <v>7</v>
      </c>
      <c r="U37577" s="4" t="s">
        <v>7</v>
      </c>
      <c r="V37577" s="20" t="s">
        <v>35</v>
      </c>
      <c r="W37577" s="4" t="s">
        <v>5</v>
      </c>
      <c r="X37577" s="4" t="s">
        <v>7</v>
      </c>
      <c r="Y37577" s="20" t="s">
        <v>36</v>
      </c>
      <c r="Z37577" s="4" t="s">
        <v>7</v>
      </c>
      <c r="AA37577" s="4" t="s">
        <v>15</v>
      </c>
      <c r="AB37577" s="4" t="s">
        <v>7</v>
      </c>
      <c r="AC37577" s="4" t="s">
        <v>7</v>
      </c>
      <c r="AD37577" s="4" t="s">
        <v>7</v>
      </c>
      <c r="AE37577" s="4" t="s">
        <v>12</v>
      </c>
    </row>
    <row r="37578" spans="1:9">
      <c r="A37578" t="n">
        <v>371011</v>
      </c>
      <c r="B37578" s="10" t="n">
        <v>5</v>
      </c>
      <c r="C37578" s="7" t="n">
        <v>28</v>
      </c>
      <c r="D37578" s="20" t="s">
        <v>3</v>
      </c>
      <c r="E37578" s="41" t="n">
        <v>47</v>
      </c>
      <c r="F37578" s="7" t="n">
        <v>61456</v>
      </c>
      <c r="G37578" s="7" t="n">
        <v>2</v>
      </c>
      <c r="H37578" s="7" t="n">
        <v>0</v>
      </c>
      <c r="I37578" s="7" t="s">
        <v>105</v>
      </c>
      <c r="J37578" s="20" t="s">
        <v>3</v>
      </c>
      <c r="K37578" s="7" t="n">
        <v>8</v>
      </c>
      <c r="L37578" s="7" t="n">
        <v>28</v>
      </c>
      <c r="M37578" s="20" t="s">
        <v>3</v>
      </c>
      <c r="N37578" s="45" t="n">
        <v>74</v>
      </c>
      <c r="O37578" s="7" t="n">
        <v>65</v>
      </c>
      <c r="P37578" s="20" t="s">
        <v>3</v>
      </c>
      <c r="Q37578" s="7" t="n">
        <v>0</v>
      </c>
      <c r="R37578" s="7" t="n">
        <v>1</v>
      </c>
      <c r="S37578" s="7" t="n">
        <v>3</v>
      </c>
      <c r="T37578" s="7" t="n">
        <v>9</v>
      </c>
      <c r="U37578" s="7" t="n">
        <v>28</v>
      </c>
      <c r="V37578" s="20" t="s">
        <v>3</v>
      </c>
      <c r="W37578" s="45" t="n">
        <v>74</v>
      </c>
      <c r="X37578" s="7" t="n">
        <v>65</v>
      </c>
      <c r="Y37578" s="20" t="s">
        <v>3</v>
      </c>
      <c r="Z37578" s="7" t="n">
        <v>0</v>
      </c>
      <c r="AA37578" s="7" t="n">
        <v>2</v>
      </c>
      <c r="AB37578" s="7" t="n">
        <v>3</v>
      </c>
      <c r="AC37578" s="7" t="n">
        <v>9</v>
      </c>
      <c r="AD37578" s="7" t="n">
        <v>1</v>
      </c>
      <c r="AE37578" s="11" t="n">
        <f t="normal" ca="1">A37582</f>
        <v>0</v>
      </c>
    </row>
    <row r="37579" spans="1:9">
      <c r="A37579" t="s">
        <v>4</v>
      </c>
      <c r="B37579" s="4" t="s">
        <v>5</v>
      </c>
      <c r="C37579" s="4" t="s">
        <v>11</v>
      </c>
      <c r="D37579" s="4" t="s">
        <v>7</v>
      </c>
      <c r="E37579" s="4" t="s">
        <v>7</v>
      </c>
      <c r="F37579" s="4" t="s">
        <v>8</v>
      </c>
    </row>
    <row r="37580" spans="1:9">
      <c r="A37580" t="n">
        <v>371059</v>
      </c>
      <c r="B37580" s="41" t="n">
        <v>47</v>
      </c>
      <c r="C37580" s="7" t="n">
        <v>61456</v>
      </c>
      <c r="D37580" s="7" t="n">
        <v>0</v>
      </c>
      <c r="E37580" s="7" t="n">
        <v>0</v>
      </c>
      <c r="F37580" s="7" t="s">
        <v>106</v>
      </c>
    </row>
    <row r="37581" spans="1:9">
      <c r="A37581" t="s">
        <v>4</v>
      </c>
      <c r="B37581" s="4" t="s">
        <v>5</v>
      </c>
      <c r="C37581" s="4" t="s">
        <v>7</v>
      </c>
      <c r="D37581" s="4" t="s">
        <v>11</v>
      </c>
      <c r="E37581" s="4" t="s">
        <v>13</v>
      </c>
    </row>
    <row r="37582" spans="1:9">
      <c r="A37582" t="n">
        <v>371072</v>
      </c>
      <c r="B37582" s="23" t="n">
        <v>58</v>
      </c>
      <c r="C37582" s="7" t="n">
        <v>0</v>
      </c>
      <c r="D37582" s="7" t="n">
        <v>300</v>
      </c>
      <c r="E37582" s="7" t="n">
        <v>1</v>
      </c>
    </row>
    <row r="37583" spans="1:9">
      <c r="A37583" t="s">
        <v>4</v>
      </c>
      <c r="B37583" s="4" t="s">
        <v>5</v>
      </c>
      <c r="C37583" s="4" t="s">
        <v>7</v>
      </c>
      <c r="D37583" s="4" t="s">
        <v>11</v>
      </c>
    </row>
    <row r="37584" spans="1:9">
      <c r="A37584" t="n">
        <v>371080</v>
      </c>
      <c r="B37584" s="23" t="n">
        <v>58</v>
      </c>
      <c r="C37584" s="7" t="n">
        <v>255</v>
      </c>
      <c r="D37584" s="7" t="n">
        <v>0</v>
      </c>
    </row>
    <row r="37585" spans="1:31">
      <c r="A37585" t="s">
        <v>4</v>
      </c>
      <c r="B37585" s="4" t="s">
        <v>5</v>
      </c>
      <c r="C37585" s="4" t="s">
        <v>7</v>
      </c>
      <c r="D37585" s="4" t="s">
        <v>7</v>
      </c>
      <c r="E37585" s="4" t="s">
        <v>7</v>
      </c>
      <c r="F37585" s="4" t="s">
        <v>7</v>
      </c>
    </row>
    <row r="37586" spans="1:31">
      <c r="A37586" t="n">
        <v>371084</v>
      </c>
      <c r="B37586" s="9" t="n">
        <v>14</v>
      </c>
      <c r="C37586" s="7" t="n">
        <v>0</v>
      </c>
      <c r="D37586" s="7" t="n">
        <v>0</v>
      </c>
      <c r="E37586" s="7" t="n">
        <v>0</v>
      </c>
      <c r="F37586" s="7" t="n">
        <v>64</v>
      </c>
    </row>
    <row r="37587" spans="1:31">
      <c r="A37587" t="s">
        <v>4</v>
      </c>
      <c r="B37587" s="4" t="s">
        <v>5</v>
      </c>
      <c r="C37587" s="4" t="s">
        <v>7</v>
      </c>
      <c r="D37587" s="4" t="s">
        <v>11</v>
      </c>
    </row>
    <row r="37588" spans="1:31">
      <c r="A37588" t="n">
        <v>371089</v>
      </c>
      <c r="B37588" s="22" t="n">
        <v>22</v>
      </c>
      <c r="C37588" s="7" t="n">
        <v>0</v>
      </c>
      <c r="D37588" s="7" t="n">
        <v>36886</v>
      </c>
    </row>
    <row r="37589" spans="1:31">
      <c r="A37589" t="s">
        <v>4</v>
      </c>
      <c r="B37589" s="4" t="s">
        <v>5</v>
      </c>
      <c r="C37589" s="4" t="s">
        <v>7</v>
      </c>
      <c r="D37589" s="4" t="s">
        <v>11</v>
      </c>
    </row>
    <row r="37590" spans="1:31">
      <c r="A37590" t="n">
        <v>371093</v>
      </c>
      <c r="B37590" s="23" t="n">
        <v>58</v>
      </c>
      <c r="C37590" s="7" t="n">
        <v>5</v>
      </c>
      <c r="D37590" s="7" t="n">
        <v>300</v>
      </c>
    </row>
    <row r="37591" spans="1:31">
      <c r="A37591" t="s">
        <v>4</v>
      </c>
      <c r="B37591" s="4" t="s">
        <v>5</v>
      </c>
      <c r="C37591" s="4" t="s">
        <v>13</v>
      </c>
      <c r="D37591" s="4" t="s">
        <v>11</v>
      </c>
    </row>
    <row r="37592" spans="1:31">
      <c r="A37592" t="n">
        <v>371097</v>
      </c>
      <c r="B37592" s="46" t="n">
        <v>103</v>
      </c>
      <c r="C37592" s="7" t="n">
        <v>0</v>
      </c>
      <c r="D37592" s="7" t="n">
        <v>300</v>
      </c>
    </row>
    <row r="37593" spans="1:31">
      <c r="A37593" t="s">
        <v>4</v>
      </c>
      <c r="B37593" s="4" t="s">
        <v>5</v>
      </c>
      <c r="C37593" s="4" t="s">
        <v>7</v>
      </c>
    </row>
    <row r="37594" spans="1:31">
      <c r="A37594" t="n">
        <v>371104</v>
      </c>
      <c r="B37594" s="47" t="n">
        <v>64</v>
      </c>
      <c r="C37594" s="7" t="n">
        <v>7</v>
      </c>
    </row>
    <row r="37595" spans="1:31">
      <c r="A37595" t="s">
        <v>4</v>
      </c>
      <c r="B37595" s="4" t="s">
        <v>5</v>
      </c>
      <c r="C37595" s="4" t="s">
        <v>7</v>
      </c>
      <c r="D37595" s="4" t="s">
        <v>11</v>
      </c>
    </row>
    <row r="37596" spans="1:31">
      <c r="A37596" t="n">
        <v>371106</v>
      </c>
      <c r="B37596" s="48" t="n">
        <v>72</v>
      </c>
      <c r="C37596" s="7" t="n">
        <v>5</v>
      </c>
      <c r="D37596" s="7" t="n">
        <v>0</v>
      </c>
    </row>
    <row r="37597" spans="1:31">
      <c r="A37597" t="s">
        <v>4</v>
      </c>
      <c r="B37597" s="4" t="s">
        <v>5</v>
      </c>
      <c r="C37597" s="4" t="s">
        <v>7</v>
      </c>
      <c r="D37597" s="20" t="s">
        <v>35</v>
      </c>
      <c r="E37597" s="4" t="s">
        <v>5</v>
      </c>
      <c r="F37597" s="4" t="s">
        <v>7</v>
      </c>
      <c r="G37597" s="4" t="s">
        <v>11</v>
      </c>
      <c r="H37597" s="20" t="s">
        <v>36</v>
      </c>
      <c r="I37597" s="4" t="s">
        <v>7</v>
      </c>
      <c r="J37597" s="4" t="s">
        <v>15</v>
      </c>
      <c r="K37597" s="4" t="s">
        <v>7</v>
      </c>
      <c r="L37597" s="4" t="s">
        <v>7</v>
      </c>
      <c r="M37597" s="4" t="s">
        <v>12</v>
      </c>
    </row>
    <row r="37598" spans="1:31">
      <c r="A37598" t="n">
        <v>371110</v>
      </c>
      <c r="B37598" s="10" t="n">
        <v>5</v>
      </c>
      <c r="C37598" s="7" t="n">
        <v>28</v>
      </c>
      <c r="D37598" s="20" t="s">
        <v>3</v>
      </c>
      <c r="E37598" s="8" t="n">
        <v>162</v>
      </c>
      <c r="F37598" s="7" t="n">
        <v>4</v>
      </c>
      <c r="G37598" s="7" t="n">
        <v>36886</v>
      </c>
      <c r="H37598" s="20" t="s">
        <v>3</v>
      </c>
      <c r="I37598" s="7" t="n">
        <v>0</v>
      </c>
      <c r="J37598" s="7" t="n">
        <v>1</v>
      </c>
      <c r="K37598" s="7" t="n">
        <v>2</v>
      </c>
      <c r="L37598" s="7" t="n">
        <v>1</v>
      </c>
      <c r="M37598" s="11" t="n">
        <f t="normal" ca="1">A37604</f>
        <v>0</v>
      </c>
    </row>
    <row r="37599" spans="1:31">
      <c r="A37599" t="s">
        <v>4</v>
      </c>
      <c r="B37599" s="4" t="s">
        <v>5</v>
      </c>
      <c r="C37599" s="4" t="s">
        <v>7</v>
      </c>
      <c r="D37599" s="4" t="s">
        <v>8</v>
      </c>
    </row>
    <row r="37600" spans="1:31">
      <c r="A37600" t="n">
        <v>371127</v>
      </c>
      <c r="B37600" s="6" t="n">
        <v>2</v>
      </c>
      <c r="C37600" s="7" t="n">
        <v>10</v>
      </c>
      <c r="D37600" s="7" t="s">
        <v>107</v>
      </c>
    </row>
    <row r="37601" spans="1:13">
      <c r="A37601" t="s">
        <v>4</v>
      </c>
      <c r="B37601" s="4" t="s">
        <v>5</v>
      </c>
      <c r="C37601" s="4" t="s">
        <v>11</v>
      </c>
    </row>
    <row r="37602" spans="1:13">
      <c r="A37602" t="n">
        <v>371144</v>
      </c>
      <c r="B37602" s="29" t="n">
        <v>16</v>
      </c>
      <c r="C37602" s="7" t="n">
        <v>0</v>
      </c>
    </row>
    <row r="37603" spans="1:13">
      <c r="A37603" t="s">
        <v>4</v>
      </c>
      <c r="B37603" s="4" t="s">
        <v>5</v>
      </c>
      <c r="C37603" s="4" t="s">
        <v>7</v>
      </c>
      <c r="D37603" s="4" t="s">
        <v>11</v>
      </c>
      <c r="E37603" s="4" t="s">
        <v>11</v>
      </c>
      <c r="F37603" s="4" t="s">
        <v>11</v>
      </c>
      <c r="G37603" s="4" t="s">
        <v>11</v>
      </c>
      <c r="H37603" s="4" t="s">
        <v>11</v>
      </c>
      <c r="I37603" s="4" t="s">
        <v>11</v>
      </c>
      <c r="J37603" s="4" t="s">
        <v>11</v>
      </c>
      <c r="K37603" s="4" t="s">
        <v>11</v>
      </c>
      <c r="L37603" s="4" t="s">
        <v>11</v>
      </c>
      <c r="M37603" s="4" t="s">
        <v>11</v>
      </c>
      <c r="N37603" s="4" t="s">
        <v>15</v>
      </c>
      <c r="O37603" s="4" t="s">
        <v>15</v>
      </c>
      <c r="P37603" s="4" t="s">
        <v>15</v>
      </c>
      <c r="Q37603" s="4" t="s">
        <v>15</v>
      </c>
      <c r="R37603" s="4" t="s">
        <v>7</v>
      </c>
      <c r="S37603" s="4" t="s">
        <v>8</v>
      </c>
    </row>
    <row r="37604" spans="1:13">
      <c r="A37604" t="n">
        <v>371147</v>
      </c>
      <c r="B37604" s="24" t="n">
        <v>75</v>
      </c>
      <c r="C37604" s="7" t="n">
        <v>0</v>
      </c>
      <c r="D37604" s="7" t="n">
        <v>484</v>
      </c>
      <c r="E37604" s="7" t="n">
        <v>328</v>
      </c>
      <c r="F37604" s="7" t="n">
        <v>996</v>
      </c>
      <c r="G37604" s="7" t="n">
        <v>392</v>
      </c>
      <c r="H37604" s="7" t="n">
        <v>0</v>
      </c>
      <c r="I37604" s="7" t="n">
        <v>0</v>
      </c>
      <c r="J37604" s="7" t="n">
        <v>0</v>
      </c>
      <c r="K37604" s="7" t="n">
        <v>448</v>
      </c>
      <c r="L37604" s="7" t="n">
        <v>512</v>
      </c>
      <c r="M37604" s="7" t="n">
        <v>512</v>
      </c>
      <c r="N37604" s="7" t="n">
        <v>1065353216</v>
      </c>
      <c r="O37604" s="7" t="n">
        <v>1065353216</v>
      </c>
      <c r="P37604" s="7" t="n">
        <v>1065353216</v>
      </c>
      <c r="Q37604" s="7" t="n">
        <v>0</v>
      </c>
      <c r="R37604" s="7" t="n">
        <v>0</v>
      </c>
      <c r="S37604" s="7" t="s">
        <v>271</v>
      </c>
    </row>
    <row r="37605" spans="1:13">
      <c r="A37605" t="s">
        <v>4</v>
      </c>
      <c r="B37605" s="4" t="s">
        <v>5</v>
      </c>
      <c r="C37605" s="4" t="s">
        <v>11</v>
      </c>
      <c r="D37605" s="4" t="s">
        <v>8</v>
      </c>
      <c r="E37605" s="4" t="s">
        <v>8</v>
      </c>
      <c r="F37605" s="4" t="s">
        <v>8</v>
      </c>
      <c r="G37605" s="4" t="s">
        <v>7</v>
      </c>
      <c r="H37605" s="4" t="s">
        <v>15</v>
      </c>
      <c r="I37605" s="4" t="s">
        <v>13</v>
      </c>
      <c r="J37605" s="4" t="s">
        <v>13</v>
      </c>
      <c r="K37605" s="4" t="s">
        <v>13</v>
      </c>
      <c r="L37605" s="4" t="s">
        <v>13</v>
      </c>
      <c r="M37605" s="4" t="s">
        <v>13</v>
      </c>
      <c r="N37605" s="4" t="s">
        <v>13</v>
      </c>
      <c r="O37605" s="4" t="s">
        <v>13</v>
      </c>
      <c r="P37605" s="4" t="s">
        <v>8</v>
      </c>
      <c r="Q37605" s="4" t="s">
        <v>8</v>
      </c>
      <c r="R37605" s="4" t="s">
        <v>15</v>
      </c>
      <c r="S37605" s="4" t="s">
        <v>7</v>
      </c>
      <c r="T37605" s="4" t="s">
        <v>15</v>
      </c>
      <c r="U37605" s="4" t="s">
        <v>15</v>
      </c>
      <c r="V37605" s="4" t="s">
        <v>11</v>
      </c>
    </row>
    <row r="37606" spans="1:13">
      <c r="A37606" t="n">
        <v>371196</v>
      </c>
      <c r="B37606" s="62" t="n">
        <v>19</v>
      </c>
      <c r="C37606" s="7" t="n">
        <v>8</v>
      </c>
      <c r="D37606" s="7" t="s">
        <v>1128</v>
      </c>
      <c r="E37606" s="7" t="s">
        <v>1129</v>
      </c>
      <c r="F37606" s="7" t="s">
        <v>16</v>
      </c>
      <c r="G37606" s="7" t="n">
        <v>0</v>
      </c>
      <c r="H37606" s="7" t="n">
        <v>1</v>
      </c>
      <c r="I37606" s="7" t="n">
        <v>0</v>
      </c>
      <c r="J37606" s="7" t="n">
        <v>0</v>
      </c>
      <c r="K37606" s="7" t="n">
        <v>0</v>
      </c>
      <c r="L37606" s="7" t="n">
        <v>0</v>
      </c>
      <c r="M37606" s="7" t="n">
        <v>1</v>
      </c>
      <c r="N37606" s="7" t="n">
        <v>1.60000002384186</v>
      </c>
      <c r="O37606" s="7" t="n">
        <v>0.0900000035762787</v>
      </c>
      <c r="P37606" s="7" t="s">
        <v>16</v>
      </c>
      <c r="Q37606" s="7" t="s">
        <v>16</v>
      </c>
      <c r="R37606" s="7" t="n">
        <v>-1</v>
      </c>
      <c r="S37606" s="7" t="n">
        <v>0</v>
      </c>
      <c r="T37606" s="7" t="n">
        <v>0</v>
      </c>
      <c r="U37606" s="7" t="n">
        <v>0</v>
      </c>
      <c r="V37606" s="7" t="n">
        <v>0</v>
      </c>
    </row>
    <row r="37607" spans="1:13">
      <c r="A37607" t="s">
        <v>4</v>
      </c>
      <c r="B37607" s="4" t="s">
        <v>5</v>
      </c>
      <c r="C37607" s="4" t="s">
        <v>11</v>
      </c>
      <c r="D37607" s="4" t="s">
        <v>7</v>
      </c>
      <c r="E37607" s="4" t="s">
        <v>7</v>
      </c>
      <c r="F37607" s="4" t="s">
        <v>8</v>
      </c>
    </row>
    <row r="37608" spans="1:13">
      <c r="A37608" t="n">
        <v>371269</v>
      </c>
      <c r="B37608" s="50" t="n">
        <v>20</v>
      </c>
      <c r="C37608" s="7" t="n">
        <v>0</v>
      </c>
      <c r="D37608" s="7" t="n">
        <v>3</v>
      </c>
      <c r="E37608" s="7" t="n">
        <v>10</v>
      </c>
      <c r="F37608" s="7" t="s">
        <v>108</v>
      </c>
    </row>
    <row r="37609" spans="1:13">
      <c r="A37609" t="s">
        <v>4</v>
      </c>
      <c r="B37609" s="4" t="s">
        <v>5</v>
      </c>
      <c r="C37609" s="4" t="s">
        <v>11</v>
      </c>
    </row>
    <row r="37610" spans="1:13">
      <c r="A37610" t="n">
        <v>371287</v>
      </c>
      <c r="B37610" s="29" t="n">
        <v>16</v>
      </c>
      <c r="C37610" s="7" t="n">
        <v>0</v>
      </c>
    </row>
    <row r="37611" spans="1:13">
      <c r="A37611" t="s">
        <v>4</v>
      </c>
      <c r="B37611" s="4" t="s">
        <v>5</v>
      </c>
      <c r="C37611" s="4" t="s">
        <v>11</v>
      </c>
      <c r="D37611" s="4" t="s">
        <v>7</v>
      </c>
      <c r="E37611" s="4" t="s">
        <v>7</v>
      </c>
      <c r="F37611" s="4" t="s">
        <v>8</v>
      </c>
    </row>
    <row r="37612" spans="1:13">
      <c r="A37612" t="n">
        <v>371290</v>
      </c>
      <c r="B37612" s="50" t="n">
        <v>20</v>
      </c>
      <c r="C37612" s="7" t="n">
        <v>8</v>
      </c>
      <c r="D37612" s="7" t="n">
        <v>3</v>
      </c>
      <c r="E37612" s="7" t="n">
        <v>10</v>
      </c>
      <c r="F37612" s="7" t="s">
        <v>108</v>
      </c>
    </row>
    <row r="37613" spans="1:13">
      <c r="A37613" t="s">
        <v>4</v>
      </c>
      <c r="B37613" s="4" t="s">
        <v>5</v>
      </c>
      <c r="C37613" s="4" t="s">
        <v>11</v>
      </c>
    </row>
    <row r="37614" spans="1:13">
      <c r="A37614" t="n">
        <v>371308</v>
      </c>
      <c r="B37614" s="29" t="n">
        <v>16</v>
      </c>
      <c r="C37614" s="7" t="n">
        <v>0</v>
      </c>
    </row>
    <row r="37615" spans="1:13">
      <c r="A37615" t="s">
        <v>4</v>
      </c>
      <c r="B37615" s="4" t="s">
        <v>5</v>
      </c>
      <c r="C37615" s="4" t="s">
        <v>11</v>
      </c>
      <c r="D37615" s="4" t="s">
        <v>15</v>
      </c>
    </row>
    <row r="37616" spans="1:13">
      <c r="A37616" t="n">
        <v>371311</v>
      </c>
      <c r="B37616" s="39" t="n">
        <v>43</v>
      </c>
      <c r="C37616" s="7" t="n">
        <v>8</v>
      </c>
      <c r="D37616" s="7" t="n">
        <v>1</v>
      </c>
    </row>
    <row r="37617" spans="1:22">
      <c r="A37617" t="s">
        <v>4</v>
      </c>
      <c r="B37617" s="4" t="s">
        <v>5</v>
      </c>
      <c r="C37617" s="4" t="s">
        <v>7</v>
      </c>
    </row>
    <row r="37618" spans="1:22">
      <c r="A37618" t="n">
        <v>371318</v>
      </c>
      <c r="B37618" s="49" t="n">
        <v>116</v>
      </c>
      <c r="C37618" s="7" t="n">
        <v>0</v>
      </c>
    </row>
    <row r="37619" spans="1:22">
      <c r="A37619" t="s">
        <v>4</v>
      </c>
      <c r="B37619" s="4" t="s">
        <v>5</v>
      </c>
      <c r="C37619" s="4" t="s">
        <v>7</v>
      </c>
      <c r="D37619" s="4" t="s">
        <v>11</v>
      </c>
    </row>
    <row r="37620" spans="1:22">
      <c r="A37620" t="n">
        <v>371320</v>
      </c>
      <c r="B37620" s="49" t="n">
        <v>116</v>
      </c>
      <c r="C37620" s="7" t="n">
        <v>2</v>
      </c>
      <c r="D37620" s="7" t="n">
        <v>1</v>
      </c>
    </row>
    <row r="37621" spans="1:22">
      <c r="A37621" t="s">
        <v>4</v>
      </c>
      <c r="B37621" s="4" t="s">
        <v>5</v>
      </c>
      <c r="C37621" s="4" t="s">
        <v>7</v>
      </c>
      <c r="D37621" s="4" t="s">
        <v>15</v>
      </c>
    </row>
    <row r="37622" spans="1:22">
      <c r="A37622" t="n">
        <v>371324</v>
      </c>
      <c r="B37622" s="49" t="n">
        <v>116</v>
      </c>
      <c r="C37622" s="7" t="n">
        <v>5</v>
      </c>
      <c r="D37622" s="7" t="n">
        <v>1106247680</v>
      </c>
    </row>
    <row r="37623" spans="1:22">
      <c r="A37623" t="s">
        <v>4</v>
      </c>
      <c r="B37623" s="4" t="s">
        <v>5</v>
      </c>
      <c r="C37623" s="4" t="s">
        <v>7</v>
      </c>
      <c r="D37623" s="4" t="s">
        <v>11</v>
      </c>
    </row>
    <row r="37624" spans="1:22">
      <c r="A37624" t="n">
        <v>371330</v>
      </c>
      <c r="B37624" s="49" t="n">
        <v>116</v>
      </c>
      <c r="C37624" s="7" t="n">
        <v>6</v>
      </c>
      <c r="D37624" s="7" t="n">
        <v>1</v>
      </c>
    </row>
    <row r="37625" spans="1:22">
      <c r="A37625" t="s">
        <v>4</v>
      </c>
      <c r="B37625" s="4" t="s">
        <v>5</v>
      </c>
      <c r="C37625" s="4" t="s">
        <v>7</v>
      </c>
      <c r="D37625" s="4" t="s">
        <v>11</v>
      </c>
      <c r="E37625" s="4" t="s">
        <v>11</v>
      </c>
      <c r="F37625" s="4" t="s">
        <v>15</v>
      </c>
    </row>
    <row r="37626" spans="1:22">
      <c r="A37626" t="n">
        <v>371334</v>
      </c>
      <c r="B37626" s="76" t="n">
        <v>84</v>
      </c>
      <c r="C37626" s="7" t="n">
        <v>0</v>
      </c>
      <c r="D37626" s="7" t="n">
        <v>0</v>
      </c>
      <c r="E37626" s="7" t="n">
        <v>0</v>
      </c>
      <c r="F37626" s="7" t="n">
        <v>1045220557</v>
      </c>
    </row>
    <row r="37627" spans="1:22">
      <c r="A37627" t="s">
        <v>4</v>
      </c>
      <c r="B37627" s="4" t="s">
        <v>5</v>
      </c>
      <c r="C37627" s="4" t="s">
        <v>11</v>
      </c>
      <c r="D37627" s="4" t="s">
        <v>13</v>
      </c>
      <c r="E37627" s="4" t="s">
        <v>13</v>
      </c>
      <c r="F37627" s="4" t="s">
        <v>13</v>
      </c>
      <c r="G37627" s="4" t="s">
        <v>13</v>
      </c>
    </row>
    <row r="37628" spans="1:22">
      <c r="A37628" t="n">
        <v>371344</v>
      </c>
      <c r="B37628" s="36" t="n">
        <v>46</v>
      </c>
      <c r="C37628" s="7" t="n">
        <v>8</v>
      </c>
      <c r="D37628" s="7" t="n">
        <v>7.6100001335144</v>
      </c>
      <c r="E37628" s="7" t="n">
        <v>0</v>
      </c>
      <c r="F37628" s="7" t="n">
        <v>46.0200004577637</v>
      </c>
      <c r="G37628" s="7" t="n">
        <v>272.200012207031</v>
      </c>
    </row>
    <row r="37629" spans="1:22">
      <c r="A37629" t="s">
        <v>4</v>
      </c>
      <c r="B37629" s="4" t="s">
        <v>5</v>
      </c>
      <c r="C37629" s="4" t="s">
        <v>11</v>
      </c>
      <c r="D37629" s="4" t="s">
        <v>13</v>
      </c>
      <c r="E37629" s="4" t="s">
        <v>13</v>
      </c>
      <c r="F37629" s="4" t="s">
        <v>13</v>
      </c>
      <c r="G37629" s="4" t="s">
        <v>13</v>
      </c>
    </row>
    <row r="37630" spans="1:22">
      <c r="A37630" t="n">
        <v>371363</v>
      </c>
      <c r="B37630" s="36" t="n">
        <v>46</v>
      </c>
      <c r="C37630" s="7" t="n">
        <v>0</v>
      </c>
      <c r="D37630" s="7" t="n">
        <v>4.78000020980835</v>
      </c>
      <c r="E37630" s="7" t="n">
        <v>0</v>
      </c>
      <c r="F37630" s="7" t="n">
        <v>45.3300018310547</v>
      </c>
      <c r="G37630" s="7" t="n">
        <v>-102.300003051758</v>
      </c>
    </row>
    <row r="37631" spans="1:22">
      <c r="A37631" t="s">
        <v>4</v>
      </c>
      <c r="B37631" s="4" t="s">
        <v>5</v>
      </c>
      <c r="C37631" s="4" t="s">
        <v>11</v>
      </c>
      <c r="D37631" s="4" t="s">
        <v>7</v>
      </c>
      <c r="E37631" s="4" t="s">
        <v>8</v>
      </c>
      <c r="F37631" s="4" t="s">
        <v>13</v>
      </c>
      <c r="G37631" s="4" t="s">
        <v>13</v>
      </c>
      <c r="H37631" s="4" t="s">
        <v>13</v>
      </c>
    </row>
    <row r="37632" spans="1:22">
      <c r="A37632" t="n">
        <v>371382</v>
      </c>
      <c r="B37632" s="42" t="n">
        <v>48</v>
      </c>
      <c r="C37632" s="7" t="n">
        <v>0</v>
      </c>
      <c r="D37632" s="7" t="n">
        <v>0</v>
      </c>
      <c r="E37632" s="7" t="s">
        <v>275</v>
      </c>
      <c r="F37632" s="7" t="n">
        <v>0</v>
      </c>
      <c r="G37632" s="7" t="n">
        <v>1</v>
      </c>
      <c r="H37632" s="7" t="n">
        <v>0</v>
      </c>
    </row>
    <row r="37633" spans="1:8">
      <c r="A37633" t="s">
        <v>4</v>
      </c>
      <c r="B37633" s="4" t="s">
        <v>5</v>
      </c>
      <c r="C37633" s="4" t="s">
        <v>7</v>
      </c>
      <c r="D37633" s="4" t="s">
        <v>11</v>
      </c>
      <c r="E37633" s="4" t="s">
        <v>8</v>
      </c>
      <c r="F37633" s="4" t="s">
        <v>8</v>
      </c>
      <c r="G37633" s="4" t="s">
        <v>8</v>
      </c>
      <c r="H37633" s="4" t="s">
        <v>8</v>
      </c>
    </row>
    <row r="37634" spans="1:8">
      <c r="A37634" t="n">
        <v>371407</v>
      </c>
      <c r="B37634" s="38" t="n">
        <v>51</v>
      </c>
      <c r="C37634" s="7" t="n">
        <v>3</v>
      </c>
      <c r="D37634" s="7" t="n">
        <v>0</v>
      </c>
      <c r="E37634" s="7" t="s">
        <v>101</v>
      </c>
      <c r="F37634" s="7" t="s">
        <v>99</v>
      </c>
      <c r="G37634" s="7" t="s">
        <v>78</v>
      </c>
      <c r="H37634" s="7" t="s">
        <v>79</v>
      </c>
    </row>
    <row r="37635" spans="1:8">
      <c r="A37635" t="s">
        <v>4</v>
      </c>
      <c r="B37635" s="4" t="s">
        <v>5</v>
      </c>
      <c r="C37635" s="4" t="s">
        <v>7</v>
      </c>
      <c r="D37635" s="4" t="s">
        <v>11</v>
      </c>
      <c r="E37635" s="4" t="s">
        <v>8</v>
      </c>
      <c r="F37635" s="4" t="s">
        <v>8</v>
      </c>
      <c r="G37635" s="4" t="s">
        <v>8</v>
      </c>
      <c r="H37635" s="4" t="s">
        <v>8</v>
      </c>
    </row>
    <row r="37636" spans="1:8">
      <c r="A37636" t="n">
        <v>371428</v>
      </c>
      <c r="B37636" s="38" t="n">
        <v>51</v>
      </c>
      <c r="C37636" s="7" t="n">
        <v>3</v>
      </c>
      <c r="D37636" s="7" t="n">
        <v>8</v>
      </c>
      <c r="E37636" s="7" t="s">
        <v>101</v>
      </c>
      <c r="F37636" s="7" t="s">
        <v>99</v>
      </c>
      <c r="G37636" s="7" t="s">
        <v>78</v>
      </c>
      <c r="H37636" s="7" t="s">
        <v>79</v>
      </c>
    </row>
    <row r="37637" spans="1:8">
      <c r="A37637" t="s">
        <v>4</v>
      </c>
      <c r="B37637" s="4" t="s">
        <v>5</v>
      </c>
      <c r="C37637" s="4" t="s">
        <v>7</v>
      </c>
      <c r="D37637" s="4" t="s">
        <v>11</v>
      </c>
      <c r="E37637" s="4" t="s">
        <v>7</v>
      </c>
      <c r="F37637" s="4" t="s">
        <v>8</v>
      </c>
      <c r="G37637" s="4" t="s">
        <v>8</v>
      </c>
      <c r="H37637" s="4" t="s">
        <v>8</v>
      </c>
      <c r="I37637" s="4" t="s">
        <v>8</v>
      </c>
      <c r="J37637" s="4" t="s">
        <v>8</v>
      </c>
      <c r="K37637" s="4" t="s">
        <v>8</v>
      </c>
      <c r="L37637" s="4" t="s">
        <v>8</v>
      </c>
      <c r="M37637" s="4" t="s">
        <v>8</v>
      </c>
      <c r="N37637" s="4" t="s">
        <v>8</v>
      </c>
      <c r="O37637" s="4" t="s">
        <v>8</v>
      </c>
      <c r="P37637" s="4" t="s">
        <v>8</v>
      </c>
      <c r="Q37637" s="4" t="s">
        <v>8</v>
      </c>
      <c r="R37637" s="4" t="s">
        <v>8</v>
      </c>
      <c r="S37637" s="4" t="s">
        <v>8</v>
      </c>
      <c r="T37637" s="4" t="s">
        <v>8</v>
      </c>
      <c r="U37637" s="4" t="s">
        <v>8</v>
      </c>
    </row>
    <row r="37638" spans="1:8">
      <c r="A37638" t="n">
        <v>371449</v>
      </c>
      <c r="B37638" s="40" t="n">
        <v>36</v>
      </c>
      <c r="C37638" s="7" t="n">
        <v>8</v>
      </c>
      <c r="D37638" s="7" t="n">
        <v>0</v>
      </c>
      <c r="E37638" s="7" t="n">
        <v>0</v>
      </c>
      <c r="F37638" s="7" t="s">
        <v>1066</v>
      </c>
      <c r="G37638" s="7" t="s">
        <v>16</v>
      </c>
      <c r="H37638" s="7" t="s">
        <v>16</v>
      </c>
      <c r="I37638" s="7" t="s">
        <v>16</v>
      </c>
      <c r="J37638" s="7" t="s">
        <v>16</v>
      </c>
      <c r="K37638" s="7" t="s">
        <v>16</v>
      </c>
      <c r="L37638" s="7" t="s">
        <v>16</v>
      </c>
      <c r="M37638" s="7" t="s">
        <v>16</v>
      </c>
      <c r="N37638" s="7" t="s">
        <v>16</v>
      </c>
      <c r="O37638" s="7" t="s">
        <v>16</v>
      </c>
      <c r="P37638" s="7" t="s">
        <v>16</v>
      </c>
      <c r="Q37638" s="7" t="s">
        <v>16</v>
      </c>
      <c r="R37638" s="7" t="s">
        <v>16</v>
      </c>
      <c r="S37638" s="7" t="s">
        <v>16</v>
      </c>
      <c r="T37638" s="7" t="s">
        <v>16</v>
      </c>
      <c r="U37638" s="7" t="s">
        <v>16</v>
      </c>
    </row>
    <row r="37639" spans="1:8">
      <c r="A37639" t="s">
        <v>4</v>
      </c>
      <c r="B37639" s="4" t="s">
        <v>5</v>
      </c>
      <c r="C37639" s="4" t="s">
        <v>7</v>
      </c>
      <c r="D37639" s="4" t="s">
        <v>11</v>
      </c>
      <c r="E37639" s="4" t="s">
        <v>7</v>
      </c>
      <c r="F37639" s="4" t="s">
        <v>8</v>
      </c>
      <c r="G37639" s="4" t="s">
        <v>8</v>
      </c>
      <c r="H37639" s="4" t="s">
        <v>8</v>
      </c>
      <c r="I37639" s="4" t="s">
        <v>8</v>
      </c>
      <c r="J37639" s="4" t="s">
        <v>8</v>
      </c>
      <c r="K37639" s="4" t="s">
        <v>8</v>
      </c>
      <c r="L37639" s="4" t="s">
        <v>8</v>
      </c>
      <c r="M37639" s="4" t="s">
        <v>8</v>
      </c>
      <c r="N37639" s="4" t="s">
        <v>8</v>
      </c>
      <c r="O37639" s="4" t="s">
        <v>8</v>
      </c>
      <c r="P37639" s="4" t="s">
        <v>8</v>
      </c>
      <c r="Q37639" s="4" t="s">
        <v>8</v>
      </c>
      <c r="R37639" s="4" t="s">
        <v>8</v>
      </c>
      <c r="S37639" s="4" t="s">
        <v>8</v>
      </c>
      <c r="T37639" s="4" t="s">
        <v>8</v>
      </c>
      <c r="U37639" s="4" t="s">
        <v>8</v>
      </c>
    </row>
    <row r="37640" spans="1:8">
      <c r="A37640" t="n">
        <v>371479</v>
      </c>
      <c r="B37640" s="40" t="n">
        <v>36</v>
      </c>
      <c r="C37640" s="7" t="n">
        <v>8</v>
      </c>
      <c r="D37640" s="7" t="n">
        <v>8</v>
      </c>
      <c r="E37640" s="7" t="n">
        <v>0</v>
      </c>
      <c r="F37640" s="7" t="s">
        <v>1066</v>
      </c>
      <c r="G37640" s="7" t="s">
        <v>16</v>
      </c>
      <c r="H37640" s="7" t="s">
        <v>16</v>
      </c>
      <c r="I37640" s="7" t="s">
        <v>16</v>
      </c>
      <c r="J37640" s="7" t="s">
        <v>16</v>
      </c>
      <c r="K37640" s="7" t="s">
        <v>16</v>
      </c>
      <c r="L37640" s="7" t="s">
        <v>16</v>
      </c>
      <c r="M37640" s="7" t="s">
        <v>16</v>
      </c>
      <c r="N37640" s="7" t="s">
        <v>16</v>
      </c>
      <c r="O37640" s="7" t="s">
        <v>16</v>
      </c>
      <c r="P37640" s="7" t="s">
        <v>16</v>
      </c>
      <c r="Q37640" s="7" t="s">
        <v>16</v>
      </c>
      <c r="R37640" s="7" t="s">
        <v>16</v>
      </c>
      <c r="S37640" s="7" t="s">
        <v>16</v>
      </c>
      <c r="T37640" s="7" t="s">
        <v>16</v>
      </c>
      <c r="U37640" s="7" t="s">
        <v>16</v>
      </c>
    </row>
    <row r="37641" spans="1:8">
      <c r="A37641" t="s">
        <v>4</v>
      </c>
      <c r="B37641" s="4" t="s">
        <v>5</v>
      </c>
      <c r="C37641" s="4" t="s">
        <v>7</v>
      </c>
      <c r="D37641" s="4" t="s">
        <v>7</v>
      </c>
      <c r="E37641" s="4" t="s">
        <v>13</v>
      </c>
      <c r="F37641" s="4" t="s">
        <v>13</v>
      </c>
      <c r="G37641" s="4" t="s">
        <v>13</v>
      </c>
      <c r="H37641" s="4" t="s">
        <v>11</v>
      </c>
    </row>
    <row r="37642" spans="1:8">
      <c r="A37642" t="n">
        <v>371509</v>
      </c>
      <c r="B37642" s="51" t="n">
        <v>45</v>
      </c>
      <c r="C37642" s="7" t="n">
        <v>2</v>
      </c>
      <c r="D37642" s="7" t="n">
        <v>3</v>
      </c>
      <c r="E37642" s="7" t="n">
        <v>-3</v>
      </c>
      <c r="F37642" s="7" t="n">
        <v>2.89000010490417</v>
      </c>
      <c r="G37642" s="7" t="n">
        <v>41.3699989318848</v>
      </c>
      <c r="H37642" s="7" t="n">
        <v>0</v>
      </c>
    </row>
    <row r="37643" spans="1:8">
      <c r="A37643" t="s">
        <v>4</v>
      </c>
      <c r="B37643" s="4" t="s">
        <v>5</v>
      </c>
      <c r="C37643" s="4" t="s">
        <v>7</v>
      </c>
      <c r="D37643" s="4" t="s">
        <v>7</v>
      </c>
      <c r="E37643" s="4" t="s">
        <v>13</v>
      </c>
      <c r="F37643" s="4" t="s">
        <v>13</v>
      </c>
      <c r="G37643" s="4" t="s">
        <v>13</v>
      </c>
      <c r="H37643" s="4" t="s">
        <v>11</v>
      </c>
      <c r="I37643" s="4" t="s">
        <v>7</v>
      </c>
    </row>
    <row r="37644" spans="1:8">
      <c r="A37644" t="n">
        <v>371526</v>
      </c>
      <c r="B37644" s="51" t="n">
        <v>45</v>
      </c>
      <c r="C37644" s="7" t="n">
        <v>4</v>
      </c>
      <c r="D37644" s="7" t="n">
        <v>3</v>
      </c>
      <c r="E37644" s="7" t="n">
        <v>0.649999976158142</v>
      </c>
      <c r="F37644" s="7" t="n">
        <v>105.529998779297</v>
      </c>
      <c r="G37644" s="7" t="n">
        <v>0</v>
      </c>
      <c r="H37644" s="7" t="n">
        <v>0</v>
      </c>
      <c r="I37644" s="7" t="n">
        <v>0</v>
      </c>
    </row>
    <row r="37645" spans="1:8">
      <c r="A37645" t="s">
        <v>4</v>
      </c>
      <c r="B37645" s="4" t="s">
        <v>5</v>
      </c>
      <c r="C37645" s="4" t="s">
        <v>7</v>
      </c>
      <c r="D37645" s="4" t="s">
        <v>7</v>
      </c>
      <c r="E37645" s="4" t="s">
        <v>13</v>
      </c>
      <c r="F37645" s="4" t="s">
        <v>11</v>
      </c>
    </row>
    <row r="37646" spans="1:8">
      <c r="A37646" t="n">
        <v>371544</v>
      </c>
      <c r="B37646" s="51" t="n">
        <v>45</v>
      </c>
      <c r="C37646" s="7" t="n">
        <v>5</v>
      </c>
      <c r="D37646" s="7" t="n">
        <v>3</v>
      </c>
      <c r="E37646" s="7" t="n">
        <v>2.40000009536743</v>
      </c>
      <c r="F37646" s="7" t="n">
        <v>0</v>
      </c>
    </row>
    <row r="37647" spans="1:8">
      <c r="A37647" t="s">
        <v>4</v>
      </c>
      <c r="B37647" s="4" t="s">
        <v>5</v>
      </c>
      <c r="C37647" s="4" t="s">
        <v>7</v>
      </c>
      <c r="D37647" s="4" t="s">
        <v>7</v>
      </c>
      <c r="E37647" s="4" t="s">
        <v>13</v>
      </c>
      <c r="F37647" s="4" t="s">
        <v>11</v>
      </c>
    </row>
    <row r="37648" spans="1:8">
      <c r="A37648" t="n">
        <v>371553</v>
      </c>
      <c r="B37648" s="51" t="n">
        <v>45</v>
      </c>
      <c r="C37648" s="7" t="n">
        <v>11</v>
      </c>
      <c r="D37648" s="7" t="n">
        <v>3</v>
      </c>
      <c r="E37648" s="7" t="n">
        <v>33.4000015258789</v>
      </c>
      <c r="F37648" s="7" t="n">
        <v>0</v>
      </c>
    </row>
    <row r="37649" spans="1:21">
      <c r="A37649" t="s">
        <v>4</v>
      </c>
      <c r="B37649" s="4" t="s">
        <v>5</v>
      </c>
      <c r="C37649" s="4" t="s">
        <v>11</v>
      </c>
      <c r="D37649" s="4" t="s">
        <v>13</v>
      </c>
      <c r="E37649" s="4" t="s">
        <v>13</v>
      </c>
      <c r="F37649" s="4" t="s">
        <v>13</v>
      </c>
      <c r="G37649" s="4" t="s">
        <v>11</v>
      </c>
      <c r="H37649" s="4" t="s">
        <v>11</v>
      </c>
    </row>
    <row r="37650" spans="1:21">
      <c r="A37650" t="n">
        <v>371562</v>
      </c>
      <c r="B37650" s="37" t="n">
        <v>60</v>
      </c>
      <c r="C37650" s="7" t="n">
        <v>0</v>
      </c>
      <c r="D37650" s="7" t="n">
        <v>0</v>
      </c>
      <c r="E37650" s="7" t="n">
        <v>20</v>
      </c>
      <c r="F37650" s="7" t="n">
        <v>0</v>
      </c>
      <c r="G37650" s="7" t="n">
        <v>0</v>
      </c>
      <c r="H37650" s="7" t="n">
        <v>0</v>
      </c>
    </row>
    <row r="37651" spans="1:21">
      <c r="A37651" t="s">
        <v>4</v>
      </c>
      <c r="B37651" s="4" t="s">
        <v>5</v>
      </c>
      <c r="C37651" s="4" t="s">
        <v>7</v>
      </c>
      <c r="D37651" s="4" t="s">
        <v>7</v>
      </c>
      <c r="E37651" s="4" t="s">
        <v>7</v>
      </c>
      <c r="F37651" s="4" t="s">
        <v>13</v>
      </c>
      <c r="G37651" s="4" t="s">
        <v>13</v>
      </c>
      <c r="H37651" s="4" t="s">
        <v>13</v>
      </c>
      <c r="I37651" s="4" t="s">
        <v>13</v>
      </c>
      <c r="J37651" s="4" t="s">
        <v>13</v>
      </c>
    </row>
    <row r="37652" spans="1:21">
      <c r="A37652" t="n">
        <v>371581</v>
      </c>
      <c r="B37652" s="25" t="n">
        <v>76</v>
      </c>
      <c r="C37652" s="7" t="n">
        <v>0</v>
      </c>
      <c r="D37652" s="7" t="n">
        <v>3</v>
      </c>
      <c r="E37652" s="7" t="n">
        <v>2</v>
      </c>
      <c r="F37652" s="7" t="n">
        <v>1</v>
      </c>
      <c r="G37652" s="7" t="n">
        <v>1</v>
      </c>
      <c r="H37652" s="7" t="n">
        <v>1</v>
      </c>
      <c r="I37652" s="7" t="n">
        <v>1</v>
      </c>
      <c r="J37652" s="7" t="n">
        <v>2000</v>
      </c>
    </row>
    <row r="37653" spans="1:21">
      <c r="A37653" t="s">
        <v>4</v>
      </c>
      <c r="B37653" s="4" t="s">
        <v>5</v>
      </c>
      <c r="C37653" s="4" t="s">
        <v>7</v>
      </c>
      <c r="D37653" s="4" t="s">
        <v>7</v>
      </c>
      <c r="E37653" s="4" t="s">
        <v>7</v>
      </c>
      <c r="F37653" s="4" t="s">
        <v>13</v>
      </c>
      <c r="G37653" s="4" t="s">
        <v>13</v>
      </c>
      <c r="H37653" s="4" t="s">
        <v>13</v>
      </c>
      <c r="I37653" s="4" t="s">
        <v>13</v>
      </c>
      <c r="J37653" s="4" t="s">
        <v>13</v>
      </c>
    </row>
    <row r="37654" spans="1:21">
      <c r="A37654" t="n">
        <v>371605</v>
      </c>
      <c r="B37654" s="25" t="n">
        <v>76</v>
      </c>
      <c r="C37654" s="7" t="n">
        <v>0</v>
      </c>
      <c r="D37654" s="7" t="n">
        <v>0</v>
      </c>
      <c r="E37654" s="7" t="n">
        <v>2</v>
      </c>
      <c r="F37654" s="7" t="n">
        <v>64</v>
      </c>
      <c r="G37654" s="7" t="n">
        <v>0</v>
      </c>
      <c r="H37654" s="7" t="n">
        <v>2000</v>
      </c>
      <c r="I37654" s="7" t="n">
        <v>0</v>
      </c>
      <c r="J37654" s="7" t="n">
        <v>0</v>
      </c>
    </row>
    <row r="37655" spans="1:21">
      <c r="A37655" t="s">
        <v>4</v>
      </c>
      <c r="B37655" s="4" t="s">
        <v>5</v>
      </c>
      <c r="C37655" s="4" t="s">
        <v>7</v>
      </c>
      <c r="D37655" s="4" t="s">
        <v>7</v>
      </c>
    </row>
    <row r="37656" spans="1:21">
      <c r="A37656" t="n">
        <v>371629</v>
      </c>
      <c r="B37656" s="26" t="n">
        <v>77</v>
      </c>
      <c r="C37656" s="7" t="n">
        <v>0</v>
      </c>
      <c r="D37656" s="7" t="n">
        <v>3</v>
      </c>
    </row>
    <row r="37657" spans="1:21">
      <c r="A37657" t="s">
        <v>4</v>
      </c>
      <c r="B37657" s="4" t="s">
        <v>5</v>
      </c>
      <c r="C37657" s="4" t="s">
        <v>7</v>
      </c>
      <c r="D37657" s="4" t="s">
        <v>7</v>
      </c>
    </row>
    <row r="37658" spans="1:21">
      <c r="A37658" t="n">
        <v>371632</v>
      </c>
      <c r="B37658" s="26" t="n">
        <v>77</v>
      </c>
      <c r="C37658" s="7" t="n">
        <v>0</v>
      </c>
      <c r="D37658" s="7" t="n">
        <v>0</v>
      </c>
    </row>
    <row r="37659" spans="1:21">
      <c r="A37659" t="s">
        <v>4</v>
      </c>
      <c r="B37659" s="4" t="s">
        <v>5</v>
      </c>
      <c r="C37659" s="4" t="s">
        <v>11</v>
      </c>
    </row>
    <row r="37660" spans="1:21">
      <c r="A37660" t="n">
        <v>371635</v>
      </c>
      <c r="B37660" s="29" t="n">
        <v>16</v>
      </c>
      <c r="C37660" s="7" t="n">
        <v>2000</v>
      </c>
    </row>
    <row r="37661" spans="1:21">
      <c r="A37661" t="s">
        <v>4</v>
      </c>
      <c r="B37661" s="4" t="s">
        <v>5</v>
      </c>
      <c r="C37661" s="4" t="s">
        <v>7</v>
      </c>
      <c r="D37661" s="4" t="s">
        <v>11</v>
      </c>
      <c r="E37661" s="4" t="s">
        <v>15</v>
      </c>
      <c r="F37661" s="4" t="s">
        <v>11</v>
      </c>
      <c r="G37661" s="4" t="s">
        <v>15</v>
      </c>
      <c r="H37661" s="4" t="s">
        <v>7</v>
      </c>
    </row>
    <row r="37662" spans="1:21">
      <c r="A37662" t="n">
        <v>371638</v>
      </c>
      <c r="B37662" s="13" t="n">
        <v>49</v>
      </c>
      <c r="C37662" s="7" t="n">
        <v>0</v>
      </c>
      <c r="D37662" s="7" t="n">
        <v>514</v>
      </c>
      <c r="E37662" s="7" t="n">
        <v>1065353216</v>
      </c>
      <c r="F37662" s="7" t="n">
        <v>0</v>
      </c>
      <c r="G37662" s="7" t="n">
        <v>0</v>
      </c>
      <c r="H37662" s="7" t="n">
        <v>0</v>
      </c>
    </row>
    <row r="37663" spans="1:21">
      <c r="A37663" t="s">
        <v>4</v>
      </c>
      <c r="B37663" s="4" t="s">
        <v>5</v>
      </c>
      <c r="C37663" s="4" t="s">
        <v>7</v>
      </c>
      <c r="D37663" s="4" t="s">
        <v>7</v>
      </c>
      <c r="E37663" s="4" t="s">
        <v>7</v>
      </c>
      <c r="F37663" s="4" t="s">
        <v>13</v>
      </c>
      <c r="G37663" s="4" t="s">
        <v>13</v>
      </c>
      <c r="H37663" s="4" t="s">
        <v>13</v>
      </c>
      <c r="I37663" s="4" t="s">
        <v>13</v>
      </c>
      <c r="J37663" s="4" t="s">
        <v>13</v>
      </c>
    </row>
    <row r="37664" spans="1:21">
      <c r="A37664" t="n">
        <v>371653</v>
      </c>
      <c r="B37664" s="25" t="n">
        <v>76</v>
      </c>
      <c r="C37664" s="7" t="n">
        <v>0</v>
      </c>
      <c r="D37664" s="7" t="n">
        <v>3</v>
      </c>
      <c r="E37664" s="7" t="n">
        <v>1</v>
      </c>
      <c r="F37664" s="7" t="n">
        <v>1</v>
      </c>
      <c r="G37664" s="7" t="n">
        <v>1</v>
      </c>
      <c r="H37664" s="7" t="n">
        <v>1</v>
      </c>
      <c r="I37664" s="7" t="n">
        <v>0</v>
      </c>
      <c r="J37664" s="7" t="n">
        <v>2000</v>
      </c>
    </row>
    <row r="37665" spans="1:10">
      <c r="A37665" t="s">
        <v>4</v>
      </c>
      <c r="B37665" s="4" t="s">
        <v>5</v>
      </c>
      <c r="C37665" s="4" t="s">
        <v>7</v>
      </c>
      <c r="D37665" s="4" t="s">
        <v>7</v>
      </c>
      <c r="E37665" s="4" t="s">
        <v>7</v>
      </c>
      <c r="F37665" s="4" t="s">
        <v>13</v>
      </c>
      <c r="G37665" s="4" t="s">
        <v>13</v>
      </c>
      <c r="H37665" s="4" t="s">
        <v>13</v>
      </c>
      <c r="I37665" s="4" t="s">
        <v>13</v>
      </c>
      <c r="J37665" s="4" t="s">
        <v>13</v>
      </c>
    </row>
    <row r="37666" spans="1:10">
      <c r="A37666" t="n">
        <v>371677</v>
      </c>
      <c r="B37666" s="25" t="n">
        <v>76</v>
      </c>
      <c r="C37666" s="7" t="n">
        <v>0</v>
      </c>
      <c r="D37666" s="7" t="n">
        <v>0</v>
      </c>
      <c r="E37666" s="7" t="n">
        <v>1</v>
      </c>
      <c r="F37666" s="7" t="n">
        <v>128</v>
      </c>
      <c r="G37666" s="7" t="n">
        <v>0</v>
      </c>
      <c r="H37666" s="7" t="n">
        <v>2000</v>
      </c>
      <c r="I37666" s="7" t="n">
        <v>0</v>
      </c>
      <c r="J37666" s="7" t="n">
        <v>0</v>
      </c>
    </row>
    <row r="37667" spans="1:10">
      <c r="A37667" t="s">
        <v>4</v>
      </c>
      <c r="B37667" s="4" t="s">
        <v>5</v>
      </c>
      <c r="C37667" s="4" t="s">
        <v>7</v>
      </c>
      <c r="D37667" s="4" t="s">
        <v>7</v>
      </c>
    </row>
    <row r="37668" spans="1:10">
      <c r="A37668" t="n">
        <v>371701</v>
      </c>
      <c r="B37668" s="26" t="n">
        <v>77</v>
      </c>
      <c r="C37668" s="7" t="n">
        <v>0</v>
      </c>
      <c r="D37668" s="7" t="n">
        <v>3</v>
      </c>
    </row>
    <row r="37669" spans="1:10">
      <c r="A37669" t="s">
        <v>4</v>
      </c>
      <c r="B37669" s="4" t="s">
        <v>5</v>
      </c>
      <c r="C37669" s="4" t="s">
        <v>7</v>
      </c>
      <c r="D37669" s="4" t="s">
        <v>7</v>
      </c>
    </row>
    <row r="37670" spans="1:10">
      <c r="A37670" t="n">
        <v>371704</v>
      </c>
      <c r="B37670" s="26" t="n">
        <v>77</v>
      </c>
      <c r="C37670" s="7" t="n">
        <v>0</v>
      </c>
      <c r="D37670" s="7" t="n">
        <v>0</v>
      </c>
    </row>
    <row r="37671" spans="1:10">
      <c r="A37671" t="s">
        <v>4</v>
      </c>
      <c r="B37671" s="4" t="s">
        <v>5</v>
      </c>
      <c r="C37671" s="4" t="s">
        <v>7</v>
      </c>
      <c r="D37671" s="4" t="s">
        <v>7</v>
      </c>
      <c r="E37671" s="4" t="s">
        <v>13</v>
      </c>
      <c r="F37671" s="4" t="s">
        <v>13</v>
      </c>
      <c r="G37671" s="4" t="s">
        <v>13</v>
      </c>
      <c r="H37671" s="4" t="s">
        <v>11</v>
      </c>
    </row>
    <row r="37672" spans="1:10">
      <c r="A37672" t="n">
        <v>371707</v>
      </c>
      <c r="B37672" s="51" t="n">
        <v>45</v>
      </c>
      <c r="C37672" s="7" t="n">
        <v>2</v>
      </c>
      <c r="D37672" s="7" t="n">
        <v>3</v>
      </c>
      <c r="E37672" s="7" t="n">
        <v>5.23999977111816</v>
      </c>
      <c r="F37672" s="7" t="n">
        <v>2.15000009536743</v>
      </c>
      <c r="G37672" s="7" t="n">
        <v>43.8600006103516</v>
      </c>
      <c r="H37672" s="7" t="n">
        <v>8000</v>
      </c>
    </row>
    <row r="37673" spans="1:10">
      <c r="A37673" t="s">
        <v>4</v>
      </c>
      <c r="B37673" s="4" t="s">
        <v>5</v>
      </c>
      <c r="C37673" s="4" t="s">
        <v>7</v>
      </c>
      <c r="D37673" s="4" t="s">
        <v>7</v>
      </c>
      <c r="E37673" s="4" t="s">
        <v>13</v>
      </c>
      <c r="F37673" s="4" t="s">
        <v>13</v>
      </c>
      <c r="G37673" s="4" t="s">
        <v>13</v>
      </c>
      <c r="H37673" s="4" t="s">
        <v>11</v>
      </c>
      <c r="I37673" s="4" t="s">
        <v>7</v>
      </c>
    </row>
    <row r="37674" spans="1:10">
      <c r="A37674" t="n">
        <v>371724</v>
      </c>
      <c r="B37674" s="51" t="n">
        <v>45</v>
      </c>
      <c r="C37674" s="7" t="n">
        <v>4</v>
      </c>
      <c r="D37674" s="7" t="n">
        <v>3</v>
      </c>
      <c r="E37674" s="7" t="n">
        <v>12.4799995422363</v>
      </c>
      <c r="F37674" s="7" t="n">
        <v>144.25</v>
      </c>
      <c r="G37674" s="7" t="n">
        <v>0</v>
      </c>
      <c r="H37674" s="7" t="n">
        <v>8000</v>
      </c>
      <c r="I37674" s="7" t="n">
        <v>0</v>
      </c>
    </row>
    <row r="37675" spans="1:10">
      <c r="A37675" t="s">
        <v>4</v>
      </c>
      <c r="B37675" s="4" t="s">
        <v>5</v>
      </c>
      <c r="C37675" s="4" t="s">
        <v>7</v>
      </c>
      <c r="D37675" s="4" t="s">
        <v>7</v>
      </c>
      <c r="E37675" s="4" t="s">
        <v>13</v>
      </c>
      <c r="F37675" s="4" t="s">
        <v>11</v>
      </c>
    </row>
    <row r="37676" spans="1:10">
      <c r="A37676" t="n">
        <v>371742</v>
      </c>
      <c r="B37676" s="51" t="n">
        <v>45</v>
      </c>
      <c r="C37676" s="7" t="n">
        <v>5</v>
      </c>
      <c r="D37676" s="7" t="n">
        <v>3</v>
      </c>
      <c r="E37676" s="7" t="n">
        <v>2.40000009536743</v>
      </c>
      <c r="F37676" s="7" t="n">
        <v>8000</v>
      </c>
    </row>
    <row r="37677" spans="1:10">
      <c r="A37677" t="s">
        <v>4</v>
      </c>
      <c r="B37677" s="4" t="s">
        <v>5</v>
      </c>
      <c r="C37677" s="4" t="s">
        <v>7</v>
      </c>
      <c r="D37677" s="4" t="s">
        <v>7</v>
      </c>
      <c r="E37677" s="4" t="s">
        <v>13</v>
      </c>
      <c r="F37677" s="4" t="s">
        <v>11</v>
      </c>
    </row>
    <row r="37678" spans="1:10">
      <c r="A37678" t="n">
        <v>371751</v>
      </c>
      <c r="B37678" s="51" t="n">
        <v>45</v>
      </c>
      <c r="C37678" s="7" t="n">
        <v>11</v>
      </c>
      <c r="D37678" s="7" t="n">
        <v>3</v>
      </c>
      <c r="E37678" s="7" t="n">
        <v>33.4000015258789</v>
      </c>
      <c r="F37678" s="7" t="n">
        <v>8000</v>
      </c>
    </row>
    <row r="37679" spans="1:10">
      <c r="A37679" t="s">
        <v>4</v>
      </c>
      <c r="B37679" s="4" t="s">
        <v>5</v>
      </c>
      <c r="C37679" s="4" t="s">
        <v>7</v>
      </c>
      <c r="D37679" s="4" t="s">
        <v>11</v>
      </c>
      <c r="E37679" s="4" t="s">
        <v>13</v>
      </c>
    </row>
    <row r="37680" spans="1:10">
      <c r="A37680" t="n">
        <v>371760</v>
      </c>
      <c r="B37680" s="23" t="n">
        <v>58</v>
      </c>
      <c r="C37680" s="7" t="n">
        <v>100</v>
      </c>
      <c r="D37680" s="7" t="n">
        <v>1000</v>
      </c>
      <c r="E37680" s="7" t="n">
        <v>1</v>
      </c>
    </row>
    <row r="37681" spans="1:10">
      <c r="A37681" t="s">
        <v>4</v>
      </c>
      <c r="B37681" s="4" t="s">
        <v>5</v>
      </c>
      <c r="C37681" s="4" t="s">
        <v>7</v>
      </c>
      <c r="D37681" s="4" t="s">
        <v>11</v>
      </c>
    </row>
    <row r="37682" spans="1:10">
      <c r="A37682" t="n">
        <v>371768</v>
      </c>
      <c r="B37682" s="23" t="n">
        <v>58</v>
      </c>
      <c r="C37682" s="7" t="n">
        <v>255</v>
      </c>
      <c r="D37682" s="7" t="n">
        <v>0</v>
      </c>
    </row>
    <row r="37683" spans="1:10">
      <c r="A37683" t="s">
        <v>4</v>
      </c>
      <c r="B37683" s="4" t="s">
        <v>5</v>
      </c>
      <c r="C37683" s="4" t="s">
        <v>7</v>
      </c>
      <c r="D37683" s="4" t="s">
        <v>11</v>
      </c>
    </row>
    <row r="37684" spans="1:10">
      <c r="A37684" t="n">
        <v>371772</v>
      </c>
      <c r="B37684" s="51" t="n">
        <v>45</v>
      </c>
      <c r="C37684" s="7" t="n">
        <v>7</v>
      </c>
      <c r="D37684" s="7" t="n">
        <v>255</v>
      </c>
    </row>
    <row r="37685" spans="1:10">
      <c r="A37685" t="s">
        <v>4</v>
      </c>
      <c r="B37685" s="4" t="s">
        <v>5</v>
      </c>
      <c r="C37685" s="4" t="s">
        <v>7</v>
      </c>
      <c r="D37685" s="4" t="s">
        <v>11</v>
      </c>
      <c r="E37685" s="4" t="s">
        <v>13</v>
      </c>
    </row>
    <row r="37686" spans="1:10">
      <c r="A37686" t="n">
        <v>371776</v>
      </c>
      <c r="B37686" s="23" t="n">
        <v>58</v>
      </c>
      <c r="C37686" s="7" t="n">
        <v>101</v>
      </c>
      <c r="D37686" s="7" t="n">
        <v>800</v>
      </c>
      <c r="E37686" s="7" t="n">
        <v>1</v>
      </c>
    </row>
    <row r="37687" spans="1:10">
      <c r="A37687" t="s">
        <v>4</v>
      </c>
      <c r="B37687" s="4" t="s">
        <v>5</v>
      </c>
      <c r="C37687" s="4" t="s">
        <v>7</v>
      </c>
      <c r="D37687" s="4" t="s">
        <v>11</v>
      </c>
    </row>
    <row r="37688" spans="1:10">
      <c r="A37688" t="n">
        <v>371784</v>
      </c>
      <c r="B37688" s="23" t="n">
        <v>58</v>
      </c>
      <c r="C37688" s="7" t="n">
        <v>254</v>
      </c>
      <c r="D37688" s="7" t="n">
        <v>0</v>
      </c>
    </row>
    <row r="37689" spans="1:10">
      <c r="A37689" t="s">
        <v>4</v>
      </c>
      <c r="B37689" s="4" t="s">
        <v>5</v>
      </c>
      <c r="C37689" s="4" t="s">
        <v>7</v>
      </c>
      <c r="D37689" s="4" t="s">
        <v>7</v>
      </c>
      <c r="E37689" s="4" t="s">
        <v>13</v>
      </c>
      <c r="F37689" s="4" t="s">
        <v>13</v>
      </c>
      <c r="G37689" s="4" t="s">
        <v>13</v>
      </c>
      <c r="H37689" s="4" t="s">
        <v>11</v>
      </c>
    </row>
    <row r="37690" spans="1:10">
      <c r="A37690" t="n">
        <v>371788</v>
      </c>
      <c r="B37690" s="51" t="n">
        <v>45</v>
      </c>
      <c r="C37690" s="7" t="n">
        <v>2</v>
      </c>
      <c r="D37690" s="7" t="n">
        <v>3</v>
      </c>
      <c r="E37690" s="7" t="n">
        <v>4.26999998092651</v>
      </c>
      <c r="F37690" s="7" t="n">
        <v>2.44000005722046</v>
      </c>
      <c r="G37690" s="7" t="n">
        <v>44.1500015258789</v>
      </c>
      <c r="H37690" s="7" t="n">
        <v>0</v>
      </c>
    </row>
    <row r="37691" spans="1:10">
      <c r="A37691" t="s">
        <v>4</v>
      </c>
      <c r="B37691" s="4" t="s">
        <v>5</v>
      </c>
      <c r="C37691" s="4" t="s">
        <v>7</v>
      </c>
      <c r="D37691" s="4" t="s">
        <v>7</v>
      </c>
      <c r="E37691" s="4" t="s">
        <v>13</v>
      </c>
      <c r="F37691" s="4" t="s">
        <v>13</v>
      </c>
      <c r="G37691" s="4" t="s">
        <v>13</v>
      </c>
      <c r="H37691" s="4" t="s">
        <v>11</v>
      </c>
      <c r="I37691" s="4" t="s">
        <v>7</v>
      </c>
    </row>
    <row r="37692" spans="1:10">
      <c r="A37692" t="n">
        <v>371805</v>
      </c>
      <c r="B37692" s="51" t="n">
        <v>45</v>
      </c>
      <c r="C37692" s="7" t="n">
        <v>4</v>
      </c>
      <c r="D37692" s="7" t="n">
        <v>3</v>
      </c>
      <c r="E37692" s="7" t="n">
        <v>357.880004882813</v>
      </c>
      <c r="F37692" s="7" t="n">
        <v>321.779998779297</v>
      </c>
      <c r="G37692" s="7" t="n">
        <v>0</v>
      </c>
      <c r="H37692" s="7" t="n">
        <v>0</v>
      </c>
      <c r="I37692" s="7" t="n">
        <v>0</v>
      </c>
    </row>
    <row r="37693" spans="1:10">
      <c r="A37693" t="s">
        <v>4</v>
      </c>
      <c r="B37693" s="4" t="s">
        <v>5</v>
      </c>
      <c r="C37693" s="4" t="s">
        <v>7</v>
      </c>
      <c r="D37693" s="4" t="s">
        <v>7</v>
      </c>
      <c r="E37693" s="4" t="s">
        <v>13</v>
      </c>
      <c r="F37693" s="4" t="s">
        <v>11</v>
      </c>
    </row>
    <row r="37694" spans="1:10">
      <c r="A37694" t="n">
        <v>371823</v>
      </c>
      <c r="B37694" s="51" t="n">
        <v>45</v>
      </c>
      <c r="C37694" s="7" t="n">
        <v>5</v>
      </c>
      <c r="D37694" s="7" t="n">
        <v>3</v>
      </c>
      <c r="E37694" s="7" t="n">
        <v>2.40000009536743</v>
      </c>
      <c r="F37694" s="7" t="n">
        <v>0</v>
      </c>
    </row>
    <row r="37695" spans="1:10">
      <c r="A37695" t="s">
        <v>4</v>
      </c>
      <c r="B37695" s="4" t="s">
        <v>5</v>
      </c>
      <c r="C37695" s="4" t="s">
        <v>7</v>
      </c>
      <c r="D37695" s="4" t="s">
        <v>7</v>
      </c>
      <c r="E37695" s="4" t="s">
        <v>13</v>
      </c>
      <c r="F37695" s="4" t="s">
        <v>11</v>
      </c>
    </row>
    <row r="37696" spans="1:10">
      <c r="A37696" t="n">
        <v>371832</v>
      </c>
      <c r="B37696" s="51" t="n">
        <v>45</v>
      </c>
      <c r="C37696" s="7" t="n">
        <v>11</v>
      </c>
      <c r="D37696" s="7" t="n">
        <v>3</v>
      </c>
      <c r="E37696" s="7" t="n">
        <v>33.4000015258789</v>
      </c>
      <c r="F37696" s="7" t="n">
        <v>0</v>
      </c>
    </row>
    <row r="37697" spans="1:9">
      <c r="A37697" t="s">
        <v>4</v>
      </c>
      <c r="B37697" s="4" t="s">
        <v>5</v>
      </c>
      <c r="C37697" s="4" t="s">
        <v>7</v>
      </c>
      <c r="D37697" s="4" t="s">
        <v>7</v>
      </c>
      <c r="E37697" s="4" t="s">
        <v>13</v>
      </c>
      <c r="F37697" s="4" t="s">
        <v>13</v>
      </c>
      <c r="G37697" s="4" t="s">
        <v>13</v>
      </c>
      <c r="H37697" s="4" t="s">
        <v>11</v>
      </c>
    </row>
    <row r="37698" spans="1:9">
      <c r="A37698" t="n">
        <v>371841</v>
      </c>
      <c r="B37698" s="51" t="n">
        <v>45</v>
      </c>
      <c r="C37698" s="7" t="n">
        <v>2</v>
      </c>
      <c r="D37698" s="7" t="n">
        <v>3</v>
      </c>
      <c r="E37698" s="7" t="n">
        <v>4.76999998092651</v>
      </c>
      <c r="F37698" s="7" t="n">
        <v>1.45000004768372</v>
      </c>
      <c r="G37698" s="7" t="n">
        <v>45.2599983215332</v>
      </c>
      <c r="H37698" s="7" t="n">
        <v>8000</v>
      </c>
    </row>
    <row r="37699" spans="1:9">
      <c r="A37699" t="s">
        <v>4</v>
      </c>
      <c r="B37699" s="4" t="s">
        <v>5</v>
      </c>
      <c r="C37699" s="4" t="s">
        <v>7</v>
      </c>
      <c r="D37699" s="4" t="s">
        <v>7</v>
      </c>
      <c r="E37699" s="4" t="s">
        <v>13</v>
      </c>
      <c r="F37699" s="4" t="s">
        <v>13</v>
      </c>
      <c r="G37699" s="4" t="s">
        <v>13</v>
      </c>
      <c r="H37699" s="4" t="s">
        <v>11</v>
      </c>
      <c r="I37699" s="4" t="s">
        <v>7</v>
      </c>
    </row>
    <row r="37700" spans="1:9">
      <c r="A37700" t="n">
        <v>371858</v>
      </c>
      <c r="B37700" s="51" t="n">
        <v>45</v>
      </c>
      <c r="C37700" s="7" t="n">
        <v>4</v>
      </c>
      <c r="D37700" s="7" t="n">
        <v>3</v>
      </c>
      <c r="E37700" s="7" t="n">
        <v>358.660003662109</v>
      </c>
      <c r="F37700" s="7" t="n">
        <v>283.079986572266</v>
      </c>
      <c r="G37700" s="7" t="n">
        <v>0</v>
      </c>
      <c r="H37700" s="7" t="n">
        <v>8000</v>
      </c>
      <c r="I37700" s="7" t="n">
        <v>0</v>
      </c>
    </row>
    <row r="37701" spans="1:9">
      <c r="A37701" t="s">
        <v>4</v>
      </c>
      <c r="B37701" s="4" t="s">
        <v>5</v>
      </c>
      <c r="C37701" s="4" t="s">
        <v>7</v>
      </c>
      <c r="D37701" s="4" t="s">
        <v>7</v>
      </c>
      <c r="E37701" s="4" t="s">
        <v>13</v>
      </c>
      <c r="F37701" s="4" t="s">
        <v>11</v>
      </c>
    </row>
    <row r="37702" spans="1:9">
      <c r="A37702" t="n">
        <v>371876</v>
      </c>
      <c r="B37702" s="51" t="n">
        <v>45</v>
      </c>
      <c r="C37702" s="7" t="n">
        <v>5</v>
      </c>
      <c r="D37702" s="7" t="n">
        <v>3</v>
      </c>
      <c r="E37702" s="7" t="n">
        <v>2</v>
      </c>
      <c r="F37702" s="7" t="n">
        <v>8000</v>
      </c>
    </row>
    <row r="37703" spans="1:9">
      <c r="A37703" t="s">
        <v>4</v>
      </c>
      <c r="B37703" s="4" t="s">
        <v>5</v>
      </c>
      <c r="C37703" s="4" t="s">
        <v>7</v>
      </c>
      <c r="D37703" s="4" t="s">
        <v>11</v>
      </c>
    </row>
    <row r="37704" spans="1:9">
      <c r="A37704" t="n">
        <v>371885</v>
      </c>
      <c r="B37704" s="23" t="n">
        <v>58</v>
      </c>
      <c r="C37704" s="7" t="n">
        <v>255</v>
      </c>
      <c r="D37704" s="7" t="n">
        <v>0</v>
      </c>
    </row>
    <row r="37705" spans="1:9">
      <c r="A37705" t="s">
        <v>4</v>
      </c>
      <c r="B37705" s="4" t="s">
        <v>5</v>
      </c>
      <c r="C37705" s="4" t="s">
        <v>7</v>
      </c>
      <c r="D37705" s="4" t="s">
        <v>11</v>
      </c>
    </row>
    <row r="37706" spans="1:9">
      <c r="A37706" t="n">
        <v>371889</v>
      </c>
      <c r="B37706" s="51" t="n">
        <v>45</v>
      </c>
      <c r="C37706" s="7" t="n">
        <v>7</v>
      </c>
      <c r="D37706" s="7" t="n">
        <v>255</v>
      </c>
    </row>
    <row r="37707" spans="1:9">
      <c r="A37707" t="s">
        <v>4</v>
      </c>
      <c r="B37707" s="4" t="s">
        <v>5</v>
      </c>
      <c r="C37707" s="4" t="s">
        <v>7</v>
      </c>
      <c r="D37707" s="4" t="s">
        <v>11</v>
      </c>
      <c r="E37707" s="4" t="s">
        <v>13</v>
      </c>
    </row>
    <row r="37708" spans="1:9">
      <c r="A37708" t="n">
        <v>371893</v>
      </c>
      <c r="B37708" s="23" t="n">
        <v>58</v>
      </c>
      <c r="C37708" s="7" t="n">
        <v>101</v>
      </c>
      <c r="D37708" s="7" t="n">
        <v>800</v>
      </c>
      <c r="E37708" s="7" t="n">
        <v>1</v>
      </c>
    </row>
    <row r="37709" spans="1:9">
      <c r="A37709" t="s">
        <v>4</v>
      </c>
      <c r="B37709" s="4" t="s">
        <v>5</v>
      </c>
      <c r="C37709" s="4" t="s">
        <v>7</v>
      </c>
      <c r="D37709" s="4" t="s">
        <v>11</v>
      </c>
    </row>
    <row r="37710" spans="1:9">
      <c r="A37710" t="n">
        <v>371901</v>
      </c>
      <c r="B37710" s="23" t="n">
        <v>58</v>
      </c>
      <c r="C37710" s="7" t="n">
        <v>254</v>
      </c>
      <c r="D37710" s="7" t="n">
        <v>0</v>
      </c>
    </row>
    <row r="37711" spans="1:9">
      <c r="A37711" t="s">
        <v>4</v>
      </c>
      <c r="B37711" s="4" t="s">
        <v>5</v>
      </c>
      <c r="C37711" s="4" t="s">
        <v>7</v>
      </c>
      <c r="D37711" s="4" t="s">
        <v>7</v>
      </c>
      <c r="E37711" s="4" t="s">
        <v>13</v>
      </c>
      <c r="F37711" s="4" t="s">
        <v>13</v>
      </c>
      <c r="G37711" s="4" t="s">
        <v>13</v>
      </c>
      <c r="H37711" s="4" t="s">
        <v>11</v>
      </c>
    </row>
    <row r="37712" spans="1:9">
      <c r="A37712" t="n">
        <v>371905</v>
      </c>
      <c r="B37712" s="51" t="n">
        <v>45</v>
      </c>
      <c r="C37712" s="7" t="n">
        <v>2</v>
      </c>
      <c r="D37712" s="7" t="n">
        <v>3</v>
      </c>
      <c r="E37712" s="7" t="n">
        <v>4.73999977111816</v>
      </c>
      <c r="F37712" s="7" t="n">
        <v>1.37000000476837</v>
      </c>
      <c r="G37712" s="7" t="n">
        <v>45.310001373291</v>
      </c>
      <c r="H37712" s="7" t="n">
        <v>0</v>
      </c>
    </row>
    <row r="37713" spans="1:9">
      <c r="A37713" t="s">
        <v>4</v>
      </c>
      <c r="B37713" s="4" t="s">
        <v>5</v>
      </c>
      <c r="C37713" s="4" t="s">
        <v>7</v>
      </c>
      <c r="D37713" s="4" t="s">
        <v>7</v>
      </c>
      <c r="E37713" s="4" t="s">
        <v>13</v>
      </c>
      <c r="F37713" s="4" t="s">
        <v>13</v>
      </c>
      <c r="G37713" s="4" t="s">
        <v>13</v>
      </c>
      <c r="H37713" s="4" t="s">
        <v>11</v>
      </c>
      <c r="I37713" s="4" t="s">
        <v>7</v>
      </c>
    </row>
    <row r="37714" spans="1:9">
      <c r="A37714" t="n">
        <v>371922</v>
      </c>
      <c r="B37714" s="51" t="n">
        <v>45</v>
      </c>
      <c r="C37714" s="7" t="n">
        <v>4</v>
      </c>
      <c r="D37714" s="7" t="n">
        <v>3</v>
      </c>
      <c r="E37714" s="7" t="n">
        <v>4.3899998664856</v>
      </c>
      <c r="F37714" s="7" t="n">
        <v>107.779998779297</v>
      </c>
      <c r="G37714" s="7" t="n">
        <v>0</v>
      </c>
      <c r="H37714" s="7" t="n">
        <v>0</v>
      </c>
      <c r="I37714" s="7" t="n">
        <v>0</v>
      </c>
    </row>
    <row r="37715" spans="1:9">
      <c r="A37715" t="s">
        <v>4</v>
      </c>
      <c r="B37715" s="4" t="s">
        <v>5</v>
      </c>
      <c r="C37715" s="4" t="s">
        <v>7</v>
      </c>
      <c r="D37715" s="4" t="s">
        <v>7</v>
      </c>
      <c r="E37715" s="4" t="s">
        <v>13</v>
      </c>
      <c r="F37715" s="4" t="s">
        <v>11</v>
      </c>
    </row>
    <row r="37716" spans="1:9">
      <c r="A37716" t="n">
        <v>371940</v>
      </c>
      <c r="B37716" s="51" t="n">
        <v>45</v>
      </c>
      <c r="C37716" s="7" t="n">
        <v>5</v>
      </c>
      <c r="D37716" s="7" t="n">
        <v>3</v>
      </c>
      <c r="E37716" s="7" t="n">
        <v>2</v>
      </c>
      <c r="F37716" s="7" t="n">
        <v>0</v>
      </c>
    </row>
    <row r="37717" spans="1:9">
      <c r="A37717" t="s">
        <v>4</v>
      </c>
      <c r="B37717" s="4" t="s">
        <v>5</v>
      </c>
      <c r="C37717" s="4" t="s">
        <v>7</v>
      </c>
      <c r="D37717" s="4" t="s">
        <v>7</v>
      </c>
      <c r="E37717" s="4" t="s">
        <v>13</v>
      </c>
      <c r="F37717" s="4" t="s">
        <v>11</v>
      </c>
    </row>
    <row r="37718" spans="1:9">
      <c r="A37718" t="n">
        <v>371949</v>
      </c>
      <c r="B37718" s="51" t="n">
        <v>45</v>
      </c>
      <c r="C37718" s="7" t="n">
        <v>11</v>
      </c>
      <c r="D37718" s="7" t="n">
        <v>3</v>
      </c>
      <c r="E37718" s="7" t="n">
        <v>33.4000015258789</v>
      </c>
      <c r="F37718" s="7" t="n">
        <v>0</v>
      </c>
    </row>
    <row r="37719" spans="1:9">
      <c r="A37719" t="s">
        <v>4</v>
      </c>
      <c r="B37719" s="4" t="s">
        <v>5</v>
      </c>
      <c r="C37719" s="4" t="s">
        <v>11</v>
      </c>
      <c r="D37719" s="4" t="s">
        <v>15</v>
      </c>
    </row>
    <row r="37720" spans="1:9">
      <c r="A37720" t="n">
        <v>371958</v>
      </c>
      <c r="B37720" s="63" t="n">
        <v>44</v>
      </c>
      <c r="C37720" s="7" t="n">
        <v>8</v>
      </c>
      <c r="D37720" s="7" t="n">
        <v>1</v>
      </c>
    </row>
    <row r="37721" spans="1:9">
      <c r="A37721" t="s">
        <v>4</v>
      </c>
      <c r="B37721" s="4" t="s">
        <v>5</v>
      </c>
      <c r="C37721" s="4" t="s">
        <v>7</v>
      </c>
      <c r="D37721" s="4" t="s">
        <v>11</v>
      </c>
    </row>
    <row r="37722" spans="1:9">
      <c r="A37722" t="n">
        <v>371965</v>
      </c>
      <c r="B37722" s="23" t="n">
        <v>58</v>
      </c>
      <c r="C37722" s="7" t="n">
        <v>255</v>
      </c>
      <c r="D37722" s="7" t="n">
        <v>0</v>
      </c>
    </row>
    <row r="37723" spans="1:9">
      <c r="A37723" t="s">
        <v>4</v>
      </c>
      <c r="B37723" s="4" t="s">
        <v>5</v>
      </c>
      <c r="C37723" s="4" t="s">
        <v>8</v>
      </c>
      <c r="D37723" s="4" t="s">
        <v>8</v>
      </c>
    </row>
    <row r="37724" spans="1:9">
      <c r="A37724" t="n">
        <v>371969</v>
      </c>
      <c r="B37724" s="52" t="n">
        <v>70</v>
      </c>
      <c r="C37724" s="7" t="s">
        <v>279</v>
      </c>
      <c r="D37724" s="7" t="s">
        <v>280</v>
      </c>
    </row>
    <row r="37725" spans="1:9">
      <c r="A37725" t="s">
        <v>4</v>
      </c>
      <c r="B37725" s="4" t="s">
        <v>5</v>
      </c>
      <c r="C37725" s="4" t="s">
        <v>11</v>
      </c>
    </row>
    <row r="37726" spans="1:9">
      <c r="A37726" t="n">
        <v>371986</v>
      </c>
      <c r="B37726" s="29" t="n">
        <v>16</v>
      </c>
      <c r="C37726" s="7" t="n">
        <v>1000</v>
      </c>
    </row>
    <row r="37727" spans="1:9">
      <c r="A37727" t="s">
        <v>4</v>
      </c>
      <c r="B37727" s="4" t="s">
        <v>5</v>
      </c>
      <c r="C37727" s="4" t="s">
        <v>7</v>
      </c>
      <c r="D37727" s="4" t="s">
        <v>11</v>
      </c>
      <c r="E37727" s="4" t="s">
        <v>11</v>
      </c>
      <c r="F37727" s="4" t="s">
        <v>7</v>
      </c>
    </row>
    <row r="37728" spans="1:9">
      <c r="A37728" t="n">
        <v>371989</v>
      </c>
      <c r="B37728" s="31" t="n">
        <v>25</v>
      </c>
      <c r="C37728" s="7" t="n">
        <v>1</v>
      </c>
      <c r="D37728" s="7" t="n">
        <v>100</v>
      </c>
      <c r="E37728" s="7" t="n">
        <v>500</v>
      </c>
      <c r="F37728" s="7" t="n">
        <v>5</v>
      </c>
    </row>
    <row r="37729" spans="1:9">
      <c r="A37729" t="s">
        <v>4</v>
      </c>
      <c r="B37729" s="4" t="s">
        <v>5</v>
      </c>
      <c r="C37729" s="4" t="s">
        <v>8</v>
      </c>
      <c r="D37729" s="4" t="s">
        <v>11</v>
      </c>
    </row>
    <row r="37730" spans="1:9">
      <c r="A37730" t="n">
        <v>371996</v>
      </c>
      <c r="B37730" s="67" t="n">
        <v>29</v>
      </c>
      <c r="C37730" s="7" t="s">
        <v>281</v>
      </c>
      <c r="D37730" s="7" t="n">
        <v>65533</v>
      </c>
    </row>
    <row r="37731" spans="1:9">
      <c r="A37731" t="s">
        <v>4</v>
      </c>
      <c r="B37731" s="4" t="s">
        <v>5</v>
      </c>
      <c r="C37731" s="4" t="s">
        <v>7</v>
      </c>
      <c r="D37731" s="4" t="s">
        <v>11</v>
      </c>
      <c r="E37731" s="4" t="s">
        <v>8</v>
      </c>
    </row>
    <row r="37732" spans="1:9">
      <c r="A37732" t="n">
        <v>372005</v>
      </c>
      <c r="B37732" s="38" t="n">
        <v>51</v>
      </c>
      <c r="C37732" s="7" t="n">
        <v>4</v>
      </c>
      <c r="D37732" s="7" t="n">
        <v>8</v>
      </c>
      <c r="E37732" s="7" t="s">
        <v>288</v>
      </c>
    </row>
    <row r="37733" spans="1:9">
      <c r="A37733" t="s">
        <v>4</v>
      </c>
      <c r="B37733" s="4" t="s">
        <v>5</v>
      </c>
      <c r="C37733" s="4" t="s">
        <v>11</v>
      </c>
    </row>
    <row r="37734" spans="1:9">
      <c r="A37734" t="n">
        <v>372018</v>
      </c>
      <c r="B37734" s="29" t="n">
        <v>16</v>
      </c>
      <c r="C37734" s="7" t="n">
        <v>0</v>
      </c>
    </row>
    <row r="37735" spans="1:9">
      <c r="A37735" t="s">
        <v>4</v>
      </c>
      <c r="B37735" s="4" t="s">
        <v>5</v>
      </c>
      <c r="C37735" s="4" t="s">
        <v>11</v>
      </c>
      <c r="D37735" s="4" t="s">
        <v>7</v>
      </c>
      <c r="E37735" s="4" t="s">
        <v>15</v>
      </c>
      <c r="F37735" s="4" t="s">
        <v>55</v>
      </c>
      <c r="G37735" s="4" t="s">
        <v>7</v>
      </c>
      <c r="H37735" s="4" t="s">
        <v>7</v>
      </c>
    </row>
    <row r="37736" spans="1:9">
      <c r="A37736" t="n">
        <v>372021</v>
      </c>
      <c r="B37736" s="55" t="n">
        <v>26</v>
      </c>
      <c r="C37736" s="7" t="n">
        <v>8</v>
      </c>
      <c r="D37736" s="7" t="n">
        <v>17</v>
      </c>
      <c r="E37736" s="7" t="n">
        <v>64211</v>
      </c>
      <c r="F37736" s="7" t="s">
        <v>1130</v>
      </c>
      <c r="G37736" s="7" t="n">
        <v>2</v>
      </c>
      <c r="H37736" s="7" t="n">
        <v>0</v>
      </c>
    </row>
    <row r="37737" spans="1:9">
      <c r="A37737" t="s">
        <v>4</v>
      </c>
      <c r="B37737" s="4" t="s">
        <v>5</v>
      </c>
    </row>
    <row r="37738" spans="1:9">
      <c r="A37738" t="n">
        <v>372073</v>
      </c>
      <c r="B37738" s="27" t="n">
        <v>28</v>
      </c>
    </row>
    <row r="37739" spans="1:9">
      <c r="A37739" t="s">
        <v>4</v>
      </c>
      <c r="B37739" s="4" t="s">
        <v>5</v>
      </c>
      <c r="C37739" s="4" t="s">
        <v>11</v>
      </c>
      <c r="D37739" s="4" t="s">
        <v>7</v>
      </c>
    </row>
    <row r="37740" spans="1:9">
      <c r="A37740" t="n">
        <v>372074</v>
      </c>
      <c r="B37740" s="68" t="n">
        <v>89</v>
      </c>
      <c r="C37740" s="7" t="n">
        <v>65533</v>
      </c>
      <c r="D37740" s="7" t="n">
        <v>1</v>
      </c>
    </row>
    <row r="37741" spans="1:9">
      <c r="A37741" t="s">
        <v>4</v>
      </c>
      <c r="B37741" s="4" t="s">
        <v>5</v>
      </c>
      <c r="C37741" s="4" t="s">
        <v>7</v>
      </c>
      <c r="D37741" s="4" t="s">
        <v>11</v>
      </c>
      <c r="E37741" s="4" t="s">
        <v>11</v>
      </c>
      <c r="F37741" s="4" t="s">
        <v>7</v>
      </c>
    </row>
    <row r="37742" spans="1:9">
      <c r="A37742" t="n">
        <v>372078</v>
      </c>
      <c r="B37742" s="31" t="n">
        <v>25</v>
      </c>
      <c r="C37742" s="7" t="n">
        <v>1</v>
      </c>
      <c r="D37742" s="7" t="n">
        <v>65535</v>
      </c>
      <c r="E37742" s="7" t="n">
        <v>65535</v>
      </c>
      <c r="F37742" s="7" t="n">
        <v>0</v>
      </c>
    </row>
    <row r="37743" spans="1:9">
      <c r="A37743" t="s">
        <v>4</v>
      </c>
      <c r="B37743" s="4" t="s">
        <v>5</v>
      </c>
      <c r="C37743" s="4" t="s">
        <v>8</v>
      </c>
      <c r="D37743" s="4" t="s">
        <v>11</v>
      </c>
    </row>
    <row r="37744" spans="1:9">
      <c r="A37744" t="n">
        <v>372085</v>
      </c>
      <c r="B37744" s="67" t="n">
        <v>29</v>
      </c>
      <c r="C37744" s="7" t="s">
        <v>16</v>
      </c>
      <c r="D37744" s="7" t="n">
        <v>65533</v>
      </c>
    </row>
    <row r="37745" spans="1:8">
      <c r="A37745" t="s">
        <v>4</v>
      </c>
      <c r="B37745" s="4" t="s">
        <v>5</v>
      </c>
      <c r="C37745" s="4" t="s">
        <v>11</v>
      </c>
      <c r="D37745" s="4" t="s">
        <v>7</v>
      </c>
      <c r="E37745" s="4" t="s">
        <v>13</v>
      </c>
      <c r="F37745" s="4" t="s">
        <v>11</v>
      </c>
    </row>
    <row r="37746" spans="1:8">
      <c r="A37746" t="n">
        <v>372089</v>
      </c>
      <c r="B37746" s="56" t="n">
        <v>59</v>
      </c>
      <c r="C37746" s="7" t="n">
        <v>0</v>
      </c>
      <c r="D37746" s="7" t="n">
        <v>13</v>
      </c>
      <c r="E37746" s="7" t="n">
        <v>0.150000005960464</v>
      </c>
      <c r="F37746" s="7" t="n">
        <v>0</v>
      </c>
    </row>
    <row r="37747" spans="1:8">
      <c r="A37747" t="s">
        <v>4</v>
      </c>
      <c r="B37747" s="4" t="s">
        <v>5</v>
      </c>
      <c r="C37747" s="4" t="s">
        <v>11</v>
      </c>
    </row>
    <row r="37748" spans="1:8">
      <c r="A37748" t="n">
        <v>372099</v>
      </c>
      <c r="B37748" s="29" t="n">
        <v>16</v>
      </c>
      <c r="C37748" s="7" t="n">
        <v>1000</v>
      </c>
    </row>
    <row r="37749" spans="1:8">
      <c r="A37749" t="s">
        <v>4</v>
      </c>
      <c r="B37749" s="4" t="s">
        <v>5</v>
      </c>
      <c r="C37749" s="4" t="s">
        <v>11</v>
      </c>
      <c r="D37749" s="4" t="s">
        <v>13</v>
      </c>
      <c r="E37749" s="4" t="s">
        <v>13</v>
      </c>
      <c r="F37749" s="4" t="s">
        <v>13</v>
      </c>
      <c r="G37749" s="4" t="s">
        <v>11</v>
      </c>
      <c r="H37749" s="4" t="s">
        <v>11</v>
      </c>
    </row>
    <row r="37750" spans="1:8">
      <c r="A37750" t="n">
        <v>372102</v>
      </c>
      <c r="B37750" s="37" t="n">
        <v>60</v>
      </c>
      <c r="C37750" s="7" t="n">
        <v>0</v>
      </c>
      <c r="D37750" s="7" t="n">
        <v>0</v>
      </c>
      <c r="E37750" s="7" t="n">
        <v>0</v>
      </c>
      <c r="F37750" s="7" t="n">
        <v>0</v>
      </c>
      <c r="G37750" s="7" t="n">
        <v>1000</v>
      </c>
      <c r="H37750" s="7" t="n">
        <v>0</v>
      </c>
    </row>
    <row r="37751" spans="1:8">
      <c r="A37751" t="s">
        <v>4</v>
      </c>
      <c r="B37751" s="4" t="s">
        <v>5</v>
      </c>
      <c r="C37751" s="4" t="s">
        <v>11</v>
      </c>
      <c r="D37751" s="4" t="s">
        <v>11</v>
      </c>
      <c r="E37751" s="4" t="s">
        <v>11</v>
      </c>
    </row>
    <row r="37752" spans="1:8">
      <c r="A37752" t="n">
        <v>372121</v>
      </c>
      <c r="B37752" s="72" t="n">
        <v>61</v>
      </c>
      <c r="C37752" s="7" t="n">
        <v>0</v>
      </c>
      <c r="D37752" s="7" t="n">
        <v>8</v>
      </c>
      <c r="E37752" s="7" t="n">
        <v>1000</v>
      </c>
    </row>
    <row r="37753" spans="1:8">
      <c r="A37753" t="s">
        <v>4</v>
      </c>
      <c r="B37753" s="4" t="s">
        <v>5</v>
      </c>
      <c r="C37753" s="4" t="s">
        <v>11</v>
      </c>
      <c r="D37753" s="4" t="s">
        <v>11</v>
      </c>
      <c r="E37753" s="4" t="s">
        <v>11</v>
      </c>
    </row>
    <row r="37754" spans="1:8">
      <c r="A37754" t="n">
        <v>372128</v>
      </c>
      <c r="B37754" s="72" t="n">
        <v>61</v>
      </c>
      <c r="C37754" s="7" t="n">
        <v>8</v>
      </c>
      <c r="D37754" s="7" t="n">
        <v>0</v>
      </c>
      <c r="E37754" s="7" t="n">
        <v>1000</v>
      </c>
    </row>
    <row r="37755" spans="1:8">
      <c r="A37755" t="s">
        <v>4</v>
      </c>
      <c r="B37755" s="4" t="s">
        <v>5</v>
      </c>
      <c r="C37755" s="4" t="s">
        <v>11</v>
      </c>
      <c r="D37755" s="4" t="s">
        <v>13</v>
      </c>
      <c r="E37755" s="4" t="s">
        <v>13</v>
      </c>
      <c r="F37755" s="4" t="s">
        <v>7</v>
      </c>
    </row>
    <row r="37756" spans="1:8">
      <c r="A37756" t="n">
        <v>372135</v>
      </c>
      <c r="B37756" s="65" t="n">
        <v>52</v>
      </c>
      <c r="C37756" s="7" t="n">
        <v>0</v>
      </c>
      <c r="D37756" s="7" t="n">
        <v>332.399993896484</v>
      </c>
      <c r="E37756" s="7" t="n">
        <v>5</v>
      </c>
      <c r="F37756" s="7" t="n">
        <v>0</v>
      </c>
    </row>
    <row r="37757" spans="1:8">
      <c r="A37757" t="s">
        <v>4</v>
      </c>
      <c r="B37757" s="4" t="s">
        <v>5</v>
      </c>
      <c r="C37757" s="4" t="s">
        <v>11</v>
      </c>
    </row>
    <row r="37758" spans="1:8">
      <c r="A37758" t="n">
        <v>372147</v>
      </c>
      <c r="B37758" s="66" t="n">
        <v>54</v>
      </c>
      <c r="C37758" s="7" t="n">
        <v>0</v>
      </c>
    </row>
    <row r="37759" spans="1:8">
      <c r="A37759" t="s">
        <v>4</v>
      </c>
      <c r="B37759" s="4" t="s">
        <v>5</v>
      </c>
      <c r="C37759" s="4" t="s">
        <v>7</v>
      </c>
      <c r="D37759" s="4" t="s">
        <v>11</v>
      </c>
      <c r="E37759" s="4" t="s">
        <v>13</v>
      </c>
    </row>
    <row r="37760" spans="1:8">
      <c r="A37760" t="n">
        <v>372150</v>
      </c>
      <c r="B37760" s="23" t="n">
        <v>58</v>
      </c>
      <c r="C37760" s="7" t="n">
        <v>101</v>
      </c>
      <c r="D37760" s="7" t="n">
        <v>500</v>
      </c>
      <c r="E37760" s="7" t="n">
        <v>1</v>
      </c>
    </row>
    <row r="37761" spans="1:8">
      <c r="A37761" t="s">
        <v>4</v>
      </c>
      <c r="B37761" s="4" t="s">
        <v>5</v>
      </c>
      <c r="C37761" s="4" t="s">
        <v>7</v>
      </c>
      <c r="D37761" s="4" t="s">
        <v>11</v>
      </c>
    </row>
    <row r="37762" spans="1:8">
      <c r="A37762" t="n">
        <v>372158</v>
      </c>
      <c r="B37762" s="23" t="n">
        <v>58</v>
      </c>
      <c r="C37762" s="7" t="n">
        <v>254</v>
      </c>
      <c r="D37762" s="7" t="n">
        <v>0</v>
      </c>
    </row>
    <row r="37763" spans="1:8">
      <c r="A37763" t="s">
        <v>4</v>
      </c>
      <c r="B37763" s="4" t="s">
        <v>5</v>
      </c>
      <c r="C37763" s="4" t="s">
        <v>7</v>
      </c>
      <c r="D37763" s="4" t="s">
        <v>7</v>
      </c>
      <c r="E37763" s="4" t="s">
        <v>13</v>
      </c>
      <c r="F37763" s="4" t="s">
        <v>13</v>
      </c>
      <c r="G37763" s="4" t="s">
        <v>13</v>
      </c>
      <c r="H37763" s="4" t="s">
        <v>11</v>
      </c>
    </row>
    <row r="37764" spans="1:8">
      <c r="A37764" t="n">
        <v>372162</v>
      </c>
      <c r="B37764" s="51" t="n">
        <v>45</v>
      </c>
      <c r="C37764" s="7" t="n">
        <v>2</v>
      </c>
      <c r="D37764" s="7" t="n">
        <v>3</v>
      </c>
      <c r="E37764" s="7" t="n">
        <v>4.92999982833862</v>
      </c>
      <c r="F37764" s="7" t="n">
        <v>1.46000003814697</v>
      </c>
      <c r="G37764" s="7" t="n">
        <v>45.6699981689453</v>
      </c>
      <c r="H37764" s="7" t="n">
        <v>0</v>
      </c>
    </row>
    <row r="37765" spans="1:8">
      <c r="A37765" t="s">
        <v>4</v>
      </c>
      <c r="B37765" s="4" t="s">
        <v>5</v>
      </c>
      <c r="C37765" s="4" t="s">
        <v>7</v>
      </c>
      <c r="D37765" s="4" t="s">
        <v>7</v>
      </c>
      <c r="E37765" s="4" t="s">
        <v>13</v>
      </c>
      <c r="F37765" s="4" t="s">
        <v>13</v>
      </c>
      <c r="G37765" s="4" t="s">
        <v>13</v>
      </c>
      <c r="H37765" s="4" t="s">
        <v>11</v>
      </c>
      <c r="I37765" s="4" t="s">
        <v>7</v>
      </c>
    </row>
    <row r="37766" spans="1:8">
      <c r="A37766" t="n">
        <v>372179</v>
      </c>
      <c r="B37766" s="51" t="n">
        <v>45</v>
      </c>
      <c r="C37766" s="7" t="n">
        <v>4</v>
      </c>
      <c r="D37766" s="7" t="n">
        <v>3</v>
      </c>
      <c r="E37766" s="7" t="n">
        <v>5.69000005722046</v>
      </c>
      <c r="F37766" s="7" t="n">
        <v>260.239990234375</v>
      </c>
      <c r="G37766" s="7" t="n">
        <v>0</v>
      </c>
      <c r="H37766" s="7" t="n">
        <v>0</v>
      </c>
      <c r="I37766" s="7" t="n">
        <v>0</v>
      </c>
    </row>
    <row r="37767" spans="1:8">
      <c r="A37767" t="s">
        <v>4</v>
      </c>
      <c r="B37767" s="4" t="s">
        <v>5</v>
      </c>
      <c r="C37767" s="4" t="s">
        <v>7</v>
      </c>
      <c r="D37767" s="4" t="s">
        <v>7</v>
      </c>
      <c r="E37767" s="4" t="s">
        <v>13</v>
      </c>
      <c r="F37767" s="4" t="s">
        <v>11</v>
      </c>
    </row>
    <row r="37768" spans="1:8">
      <c r="A37768" t="n">
        <v>372197</v>
      </c>
      <c r="B37768" s="51" t="n">
        <v>45</v>
      </c>
      <c r="C37768" s="7" t="n">
        <v>5</v>
      </c>
      <c r="D37768" s="7" t="n">
        <v>3</v>
      </c>
      <c r="E37768" s="7" t="n">
        <v>1.70000004768372</v>
      </c>
      <c r="F37768" s="7" t="n">
        <v>0</v>
      </c>
    </row>
    <row r="37769" spans="1:8">
      <c r="A37769" t="s">
        <v>4</v>
      </c>
      <c r="B37769" s="4" t="s">
        <v>5</v>
      </c>
      <c r="C37769" s="4" t="s">
        <v>7</v>
      </c>
      <c r="D37769" s="4" t="s">
        <v>7</v>
      </c>
      <c r="E37769" s="4" t="s">
        <v>13</v>
      </c>
      <c r="F37769" s="4" t="s">
        <v>11</v>
      </c>
    </row>
    <row r="37770" spans="1:8">
      <c r="A37770" t="n">
        <v>372206</v>
      </c>
      <c r="B37770" s="51" t="n">
        <v>45</v>
      </c>
      <c r="C37770" s="7" t="n">
        <v>11</v>
      </c>
      <c r="D37770" s="7" t="n">
        <v>3</v>
      </c>
      <c r="E37770" s="7" t="n">
        <v>34</v>
      </c>
      <c r="F37770" s="7" t="n">
        <v>0</v>
      </c>
    </row>
    <row r="37771" spans="1:8">
      <c r="A37771" t="s">
        <v>4</v>
      </c>
      <c r="B37771" s="4" t="s">
        <v>5</v>
      </c>
      <c r="C37771" s="4" t="s">
        <v>7</v>
      </c>
      <c r="D37771" s="4" t="s">
        <v>7</v>
      </c>
      <c r="E37771" s="4" t="s">
        <v>13</v>
      </c>
      <c r="F37771" s="4" t="s">
        <v>13</v>
      </c>
      <c r="G37771" s="4" t="s">
        <v>13</v>
      </c>
      <c r="H37771" s="4" t="s">
        <v>11</v>
      </c>
    </row>
    <row r="37772" spans="1:8">
      <c r="A37772" t="n">
        <v>372215</v>
      </c>
      <c r="B37772" s="51" t="n">
        <v>45</v>
      </c>
      <c r="C37772" s="7" t="n">
        <v>2</v>
      </c>
      <c r="D37772" s="7" t="n">
        <v>3</v>
      </c>
      <c r="E37772" s="7" t="n">
        <v>4.84999990463257</v>
      </c>
      <c r="F37772" s="7" t="n">
        <v>1.4099999666214</v>
      </c>
      <c r="G37772" s="7" t="n">
        <v>45.7999992370605</v>
      </c>
      <c r="H37772" s="7" t="n">
        <v>5500</v>
      </c>
    </row>
    <row r="37773" spans="1:8">
      <c r="A37773" t="s">
        <v>4</v>
      </c>
      <c r="B37773" s="4" t="s">
        <v>5</v>
      </c>
      <c r="C37773" s="4" t="s">
        <v>7</v>
      </c>
      <c r="D37773" s="4" t="s">
        <v>7</v>
      </c>
      <c r="E37773" s="4" t="s">
        <v>13</v>
      </c>
      <c r="F37773" s="4" t="s">
        <v>13</v>
      </c>
      <c r="G37773" s="4" t="s">
        <v>13</v>
      </c>
      <c r="H37773" s="4" t="s">
        <v>11</v>
      </c>
      <c r="I37773" s="4" t="s">
        <v>7</v>
      </c>
    </row>
    <row r="37774" spans="1:8">
      <c r="A37774" t="n">
        <v>372232</v>
      </c>
      <c r="B37774" s="51" t="n">
        <v>45</v>
      </c>
      <c r="C37774" s="7" t="n">
        <v>4</v>
      </c>
      <c r="D37774" s="7" t="n">
        <v>3</v>
      </c>
      <c r="E37774" s="7" t="n">
        <v>5.46999979019165</v>
      </c>
      <c r="F37774" s="7" t="n">
        <v>232.490005493164</v>
      </c>
      <c r="G37774" s="7" t="n">
        <v>0</v>
      </c>
      <c r="H37774" s="7" t="n">
        <v>5500</v>
      </c>
      <c r="I37774" s="7" t="n">
        <v>0</v>
      </c>
    </row>
    <row r="37775" spans="1:8">
      <c r="A37775" t="s">
        <v>4</v>
      </c>
      <c r="B37775" s="4" t="s">
        <v>5</v>
      </c>
      <c r="C37775" s="4" t="s">
        <v>11</v>
      </c>
      <c r="D37775" s="4" t="s">
        <v>7</v>
      </c>
      <c r="E37775" s="4" t="s">
        <v>7</v>
      </c>
      <c r="F37775" s="4" t="s">
        <v>8</v>
      </c>
    </row>
    <row r="37776" spans="1:8">
      <c r="A37776" t="n">
        <v>372250</v>
      </c>
      <c r="B37776" s="50" t="n">
        <v>20</v>
      </c>
      <c r="C37776" s="7" t="n">
        <v>8</v>
      </c>
      <c r="D37776" s="7" t="n">
        <v>2</v>
      </c>
      <c r="E37776" s="7" t="n">
        <v>11</v>
      </c>
      <c r="F37776" s="7" t="s">
        <v>283</v>
      </c>
    </row>
    <row r="37777" spans="1:9">
      <c r="A37777" t="s">
        <v>4</v>
      </c>
      <c r="B37777" s="4" t="s">
        <v>5</v>
      </c>
      <c r="C37777" s="4" t="s">
        <v>7</v>
      </c>
    </row>
    <row r="37778" spans="1:9">
      <c r="A37778" t="n">
        <v>372277</v>
      </c>
      <c r="B37778" s="49" t="n">
        <v>116</v>
      </c>
      <c r="C37778" s="7" t="n">
        <v>0</v>
      </c>
    </row>
    <row r="37779" spans="1:9">
      <c r="A37779" t="s">
        <v>4</v>
      </c>
      <c r="B37779" s="4" t="s">
        <v>5</v>
      </c>
      <c r="C37779" s="4" t="s">
        <v>7</v>
      </c>
      <c r="D37779" s="4" t="s">
        <v>11</v>
      </c>
    </row>
    <row r="37780" spans="1:9">
      <c r="A37780" t="n">
        <v>372279</v>
      </c>
      <c r="B37780" s="49" t="n">
        <v>116</v>
      </c>
      <c r="C37780" s="7" t="n">
        <v>2</v>
      </c>
      <c r="D37780" s="7" t="n">
        <v>1</v>
      </c>
    </row>
    <row r="37781" spans="1:9">
      <c r="A37781" t="s">
        <v>4</v>
      </c>
      <c r="B37781" s="4" t="s">
        <v>5</v>
      </c>
      <c r="C37781" s="4" t="s">
        <v>7</v>
      </c>
      <c r="D37781" s="4" t="s">
        <v>15</v>
      </c>
    </row>
    <row r="37782" spans="1:9">
      <c r="A37782" t="n">
        <v>372283</v>
      </c>
      <c r="B37782" s="49" t="n">
        <v>116</v>
      </c>
      <c r="C37782" s="7" t="n">
        <v>5</v>
      </c>
      <c r="D37782" s="7" t="n">
        <v>1084227584</v>
      </c>
    </row>
    <row r="37783" spans="1:9">
      <c r="A37783" t="s">
        <v>4</v>
      </c>
      <c r="B37783" s="4" t="s">
        <v>5</v>
      </c>
      <c r="C37783" s="4" t="s">
        <v>7</v>
      </c>
      <c r="D37783" s="4" t="s">
        <v>11</v>
      </c>
    </row>
    <row r="37784" spans="1:9">
      <c r="A37784" t="n">
        <v>372289</v>
      </c>
      <c r="B37784" s="49" t="n">
        <v>116</v>
      </c>
      <c r="C37784" s="7" t="n">
        <v>6</v>
      </c>
      <c r="D37784" s="7" t="n">
        <v>1</v>
      </c>
    </row>
    <row r="37785" spans="1:9">
      <c r="A37785" t="s">
        <v>4</v>
      </c>
      <c r="B37785" s="4" t="s">
        <v>5</v>
      </c>
      <c r="C37785" s="4" t="s">
        <v>7</v>
      </c>
      <c r="D37785" s="4" t="s">
        <v>11</v>
      </c>
    </row>
    <row r="37786" spans="1:9">
      <c r="A37786" t="n">
        <v>372293</v>
      </c>
      <c r="B37786" s="23" t="n">
        <v>58</v>
      </c>
      <c r="C37786" s="7" t="n">
        <v>255</v>
      </c>
      <c r="D37786" s="7" t="n">
        <v>0</v>
      </c>
    </row>
    <row r="37787" spans="1:9">
      <c r="A37787" t="s">
        <v>4</v>
      </c>
      <c r="B37787" s="4" t="s">
        <v>5</v>
      </c>
      <c r="C37787" s="4" t="s">
        <v>11</v>
      </c>
    </row>
    <row r="37788" spans="1:9">
      <c r="A37788" t="n">
        <v>372297</v>
      </c>
      <c r="B37788" s="29" t="n">
        <v>16</v>
      </c>
      <c r="C37788" s="7" t="n">
        <v>800</v>
      </c>
    </row>
    <row r="37789" spans="1:9">
      <c r="A37789" t="s">
        <v>4</v>
      </c>
      <c r="B37789" s="4" t="s">
        <v>5</v>
      </c>
      <c r="C37789" s="4" t="s">
        <v>8</v>
      </c>
      <c r="D37789" s="4" t="s">
        <v>8</v>
      </c>
    </row>
    <row r="37790" spans="1:9">
      <c r="A37790" t="n">
        <v>372300</v>
      </c>
      <c r="B37790" s="52" t="n">
        <v>70</v>
      </c>
      <c r="C37790" s="7" t="s">
        <v>279</v>
      </c>
      <c r="D37790" s="7" t="s">
        <v>284</v>
      </c>
    </row>
    <row r="37791" spans="1:9">
      <c r="A37791" t="s">
        <v>4</v>
      </c>
      <c r="B37791" s="4" t="s">
        <v>5</v>
      </c>
      <c r="C37791" s="4" t="s">
        <v>7</v>
      </c>
      <c r="D37791" s="4" t="s">
        <v>11</v>
      </c>
    </row>
    <row r="37792" spans="1:9">
      <c r="A37792" t="n">
        <v>372318</v>
      </c>
      <c r="B37792" s="51" t="n">
        <v>45</v>
      </c>
      <c r="C37792" s="7" t="n">
        <v>7</v>
      </c>
      <c r="D37792" s="7" t="n">
        <v>255</v>
      </c>
    </row>
    <row r="37793" spans="1:4">
      <c r="A37793" t="s">
        <v>4</v>
      </c>
      <c r="B37793" s="4" t="s">
        <v>5</v>
      </c>
      <c r="C37793" s="4" t="s">
        <v>7</v>
      </c>
      <c r="D37793" s="4" t="s">
        <v>11</v>
      </c>
      <c r="E37793" s="4" t="s">
        <v>8</v>
      </c>
    </row>
    <row r="37794" spans="1:4">
      <c r="A37794" t="n">
        <v>372322</v>
      </c>
      <c r="B37794" s="38" t="n">
        <v>51</v>
      </c>
      <c r="C37794" s="7" t="n">
        <v>4</v>
      </c>
      <c r="D37794" s="7" t="n">
        <v>0</v>
      </c>
      <c r="E37794" s="7" t="s">
        <v>304</v>
      </c>
    </row>
    <row r="37795" spans="1:4">
      <c r="A37795" t="s">
        <v>4</v>
      </c>
      <c r="B37795" s="4" t="s">
        <v>5</v>
      </c>
      <c r="C37795" s="4" t="s">
        <v>11</v>
      </c>
    </row>
    <row r="37796" spans="1:4">
      <c r="A37796" t="n">
        <v>372335</v>
      </c>
      <c r="B37796" s="29" t="n">
        <v>16</v>
      </c>
      <c r="C37796" s="7" t="n">
        <v>0</v>
      </c>
    </row>
    <row r="37797" spans="1:4">
      <c r="A37797" t="s">
        <v>4</v>
      </c>
      <c r="B37797" s="4" t="s">
        <v>5</v>
      </c>
      <c r="C37797" s="4" t="s">
        <v>11</v>
      </c>
      <c r="D37797" s="4" t="s">
        <v>7</v>
      </c>
      <c r="E37797" s="4" t="s">
        <v>15</v>
      </c>
      <c r="F37797" s="4" t="s">
        <v>55</v>
      </c>
      <c r="G37797" s="4" t="s">
        <v>7</v>
      </c>
      <c r="H37797" s="4" t="s">
        <v>7</v>
      </c>
    </row>
    <row r="37798" spans="1:4">
      <c r="A37798" t="n">
        <v>372338</v>
      </c>
      <c r="B37798" s="55" t="n">
        <v>26</v>
      </c>
      <c r="C37798" s="7" t="n">
        <v>0</v>
      </c>
      <c r="D37798" s="7" t="n">
        <v>17</v>
      </c>
      <c r="E37798" s="7" t="n">
        <v>64212</v>
      </c>
      <c r="F37798" s="7" t="s">
        <v>1131</v>
      </c>
      <c r="G37798" s="7" t="n">
        <v>2</v>
      </c>
      <c r="H37798" s="7" t="n">
        <v>0</v>
      </c>
    </row>
    <row r="37799" spans="1:4">
      <c r="A37799" t="s">
        <v>4</v>
      </c>
      <c r="B37799" s="4" t="s">
        <v>5</v>
      </c>
    </row>
    <row r="37800" spans="1:4">
      <c r="A37800" t="n">
        <v>372427</v>
      </c>
      <c r="B37800" s="27" t="n">
        <v>28</v>
      </c>
    </row>
    <row r="37801" spans="1:4">
      <c r="A37801" t="s">
        <v>4</v>
      </c>
      <c r="B37801" s="4" t="s">
        <v>5</v>
      </c>
      <c r="C37801" s="4" t="s">
        <v>7</v>
      </c>
      <c r="D37801" s="4" t="s">
        <v>11</v>
      </c>
      <c r="E37801" s="4" t="s">
        <v>13</v>
      </c>
    </row>
    <row r="37802" spans="1:4">
      <c r="A37802" t="n">
        <v>372428</v>
      </c>
      <c r="B37802" s="23" t="n">
        <v>58</v>
      </c>
      <c r="C37802" s="7" t="n">
        <v>101</v>
      </c>
      <c r="D37802" s="7" t="n">
        <v>500</v>
      </c>
      <c r="E37802" s="7" t="n">
        <v>1</v>
      </c>
    </row>
    <row r="37803" spans="1:4">
      <c r="A37803" t="s">
        <v>4</v>
      </c>
      <c r="B37803" s="4" t="s">
        <v>5</v>
      </c>
      <c r="C37803" s="4" t="s">
        <v>7</v>
      </c>
      <c r="D37803" s="4" t="s">
        <v>11</v>
      </c>
    </row>
    <row r="37804" spans="1:4">
      <c r="A37804" t="n">
        <v>372436</v>
      </c>
      <c r="B37804" s="23" t="n">
        <v>58</v>
      </c>
      <c r="C37804" s="7" t="n">
        <v>254</v>
      </c>
      <c r="D37804" s="7" t="n">
        <v>0</v>
      </c>
    </row>
    <row r="37805" spans="1:4">
      <c r="A37805" t="s">
        <v>4</v>
      </c>
      <c r="B37805" s="4" t="s">
        <v>5</v>
      </c>
      <c r="C37805" s="4" t="s">
        <v>7</v>
      </c>
      <c r="D37805" s="4" t="s">
        <v>7</v>
      </c>
      <c r="E37805" s="4" t="s">
        <v>13</v>
      </c>
      <c r="F37805" s="4" t="s">
        <v>13</v>
      </c>
      <c r="G37805" s="4" t="s">
        <v>13</v>
      </c>
      <c r="H37805" s="4" t="s">
        <v>11</v>
      </c>
    </row>
    <row r="37806" spans="1:4">
      <c r="A37806" t="n">
        <v>372440</v>
      </c>
      <c r="B37806" s="51" t="n">
        <v>45</v>
      </c>
      <c r="C37806" s="7" t="n">
        <v>2</v>
      </c>
      <c r="D37806" s="7" t="n">
        <v>3</v>
      </c>
      <c r="E37806" s="7" t="n">
        <v>4.96999979019165</v>
      </c>
      <c r="F37806" s="7" t="n">
        <v>1.5900000333786</v>
      </c>
      <c r="G37806" s="7" t="n">
        <v>46.3800010681152</v>
      </c>
      <c r="H37806" s="7" t="n">
        <v>0</v>
      </c>
    </row>
    <row r="37807" spans="1:4">
      <c r="A37807" t="s">
        <v>4</v>
      </c>
      <c r="B37807" s="4" t="s">
        <v>5</v>
      </c>
      <c r="C37807" s="4" t="s">
        <v>7</v>
      </c>
      <c r="D37807" s="4" t="s">
        <v>7</v>
      </c>
      <c r="E37807" s="4" t="s">
        <v>13</v>
      </c>
      <c r="F37807" s="4" t="s">
        <v>13</v>
      </c>
      <c r="G37807" s="4" t="s">
        <v>13</v>
      </c>
      <c r="H37807" s="4" t="s">
        <v>11</v>
      </c>
      <c r="I37807" s="4" t="s">
        <v>7</v>
      </c>
    </row>
    <row r="37808" spans="1:4">
      <c r="A37808" t="n">
        <v>372457</v>
      </c>
      <c r="B37808" s="51" t="n">
        <v>45</v>
      </c>
      <c r="C37808" s="7" t="n">
        <v>4</v>
      </c>
      <c r="D37808" s="7" t="n">
        <v>3</v>
      </c>
      <c r="E37808" s="7" t="n">
        <v>0.519999980926514</v>
      </c>
      <c r="F37808" s="7" t="n">
        <v>208.940002441406</v>
      </c>
      <c r="G37808" s="7" t="n">
        <v>0</v>
      </c>
      <c r="H37808" s="7" t="n">
        <v>0</v>
      </c>
      <c r="I37808" s="7" t="n">
        <v>0</v>
      </c>
    </row>
    <row r="37809" spans="1:9">
      <c r="A37809" t="s">
        <v>4</v>
      </c>
      <c r="B37809" s="4" t="s">
        <v>5</v>
      </c>
      <c r="C37809" s="4" t="s">
        <v>7</v>
      </c>
      <c r="D37809" s="4" t="s">
        <v>7</v>
      </c>
      <c r="E37809" s="4" t="s">
        <v>13</v>
      </c>
      <c r="F37809" s="4" t="s">
        <v>11</v>
      </c>
    </row>
    <row r="37810" spans="1:9">
      <c r="A37810" t="n">
        <v>372475</v>
      </c>
      <c r="B37810" s="51" t="n">
        <v>45</v>
      </c>
      <c r="C37810" s="7" t="n">
        <v>5</v>
      </c>
      <c r="D37810" s="7" t="n">
        <v>3</v>
      </c>
      <c r="E37810" s="7" t="n">
        <v>1</v>
      </c>
      <c r="F37810" s="7" t="n">
        <v>0</v>
      </c>
    </row>
    <row r="37811" spans="1:9">
      <c r="A37811" t="s">
        <v>4</v>
      </c>
      <c r="B37811" s="4" t="s">
        <v>5</v>
      </c>
      <c r="C37811" s="4" t="s">
        <v>7</v>
      </c>
      <c r="D37811" s="4" t="s">
        <v>7</v>
      </c>
      <c r="E37811" s="4" t="s">
        <v>13</v>
      </c>
      <c r="F37811" s="4" t="s">
        <v>11</v>
      </c>
    </row>
    <row r="37812" spans="1:9">
      <c r="A37812" t="n">
        <v>372484</v>
      </c>
      <c r="B37812" s="51" t="n">
        <v>45</v>
      </c>
      <c r="C37812" s="7" t="n">
        <v>11</v>
      </c>
      <c r="D37812" s="7" t="n">
        <v>3</v>
      </c>
      <c r="E37812" s="7" t="n">
        <v>34</v>
      </c>
      <c r="F37812" s="7" t="n">
        <v>0</v>
      </c>
    </row>
    <row r="37813" spans="1:9">
      <c r="A37813" t="s">
        <v>4</v>
      </c>
      <c r="B37813" s="4" t="s">
        <v>5</v>
      </c>
      <c r="C37813" s="4" t="s">
        <v>7</v>
      </c>
      <c r="D37813" s="4" t="s">
        <v>11</v>
      </c>
    </row>
    <row r="37814" spans="1:9">
      <c r="A37814" t="n">
        <v>372493</v>
      </c>
      <c r="B37814" s="23" t="n">
        <v>58</v>
      </c>
      <c r="C37814" s="7" t="n">
        <v>255</v>
      </c>
      <c r="D37814" s="7" t="n">
        <v>0</v>
      </c>
    </row>
    <row r="37815" spans="1:9">
      <c r="A37815" t="s">
        <v>4</v>
      </c>
      <c r="B37815" s="4" t="s">
        <v>5</v>
      </c>
      <c r="C37815" s="4" t="s">
        <v>7</v>
      </c>
      <c r="D37815" s="4" t="s">
        <v>11</v>
      </c>
      <c r="E37815" s="4" t="s">
        <v>8</v>
      </c>
    </row>
    <row r="37816" spans="1:9">
      <c r="A37816" t="n">
        <v>372497</v>
      </c>
      <c r="B37816" s="38" t="n">
        <v>51</v>
      </c>
      <c r="C37816" s="7" t="n">
        <v>4</v>
      </c>
      <c r="D37816" s="7" t="n">
        <v>8</v>
      </c>
      <c r="E37816" s="7" t="s">
        <v>247</v>
      </c>
    </row>
    <row r="37817" spans="1:9">
      <c r="A37817" t="s">
        <v>4</v>
      </c>
      <c r="B37817" s="4" t="s">
        <v>5</v>
      </c>
      <c r="C37817" s="4" t="s">
        <v>11</v>
      </c>
    </row>
    <row r="37818" spans="1:9">
      <c r="A37818" t="n">
        <v>372511</v>
      </c>
      <c r="B37818" s="29" t="n">
        <v>16</v>
      </c>
      <c r="C37818" s="7" t="n">
        <v>0</v>
      </c>
    </row>
    <row r="37819" spans="1:9">
      <c r="A37819" t="s">
        <v>4</v>
      </c>
      <c r="B37819" s="4" t="s">
        <v>5</v>
      </c>
      <c r="C37819" s="4" t="s">
        <v>11</v>
      </c>
      <c r="D37819" s="4" t="s">
        <v>7</v>
      </c>
      <c r="E37819" s="4" t="s">
        <v>15</v>
      </c>
      <c r="F37819" s="4" t="s">
        <v>55</v>
      </c>
      <c r="G37819" s="4" t="s">
        <v>7</v>
      </c>
      <c r="H37819" s="4" t="s">
        <v>7</v>
      </c>
      <c r="I37819" s="4" t="s">
        <v>7</v>
      </c>
      <c r="J37819" s="4" t="s">
        <v>15</v>
      </c>
      <c r="K37819" s="4" t="s">
        <v>55</v>
      </c>
      <c r="L37819" s="4" t="s">
        <v>7</v>
      </c>
      <c r="M37819" s="4" t="s">
        <v>7</v>
      </c>
    </row>
    <row r="37820" spans="1:9">
      <c r="A37820" t="n">
        <v>372514</v>
      </c>
      <c r="B37820" s="55" t="n">
        <v>26</v>
      </c>
      <c r="C37820" s="7" t="n">
        <v>8</v>
      </c>
      <c r="D37820" s="7" t="n">
        <v>17</v>
      </c>
      <c r="E37820" s="7" t="n">
        <v>64213</v>
      </c>
      <c r="F37820" s="7" t="s">
        <v>1132</v>
      </c>
      <c r="G37820" s="7" t="n">
        <v>2</v>
      </c>
      <c r="H37820" s="7" t="n">
        <v>3</v>
      </c>
      <c r="I37820" s="7" t="n">
        <v>17</v>
      </c>
      <c r="J37820" s="7" t="n">
        <v>64214</v>
      </c>
      <c r="K37820" s="7" t="s">
        <v>1133</v>
      </c>
      <c r="L37820" s="7" t="n">
        <v>2</v>
      </c>
      <c r="M37820" s="7" t="n">
        <v>0</v>
      </c>
    </row>
    <row r="37821" spans="1:9">
      <c r="A37821" t="s">
        <v>4</v>
      </c>
      <c r="B37821" s="4" t="s">
        <v>5</v>
      </c>
    </row>
    <row r="37822" spans="1:9">
      <c r="A37822" t="n">
        <v>372683</v>
      </c>
      <c r="B37822" s="27" t="n">
        <v>28</v>
      </c>
    </row>
    <row r="37823" spans="1:9">
      <c r="A37823" t="s">
        <v>4</v>
      </c>
      <c r="B37823" s="4" t="s">
        <v>5</v>
      </c>
      <c r="C37823" s="4" t="s">
        <v>7</v>
      </c>
      <c r="D37823" s="4" t="s">
        <v>11</v>
      </c>
      <c r="E37823" s="4" t="s">
        <v>8</v>
      </c>
      <c r="F37823" s="4" t="s">
        <v>8</v>
      </c>
      <c r="G37823" s="4" t="s">
        <v>8</v>
      </c>
      <c r="H37823" s="4" t="s">
        <v>8</v>
      </c>
    </row>
    <row r="37824" spans="1:9">
      <c r="A37824" t="n">
        <v>372684</v>
      </c>
      <c r="B37824" s="38" t="n">
        <v>51</v>
      </c>
      <c r="C37824" s="7" t="n">
        <v>3</v>
      </c>
      <c r="D37824" s="7" t="n">
        <v>8</v>
      </c>
      <c r="E37824" s="7" t="s">
        <v>295</v>
      </c>
      <c r="F37824" s="7" t="s">
        <v>232</v>
      </c>
      <c r="G37824" s="7" t="s">
        <v>78</v>
      </c>
      <c r="H37824" s="7" t="s">
        <v>79</v>
      </c>
    </row>
    <row r="37825" spans="1:13">
      <c r="A37825" t="s">
        <v>4</v>
      </c>
      <c r="B37825" s="4" t="s">
        <v>5</v>
      </c>
      <c r="C37825" s="4" t="s">
        <v>11</v>
      </c>
      <c r="D37825" s="4" t="s">
        <v>13</v>
      </c>
      <c r="E37825" s="4" t="s">
        <v>13</v>
      </c>
      <c r="F37825" s="4" t="s">
        <v>13</v>
      </c>
      <c r="G37825" s="4" t="s">
        <v>11</v>
      </c>
      <c r="H37825" s="4" t="s">
        <v>11</v>
      </c>
    </row>
    <row r="37826" spans="1:13">
      <c r="A37826" t="n">
        <v>372697</v>
      </c>
      <c r="B37826" s="37" t="n">
        <v>60</v>
      </c>
      <c r="C37826" s="7" t="n">
        <v>8</v>
      </c>
      <c r="D37826" s="7" t="n">
        <v>-45</v>
      </c>
      <c r="E37826" s="7" t="n">
        <v>0</v>
      </c>
      <c r="F37826" s="7" t="n">
        <v>0</v>
      </c>
      <c r="G37826" s="7" t="n">
        <v>1000</v>
      </c>
      <c r="H37826" s="7" t="n">
        <v>0</v>
      </c>
    </row>
    <row r="37827" spans="1:13">
      <c r="A37827" t="s">
        <v>4</v>
      </c>
      <c r="B37827" s="4" t="s">
        <v>5</v>
      </c>
      <c r="C37827" s="4" t="s">
        <v>11</v>
      </c>
    </row>
    <row r="37828" spans="1:13">
      <c r="A37828" t="n">
        <v>372716</v>
      </c>
      <c r="B37828" s="29" t="n">
        <v>16</v>
      </c>
      <c r="C37828" s="7" t="n">
        <v>1000</v>
      </c>
    </row>
    <row r="37829" spans="1:13">
      <c r="A37829" t="s">
        <v>4</v>
      </c>
      <c r="B37829" s="4" t="s">
        <v>5</v>
      </c>
      <c r="C37829" s="4" t="s">
        <v>7</v>
      </c>
      <c r="D37829" s="4" t="s">
        <v>11</v>
      </c>
      <c r="E37829" s="4" t="s">
        <v>8</v>
      </c>
      <c r="F37829" s="4" t="s">
        <v>8</v>
      </c>
      <c r="G37829" s="4" t="s">
        <v>8</v>
      </c>
      <c r="H37829" s="4" t="s">
        <v>8</v>
      </c>
    </row>
    <row r="37830" spans="1:13">
      <c r="A37830" t="n">
        <v>372719</v>
      </c>
      <c r="B37830" s="38" t="n">
        <v>51</v>
      </c>
      <c r="C37830" s="7" t="n">
        <v>3</v>
      </c>
      <c r="D37830" s="7" t="n">
        <v>8</v>
      </c>
      <c r="E37830" s="7" t="s">
        <v>296</v>
      </c>
      <c r="F37830" s="7" t="s">
        <v>232</v>
      </c>
      <c r="G37830" s="7" t="s">
        <v>78</v>
      </c>
      <c r="H37830" s="7" t="s">
        <v>79</v>
      </c>
    </row>
    <row r="37831" spans="1:13">
      <c r="A37831" t="s">
        <v>4</v>
      </c>
      <c r="B37831" s="4" t="s">
        <v>5</v>
      </c>
      <c r="C37831" s="4" t="s">
        <v>11</v>
      </c>
      <c r="D37831" s="4" t="s">
        <v>13</v>
      </c>
      <c r="E37831" s="4" t="s">
        <v>13</v>
      </c>
      <c r="F37831" s="4" t="s">
        <v>13</v>
      </c>
      <c r="G37831" s="4" t="s">
        <v>11</v>
      </c>
      <c r="H37831" s="4" t="s">
        <v>11</v>
      </c>
    </row>
    <row r="37832" spans="1:13">
      <c r="A37832" t="n">
        <v>372733</v>
      </c>
      <c r="B37832" s="37" t="n">
        <v>60</v>
      </c>
      <c r="C37832" s="7" t="n">
        <v>8</v>
      </c>
      <c r="D37832" s="7" t="n">
        <v>45</v>
      </c>
      <c r="E37832" s="7" t="n">
        <v>0</v>
      </c>
      <c r="F37832" s="7" t="n">
        <v>0</v>
      </c>
      <c r="G37832" s="7" t="n">
        <v>1000</v>
      </c>
      <c r="H37832" s="7" t="n">
        <v>0</v>
      </c>
    </row>
    <row r="37833" spans="1:13">
      <c r="A37833" t="s">
        <v>4</v>
      </c>
      <c r="B37833" s="4" t="s">
        <v>5</v>
      </c>
      <c r="C37833" s="4" t="s">
        <v>11</v>
      </c>
    </row>
    <row r="37834" spans="1:13">
      <c r="A37834" t="n">
        <v>372752</v>
      </c>
      <c r="B37834" s="29" t="n">
        <v>16</v>
      </c>
      <c r="C37834" s="7" t="n">
        <v>1200</v>
      </c>
    </row>
    <row r="37835" spans="1:13">
      <c r="A37835" t="s">
        <v>4</v>
      </c>
      <c r="B37835" s="4" t="s">
        <v>5</v>
      </c>
      <c r="C37835" s="4" t="s">
        <v>7</v>
      </c>
      <c r="D37835" s="4" t="s">
        <v>11</v>
      </c>
      <c r="E37835" s="4" t="s">
        <v>8</v>
      </c>
      <c r="F37835" s="4" t="s">
        <v>8</v>
      </c>
      <c r="G37835" s="4" t="s">
        <v>8</v>
      </c>
      <c r="H37835" s="4" t="s">
        <v>8</v>
      </c>
    </row>
    <row r="37836" spans="1:13">
      <c r="A37836" t="n">
        <v>372755</v>
      </c>
      <c r="B37836" s="38" t="n">
        <v>51</v>
      </c>
      <c r="C37836" s="7" t="n">
        <v>3</v>
      </c>
      <c r="D37836" s="7" t="n">
        <v>8</v>
      </c>
      <c r="E37836" s="7" t="s">
        <v>319</v>
      </c>
      <c r="F37836" s="7" t="s">
        <v>232</v>
      </c>
      <c r="G37836" s="7" t="s">
        <v>78</v>
      </c>
      <c r="H37836" s="7" t="s">
        <v>79</v>
      </c>
    </row>
    <row r="37837" spans="1:13">
      <c r="A37837" t="s">
        <v>4</v>
      </c>
      <c r="B37837" s="4" t="s">
        <v>5</v>
      </c>
      <c r="C37837" s="4" t="s">
        <v>11</v>
      </c>
      <c r="D37837" s="4" t="s">
        <v>13</v>
      </c>
      <c r="E37837" s="4" t="s">
        <v>13</v>
      </c>
      <c r="F37837" s="4" t="s">
        <v>13</v>
      </c>
      <c r="G37837" s="4" t="s">
        <v>11</v>
      </c>
      <c r="H37837" s="4" t="s">
        <v>11</v>
      </c>
    </row>
    <row r="37838" spans="1:13">
      <c r="A37838" t="n">
        <v>372768</v>
      </c>
      <c r="B37838" s="37" t="n">
        <v>60</v>
      </c>
      <c r="C37838" s="7" t="n">
        <v>8</v>
      </c>
      <c r="D37838" s="7" t="n">
        <v>0</v>
      </c>
      <c r="E37838" s="7" t="n">
        <v>0</v>
      </c>
      <c r="F37838" s="7" t="n">
        <v>0</v>
      </c>
      <c r="G37838" s="7" t="n">
        <v>1000</v>
      </c>
      <c r="H37838" s="7" t="n">
        <v>0</v>
      </c>
    </row>
    <row r="37839" spans="1:13">
      <c r="A37839" t="s">
        <v>4</v>
      </c>
      <c r="B37839" s="4" t="s">
        <v>5</v>
      </c>
      <c r="C37839" s="4" t="s">
        <v>11</v>
      </c>
    </row>
    <row r="37840" spans="1:13">
      <c r="A37840" t="n">
        <v>372787</v>
      </c>
      <c r="B37840" s="29" t="n">
        <v>16</v>
      </c>
      <c r="C37840" s="7" t="n">
        <v>1000</v>
      </c>
    </row>
    <row r="37841" spans="1:8">
      <c r="A37841" t="s">
        <v>4</v>
      </c>
      <c r="B37841" s="4" t="s">
        <v>5</v>
      </c>
      <c r="C37841" s="4" t="s">
        <v>7</v>
      </c>
      <c r="D37841" s="4" t="s">
        <v>11</v>
      </c>
      <c r="E37841" s="4" t="s">
        <v>8</v>
      </c>
    </row>
    <row r="37842" spans="1:8">
      <c r="A37842" t="n">
        <v>372790</v>
      </c>
      <c r="B37842" s="38" t="n">
        <v>51</v>
      </c>
      <c r="C37842" s="7" t="n">
        <v>4</v>
      </c>
      <c r="D37842" s="7" t="n">
        <v>8</v>
      </c>
      <c r="E37842" s="7" t="s">
        <v>1134</v>
      </c>
    </row>
    <row r="37843" spans="1:8">
      <c r="A37843" t="s">
        <v>4</v>
      </c>
      <c r="B37843" s="4" t="s">
        <v>5</v>
      </c>
      <c r="C37843" s="4" t="s">
        <v>11</v>
      </c>
    </row>
    <row r="37844" spans="1:8">
      <c r="A37844" t="n">
        <v>372804</v>
      </c>
      <c r="B37844" s="29" t="n">
        <v>16</v>
      </c>
      <c r="C37844" s="7" t="n">
        <v>0</v>
      </c>
    </row>
    <row r="37845" spans="1:8">
      <c r="A37845" t="s">
        <v>4</v>
      </c>
      <c r="B37845" s="4" t="s">
        <v>5</v>
      </c>
      <c r="C37845" s="4" t="s">
        <v>11</v>
      </c>
      <c r="D37845" s="4" t="s">
        <v>7</v>
      </c>
      <c r="E37845" s="4" t="s">
        <v>15</v>
      </c>
      <c r="F37845" s="4" t="s">
        <v>55</v>
      </c>
      <c r="G37845" s="4" t="s">
        <v>7</v>
      </c>
      <c r="H37845" s="4" t="s">
        <v>7</v>
      </c>
    </row>
    <row r="37846" spans="1:8">
      <c r="A37846" t="n">
        <v>372807</v>
      </c>
      <c r="B37846" s="55" t="n">
        <v>26</v>
      </c>
      <c r="C37846" s="7" t="n">
        <v>8</v>
      </c>
      <c r="D37846" s="7" t="n">
        <v>17</v>
      </c>
      <c r="E37846" s="7" t="n">
        <v>64215</v>
      </c>
      <c r="F37846" s="7" t="s">
        <v>1135</v>
      </c>
      <c r="G37846" s="7" t="n">
        <v>2</v>
      </c>
      <c r="H37846" s="7" t="n">
        <v>0</v>
      </c>
    </row>
    <row r="37847" spans="1:8">
      <c r="A37847" t="s">
        <v>4</v>
      </c>
      <c r="B37847" s="4" t="s">
        <v>5</v>
      </c>
    </row>
    <row r="37848" spans="1:8">
      <c r="A37848" t="n">
        <v>372897</v>
      </c>
      <c r="B37848" s="27" t="n">
        <v>28</v>
      </c>
    </row>
    <row r="37849" spans="1:8">
      <c r="A37849" t="s">
        <v>4</v>
      </c>
      <c r="B37849" s="4" t="s">
        <v>5</v>
      </c>
      <c r="C37849" s="4" t="s">
        <v>7</v>
      </c>
      <c r="D37849" s="4" t="s">
        <v>11</v>
      </c>
      <c r="E37849" s="4" t="s">
        <v>8</v>
      </c>
    </row>
    <row r="37850" spans="1:8">
      <c r="A37850" t="n">
        <v>372898</v>
      </c>
      <c r="B37850" s="38" t="n">
        <v>51</v>
      </c>
      <c r="C37850" s="7" t="n">
        <v>4</v>
      </c>
      <c r="D37850" s="7" t="n">
        <v>0</v>
      </c>
      <c r="E37850" s="7" t="s">
        <v>179</v>
      </c>
    </row>
    <row r="37851" spans="1:8">
      <c r="A37851" t="s">
        <v>4</v>
      </c>
      <c r="B37851" s="4" t="s">
        <v>5</v>
      </c>
      <c r="C37851" s="4" t="s">
        <v>11</v>
      </c>
    </row>
    <row r="37852" spans="1:8">
      <c r="A37852" t="n">
        <v>372912</v>
      </c>
      <c r="B37852" s="29" t="n">
        <v>16</v>
      </c>
      <c r="C37852" s="7" t="n">
        <v>0</v>
      </c>
    </row>
    <row r="37853" spans="1:8">
      <c r="A37853" t="s">
        <v>4</v>
      </c>
      <c r="B37853" s="4" t="s">
        <v>5</v>
      </c>
      <c r="C37853" s="4" t="s">
        <v>11</v>
      </c>
      <c r="D37853" s="4" t="s">
        <v>7</v>
      </c>
      <c r="E37853" s="4" t="s">
        <v>15</v>
      </c>
      <c r="F37853" s="4" t="s">
        <v>55</v>
      </c>
      <c r="G37853" s="4" t="s">
        <v>7</v>
      </c>
      <c r="H37853" s="4" t="s">
        <v>7</v>
      </c>
      <c r="I37853" s="4" t="s">
        <v>7</v>
      </c>
      <c r="J37853" s="4" t="s">
        <v>15</v>
      </c>
      <c r="K37853" s="4" t="s">
        <v>55</v>
      </c>
      <c r="L37853" s="4" t="s">
        <v>7</v>
      </c>
      <c r="M37853" s="4" t="s">
        <v>7</v>
      </c>
      <c r="N37853" s="4" t="s">
        <v>7</v>
      </c>
      <c r="O37853" s="4" t="s">
        <v>15</v>
      </c>
      <c r="P37853" s="4" t="s">
        <v>55</v>
      </c>
      <c r="Q37853" s="4" t="s">
        <v>7</v>
      </c>
      <c r="R37853" s="4" t="s">
        <v>7</v>
      </c>
    </row>
    <row r="37854" spans="1:8">
      <c r="A37854" t="n">
        <v>372915</v>
      </c>
      <c r="B37854" s="55" t="n">
        <v>26</v>
      </c>
      <c r="C37854" s="7" t="n">
        <v>0</v>
      </c>
      <c r="D37854" s="7" t="n">
        <v>17</v>
      </c>
      <c r="E37854" s="7" t="n">
        <v>64216</v>
      </c>
      <c r="F37854" s="7" t="s">
        <v>1136</v>
      </c>
      <c r="G37854" s="7" t="n">
        <v>2</v>
      </c>
      <c r="H37854" s="7" t="n">
        <v>3</v>
      </c>
      <c r="I37854" s="7" t="n">
        <v>17</v>
      </c>
      <c r="J37854" s="7" t="n">
        <v>64217</v>
      </c>
      <c r="K37854" s="7" t="s">
        <v>1137</v>
      </c>
      <c r="L37854" s="7" t="n">
        <v>2</v>
      </c>
      <c r="M37854" s="7" t="n">
        <v>3</v>
      </c>
      <c r="N37854" s="7" t="n">
        <v>17</v>
      </c>
      <c r="O37854" s="7" t="n">
        <v>63780</v>
      </c>
      <c r="P37854" s="7" t="s">
        <v>301</v>
      </c>
      <c r="Q37854" s="7" t="n">
        <v>2</v>
      </c>
      <c r="R37854" s="7" t="n">
        <v>0</v>
      </c>
    </row>
    <row r="37855" spans="1:8">
      <c r="A37855" t="s">
        <v>4</v>
      </c>
      <c r="B37855" s="4" t="s">
        <v>5</v>
      </c>
    </row>
    <row r="37856" spans="1:8">
      <c r="A37856" t="n">
        <v>373113</v>
      </c>
      <c r="B37856" s="27" t="n">
        <v>28</v>
      </c>
    </row>
    <row r="37857" spans="1:18">
      <c r="A37857" t="s">
        <v>4</v>
      </c>
      <c r="B37857" s="4" t="s">
        <v>5</v>
      </c>
      <c r="C37857" s="4" t="s">
        <v>7</v>
      </c>
      <c r="D37857" s="4" t="s">
        <v>11</v>
      </c>
      <c r="E37857" s="4" t="s">
        <v>8</v>
      </c>
    </row>
    <row r="37858" spans="1:18">
      <c r="A37858" t="n">
        <v>373114</v>
      </c>
      <c r="B37858" s="38" t="n">
        <v>51</v>
      </c>
      <c r="C37858" s="7" t="n">
        <v>4</v>
      </c>
      <c r="D37858" s="7" t="n">
        <v>8</v>
      </c>
      <c r="E37858" s="7" t="s">
        <v>288</v>
      </c>
    </row>
    <row r="37859" spans="1:18">
      <c r="A37859" t="s">
        <v>4</v>
      </c>
      <c r="B37859" s="4" t="s">
        <v>5</v>
      </c>
      <c r="C37859" s="4" t="s">
        <v>11</v>
      </c>
    </row>
    <row r="37860" spans="1:18">
      <c r="A37860" t="n">
        <v>373127</v>
      </c>
      <c r="B37860" s="29" t="n">
        <v>16</v>
      </c>
      <c r="C37860" s="7" t="n">
        <v>0</v>
      </c>
    </row>
    <row r="37861" spans="1:18">
      <c r="A37861" t="s">
        <v>4</v>
      </c>
      <c r="B37861" s="4" t="s">
        <v>5</v>
      </c>
      <c r="C37861" s="4" t="s">
        <v>11</v>
      </c>
      <c r="D37861" s="4" t="s">
        <v>7</v>
      </c>
      <c r="E37861" s="4" t="s">
        <v>15</v>
      </c>
      <c r="F37861" s="4" t="s">
        <v>55</v>
      </c>
      <c r="G37861" s="4" t="s">
        <v>7</v>
      </c>
      <c r="H37861" s="4" t="s">
        <v>7</v>
      </c>
    </row>
    <row r="37862" spans="1:18">
      <c r="A37862" t="n">
        <v>373130</v>
      </c>
      <c r="B37862" s="55" t="n">
        <v>26</v>
      </c>
      <c r="C37862" s="7" t="n">
        <v>8</v>
      </c>
      <c r="D37862" s="7" t="n">
        <v>17</v>
      </c>
      <c r="E37862" s="7" t="n">
        <v>64218</v>
      </c>
      <c r="F37862" s="7" t="s">
        <v>1138</v>
      </c>
      <c r="G37862" s="7" t="n">
        <v>2</v>
      </c>
      <c r="H37862" s="7" t="n">
        <v>0</v>
      </c>
    </row>
    <row r="37863" spans="1:18">
      <c r="A37863" t="s">
        <v>4</v>
      </c>
      <c r="B37863" s="4" t="s">
        <v>5</v>
      </c>
    </row>
    <row r="37864" spans="1:18">
      <c r="A37864" t="n">
        <v>373145</v>
      </c>
      <c r="B37864" s="27" t="n">
        <v>28</v>
      </c>
    </row>
    <row r="37865" spans="1:18">
      <c r="A37865" t="s">
        <v>4</v>
      </c>
      <c r="B37865" s="4" t="s">
        <v>5</v>
      </c>
      <c r="C37865" s="4" t="s">
        <v>11</v>
      </c>
      <c r="D37865" s="4" t="s">
        <v>7</v>
      </c>
    </row>
    <row r="37866" spans="1:18">
      <c r="A37866" t="n">
        <v>373146</v>
      </c>
      <c r="B37866" s="68" t="n">
        <v>89</v>
      </c>
      <c r="C37866" s="7" t="n">
        <v>65533</v>
      </c>
      <c r="D37866" s="7" t="n">
        <v>1</v>
      </c>
    </row>
    <row r="37867" spans="1:18">
      <c r="A37867" t="s">
        <v>4</v>
      </c>
      <c r="B37867" s="4" t="s">
        <v>5</v>
      </c>
      <c r="C37867" s="4" t="s">
        <v>7</v>
      </c>
      <c r="D37867" s="4" t="s">
        <v>11</v>
      </c>
      <c r="E37867" s="4" t="s">
        <v>13</v>
      </c>
    </row>
    <row r="37868" spans="1:18">
      <c r="A37868" t="n">
        <v>373150</v>
      </c>
      <c r="B37868" s="23" t="n">
        <v>58</v>
      </c>
      <c r="C37868" s="7" t="n">
        <v>101</v>
      </c>
      <c r="D37868" s="7" t="n">
        <v>500</v>
      </c>
      <c r="E37868" s="7" t="n">
        <v>1</v>
      </c>
    </row>
    <row r="37869" spans="1:18">
      <c r="A37869" t="s">
        <v>4</v>
      </c>
      <c r="B37869" s="4" t="s">
        <v>5</v>
      </c>
      <c r="C37869" s="4" t="s">
        <v>7</v>
      </c>
      <c r="D37869" s="4" t="s">
        <v>11</v>
      </c>
    </row>
    <row r="37870" spans="1:18">
      <c r="A37870" t="n">
        <v>373158</v>
      </c>
      <c r="B37870" s="23" t="n">
        <v>58</v>
      </c>
      <c r="C37870" s="7" t="n">
        <v>254</v>
      </c>
      <c r="D37870" s="7" t="n">
        <v>0</v>
      </c>
    </row>
    <row r="37871" spans="1:18">
      <c r="A37871" t="s">
        <v>4</v>
      </c>
      <c r="B37871" s="4" t="s">
        <v>5</v>
      </c>
      <c r="C37871" s="4" t="s">
        <v>7</v>
      </c>
      <c r="D37871" s="4" t="s">
        <v>11</v>
      </c>
      <c r="E37871" s="4" t="s">
        <v>8</v>
      </c>
      <c r="F37871" s="4" t="s">
        <v>8</v>
      </c>
      <c r="G37871" s="4" t="s">
        <v>8</v>
      </c>
      <c r="H37871" s="4" t="s">
        <v>8</v>
      </c>
    </row>
    <row r="37872" spans="1:18">
      <c r="A37872" t="n">
        <v>373162</v>
      </c>
      <c r="B37872" s="38" t="n">
        <v>51</v>
      </c>
      <c r="C37872" s="7" t="n">
        <v>3</v>
      </c>
      <c r="D37872" s="7" t="n">
        <v>0</v>
      </c>
      <c r="E37872" s="7" t="s">
        <v>65</v>
      </c>
      <c r="F37872" s="7" t="s">
        <v>99</v>
      </c>
      <c r="G37872" s="7" t="s">
        <v>78</v>
      </c>
      <c r="H37872" s="7" t="s">
        <v>79</v>
      </c>
    </row>
    <row r="37873" spans="1:8">
      <c r="A37873" t="s">
        <v>4</v>
      </c>
      <c r="B37873" s="4" t="s">
        <v>5</v>
      </c>
      <c r="C37873" s="4" t="s">
        <v>7</v>
      </c>
      <c r="D37873" s="4" t="s">
        <v>11</v>
      </c>
      <c r="E37873" s="4" t="s">
        <v>8</v>
      </c>
      <c r="F37873" s="4" t="s">
        <v>8</v>
      </c>
      <c r="G37873" s="4" t="s">
        <v>8</v>
      </c>
      <c r="H37873" s="4" t="s">
        <v>8</v>
      </c>
    </row>
    <row r="37874" spans="1:8">
      <c r="A37874" t="n">
        <v>373183</v>
      </c>
      <c r="B37874" s="38" t="n">
        <v>51</v>
      </c>
      <c r="C37874" s="7" t="n">
        <v>3</v>
      </c>
      <c r="D37874" s="7" t="n">
        <v>8</v>
      </c>
      <c r="E37874" s="7" t="s">
        <v>101</v>
      </c>
      <c r="F37874" s="7" t="s">
        <v>232</v>
      </c>
      <c r="G37874" s="7" t="s">
        <v>78</v>
      </c>
      <c r="H37874" s="7" t="s">
        <v>79</v>
      </c>
    </row>
    <row r="37875" spans="1:8">
      <c r="A37875" t="s">
        <v>4</v>
      </c>
      <c r="B37875" s="4" t="s">
        <v>5</v>
      </c>
      <c r="C37875" s="4" t="s">
        <v>11</v>
      </c>
      <c r="D37875" s="4" t="s">
        <v>11</v>
      </c>
      <c r="E37875" s="4" t="s">
        <v>11</v>
      </c>
    </row>
    <row r="37876" spans="1:8">
      <c r="A37876" t="n">
        <v>373204</v>
      </c>
      <c r="B37876" s="72" t="n">
        <v>61</v>
      </c>
      <c r="C37876" s="7" t="n">
        <v>0</v>
      </c>
      <c r="D37876" s="7" t="n">
        <v>65533</v>
      </c>
      <c r="E37876" s="7" t="n">
        <v>0</v>
      </c>
    </row>
    <row r="37877" spans="1:8">
      <c r="A37877" t="s">
        <v>4</v>
      </c>
      <c r="B37877" s="4" t="s">
        <v>5</v>
      </c>
      <c r="C37877" s="4" t="s">
        <v>11</v>
      </c>
      <c r="D37877" s="4" t="s">
        <v>11</v>
      </c>
      <c r="E37877" s="4" t="s">
        <v>11</v>
      </c>
    </row>
    <row r="37878" spans="1:8">
      <c r="A37878" t="n">
        <v>373211</v>
      </c>
      <c r="B37878" s="72" t="n">
        <v>61</v>
      </c>
      <c r="C37878" s="7" t="n">
        <v>8</v>
      </c>
      <c r="D37878" s="7" t="n">
        <v>65533</v>
      </c>
      <c r="E37878" s="7" t="n">
        <v>0</v>
      </c>
    </row>
    <row r="37879" spans="1:8">
      <c r="A37879" t="s">
        <v>4</v>
      </c>
      <c r="B37879" s="4" t="s">
        <v>5</v>
      </c>
      <c r="C37879" s="4" t="s">
        <v>7</v>
      </c>
    </row>
    <row r="37880" spans="1:8">
      <c r="A37880" t="n">
        <v>373218</v>
      </c>
      <c r="B37880" s="49" t="n">
        <v>116</v>
      </c>
      <c r="C37880" s="7" t="n">
        <v>0</v>
      </c>
    </row>
    <row r="37881" spans="1:8">
      <c r="A37881" t="s">
        <v>4</v>
      </c>
      <c r="B37881" s="4" t="s">
        <v>5</v>
      </c>
      <c r="C37881" s="4" t="s">
        <v>7</v>
      </c>
      <c r="D37881" s="4" t="s">
        <v>11</v>
      </c>
    </row>
    <row r="37882" spans="1:8">
      <c r="A37882" t="n">
        <v>373220</v>
      </c>
      <c r="B37882" s="49" t="n">
        <v>116</v>
      </c>
      <c r="C37882" s="7" t="n">
        <v>2</v>
      </c>
      <c r="D37882" s="7" t="n">
        <v>1</v>
      </c>
    </row>
    <row r="37883" spans="1:8">
      <c r="A37883" t="s">
        <v>4</v>
      </c>
      <c r="B37883" s="4" t="s">
        <v>5</v>
      </c>
      <c r="C37883" s="4" t="s">
        <v>7</v>
      </c>
      <c r="D37883" s="4" t="s">
        <v>15</v>
      </c>
    </row>
    <row r="37884" spans="1:8">
      <c r="A37884" t="n">
        <v>373224</v>
      </c>
      <c r="B37884" s="49" t="n">
        <v>116</v>
      </c>
      <c r="C37884" s="7" t="n">
        <v>5</v>
      </c>
      <c r="D37884" s="7" t="n">
        <v>1106247680</v>
      </c>
    </row>
    <row r="37885" spans="1:8">
      <c r="A37885" t="s">
        <v>4</v>
      </c>
      <c r="B37885" s="4" t="s">
        <v>5</v>
      </c>
      <c r="C37885" s="4" t="s">
        <v>7</v>
      </c>
      <c r="D37885" s="4" t="s">
        <v>11</v>
      </c>
    </row>
    <row r="37886" spans="1:8">
      <c r="A37886" t="n">
        <v>373230</v>
      </c>
      <c r="B37886" s="49" t="n">
        <v>116</v>
      </c>
      <c r="C37886" s="7" t="n">
        <v>6</v>
      </c>
      <c r="D37886" s="7" t="n">
        <v>1</v>
      </c>
    </row>
    <row r="37887" spans="1:8">
      <c r="A37887" t="s">
        <v>4</v>
      </c>
      <c r="B37887" s="4" t="s">
        <v>5</v>
      </c>
      <c r="C37887" s="4" t="s">
        <v>7</v>
      </c>
      <c r="D37887" s="4" t="s">
        <v>7</v>
      </c>
      <c r="E37887" s="4" t="s">
        <v>13</v>
      </c>
      <c r="F37887" s="4" t="s">
        <v>13</v>
      </c>
      <c r="G37887" s="4" t="s">
        <v>13</v>
      </c>
      <c r="H37887" s="4" t="s">
        <v>11</v>
      </c>
    </row>
    <row r="37888" spans="1:8">
      <c r="A37888" t="n">
        <v>373234</v>
      </c>
      <c r="B37888" s="51" t="n">
        <v>45</v>
      </c>
      <c r="C37888" s="7" t="n">
        <v>2</v>
      </c>
      <c r="D37888" s="7" t="n">
        <v>3</v>
      </c>
      <c r="E37888" s="7" t="n">
        <v>4.53000020980835</v>
      </c>
      <c r="F37888" s="7" t="n">
        <v>1.30999994277954</v>
      </c>
      <c r="G37888" s="7" t="n">
        <v>46.2700004577637</v>
      </c>
      <c r="H37888" s="7" t="n">
        <v>0</v>
      </c>
    </row>
    <row r="37889" spans="1:8">
      <c r="A37889" t="s">
        <v>4</v>
      </c>
      <c r="B37889" s="4" t="s">
        <v>5</v>
      </c>
      <c r="C37889" s="4" t="s">
        <v>7</v>
      </c>
      <c r="D37889" s="4" t="s">
        <v>7</v>
      </c>
      <c r="E37889" s="4" t="s">
        <v>13</v>
      </c>
      <c r="F37889" s="4" t="s">
        <v>13</v>
      </c>
      <c r="G37889" s="4" t="s">
        <v>13</v>
      </c>
      <c r="H37889" s="4" t="s">
        <v>11</v>
      </c>
      <c r="I37889" s="4" t="s">
        <v>7</v>
      </c>
    </row>
    <row r="37890" spans="1:8">
      <c r="A37890" t="n">
        <v>373251</v>
      </c>
      <c r="B37890" s="51" t="n">
        <v>45</v>
      </c>
      <c r="C37890" s="7" t="n">
        <v>4</v>
      </c>
      <c r="D37890" s="7" t="n">
        <v>3</v>
      </c>
      <c r="E37890" s="7" t="n">
        <v>12.8699998855591</v>
      </c>
      <c r="F37890" s="7" t="n">
        <v>80.0199966430664</v>
      </c>
      <c r="G37890" s="7" t="n">
        <v>0</v>
      </c>
      <c r="H37890" s="7" t="n">
        <v>0</v>
      </c>
      <c r="I37890" s="7" t="n">
        <v>0</v>
      </c>
    </row>
    <row r="37891" spans="1:8">
      <c r="A37891" t="s">
        <v>4</v>
      </c>
      <c r="B37891" s="4" t="s">
        <v>5</v>
      </c>
      <c r="C37891" s="4" t="s">
        <v>7</v>
      </c>
      <c r="D37891" s="4" t="s">
        <v>7</v>
      </c>
      <c r="E37891" s="4" t="s">
        <v>13</v>
      </c>
      <c r="F37891" s="4" t="s">
        <v>11</v>
      </c>
    </row>
    <row r="37892" spans="1:8">
      <c r="A37892" t="n">
        <v>373269</v>
      </c>
      <c r="B37892" s="51" t="n">
        <v>45</v>
      </c>
      <c r="C37892" s="7" t="n">
        <v>5</v>
      </c>
      <c r="D37892" s="7" t="n">
        <v>3</v>
      </c>
      <c r="E37892" s="7" t="n">
        <v>3</v>
      </c>
      <c r="F37892" s="7" t="n">
        <v>0</v>
      </c>
    </row>
    <row r="37893" spans="1:8">
      <c r="A37893" t="s">
        <v>4</v>
      </c>
      <c r="B37893" s="4" t="s">
        <v>5</v>
      </c>
      <c r="C37893" s="4" t="s">
        <v>7</v>
      </c>
      <c r="D37893" s="4" t="s">
        <v>7</v>
      </c>
      <c r="E37893" s="4" t="s">
        <v>13</v>
      </c>
      <c r="F37893" s="4" t="s">
        <v>11</v>
      </c>
    </row>
    <row r="37894" spans="1:8">
      <c r="A37894" t="n">
        <v>373278</v>
      </c>
      <c r="B37894" s="51" t="n">
        <v>45</v>
      </c>
      <c r="C37894" s="7" t="n">
        <v>11</v>
      </c>
      <c r="D37894" s="7" t="n">
        <v>3</v>
      </c>
      <c r="E37894" s="7" t="n">
        <v>34</v>
      </c>
      <c r="F37894" s="7" t="n">
        <v>0</v>
      </c>
    </row>
    <row r="37895" spans="1:8">
      <c r="A37895" t="s">
        <v>4</v>
      </c>
      <c r="B37895" s="4" t="s">
        <v>5</v>
      </c>
      <c r="C37895" s="4" t="s">
        <v>7</v>
      </c>
      <c r="D37895" s="4" t="s">
        <v>7</v>
      </c>
      <c r="E37895" s="4" t="s">
        <v>13</v>
      </c>
      <c r="F37895" s="4" t="s">
        <v>13</v>
      </c>
      <c r="G37895" s="4" t="s">
        <v>13</v>
      </c>
      <c r="H37895" s="4" t="s">
        <v>11</v>
      </c>
    </row>
    <row r="37896" spans="1:8">
      <c r="A37896" t="n">
        <v>373287</v>
      </c>
      <c r="B37896" s="51" t="n">
        <v>45</v>
      </c>
      <c r="C37896" s="7" t="n">
        <v>2</v>
      </c>
      <c r="D37896" s="7" t="n">
        <v>3</v>
      </c>
      <c r="E37896" s="7" t="n">
        <v>4.53000020980835</v>
      </c>
      <c r="F37896" s="7" t="n">
        <v>2.30999994277954</v>
      </c>
      <c r="G37896" s="7" t="n">
        <v>46.2700004577637</v>
      </c>
      <c r="H37896" s="7" t="n">
        <v>5000</v>
      </c>
    </row>
    <row r="37897" spans="1:8">
      <c r="A37897" t="s">
        <v>4</v>
      </c>
      <c r="B37897" s="4" t="s">
        <v>5</v>
      </c>
      <c r="C37897" s="4" t="s">
        <v>7</v>
      </c>
      <c r="D37897" s="4" t="s">
        <v>11</v>
      </c>
    </row>
    <row r="37898" spans="1:8">
      <c r="A37898" t="n">
        <v>373304</v>
      </c>
      <c r="B37898" s="23" t="n">
        <v>58</v>
      </c>
      <c r="C37898" s="7" t="n">
        <v>255</v>
      </c>
      <c r="D37898" s="7" t="n">
        <v>0</v>
      </c>
    </row>
    <row r="37899" spans="1:8">
      <c r="A37899" t="s">
        <v>4</v>
      </c>
      <c r="B37899" s="4" t="s">
        <v>5</v>
      </c>
      <c r="C37899" s="4" t="s">
        <v>11</v>
      </c>
      <c r="D37899" s="4" t="s">
        <v>13</v>
      </c>
      <c r="E37899" s="4" t="s">
        <v>13</v>
      </c>
      <c r="F37899" s="4" t="s">
        <v>7</v>
      </c>
    </row>
    <row r="37900" spans="1:8">
      <c r="A37900" t="n">
        <v>373308</v>
      </c>
      <c r="B37900" s="65" t="n">
        <v>52</v>
      </c>
      <c r="C37900" s="7" t="n">
        <v>0</v>
      </c>
      <c r="D37900" s="7" t="n">
        <v>255</v>
      </c>
      <c r="E37900" s="7" t="n">
        <v>5</v>
      </c>
      <c r="F37900" s="7" t="n">
        <v>0</v>
      </c>
    </row>
    <row r="37901" spans="1:8">
      <c r="A37901" t="s">
        <v>4</v>
      </c>
      <c r="B37901" s="4" t="s">
        <v>5</v>
      </c>
      <c r="C37901" s="4" t="s">
        <v>11</v>
      </c>
    </row>
    <row r="37902" spans="1:8">
      <c r="A37902" t="n">
        <v>373320</v>
      </c>
      <c r="B37902" s="29" t="n">
        <v>16</v>
      </c>
      <c r="C37902" s="7" t="n">
        <v>100</v>
      </c>
    </row>
    <row r="37903" spans="1:8">
      <c r="A37903" t="s">
        <v>4</v>
      </c>
      <c r="B37903" s="4" t="s">
        <v>5</v>
      </c>
      <c r="C37903" s="4" t="s">
        <v>11</v>
      </c>
      <c r="D37903" s="4" t="s">
        <v>13</v>
      </c>
      <c r="E37903" s="4" t="s">
        <v>13</v>
      </c>
      <c r="F37903" s="4" t="s">
        <v>7</v>
      </c>
    </row>
    <row r="37904" spans="1:8">
      <c r="A37904" t="n">
        <v>373323</v>
      </c>
      <c r="B37904" s="65" t="n">
        <v>52</v>
      </c>
      <c r="C37904" s="7" t="n">
        <v>8</v>
      </c>
      <c r="D37904" s="7" t="n">
        <v>255</v>
      </c>
      <c r="E37904" s="7" t="n">
        <v>5</v>
      </c>
      <c r="F37904" s="7" t="n">
        <v>0</v>
      </c>
    </row>
    <row r="37905" spans="1:9">
      <c r="A37905" t="s">
        <v>4</v>
      </c>
      <c r="B37905" s="4" t="s">
        <v>5</v>
      </c>
      <c r="C37905" s="4" t="s">
        <v>11</v>
      </c>
    </row>
    <row r="37906" spans="1:9">
      <c r="A37906" t="n">
        <v>373335</v>
      </c>
      <c r="B37906" s="66" t="n">
        <v>54</v>
      </c>
      <c r="C37906" s="7" t="n">
        <v>0</v>
      </c>
    </row>
    <row r="37907" spans="1:9">
      <c r="A37907" t="s">
        <v>4</v>
      </c>
      <c r="B37907" s="4" t="s">
        <v>5</v>
      </c>
      <c r="C37907" s="4" t="s">
        <v>11</v>
      </c>
      <c r="D37907" s="4" t="s">
        <v>11</v>
      </c>
      <c r="E37907" s="4" t="s">
        <v>13</v>
      </c>
      <c r="F37907" s="4" t="s">
        <v>13</v>
      </c>
      <c r="G37907" s="4" t="s">
        <v>13</v>
      </c>
      <c r="H37907" s="4" t="s">
        <v>13</v>
      </c>
      <c r="I37907" s="4" t="s">
        <v>7</v>
      </c>
      <c r="J37907" s="4" t="s">
        <v>11</v>
      </c>
    </row>
    <row r="37908" spans="1:9">
      <c r="A37908" t="n">
        <v>373338</v>
      </c>
      <c r="B37908" s="53" t="n">
        <v>55</v>
      </c>
      <c r="C37908" s="7" t="n">
        <v>0</v>
      </c>
      <c r="D37908" s="7" t="n">
        <v>65024</v>
      </c>
      <c r="E37908" s="7" t="n">
        <v>0</v>
      </c>
      <c r="F37908" s="7" t="n">
        <v>0</v>
      </c>
      <c r="G37908" s="7" t="n">
        <v>6</v>
      </c>
      <c r="H37908" s="7" t="n">
        <v>1.20000004768372</v>
      </c>
      <c r="I37908" s="7" t="n">
        <v>1</v>
      </c>
      <c r="J37908" s="7" t="n">
        <v>0</v>
      </c>
    </row>
    <row r="37909" spans="1:9">
      <c r="A37909" t="s">
        <v>4</v>
      </c>
      <c r="B37909" s="4" t="s">
        <v>5</v>
      </c>
      <c r="C37909" s="4" t="s">
        <v>11</v>
      </c>
    </row>
    <row r="37910" spans="1:9">
      <c r="A37910" t="n">
        <v>373362</v>
      </c>
      <c r="B37910" s="66" t="n">
        <v>54</v>
      </c>
      <c r="C37910" s="7" t="n">
        <v>8</v>
      </c>
    </row>
    <row r="37911" spans="1:9">
      <c r="A37911" t="s">
        <v>4</v>
      </c>
      <c r="B37911" s="4" t="s">
        <v>5</v>
      </c>
      <c r="C37911" s="4" t="s">
        <v>11</v>
      </c>
    </row>
    <row r="37912" spans="1:9">
      <c r="A37912" t="n">
        <v>373365</v>
      </c>
      <c r="B37912" s="29" t="n">
        <v>16</v>
      </c>
      <c r="C37912" s="7" t="n">
        <v>200</v>
      </c>
    </row>
    <row r="37913" spans="1:9">
      <c r="A37913" t="s">
        <v>4</v>
      </c>
      <c r="B37913" s="4" t="s">
        <v>5</v>
      </c>
      <c r="C37913" s="4" t="s">
        <v>11</v>
      </c>
      <c r="D37913" s="4" t="s">
        <v>11</v>
      </c>
      <c r="E37913" s="4" t="s">
        <v>13</v>
      </c>
      <c r="F37913" s="4" t="s">
        <v>13</v>
      </c>
      <c r="G37913" s="4" t="s">
        <v>13</v>
      </c>
      <c r="H37913" s="4" t="s">
        <v>13</v>
      </c>
      <c r="I37913" s="4" t="s">
        <v>7</v>
      </c>
      <c r="J37913" s="4" t="s">
        <v>11</v>
      </c>
    </row>
    <row r="37914" spans="1:9">
      <c r="A37914" t="n">
        <v>373368</v>
      </c>
      <c r="B37914" s="53" t="n">
        <v>55</v>
      </c>
      <c r="C37914" s="7" t="n">
        <v>8</v>
      </c>
      <c r="D37914" s="7" t="n">
        <v>65024</v>
      </c>
      <c r="E37914" s="7" t="n">
        <v>0</v>
      </c>
      <c r="F37914" s="7" t="n">
        <v>0</v>
      </c>
      <c r="G37914" s="7" t="n">
        <v>6</v>
      </c>
      <c r="H37914" s="7" t="n">
        <v>1.20000004768372</v>
      </c>
      <c r="I37914" s="7" t="n">
        <v>1</v>
      </c>
      <c r="J37914" s="7" t="n">
        <v>0</v>
      </c>
    </row>
    <row r="37915" spans="1:9">
      <c r="A37915" t="s">
        <v>4</v>
      </c>
      <c r="B37915" s="4" t="s">
        <v>5</v>
      </c>
      <c r="C37915" s="4" t="s">
        <v>11</v>
      </c>
    </row>
    <row r="37916" spans="1:9">
      <c r="A37916" t="n">
        <v>373392</v>
      </c>
      <c r="B37916" s="29" t="n">
        <v>16</v>
      </c>
      <c r="C37916" s="7" t="n">
        <v>2000</v>
      </c>
    </row>
    <row r="37917" spans="1:9">
      <c r="A37917" t="s">
        <v>4</v>
      </c>
      <c r="B37917" s="4" t="s">
        <v>5</v>
      </c>
      <c r="C37917" s="4" t="s">
        <v>7</v>
      </c>
      <c r="D37917" s="4" t="s">
        <v>11</v>
      </c>
      <c r="E37917" s="4" t="s">
        <v>13</v>
      </c>
    </row>
    <row r="37918" spans="1:9">
      <c r="A37918" t="n">
        <v>373395</v>
      </c>
      <c r="B37918" s="23" t="n">
        <v>58</v>
      </c>
      <c r="C37918" s="7" t="n">
        <v>0</v>
      </c>
      <c r="D37918" s="7" t="n">
        <v>1000</v>
      </c>
      <c r="E37918" s="7" t="n">
        <v>1</v>
      </c>
    </row>
    <row r="37919" spans="1:9">
      <c r="A37919" t="s">
        <v>4</v>
      </c>
      <c r="B37919" s="4" t="s">
        <v>5</v>
      </c>
      <c r="C37919" s="4" t="s">
        <v>7</v>
      </c>
      <c r="D37919" s="4" t="s">
        <v>11</v>
      </c>
    </row>
    <row r="37920" spans="1:9">
      <c r="A37920" t="n">
        <v>373403</v>
      </c>
      <c r="B37920" s="23" t="n">
        <v>58</v>
      </c>
      <c r="C37920" s="7" t="n">
        <v>255</v>
      </c>
      <c r="D37920" s="7" t="n">
        <v>0</v>
      </c>
    </row>
    <row r="37921" spans="1:10">
      <c r="A37921" t="s">
        <v>4</v>
      </c>
      <c r="B37921" s="4" t="s">
        <v>5</v>
      </c>
      <c r="C37921" s="4" t="s">
        <v>11</v>
      </c>
      <c r="D37921" s="4" t="s">
        <v>7</v>
      </c>
    </row>
    <row r="37922" spans="1:10">
      <c r="A37922" t="n">
        <v>373407</v>
      </c>
      <c r="B37922" s="54" t="n">
        <v>56</v>
      </c>
      <c r="C37922" s="7" t="n">
        <v>0</v>
      </c>
      <c r="D37922" s="7" t="n">
        <v>1</v>
      </c>
    </row>
    <row r="37923" spans="1:10">
      <c r="A37923" t="s">
        <v>4</v>
      </c>
      <c r="B37923" s="4" t="s">
        <v>5</v>
      </c>
      <c r="C37923" s="4" t="s">
        <v>11</v>
      </c>
      <c r="D37923" s="4" t="s">
        <v>7</v>
      </c>
    </row>
    <row r="37924" spans="1:10">
      <c r="A37924" t="n">
        <v>373411</v>
      </c>
      <c r="B37924" s="54" t="n">
        <v>56</v>
      </c>
      <c r="C37924" s="7" t="n">
        <v>8</v>
      </c>
      <c r="D37924" s="7" t="n">
        <v>1</v>
      </c>
    </row>
    <row r="37925" spans="1:10">
      <c r="A37925" t="s">
        <v>4</v>
      </c>
      <c r="B37925" s="4" t="s">
        <v>5</v>
      </c>
      <c r="C37925" s="4" t="s">
        <v>11</v>
      </c>
      <c r="D37925" s="4" t="s">
        <v>13</v>
      </c>
      <c r="E37925" s="4" t="s">
        <v>13</v>
      </c>
      <c r="F37925" s="4" t="s">
        <v>13</v>
      </c>
      <c r="G37925" s="4" t="s">
        <v>13</v>
      </c>
    </row>
    <row r="37926" spans="1:10">
      <c r="A37926" t="n">
        <v>373415</v>
      </c>
      <c r="B37926" s="36" t="n">
        <v>46</v>
      </c>
      <c r="C37926" s="7" t="n">
        <v>0</v>
      </c>
      <c r="D37926" s="7" t="n">
        <v>-11.1899995803833</v>
      </c>
      <c r="E37926" s="7" t="n">
        <v>5.01000022888184</v>
      </c>
      <c r="F37926" s="7" t="n">
        <v>56.2900009155273</v>
      </c>
      <c r="G37926" s="7" t="n">
        <v>270.799987792969</v>
      </c>
    </row>
    <row r="37927" spans="1:10">
      <c r="A37927" t="s">
        <v>4</v>
      </c>
      <c r="B37927" s="4" t="s">
        <v>5</v>
      </c>
      <c r="C37927" s="4" t="s">
        <v>11</v>
      </c>
      <c r="D37927" s="4" t="s">
        <v>13</v>
      </c>
      <c r="E37927" s="4" t="s">
        <v>13</v>
      </c>
      <c r="F37927" s="4" t="s">
        <v>13</v>
      </c>
      <c r="G37927" s="4" t="s">
        <v>13</v>
      </c>
    </row>
    <row r="37928" spans="1:10">
      <c r="A37928" t="n">
        <v>373434</v>
      </c>
      <c r="B37928" s="36" t="n">
        <v>46</v>
      </c>
      <c r="C37928" s="7" t="n">
        <v>8</v>
      </c>
      <c r="D37928" s="7" t="n">
        <v>-11.7600002288818</v>
      </c>
      <c r="E37928" s="7" t="n">
        <v>5.01000022888184</v>
      </c>
      <c r="F37928" s="7" t="n">
        <v>55.6599998474121</v>
      </c>
      <c r="G37928" s="7" t="n">
        <v>272.600006103516</v>
      </c>
    </row>
    <row r="37929" spans="1:10">
      <c r="A37929" t="s">
        <v>4</v>
      </c>
      <c r="B37929" s="4" t="s">
        <v>5</v>
      </c>
      <c r="C37929" s="4" t="s">
        <v>11</v>
      </c>
      <c r="D37929" s="4" t="s">
        <v>11</v>
      </c>
      <c r="E37929" s="4" t="s">
        <v>11</v>
      </c>
    </row>
    <row r="37930" spans="1:10">
      <c r="A37930" t="n">
        <v>373453</v>
      </c>
      <c r="B37930" s="72" t="n">
        <v>61</v>
      </c>
      <c r="C37930" s="7" t="n">
        <v>0</v>
      </c>
      <c r="D37930" s="7" t="n">
        <v>65533</v>
      </c>
      <c r="E37930" s="7" t="n">
        <v>0</v>
      </c>
    </row>
    <row r="37931" spans="1:10">
      <c r="A37931" t="s">
        <v>4</v>
      </c>
      <c r="B37931" s="4" t="s">
        <v>5</v>
      </c>
      <c r="C37931" s="4" t="s">
        <v>11</v>
      </c>
      <c r="D37931" s="4" t="s">
        <v>11</v>
      </c>
      <c r="E37931" s="4" t="s">
        <v>11</v>
      </c>
    </row>
    <row r="37932" spans="1:10">
      <c r="A37932" t="n">
        <v>373460</v>
      </c>
      <c r="B37932" s="72" t="n">
        <v>61</v>
      </c>
      <c r="C37932" s="7" t="n">
        <v>8</v>
      </c>
      <c r="D37932" s="7" t="n">
        <v>65533</v>
      </c>
      <c r="E37932" s="7" t="n">
        <v>0</v>
      </c>
    </row>
    <row r="37933" spans="1:10">
      <c r="A37933" t="s">
        <v>4</v>
      </c>
      <c r="B37933" s="4" t="s">
        <v>5</v>
      </c>
      <c r="C37933" s="4" t="s">
        <v>7</v>
      </c>
      <c r="D37933" s="4" t="s">
        <v>7</v>
      </c>
      <c r="E37933" s="4" t="s">
        <v>13</v>
      </c>
      <c r="F37933" s="4" t="s">
        <v>13</v>
      </c>
      <c r="G37933" s="4" t="s">
        <v>13</v>
      </c>
      <c r="H37933" s="4" t="s">
        <v>11</v>
      </c>
    </row>
    <row r="37934" spans="1:10">
      <c r="A37934" t="n">
        <v>373467</v>
      </c>
      <c r="B37934" s="51" t="n">
        <v>45</v>
      </c>
      <c r="C37934" s="7" t="n">
        <v>2</v>
      </c>
      <c r="D37934" s="7" t="n">
        <v>3</v>
      </c>
      <c r="E37934" s="7" t="n">
        <v>-15.7299995422363</v>
      </c>
      <c r="F37934" s="7" t="n">
        <v>6.75</v>
      </c>
      <c r="G37934" s="7" t="n">
        <v>57.2599983215332</v>
      </c>
      <c r="H37934" s="7" t="n">
        <v>0</v>
      </c>
    </row>
    <row r="37935" spans="1:10">
      <c r="A37935" t="s">
        <v>4</v>
      </c>
      <c r="B37935" s="4" t="s">
        <v>5</v>
      </c>
      <c r="C37935" s="4" t="s">
        <v>7</v>
      </c>
      <c r="D37935" s="4" t="s">
        <v>7</v>
      </c>
      <c r="E37935" s="4" t="s">
        <v>13</v>
      </c>
      <c r="F37935" s="4" t="s">
        <v>13</v>
      </c>
      <c r="G37935" s="4" t="s">
        <v>13</v>
      </c>
      <c r="H37935" s="4" t="s">
        <v>11</v>
      </c>
      <c r="I37935" s="4" t="s">
        <v>7</v>
      </c>
    </row>
    <row r="37936" spans="1:10">
      <c r="A37936" t="n">
        <v>373484</v>
      </c>
      <c r="B37936" s="51" t="n">
        <v>45</v>
      </c>
      <c r="C37936" s="7" t="n">
        <v>4</v>
      </c>
      <c r="D37936" s="7" t="n">
        <v>3</v>
      </c>
      <c r="E37936" s="7" t="n">
        <v>354.579986572266</v>
      </c>
      <c r="F37936" s="7" t="n">
        <v>77.2699966430664</v>
      </c>
      <c r="G37936" s="7" t="n">
        <v>0</v>
      </c>
      <c r="H37936" s="7" t="n">
        <v>0</v>
      </c>
      <c r="I37936" s="7" t="n">
        <v>0</v>
      </c>
    </row>
    <row r="37937" spans="1:9">
      <c r="A37937" t="s">
        <v>4</v>
      </c>
      <c r="B37937" s="4" t="s">
        <v>5</v>
      </c>
      <c r="C37937" s="4" t="s">
        <v>7</v>
      </c>
      <c r="D37937" s="4" t="s">
        <v>7</v>
      </c>
      <c r="E37937" s="4" t="s">
        <v>13</v>
      </c>
      <c r="F37937" s="4" t="s">
        <v>11</v>
      </c>
    </row>
    <row r="37938" spans="1:9">
      <c r="A37938" t="n">
        <v>373502</v>
      </c>
      <c r="B37938" s="51" t="n">
        <v>45</v>
      </c>
      <c r="C37938" s="7" t="n">
        <v>5</v>
      </c>
      <c r="D37938" s="7" t="n">
        <v>3</v>
      </c>
      <c r="E37938" s="7" t="n">
        <v>2.09999990463257</v>
      </c>
      <c r="F37938" s="7" t="n">
        <v>0</v>
      </c>
    </row>
    <row r="37939" spans="1:9">
      <c r="A37939" t="s">
        <v>4</v>
      </c>
      <c r="B37939" s="4" t="s">
        <v>5</v>
      </c>
      <c r="C37939" s="4" t="s">
        <v>7</v>
      </c>
      <c r="D37939" s="4" t="s">
        <v>7</v>
      </c>
      <c r="E37939" s="4" t="s">
        <v>13</v>
      </c>
      <c r="F37939" s="4" t="s">
        <v>11</v>
      </c>
    </row>
    <row r="37940" spans="1:9">
      <c r="A37940" t="n">
        <v>373511</v>
      </c>
      <c r="B37940" s="51" t="n">
        <v>45</v>
      </c>
      <c r="C37940" s="7" t="n">
        <v>11</v>
      </c>
      <c r="D37940" s="7" t="n">
        <v>3</v>
      </c>
      <c r="E37940" s="7" t="n">
        <v>34</v>
      </c>
      <c r="F37940" s="7" t="n">
        <v>0</v>
      </c>
    </row>
    <row r="37941" spans="1:9">
      <c r="A37941" t="s">
        <v>4</v>
      </c>
      <c r="B37941" s="4" t="s">
        <v>5</v>
      </c>
      <c r="C37941" s="4" t="s">
        <v>7</v>
      </c>
      <c r="D37941" s="4" t="s">
        <v>7</v>
      </c>
      <c r="E37941" s="4" t="s">
        <v>13</v>
      </c>
      <c r="F37941" s="4" t="s">
        <v>13</v>
      </c>
      <c r="G37941" s="4" t="s">
        <v>13</v>
      </c>
      <c r="H37941" s="4" t="s">
        <v>11</v>
      </c>
    </row>
    <row r="37942" spans="1:9">
      <c r="A37942" t="n">
        <v>373520</v>
      </c>
      <c r="B37942" s="51" t="n">
        <v>45</v>
      </c>
      <c r="C37942" s="7" t="n">
        <v>2</v>
      </c>
      <c r="D37942" s="7" t="n">
        <v>3</v>
      </c>
      <c r="E37942" s="7" t="n">
        <v>-14.5</v>
      </c>
      <c r="F37942" s="7" t="n">
        <v>6.55999994277954</v>
      </c>
      <c r="G37942" s="7" t="n">
        <v>56.7999992370605</v>
      </c>
      <c r="H37942" s="7" t="n">
        <v>7000</v>
      </c>
    </row>
    <row r="37943" spans="1:9">
      <c r="A37943" t="s">
        <v>4</v>
      </c>
      <c r="B37943" s="4" t="s">
        <v>5</v>
      </c>
      <c r="C37943" s="4" t="s">
        <v>7</v>
      </c>
      <c r="D37943" s="4" t="s">
        <v>7</v>
      </c>
      <c r="E37943" s="4" t="s">
        <v>13</v>
      </c>
      <c r="F37943" s="4" t="s">
        <v>13</v>
      </c>
      <c r="G37943" s="4" t="s">
        <v>13</v>
      </c>
      <c r="H37943" s="4" t="s">
        <v>11</v>
      </c>
      <c r="I37943" s="4" t="s">
        <v>7</v>
      </c>
    </row>
    <row r="37944" spans="1:9">
      <c r="A37944" t="n">
        <v>373537</v>
      </c>
      <c r="B37944" s="51" t="n">
        <v>45</v>
      </c>
      <c r="C37944" s="7" t="n">
        <v>4</v>
      </c>
      <c r="D37944" s="7" t="n">
        <v>3</v>
      </c>
      <c r="E37944" s="7" t="n">
        <v>7.53999996185303</v>
      </c>
      <c r="F37944" s="7" t="n">
        <v>308.570007324219</v>
      </c>
      <c r="G37944" s="7" t="n">
        <v>0</v>
      </c>
      <c r="H37944" s="7" t="n">
        <v>7000</v>
      </c>
      <c r="I37944" s="7" t="n">
        <v>1</v>
      </c>
    </row>
    <row r="37945" spans="1:9">
      <c r="A37945" t="s">
        <v>4</v>
      </c>
      <c r="B37945" s="4" t="s">
        <v>5</v>
      </c>
      <c r="C37945" s="4" t="s">
        <v>7</v>
      </c>
      <c r="D37945" s="4" t="s">
        <v>7</v>
      </c>
      <c r="E37945" s="4" t="s">
        <v>13</v>
      </c>
      <c r="F37945" s="4" t="s">
        <v>11</v>
      </c>
    </row>
    <row r="37946" spans="1:9">
      <c r="A37946" t="n">
        <v>373555</v>
      </c>
      <c r="B37946" s="51" t="n">
        <v>45</v>
      </c>
      <c r="C37946" s="7" t="n">
        <v>5</v>
      </c>
      <c r="D37946" s="7" t="n">
        <v>3</v>
      </c>
      <c r="E37946" s="7" t="n">
        <v>1.70000004768372</v>
      </c>
      <c r="F37946" s="7" t="n">
        <v>7000</v>
      </c>
    </row>
    <row r="37947" spans="1:9">
      <c r="A37947" t="s">
        <v>4</v>
      </c>
      <c r="B37947" s="4" t="s">
        <v>5</v>
      </c>
      <c r="C37947" s="4" t="s">
        <v>7</v>
      </c>
      <c r="D37947" s="4" t="s">
        <v>11</v>
      </c>
      <c r="E37947" s="4" t="s">
        <v>13</v>
      </c>
    </row>
    <row r="37948" spans="1:9">
      <c r="A37948" t="n">
        <v>373564</v>
      </c>
      <c r="B37948" s="23" t="n">
        <v>58</v>
      </c>
      <c r="C37948" s="7" t="n">
        <v>100</v>
      </c>
      <c r="D37948" s="7" t="n">
        <v>1000</v>
      </c>
      <c r="E37948" s="7" t="n">
        <v>1</v>
      </c>
    </row>
    <row r="37949" spans="1:9">
      <c r="A37949" t="s">
        <v>4</v>
      </c>
      <c r="B37949" s="4" t="s">
        <v>5</v>
      </c>
      <c r="C37949" s="4" t="s">
        <v>7</v>
      </c>
      <c r="D37949" s="4" t="s">
        <v>11</v>
      </c>
    </row>
    <row r="37950" spans="1:9">
      <c r="A37950" t="n">
        <v>373572</v>
      </c>
      <c r="B37950" s="23" t="n">
        <v>58</v>
      </c>
      <c r="C37950" s="7" t="n">
        <v>255</v>
      </c>
      <c r="D37950" s="7" t="n">
        <v>0</v>
      </c>
    </row>
    <row r="37951" spans="1:9">
      <c r="A37951" t="s">
        <v>4</v>
      </c>
      <c r="B37951" s="4" t="s">
        <v>5</v>
      </c>
      <c r="C37951" s="4" t="s">
        <v>8</v>
      </c>
      <c r="D37951" s="4" t="s">
        <v>8</v>
      </c>
    </row>
    <row r="37952" spans="1:9">
      <c r="A37952" t="n">
        <v>373576</v>
      </c>
      <c r="B37952" s="52" t="n">
        <v>70</v>
      </c>
      <c r="C37952" s="7" t="s">
        <v>1139</v>
      </c>
      <c r="D37952" s="7" t="s">
        <v>109</v>
      </c>
    </row>
    <row r="37953" spans="1:9">
      <c r="A37953" t="s">
        <v>4</v>
      </c>
      <c r="B37953" s="4" t="s">
        <v>5</v>
      </c>
      <c r="C37953" s="4" t="s">
        <v>11</v>
      </c>
    </row>
    <row r="37954" spans="1:9">
      <c r="A37954" t="n">
        <v>373593</v>
      </c>
      <c r="B37954" s="29" t="n">
        <v>16</v>
      </c>
      <c r="C37954" s="7" t="n">
        <v>4000</v>
      </c>
    </row>
    <row r="37955" spans="1:9">
      <c r="A37955" t="s">
        <v>4</v>
      </c>
      <c r="B37955" s="4" t="s">
        <v>5</v>
      </c>
      <c r="C37955" s="4" t="s">
        <v>11</v>
      </c>
      <c r="D37955" s="4" t="s">
        <v>7</v>
      </c>
      <c r="E37955" s="4" t="s">
        <v>13</v>
      </c>
      <c r="F37955" s="4" t="s">
        <v>11</v>
      </c>
    </row>
    <row r="37956" spans="1:9">
      <c r="A37956" t="n">
        <v>373596</v>
      </c>
      <c r="B37956" s="56" t="n">
        <v>59</v>
      </c>
      <c r="C37956" s="7" t="n">
        <v>8</v>
      </c>
      <c r="D37956" s="7" t="n">
        <v>9</v>
      </c>
      <c r="E37956" s="7" t="n">
        <v>0.150000005960464</v>
      </c>
      <c r="F37956" s="7" t="n">
        <v>0</v>
      </c>
    </row>
    <row r="37957" spans="1:9">
      <c r="A37957" t="s">
        <v>4</v>
      </c>
      <c r="B37957" s="4" t="s">
        <v>5</v>
      </c>
      <c r="C37957" s="4" t="s">
        <v>11</v>
      </c>
      <c r="D37957" s="4" t="s">
        <v>13</v>
      </c>
      <c r="E37957" s="4" t="s">
        <v>13</v>
      </c>
      <c r="F37957" s="4" t="s">
        <v>13</v>
      </c>
      <c r="G37957" s="4" t="s">
        <v>11</v>
      </c>
      <c r="H37957" s="4" t="s">
        <v>11</v>
      </c>
    </row>
    <row r="37958" spans="1:9">
      <c r="A37958" t="n">
        <v>373606</v>
      </c>
      <c r="B37958" s="37" t="n">
        <v>60</v>
      </c>
      <c r="C37958" s="7" t="n">
        <v>8</v>
      </c>
      <c r="D37958" s="7" t="n">
        <v>-45</v>
      </c>
      <c r="E37958" s="7" t="n">
        <v>0</v>
      </c>
      <c r="F37958" s="7" t="n">
        <v>0</v>
      </c>
      <c r="G37958" s="7" t="n">
        <v>1000</v>
      </c>
      <c r="H37958" s="7" t="n">
        <v>0</v>
      </c>
    </row>
    <row r="37959" spans="1:9">
      <c r="A37959" t="s">
        <v>4</v>
      </c>
      <c r="B37959" s="4" t="s">
        <v>5</v>
      </c>
      <c r="C37959" s="4" t="s">
        <v>11</v>
      </c>
    </row>
    <row r="37960" spans="1:9">
      <c r="A37960" t="n">
        <v>373625</v>
      </c>
      <c r="B37960" s="29" t="n">
        <v>16</v>
      </c>
      <c r="C37960" s="7" t="n">
        <v>1000</v>
      </c>
    </row>
    <row r="37961" spans="1:9">
      <c r="A37961" t="s">
        <v>4</v>
      </c>
      <c r="B37961" s="4" t="s">
        <v>5</v>
      </c>
      <c r="C37961" s="4" t="s">
        <v>11</v>
      </c>
      <c r="D37961" s="4" t="s">
        <v>13</v>
      </c>
      <c r="E37961" s="4" t="s">
        <v>13</v>
      </c>
      <c r="F37961" s="4" t="s">
        <v>13</v>
      </c>
      <c r="G37961" s="4" t="s">
        <v>11</v>
      </c>
      <c r="H37961" s="4" t="s">
        <v>11</v>
      </c>
    </row>
    <row r="37962" spans="1:9">
      <c r="A37962" t="n">
        <v>373628</v>
      </c>
      <c r="B37962" s="37" t="n">
        <v>60</v>
      </c>
      <c r="C37962" s="7" t="n">
        <v>8</v>
      </c>
      <c r="D37962" s="7" t="n">
        <v>45</v>
      </c>
      <c r="E37962" s="7" t="n">
        <v>0</v>
      </c>
      <c r="F37962" s="7" t="n">
        <v>0</v>
      </c>
      <c r="G37962" s="7" t="n">
        <v>1000</v>
      </c>
      <c r="H37962" s="7" t="n">
        <v>0</v>
      </c>
    </row>
    <row r="37963" spans="1:9">
      <c r="A37963" t="s">
        <v>4</v>
      </c>
      <c r="B37963" s="4" t="s">
        <v>5</v>
      </c>
      <c r="C37963" s="4" t="s">
        <v>11</v>
      </c>
    </row>
    <row r="37964" spans="1:9">
      <c r="A37964" t="n">
        <v>373647</v>
      </c>
      <c r="B37964" s="29" t="n">
        <v>16</v>
      </c>
      <c r="C37964" s="7" t="n">
        <v>1000</v>
      </c>
    </row>
    <row r="37965" spans="1:9">
      <c r="A37965" t="s">
        <v>4</v>
      </c>
      <c r="B37965" s="4" t="s">
        <v>5</v>
      </c>
      <c r="C37965" s="4" t="s">
        <v>11</v>
      </c>
      <c r="D37965" s="4" t="s">
        <v>13</v>
      </c>
      <c r="E37965" s="4" t="s">
        <v>13</v>
      </c>
      <c r="F37965" s="4" t="s">
        <v>13</v>
      </c>
      <c r="G37965" s="4" t="s">
        <v>11</v>
      </c>
      <c r="H37965" s="4" t="s">
        <v>11</v>
      </c>
    </row>
    <row r="37966" spans="1:9">
      <c r="A37966" t="n">
        <v>373650</v>
      </c>
      <c r="B37966" s="37" t="n">
        <v>60</v>
      </c>
      <c r="C37966" s="7" t="n">
        <v>8</v>
      </c>
      <c r="D37966" s="7" t="n">
        <v>0</v>
      </c>
      <c r="E37966" s="7" t="n">
        <v>0</v>
      </c>
      <c r="F37966" s="7" t="n">
        <v>0</v>
      </c>
      <c r="G37966" s="7" t="n">
        <v>500</v>
      </c>
      <c r="H37966" s="7" t="n">
        <v>0</v>
      </c>
    </row>
    <row r="37967" spans="1:9">
      <c r="A37967" t="s">
        <v>4</v>
      </c>
      <c r="B37967" s="4" t="s">
        <v>5</v>
      </c>
      <c r="C37967" s="4" t="s">
        <v>11</v>
      </c>
    </row>
    <row r="37968" spans="1:9">
      <c r="A37968" t="n">
        <v>373669</v>
      </c>
      <c r="B37968" s="29" t="n">
        <v>16</v>
      </c>
      <c r="C37968" s="7" t="n">
        <v>1000</v>
      </c>
    </row>
    <row r="37969" spans="1:8">
      <c r="A37969" t="s">
        <v>4</v>
      </c>
      <c r="B37969" s="4" t="s">
        <v>5</v>
      </c>
      <c r="C37969" s="4" t="s">
        <v>7</v>
      </c>
      <c r="D37969" s="4" t="s">
        <v>11</v>
      </c>
    </row>
    <row r="37970" spans="1:8">
      <c r="A37970" t="n">
        <v>373672</v>
      </c>
      <c r="B37970" s="51" t="n">
        <v>45</v>
      </c>
      <c r="C37970" s="7" t="n">
        <v>7</v>
      </c>
      <c r="D37970" s="7" t="n">
        <v>255</v>
      </c>
    </row>
    <row r="37971" spans="1:8">
      <c r="A37971" t="s">
        <v>4</v>
      </c>
      <c r="B37971" s="4" t="s">
        <v>5</v>
      </c>
      <c r="C37971" s="4" t="s">
        <v>7</v>
      </c>
      <c r="D37971" s="4" t="s">
        <v>11</v>
      </c>
      <c r="E37971" s="4" t="s">
        <v>13</v>
      </c>
    </row>
    <row r="37972" spans="1:8">
      <c r="A37972" t="n">
        <v>373676</v>
      </c>
      <c r="B37972" s="23" t="n">
        <v>58</v>
      </c>
      <c r="C37972" s="7" t="n">
        <v>0</v>
      </c>
      <c r="D37972" s="7" t="n">
        <v>1000</v>
      </c>
      <c r="E37972" s="7" t="n">
        <v>1</v>
      </c>
    </row>
    <row r="37973" spans="1:8">
      <c r="A37973" t="s">
        <v>4</v>
      </c>
      <c r="B37973" s="4" t="s">
        <v>5</v>
      </c>
      <c r="C37973" s="4" t="s">
        <v>7</v>
      </c>
      <c r="D37973" s="4" t="s">
        <v>11</v>
      </c>
    </row>
    <row r="37974" spans="1:8">
      <c r="A37974" t="n">
        <v>373684</v>
      </c>
      <c r="B37974" s="23" t="n">
        <v>58</v>
      </c>
      <c r="C37974" s="7" t="n">
        <v>255</v>
      </c>
      <c r="D37974" s="7" t="n">
        <v>0</v>
      </c>
    </row>
    <row r="37975" spans="1:8">
      <c r="A37975" t="s">
        <v>4</v>
      </c>
      <c r="B37975" s="4" t="s">
        <v>5</v>
      </c>
      <c r="C37975" s="4" t="s">
        <v>8</v>
      </c>
      <c r="D37975" s="4" t="s">
        <v>8</v>
      </c>
    </row>
    <row r="37976" spans="1:8">
      <c r="A37976" t="n">
        <v>373688</v>
      </c>
      <c r="B37976" s="52" t="n">
        <v>70</v>
      </c>
      <c r="C37976" s="7" t="s">
        <v>1139</v>
      </c>
      <c r="D37976" s="7" t="s">
        <v>118</v>
      </c>
    </row>
    <row r="37977" spans="1:8">
      <c r="A37977" t="s">
        <v>4</v>
      </c>
      <c r="B37977" s="4" t="s">
        <v>5</v>
      </c>
      <c r="C37977" s="4" t="s">
        <v>11</v>
      </c>
      <c r="D37977" s="4" t="s">
        <v>11</v>
      </c>
      <c r="E37977" s="4" t="s">
        <v>11</v>
      </c>
    </row>
    <row r="37978" spans="1:8">
      <c r="A37978" t="n">
        <v>373704</v>
      </c>
      <c r="B37978" s="72" t="n">
        <v>61</v>
      </c>
      <c r="C37978" s="7" t="n">
        <v>0</v>
      </c>
      <c r="D37978" s="7" t="n">
        <v>65533</v>
      </c>
      <c r="E37978" s="7" t="n">
        <v>1000</v>
      </c>
    </row>
    <row r="37979" spans="1:8">
      <c r="A37979" t="s">
        <v>4</v>
      </c>
      <c r="B37979" s="4" t="s">
        <v>5</v>
      </c>
      <c r="C37979" s="4" t="s">
        <v>11</v>
      </c>
      <c r="D37979" s="4" t="s">
        <v>11</v>
      </c>
      <c r="E37979" s="4" t="s">
        <v>11</v>
      </c>
    </row>
    <row r="37980" spans="1:8">
      <c r="A37980" t="n">
        <v>373711</v>
      </c>
      <c r="B37980" s="72" t="n">
        <v>61</v>
      </c>
      <c r="C37980" s="7" t="n">
        <v>8</v>
      </c>
      <c r="D37980" s="7" t="n">
        <v>65533</v>
      </c>
      <c r="E37980" s="7" t="n">
        <v>1000</v>
      </c>
    </row>
    <row r="37981" spans="1:8">
      <c r="A37981" t="s">
        <v>4</v>
      </c>
      <c r="B37981" s="4" t="s">
        <v>5</v>
      </c>
      <c r="C37981" s="4" t="s">
        <v>11</v>
      </c>
      <c r="D37981" s="4" t="s">
        <v>13</v>
      </c>
      <c r="E37981" s="4" t="s">
        <v>13</v>
      </c>
      <c r="F37981" s="4" t="s">
        <v>13</v>
      </c>
      <c r="G37981" s="4" t="s">
        <v>13</v>
      </c>
    </row>
    <row r="37982" spans="1:8">
      <c r="A37982" t="n">
        <v>373718</v>
      </c>
      <c r="B37982" s="36" t="n">
        <v>46</v>
      </c>
      <c r="C37982" s="7" t="n">
        <v>0</v>
      </c>
      <c r="D37982" s="7" t="n">
        <v>-2.66000008583069</v>
      </c>
      <c r="E37982" s="7" t="n">
        <v>5.01000022888184</v>
      </c>
      <c r="F37982" s="7" t="n">
        <v>32.189998626709</v>
      </c>
      <c r="G37982" s="7" t="n">
        <v>90</v>
      </c>
    </row>
    <row r="37983" spans="1:8">
      <c r="A37983" t="s">
        <v>4</v>
      </c>
      <c r="B37983" s="4" t="s">
        <v>5</v>
      </c>
      <c r="C37983" s="4" t="s">
        <v>11</v>
      </c>
      <c r="D37983" s="4" t="s">
        <v>13</v>
      </c>
      <c r="E37983" s="4" t="s">
        <v>13</v>
      </c>
      <c r="F37983" s="4" t="s">
        <v>13</v>
      </c>
      <c r="G37983" s="4" t="s">
        <v>13</v>
      </c>
    </row>
    <row r="37984" spans="1:8">
      <c r="A37984" t="n">
        <v>373737</v>
      </c>
      <c r="B37984" s="36" t="n">
        <v>46</v>
      </c>
      <c r="C37984" s="7" t="n">
        <v>8</v>
      </c>
      <c r="D37984" s="7" t="n">
        <v>-3.16000008583069</v>
      </c>
      <c r="E37984" s="7" t="n">
        <v>5.01000022888184</v>
      </c>
      <c r="F37984" s="7" t="n">
        <v>31.7900009155273</v>
      </c>
      <c r="G37984" s="7" t="n">
        <v>90</v>
      </c>
    </row>
    <row r="37985" spans="1:7">
      <c r="A37985" t="s">
        <v>4</v>
      </c>
      <c r="B37985" s="4" t="s">
        <v>5</v>
      </c>
      <c r="C37985" s="4" t="s">
        <v>7</v>
      </c>
      <c r="D37985" s="4" t="s">
        <v>7</v>
      </c>
      <c r="E37985" s="4" t="s">
        <v>13</v>
      </c>
      <c r="F37985" s="4" t="s">
        <v>13</v>
      </c>
      <c r="G37985" s="4" t="s">
        <v>13</v>
      </c>
      <c r="H37985" s="4" t="s">
        <v>11</v>
      </c>
    </row>
    <row r="37986" spans="1:7">
      <c r="A37986" t="n">
        <v>373756</v>
      </c>
      <c r="B37986" s="51" t="n">
        <v>45</v>
      </c>
      <c r="C37986" s="7" t="n">
        <v>2</v>
      </c>
      <c r="D37986" s="7" t="n">
        <v>3</v>
      </c>
      <c r="E37986" s="7" t="n">
        <v>6.82000017166138</v>
      </c>
      <c r="F37986" s="7" t="n">
        <v>6.17999982833862</v>
      </c>
      <c r="G37986" s="7" t="n">
        <v>32.2799987792969</v>
      </c>
      <c r="H37986" s="7" t="n">
        <v>0</v>
      </c>
    </row>
    <row r="37987" spans="1:7">
      <c r="A37987" t="s">
        <v>4</v>
      </c>
      <c r="B37987" s="4" t="s">
        <v>5</v>
      </c>
      <c r="C37987" s="4" t="s">
        <v>7</v>
      </c>
      <c r="D37987" s="4" t="s">
        <v>7</v>
      </c>
      <c r="E37987" s="4" t="s">
        <v>13</v>
      </c>
      <c r="F37987" s="4" t="s">
        <v>13</v>
      </c>
      <c r="G37987" s="4" t="s">
        <v>13</v>
      </c>
      <c r="H37987" s="4" t="s">
        <v>11</v>
      </c>
      <c r="I37987" s="4" t="s">
        <v>7</v>
      </c>
    </row>
    <row r="37988" spans="1:7">
      <c r="A37988" t="n">
        <v>373773</v>
      </c>
      <c r="B37988" s="51" t="n">
        <v>45</v>
      </c>
      <c r="C37988" s="7" t="n">
        <v>4</v>
      </c>
      <c r="D37988" s="7" t="n">
        <v>3</v>
      </c>
      <c r="E37988" s="7" t="n">
        <v>358.239990234375</v>
      </c>
      <c r="F37988" s="7" t="n">
        <v>344.200012207031</v>
      </c>
      <c r="G37988" s="7" t="n">
        <v>0</v>
      </c>
      <c r="H37988" s="7" t="n">
        <v>0</v>
      </c>
      <c r="I37988" s="7" t="n">
        <v>0</v>
      </c>
    </row>
    <row r="37989" spans="1:7">
      <c r="A37989" t="s">
        <v>4</v>
      </c>
      <c r="B37989" s="4" t="s">
        <v>5</v>
      </c>
      <c r="C37989" s="4" t="s">
        <v>7</v>
      </c>
      <c r="D37989" s="4" t="s">
        <v>7</v>
      </c>
      <c r="E37989" s="4" t="s">
        <v>13</v>
      </c>
      <c r="F37989" s="4" t="s">
        <v>11</v>
      </c>
    </row>
    <row r="37990" spans="1:7">
      <c r="A37990" t="n">
        <v>373791</v>
      </c>
      <c r="B37990" s="51" t="n">
        <v>45</v>
      </c>
      <c r="C37990" s="7" t="n">
        <v>5</v>
      </c>
      <c r="D37990" s="7" t="n">
        <v>3</v>
      </c>
      <c r="E37990" s="7" t="n">
        <v>3.40000009536743</v>
      </c>
      <c r="F37990" s="7" t="n">
        <v>0</v>
      </c>
    </row>
    <row r="37991" spans="1:7">
      <c r="A37991" t="s">
        <v>4</v>
      </c>
      <c r="B37991" s="4" t="s">
        <v>5</v>
      </c>
      <c r="C37991" s="4" t="s">
        <v>7</v>
      </c>
      <c r="D37991" s="4" t="s">
        <v>7</v>
      </c>
      <c r="E37991" s="4" t="s">
        <v>13</v>
      </c>
      <c r="F37991" s="4" t="s">
        <v>11</v>
      </c>
    </row>
    <row r="37992" spans="1:7">
      <c r="A37992" t="n">
        <v>373800</v>
      </c>
      <c r="B37992" s="51" t="n">
        <v>45</v>
      </c>
      <c r="C37992" s="7" t="n">
        <v>11</v>
      </c>
      <c r="D37992" s="7" t="n">
        <v>3</v>
      </c>
      <c r="E37992" s="7" t="n">
        <v>40.2999992370605</v>
      </c>
      <c r="F37992" s="7" t="n">
        <v>0</v>
      </c>
    </row>
    <row r="37993" spans="1:7">
      <c r="A37993" t="s">
        <v>4</v>
      </c>
      <c r="B37993" s="4" t="s">
        <v>5</v>
      </c>
      <c r="C37993" s="4" t="s">
        <v>7</v>
      </c>
      <c r="D37993" s="4" t="s">
        <v>7</v>
      </c>
      <c r="E37993" s="4" t="s">
        <v>13</v>
      </c>
      <c r="F37993" s="4" t="s">
        <v>13</v>
      </c>
      <c r="G37993" s="4" t="s">
        <v>13</v>
      </c>
      <c r="H37993" s="4" t="s">
        <v>11</v>
      </c>
    </row>
    <row r="37994" spans="1:7">
      <c r="A37994" t="n">
        <v>373809</v>
      </c>
      <c r="B37994" s="51" t="n">
        <v>45</v>
      </c>
      <c r="C37994" s="7" t="n">
        <v>2</v>
      </c>
      <c r="D37994" s="7" t="n">
        <v>3</v>
      </c>
      <c r="E37994" s="7" t="n">
        <v>-2.55999994277954</v>
      </c>
      <c r="F37994" s="7" t="n">
        <v>6.17999982833862</v>
      </c>
      <c r="G37994" s="7" t="n">
        <v>32.1800003051758</v>
      </c>
      <c r="H37994" s="7" t="n">
        <v>6000</v>
      </c>
    </row>
    <row r="37995" spans="1:7">
      <c r="A37995" t="s">
        <v>4</v>
      </c>
      <c r="B37995" s="4" t="s">
        <v>5</v>
      </c>
      <c r="C37995" s="4" t="s">
        <v>7</v>
      </c>
      <c r="D37995" s="4" t="s">
        <v>7</v>
      </c>
      <c r="E37995" s="4" t="s">
        <v>13</v>
      </c>
      <c r="F37995" s="4" t="s">
        <v>13</v>
      </c>
      <c r="G37995" s="4" t="s">
        <v>13</v>
      </c>
      <c r="H37995" s="4" t="s">
        <v>11</v>
      </c>
      <c r="I37995" s="4" t="s">
        <v>7</v>
      </c>
    </row>
    <row r="37996" spans="1:7">
      <c r="A37996" t="n">
        <v>373826</v>
      </c>
      <c r="B37996" s="51" t="n">
        <v>45</v>
      </c>
      <c r="C37996" s="7" t="n">
        <v>4</v>
      </c>
      <c r="D37996" s="7" t="n">
        <v>3</v>
      </c>
      <c r="E37996" s="7" t="n">
        <v>12.2700004577637</v>
      </c>
      <c r="F37996" s="7" t="n">
        <v>75.7099990844727</v>
      </c>
      <c r="G37996" s="7" t="n">
        <v>0</v>
      </c>
      <c r="H37996" s="7" t="n">
        <v>6000</v>
      </c>
      <c r="I37996" s="7" t="n">
        <v>1</v>
      </c>
    </row>
    <row r="37997" spans="1:7">
      <c r="A37997" t="s">
        <v>4</v>
      </c>
      <c r="B37997" s="4" t="s">
        <v>5</v>
      </c>
      <c r="C37997" s="4" t="s">
        <v>7</v>
      </c>
      <c r="D37997" s="4" t="s">
        <v>7</v>
      </c>
      <c r="E37997" s="4" t="s">
        <v>13</v>
      </c>
      <c r="F37997" s="4" t="s">
        <v>11</v>
      </c>
    </row>
    <row r="37998" spans="1:7">
      <c r="A37998" t="n">
        <v>373844</v>
      </c>
      <c r="B37998" s="51" t="n">
        <v>45</v>
      </c>
      <c r="C37998" s="7" t="n">
        <v>5</v>
      </c>
      <c r="D37998" s="7" t="n">
        <v>3</v>
      </c>
      <c r="E37998" s="7" t="n">
        <v>2.70000004768372</v>
      </c>
      <c r="F37998" s="7" t="n">
        <v>6000</v>
      </c>
    </row>
    <row r="37999" spans="1:7">
      <c r="A37999" t="s">
        <v>4</v>
      </c>
      <c r="B37999" s="4" t="s">
        <v>5</v>
      </c>
      <c r="C37999" s="4" t="s">
        <v>7</v>
      </c>
      <c r="D37999" s="4" t="s">
        <v>11</v>
      </c>
      <c r="E37999" s="4" t="s">
        <v>13</v>
      </c>
    </row>
    <row r="38000" spans="1:7">
      <c r="A38000" t="n">
        <v>373853</v>
      </c>
      <c r="B38000" s="23" t="n">
        <v>58</v>
      </c>
      <c r="C38000" s="7" t="n">
        <v>100</v>
      </c>
      <c r="D38000" s="7" t="n">
        <v>1000</v>
      </c>
      <c r="E38000" s="7" t="n">
        <v>1</v>
      </c>
    </row>
    <row r="38001" spans="1:9">
      <c r="A38001" t="s">
        <v>4</v>
      </c>
      <c r="B38001" s="4" t="s">
        <v>5</v>
      </c>
      <c r="C38001" s="4" t="s">
        <v>7</v>
      </c>
      <c r="D38001" s="4" t="s">
        <v>11</v>
      </c>
    </row>
    <row r="38002" spans="1:9">
      <c r="A38002" t="n">
        <v>373861</v>
      </c>
      <c r="B38002" s="23" t="n">
        <v>58</v>
      </c>
      <c r="C38002" s="7" t="n">
        <v>255</v>
      </c>
      <c r="D38002" s="7" t="n">
        <v>0</v>
      </c>
    </row>
    <row r="38003" spans="1:9">
      <c r="A38003" t="s">
        <v>4</v>
      </c>
      <c r="B38003" s="4" t="s">
        <v>5</v>
      </c>
      <c r="C38003" s="4" t="s">
        <v>8</v>
      </c>
      <c r="D38003" s="4" t="s">
        <v>8</v>
      </c>
    </row>
    <row r="38004" spans="1:9">
      <c r="A38004" t="n">
        <v>373865</v>
      </c>
      <c r="B38004" s="52" t="n">
        <v>70</v>
      </c>
      <c r="C38004" s="7" t="s">
        <v>24</v>
      </c>
      <c r="D38004" s="7" t="s">
        <v>109</v>
      </c>
    </row>
    <row r="38005" spans="1:9">
      <c r="A38005" t="s">
        <v>4</v>
      </c>
      <c r="B38005" s="4" t="s">
        <v>5</v>
      </c>
      <c r="C38005" s="4" t="s">
        <v>11</v>
      </c>
    </row>
    <row r="38006" spans="1:9">
      <c r="A38006" t="n">
        <v>373882</v>
      </c>
      <c r="B38006" s="29" t="n">
        <v>16</v>
      </c>
      <c r="C38006" s="7" t="n">
        <v>4000</v>
      </c>
    </row>
    <row r="38007" spans="1:9">
      <c r="A38007" t="s">
        <v>4</v>
      </c>
      <c r="B38007" s="4" t="s">
        <v>5</v>
      </c>
      <c r="C38007" s="4" t="s">
        <v>11</v>
      </c>
      <c r="D38007" s="4" t="s">
        <v>7</v>
      </c>
      <c r="E38007" s="4" t="s">
        <v>13</v>
      </c>
      <c r="F38007" s="4" t="s">
        <v>11</v>
      </c>
    </row>
    <row r="38008" spans="1:9">
      <c r="A38008" t="n">
        <v>373885</v>
      </c>
      <c r="B38008" s="56" t="n">
        <v>59</v>
      </c>
      <c r="C38008" s="7" t="n">
        <v>0</v>
      </c>
      <c r="D38008" s="7" t="n">
        <v>9</v>
      </c>
      <c r="E38008" s="7" t="n">
        <v>0.150000005960464</v>
      </c>
      <c r="F38008" s="7" t="n">
        <v>0</v>
      </c>
    </row>
    <row r="38009" spans="1:9">
      <c r="A38009" t="s">
        <v>4</v>
      </c>
      <c r="B38009" s="4" t="s">
        <v>5</v>
      </c>
      <c r="C38009" s="4" t="s">
        <v>11</v>
      </c>
    </row>
    <row r="38010" spans="1:9">
      <c r="A38010" t="n">
        <v>373895</v>
      </c>
      <c r="B38010" s="29" t="n">
        <v>16</v>
      </c>
      <c r="C38010" s="7" t="n">
        <v>1800</v>
      </c>
    </row>
    <row r="38011" spans="1:9">
      <c r="A38011" t="s">
        <v>4</v>
      </c>
      <c r="B38011" s="4" t="s">
        <v>5</v>
      </c>
      <c r="C38011" s="4" t="s">
        <v>7</v>
      </c>
      <c r="D38011" s="4" t="s">
        <v>11</v>
      </c>
    </row>
    <row r="38012" spans="1:9">
      <c r="A38012" t="n">
        <v>373898</v>
      </c>
      <c r="B38012" s="51" t="n">
        <v>45</v>
      </c>
      <c r="C38012" s="7" t="n">
        <v>7</v>
      </c>
      <c r="D38012" s="7" t="n">
        <v>255</v>
      </c>
    </row>
    <row r="38013" spans="1:9">
      <c r="A38013" t="s">
        <v>4</v>
      </c>
      <c r="B38013" s="4" t="s">
        <v>5</v>
      </c>
      <c r="C38013" s="4" t="s">
        <v>7</v>
      </c>
      <c r="D38013" s="4" t="s">
        <v>11</v>
      </c>
      <c r="E38013" s="4" t="s">
        <v>13</v>
      </c>
    </row>
    <row r="38014" spans="1:9">
      <c r="A38014" t="n">
        <v>373902</v>
      </c>
      <c r="B38014" s="23" t="n">
        <v>58</v>
      </c>
      <c r="C38014" s="7" t="n">
        <v>0</v>
      </c>
      <c r="D38014" s="7" t="n">
        <v>1000</v>
      </c>
      <c r="E38014" s="7" t="n">
        <v>1</v>
      </c>
    </row>
    <row r="38015" spans="1:9">
      <c r="A38015" t="s">
        <v>4</v>
      </c>
      <c r="B38015" s="4" t="s">
        <v>5</v>
      </c>
      <c r="C38015" s="4" t="s">
        <v>7</v>
      </c>
      <c r="D38015" s="4" t="s">
        <v>11</v>
      </c>
    </row>
    <row r="38016" spans="1:9">
      <c r="A38016" t="n">
        <v>373910</v>
      </c>
      <c r="B38016" s="23" t="n">
        <v>58</v>
      </c>
      <c r="C38016" s="7" t="n">
        <v>255</v>
      </c>
      <c r="D38016" s="7" t="n">
        <v>0</v>
      </c>
    </row>
    <row r="38017" spans="1:6">
      <c r="A38017" t="s">
        <v>4</v>
      </c>
      <c r="B38017" s="4" t="s">
        <v>5</v>
      </c>
      <c r="C38017" s="4" t="s">
        <v>8</v>
      </c>
      <c r="D38017" s="4" t="s">
        <v>8</v>
      </c>
    </row>
    <row r="38018" spans="1:6">
      <c r="A38018" t="n">
        <v>373914</v>
      </c>
      <c r="B38018" s="52" t="n">
        <v>70</v>
      </c>
      <c r="C38018" s="7" t="s">
        <v>24</v>
      </c>
      <c r="D38018" s="7" t="s">
        <v>118</v>
      </c>
    </row>
    <row r="38019" spans="1:6">
      <c r="A38019" t="s">
        <v>4</v>
      </c>
      <c r="B38019" s="4" t="s">
        <v>5</v>
      </c>
      <c r="C38019" s="4" t="s">
        <v>11</v>
      </c>
      <c r="D38019" s="4" t="s">
        <v>13</v>
      </c>
      <c r="E38019" s="4" t="s">
        <v>13</v>
      </c>
      <c r="F38019" s="4" t="s">
        <v>13</v>
      </c>
      <c r="G38019" s="4" t="s">
        <v>13</v>
      </c>
    </row>
    <row r="38020" spans="1:6">
      <c r="A38020" t="n">
        <v>373930</v>
      </c>
      <c r="B38020" s="36" t="n">
        <v>46</v>
      </c>
      <c r="C38020" s="7" t="n">
        <v>0</v>
      </c>
      <c r="D38020" s="7" t="n">
        <v>-10.9899997711182</v>
      </c>
      <c r="E38020" s="7" t="n">
        <v>5.01000022888184</v>
      </c>
      <c r="F38020" s="7" t="n">
        <v>32.4300003051758</v>
      </c>
      <c r="G38020" s="7" t="n">
        <v>270</v>
      </c>
    </row>
    <row r="38021" spans="1:6">
      <c r="A38021" t="s">
        <v>4</v>
      </c>
      <c r="B38021" s="4" t="s">
        <v>5</v>
      </c>
      <c r="C38021" s="4" t="s">
        <v>11</v>
      </c>
      <c r="D38021" s="4" t="s">
        <v>13</v>
      </c>
      <c r="E38021" s="4" t="s">
        <v>13</v>
      </c>
      <c r="F38021" s="4" t="s">
        <v>13</v>
      </c>
      <c r="G38021" s="4" t="s">
        <v>13</v>
      </c>
    </row>
    <row r="38022" spans="1:6">
      <c r="A38022" t="n">
        <v>373949</v>
      </c>
      <c r="B38022" s="36" t="n">
        <v>46</v>
      </c>
      <c r="C38022" s="7" t="n">
        <v>8</v>
      </c>
      <c r="D38022" s="7" t="n">
        <v>-10.5500001907349</v>
      </c>
      <c r="E38022" s="7" t="n">
        <v>5.01000022888184</v>
      </c>
      <c r="F38022" s="7" t="n">
        <v>31.5499992370605</v>
      </c>
      <c r="G38022" s="7" t="n">
        <v>270</v>
      </c>
    </row>
    <row r="38023" spans="1:6">
      <c r="A38023" t="s">
        <v>4</v>
      </c>
      <c r="B38023" s="4" t="s">
        <v>5</v>
      </c>
      <c r="C38023" s="4" t="s">
        <v>7</v>
      </c>
      <c r="D38023" s="4" t="s">
        <v>7</v>
      </c>
      <c r="E38023" s="4" t="s">
        <v>13</v>
      </c>
      <c r="F38023" s="4" t="s">
        <v>13</v>
      </c>
      <c r="G38023" s="4" t="s">
        <v>13</v>
      </c>
      <c r="H38023" s="4" t="s">
        <v>11</v>
      </c>
    </row>
    <row r="38024" spans="1:6">
      <c r="A38024" t="n">
        <v>373968</v>
      </c>
      <c r="B38024" s="51" t="n">
        <v>45</v>
      </c>
      <c r="C38024" s="7" t="n">
        <v>2</v>
      </c>
      <c r="D38024" s="7" t="n">
        <v>3</v>
      </c>
      <c r="E38024" s="7" t="n">
        <v>-14.1199998855591</v>
      </c>
      <c r="F38024" s="7" t="n">
        <v>6.75</v>
      </c>
      <c r="G38024" s="7" t="n">
        <v>31.9300003051758</v>
      </c>
      <c r="H38024" s="7" t="n">
        <v>0</v>
      </c>
    </row>
    <row r="38025" spans="1:6">
      <c r="A38025" t="s">
        <v>4</v>
      </c>
      <c r="B38025" s="4" t="s">
        <v>5</v>
      </c>
      <c r="C38025" s="4" t="s">
        <v>7</v>
      </c>
      <c r="D38025" s="4" t="s">
        <v>7</v>
      </c>
      <c r="E38025" s="4" t="s">
        <v>13</v>
      </c>
      <c r="F38025" s="4" t="s">
        <v>13</v>
      </c>
      <c r="G38025" s="4" t="s">
        <v>13</v>
      </c>
      <c r="H38025" s="4" t="s">
        <v>11</v>
      </c>
      <c r="I38025" s="4" t="s">
        <v>7</v>
      </c>
    </row>
    <row r="38026" spans="1:6">
      <c r="A38026" t="n">
        <v>373985</v>
      </c>
      <c r="B38026" s="51" t="n">
        <v>45</v>
      </c>
      <c r="C38026" s="7" t="n">
        <v>4</v>
      </c>
      <c r="D38026" s="7" t="n">
        <v>3</v>
      </c>
      <c r="E38026" s="7" t="n">
        <v>7.63000011444092</v>
      </c>
      <c r="F38026" s="7" t="n">
        <v>90</v>
      </c>
      <c r="G38026" s="7" t="n">
        <v>0</v>
      </c>
      <c r="H38026" s="7" t="n">
        <v>0</v>
      </c>
      <c r="I38026" s="7" t="n">
        <v>0</v>
      </c>
    </row>
    <row r="38027" spans="1:6">
      <c r="A38027" t="s">
        <v>4</v>
      </c>
      <c r="B38027" s="4" t="s">
        <v>5</v>
      </c>
      <c r="C38027" s="4" t="s">
        <v>7</v>
      </c>
      <c r="D38027" s="4" t="s">
        <v>7</v>
      </c>
      <c r="E38027" s="4" t="s">
        <v>13</v>
      </c>
      <c r="F38027" s="4" t="s">
        <v>11</v>
      </c>
    </row>
    <row r="38028" spans="1:6">
      <c r="A38028" t="n">
        <v>374003</v>
      </c>
      <c r="B38028" s="51" t="n">
        <v>45</v>
      </c>
      <c r="C38028" s="7" t="n">
        <v>5</v>
      </c>
      <c r="D38028" s="7" t="n">
        <v>3</v>
      </c>
      <c r="E38028" s="7" t="n">
        <v>2.09999990463257</v>
      </c>
      <c r="F38028" s="7" t="n">
        <v>0</v>
      </c>
    </row>
    <row r="38029" spans="1:6">
      <c r="A38029" t="s">
        <v>4</v>
      </c>
      <c r="B38029" s="4" t="s">
        <v>5</v>
      </c>
      <c r="C38029" s="4" t="s">
        <v>7</v>
      </c>
      <c r="D38029" s="4" t="s">
        <v>7</v>
      </c>
      <c r="E38029" s="4" t="s">
        <v>13</v>
      </c>
      <c r="F38029" s="4" t="s">
        <v>11</v>
      </c>
    </row>
    <row r="38030" spans="1:6">
      <c r="A38030" t="n">
        <v>374012</v>
      </c>
      <c r="B38030" s="51" t="n">
        <v>45</v>
      </c>
      <c r="C38030" s="7" t="n">
        <v>11</v>
      </c>
      <c r="D38030" s="7" t="n">
        <v>3</v>
      </c>
      <c r="E38030" s="7" t="n">
        <v>40.2999992370605</v>
      </c>
      <c r="F38030" s="7" t="n">
        <v>0</v>
      </c>
    </row>
    <row r="38031" spans="1:6">
      <c r="A38031" t="s">
        <v>4</v>
      </c>
      <c r="B38031" s="4" t="s">
        <v>5</v>
      </c>
      <c r="C38031" s="4" t="s">
        <v>7</v>
      </c>
      <c r="D38031" s="4" t="s">
        <v>7</v>
      </c>
      <c r="E38031" s="4" t="s">
        <v>13</v>
      </c>
      <c r="F38031" s="4" t="s">
        <v>13</v>
      </c>
      <c r="G38031" s="4" t="s">
        <v>13</v>
      </c>
      <c r="H38031" s="4" t="s">
        <v>11</v>
      </c>
    </row>
    <row r="38032" spans="1:6">
      <c r="A38032" t="n">
        <v>374021</v>
      </c>
      <c r="B38032" s="51" t="n">
        <v>45</v>
      </c>
      <c r="C38032" s="7" t="n">
        <v>2</v>
      </c>
      <c r="D38032" s="7" t="n">
        <v>3</v>
      </c>
      <c r="E38032" s="7" t="n">
        <v>-9.10000038146973</v>
      </c>
      <c r="F38032" s="7" t="n">
        <v>6.75</v>
      </c>
      <c r="G38032" s="7" t="n">
        <v>31.9699993133545</v>
      </c>
      <c r="H38032" s="7" t="n">
        <v>6000</v>
      </c>
    </row>
    <row r="38033" spans="1:9">
      <c r="A38033" t="s">
        <v>4</v>
      </c>
      <c r="B38033" s="4" t="s">
        <v>5</v>
      </c>
      <c r="C38033" s="4" t="s">
        <v>7</v>
      </c>
      <c r="D38033" s="4" t="s">
        <v>7</v>
      </c>
      <c r="E38033" s="4" t="s">
        <v>13</v>
      </c>
      <c r="F38033" s="4" t="s">
        <v>13</v>
      </c>
      <c r="G38033" s="4" t="s">
        <v>13</v>
      </c>
      <c r="H38033" s="4" t="s">
        <v>11</v>
      </c>
      <c r="I38033" s="4" t="s">
        <v>7</v>
      </c>
    </row>
    <row r="38034" spans="1:9">
      <c r="A38034" t="n">
        <v>374038</v>
      </c>
      <c r="B38034" s="51" t="n">
        <v>45</v>
      </c>
      <c r="C38034" s="7" t="n">
        <v>4</v>
      </c>
      <c r="D38034" s="7" t="n">
        <v>3</v>
      </c>
      <c r="E38034" s="7" t="n">
        <v>0.0299999993294477</v>
      </c>
      <c r="F38034" s="7" t="n">
        <v>90</v>
      </c>
      <c r="G38034" s="7" t="n">
        <v>0</v>
      </c>
      <c r="H38034" s="7" t="n">
        <v>6000</v>
      </c>
      <c r="I38034" s="7" t="n">
        <v>0</v>
      </c>
    </row>
    <row r="38035" spans="1:9">
      <c r="A38035" t="s">
        <v>4</v>
      </c>
      <c r="B38035" s="4" t="s">
        <v>5</v>
      </c>
      <c r="C38035" s="4" t="s">
        <v>7</v>
      </c>
      <c r="D38035" s="4" t="s">
        <v>7</v>
      </c>
      <c r="E38035" s="4" t="s">
        <v>13</v>
      </c>
      <c r="F38035" s="4" t="s">
        <v>11</v>
      </c>
    </row>
    <row r="38036" spans="1:9">
      <c r="A38036" t="n">
        <v>374056</v>
      </c>
      <c r="B38036" s="51" t="n">
        <v>45</v>
      </c>
      <c r="C38036" s="7" t="n">
        <v>5</v>
      </c>
      <c r="D38036" s="7" t="n">
        <v>3</v>
      </c>
      <c r="E38036" s="7" t="n">
        <v>1.79999995231628</v>
      </c>
      <c r="F38036" s="7" t="n">
        <v>6000</v>
      </c>
    </row>
    <row r="38037" spans="1:9">
      <c r="A38037" t="s">
        <v>4</v>
      </c>
      <c r="B38037" s="4" t="s">
        <v>5</v>
      </c>
      <c r="C38037" s="4" t="s">
        <v>8</v>
      </c>
      <c r="D38037" s="4" t="s">
        <v>8</v>
      </c>
    </row>
    <row r="38038" spans="1:9">
      <c r="A38038" t="n">
        <v>374065</v>
      </c>
      <c r="B38038" s="52" t="n">
        <v>70</v>
      </c>
      <c r="C38038" s="7" t="s">
        <v>25</v>
      </c>
      <c r="D38038" s="7" t="s">
        <v>109</v>
      </c>
    </row>
    <row r="38039" spans="1:9">
      <c r="A38039" t="s">
        <v>4</v>
      </c>
      <c r="B38039" s="4" t="s">
        <v>5</v>
      </c>
      <c r="C38039" s="4" t="s">
        <v>7</v>
      </c>
      <c r="D38039" s="4" t="s">
        <v>11</v>
      </c>
      <c r="E38039" s="4" t="s">
        <v>13</v>
      </c>
    </row>
    <row r="38040" spans="1:9">
      <c r="A38040" t="n">
        <v>374082</v>
      </c>
      <c r="B38040" s="23" t="n">
        <v>58</v>
      </c>
      <c r="C38040" s="7" t="n">
        <v>100</v>
      </c>
      <c r="D38040" s="7" t="n">
        <v>1000</v>
      </c>
      <c r="E38040" s="7" t="n">
        <v>1</v>
      </c>
    </row>
    <row r="38041" spans="1:9">
      <c r="A38041" t="s">
        <v>4</v>
      </c>
      <c r="B38041" s="4" t="s">
        <v>5</v>
      </c>
      <c r="C38041" s="4" t="s">
        <v>7</v>
      </c>
      <c r="D38041" s="4" t="s">
        <v>11</v>
      </c>
    </row>
    <row r="38042" spans="1:9">
      <c r="A38042" t="n">
        <v>374090</v>
      </c>
      <c r="B38042" s="23" t="n">
        <v>58</v>
      </c>
      <c r="C38042" s="7" t="n">
        <v>255</v>
      </c>
      <c r="D38042" s="7" t="n">
        <v>0</v>
      </c>
    </row>
    <row r="38043" spans="1:9">
      <c r="A38043" t="s">
        <v>4</v>
      </c>
      <c r="B38043" s="4" t="s">
        <v>5</v>
      </c>
      <c r="C38043" s="4" t="s">
        <v>7</v>
      </c>
      <c r="D38043" s="4" t="s">
        <v>8</v>
      </c>
      <c r="E38043" s="4" t="s">
        <v>11</v>
      </c>
    </row>
    <row r="38044" spans="1:9">
      <c r="A38044" t="n">
        <v>374094</v>
      </c>
      <c r="B38044" s="15" t="n">
        <v>94</v>
      </c>
      <c r="C38044" s="7" t="n">
        <v>1</v>
      </c>
      <c r="D38044" s="7" t="s">
        <v>25</v>
      </c>
      <c r="E38044" s="7" t="n">
        <v>512</v>
      </c>
    </row>
    <row r="38045" spans="1:9">
      <c r="A38045" t="s">
        <v>4</v>
      </c>
      <c r="B38045" s="4" t="s">
        <v>5</v>
      </c>
      <c r="C38045" s="4" t="s">
        <v>11</v>
      </c>
    </row>
    <row r="38046" spans="1:9">
      <c r="A38046" t="n">
        <v>374108</v>
      </c>
      <c r="B38046" s="29" t="n">
        <v>16</v>
      </c>
      <c r="C38046" s="7" t="n">
        <v>4000</v>
      </c>
    </row>
    <row r="38047" spans="1:9">
      <c r="A38047" t="s">
        <v>4</v>
      </c>
      <c r="B38047" s="4" t="s">
        <v>5</v>
      </c>
      <c r="C38047" s="4" t="s">
        <v>11</v>
      </c>
      <c r="D38047" s="4" t="s">
        <v>7</v>
      </c>
      <c r="E38047" s="4" t="s">
        <v>13</v>
      </c>
      <c r="F38047" s="4" t="s">
        <v>11</v>
      </c>
    </row>
    <row r="38048" spans="1:9">
      <c r="A38048" t="n">
        <v>374111</v>
      </c>
      <c r="B38048" s="56" t="n">
        <v>59</v>
      </c>
      <c r="C38048" s="7" t="n">
        <v>0</v>
      </c>
      <c r="D38048" s="7" t="n">
        <v>9</v>
      </c>
      <c r="E38048" s="7" t="n">
        <v>0.150000005960464</v>
      </c>
      <c r="F38048" s="7" t="n">
        <v>0</v>
      </c>
    </row>
    <row r="38049" spans="1:9">
      <c r="A38049" t="s">
        <v>4</v>
      </c>
      <c r="B38049" s="4" t="s">
        <v>5</v>
      </c>
      <c r="C38049" s="4" t="s">
        <v>11</v>
      </c>
      <c r="D38049" s="4" t="s">
        <v>7</v>
      </c>
      <c r="E38049" s="4" t="s">
        <v>13</v>
      </c>
      <c r="F38049" s="4" t="s">
        <v>11</v>
      </c>
    </row>
    <row r="38050" spans="1:9">
      <c r="A38050" t="n">
        <v>374121</v>
      </c>
      <c r="B38050" s="56" t="n">
        <v>59</v>
      </c>
      <c r="C38050" s="7" t="n">
        <v>8</v>
      </c>
      <c r="D38050" s="7" t="n">
        <v>9</v>
      </c>
      <c r="E38050" s="7" t="n">
        <v>0.150000005960464</v>
      </c>
      <c r="F38050" s="7" t="n">
        <v>0</v>
      </c>
    </row>
    <row r="38051" spans="1:9">
      <c r="A38051" t="s">
        <v>4</v>
      </c>
      <c r="B38051" s="4" t="s">
        <v>5</v>
      </c>
      <c r="C38051" s="4" t="s">
        <v>11</v>
      </c>
    </row>
    <row r="38052" spans="1:9">
      <c r="A38052" t="n">
        <v>374131</v>
      </c>
      <c r="B38052" s="29" t="n">
        <v>16</v>
      </c>
      <c r="C38052" s="7" t="n">
        <v>1500</v>
      </c>
    </row>
    <row r="38053" spans="1:9">
      <c r="A38053" t="s">
        <v>4</v>
      </c>
      <c r="B38053" s="4" t="s">
        <v>5</v>
      </c>
      <c r="C38053" s="4" t="s">
        <v>7</v>
      </c>
      <c r="D38053" s="4" t="s">
        <v>11</v>
      </c>
    </row>
    <row r="38054" spans="1:9">
      <c r="A38054" t="n">
        <v>374134</v>
      </c>
      <c r="B38054" s="51" t="n">
        <v>45</v>
      </c>
      <c r="C38054" s="7" t="n">
        <v>7</v>
      </c>
      <c r="D38054" s="7" t="n">
        <v>255</v>
      </c>
    </row>
    <row r="38055" spans="1:9">
      <c r="A38055" t="s">
        <v>4</v>
      </c>
      <c r="B38055" s="4" t="s">
        <v>5</v>
      </c>
      <c r="C38055" s="4" t="s">
        <v>7</v>
      </c>
      <c r="D38055" s="4" t="s">
        <v>11</v>
      </c>
      <c r="E38055" s="4" t="s">
        <v>13</v>
      </c>
    </row>
    <row r="38056" spans="1:9">
      <c r="A38056" t="n">
        <v>374138</v>
      </c>
      <c r="B38056" s="23" t="n">
        <v>58</v>
      </c>
      <c r="C38056" s="7" t="n">
        <v>0</v>
      </c>
      <c r="D38056" s="7" t="n">
        <v>2000</v>
      </c>
      <c r="E38056" s="7" t="n">
        <v>1</v>
      </c>
    </row>
    <row r="38057" spans="1:9">
      <c r="A38057" t="s">
        <v>4</v>
      </c>
      <c r="B38057" s="4" t="s">
        <v>5</v>
      </c>
      <c r="C38057" s="4" t="s">
        <v>7</v>
      </c>
      <c r="D38057" s="4" t="s">
        <v>11</v>
      </c>
    </row>
    <row r="38058" spans="1:9">
      <c r="A38058" t="n">
        <v>374146</v>
      </c>
      <c r="B38058" s="23" t="n">
        <v>58</v>
      </c>
      <c r="C38058" s="7" t="n">
        <v>255</v>
      </c>
      <c r="D38058" s="7" t="n">
        <v>0</v>
      </c>
    </row>
    <row r="38059" spans="1:9">
      <c r="A38059" t="s">
        <v>4</v>
      </c>
      <c r="B38059" s="4" t="s">
        <v>5</v>
      </c>
      <c r="C38059" s="4" t="s">
        <v>7</v>
      </c>
      <c r="D38059" s="4" t="s">
        <v>7</v>
      </c>
      <c r="E38059" s="4" t="s">
        <v>13</v>
      </c>
      <c r="F38059" s="4" t="s">
        <v>13</v>
      </c>
      <c r="G38059" s="4" t="s">
        <v>13</v>
      </c>
      <c r="H38059" s="4" t="s">
        <v>11</v>
      </c>
    </row>
    <row r="38060" spans="1:9">
      <c r="A38060" t="n">
        <v>374150</v>
      </c>
      <c r="B38060" s="51" t="n">
        <v>45</v>
      </c>
      <c r="C38060" s="7" t="n">
        <v>2</v>
      </c>
      <c r="D38060" s="7" t="n">
        <v>3</v>
      </c>
      <c r="E38060" s="7" t="n">
        <v>-7.84000015258789</v>
      </c>
      <c r="F38060" s="7" t="n">
        <v>7.17000007629395</v>
      </c>
      <c r="G38060" s="7" t="n">
        <v>31.6599998474121</v>
      </c>
      <c r="H38060" s="7" t="n">
        <v>0</v>
      </c>
    </row>
    <row r="38061" spans="1:9">
      <c r="A38061" t="s">
        <v>4</v>
      </c>
      <c r="B38061" s="4" t="s">
        <v>5</v>
      </c>
      <c r="C38061" s="4" t="s">
        <v>7</v>
      </c>
      <c r="D38061" s="4" t="s">
        <v>7</v>
      </c>
      <c r="E38061" s="4" t="s">
        <v>13</v>
      </c>
      <c r="F38061" s="4" t="s">
        <v>13</v>
      </c>
      <c r="G38061" s="4" t="s">
        <v>13</v>
      </c>
      <c r="H38061" s="4" t="s">
        <v>11</v>
      </c>
      <c r="I38061" s="4" t="s">
        <v>7</v>
      </c>
    </row>
    <row r="38062" spans="1:9">
      <c r="A38062" t="n">
        <v>374167</v>
      </c>
      <c r="B38062" s="51" t="n">
        <v>45</v>
      </c>
      <c r="C38062" s="7" t="n">
        <v>4</v>
      </c>
      <c r="D38062" s="7" t="n">
        <v>3</v>
      </c>
      <c r="E38062" s="7" t="n">
        <v>9.01000022888184</v>
      </c>
      <c r="F38062" s="7" t="n">
        <v>55.7900009155273</v>
      </c>
      <c r="G38062" s="7" t="n">
        <v>0</v>
      </c>
      <c r="H38062" s="7" t="n">
        <v>0</v>
      </c>
      <c r="I38062" s="7" t="n">
        <v>0</v>
      </c>
    </row>
    <row r="38063" spans="1:9">
      <c r="A38063" t="s">
        <v>4</v>
      </c>
      <c r="B38063" s="4" t="s">
        <v>5</v>
      </c>
      <c r="C38063" s="4" t="s">
        <v>7</v>
      </c>
      <c r="D38063" s="4" t="s">
        <v>7</v>
      </c>
      <c r="E38063" s="4" t="s">
        <v>13</v>
      </c>
      <c r="F38063" s="4" t="s">
        <v>11</v>
      </c>
    </row>
    <row r="38064" spans="1:9">
      <c r="A38064" t="n">
        <v>374185</v>
      </c>
      <c r="B38064" s="51" t="n">
        <v>45</v>
      </c>
      <c r="C38064" s="7" t="n">
        <v>5</v>
      </c>
      <c r="D38064" s="7" t="n">
        <v>3</v>
      </c>
      <c r="E38064" s="7" t="n">
        <v>2.40000009536743</v>
      </c>
      <c r="F38064" s="7" t="n">
        <v>0</v>
      </c>
    </row>
    <row r="38065" spans="1:9">
      <c r="A38065" t="s">
        <v>4</v>
      </c>
      <c r="B38065" s="4" t="s">
        <v>5</v>
      </c>
      <c r="C38065" s="4" t="s">
        <v>7</v>
      </c>
      <c r="D38065" s="4" t="s">
        <v>7</v>
      </c>
      <c r="E38065" s="4" t="s">
        <v>13</v>
      </c>
      <c r="F38065" s="4" t="s">
        <v>11</v>
      </c>
    </row>
    <row r="38066" spans="1:9">
      <c r="A38066" t="n">
        <v>374194</v>
      </c>
      <c r="B38066" s="51" t="n">
        <v>45</v>
      </c>
      <c r="C38066" s="7" t="n">
        <v>11</v>
      </c>
      <c r="D38066" s="7" t="n">
        <v>3</v>
      </c>
      <c r="E38066" s="7" t="n">
        <v>40.2999992370605</v>
      </c>
      <c r="F38066" s="7" t="n">
        <v>0</v>
      </c>
    </row>
    <row r="38067" spans="1:9">
      <c r="A38067" t="s">
        <v>4</v>
      </c>
      <c r="B38067" s="4" t="s">
        <v>5</v>
      </c>
      <c r="C38067" s="4" t="s">
        <v>7</v>
      </c>
      <c r="D38067" s="4" t="s">
        <v>7</v>
      </c>
      <c r="E38067" s="4" t="s">
        <v>13</v>
      </c>
      <c r="F38067" s="4" t="s">
        <v>13</v>
      </c>
      <c r="G38067" s="4" t="s">
        <v>13</v>
      </c>
      <c r="H38067" s="4" t="s">
        <v>11</v>
      </c>
    </row>
    <row r="38068" spans="1:9">
      <c r="A38068" t="n">
        <v>374203</v>
      </c>
      <c r="B38068" s="51" t="n">
        <v>45</v>
      </c>
      <c r="C38068" s="7" t="n">
        <v>2</v>
      </c>
      <c r="D38068" s="7" t="n">
        <v>3</v>
      </c>
      <c r="E38068" s="7" t="n">
        <v>-6.8899998664856</v>
      </c>
      <c r="F38068" s="7" t="n">
        <v>6.26999998092651</v>
      </c>
      <c r="G38068" s="7" t="n">
        <v>30.0599994659424</v>
      </c>
      <c r="H38068" s="7" t="n">
        <v>6000</v>
      </c>
    </row>
    <row r="38069" spans="1:9">
      <c r="A38069" t="s">
        <v>4</v>
      </c>
      <c r="B38069" s="4" t="s">
        <v>5</v>
      </c>
      <c r="C38069" s="4" t="s">
        <v>7</v>
      </c>
      <c r="D38069" s="4" t="s">
        <v>7</v>
      </c>
      <c r="E38069" s="4" t="s">
        <v>13</v>
      </c>
      <c r="F38069" s="4" t="s">
        <v>13</v>
      </c>
      <c r="G38069" s="4" t="s">
        <v>13</v>
      </c>
      <c r="H38069" s="4" t="s">
        <v>11</v>
      </c>
      <c r="I38069" s="4" t="s">
        <v>7</v>
      </c>
    </row>
    <row r="38070" spans="1:9">
      <c r="A38070" t="n">
        <v>374220</v>
      </c>
      <c r="B38070" s="51" t="n">
        <v>45</v>
      </c>
      <c r="C38070" s="7" t="n">
        <v>4</v>
      </c>
      <c r="D38070" s="7" t="n">
        <v>3</v>
      </c>
      <c r="E38070" s="7" t="n">
        <v>6.73999977111816</v>
      </c>
      <c r="F38070" s="7" t="n">
        <v>13.6199998855591</v>
      </c>
      <c r="G38070" s="7" t="n">
        <v>0</v>
      </c>
      <c r="H38070" s="7" t="n">
        <v>6000</v>
      </c>
      <c r="I38070" s="7" t="n">
        <v>1</v>
      </c>
    </row>
    <row r="38071" spans="1:9">
      <c r="A38071" t="s">
        <v>4</v>
      </c>
      <c r="B38071" s="4" t="s">
        <v>5</v>
      </c>
      <c r="C38071" s="4" t="s">
        <v>11</v>
      </c>
      <c r="D38071" s="4" t="s">
        <v>13</v>
      </c>
      <c r="E38071" s="4" t="s">
        <v>13</v>
      </c>
      <c r="F38071" s="4" t="s">
        <v>13</v>
      </c>
      <c r="G38071" s="4" t="s">
        <v>13</v>
      </c>
    </row>
    <row r="38072" spans="1:9">
      <c r="A38072" t="n">
        <v>374238</v>
      </c>
      <c r="B38072" s="36" t="n">
        <v>46</v>
      </c>
      <c r="C38072" s="7" t="n">
        <v>0</v>
      </c>
      <c r="D38072" s="7" t="n">
        <v>-6.51000022888184</v>
      </c>
      <c r="E38072" s="7" t="n">
        <v>5</v>
      </c>
      <c r="F38072" s="7" t="n">
        <v>29.8999996185303</v>
      </c>
      <c r="G38072" s="7" t="n">
        <v>208</v>
      </c>
    </row>
    <row r="38073" spans="1:9">
      <c r="A38073" t="s">
        <v>4</v>
      </c>
      <c r="B38073" s="4" t="s">
        <v>5</v>
      </c>
      <c r="C38073" s="4" t="s">
        <v>11</v>
      </c>
      <c r="D38073" s="4" t="s">
        <v>13</v>
      </c>
      <c r="E38073" s="4" t="s">
        <v>13</v>
      </c>
      <c r="F38073" s="4" t="s">
        <v>13</v>
      </c>
      <c r="G38073" s="4" t="s">
        <v>13</v>
      </c>
    </row>
    <row r="38074" spans="1:9">
      <c r="A38074" t="n">
        <v>374257</v>
      </c>
      <c r="B38074" s="36" t="n">
        <v>46</v>
      </c>
      <c r="C38074" s="7" t="n">
        <v>8</v>
      </c>
      <c r="D38074" s="7" t="n">
        <v>-7.44999980926514</v>
      </c>
      <c r="E38074" s="7" t="n">
        <v>5</v>
      </c>
      <c r="F38074" s="7" t="n">
        <v>29.7999992370605</v>
      </c>
      <c r="G38074" s="7" t="n">
        <v>151.199996948242</v>
      </c>
    </row>
    <row r="38075" spans="1:9">
      <c r="A38075" t="s">
        <v>4</v>
      </c>
      <c r="B38075" s="4" t="s">
        <v>5</v>
      </c>
      <c r="C38075" s="4" t="s">
        <v>8</v>
      </c>
      <c r="D38075" s="4" t="s">
        <v>8</v>
      </c>
    </row>
    <row r="38076" spans="1:9">
      <c r="A38076" t="n">
        <v>374276</v>
      </c>
      <c r="B38076" s="52" t="n">
        <v>70</v>
      </c>
      <c r="C38076" s="7" t="s">
        <v>25</v>
      </c>
      <c r="D38076" s="7" t="s">
        <v>118</v>
      </c>
    </row>
    <row r="38077" spans="1:9">
      <c r="A38077" t="s">
        <v>4</v>
      </c>
      <c r="B38077" s="4" t="s">
        <v>5</v>
      </c>
      <c r="C38077" s="4" t="s">
        <v>11</v>
      </c>
      <c r="D38077" s="4" t="s">
        <v>11</v>
      </c>
      <c r="E38077" s="4" t="s">
        <v>11</v>
      </c>
    </row>
    <row r="38078" spans="1:9">
      <c r="A38078" t="n">
        <v>374292</v>
      </c>
      <c r="B38078" s="72" t="n">
        <v>61</v>
      </c>
      <c r="C38078" s="7" t="n">
        <v>0</v>
      </c>
      <c r="D38078" s="7" t="n">
        <v>8</v>
      </c>
      <c r="E38078" s="7" t="n">
        <v>0</v>
      </c>
    </row>
    <row r="38079" spans="1:9">
      <c r="A38079" t="s">
        <v>4</v>
      </c>
      <c r="B38079" s="4" t="s">
        <v>5</v>
      </c>
      <c r="C38079" s="4" t="s">
        <v>11</v>
      </c>
      <c r="D38079" s="4" t="s">
        <v>11</v>
      </c>
      <c r="E38079" s="4" t="s">
        <v>11</v>
      </c>
    </row>
    <row r="38080" spans="1:9">
      <c r="A38080" t="n">
        <v>374299</v>
      </c>
      <c r="B38080" s="72" t="n">
        <v>61</v>
      </c>
      <c r="C38080" s="7" t="n">
        <v>8</v>
      </c>
      <c r="D38080" s="7" t="n">
        <v>0</v>
      </c>
      <c r="E38080" s="7" t="n">
        <v>0</v>
      </c>
    </row>
    <row r="38081" spans="1:9">
      <c r="A38081" t="s">
        <v>4</v>
      </c>
      <c r="B38081" s="4" t="s">
        <v>5</v>
      </c>
      <c r="C38081" s="4" t="s">
        <v>7</v>
      </c>
      <c r="D38081" s="4" t="s">
        <v>11</v>
      </c>
      <c r="E38081" s="4" t="s">
        <v>13</v>
      </c>
    </row>
    <row r="38082" spans="1:9">
      <c r="A38082" t="n">
        <v>374306</v>
      </c>
      <c r="B38082" s="23" t="n">
        <v>58</v>
      </c>
      <c r="C38082" s="7" t="n">
        <v>100</v>
      </c>
      <c r="D38082" s="7" t="n">
        <v>1000</v>
      </c>
      <c r="E38082" s="7" t="n">
        <v>1</v>
      </c>
    </row>
    <row r="38083" spans="1:9">
      <c r="A38083" t="s">
        <v>4</v>
      </c>
      <c r="B38083" s="4" t="s">
        <v>5</v>
      </c>
      <c r="C38083" s="4" t="s">
        <v>7</v>
      </c>
      <c r="D38083" s="4" t="s">
        <v>11</v>
      </c>
    </row>
    <row r="38084" spans="1:9">
      <c r="A38084" t="n">
        <v>374314</v>
      </c>
      <c r="B38084" s="23" t="n">
        <v>58</v>
      </c>
      <c r="C38084" s="7" t="n">
        <v>255</v>
      </c>
      <c r="D38084" s="7" t="n">
        <v>0</v>
      </c>
    </row>
    <row r="38085" spans="1:9">
      <c r="A38085" t="s">
        <v>4</v>
      </c>
      <c r="B38085" s="4" t="s">
        <v>5</v>
      </c>
      <c r="C38085" s="4" t="s">
        <v>11</v>
      </c>
    </row>
    <row r="38086" spans="1:9">
      <c r="A38086" t="n">
        <v>374318</v>
      </c>
      <c r="B38086" s="29" t="n">
        <v>16</v>
      </c>
      <c r="C38086" s="7" t="n">
        <v>1000</v>
      </c>
    </row>
    <row r="38087" spans="1:9">
      <c r="A38087" t="s">
        <v>4</v>
      </c>
      <c r="B38087" s="4" t="s">
        <v>5</v>
      </c>
      <c r="C38087" s="4" t="s">
        <v>7</v>
      </c>
      <c r="D38087" s="4" t="s">
        <v>11</v>
      </c>
    </row>
    <row r="38088" spans="1:9">
      <c r="A38088" t="n">
        <v>374321</v>
      </c>
      <c r="B38088" s="51" t="n">
        <v>45</v>
      </c>
      <c r="C38088" s="7" t="n">
        <v>7</v>
      </c>
      <c r="D38088" s="7" t="n">
        <v>255</v>
      </c>
    </row>
    <row r="38089" spans="1:9">
      <c r="A38089" t="s">
        <v>4</v>
      </c>
      <c r="B38089" s="4" t="s">
        <v>5</v>
      </c>
      <c r="C38089" s="4" t="s">
        <v>7</v>
      </c>
      <c r="D38089" s="4" t="s">
        <v>11</v>
      </c>
      <c r="E38089" s="4" t="s">
        <v>13</v>
      </c>
    </row>
    <row r="38090" spans="1:9">
      <c r="A38090" t="n">
        <v>374325</v>
      </c>
      <c r="B38090" s="23" t="n">
        <v>58</v>
      </c>
      <c r="C38090" s="7" t="n">
        <v>101</v>
      </c>
      <c r="D38090" s="7" t="n">
        <v>500</v>
      </c>
      <c r="E38090" s="7" t="n">
        <v>1</v>
      </c>
    </row>
    <row r="38091" spans="1:9">
      <c r="A38091" t="s">
        <v>4</v>
      </c>
      <c r="B38091" s="4" t="s">
        <v>5</v>
      </c>
      <c r="C38091" s="4" t="s">
        <v>7</v>
      </c>
      <c r="D38091" s="4" t="s">
        <v>11</v>
      </c>
    </row>
    <row r="38092" spans="1:9">
      <c r="A38092" t="n">
        <v>374333</v>
      </c>
      <c r="B38092" s="23" t="n">
        <v>58</v>
      </c>
      <c r="C38092" s="7" t="n">
        <v>254</v>
      </c>
      <c r="D38092" s="7" t="n">
        <v>0</v>
      </c>
    </row>
    <row r="38093" spans="1:9">
      <c r="A38093" t="s">
        <v>4</v>
      </c>
      <c r="B38093" s="4" t="s">
        <v>5</v>
      </c>
      <c r="C38093" s="4" t="s">
        <v>7</v>
      </c>
      <c r="D38093" s="4" t="s">
        <v>11</v>
      </c>
      <c r="E38093" s="4" t="s">
        <v>8</v>
      </c>
      <c r="F38093" s="4" t="s">
        <v>8</v>
      </c>
      <c r="G38093" s="4" t="s">
        <v>8</v>
      </c>
      <c r="H38093" s="4" t="s">
        <v>8</v>
      </c>
    </row>
    <row r="38094" spans="1:9">
      <c r="A38094" t="n">
        <v>374337</v>
      </c>
      <c r="B38094" s="38" t="n">
        <v>51</v>
      </c>
      <c r="C38094" s="7" t="n">
        <v>3</v>
      </c>
      <c r="D38094" s="7" t="n">
        <v>8</v>
      </c>
      <c r="E38094" s="7" t="s">
        <v>79</v>
      </c>
      <c r="F38094" s="7" t="s">
        <v>79</v>
      </c>
      <c r="G38094" s="7" t="s">
        <v>78</v>
      </c>
      <c r="H38094" s="7" t="s">
        <v>79</v>
      </c>
    </row>
    <row r="38095" spans="1:9">
      <c r="A38095" t="s">
        <v>4</v>
      </c>
      <c r="B38095" s="4" t="s">
        <v>5</v>
      </c>
      <c r="C38095" s="4" t="s">
        <v>7</v>
      </c>
      <c r="D38095" s="4" t="s">
        <v>11</v>
      </c>
      <c r="E38095" s="4" t="s">
        <v>11</v>
      </c>
      <c r="F38095" s="4" t="s">
        <v>15</v>
      </c>
      <c r="G38095" s="4" t="s">
        <v>15</v>
      </c>
      <c r="H38095" s="4" t="s">
        <v>15</v>
      </c>
    </row>
    <row r="38096" spans="1:9">
      <c r="A38096" t="n">
        <v>374350</v>
      </c>
      <c r="B38096" s="77" t="n">
        <v>97</v>
      </c>
      <c r="C38096" s="7" t="n">
        <v>6</v>
      </c>
      <c r="D38096" s="7" t="n">
        <v>0</v>
      </c>
      <c r="E38096" s="7" t="n">
        <v>0</v>
      </c>
      <c r="F38096" s="7" t="n">
        <v>-1065143501</v>
      </c>
      <c r="G38096" s="7" t="n">
        <v>1101004800</v>
      </c>
      <c r="H38096" s="7" t="n">
        <v>1101004800</v>
      </c>
    </row>
    <row r="38097" spans="1:8">
      <c r="A38097" t="s">
        <v>4</v>
      </c>
      <c r="B38097" s="4" t="s">
        <v>5</v>
      </c>
      <c r="C38097" s="4" t="s">
        <v>7</v>
      </c>
      <c r="D38097" s="4" t="s">
        <v>7</v>
      </c>
      <c r="E38097" s="4" t="s">
        <v>13</v>
      </c>
      <c r="F38097" s="4" t="s">
        <v>13</v>
      </c>
      <c r="G38097" s="4" t="s">
        <v>13</v>
      </c>
      <c r="H38097" s="4" t="s">
        <v>11</v>
      </c>
    </row>
    <row r="38098" spans="1:8">
      <c r="A38098" t="n">
        <v>374368</v>
      </c>
      <c r="B38098" s="51" t="n">
        <v>45</v>
      </c>
      <c r="C38098" s="7" t="n">
        <v>2</v>
      </c>
      <c r="D38098" s="7" t="n">
        <v>3</v>
      </c>
      <c r="E38098" s="7" t="n">
        <v>-6.86999988555908</v>
      </c>
      <c r="F38098" s="7" t="n">
        <v>6.51000022888184</v>
      </c>
      <c r="G38098" s="7" t="n">
        <v>29.8400001525879</v>
      </c>
      <c r="H38098" s="7" t="n">
        <v>0</v>
      </c>
    </row>
    <row r="38099" spans="1:8">
      <c r="A38099" t="s">
        <v>4</v>
      </c>
      <c r="B38099" s="4" t="s">
        <v>5</v>
      </c>
      <c r="C38099" s="4" t="s">
        <v>7</v>
      </c>
      <c r="D38099" s="4" t="s">
        <v>7</v>
      </c>
      <c r="E38099" s="4" t="s">
        <v>13</v>
      </c>
      <c r="F38099" s="4" t="s">
        <v>13</v>
      </c>
      <c r="G38099" s="4" t="s">
        <v>13</v>
      </c>
      <c r="H38099" s="4" t="s">
        <v>11</v>
      </c>
      <c r="I38099" s="4" t="s">
        <v>7</v>
      </c>
    </row>
    <row r="38100" spans="1:8">
      <c r="A38100" t="n">
        <v>374385</v>
      </c>
      <c r="B38100" s="51" t="n">
        <v>45</v>
      </c>
      <c r="C38100" s="7" t="n">
        <v>4</v>
      </c>
      <c r="D38100" s="7" t="n">
        <v>3</v>
      </c>
      <c r="E38100" s="7" t="n">
        <v>5.55000019073486</v>
      </c>
      <c r="F38100" s="7" t="n">
        <v>135.5</v>
      </c>
      <c r="G38100" s="7" t="n">
        <v>0</v>
      </c>
      <c r="H38100" s="7" t="n">
        <v>0</v>
      </c>
      <c r="I38100" s="7" t="n">
        <v>0</v>
      </c>
    </row>
    <row r="38101" spans="1:8">
      <c r="A38101" t="s">
        <v>4</v>
      </c>
      <c r="B38101" s="4" t="s">
        <v>5</v>
      </c>
      <c r="C38101" s="4" t="s">
        <v>7</v>
      </c>
      <c r="D38101" s="4" t="s">
        <v>7</v>
      </c>
      <c r="E38101" s="4" t="s">
        <v>13</v>
      </c>
      <c r="F38101" s="4" t="s">
        <v>11</v>
      </c>
    </row>
    <row r="38102" spans="1:8">
      <c r="A38102" t="n">
        <v>374403</v>
      </c>
      <c r="B38102" s="51" t="n">
        <v>45</v>
      </c>
      <c r="C38102" s="7" t="n">
        <v>5</v>
      </c>
      <c r="D38102" s="7" t="n">
        <v>3</v>
      </c>
      <c r="E38102" s="7" t="n">
        <v>1.29999995231628</v>
      </c>
      <c r="F38102" s="7" t="n">
        <v>0</v>
      </c>
    </row>
    <row r="38103" spans="1:8">
      <c r="A38103" t="s">
        <v>4</v>
      </c>
      <c r="B38103" s="4" t="s">
        <v>5</v>
      </c>
      <c r="C38103" s="4" t="s">
        <v>7</v>
      </c>
      <c r="D38103" s="4" t="s">
        <v>7</v>
      </c>
      <c r="E38103" s="4" t="s">
        <v>13</v>
      </c>
      <c r="F38103" s="4" t="s">
        <v>11</v>
      </c>
    </row>
    <row r="38104" spans="1:8">
      <c r="A38104" t="n">
        <v>374412</v>
      </c>
      <c r="B38104" s="51" t="n">
        <v>45</v>
      </c>
      <c r="C38104" s="7" t="n">
        <v>11</v>
      </c>
      <c r="D38104" s="7" t="n">
        <v>3</v>
      </c>
      <c r="E38104" s="7" t="n">
        <v>40.2999992370605</v>
      </c>
      <c r="F38104" s="7" t="n">
        <v>0</v>
      </c>
    </row>
    <row r="38105" spans="1:8">
      <c r="A38105" t="s">
        <v>4</v>
      </c>
      <c r="B38105" s="4" t="s">
        <v>5</v>
      </c>
      <c r="C38105" s="4" t="s">
        <v>7</v>
      </c>
      <c r="D38105" s="4" t="s">
        <v>11</v>
      </c>
    </row>
    <row r="38106" spans="1:8">
      <c r="A38106" t="n">
        <v>374421</v>
      </c>
      <c r="B38106" s="23" t="n">
        <v>58</v>
      </c>
      <c r="C38106" s="7" t="n">
        <v>255</v>
      </c>
      <c r="D38106" s="7" t="n">
        <v>0</v>
      </c>
    </row>
    <row r="38107" spans="1:8">
      <c r="A38107" t="s">
        <v>4</v>
      </c>
      <c r="B38107" s="4" t="s">
        <v>5</v>
      </c>
      <c r="C38107" s="4" t="s">
        <v>7</v>
      </c>
      <c r="D38107" s="4" t="s">
        <v>11</v>
      </c>
      <c r="E38107" s="4" t="s">
        <v>8</v>
      </c>
    </row>
    <row r="38108" spans="1:8">
      <c r="A38108" t="n">
        <v>374425</v>
      </c>
      <c r="B38108" s="38" t="n">
        <v>51</v>
      </c>
      <c r="C38108" s="7" t="n">
        <v>4</v>
      </c>
      <c r="D38108" s="7" t="n">
        <v>8</v>
      </c>
      <c r="E38108" s="7" t="s">
        <v>242</v>
      </c>
    </row>
    <row r="38109" spans="1:8">
      <c r="A38109" t="s">
        <v>4</v>
      </c>
      <c r="B38109" s="4" t="s">
        <v>5</v>
      </c>
      <c r="C38109" s="4" t="s">
        <v>11</v>
      </c>
    </row>
    <row r="38110" spans="1:8">
      <c r="A38110" t="n">
        <v>374439</v>
      </c>
      <c r="B38110" s="29" t="n">
        <v>16</v>
      </c>
      <c r="C38110" s="7" t="n">
        <v>0</v>
      </c>
    </row>
    <row r="38111" spans="1:8">
      <c r="A38111" t="s">
        <v>4</v>
      </c>
      <c r="B38111" s="4" t="s">
        <v>5</v>
      </c>
      <c r="C38111" s="4" t="s">
        <v>11</v>
      </c>
      <c r="D38111" s="4" t="s">
        <v>7</v>
      </c>
      <c r="E38111" s="4" t="s">
        <v>15</v>
      </c>
      <c r="F38111" s="4" t="s">
        <v>55</v>
      </c>
      <c r="G38111" s="4" t="s">
        <v>7</v>
      </c>
      <c r="H38111" s="4" t="s">
        <v>7</v>
      </c>
      <c r="I38111" s="4" t="s">
        <v>7</v>
      </c>
      <c r="J38111" s="4" t="s">
        <v>15</v>
      </c>
      <c r="K38111" s="4" t="s">
        <v>55</v>
      </c>
      <c r="L38111" s="4" t="s">
        <v>7</v>
      </c>
      <c r="M38111" s="4" t="s">
        <v>7</v>
      </c>
    </row>
    <row r="38112" spans="1:8">
      <c r="A38112" t="n">
        <v>374442</v>
      </c>
      <c r="B38112" s="55" t="n">
        <v>26</v>
      </c>
      <c r="C38112" s="7" t="n">
        <v>8</v>
      </c>
      <c r="D38112" s="7" t="n">
        <v>17</v>
      </c>
      <c r="E38112" s="7" t="n">
        <v>64219</v>
      </c>
      <c r="F38112" s="7" t="s">
        <v>1140</v>
      </c>
      <c r="G38112" s="7" t="n">
        <v>2</v>
      </c>
      <c r="H38112" s="7" t="n">
        <v>3</v>
      </c>
      <c r="I38112" s="7" t="n">
        <v>17</v>
      </c>
      <c r="J38112" s="7" t="n">
        <v>64220</v>
      </c>
      <c r="K38112" s="7" t="s">
        <v>1141</v>
      </c>
      <c r="L38112" s="7" t="n">
        <v>2</v>
      </c>
      <c r="M38112" s="7" t="n">
        <v>0</v>
      </c>
    </row>
    <row r="38113" spans="1:13">
      <c r="A38113" t="s">
        <v>4</v>
      </c>
      <c r="B38113" s="4" t="s">
        <v>5</v>
      </c>
    </row>
    <row r="38114" spans="1:13">
      <c r="A38114" t="n">
        <v>374632</v>
      </c>
      <c r="B38114" s="27" t="n">
        <v>28</v>
      </c>
    </row>
    <row r="38115" spans="1:13">
      <c r="A38115" t="s">
        <v>4</v>
      </c>
      <c r="B38115" s="4" t="s">
        <v>5</v>
      </c>
      <c r="C38115" s="4" t="s">
        <v>7</v>
      </c>
      <c r="D38115" s="4" t="s">
        <v>11</v>
      </c>
      <c r="E38115" s="4" t="s">
        <v>8</v>
      </c>
    </row>
    <row r="38116" spans="1:13">
      <c r="A38116" t="n">
        <v>374633</v>
      </c>
      <c r="B38116" s="38" t="n">
        <v>51</v>
      </c>
      <c r="C38116" s="7" t="n">
        <v>4</v>
      </c>
      <c r="D38116" s="7" t="n">
        <v>0</v>
      </c>
      <c r="E38116" s="7" t="s">
        <v>173</v>
      </c>
    </row>
    <row r="38117" spans="1:13">
      <c r="A38117" t="s">
        <v>4</v>
      </c>
      <c r="B38117" s="4" t="s">
        <v>5</v>
      </c>
      <c r="C38117" s="4" t="s">
        <v>11</v>
      </c>
    </row>
    <row r="38118" spans="1:13">
      <c r="A38118" t="n">
        <v>374646</v>
      </c>
      <c r="B38118" s="29" t="n">
        <v>16</v>
      </c>
      <c r="C38118" s="7" t="n">
        <v>0</v>
      </c>
    </row>
    <row r="38119" spans="1:13">
      <c r="A38119" t="s">
        <v>4</v>
      </c>
      <c r="B38119" s="4" t="s">
        <v>5</v>
      </c>
      <c r="C38119" s="4" t="s">
        <v>11</v>
      </c>
      <c r="D38119" s="4" t="s">
        <v>7</v>
      </c>
      <c r="E38119" s="4" t="s">
        <v>15</v>
      </c>
      <c r="F38119" s="4" t="s">
        <v>55</v>
      </c>
      <c r="G38119" s="4" t="s">
        <v>7</v>
      </c>
      <c r="H38119" s="4" t="s">
        <v>7</v>
      </c>
      <c r="I38119" s="4" t="s">
        <v>7</v>
      </c>
      <c r="J38119" s="4" t="s">
        <v>15</v>
      </c>
      <c r="K38119" s="4" t="s">
        <v>55</v>
      </c>
      <c r="L38119" s="4" t="s">
        <v>7</v>
      </c>
      <c r="M38119" s="4" t="s">
        <v>7</v>
      </c>
      <c r="N38119" s="4" t="s">
        <v>7</v>
      </c>
      <c r="O38119" s="4" t="s">
        <v>15</v>
      </c>
      <c r="P38119" s="4" t="s">
        <v>55</v>
      </c>
      <c r="Q38119" s="4" t="s">
        <v>7</v>
      </c>
      <c r="R38119" s="4" t="s">
        <v>7</v>
      </c>
    </row>
    <row r="38120" spans="1:13">
      <c r="A38120" t="n">
        <v>374649</v>
      </c>
      <c r="B38120" s="55" t="n">
        <v>26</v>
      </c>
      <c r="C38120" s="7" t="n">
        <v>0</v>
      </c>
      <c r="D38120" s="7" t="n">
        <v>17</v>
      </c>
      <c r="E38120" s="7" t="n">
        <v>64221</v>
      </c>
      <c r="F38120" s="7" t="s">
        <v>1142</v>
      </c>
      <c r="G38120" s="7" t="n">
        <v>2</v>
      </c>
      <c r="H38120" s="7" t="n">
        <v>3</v>
      </c>
      <c r="I38120" s="7" t="n">
        <v>17</v>
      </c>
      <c r="J38120" s="7" t="n">
        <v>64222</v>
      </c>
      <c r="K38120" s="7" t="s">
        <v>1143</v>
      </c>
      <c r="L38120" s="7" t="n">
        <v>2</v>
      </c>
      <c r="M38120" s="7" t="n">
        <v>3</v>
      </c>
      <c r="N38120" s="7" t="n">
        <v>17</v>
      </c>
      <c r="O38120" s="7" t="n">
        <v>64223</v>
      </c>
      <c r="P38120" s="7" t="s">
        <v>1144</v>
      </c>
      <c r="Q38120" s="7" t="n">
        <v>2</v>
      </c>
      <c r="R38120" s="7" t="n">
        <v>0</v>
      </c>
    </row>
    <row r="38121" spans="1:13">
      <c r="A38121" t="s">
        <v>4</v>
      </c>
      <c r="B38121" s="4" t="s">
        <v>5</v>
      </c>
    </row>
    <row r="38122" spans="1:13">
      <c r="A38122" t="n">
        <v>374865</v>
      </c>
      <c r="B38122" s="27" t="n">
        <v>28</v>
      </c>
    </row>
    <row r="38123" spans="1:13">
      <c r="A38123" t="s">
        <v>4</v>
      </c>
      <c r="B38123" s="4" t="s">
        <v>5</v>
      </c>
      <c r="C38123" s="4" t="s">
        <v>7</v>
      </c>
      <c r="D38123" s="4" t="s">
        <v>11</v>
      </c>
      <c r="E38123" s="4" t="s">
        <v>8</v>
      </c>
    </row>
    <row r="38124" spans="1:13">
      <c r="A38124" t="n">
        <v>374866</v>
      </c>
      <c r="B38124" s="38" t="n">
        <v>51</v>
      </c>
      <c r="C38124" s="7" t="n">
        <v>4</v>
      </c>
      <c r="D38124" s="7" t="n">
        <v>8</v>
      </c>
      <c r="E38124" s="7" t="s">
        <v>137</v>
      </c>
    </row>
    <row r="38125" spans="1:13">
      <c r="A38125" t="s">
        <v>4</v>
      </c>
      <c r="B38125" s="4" t="s">
        <v>5</v>
      </c>
      <c r="C38125" s="4" t="s">
        <v>11</v>
      </c>
    </row>
    <row r="38126" spans="1:13">
      <c r="A38126" t="n">
        <v>374879</v>
      </c>
      <c r="B38126" s="29" t="n">
        <v>16</v>
      </c>
      <c r="C38126" s="7" t="n">
        <v>0</v>
      </c>
    </row>
    <row r="38127" spans="1:13">
      <c r="A38127" t="s">
        <v>4</v>
      </c>
      <c r="B38127" s="4" t="s">
        <v>5</v>
      </c>
      <c r="C38127" s="4" t="s">
        <v>11</v>
      </c>
      <c r="D38127" s="4" t="s">
        <v>7</v>
      </c>
      <c r="E38127" s="4" t="s">
        <v>15</v>
      </c>
      <c r="F38127" s="4" t="s">
        <v>55</v>
      </c>
      <c r="G38127" s="4" t="s">
        <v>7</v>
      </c>
      <c r="H38127" s="4" t="s">
        <v>7</v>
      </c>
      <c r="I38127" s="4" t="s">
        <v>7</v>
      </c>
      <c r="J38127" s="4" t="s">
        <v>15</v>
      </c>
      <c r="K38127" s="4" t="s">
        <v>55</v>
      </c>
      <c r="L38127" s="4" t="s">
        <v>7</v>
      </c>
      <c r="M38127" s="4" t="s">
        <v>7</v>
      </c>
      <c r="N38127" s="4" t="s">
        <v>7</v>
      </c>
      <c r="O38127" s="4" t="s">
        <v>15</v>
      </c>
      <c r="P38127" s="4" t="s">
        <v>55</v>
      </c>
      <c r="Q38127" s="4" t="s">
        <v>7</v>
      </c>
      <c r="R38127" s="4" t="s">
        <v>7</v>
      </c>
    </row>
    <row r="38128" spans="1:13">
      <c r="A38128" t="n">
        <v>374882</v>
      </c>
      <c r="B38128" s="55" t="n">
        <v>26</v>
      </c>
      <c r="C38128" s="7" t="n">
        <v>8</v>
      </c>
      <c r="D38128" s="7" t="n">
        <v>17</v>
      </c>
      <c r="E38128" s="7" t="n">
        <v>64224</v>
      </c>
      <c r="F38128" s="7" t="s">
        <v>1145</v>
      </c>
      <c r="G38128" s="7" t="n">
        <v>2</v>
      </c>
      <c r="H38128" s="7" t="n">
        <v>3</v>
      </c>
      <c r="I38128" s="7" t="n">
        <v>17</v>
      </c>
      <c r="J38128" s="7" t="n">
        <v>64225</v>
      </c>
      <c r="K38128" s="7" t="s">
        <v>1146</v>
      </c>
      <c r="L38128" s="7" t="n">
        <v>2</v>
      </c>
      <c r="M38128" s="7" t="n">
        <v>3</v>
      </c>
      <c r="N38128" s="7" t="n">
        <v>17</v>
      </c>
      <c r="O38128" s="7" t="n">
        <v>64226</v>
      </c>
      <c r="P38128" s="7" t="s">
        <v>1147</v>
      </c>
      <c r="Q38128" s="7" t="n">
        <v>2</v>
      </c>
      <c r="R38128" s="7" t="n">
        <v>0</v>
      </c>
    </row>
    <row r="38129" spans="1:18">
      <c r="A38129" t="s">
        <v>4</v>
      </c>
      <c r="B38129" s="4" t="s">
        <v>5</v>
      </c>
    </row>
    <row r="38130" spans="1:18">
      <c r="A38130" t="n">
        <v>375271</v>
      </c>
      <c r="B38130" s="27" t="n">
        <v>28</v>
      </c>
    </row>
    <row r="38131" spans="1:18">
      <c r="A38131" t="s">
        <v>4</v>
      </c>
      <c r="B38131" s="4" t="s">
        <v>5</v>
      </c>
      <c r="C38131" s="4" t="s">
        <v>7</v>
      </c>
      <c r="D38131" s="4" t="s">
        <v>11</v>
      </c>
      <c r="E38131" s="4" t="s">
        <v>8</v>
      </c>
    </row>
    <row r="38132" spans="1:18">
      <c r="A38132" t="n">
        <v>375272</v>
      </c>
      <c r="B38132" s="38" t="n">
        <v>51</v>
      </c>
      <c r="C38132" s="7" t="n">
        <v>4</v>
      </c>
      <c r="D38132" s="7" t="n">
        <v>0</v>
      </c>
      <c r="E38132" s="7" t="s">
        <v>242</v>
      </c>
    </row>
    <row r="38133" spans="1:18">
      <c r="A38133" t="s">
        <v>4</v>
      </c>
      <c r="B38133" s="4" t="s">
        <v>5</v>
      </c>
      <c r="C38133" s="4" t="s">
        <v>11</v>
      </c>
    </row>
    <row r="38134" spans="1:18">
      <c r="A38134" t="n">
        <v>375286</v>
      </c>
      <c r="B38134" s="29" t="n">
        <v>16</v>
      </c>
      <c r="C38134" s="7" t="n">
        <v>0</v>
      </c>
    </row>
    <row r="38135" spans="1:18">
      <c r="A38135" t="s">
        <v>4</v>
      </c>
      <c r="B38135" s="4" t="s">
        <v>5</v>
      </c>
      <c r="C38135" s="4" t="s">
        <v>11</v>
      </c>
      <c r="D38135" s="4" t="s">
        <v>7</v>
      </c>
      <c r="E38135" s="4" t="s">
        <v>15</v>
      </c>
      <c r="F38135" s="4" t="s">
        <v>55</v>
      </c>
      <c r="G38135" s="4" t="s">
        <v>7</v>
      </c>
      <c r="H38135" s="4" t="s">
        <v>7</v>
      </c>
      <c r="I38135" s="4" t="s">
        <v>7</v>
      </c>
      <c r="J38135" s="4" t="s">
        <v>15</v>
      </c>
      <c r="K38135" s="4" t="s">
        <v>55</v>
      </c>
      <c r="L38135" s="4" t="s">
        <v>7</v>
      </c>
      <c r="M38135" s="4" t="s">
        <v>7</v>
      </c>
    </row>
    <row r="38136" spans="1:18">
      <c r="A38136" t="n">
        <v>375289</v>
      </c>
      <c r="B38136" s="55" t="n">
        <v>26</v>
      </c>
      <c r="C38136" s="7" t="n">
        <v>0</v>
      </c>
      <c r="D38136" s="7" t="n">
        <v>17</v>
      </c>
      <c r="E38136" s="7" t="n">
        <v>64227</v>
      </c>
      <c r="F38136" s="7" t="s">
        <v>1148</v>
      </c>
      <c r="G38136" s="7" t="n">
        <v>2</v>
      </c>
      <c r="H38136" s="7" t="n">
        <v>3</v>
      </c>
      <c r="I38136" s="7" t="n">
        <v>17</v>
      </c>
      <c r="J38136" s="7" t="n">
        <v>64228</v>
      </c>
      <c r="K38136" s="7" t="s">
        <v>1149</v>
      </c>
      <c r="L38136" s="7" t="n">
        <v>2</v>
      </c>
      <c r="M38136" s="7" t="n">
        <v>0</v>
      </c>
    </row>
    <row r="38137" spans="1:18">
      <c r="A38137" t="s">
        <v>4</v>
      </c>
      <c r="B38137" s="4" t="s">
        <v>5</v>
      </c>
    </row>
    <row r="38138" spans="1:18">
      <c r="A38138" t="n">
        <v>375452</v>
      </c>
      <c r="B38138" s="27" t="n">
        <v>28</v>
      </c>
    </row>
    <row r="38139" spans="1:18">
      <c r="A38139" t="s">
        <v>4</v>
      </c>
      <c r="B38139" s="4" t="s">
        <v>5</v>
      </c>
      <c r="C38139" s="4" t="s">
        <v>7</v>
      </c>
      <c r="D38139" s="4" t="s">
        <v>11</v>
      </c>
      <c r="E38139" s="4" t="s">
        <v>8</v>
      </c>
    </row>
    <row r="38140" spans="1:18">
      <c r="A38140" t="n">
        <v>375453</v>
      </c>
      <c r="B38140" s="38" t="n">
        <v>51</v>
      </c>
      <c r="C38140" s="7" t="n">
        <v>4</v>
      </c>
      <c r="D38140" s="7" t="n">
        <v>8</v>
      </c>
      <c r="E38140" s="7" t="s">
        <v>288</v>
      </c>
    </row>
    <row r="38141" spans="1:18">
      <c r="A38141" t="s">
        <v>4</v>
      </c>
      <c r="B38141" s="4" t="s">
        <v>5</v>
      </c>
      <c r="C38141" s="4" t="s">
        <v>11</v>
      </c>
    </row>
    <row r="38142" spans="1:18">
      <c r="A38142" t="n">
        <v>375466</v>
      </c>
      <c r="B38142" s="29" t="n">
        <v>16</v>
      </c>
      <c r="C38142" s="7" t="n">
        <v>0</v>
      </c>
    </row>
    <row r="38143" spans="1:18">
      <c r="A38143" t="s">
        <v>4</v>
      </c>
      <c r="B38143" s="4" t="s">
        <v>5</v>
      </c>
      <c r="C38143" s="4" t="s">
        <v>11</v>
      </c>
      <c r="D38143" s="4" t="s">
        <v>7</v>
      </c>
      <c r="E38143" s="4" t="s">
        <v>15</v>
      </c>
      <c r="F38143" s="4" t="s">
        <v>55</v>
      </c>
      <c r="G38143" s="4" t="s">
        <v>7</v>
      </c>
      <c r="H38143" s="4" t="s">
        <v>7</v>
      </c>
    </row>
    <row r="38144" spans="1:18">
      <c r="A38144" t="n">
        <v>375469</v>
      </c>
      <c r="B38144" s="55" t="n">
        <v>26</v>
      </c>
      <c r="C38144" s="7" t="n">
        <v>8</v>
      </c>
      <c r="D38144" s="7" t="n">
        <v>17</v>
      </c>
      <c r="E38144" s="7" t="n">
        <v>64229</v>
      </c>
      <c r="F38144" s="7" t="s">
        <v>1150</v>
      </c>
      <c r="G38144" s="7" t="n">
        <v>2</v>
      </c>
      <c r="H38144" s="7" t="n">
        <v>0</v>
      </c>
    </row>
    <row r="38145" spans="1:13">
      <c r="A38145" t="s">
        <v>4</v>
      </c>
      <c r="B38145" s="4" t="s">
        <v>5</v>
      </c>
    </row>
    <row r="38146" spans="1:13">
      <c r="A38146" t="n">
        <v>375492</v>
      </c>
      <c r="B38146" s="27" t="n">
        <v>28</v>
      </c>
    </row>
    <row r="38147" spans="1:13">
      <c r="A38147" t="s">
        <v>4</v>
      </c>
      <c r="B38147" s="4" t="s">
        <v>5</v>
      </c>
      <c r="C38147" s="4" t="s">
        <v>11</v>
      </c>
      <c r="D38147" s="4" t="s">
        <v>7</v>
      </c>
    </row>
    <row r="38148" spans="1:13">
      <c r="A38148" t="n">
        <v>375493</v>
      </c>
      <c r="B38148" s="68" t="n">
        <v>89</v>
      </c>
      <c r="C38148" s="7" t="n">
        <v>65533</v>
      </c>
      <c r="D38148" s="7" t="n">
        <v>1</v>
      </c>
    </row>
    <row r="38149" spans="1:13">
      <c r="A38149" t="s">
        <v>4</v>
      </c>
      <c r="B38149" s="4" t="s">
        <v>5</v>
      </c>
      <c r="C38149" s="4" t="s">
        <v>7</v>
      </c>
      <c r="D38149" s="4" t="s">
        <v>11</v>
      </c>
      <c r="E38149" s="4" t="s">
        <v>7</v>
      </c>
    </row>
    <row r="38150" spans="1:13">
      <c r="A38150" t="n">
        <v>375497</v>
      </c>
      <c r="B38150" s="13" t="n">
        <v>49</v>
      </c>
      <c r="C38150" s="7" t="n">
        <v>1</v>
      </c>
      <c r="D38150" s="7" t="n">
        <v>3000</v>
      </c>
      <c r="E38150" s="7" t="n">
        <v>0</v>
      </c>
    </row>
    <row r="38151" spans="1:13">
      <c r="A38151" t="s">
        <v>4</v>
      </c>
      <c r="B38151" s="4" t="s">
        <v>5</v>
      </c>
      <c r="C38151" s="4" t="s">
        <v>7</v>
      </c>
      <c r="D38151" s="4" t="s">
        <v>11</v>
      </c>
      <c r="E38151" s="4" t="s">
        <v>8</v>
      </c>
      <c r="F38151" s="4" t="s">
        <v>8</v>
      </c>
      <c r="G38151" s="4" t="s">
        <v>8</v>
      </c>
      <c r="H38151" s="4" t="s">
        <v>8</v>
      </c>
    </row>
    <row r="38152" spans="1:13">
      <c r="A38152" t="n">
        <v>375502</v>
      </c>
      <c r="B38152" s="38" t="n">
        <v>51</v>
      </c>
      <c r="C38152" s="7" t="n">
        <v>3</v>
      </c>
      <c r="D38152" s="7" t="n">
        <v>8</v>
      </c>
      <c r="E38152" s="7" t="s">
        <v>86</v>
      </c>
      <c r="F38152" s="7" t="s">
        <v>79</v>
      </c>
      <c r="G38152" s="7" t="s">
        <v>78</v>
      </c>
      <c r="H38152" s="7" t="s">
        <v>79</v>
      </c>
    </row>
    <row r="38153" spans="1:13">
      <c r="A38153" t="s">
        <v>4</v>
      </c>
      <c r="B38153" s="4" t="s">
        <v>5</v>
      </c>
      <c r="C38153" s="4" t="s">
        <v>11</v>
      </c>
      <c r="D38153" s="4" t="s">
        <v>7</v>
      </c>
      <c r="E38153" s="4" t="s">
        <v>13</v>
      </c>
      <c r="F38153" s="4" t="s">
        <v>11</v>
      </c>
    </row>
    <row r="38154" spans="1:13">
      <c r="A38154" t="n">
        <v>375515</v>
      </c>
      <c r="B38154" s="56" t="n">
        <v>59</v>
      </c>
      <c r="C38154" s="7" t="n">
        <v>8</v>
      </c>
      <c r="D38154" s="7" t="n">
        <v>9</v>
      </c>
      <c r="E38154" s="7" t="n">
        <v>0.150000005960464</v>
      </c>
      <c r="F38154" s="7" t="n">
        <v>0</v>
      </c>
    </row>
    <row r="38155" spans="1:13">
      <c r="A38155" t="s">
        <v>4</v>
      </c>
      <c r="B38155" s="4" t="s">
        <v>5</v>
      </c>
      <c r="C38155" s="4" t="s">
        <v>11</v>
      </c>
    </row>
    <row r="38156" spans="1:13">
      <c r="A38156" t="n">
        <v>375525</v>
      </c>
      <c r="B38156" s="29" t="n">
        <v>16</v>
      </c>
      <c r="C38156" s="7" t="n">
        <v>1800</v>
      </c>
    </row>
    <row r="38157" spans="1:13">
      <c r="A38157" t="s">
        <v>4</v>
      </c>
      <c r="B38157" s="4" t="s">
        <v>5</v>
      </c>
      <c r="C38157" s="4" t="s">
        <v>7</v>
      </c>
      <c r="D38157" s="4" t="s">
        <v>11</v>
      </c>
      <c r="E38157" s="4" t="s">
        <v>13</v>
      </c>
    </row>
    <row r="38158" spans="1:13">
      <c r="A38158" t="n">
        <v>375528</v>
      </c>
      <c r="B38158" s="23" t="n">
        <v>58</v>
      </c>
      <c r="C38158" s="7" t="n">
        <v>101</v>
      </c>
      <c r="D38158" s="7" t="n">
        <v>800</v>
      </c>
      <c r="E38158" s="7" t="n">
        <v>1</v>
      </c>
    </row>
    <row r="38159" spans="1:13">
      <c r="A38159" t="s">
        <v>4</v>
      </c>
      <c r="B38159" s="4" t="s">
        <v>5</v>
      </c>
      <c r="C38159" s="4" t="s">
        <v>7</v>
      </c>
      <c r="D38159" s="4" t="s">
        <v>11</v>
      </c>
    </row>
    <row r="38160" spans="1:13">
      <c r="A38160" t="n">
        <v>375536</v>
      </c>
      <c r="B38160" s="23" t="n">
        <v>58</v>
      </c>
      <c r="C38160" s="7" t="n">
        <v>254</v>
      </c>
      <c r="D38160" s="7" t="n">
        <v>0</v>
      </c>
    </row>
    <row r="38161" spans="1:8">
      <c r="A38161" t="s">
        <v>4</v>
      </c>
      <c r="B38161" s="4" t="s">
        <v>5</v>
      </c>
      <c r="C38161" s="4" t="s">
        <v>7</v>
      </c>
      <c r="D38161" s="4" t="s">
        <v>7</v>
      </c>
      <c r="E38161" s="4" t="s">
        <v>13</v>
      </c>
      <c r="F38161" s="4" t="s">
        <v>13</v>
      </c>
      <c r="G38161" s="4" t="s">
        <v>13</v>
      </c>
      <c r="H38161" s="4" t="s">
        <v>11</v>
      </c>
    </row>
    <row r="38162" spans="1:8">
      <c r="A38162" t="n">
        <v>375540</v>
      </c>
      <c r="B38162" s="51" t="n">
        <v>45</v>
      </c>
      <c r="C38162" s="7" t="n">
        <v>2</v>
      </c>
      <c r="D38162" s="7" t="n">
        <v>3</v>
      </c>
      <c r="E38162" s="7" t="n">
        <v>-7.36999988555908</v>
      </c>
      <c r="F38162" s="7" t="n">
        <v>6.59999990463257</v>
      </c>
      <c r="G38162" s="7" t="n">
        <v>29.8299999237061</v>
      </c>
      <c r="H38162" s="7" t="n">
        <v>0</v>
      </c>
    </row>
    <row r="38163" spans="1:8">
      <c r="A38163" t="s">
        <v>4</v>
      </c>
      <c r="B38163" s="4" t="s">
        <v>5</v>
      </c>
      <c r="C38163" s="4" t="s">
        <v>7</v>
      </c>
      <c r="D38163" s="4" t="s">
        <v>7</v>
      </c>
      <c r="E38163" s="4" t="s">
        <v>13</v>
      </c>
      <c r="F38163" s="4" t="s">
        <v>13</v>
      </c>
      <c r="G38163" s="4" t="s">
        <v>13</v>
      </c>
      <c r="H38163" s="4" t="s">
        <v>11</v>
      </c>
      <c r="I38163" s="4" t="s">
        <v>7</v>
      </c>
    </row>
    <row r="38164" spans="1:8">
      <c r="A38164" t="n">
        <v>375557</v>
      </c>
      <c r="B38164" s="51" t="n">
        <v>45</v>
      </c>
      <c r="C38164" s="7" t="n">
        <v>4</v>
      </c>
      <c r="D38164" s="7" t="n">
        <v>3</v>
      </c>
      <c r="E38164" s="7" t="n">
        <v>6.59999990463257</v>
      </c>
      <c r="F38164" s="7" t="n">
        <v>64.2200012207031</v>
      </c>
      <c r="G38164" s="7" t="n">
        <v>356</v>
      </c>
      <c r="H38164" s="7" t="n">
        <v>0</v>
      </c>
      <c r="I38164" s="7" t="n">
        <v>0</v>
      </c>
    </row>
    <row r="38165" spans="1:8">
      <c r="A38165" t="s">
        <v>4</v>
      </c>
      <c r="B38165" s="4" t="s">
        <v>5</v>
      </c>
      <c r="C38165" s="4" t="s">
        <v>7</v>
      </c>
      <c r="D38165" s="4" t="s">
        <v>7</v>
      </c>
      <c r="E38165" s="4" t="s">
        <v>13</v>
      </c>
      <c r="F38165" s="4" t="s">
        <v>11</v>
      </c>
    </row>
    <row r="38166" spans="1:8">
      <c r="A38166" t="n">
        <v>375575</v>
      </c>
      <c r="B38166" s="51" t="n">
        <v>45</v>
      </c>
      <c r="C38166" s="7" t="n">
        <v>5</v>
      </c>
      <c r="D38166" s="7" t="n">
        <v>3</v>
      </c>
      <c r="E38166" s="7" t="n">
        <v>0.800000011920929</v>
      </c>
      <c r="F38166" s="7" t="n">
        <v>0</v>
      </c>
    </row>
    <row r="38167" spans="1:8">
      <c r="A38167" t="s">
        <v>4</v>
      </c>
      <c r="B38167" s="4" t="s">
        <v>5</v>
      </c>
      <c r="C38167" s="4" t="s">
        <v>7</v>
      </c>
      <c r="D38167" s="4" t="s">
        <v>7</v>
      </c>
      <c r="E38167" s="4" t="s">
        <v>13</v>
      </c>
      <c r="F38167" s="4" t="s">
        <v>11</v>
      </c>
    </row>
    <row r="38168" spans="1:8">
      <c r="A38168" t="n">
        <v>375584</v>
      </c>
      <c r="B38168" s="51" t="n">
        <v>45</v>
      </c>
      <c r="C38168" s="7" t="n">
        <v>11</v>
      </c>
      <c r="D38168" s="7" t="n">
        <v>3</v>
      </c>
      <c r="E38168" s="7" t="n">
        <v>40.2999992370605</v>
      </c>
      <c r="F38168" s="7" t="n">
        <v>0</v>
      </c>
    </row>
    <row r="38169" spans="1:8">
      <c r="A38169" t="s">
        <v>4</v>
      </c>
      <c r="B38169" s="4" t="s">
        <v>5</v>
      </c>
      <c r="C38169" s="4" t="s">
        <v>7</v>
      </c>
    </row>
    <row r="38170" spans="1:8">
      <c r="A38170" t="n">
        <v>375593</v>
      </c>
      <c r="B38170" s="49" t="n">
        <v>116</v>
      </c>
      <c r="C38170" s="7" t="n">
        <v>0</v>
      </c>
    </row>
    <row r="38171" spans="1:8">
      <c r="A38171" t="s">
        <v>4</v>
      </c>
      <c r="B38171" s="4" t="s">
        <v>5</v>
      </c>
      <c r="C38171" s="4" t="s">
        <v>7</v>
      </c>
      <c r="D38171" s="4" t="s">
        <v>11</v>
      </c>
    </row>
    <row r="38172" spans="1:8">
      <c r="A38172" t="n">
        <v>375595</v>
      </c>
      <c r="B38172" s="49" t="n">
        <v>116</v>
      </c>
      <c r="C38172" s="7" t="n">
        <v>2</v>
      </c>
      <c r="D38172" s="7" t="n">
        <v>1</v>
      </c>
    </row>
    <row r="38173" spans="1:8">
      <c r="A38173" t="s">
        <v>4</v>
      </c>
      <c r="B38173" s="4" t="s">
        <v>5</v>
      </c>
      <c r="C38173" s="4" t="s">
        <v>7</v>
      </c>
      <c r="D38173" s="4" t="s">
        <v>15</v>
      </c>
    </row>
    <row r="38174" spans="1:8">
      <c r="A38174" t="n">
        <v>375599</v>
      </c>
      <c r="B38174" s="49" t="n">
        <v>116</v>
      </c>
      <c r="C38174" s="7" t="n">
        <v>5</v>
      </c>
      <c r="D38174" s="7" t="n">
        <v>1077936128</v>
      </c>
    </row>
    <row r="38175" spans="1:8">
      <c r="A38175" t="s">
        <v>4</v>
      </c>
      <c r="B38175" s="4" t="s">
        <v>5</v>
      </c>
      <c r="C38175" s="4" t="s">
        <v>7</v>
      </c>
      <c r="D38175" s="4" t="s">
        <v>11</v>
      </c>
    </row>
    <row r="38176" spans="1:8">
      <c r="A38176" t="n">
        <v>375605</v>
      </c>
      <c r="B38176" s="49" t="n">
        <v>116</v>
      </c>
      <c r="C38176" s="7" t="n">
        <v>6</v>
      </c>
      <c r="D38176" s="7" t="n">
        <v>1</v>
      </c>
    </row>
    <row r="38177" spans="1:9">
      <c r="A38177" t="s">
        <v>4</v>
      </c>
      <c r="B38177" s="4" t="s">
        <v>5</v>
      </c>
      <c r="C38177" s="4" t="s">
        <v>7</v>
      </c>
      <c r="D38177" s="4" t="s">
        <v>11</v>
      </c>
      <c r="E38177" s="4" t="s">
        <v>8</v>
      </c>
      <c r="F38177" s="4" t="s">
        <v>8</v>
      </c>
      <c r="G38177" s="4" t="s">
        <v>8</v>
      </c>
      <c r="H38177" s="4" t="s">
        <v>8</v>
      </c>
    </row>
    <row r="38178" spans="1:9">
      <c r="A38178" t="n">
        <v>375609</v>
      </c>
      <c r="B38178" s="38" t="n">
        <v>51</v>
      </c>
      <c r="C38178" s="7" t="n">
        <v>3</v>
      </c>
      <c r="D38178" s="7" t="n">
        <v>8</v>
      </c>
      <c r="E38178" s="7" t="s">
        <v>86</v>
      </c>
      <c r="F38178" s="7" t="s">
        <v>79</v>
      </c>
      <c r="G38178" s="7" t="s">
        <v>78</v>
      </c>
      <c r="H38178" s="7" t="s">
        <v>79</v>
      </c>
    </row>
    <row r="38179" spans="1:9">
      <c r="A38179" t="s">
        <v>4</v>
      </c>
      <c r="B38179" s="4" t="s">
        <v>5</v>
      </c>
      <c r="C38179" s="4" t="s">
        <v>11</v>
      </c>
      <c r="D38179" s="4" t="s">
        <v>11</v>
      </c>
      <c r="E38179" s="4" t="s">
        <v>13</v>
      </c>
      <c r="F38179" s="4" t="s">
        <v>7</v>
      </c>
    </row>
    <row r="38180" spans="1:9">
      <c r="A38180" t="n">
        <v>375622</v>
      </c>
      <c r="B38180" s="73" t="n">
        <v>53</v>
      </c>
      <c r="C38180" s="7" t="n">
        <v>0</v>
      </c>
      <c r="D38180" s="7" t="n">
        <v>8</v>
      </c>
      <c r="E38180" s="7" t="n">
        <v>0</v>
      </c>
      <c r="F38180" s="7" t="n">
        <v>0</v>
      </c>
    </row>
    <row r="38181" spans="1:9">
      <c r="A38181" t="s">
        <v>4</v>
      </c>
      <c r="B38181" s="4" t="s">
        <v>5</v>
      </c>
      <c r="C38181" s="4" t="s">
        <v>7</v>
      </c>
      <c r="D38181" s="4" t="s">
        <v>11</v>
      </c>
    </row>
    <row r="38182" spans="1:9">
      <c r="A38182" t="n">
        <v>375632</v>
      </c>
      <c r="B38182" s="23" t="n">
        <v>58</v>
      </c>
      <c r="C38182" s="7" t="n">
        <v>255</v>
      </c>
      <c r="D38182" s="7" t="n">
        <v>0</v>
      </c>
    </row>
    <row r="38183" spans="1:9">
      <c r="A38183" t="s">
        <v>4</v>
      </c>
      <c r="B38183" s="4" t="s">
        <v>5</v>
      </c>
      <c r="C38183" s="4" t="s">
        <v>11</v>
      </c>
      <c r="D38183" s="4" t="s">
        <v>11</v>
      </c>
      <c r="E38183" s="4" t="s">
        <v>13</v>
      </c>
      <c r="F38183" s="4" t="s">
        <v>7</v>
      </c>
    </row>
    <row r="38184" spans="1:9">
      <c r="A38184" t="n">
        <v>375636</v>
      </c>
      <c r="B38184" s="73" t="n">
        <v>53</v>
      </c>
      <c r="C38184" s="7" t="n">
        <v>8</v>
      </c>
      <c r="D38184" s="7" t="n">
        <v>0</v>
      </c>
      <c r="E38184" s="7" t="n">
        <v>5</v>
      </c>
      <c r="F38184" s="7" t="n">
        <v>0</v>
      </c>
    </row>
    <row r="38185" spans="1:9">
      <c r="A38185" t="s">
        <v>4</v>
      </c>
      <c r="B38185" s="4" t="s">
        <v>5</v>
      </c>
      <c r="C38185" s="4" t="s">
        <v>11</v>
      </c>
    </row>
    <row r="38186" spans="1:9">
      <c r="A38186" t="n">
        <v>375646</v>
      </c>
      <c r="B38186" s="66" t="n">
        <v>54</v>
      </c>
      <c r="C38186" s="7" t="n">
        <v>8</v>
      </c>
    </row>
    <row r="38187" spans="1:9">
      <c r="A38187" t="s">
        <v>4</v>
      </c>
      <c r="B38187" s="4" t="s">
        <v>5</v>
      </c>
      <c r="C38187" s="4" t="s">
        <v>7</v>
      </c>
      <c r="D38187" s="4" t="s">
        <v>7</v>
      </c>
    </row>
    <row r="38188" spans="1:9">
      <c r="A38188" t="n">
        <v>375649</v>
      </c>
      <c r="B38188" s="13" t="n">
        <v>49</v>
      </c>
      <c r="C38188" s="7" t="n">
        <v>2</v>
      </c>
      <c r="D38188" s="7" t="n">
        <v>0</v>
      </c>
    </row>
    <row r="38189" spans="1:9">
      <c r="A38189" t="s">
        <v>4</v>
      </c>
      <c r="B38189" s="4" t="s">
        <v>5</v>
      </c>
      <c r="C38189" s="4" t="s">
        <v>7</v>
      </c>
      <c r="D38189" s="4" t="s">
        <v>11</v>
      </c>
      <c r="E38189" s="4" t="s">
        <v>15</v>
      </c>
      <c r="F38189" s="4" t="s">
        <v>11</v>
      </c>
      <c r="G38189" s="4" t="s">
        <v>15</v>
      </c>
      <c r="H38189" s="4" t="s">
        <v>7</v>
      </c>
    </row>
    <row r="38190" spans="1:9">
      <c r="A38190" t="n">
        <v>375652</v>
      </c>
      <c r="B38190" s="13" t="n">
        <v>49</v>
      </c>
      <c r="C38190" s="7" t="n">
        <v>0</v>
      </c>
      <c r="D38190" s="7" t="n">
        <v>551</v>
      </c>
      <c r="E38190" s="7" t="n">
        <v>1061997773</v>
      </c>
      <c r="F38190" s="7" t="n">
        <v>0</v>
      </c>
      <c r="G38190" s="7" t="n">
        <v>0</v>
      </c>
      <c r="H38190" s="7" t="n">
        <v>0</v>
      </c>
    </row>
    <row r="38191" spans="1:9">
      <c r="A38191" t="s">
        <v>4</v>
      </c>
      <c r="B38191" s="4" t="s">
        <v>5</v>
      </c>
      <c r="C38191" s="4" t="s">
        <v>7</v>
      </c>
      <c r="D38191" s="4" t="s">
        <v>11</v>
      </c>
    </row>
    <row r="38192" spans="1:9">
      <c r="A38192" t="n">
        <v>375667</v>
      </c>
      <c r="B38192" s="13" t="n">
        <v>49</v>
      </c>
      <c r="C38192" s="7" t="n">
        <v>6</v>
      </c>
      <c r="D38192" s="7" t="n">
        <v>551</v>
      </c>
    </row>
    <row r="38193" spans="1:8">
      <c r="A38193" t="s">
        <v>4</v>
      </c>
      <c r="B38193" s="4" t="s">
        <v>5</v>
      </c>
      <c r="C38193" s="4" t="s">
        <v>11</v>
      </c>
    </row>
    <row r="38194" spans="1:8">
      <c r="A38194" t="n">
        <v>375671</v>
      </c>
      <c r="B38194" s="29" t="n">
        <v>16</v>
      </c>
      <c r="C38194" s="7" t="n">
        <v>500</v>
      </c>
    </row>
    <row r="38195" spans="1:8">
      <c r="A38195" t="s">
        <v>4</v>
      </c>
      <c r="B38195" s="4" t="s">
        <v>5</v>
      </c>
      <c r="C38195" s="4" t="s">
        <v>7</v>
      </c>
      <c r="D38195" s="4" t="s">
        <v>11</v>
      </c>
      <c r="E38195" s="4" t="s">
        <v>8</v>
      </c>
    </row>
    <row r="38196" spans="1:8">
      <c r="A38196" t="n">
        <v>375674</v>
      </c>
      <c r="B38196" s="38" t="n">
        <v>51</v>
      </c>
      <c r="C38196" s="7" t="n">
        <v>4</v>
      </c>
      <c r="D38196" s="7" t="n">
        <v>8</v>
      </c>
      <c r="E38196" s="7" t="s">
        <v>242</v>
      </c>
    </row>
    <row r="38197" spans="1:8">
      <c r="A38197" t="s">
        <v>4</v>
      </c>
      <c r="B38197" s="4" t="s">
        <v>5</v>
      </c>
      <c r="C38197" s="4" t="s">
        <v>11</v>
      </c>
    </row>
    <row r="38198" spans="1:8">
      <c r="A38198" t="n">
        <v>375688</v>
      </c>
      <c r="B38198" s="29" t="n">
        <v>16</v>
      </c>
      <c r="C38198" s="7" t="n">
        <v>0</v>
      </c>
    </row>
    <row r="38199" spans="1:8">
      <c r="A38199" t="s">
        <v>4</v>
      </c>
      <c r="B38199" s="4" t="s">
        <v>5</v>
      </c>
      <c r="C38199" s="4" t="s">
        <v>11</v>
      </c>
      <c r="D38199" s="4" t="s">
        <v>7</v>
      </c>
      <c r="E38199" s="4" t="s">
        <v>15</v>
      </c>
      <c r="F38199" s="4" t="s">
        <v>55</v>
      </c>
      <c r="G38199" s="4" t="s">
        <v>7</v>
      </c>
      <c r="H38199" s="4" t="s">
        <v>7</v>
      </c>
      <c r="I38199" s="4" t="s">
        <v>7</v>
      </c>
      <c r="J38199" s="4" t="s">
        <v>15</v>
      </c>
      <c r="K38199" s="4" t="s">
        <v>55</v>
      </c>
      <c r="L38199" s="4" t="s">
        <v>7</v>
      </c>
      <c r="M38199" s="4" t="s">
        <v>7</v>
      </c>
      <c r="N38199" s="4" t="s">
        <v>7</v>
      </c>
      <c r="O38199" s="4" t="s">
        <v>15</v>
      </c>
      <c r="P38199" s="4" t="s">
        <v>55</v>
      </c>
      <c r="Q38199" s="4" t="s">
        <v>7</v>
      </c>
      <c r="R38199" s="4" t="s">
        <v>7</v>
      </c>
    </row>
    <row r="38200" spans="1:8">
      <c r="A38200" t="n">
        <v>375691</v>
      </c>
      <c r="B38200" s="55" t="n">
        <v>26</v>
      </c>
      <c r="C38200" s="7" t="n">
        <v>8</v>
      </c>
      <c r="D38200" s="7" t="n">
        <v>17</v>
      </c>
      <c r="E38200" s="7" t="n">
        <v>9800</v>
      </c>
      <c r="F38200" s="7" t="s">
        <v>1151</v>
      </c>
      <c r="G38200" s="7" t="n">
        <v>2</v>
      </c>
      <c r="H38200" s="7" t="n">
        <v>3</v>
      </c>
      <c r="I38200" s="7" t="n">
        <v>17</v>
      </c>
      <c r="J38200" s="7" t="n">
        <v>9801</v>
      </c>
      <c r="K38200" s="7" t="s">
        <v>1152</v>
      </c>
      <c r="L38200" s="7" t="n">
        <v>2</v>
      </c>
      <c r="M38200" s="7" t="n">
        <v>3</v>
      </c>
      <c r="N38200" s="7" t="n">
        <v>17</v>
      </c>
      <c r="O38200" s="7" t="n">
        <v>9802</v>
      </c>
      <c r="P38200" s="7" t="s">
        <v>1153</v>
      </c>
      <c r="Q38200" s="7" t="n">
        <v>2</v>
      </c>
      <c r="R38200" s="7" t="n">
        <v>0</v>
      </c>
    </row>
    <row r="38201" spans="1:8">
      <c r="A38201" t="s">
        <v>4</v>
      </c>
      <c r="B38201" s="4" t="s">
        <v>5</v>
      </c>
    </row>
    <row r="38202" spans="1:8">
      <c r="A38202" t="n">
        <v>376073</v>
      </c>
      <c r="B38202" s="27" t="n">
        <v>28</v>
      </c>
    </row>
    <row r="38203" spans="1:8">
      <c r="A38203" t="s">
        <v>4</v>
      </c>
      <c r="B38203" s="4" t="s">
        <v>5</v>
      </c>
      <c r="C38203" s="4" t="s">
        <v>7</v>
      </c>
      <c r="D38203" s="4" t="s">
        <v>11</v>
      </c>
      <c r="E38203" s="4" t="s">
        <v>8</v>
      </c>
    </row>
    <row r="38204" spans="1:8">
      <c r="A38204" t="n">
        <v>376074</v>
      </c>
      <c r="B38204" s="38" t="n">
        <v>51</v>
      </c>
      <c r="C38204" s="7" t="n">
        <v>4</v>
      </c>
      <c r="D38204" s="7" t="n">
        <v>0</v>
      </c>
      <c r="E38204" s="7" t="s">
        <v>242</v>
      </c>
    </row>
    <row r="38205" spans="1:8">
      <c r="A38205" t="s">
        <v>4</v>
      </c>
      <c r="B38205" s="4" t="s">
        <v>5</v>
      </c>
      <c r="C38205" s="4" t="s">
        <v>11</v>
      </c>
    </row>
    <row r="38206" spans="1:8">
      <c r="A38206" t="n">
        <v>376088</v>
      </c>
      <c r="B38206" s="29" t="n">
        <v>16</v>
      </c>
      <c r="C38206" s="7" t="n">
        <v>0</v>
      </c>
    </row>
    <row r="38207" spans="1:8">
      <c r="A38207" t="s">
        <v>4</v>
      </c>
      <c r="B38207" s="4" t="s">
        <v>5</v>
      </c>
      <c r="C38207" s="4" t="s">
        <v>11</v>
      </c>
      <c r="D38207" s="4" t="s">
        <v>7</v>
      </c>
      <c r="E38207" s="4" t="s">
        <v>15</v>
      </c>
      <c r="F38207" s="4" t="s">
        <v>55</v>
      </c>
      <c r="G38207" s="4" t="s">
        <v>7</v>
      </c>
      <c r="H38207" s="4" t="s">
        <v>7</v>
      </c>
    </row>
    <row r="38208" spans="1:8">
      <c r="A38208" t="n">
        <v>376091</v>
      </c>
      <c r="B38208" s="55" t="n">
        <v>26</v>
      </c>
      <c r="C38208" s="7" t="n">
        <v>0</v>
      </c>
      <c r="D38208" s="7" t="n">
        <v>17</v>
      </c>
      <c r="E38208" s="7" t="n">
        <v>64230</v>
      </c>
      <c r="F38208" s="7" t="s">
        <v>1154</v>
      </c>
      <c r="G38208" s="7" t="n">
        <v>2</v>
      </c>
      <c r="H38208" s="7" t="n">
        <v>0</v>
      </c>
    </row>
    <row r="38209" spans="1:18">
      <c r="A38209" t="s">
        <v>4</v>
      </c>
      <c r="B38209" s="4" t="s">
        <v>5</v>
      </c>
    </row>
    <row r="38210" spans="1:18">
      <c r="A38210" t="n">
        <v>376176</v>
      </c>
      <c r="B38210" s="27" t="n">
        <v>28</v>
      </c>
    </row>
    <row r="38211" spans="1:18">
      <c r="A38211" t="s">
        <v>4</v>
      </c>
      <c r="B38211" s="4" t="s">
        <v>5</v>
      </c>
      <c r="C38211" s="4" t="s">
        <v>7</v>
      </c>
      <c r="D38211" s="4" t="s">
        <v>11</v>
      </c>
      <c r="E38211" s="4" t="s">
        <v>8</v>
      </c>
    </row>
    <row r="38212" spans="1:18">
      <c r="A38212" t="n">
        <v>376177</v>
      </c>
      <c r="B38212" s="38" t="n">
        <v>51</v>
      </c>
      <c r="C38212" s="7" t="n">
        <v>4</v>
      </c>
      <c r="D38212" s="7" t="n">
        <v>8</v>
      </c>
      <c r="E38212" s="7" t="s">
        <v>242</v>
      </c>
    </row>
    <row r="38213" spans="1:18">
      <c r="A38213" t="s">
        <v>4</v>
      </c>
      <c r="B38213" s="4" t="s">
        <v>5</v>
      </c>
      <c r="C38213" s="4" t="s">
        <v>11</v>
      </c>
    </row>
    <row r="38214" spans="1:18">
      <c r="A38214" t="n">
        <v>376191</v>
      </c>
      <c r="B38214" s="29" t="n">
        <v>16</v>
      </c>
      <c r="C38214" s="7" t="n">
        <v>0</v>
      </c>
    </row>
    <row r="38215" spans="1:18">
      <c r="A38215" t="s">
        <v>4</v>
      </c>
      <c r="B38215" s="4" t="s">
        <v>5</v>
      </c>
      <c r="C38215" s="4" t="s">
        <v>11</v>
      </c>
      <c r="D38215" s="4" t="s">
        <v>7</v>
      </c>
      <c r="E38215" s="4" t="s">
        <v>15</v>
      </c>
      <c r="F38215" s="4" t="s">
        <v>55</v>
      </c>
      <c r="G38215" s="4" t="s">
        <v>7</v>
      </c>
      <c r="H38215" s="4" t="s">
        <v>7</v>
      </c>
      <c r="I38215" s="4" t="s">
        <v>7</v>
      </c>
      <c r="J38215" s="4" t="s">
        <v>15</v>
      </c>
      <c r="K38215" s="4" t="s">
        <v>55</v>
      </c>
      <c r="L38215" s="4" t="s">
        <v>7</v>
      </c>
      <c r="M38215" s="4" t="s">
        <v>7</v>
      </c>
      <c r="N38215" s="4" t="s">
        <v>7</v>
      </c>
      <c r="O38215" s="4" t="s">
        <v>15</v>
      </c>
      <c r="P38215" s="4" t="s">
        <v>55</v>
      </c>
      <c r="Q38215" s="4" t="s">
        <v>7</v>
      </c>
      <c r="R38215" s="4" t="s">
        <v>7</v>
      </c>
      <c r="S38215" s="4" t="s">
        <v>7</v>
      </c>
      <c r="T38215" s="4" t="s">
        <v>15</v>
      </c>
      <c r="U38215" s="4" t="s">
        <v>55</v>
      </c>
      <c r="V38215" s="4" t="s">
        <v>7</v>
      </c>
      <c r="W38215" s="4" t="s">
        <v>7</v>
      </c>
    </row>
    <row r="38216" spans="1:18">
      <c r="A38216" t="n">
        <v>376194</v>
      </c>
      <c r="B38216" s="55" t="n">
        <v>26</v>
      </c>
      <c r="C38216" s="7" t="n">
        <v>8</v>
      </c>
      <c r="D38216" s="7" t="n">
        <v>17</v>
      </c>
      <c r="E38216" s="7" t="n">
        <v>9803</v>
      </c>
      <c r="F38216" s="7" t="s">
        <v>1155</v>
      </c>
      <c r="G38216" s="7" t="n">
        <v>2</v>
      </c>
      <c r="H38216" s="7" t="n">
        <v>3</v>
      </c>
      <c r="I38216" s="7" t="n">
        <v>17</v>
      </c>
      <c r="J38216" s="7" t="n">
        <v>9804</v>
      </c>
      <c r="K38216" s="7" t="s">
        <v>1156</v>
      </c>
      <c r="L38216" s="7" t="n">
        <v>2</v>
      </c>
      <c r="M38216" s="7" t="n">
        <v>3</v>
      </c>
      <c r="N38216" s="7" t="n">
        <v>17</v>
      </c>
      <c r="O38216" s="7" t="n">
        <v>9805</v>
      </c>
      <c r="P38216" s="7" t="s">
        <v>1157</v>
      </c>
      <c r="Q38216" s="7" t="n">
        <v>2</v>
      </c>
      <c r="R38216" s="7" t="n">
        <v>3</v>
      </c>
      <c r="S38216" s="7" t="n">
        <v>17</v>
      </c>
      <c r="T38216" s="7" t="n">
        <v>9806</v>
      </c>
      <c r="U38216" s="7" t="s">
        <v>1158</v>
      </c>
      <c r="V38216" s="7" t="n">
        <v>2</v>
      </c>
      <c r="W38216" s="7" t="n">
        <v>0</v>
      </c>
    </row>
    <row r="38217" spans="1:18">
      <c r="A38217" t="s">
        <v>4</v>
      </c>
      <c r="B38217" s="4" t="s">
        <v>5</v>
      </c>
    </row>
    <row r="38218" spans="1:18">
      <c r="A38218" t="n">
        <v>376683</v>
      </c>
      <c r="B38218" s="27" t="n">
        <v>28</v>
      </c>
    </row>
    <row r="38219" spans="1:18">
      <c r="A38219" t="s">
        <v>4</v>
      </c>
      <c r="B38219" s="4" t="s">
        <v>5</v>
      </c>
      <c r="C38219" s="4" t="s">
        <v>11</v>
      </c>
      <c r="D38219" s="4" t="s">
        <v>7</v>
      </c>
    </row>
    <row r="38220" spans="1:18">
      <c r="A38220" t="n">
        <v>376684</v>
      </c>
      <c r="B38220" s="68" t="n">
        <v>89</v>
      </c>
      <c r="C38220" s="7" t="n">
        <v>65533</v>
      </c>
      <c r="D38220" s="7" t="n">
        <v>1</v>
      </c>
    </row>
    <row r="38221" spans="1:18">
      <c r="A38221" t="s">
        <v>4</v>
      </c>
      <c r="B38221" s="4" t="s">
        <v>5</v>
      </c>
      <c r="C38221" s="4" t="s">
        <v>7</v>
      </c>
      <c r="D38221" s="4" t="s">
        <v>11</v>
      </c>
      <c r="E38221" s="4" t="s">
        <v>13</v>
      </c>
    </row>
    <row r="38222" spans="1:18">
      <c r="A38222" t="n">
        <v>376688</v>
      </c>
      <c r="B38222" s="23" t="n">
        <v>58</v>
      </c>
      <c r="C38222" s="7" t="n">
        <v>101</v>
      </c>
      <c r="D38222" s="7" t="n">
        <v>500</v>
      </c>
      <c r="E38222" s="7" t="n">
        <v>1</v>
      </c>
    </row>
    <row r="38223" spans="1:18">
      <c r="A38223" t="s">
        <v>4</v>
      </c>
      <c r="B38223" s="4" t="s">
        <v>5</v>
      </c>
      <c r="C38223" s="4" t="s">
        <v>7</v>
      </c>
      <c r="D38223" s="4" t="s">
        <v>11</v>
      </c>
    </row>
    <row r="38224" spans="1:18">
      <c r="A38224" t="n">
        <v>376696</v>
      </c>
      <c r="B38224" s="23" t="n">
        <v>58</v>
      </c>
      <c r="C38224" s="7" t="n">
        <v>254</v>
      </c>
      <c r="D38224" s="7" t="n">
        <v>0</v>
      </c>
    </row>
    <row r="38225" spans="1:23">
      <c r="A38225" t="s">
        <v>4</v>
      </c>
      <c r="B38225" s="4" t="s">
        <v>5</v>
      </c>
      <c r="C38225" s="4" t="s">
        <v>7</v>
      </c>
      <c r="D38225" s="4" t="s">
        <v>7</v>
      </c>
      <c r="E38225" s="4" t="s">
        <v>13</v>
      </c>
      <c r="F38225" s="4" t="s">
        <v>13</v>
      </c>
      <c r="G38225" s="4" t="s">
        <v>13</v>
      </c>
      <c r="H38225" s="4" t="s">
        <v>11</v>
      </c>
    </row>
    <row r="38226" spans="1:23">
      <c r="A38226" t="n">
        <v>376700</v>
      </c>
      <c r="B38226" s="51" t="n">
        <v>45</v>
      </c>
      <c r="C38226" s="7" t="n">
        <v>2</v>
      </c>
      <c r="D38226" s="7" t="n">
        <v>3</v>
      </c>
      <c r="E38226" s="7" t="n">
        <v>-6.8899998664856</v>
      </c>
      <c r="F38226" s="7" t="n">
        <v>6.5</v>
      </c>
      <c r="G38226" s="7" t="n">
        <v>29.9400005340576</v>
      </c>
      <c r="H38226" s="7" t="n">
        <v>0</v>
      </c>
    </row>
    <row r="38227" spans="1:23">
      <c r="A38227" t="s">
        <v>4</v>
      </c>
      <c r="B38227" s="4" t="s">
        <v>5</v>
      </c>
      <c r="C38227" s="4" t="s">
        <v>7</v>
      </c>
      <c r="D38227" s="4" t="s">
        <v>7</v>
      </c>
      <c r="E38227" s="4" t="s">
        <v>13</v>
      </c>
      <c r="F38227" s="4" t="s">
        <v>13</v>
      </c>
      <c r="G38227" s="4" t="s">
        <v>13</v>
      </c>
      <c r="H38227" s="4" t="s">
        <v>11</v>
      </c>
      <c r="I38227" s="4" t="s">
        <v>7</v>
      </c>
    </row>
    <row r="38228" spans="1:23">
      <c r="A38228" t="n">
        <v>376717</v>
      </c>
      <c r="B38228" s="51" t="n">
        <v>45</v>
      </c>
      <c r="C38228" s="7" t="n">
        <v>4</v>
      </c>
      <c r="D38228" s="7" t="n">
        <v>3</v>
      </c>
      <c r="E38228" s="7" t="n">
        <v>355.829986572266</v>
      </c>
      <c r="F38228" s="7" t="n">
        <v>50.6699981689453</v>
      </c>
      <c r="G38228" s="7" t="n">
        <v>8</v>
      </c>
      <c r="H38228" s="7" t="n">
        <v>0</v>
      </c>
      <c r="I38228" s="7" t="n">
        <v>0</v>
      </c>
    </row>
    <row r="38229" spans="1:23">
      <c r="A38229" t="s">
        <v>4</v>
      </c>
      <c r="B38229" s="4" t="s">
        <v>5</v>
      </c>
      <c r="C38229" s="4" t="s">
        <v>7</v>
      </c>
      <c r="D38229" s="4" t="s">
        <v>7</v>
      </c>
      <c r="E38229" s="4" t="s">
        <v>13</v>
      </c>
      <c r="F38229" s="4" t="s">
        <v>11</v>
      </c>
    </row>
    <row r="38230" spans="1:23">
      <c r="A38230" t="n">
        <v>376735</v>
      </c>
      <c r="B38230" s="51" t="n">
        <v>45</v>
      </c>
      <c r="C38230" s="7" t="n">
        <v>5</v>
      </c>
      <c r="D38230" s="7" t="n">
        <v>3</v>
      </c>
      <c r="E38230" s="7" t="n">
        <v>1.10000002384186</v>
      </c>
      <c r="F38230" s="7" t="n">
        <v>0</v>
      </c>
    </row>
    <row r="38231" spans="1:23">
      <c r="A38231" t="s">
        <v>4</v>
      </c>
      <c r="B38231" s="4" t="s">
        <v>5</v>
      </c>
      <c r="C38231" s="4" t="s">
        <v>7</v>
      </c>
      <c r="D38231" s="4" t="s">
        <v>7</v>
      </c>
      <c r="E38231" s="4" t="s">
        <v>13</v>
      </c>
      <c r="F38231" s="4" t="s">
        <v>11</v>
      </c>
    </row>
    <row r="38232" spans="1:23">
      <c r="A38232" t="n">
        <v>376744</v>
      </c>
      <c r="B38232" s="51" t="n">
        <v>45</v>
      </c>
      <c r="C38232" s="7" t="n">
        <v>11</v>
      </c>
      <c r="D38232" s="7" t="n">
        <v>3</v>
      </c>
      <c r="E38232" s="7" t="n">
        <v>40.2999992370605</v>
      </c>
      <c r="F38232" s="7" t="n">
        <v>0</v>
      </c>
    </row>
    <row r="38233" spans="1:23">
      <c r="A38233" t="s">
        <v>4</v>
      </c>
      <c r="B38233" s="4" t="s">
        <v>5</v>
      </c>
      <c r="C38233" s="4" t="s">
        <v>7</v>
      </c>
      <c r="D38233" s="4" t="s">
        <v>11</v>
      </c>
    </row>
    <row r="38234" spans="1:23">
      <c r="A38234" t="n">
        <v>376753</v>
      </c>
      <c r="B38234" s="23" t="n">
        <v>58</v>
      </c>
      <c r="C38234" s="7" t="n">
        <v>255</v>
      </c>
      <c r="D38234" s="7" t="n">
        <v>0</v>
      </c>
    </row>
    <row r="38235" spans="1:23">
      <c r="A38235" t="s">
        <v>4</v>
      </c>
      <c r="B38235" s="4" t="s">
        <v>5</v>
      </c>
      <c r="C38235" s="4" t="s">
        <v>7</v>
      </c>
      <c r="D38235" s="4" t="s">
        <v>11</v>
      </c>
      <c r="E38235" s="4" t="s">
        <v>8</v>
      </c>
    </row>
    <row r="38236" spans="1:23">
      <c r="A38236" t="n">
        <v>376757</v>
      </c>
      <c r="B38236" s="38" t="n">
        <v>51</v>
      </c>
      <c r="C38236" s="7" t="n">
        <v>4</v>
      </c>
      <c r="D38236" s="7" t="n">
        <v>0</v>
      </c>
      <c r="E38236" s="7" t="s">
        <v>147</v>
      </c>
    </row>
    <row r="38237" spans="1:23">
      <c r="A38237" t="s">
        <v>4</v>
      </c>
      <c r="B38237" s="4" t="s">
        <v>5</v>
      </c>
      <c r="C38237" s="4" t="s">
        <v>11</v>
      </c>
    </row>
    <row r="38238" spans="1:23">
      <c r="A38238" t="n">
        <v>376771</v>
      </c>
      <c r="B38238" s="29" t="n">
        <v>16</v>
      </c>
      <c r="C38238" s="7" t="n">
        <v>0</v>
      </c>
    </row>
    <row r="38239" spans="1:23">
      <c r="A38239" t="s">
        <v>4</v>
      </c>
      <c r="B38239" s="4" t="s">
        <v>5</v>
      </c>
      <c r="C38239" s="4" t="s">
        <v>11</v>
      </c>
      <c r="D38239" s="4" t="s">
        <v>7</v>
      </c>
      <c r="E38239" s="4" t="s">
        <v>15</v>
      </c>
      <c r="F38239" s="4" t="s">
        <v>55</v>
      </c>
      <c r="G38239" s="4" t="s">
        <v>7</v>
      </c>
      <c r="H38239" s="4" t="s">
        <v>7</v>
      </c>
      <c r="I38239" s="4" t="s">
        <v>7</v>
      </c>
      <c r="J38239" s="4" t="s">
        <v>15</v>
      </c>
      <c r="K38239" s="4" t="s">
        <v>55</v>
      </c>
      <c r="L38239" s="4" t="s">
        <v>7</v>
      </c>
      <c r="M38239" s="4" t="s">
        <v>7</v>
      </c>
    </row>
    <row r="38240" spans="1:23">
      <c r="A38240" t="n">
        <v>376774</v>
      </c>
      <c r="B38240" s="55" t="n">
        <v>26</v>
      </c>
      <c r="C38240" s="7" t="n">
        <v>0</v>
      </c>
      <c r="D38240" s="7" t="n">
        <v>17</v>
      </c>
      <c r="E38240" s="7" t="n">
        <v>64231</v>
      </c>
      <c r="F38240" s="7" t="s">
        <v>1159</v>
      </c>
      <c r="G38240" s="7" t="n">
        <v>2</v>
      </c>
      <c r="H38240" s="7" t="n">
        <v>3</v>
      </c>
      <c r="I38240" s="7" t="n">
        <v>17</v>
      </c>
      <c r="J38240" s="7" t="n">
        <v>64232</v>
      </c>
      <c r="K38240" s="7" t="s">
        <v>1160</v>
      </c>
      <c r="L38240" s="7" t="n">
        <v>2</v>
      </c>
      <c r="M38240" s="7" t="n">
        <v>0</v>
      </c>
    </row>
    <row r="38241" spans="1:13">
      <c r="A38241" t="s">
        <v>4</v>
      </c>
      <c r="B38241" s="4" t="s">
        <v>5</v>
      </c>
    </row>
    <row r="38242" spans="1:13">
      <c r="A38242" t="n">
        <v>376871</v>
      </c>
      <c r="B38242" s="27" t="n">
        <v>28</v>
      </c>
    </row>
    <row r="38243" spans="1:13">
      <c r="A38243" t="s">
        <v>4</v>
      </c>
      <c r="B38243" s="4" t="s">
        <v>5</v>
      </c>
      <c r="C38243" s="4" t="s">
        <v>7</v>
      </c>
      <c r="D38243" s="4" t="s">
        <v>11</v>
      </c>
      <c r="E38243" s="4" t="s">
        <v>8</v>
      </c>
    </row>
    <row r="38244" spans="1:13">
      <c r="A38244" t="n">
        <v>376872</v>
      </c>
      <c r="B38244" s="38" t="n">
        <v>51</v>
      </c>
      <c r="C38244" s="7" t="n">
        <v>4</v>
      </c>
      <c r="D38244" s="7" t="n">
        <v>8</v>
      </c>
      <c r="E38244" s="7" t="s">
        <v>147</v>
      </c>
    </row>
    <row r="38245" spans="1:13">
      <c r="A38245" t="s">
        <v>4</v>
      </c>
      <c r="B38245" s="4" t="s">
        <v>5</v>
      </c>
      <c r="C38245" s="4" t="s">
        <v>11</v>
      </c>
    </row>
    <row r="38246" spans="1:13">
      <c r="A38246" t="n">
        <v>376886</v>
      </c>
      <c r="B38246" s="29" t="n">
        <v>16</v>
      </c>
      <c r="C38246" s="7" t="n">
        <v>0</v>
      </c>
    </row>
    <row r="38247" spans="1:13">
      <c r="A38247" t="s">
        <v>4</v>
      </c>
      <c r="B38247" s="4" t="s">
        <v>5</v>
      </c>
      <c r="C38247" s="4" t="s">
        <v>11</v>
      </c>
      <c r="D38247" s="4" t="s">
        <v>7</v>
      </c>
      <c r="E38247" s="4" t="s">
        <v>15</v>
      </c>
      <c r="F38247" s="4" t="s">
        <v>55</v>
      </c>
      <c r="G38247" s="4" t="s">
        <v>7</v>
      </c>
      <c r="H38247" s="4" t="s">
        <v>7</v>
      </c>
    </row>
    <row r="38248" spans="1:13">
      <c r="A38248" t="n">
        <v>376889</v>
      </c>
      <c r="B38248" s="55" t="n">
        <v>26</v>
      </c>
      <c r="C38248" s="7" t="n">
        <v>8</v>
      </c>
      <c r="D38248" s="7" t="n">
        <v>17</v>
      </c>
      <c r="E38248" s="7" t="n">
        <v>9807</v>
      </c>
      <c r="F38248" s="7" t="s">
        <v>1161</v>
      </c>
      <c r="G38248" s="7" t="n">
        <v>2</v>
      </c>
      <c r="H38248" s="7" t="n">
        <v>0</v>
      </c>
    </row>
    <row r="38249" spans="1:13">
      <c r="A38249" t="s">
        <v>4</v>
      </c>
      <c r="B38249" s="4" t="s">
        <v>5</v>
      </c>
    </row>
    <row r="38250" spans="1:13">
      <c r="A38250" t="n">
        <v>376903</v>
      </c>
      <c r="B38250" s="27" t="n">
        <v>28</v>
      </c>
    </row>
    <row r="38251" spans="1:13">
      <c r="A38251" t="s">
        <v>4</v>
      </c>
      <c r="B38251" s="4" t="s">
        <v>5</v>
      </c>
      <c r="C38251" s="4" t="s">
        <v>11</v>
      </c>
      <c r="D38251" s="4" t="s">
        <v>7</v>
      </c>
    </row>
    <row r="38252" spans="1:13">
      <c r="A38252" t="n">
        <v>376904</v>
      </c>
      <c r="B38252" s="68" t="n">
        <v>89</v>
      </c>
      <c r="C38252" s="7" t="n">
        <v>65533</v>
      </c>
      <c r="D38252" s="7" t="n">
        <v>1</v>
      </c>
    </row>
    <row r="38253" spans="1:13">
      <c r="A38253" t="s">
        <v>4</v>
      </c>
      <c r="B38253" s="4" t="s">
        <v>5</v>
      </c>
      <c r="C38253" s="4" t="s">
        <v>7</v>
      </c>
      <c r="D38253" s="4" t="s">
        <v>11</v>
      </c>
      <c r="E38253" s="4" t="s">
        <v>13</v>
      </c>
    </row>
    <row r="38254" spans="1:13">
      <c r="A38254" t="n">
        <v>376908</v>
      </c>
      <c r="B38254" s="23" t="n">
        <v>58</v>
      </c>
      <c r="C38254" s="7" t="n">
        <v>101</v>
      </c>
      <c r="D38254" s="7" t="n">
        <v>500</v>
      </c>
      <c r="E38254" s="7" t="n">
        <v>1</v>
      </c>
    </row>
    <row r="38255" spans="1:13">
      <c r="A38255" t="s">
        <v>4</v>
      </c>
      <c r="B38255" s="4" t="s">
        <v>5</v>
      </c>
      <c r="C38255" s="4" t="s">
        <v>7</v>
      </c>
      <c r="D38255" s="4" t="s">
        <v>11</v>
      </c>
    </row>
    <row r="38256" spans="1:13">
      <c r="A38256" t="n">
        <v>376916</v>
      </c>
      <c r="B38256" s="23" t="n">
        <v>58</v>
      </c>
      <c r="C38256" s="7" t="n">
        <v>254</v>
      </c>
      <c r="D38256" s="7" t="n">
        <v>0</v>
      </c>
    </row>
    <row r="38257" spans="1:8">
      <c r="A38257" t="s">
        <v>4</v>
      </c>
      <c r="B38257" s="4" t="s">
        <v>5</v>
      </c>
      <c r="C38257" s="4" t="s">
        <v>7</v>
      </c>
      <c r="D38257" s="4" t="s">
        <v>7</v>
      </c>
      <c r="E38257" s="4" t="s">
        <v>13</v>
      </c>
      <c r="F38257" s="4" t="s">
        <v>13</v>
      </c>
      <c r="G38257" s="4" t="s">
        <v>13</v>
      </c>
      <c r="H38257" s="4" t="s">
        <v>11</v>
      </c>
    </row>
    <row r="38258" spans="1:8">
      <c r="A38258" t="n">
        <v>376920</v>
      </c>
      <c r="B38258" s="51" t="n">
        <v>45</v>
      </c>
      <c r="C38258" s="7" t="n">
        <v>2</v>
      </c>
      <c r="D38258" s="7" t="n">
        <v>3</v>
      </c>
      <c r="E38258" s="7" t="n">
        <v>-6.6100001335144</v>
      </c>
      <c r="F38258" s="7" t="n">
        <v>6.44000005722046</v>
      </c>
      <c r="G38258" s="7" t="n">
        <v>29.9300003051758</v>
      </c>
      <c r="H38258" s="7" t="n">
        <v>0</v>
      </c>
    </row>
    <row r="38259" spans="1:8">
      <c r="A38259" t="s">
        <v>4</v>
      </c>
      <c r="B38259" s="4" t="s">
        <v>5</v>
      </c>
      <c r="C38259" s="4" t="s">
        <v>7</v>
      </c>
      <c r="D38259" s="4" t="s">
        <v>7</v>
      </c>
      <c r="E38259" s="4" t="s">
        <v>13</v>
      </c>
      <c r="F38259" s="4" t="s">
        <v>13</v>
      </c>
      <c r="G38259" s="4" t="s">
        <v>13</v>
      </c>
      <c r="H38259" s="4" t="s">
        <v>11</v>
      </c>
      <c r="I38259" s="4" t="s">
        <v>7</v>
      </c>
    </row>
    <row r="38260" spans="1:8">
      <c r="A38260" t="n">
        <v>376937</v>
      </c>
      <c r="B38260" s="51" t="n">
        <v>45</v>
      </c>
      <c r="C38260" s="7" t="n">
        <v>4</v>
      </c>
      <c r="D38260" s="7" t="n">
        <v>3</v>
      </c>
      <c r="E38260" s="7" t="n">
        <v>357</v>
      </c>
      <c r="F38260" s="7" t="n">
        <v>284.700012207031</v>
      </c>
      <c r="G38260" s="7" t="n">
        <v>4</v>
      </c>
      <c r="H38260" s="7" t="n">
        <v>0</v>
      </c>
      <c r="I38260" s="7" t="n">
        <v>0</v>
      </c>
    </row>
    <row r="38261" spans="1:8">
      <c r="A38261" t="s">
        <v>4</v>
      </c>
      <c r="B38261" s="4" t="s">
        <v>5</v>
      </c>
      <c r="C38261" s="4" t="s">
        <v>7</v>
      </c>
      <c r="D38261" s="4" t="s">
        <v>7</v>
      </c>
      <c r="E38261" s="4" t="s">
        <v>13</v>
      </c>
      <c r="F38261" s="4" t="s">
        <v>11</v>
      </c>
    </row>
    <row r="38262" spans="1:8">
      <c r="A38262" t="n">
        <v>376955</v>
      </c>
      <c r="B38262" s="51" t="n">
        <v>45</v>
      </c>
      <c r="C38262" s="7" t="n">
        <v>5</v>
      </c>
      <c r="D38262" s="7" t="n">
        <v>3</v>
      </c>
      <c r="E38262" s="7" t="n">
        <v>1</v>
      </c>
      <c r="F38262" s="7" t="n">
        <v>0</v>
      </c>
    </row>
    <row r="38263" spans="1:8">
      <c r="A38263" t="s">
        <v>4</v>
      </c>
      <c r="B38263" s="4" t="s">
        <v>5</v>
      </c>
      <c r="C38263" s="4" t="s">
        <v>7</v>
      </c>
      <c r="D38263" s="4" t="s">
        <v>7</v>
      </c>
      <c r="E38263" s="4" t="s">
        <v>13</v>
      </c>
      <c r="F38263" s="4" t="s">
        <v>11</v>
      </c>
    </row>
    <row r="38264" spans="1:8">
      <c r="A38264" t="n">
        <v>376964</v>
      </c>
      <c r="B38264" s="51" t="n">
        <v>45</v>
      </c>
      <c r="C38264" s="7" t="n">
        <v>11</v>
      </c>
      <c r="D38264" s="7" t="n">
        <v>3</v>
      </c>
      <c r="E38264" s="7" t="n">
        <v>40.2999992370605</v>
      </c>
      <c r="F38264" s="7" t="n">
        <v>0</v>
      </c>
    </row>
    <row r="38265" spans="1:8">
      <c r="A38265" t="s">
        <v>4</v>
      </c>
      <c r="B38265" s="4" t="s">
        <v>5</v>
      </c>
      <c r="C38265" s="4" t="s">
        <v>7</v>
      </c>
      <c r="D38265" s="4" t="s">
        <v>11</v>
      </c>
    </row>
    <row r="38266" spans="1:8">
      <c r="A38266" t="n">
        <v>376973</v>
      </c>
      <c r="B38266" s="23" t="n">
        <v>58</v>
      </c>
      <c r="C38266" s="7" t="n">
        <v>255</v>
      </c>
      <c r="D38266" s="7" t="n">
        <v>0</v>
      </c>
    </row>
    <row r="38267" spans="1:8">
      <c r="A38267" t="s">
        <v>4</v>
      </c>
      <c r="B38267" s="4" t="s">
        <v>5</v>
      </c>
      <c r="C38267" s="4" t="s">
        <v>7</v>
      </c>
      <c r="D38267" s="4" t="s">
        <v>11</v>
      </c>
      <c r="E38267" s="4" t="s">
        <v>8</v>
      </c>
    </row>
    <row r="38268" spans="1:8">
      <c r="A38268" t="n">
        <v>376977</v>
      </c>
      <c r="B38268" s="38" t="n">
        <v>51</v>
      </c>
      <c r="C38268" s="7" t="n">
        <v>4</v>
      </c>
      <c r="D38268" s="7" t="n">
        <v>0</v>
      </c>
      <c r="E38268" s="7" t="s">
        <v>179</v>
      </c>
    </row>
    <row r="38269" spans="1:8">
      <c r="A38269" t="s">
        <v>4</v>
      </c>
      <c r="B38269" s="4" t="s">
        <v>5</v>
      </c>
      <c r="C38269" s="4" t="s">
        <v>11</v>
      </c>
    </row>
    <row r="38270" spans="1:8">
      <c r="A38270" t="n">
        <v>376991</v>
      </c>
      <c r="B38270" s="29" t="n">
        <v>16</v>
      </c>
      <c r="C38270" s="7" t="n">
        <v>0</v>
      </c>
    </row>
    <row r="38271" spans="1:8">
      <c r="A38271" t="s">
        <v>4</v>
      </c>
      <c r="B38271" s="4" t="s">
        <v>5</v>
      </c>
      <c r="C38271" s="4" t="s">
        <v>11</v>
      </c>
      <c r="D38271" s="4" t="s">
        <v>7</v>
      </c>
      <c r="E38271" s="4" t="s">
        <v>15</v>
      </c>
      <c r="F38271" s="4" t="s">
        <v>55</v>
      </c>
      <c r="G38271" s="4" t="s">
        <v>7</v>
      </c>
      <c r="H38271" s="4" t="s">
        <v>7</v>
      </c>
      <c r="I38271" s="4" t="s">
        <v>7</v>
      </c>
      <c r="J38271" s="4" t="s">
        <v>15</v>
      </c>
      <c r="K38271" s="4" t="s">
        <v>55</v>
      </c>
      <c r="L38271" s="4" t="s">
        <v>7</v>
      </c>
      <c r="M38271" s="4" t="s">
        <v>7</v>
      </c>
      <c r="N38271" s="4" t="s">
        <v>7</v>
      </c>
      <c r="O38271" s="4" t="s">
        <v>15</v>
      </c>
      <c r="P38271" s="4" t="s">
        <v>55</v>
      </c>
      <c r="Q38271" s="4" t="s">
        <v>7</v>
      </c>
      <c r="R38271" s="4" t="s">
        <v>7</v>
      </c>
    </row>
    <row r="38272" spans="1:8">
      <c r="A38272" t="n">
        <v>376994</v>
      </c>
      <c r="B38272" s="55" t="n">
        <v>26</v>
      </c>
      <c r="C38272" s="7" t="n">
        <v>0</v>
      </c>
      <c r="D38272" s="7" t="n">
        <v>17</v>
      </c>
      <c r="E38272" s="7" t="n">
        <v>64233</v>
      </c>
      <c r="F38272" s="7" t="s">
        <v>1162</v>
      </c>
      <c r="G38272" s="7" t="n">
        <v>2</v>
      </c>
      <c r="H38272" s="7" t="n">
        <v>3</v>
      </c>
      <c r="I38272" s="7" t="n">
        <v>17</v>
      </c>
      <c r="J38272" s="7" t="n">
        <v>64234</v>
      </c>
      <c r="K38272" s="7" t="s">
        <v>1163</v>
      </c>
      <c r="L38272" s="7" t="n">
        <v>2</v>
      </c>
      <c r="M38272" s="7" t="n">
        <v>3</v>
      </c>
      <c r="N38272" s="7" t="n">
        <v>17</v>
      </c>
      <c r="O38272" s="7" t="n">
        <v>64235</v>
      </c>
      <c r="P38272" s="7" t="s">
        <v>1164</v>
      </c>
      <c r="Q38272" s="7" t="n">
        <v>2</v>
      </c>
      <c r="R38272" s="7" t="n">
        <v>0</v>
      </c>
    </row>
    <row r="38273" spans="1:18">
      <c r="A38273" t="s">
        <v>4</v>
      </c>
      <c r="B38273" s="4" t="s">
        <v>5</v>
      </c>
    </row>
    <row r="38274" spans="1:18">
      <c r="A38274" t="n">
        <v>377349</v>
      </c>
      <c r="B38274" s="27" t="n">
        <v>28</v>
      </c>
    </row>
    <row r="38275" spans="1:18">
      <c r="A38275" t="s">
        <v>4</v>
      </c>
      <c r="B38275" s="4" t="s">
        <v>5</v>
      </c>
      <c r="C38275" s="4" t="s">
        <v>11</v>
      </c>
      <c r="D38275" s="4" t="s">
        <v>7</v>
      </c>
    </row>
    <row r="38276" spans="1:18">
      <c r="A38276" t="n">
        <v>377350</v>
      </c>
      <c r="B38276" s="68" t="n">
        <v>89</v>
      </c>
      <c r="C38276" s="7" t="n">
        <v>65533</v>
      </c>
      <c r="D38276" s="7" t="n">
        <v>1</v>
      </c>
    </row>
    <row r="38277" spans="1:18">
      <c r="A38277" t="s">
        <v>4</v>
      </c>
      <c r="B38277" s="4" t="s">
        <v>5</v>
      </c>
      <c r="C38277" s="4" t="s">
        <v>7</v>
      </c>
      <c r="D38277" s="4" t="s">
        <v>11</v>
      </c>
      <c r="E38277" s="4" t="s">
        <v>13</v>
      </c>
    </row>
    <row r="38278" spans="1:18">
      <c r="A38278" t="n">
        <v>377354</v>
      </c>
      <c r="B38278" s="23" t="n">
        <v>58</v>
      </c>
      <c r="C38278" s="7" t="n">
        <v>101</v>
      </c>
      <c r="D38278" s="7" t="n">
        <v>500</v>
      </c>
      <c r="E38278" s="7" t="n">
        <v>1</v>
      </c>
    </row>
    <row r="38279" spans="1:18">
      <c r="A38279" t="s">
        <v>4</v>
      </c>
      <c r="B38279" s="4" t="s">
        <v>5</v>
      </c>
      <c r="C38279" s="4" t="s">
        <v>7</v>
      </c>
      <c r="D38279" s="4" t="s">
        <v>11</v>
      </c>
    </row>
    <row r="38280" spans="1:18">
      <c r="A38280" t="n">
        <v>377362</v>
      </c>
      <c r="B38280" s="23" t="n">
        <v>58</v>
      </c>
      <c r="C38280" s="7" t="n">
        <v>254</v>
      </c>
      <c r="D38280" s="7" t="n">
        <v>0</v>
      </c>
    </row>
    <row r="38281" spans="1:18">
      <c r="A38281" t="s">
        <v>4</v>
      </c>
      <c r="B38281" s="4" t="s">
        <v>5</v>
      </c>
      <c r="C38281" s="4" t="s">
        <v>7</v>
      </c>
      <c r="D38281" s="4" t="s">
        <v>7</v>
      </c>
      <c r="E38281" s="4" t="s">
        <v>13</v>
      </c>
      <c r="F38281" s="4" t="s">
        <v>13</v>
      </c>
      <c r="G38281" s="4" t="s">
        <v>13</v>
      </c>
      <c r="H38281" s="4" t="s">
        <v>11</v>
      </c>
    </row>
    <row r="38282" spans="1:18">
      <c r="A38282" t="n">
        <v>377366</v>
      </c>
      <c r="B38282" s="51" t="n">
        <v>45</v>
      </c>
      <c r="C38282" s="7" t="n">
        <v>2</v>
      </c>
      <c r="D38282" s="7" t="n">
        <v>3</v>
      </c>
      <c r="E38282" s="7" t="n">
        <v>-7.36999988555908</v>
      </c>
      <c r="F38282" s="7" t="n">
        <v>6.51999998092651</v>
      </c>
      <c r="G38282" s="7" t="n">
        <v>29.8299999237061</v>
      </c>
      <c r="H38282" s="7" t="n">
        <v>0</v>
      </c>
    </row>
    <row r="38283" spans="1:18">
      <c r="A38283" t="s">
        <v>4</v>
      </c>
      <c r="B38283" s="4" t="s">
        <v>5</v>
      </c>
      <c r="C38283" s="4" t="s">
        <v>7</v>
      </c>
      <c r="D38283" s="4" t="s">
        <v>7</v>
      </c>
      <c r="E38283" s="4" t="s">
        <v>13</v>
      </c>
      <c r="F38283" s="4" t="s">
        <v>13</v>
      </c>
      <c r="G38283" s="4" t="s">
        <v>13</v>
      </c>
      <c r="H38283" s="4" t="s">
        <v>11</v>
      </c>
    </row>
    <row r="38284" spans="1:18">
      <c r="A38284" t="n">
        <v>377383</v>
      </c>
      <c r="B38284" s="51" t="n">
        <v>45</v>
      </c>
      <c r="C38284" s="7" t="n">
        <v>2</v>
      </c>
      <c r="D38284" s="7" t="n">
        <v>3</v>
      </c>
      <c r="E38284" s="7" t="n">
        <v>-7.36999988555908</v>
      </c>
      <c r="F38284" s="7" t="n">
        <v>6.59000015258789</v>
      </c>
      <c r="G38284" s="7" t="n">
        <v>29.8299999237061</v>
      </c>
      <c r="H38284" s="7" t="n">
        <v>0</v>
      </c>
    </row>
    <row r="38285" spans="1:18">
      <c r="A38285" t="s">
        <v>4</v>
      </c>
      <c r="B38285" s="4" t="s">
        <v>5</v>
      </c>
      <c r="C38285" s="4" t="s">
        <v>7</v>
      </c>
      <c r="D38285" s="4" t="s">
        <v>7</v>
      </c>
      <c r="E38285" s="4" t="s">
        <v>13</v>
      </c>
      <c r="F38285" s="4" t="s">
        <v>13</v>
      </c>
      <c r="G38285" s="4" t="s">
        <v>13</v>
      </c>
      <c r="H38285" s="4" t="s">
        <v>11</v>
      </c>
      <c r="I38285" s="4" t="s">
        <v>7</v>
      </c>
    </row>
    <row r="38286" spans="1:18">
      <c r="A38286" t="n">
        <v>377400</v>
      </c>
      <c r="B38286" s="51" t="n">
        <v>45</v>
      </c>
      <c r="C38286" s="7" t="n">
        <v>4</v>
      </c>
      <c r="D38286" s="7" t="n">
        <v>3</v>
      </c>
      <c r="E38286" s="7" t="n">
        <v>8.11999988555908</v>
      </c>
      <c r="F38286" s="7" t="n">
        <v>60.310001373291</v>
      </c>
      <c r="G38286" s="7" t="n">
        <v>354</v>
      </c>
      <c r="H38286" s="7" t="n">
        <v>0</v>
      </c>
      <c r="I38286" s="7" t="n">
        <v>0</v>
      </c>
    </row>
    <row r="38287" spans="1:18">
      <c r="A38287" t="s">
        <v>4</v>
      </c>
      <c r="B38287" s="4" t="s">
        <v>5</v>
      </c>
      <c r="C38287" s="4" t="s">
        <v>7</v>
      </c>
      <c r="D38287" s="4" t="s">
        <v>7</v>
      </c>
      <c r="E38287" s="4" t="s">
        <v>13</v>
      </c>
      <c r="F38287" s="4" t="s">
        <v>11</v>
      </c>
    </row>
    <row r="38288" spans="1:18">
      <c r="A38288" t="n">
        <v>377418</v>
      </c>
      <c r="B38288" s="51" t="n">
        <v>45</v>
      </c>
      <c r="C38288" s="7" t="n">
        <v>5</v>
      </c>
      <c r="D38288" s="7" t="n">
        <v>3</v>
      </c>
      <c r="E38288" s="7" t="n">
        <v>0.800000011920929</v>
      </c>
      <c r="F38288" s="7" t="n">
        <v>0</v>
      </c>
    </row>
    <row r="38289" spans="1:9">
      <c r="A38289" t="s">
        <v>4</v>
      </c>
      <c r="B38289" s="4" t="s">
        <v>5</v>
      </c>
      <c r="C38289" s="4" t="s">
        <v>7</v>
      </c>
      <c r="D38289" s="4" t="s">
        <v>7</v>
      </c>
      <c r="E38289" s="4" t="s">
        <v>13</v>
      </c>
      <c r="F38289" s="4" t="s">
        <v>11</v>
      </c>
    </row>
    <row r="38290" spans="1:9">
      <c r="A38290" t="n">
        <v>377427</v>
      </c>
      <c r="B38290" s="51" t="n">
        <v>45</v>
      </c>
      <c r="C38290" s="7" t="n">
        <v>11</v>
      </c>
      <c r="D38290" s="7" t="n">
        <v>3</v>
      </c>
      <c r="E38290" s="7" t="n">
        <v>40.2999992370605</v>
      </c>
      <c r="F38290" s="7" t="n">
        <v>0</v>
      </c>
    </row>
    <row r="38291" spans="1:9">
      <c r="A38291" t="s">
        <v>4</v>
      </c>
      <c r="B38291" s="4" t="s">
        <v>5</v>
      </c>
      <c r="C38291" s="4" t="s">
        <v>7</v>
      </c>
      <c r="D38291" s="4" t="s">
        <v>11</v>
      </c>
      <c r="E38291" s="4" t="s">
        <v>8</v>
      </c>
      <c r="F38291" s="4" t="s">
        <v>8</v>
      </c>
      <c r="G38291" s="4" t="s">
        <v>8</v>
      </c>
      <c r="H38291" s="4" t="s">
        <v>8</v>
      </c>
    </row>
    <row r="38292" spans="1:9">
      <c r="A38292" t="n">
        <v>377436</v>
      </c>
      <c r="B38292" s="38" t="n">
        <v>51</v>
      </c>
      <c r="C38292" s="7" t="n">
        <v>3</v>
      </c>
      <c r="D38292" s="7" t="n">
        <v>8</v>
      </c>
      <c r="E38292" s="7" t="s">
        <v>232</v>
      </c>
      <c r="F38292" s="7" t="s">
        <v>232</v>
      </c>
      <c r="G38292" s="7" t="s">
        <v>78</v>
      </c>
      <c r="H38292" s="7" t="s">
        <v>79</v>
      </c>
    </row>
    <row r="38293" spans="1:9">
      <c r="A38293" t="s">
        <v>4</v>
      </c>
      <c r="B38293" s="4" t="s">
        <v>5</v>
      </c>
      <c r="C38293" s="4" t="s">
        <v>7</v>
      </c>
      <c r="D38293" s="4" t="s">
        <v>11</v>
      </c>
    </row>
    <row r="38294" spans="1:9">
      <c r="A38294" t="n">
        <v>377449</v>
      </c>
      <c r="B38294" s="23" t="n">
        <v>58</v>
      </c>
      <c r="C38294" s="7" t="n">
        <v>255</v>
      </c>
      <c r="D38294" s="7" t="n">
        <v>0</v>
      </c>
    </row>
    <row r="38295" spans="1:9">
      <c r="A38295" t="s">
        <v>4</v>
      </c>
      <c r="B38295" s="4" t="s">
        <v>5</v>
      </c>
      <c r="C38295" s="4" t="s">
        <v>7</v>
      </c>
      <c r="D38295" s="4" t="s">
        <v>11</v>
      </c>
      <c r="E38295" s="4" t="s">
        <v>8</v>
      </c>
    </row>
    <row r="38296" spans="1:9">
      <c r="A38296" t="n">
        <v>377453</v>
      </c>
      <c r="B38296" s="38" t="n">
        <v>51</v>
      </c>
      <c r="C38296" s="7" t="n">
        <v>4</v>
      </c>
      <c r="D38296" s="7" t="n">
        <v>8</v>
      </c>
      <c r="E38296" s="7" t="s">
        <v>247</v>
      </c>
    </row>
    <row r="38297" spans="1:9">
      <c r="A38297" t="s">
        <v>4</v>
      </c>
      <c r="B38297" s="4" t="s">
        <v>5</v>
      </c>
      <c r="C38297" s="4" t="s">
        <v>11</v>
      </c>
    </row>
    <row r="38298" spans="1:9">
      <c r="A38298" t="n">
        <v>377467</v>
      </c>
      <c r="B38298" s="29" t="n">
        <v>16</v>
      </c>
      <c r="C38298" s="7" t="n">
        <v>0</v>
      </c>
    </row>
    <row r="38299" spans="1:9">
      <c r="A38299" t="s">
        <v>4</v>
      </c>
      <c r="B38299" s="4" t="s">
        <v>5</v>
      </c>
      <c r="C38299" s="4" t="s">
        <v>11</v>
      </c>
      <c r="D38299" s="4" t="s">
        <v>7</v>
      </c>
      <c r="E38299" s="4" t="s">
        <v>15</v>
      </c>
      <c r="F38299" s="4" t="s">
        <v>55</v>
      </c>
      <c r="G38299" s="4" t="s">
        <v>7</v>
      </c>
      <c r="H38299" s="4" t="s">
        <v>7</v>
      </c>
      <c r="I38299" s="4" t="s">
        <v>7</v>
      </c>
      <c r="J38299" s="4" t="s">
        <v>15</v>
      </c>
      <c r="K38299" s="4" t="s">
        <v>55</v>
      </c>
      <c r="L38299" s="4" t="s">
        <v>7</v>
      </c>
      <c r="M38299" s="4" t="s">
        <v>7</v>
      </c>
      <c r="N38299" s="4" t="s">
        <v>7</v>
      </c>
      <c r="O38299" s="4" t="s">
        <v>15</v>
      </c>
      <c r="P38299" s="4" t="s">
        <v>55</v>
      </c>
      <c r="Q38299" s="4" t="s">
        <v>7</v>
      </c>
      <c r="R38299" s="4" t="s">
        <v>7</v>
      </c>
      <c r="S38299" s="4" t="s">
        <v>7</v>
      </c>
      <c r="T38299" s="4" t="s">
        <v>15</v>
      </c>
      <c r="U38299" s="4" t="s">
        <v>55</v>
      </c>
      <c r="V38299" s="4" t="s">
        <v>7</v>
      </c>
      <c r="W38299" s="4" t="s">
        <v>7</v>
      </c>
      <c r="X38299" s="4" t="s">
        <v>7</v>
      </c>
      <c r="Y38299" s="4" t="s">
        <v>15</v>
      </c>
      <c r="Z38299" s="4" t="s">
        <v>55</v>
      </c>
      <c r="AA38299" s="4" t="s">
        <v>7</v>
      </c>
      <c r="AB38299" s="4" t="s">
        <v>7</v>
      </c>
      <c r="AC38299" s="4" t="s">
        <v>7</v>
      </c>
      <c r="AD38299" s="4" t="s">
        <v>15</v>
      </c>
      <c r="AE38299" s="4" t="s">
        <v>55</v>
      </c>
      <c r="AF38299" s="4" t="s">
        <v>7</v>
      </c>
      <c r="AG38299" s="4" t="s">
        <v>7</v>
      </c>
    </row>
    <row r="38300" spans="1:9">
      <c r="A38300" t="n">
        <v>377470</v>
      </c>
      <c r="B38300" s="55" t="n">
        <v>26</v>
      </c>
      <c r="C38300" s="7" t="n">
        <v>8</v>
      </c>
      <c r="D38300" s="7" t="n">
        <v>17</v>
      </c>
      <c r="E38300" s="7" t="n">
        <v>9808</v>
      </c>
      <c r="F38300" s="7" t="s">
        <v>1165</v>
      </c>
      <c r="G38300" s="7" t="n">
        <v>2</v>
      </c>
      <c r="H38300" s="7" t="n">
        <v>3</v>
      </c>
      <c r="I38300" s="7" t="n">
        <v>17</v>
      </c>
      <c r="J38300" s="7" t="n">
        <v>9809</v>
      </c>
      <c r="K38300" s="7" t="s">
        <v>1166</v>
      </c>
      <c r="L38300" s="7" t="n">
        <v>2</v>
      </c>
      <c r="M38300" s="7" t="n">
        <v>3</v>
      </c>
      <c r="N38300" s="7" t="n">
        <v>17</v>
      </c>
      <c r="O38300" s="7" t="n">
        <v>9810</v>
      </c>
      <c r="P38300" s="7" t="s">
        <v>1167</v>
      </c>
      <c r="Q38300" s="7" t="n">
        <v>2</v>
      </c>
      <c r="R38300" s="7" t="n">
        <v>3</v>
      </c>
      <c r="S38300" s="7" t="n">
        <v>17</v>
      </c>
      <c r="T38300" s="7" t="n">
        <v>9811</v>
      </c>
      <c r="U38300" s="7" t="s">
        <v>1168</v>
      </c>
      <c r="V38300" s="7" t="n">
        <v>2</v>
      </c>
      <c r="W38300" s="7" t="n">
        <v>3</v>
      </c>
      <c r="X38300" s="7" t="n">
        <v>17</v>
      </c>
      <c r="Y38300" s="7" t="n">
        <v>9812</v>
      </c>
      <c r="Z38300" s="7" t="s">
        <v>1169</v>
      </c>
      <c r="AA38300" s="7" t="n">
        <v>2</v>
      </c>
      <c r="AB38300" s="7" t="n">
        <v>3</v>
      </c>
      <c r="AC38300" s="7" t="n">
        <v>17</v>
      </c>
      <c r="AD38300" s="7" t="n">
        <v>9813</v>
      </c>
      <c r="AE38300" s="7" t="s">
        <v>1170</v>
      </c>
      <c r="AF38300" s="7" t="n">
        <v>2</v>
      </c>
      <c r="AG38300" s="7" t="n">
        <v>0</v>
      </c>
    </row>
    <row r="38301" spans="1:9">
      <c r="A38301" t="s">
        <v>4</v>
      </c>
      <c r="B38301" s="4" t="s">
        <v>5</v>
      </c>
    </row>
    <row r="38302" spans="1:9">
      <c r="A38302" t="n">
        <v>378097</v>
      </c>
      <c r="B38302" s="27" t="n">
        <v>28</v>
      </c>
    </row>
    <row r="38303" spans="1:9">
      <c r="A38303" t="s">
        <v>4</v>
      </c>
      <c r="B38303" s="4" t="s">
        <v>5</v>
      </c>
      <c r="C38303" s="4" t="s">
        <v>7</v>
      </c>
      <c r="D38303" s="4" t="s">
        <v>11</v>
      </c>
      <c r="E38303" s="4" t="s">
        <v>8</v>
      </c>
    </row>
    <row r="38304" spans="1:9">
      <c r="A38304" t="n">
        <v>378098</v>
      </c>
      <c r="B38304" s="38" t="n">
        <v>51</v>
      </c>
      <c r="C38304" s="7" t="n">
        <v>4</v>
      </c>
      <c r="D38304" s="7" t="n">
        <v>0</v>
      </c>
      <c r="E38304" s="7" t="s">
        <v>147</v>
      </c>
    </row>
    <row r="38305" spans="1:33">
      <c r="A38305" t="s">
        <v>4</v>
      </c>
      <c r="B38305" s="4" t="s">
        <v>5</v>
      </c>
      <c r="C38305" s="4" t="s">
        <v>11</v>
      </c>
    </row>
    <row r="38306" spans="1:33">
      <c r="A38306" t="n">
        <v>378112</v>
      </c>
      <c r="B38306" s="29" t="n">
        <v>16</v>
      </c>
      <c r="C38306" s="7" t="n">
        <v>500</v>
      </c>
    </row>
    <row r="38307" spans="1:33">
      <c r="A38307" t="s">
        <v>4</v>
      </c>
      <c r="B38307" s="4" t="s">
        <v>5</v>
      </c>
      <c r="C38307" s="4" t="s">
        <v>11</v>
      </c>
      <c r="D38307" s="4" t="s">
        <v>7</v>
      </c>
      <c r="E38307" s="4" t="s">
        <v>15</v>
      </c>
      <c r="F38307" s="4" t="s">
        <v>55</v>
      </c>
      <c r="G38307" s="4" t="s">
        <v>7</v>
      </c>
      <c r="H38307" s="4" t="s">
        <v>7</v>
      </c>
      <c r="I38307" s="4" t="s">
        <v>7</v>
      </c>
      <c r="J38307" s="4" t="s">
        <v>15</v>
      </c>
      <c r="K38307" s="4" t="s">
        <v>55</v>
      </c>
      <c r="L38307" s="4" t="s">
        <v>7</v>
      </c>
      <c r="M38307" s="4" t="s">
        <v>7</v>
      </c>
    </row>
    <row r="38308" spans="1:33">
      <c r="A38308" t="n">
        <v>378115</v>
      </c>
      <c r="B38308" s="55" t="n">
        <v>26</v>
      </c>
      <c r="C38308" s="7" t="n">
        <v>0</v>
      </c>
      <c r="D38308" s="7" t="n">
        <v>17</v>
      </c>
      <c r="E38308" s="7" t="n">
        <v>64236</v>
      </c>
      <c r="F38308" s="7" t="s">
        <v>1171</v>
      </c>
      <c r="G38308" s="7" t="n">
        <v>2</v>
      </c>
      <c r="H38308" s="7" t="n">
        <v>3</v>
      </c>
      <c r="I38308" s="7" t="n">
        <v>17</v>
      </c>
      <c r="J38308" s="7" t="n">
        <v>64237</v>
      </c>
      <c r="K38308" s="7" t="s">
        <v>1172</v>
      </c>
      <c r="L38308" s="7" t="n">
        <v>2</v>
      </c>
      <c r="M38308" s="7" t="n">
        <v>0</v>
      </c>
    </row>
    <row r="38309" spans="1:33">
      <c r="A38309" t="s">
        <v>4</v>
      </c>
      <c r="B38309" s="4" t="s">
        <v>5</v>
      </c>
    </row>
    <row r="38310" spans="1:33">
      <c r="A38310" t="n">
        <v>378230</v>
      </c>
      <c r="B38310" s="27" t="n">
        <v>28</v>
      </c>
    </row>
    <row r="38311" spans="1:33">
      <c r="A38311" t="s">
        <v>4</v>
      </c>
      <c r="B38311" s="4" t="s">
        <v>5</v>
      </c>
      <c r="C38311" s="4" t="s">
        <v>11</v>
      </c>
      <c r="D38311" s="4" t="s">
        <v>7</v>
      </c>
    </row>
    <row r="38312" spans="1:33">
      <c r="A38312" t="n">
        <v>378231</v>
      </c>
      <c r="B38312" s="68" t="n">
        <v>89</v>
      </c>
      <c r="C38312" s="7" t="n">
        <v>65533</v>
      </c>
      <c r="D38312" s="7" t="n">
        <v>1</v>
      </c>
    </row>
    <row r="38313" spans="1:33">
      <c r="A38313" t="s">
        <v>4</v>
      </c>
      <c r="B38313" s="4" t="s">
        <v>5</v>
      </c>
      <c r="C38313" s="4" t="s">
        <v>7</v>
      </c>
      <c r="D38313" s="4" t="s">
        <v>11</v>
      </c>
      <c r="E38313" s="4" t="s">
        <v>13</v>
      </c>
    </row>
    <row r="38314" spans="1:33">
      <c r="A38314" t="n">
        <v>378235</v>
      </c>
      <c r="B38314" s="23" t="n">
        <v>58</v>
      </c>
      <c r="C38314" s="7" t="n">
        <v>101</v>
      </c>
      <c r="D38314" s="7" t="n">
        <v>500</v>
      </c>
      <c r="E38314" s="7" t="n">
        <v>1</v>
      </c>
    </row>
    <row r="38315" spans="1:33">
      <c r="A38315" t="s">
        <v>4</v>
      </c>
      <c r="B38315" s="4" t="s">
        <v>5</v>
      </c>
      <c r="C38315" s="4" t="s">
        <v>7</v>
      </c>
      <c r="D38315" s="4" t="s">
        <v>11</v>
      </c>
    </row>
    <row r="38316" spans="1:33">
      <c r="A38316" t="n">
        <v>378243</v>
      </c>
      <c r="B38316" s="23" t="n">
        <v>58</v>
      </c>
      <c r="C38316" s="7" t="n">
        <v>254</v>
      </c>
      <c r="D38316" s="7" t="n">
        <v>0</v>
      </c>
    </row>
    <row r="38317" spans="1:33">
      <c r="A38317" t="s">
        <v>4</v>
      </c>
      <c r="B38317" s="4" t="s">
        <v>5</v>
      </c>
      <c r="C38317" s="4" t="s">
        <v>11</v>
      </c>
      <c r="D38317" s="4" t="s">
        <v>13</v>
      </c>
      <c r="E38317" s="4" t="s">
        <v>13</v>
      </c>
      <c r="F38317" s="4" t="s">
        <v>13</v>
      </c>
      <c r="G38317" s="4" t="s">
        <v>13</v>
      </c>
    </row>
    <row r="38318" spans="1:33">
      <c r="A38318" t="n">
        <v>378247</v>
      </c>
      <c r="B38318" s="36" t="n">
        <v>46</v>
      </c>
      <c r="C38318" s="7" t="n">
        <v>8</v>
      </c>
      <c r="D38318" s="7" t="n">
        <v>-7.28999996185303</v>
      </c>
      <c r="E38318" s="7" t="n">
        <v>5</v>
      </c>
      <c r="F38318" s="7" t="n">
        <v>29.7399997711182</v>
      </c>
      <c r="G38318" s="7" t="n">
        <v>83.9000015258789</v>
      </c>
    </row>
    <row r="38319" spans="1:33">
      <c r="A38319" t="s">
        <v>4</v>
      </c>
      <c r="B38319" s="4" t="s">
        <v>5</v>
      </c>
      <c r="C38319" s="4" t="s">
        <v>7</v>
      </c>
      <c r="D38319" s="4" t="s">
        <v>7</v>
      </c>
      <c r="E38319" s="4" t="s">
        <v>13</v>
      </c>
      <c r="F38319" s="4" t="s">
        <v>13</v>
      </c>
      <c r="G38319" s="4" t="s">
        <v>13</v>
      </c>
      <c r="H38319" s="4" t="s">
        <v>11</v>
      </c>
    </row>
    <row r="38320" spans="1:33">
      <c r="A38320" t="n">
        <v>378266</v>
      </c>
      <c r="B38320" s="51" t="n">
        <v>45</v>
      </c>
      <c r="C38320" s="7" t="n">
        <v>2</v>
      </c>
      <c r="D38320" s="7" t="n">
        <v>3</v>
      </c>
      <c r="E38320" s="7" t="n">
        <v>-7</v>
      </c>
      <c r="F38320" s="7" t="n">
        <v>6.48000001907349</v>
      </c>
      <c r="G38320" s="7" t="n">
        <v>29.7900009155273</v>
      </c>
      <c r="H38320" s="7" t="n">
        <v>0</v>
      </c>
    </row>
    <row r="38321" spans="1:13">
      <c r="A38321" t="s">
        <v>4</v>
      </c>
      <c r="B38321" s="4" t="s">
        <v>5</v>
      </c>
      <c r="C38321" s="4" t="s">
        <v>7</v>
      </c>
      <c r="D38321" s="4" t="s">
        <v>7</v>
      </c>
      <c r="E38321" s="4" t="s">
        <v>13</v>
      </c>
      <c r="F38321" s="4" t="s">
        <v>13</v>
      </c>
      <c r="G38321" s="4" t="s">
        <v>13</v>
      </c>
      <c r="H38321" s="4" t="s">
        <v>11</v>
      </c>
      <c r="I38321" s="4" t="s">
        <v>7</v>
      </c>
    </row>
    <row r="38322" spans="1:13">
      <c r="A38322" t="n">
        <v>378283</v>
      </c>
      <c r="B38322" s="51" t="n">
        <v>45</v>
      </c>
      <c r="C38322" s="7" t="n">
        <v>4</v>
      </c>
      <c r="D38322" s="7" t="n">
        <v>3</v>
      </c>
      <c r="E38322" s="7" t="n">
        <v>13.2700004577637</v>
      </c>
      <c r="F38322" s="7" t="n">
        <v>321.540008544922</v>
      </c>
      <c r="G38322" s="7" t="n">
        <v>354</v>
      </c>
      <c r="H38322" s="7" t="n">
        <v>0</v>
      </c>
      <c r="I38322" s="7" t="n">
        <v>0</v>
      </c>
    </row>
    <row r="38323" spans="1:13">
      <c r="A38323" t="s">
        <v>4</v>
      </c>
      <c r="B38323" s="4" t="s">
        <v>5</v>
      </c>
      <c r="C38323" s="4" t="s">
        <v>7</v>
      </c>
      <c r="D38323" s="4" t="s">
        <v>7</v>
      </c>
      <c r="E38323" s="4" t="s">
        <v>13</v>
      </c>
      <c r="F38323" s="4" t="s">
        <v>11</v>
      </c>
    </row>
    <row r="38324" spans="1:13">
      <c r="A38324" t="n">
        <v>378301</v>
      </c>
      <c r="B38324" s="51" t="n">
        <v>45</v>
      </c>
      <c r="C38324" s="7" t="n">
        <v>5</v>
      </c>
      <c r="D38324" s="7" t="n">
        <v>3</v>
      </c>
      <c r="E38324" s="7" t="n">
        <v>1.20000004768372</v>
      </c>
      <c r="F38324" s="7" t="n">
        <v>0</v>
      </c>
    </row>
    <row r="38325" spans="1:13">
      <c r="A38325" t="s">
        <v>4</v>
      </c>
      <c r="B38325" s="4" t="s">
        <v>5</v>
      </c>
      <c r="C38325" s="4" t="s">
        <v>7</v>
      </c>
      <c r="D38325" s="4" t="s">
        <v>7</v>
      </c>
      <c r="E38325" s="4" t="s">
        <v>13</v>
      </c>
      <c r="F38325" s="4" t="s">
        <v>11</v>
      </c>
    </row>
    <row r="38326" spans="1:13">
      <c r="A38326" t="n">
        <v>378310</v>
      </c>
      <c r="B38326" s="51" t="n">
        <v>45</v>
      </c>
      <c r="C38326" s="7" t="n">
        <v>11</v>
      </c>
      <c r="D38326" s="7" t="n">
        <v>3</v>
      </c>
      <c r="E38326" s="7" t="n">
        <v>40.2999992370605</v>
      </c>
      <c r="F38326" s="7" t="n">
        <v>0</v>
      </c>
    </row>
    <row r="38327" spans="1:13">
      <c r="A38327" t="s">
        <v>4</v>
      </c>
      <c r="B38327" s="4" t="s">
        <v>5</v>
      </c>
      <c r="C38327" s="4" t="s">
        <v>7</v>
      </c>
      <c r="D38327" s="4" t="s">
        <v>7</v>
      </c>
      <c r="E38327" s="4" t="s">
        <v>13</v>
      </c>
      <c r="F38327" s="4" t="s">
        <v>13</v>
      </c>
      <c r="G38327" s="4" t="s">
        <v>13</v>
      </c>
      <c r="H38327" s="4" t="s">
        <v>11</v>
      </c>
    </row>
    <row r="38328" spans="1:13">
      <c r="A38328" t="n">
        <v>378319</v>
      </c>
      <c r="B38328" s="51" t="n">
        <v>45</v>
      </c>
      <c r="C38328" s="7" t="n">
        <v>2</v>
      </c>
      <c r="D38328" s="7" t="n">
        <v>3</v>
      </c>
      <c r="E38328" s="7" t="n">
        <v>-6.8600001335144</v>
      </c>
      <c r="F38328" s="7" t="n">
        <v>6.51999998092651</v>
      </c>
      <c r="G38328" s="7" t="n">
        <v>29.7700004577637</v>
      </c>
      <c r="H38328" s="7" t="n">
        <v>4000</v>
      </c>
    </row>
    <row r="38329" spans="1:13">
      <c r="A38329" t="s">
        <v>4</v>
      </c>
      <c r="B38329" s="4" t="s">
        <v>5</v>
      </c>
      <c r="C38329" s="4" t="s">
        <v>7</v>
      </c>
      <c r="D38329" s="4" t="s">
        <v>7</v>
      </c>
      <c r="E38329" s="4" t="s">
        <v>13</v>
      </c>
      <c r="F38329" s="4" t="s">
        <v>13</v>
      </c>
      <c r="G38329" s="4" t="s">
        <v>13</v>
      </c>
      <c r="H38329" s="4" t="s">
        <v>11</v>
      </c>
      <c r="I38329" s="4" t="s">
        <v>7</v>
      </c>
    </row>
    <row r="38330" spans="1:13">
      <c r="A38330" t="n">
        <v>378336</v>
      </c>
      <c r="B38330" s="51" t="n">
        <v>45</v>
      </c>
      <c r="C38330" s="7" t="n">
        <v>4</v>
      </c>
      <c r="D38330" s="7" t="n">
        <v>3</v>
      </c>
      <c r="E38330" s="7" t="n">
        <v>350.350006103516</v>
      </c>
      <c r="F38330" s="7" t="n">
        <v>32.2000007629395</v>
      </c>
      <c r="G38330" s="7" t="n">
        <v>354</v>
      </c>
      <c r="H38330" s="7" t="n">
        <v>4000</v>
      </c>
      <c r="I38330" s="7" t="n">
        <v>1</v>
      </c>
    </row>
    <row r="38331" spans="1:13">
      <c r="A38331" t="s">
        <v>4</v>
      </c>
      <c r="B38331" s="4" t="s">
        <v>5</v>
      </c>
      <c r="C38331" s="4" t="s">
        <v>7</v>
      </c>
      <c r="D38331" s="4" t="s">
        <v>7</v>
      </c>
      <c r="E38331" s="4" t="s">
        <v>13</v>
      </c>
      <c r="F38331" s="4" t="s">
        <v>11</v>
      </c>
    </row>
    <row r="38332" spans="1:13">
      <c r="A38332" t="n">
        <v>378354</v>
      </c>
      <c r="B38332" s="51" t="n">
        <v>45</v>
      </c>
      <c r="C38332" s="7" t="n">
        <v>5</v>
      </c>
      <c r="D38332" s="7" t="n">
        <v>3</v>
      </c>
      <c r="E38332" s="7" t="n">
        <v>0.899999976158142</v>
      </c>
      <c r="F38332" s="7" t="n">
        <v>4000</v>
      </c>
    </row>
    <row r="38333" spans="1:13">
      <c r="A38333" t="s">
        <v>4</v>
      </c>
      <c r="B38333" s="4" t="s">
        <v>5</v>
      </c>
      <c r="C38333" s="4" t="s">
        <v>11</v>
      </c>
      <c r="D38333" s="4" t="s">
        <v>15</v>
      </c>
    </row>
    <row r="38334" spans="1:13">
      <c r="A38334" t="n">
        <v>378363</v>
      </c>
      <c r="B38334" s="39" t="n">
        <v>43</v>
      </c>
      <c r="C38334" s="7" t="n">
        <v>0</v>
      </c>
      <c r="D38334" s="7" t="n">
        <v>256</v>
      </c>
    </row>
    <row r="38335" spans="1:13">
      <c r="A38335" t="s">
        <v>4</v>
      </c>
      <c r="B38335" s="4" t="s">
        <v>5</v>
      </c>
      <c r="C38335" s="4" t="s">
        <v>11</v>
      </c>
      <c r="D38335" s="4" t="s">
        <v>7</v>
      </c>
      <c r="E38335" s="4" t="s">
        <v>8</v>
      </c>
      <c r="F38335" s="4" t="s">
        <v>13</v>
      </c>
      <c r="G38335" s="4" t="s">
        <v>13</v>
      </c>
      <c r="H38335" s="4" t="s">
        <v>13</v>
      </c>
    </row>
    <row r="38336" spans="1:13">
      <c r="A38336" t="n">
        <v>378370</v>
      </c>
      <c r="B38336" s="42" t="n">
        <v>48</v>
      </c>
      <c r="C38336" s="7" t="n">
        <v>0</v>
      </c>
      <c r="D38336" s="7" t="n">
        <v>0</v>
      </c>
      <c r="E38336" s="7" t="s">
        <v>210</v>
      </c>
      <c r="F38336" s="7" t="n">
        <v>0</v>
      </c>
      <c r="G38336" s="7" t="n">
        <v>1</v>
      </c>
      <c r="H38336" s="7" t="n">
        <v>0</v>
      </c>
    </row>
    <row r="38337" spans="1:9">
      <c r="A38337" t="s">
        <v>4</v>
      </c>
      <c r="B38337" s="4" t="s">
        <v>5</v>
      </c>
      <c r="C38337" s="4" t="s">
        <v>11</v>
      </c>
      <c r="D38337" s="4" t="s">
        <v>7</v>
      </c>
      <c r="E38337" s="4" t="s">
        <v>8</v>
      </c>
      <c r="F38337" s="4" t="s">
        <v>13</v>
      </c>
      <c r="G38337" s="4" t="s">
        <v>13</v>
      </c>
      <c r="H38337" s="4" t="s">
        <v>13</v>
      </c>
    </row>
    <row r="38338" spans="1:9">
      <c r="A38338" t="n">
        <v>378395</v>
      </c>
      <c r="B38338" s="42" t="n">
        <v>48</v>
      </c>
      <c r="C38338" s="7" t="n">
        <v>8</v>
      </c>
      <c r="D38338" s="7" t="n">
        <v>0</v>
      </c>
      <c r="E38338" s="7" t="s">
        <v>210</v>
      </c>
      <c r="F38338" s="7" t="n">
        <v>0</v>
      </c>
      <c r="G38338" s="7" t="n">
        <v>1</v>
      </c>
      <c r="H38338" s="7" t="n">
        <v>0</v>
      </c>
    </row>
    <row r="38339" spans="1:9">
      <c r="A38339" t="s">
        <v>4</v>
      </c>
      <c r="B38339" s="4" t="s">
        <v>5</v>
      </c>
      <c r="C38339" s="4" t="s">
        <v>7</v>
      </c>
      <c r="D38339" s="4" t="s">
        <v>11</v>
      </c>
      <c r="E38339" s="4" t="s">
        <v>8</v>
      </c>
      <c r="F38339" s="4" t="s">
        <v>8</v>
      </c>
      <c r="G38339" s="4" t="s">
        <v>8</v>
      </c>
      <c r="H38339" s="4" t="s">
        <v>8</v>
      </c>
    </row>
    <row r="38340" spans="1:9">
      <c r="A38340" t="n">
        <v>378420</v>
      </c>
      <c r="B38340" s="38" t="n">
        <v>51</v>
      </c>
      <c r="C38340" s="7" t="n">
        <v>3</v>
      </c>
      <c r="D38340" s="7" t="n">
        <v>8</v>
      </c>
      <c r="E38340" s="7" t="s">
        <v>79</v>
      </c>
      <c r="F38340" s="7" t="s">
        <v>232</v>
      </c>
      <c r="G38340" s="7" t="s">
        <v>78</v>
      </c>
      <c r="H38340" s="7" t="s">
        <v>79</v>
      </c>
    </row>
    <row r="38341" spans="1:9">
      <c r="A38341" t="s">
        <v>4</v>
      </c>
      <c r="B38341" s="4" t="s">
        <v>5</v>
      </c>
      <c r="C38341" s="4" t="s">
        <v>7</v>
      </c>
      <c r="D38341" s="4" t="s">
        <v>11</v>
      </c>
      <c r="E38341" s="4" t="s">
        <v>8</v>
      </c>
      <c r="F38341" s="4" t="s">
        <v>8</v>
      </c>
      <c r="G38341" s="4" t="s">
        <v>8</v>
      </c>
      <c r="H38341" s="4" t="s">
        <v>8</v>
      </c>
    </row>
    <row r="38342" spans="1:9">
      <c r="A38342" t="n">
        <v>378433</v>
      </c>
      <c r="B38342" s="38" t="n">
        <v>51</v>
      </c>
      <c r="C38342" s="7" t="n">
        <v>3</v>
      </c>
      <c r="D38342" s="7" t="n">
        <v>0</v>
      </c>
      <c r="E38342" s="7" t="s">
        <v>79</v>
      </c>
      <c r="F38342" s="7" t="s">
        <v>99</v>
      </c>
      <c r="G38342" s="7" t="s">
        <v>78</v>
      </c>
      <c r="H38342" s="7" t="s">
        <v>79</v>
      </c>
    </row>
    <row r="38343" spans="1:9">
      <c r="A38343" t="s">
        <v>4</v>
      </c>
      <c r="B38343" s="4" t="s">
        <v>5</v>
      </c>
      <c r="C38343" s="4" t="s">
        <v>7</v>
      </c>
      <c r="D38343" s="4" t="s">
        <v>11</v>
      </c>
    </row>
    <row r="38344" spans="1:9">
      <c r="A38344" t="n">
        <v>378446</v>
      </c>
      <c r="B38344" s="23" t="n">
        <v>58</v>
      </c>
      <c r="C38344" s="7" t="n">
        <v>255</v>
      </c>
      <c r="D38344" s="7" t="n">
        <v>0</v>
      </c>
    </row>
    <row r="38345" spans="1:9">
      <c r="A38345" t="s">
        <v>4</v>
      </c>
      <c r="B38345" s="4" t="s">
        <v>5</v>
      </c>
      <c r="C38345" s="4" t="s">
        <v>11</v>
      </c>
    </row>
    <row r="38346" spans="1:9">
      <c r="A38346" t="n">
        <v>378450</v>
      </c>
      <c r="B38346" s="29" t="n">
        <v>16</v>
      </c>
      <c r="C38346" s="7" t="n">
        <v>1000</v>
      </c>
    </row>
    <row r="38347" spans="1:9">
      <c r="A38347" t="s">
        <v>4</v>
      </c>
      <c r="B38347" s="4" t="s">
        <v>5</v>
      </c>
      <c r="C38347" s="4" t="s">
        <v>11</v>
      </c>
      <c r="D38347" s="4" t="s">
        <v>7</v>
      </c>
      <c r="E38347" s="4" t="s">
        <v>8</v>
      </c>
      <c r="F38347" s="4" t="s">
        <v>13</v>
      </c>
      <c r="G38347" s="4" t="s">
        <v>13</v>
      </c>
      <c r="H38347" s="4" t="s">
        <v>13</v>
      </c>
    </row>
    <row r="38348" spans="1:9">
      <c r="A38348" t="n">
        <v>378453</v>
      </c>
      <c r="B38348" s="42" t="n">
        <v>48</v>
      </c>
      <c r="C38348" s="7" t="n">
        <v>0</v>
      </c>
      <c r="D38348" s="7" t="n">
        <v>0</v>
      </c>
      <c r="E38348" s="7" t="s">
        <v>1066</v>
      </c>
      <c r="F38348" s="7" t="n">
        <v>-1</v>
      </c>
      <c r="G38348" s="7" t="n">
        <v>1</v>
      </c>
      <c r="H38348" s="7" t="n">
        <v>0</v>
      </c>
    </row>
    <row r="38349" spans="1:9">
      <c r="A38349" t="s">
        <v>4</v>
      </c>
      <c r="B38349" s="4" t="s">
        <v>5</v>
      </c>
      <c r="C38349" s="4" t="s">
        <v>11</v>
      </c>
    </row>
    <row r="38350" spans="1:9">
      <c r="A38350" t="n">
        <v>378479</v>
      </c>
      <c r="B38350" s="29" t="n">
        <v>16</v>
      </c>
      <c r="C38350" s="7" t="n">
        <v>50</v>
      </c>
    </row>
    <row r="38351" spans="1:9">
      <c r="A38351" t="s">
        <v>4</v>
      </c>
      <c r="B38351" s="4" t="s">
        <v>5</v>
      </c>
      <c r="C38351" s="4" t="s">
        <v>11</v>
      </c>
      <c r="D38351" s="4" t="s">
        <v>7</v>
      </c>
      <c r="E38351" s="4" t="s">
        <v>8</v>
      </c>
      <c r="F38351" s="4" t="s">
        <v>13</v>
      </c>
      <c r="G38351" s="4" t="s">
        <v>13</v>
      </c>
      <c r="H38351" s="4" t="s">
        <v>13</v>
      </c>
    </row>
    <row r="38352" spans="1:9">
      <c r="A38352" t="n">
        <v>378482</v>
      </c>
      <c r="B38352" s="42" t="n">
        <v>48</v>
      </c>
      <c r="C38352" s="7" t="n">
        <v>8</v>
      </c>
      <c r="D38352" s="7" t="n">
        <v>0</v>
      </c>
      <c r="E38352" s="7" t="s">
        <v>1066</v>
      </c>
      <c r="F38352" s="7" t="n">
        <v>-1</v>
      </c>
      <c r="G38352" s="7" t="n">
        <v>1</v>
      </c>
      <c r="H38352" s="7" t="n">
        <v>0</v>
      </c>
    </row>
    <row r="38353" spans="1:8">
      <c r="A38353" t="s">
        <v>4</v>
      </c>
      <c r="B38353" s="4" t="s">
        <v>5</v>
      </c>
      <c r="C38353" s="4" t="s">
        <v>11</v>
      </c>
    </row>
    <row r="38354" spans="1:8">
      <c r="A38354" t="n">
        <v>378508</v>
      </c>
      <c r="B38354" s="29" t="n">
        <v>16</v>
      </c>
      <c r="C38354" s="7" t="n">
        <v>500</v>
      </c>
    </row>
    <row r="38355" spans="1:8">
      <c r="A38355" t="s">
        <v>4</v>
      </c>
      <c r="B38355" s="4" t="s">
        <v>5</v>
      </c>
      <c r="C38355" s="4" t="s">
        <v>7</v>
      </c>
      <c r="D38355" s="4" t="s">
        <v>11</v>
      </c>
      <c r="E38355" s="4" t="s">
        <v>13</v>
      </c>
      <c r="F38355" s="4" t="s">
        <v>11</v>
      </c>
      <c r="G38355" s="4" t="s">
        <v>15</v>
      </c>
      <c r="H38355" s="4" t="s">
        <v>15</v>
      </c>
      <c r="I38355" s="4" t="s">
        <v>11</v>
      </c>
      <c r="J38355" s="4" t="s">
        <v>11</v>
      </c>
      <c r="K38355" s="4" t="s">
        <v>15</v>
      </c>
      <c r="L38355" s="4" t="s">
        <v>15</v>
      </c>
      <c r="M38355" s="4" t="s">
        <v>15</v>
      </c>
      <c r="N38355" s="4" t="s">
        <v>15</v>
      </c>
      <c r="O38355" s="4" t="s">
        <v>8</v>
      </c>
    </row>
    <row r="38356" spans="1:8">
      <c r="A38356" t="n">
        <v>378511</v>
      </c>
      <c r="B38356" s="57" t="n">
        <v>50</v>
      </c>
      <c r="C38356" s="7" t="n">
        <v>0</v>
      </c>
      <c r="D38356" s="7" t="n">
        <v>2003</v>
      </c>
      <c r="E38356" s="7" t="n">
        <v>0.5</v>
      </c>
      <c r="F38356" s="7" t="n">
        <v>0</v>
      </c>
      <c r="G38356" s="7" t="n">
        <v>0</v>
      </c>
      <c r="H38356" s="7" t="n">
        <v>1082130432</v>
      </c>
      <c r="I38356" s="7" t="n">
        <v>0</v>
      </c>
      <c r="J38356" s="7" t="n">
        <v>65533</v>
      </c>
      <c r="K38356" s="7" t="n">
        <v>0</v>
      </c>
      <c r="L38356" s="7" t="n">
        <v>0</v>
      </c>
      <c r="M38356" s="7" t="n">
        <v>0</v>
      </c>
      <c r="N38356" s="7" t="n">
        <v>0</v>
      </c>
      <c r="O38356" s="7" t="s">
        <v>16</v>
      </c>
    </row>
    <row r="38357" spans="1:8">
      <c r="A38357" t="s">
        <v>4</v>
      </c>
      <c r="B38357" s="4" t="s">
        <v>5</v>
      </c>
      <c r="C38357" s="4" t="s">
        <v>7</v>
      </c>
      <c r="D38357" s="4" t="s">
        <v>11</v>
      </c>
      <c r="E38357" s="4" t="s">
        <v>13</v>
      </c>
      <c r="F38357" s="4" t="s">
        <v>11</v>
      </c>
      <c r="G38357" s="4" t="s">
        <v>15</v>
      </c>
      <c r="H38357" s="4" t="s">
        <v>15</v>
      </c>
      <c r="I38357" s="4" t="s">
        <v>11</v>
      </c>
      <c r="J38357" s="4" t="s">
        <v>11</v>
      </c>
      <c r="K38357" s="4" t="s">
        <v>15</v>
      </c>
      <c r="L38357" s="4" t="s">
        <v>15</v>
      </c>
      <c r="M38357" s="4" t="s">
        <v>15</v>
      </c>
      <c r="N38357" s="4" t="s">
        <v>15</v>
      </c>
      <c r="O38357" s="4" t="s">
        <v>8</v>
      </c>
    </row>
    <row r="38358" spans="1:8">
      <c r="A38358" t="n">
        <v>378550</v>
      </c>
      <c r="B38358" s="57" t="n">
        <v>50</v>
      </c>
      <c r="C38358" s="7" t="n">
        <v>0</v>
      </c>
      <c r="D38358" s="7" t="n">
        <v>4272</v>
      </c>
      <c r="E38358" s="7" t="n">
        <v>0.699999988079071</v>
      </c>
      <c r="F38358" s="7" t="n">
        <v>0</v>
      </c>
      <c r="G38358" s="7" t="n">
        <v>0</v>
      </c>
      <c r="H38358" s="7" t="n">
        <v>1082130432</v>
      </c>
      <c r="I38358" s="7" t="n">
        <v>0</v>
      </c>
      <c r="J38358" s="7" t="n">
        <v>65533</v>
      </c>
      <c r="K38358" s="7" t="n">
        <v>0</v>
      </c>
      <c r="L38358" s="7" t="n">
        <v>0</v>
      </c>
      <c r="M38358" s="7" t="n">
        <v>0</v>
      </c>
      <c r="N38358" s="7" t="n">
        <v>0</v>
      </c>
      <c r="O38358" s="7" t="s">
        <v>16</v>
      </c>
    </row>
    <row r="38359" spans="1:8">
      <c r="A38359" t="s">
        <v>4</v>
      </c>
      <c r="B38359" s="4" t="s">
        <v>5</v>
      </c>
      <c r="C38359" s="4" t="s">
        <v>7</v>
      </c>
      <c r="D38359" s="4" t="s">
        <v>13</v>
      </c>
      <c r="E38359" s="4" t="s">
        <v>13</v>
      </c>
      <c r="F38359" s="4" t="s">
        <v>13</v>
      </c>
    </row>
    <row r="38360" spans="1:8">
      <c r="A38360" t="n">
        <v>378589</v>
      </c>
      <c r="B38360" s="51" t="n">
        <v>45</v>
      </c>
      <c r="C38360" s="7" t="n">
        <v>9</v>
      </c>
      <c r="D38360" s="7" t="n">
        <v>0.00999999977648258</v>
      </c>
      <c r="E38360" s="7" t="n">
        <v>0.00999999977648258</v>
      </c>
      <c r="F38360" s="7" t="n">
        <v>0.300000011920929</v>
      </c>
    </row>
    <row r="38361" spans="1:8">
      <c r="A38361" t="s">
        <v>4</v>
      </c>
      <c r="B38361" s="4" t="s">
        <v>5</v>
      </c>
      <c r="C38361" s="4" t="s">
        <v>7</v>
      </c>
      <c r="D38361" s="4" t="s">
        <v>11</v>
      </c>
    </row>
    <row r="38362" spans="1:8">
      <c r="A38362" t="n">
        <v>378603</v>
      </c>
      <c r="B38362" s="51" t="n">
        <v>45</v>
      </c>
      <c r="C38362" s="7" t="n">
        <v>7</v>
      </c>
      <c r="D38362" s="7" t="n">
        <v>255</v>
      </c>
    </row>
    <row r="38363" spans="1:8">
      <c r="A38363" t="s">
        <v>4</v>
      </c>
      <c r="B38363" s="4" t="s">
        <v>5</v>
      </c>
      <c r="C38363" s="4" t="s">
        <v>7</v>
      </c>
      <c r="D38363" s="4" t="s">
        <v>7</v>
      </c>
      <c r="E38363" s="4" t="s">
        <v>13</v>
      </c>
      <c r="F38363" s="4" t="s">
        <v>13</v>
      </c>
      <c r="G38363" s="4" t="s">
        <v>13</v>
      </c>
      <c r="H38363" s="4" t="s">
        <v>11</v>
      </c>
      <c r="I38363" s="4" t="s">
        <v>7</v>
      </c>
    </row>
    <row r="38364" spans="1:8">
      <c r="A38364" t="n">
        <v>378607</v>
      </c>
      <c r="B38364" s="51" t="n">
        <v>45</v>
      </c>
      <c r="C38364" s="7" t="n">
        <v>4</v>
      </c>
      <c r="D38364" s="7" t="n">
        <v>3</v>
      </c>
      <c r="E38364" s="7" t="n">
        <v>1.4099999666214</v>
      </c>
      <c r="F38364" s="7" t="n">
        <v>50.7599983215332</v>
      </c>
      <c r="G38364" s="7" t="n">
        <v>354</v>
      </c>
      <c r="H38364" s="7" t="n">
        <v>40000</v>
      </c>
      <c r="I38364" s="7" t="n">
        <v>1</v>
      </c>
    </row>
    <row r="38365" spans="1:8">
      <c r="A38365" t="s">
        <v>4</v>
      </c>
      <c r="B38365" s="4" t="s">
        <v>5</v>
      </c>
      <c r="C38365" s="4" t="s">
        <v>7</v>
      </c>
      <c r="D38365" s="4" t="s">
        <v>11</v>
      </c>
      <c r="E38365" s="4" t="s">
        <v>8</v>
      </c>
    </row>
    <row r="38366" spans="1:8">
      <c r="A38366" t="n">
        <v>378625</v>
      </c>
      <c r="B38366" s="38" t="n">
        <v>51</v>
      </c>
      <c r="C38366" s="7" t="n">
        <v>4</v>
      </c>
      <c r="D38366" s="7" t="n">
        <v>0</v>
      </c>
      <c r="E38366" s="7" t="s">
        <v>285</v>
      </c>
    </row>
    <row r="38367" spans="1:8">
      <c r="A38367" t="s">
        <v>4</v>
      </c>
      <c r="B38367" s="4" t="s">
        <v>5</v>
      </c>
      <c r="C38367" s="4" t="s">
        <v>11</v>
      </c>
    </row>
    <row r="38368" spans="1:8">
      <c r="A38368" t="n">
        <v>378638</v>
      </c>
      <c r="B38368" s="29" t="n">
        <v>16</v>
      </c>
      <c r="C38368" s="7" t="n">
        <v>0</v>
      </c>
    </row>
    <row r="38369" spans="1:15">
      <c r="A38369" t="s">
        <v>4</v>
      </c>
      <c r="B38369" s="4" t="s">
        <v>5</v>
      </c>
      <c r="C38369" s="4" t="s">
        <v>11</v>
      </c>
      <c r="D38369" s="4" t="s">
        <v>7</v>
      </c>
      <c r="E38369" s="4" t="s">
        <v>15</v>
      </c>
      <c r="F38369" s="4" t="s">
        <v>55</v>
      </c>
      <c r="G38369" s="4" t="s">
        <v>7</v>
      </c>
      <c r="H38369" s="4" t="s">
        <v>7</v>
      </c>
      <c r="I38369" s="4" t="s">
        <v>7</v>
      </c>
      <c r="J38369" s="4" t="s">
        <v>15</v>
      </c>
      <c r="K38369" s="4" t="s">
        <v>55</v>
      </c>
      <c r="L38369" s="4" t="s">
        <v>7</v>
      </c>
      <c r="M38369" s="4" t="s">
        <v>7</v>
      </c>
    </row>
    <row r="38370" spans="1:15">
      <c r="A38370" t="n">
        <v>378641</v>
      </c>
      <c r="B38370" s="55" t="n">
        <v>26</v>
      </c>
      <c r="C38370" s="7" t="n">
        <v>0</v>
      </c>
      <c r="D38370" s="7" t="n">
        <v>17</v>
      </c>
      <c r="E38370" s="7" t="n">
        <v>64238</v>
      </c>
      <c r="F38370" s="7" t="s">
        <v>1173</v>
      </c>
      <c r="G38370" s="7" t="n">
        <v>2</v>
      </c>
      <c r="H38370" s="7" t="n">
        <v>3</v>
      </c>
      <c r="I38370" s="7" t="n">
        <v>17</v>
      </c>
      <c r="J38370" s="7" t="n">
        <v>64239</v>
      </c>
      <c r="K38370" s="7" t="s">
        <v>1174</v>
      </c>
      <c r="L38370" s="7" t="n">
        <v>2</v>
      </c>
      <c r="M38370" s="7" t="n">
        <v>0</v>
      </c>
    </row>
    <row r="38371" spans="1:15">
      <c r="A38371" t="s">
        <v>4</v>
      </c>
      <c r="B38371" s="4" t="s">
        <v>5</v>
      </c>
    </row>
    <row r="38372" spans="1:15">
      <c r="A38372" t="n">
        <v>378870</v>
      </c>
      <c r="B38372" s="27" t="n">
        <v>28</v>
      </c>
    </row>
    <row r="38373" spans="1:15">
      <c r="A38373" t="s">
        <v>4</v>
      </c>
      <c r="B38373" s="4" t="s">
        <v>5</v>
      </c>
      <c r="C38373" s="4" t="s">
        <v>7</v>
      </c>
      <c r="D38373" s="4" t="s">
        <v>11</v>
      </c>
      <c r="E38373" s="4" t="s">
        <v>8</v>
      </c>
    </row>
    <row r="38374" spans="1:15">
      <c r="A38374" t="n">
        <v>378871</v>
      </c>
      <c r="B38374" s="38" t="n">
        <v>51</v>
      </c>
      <c r="C38374" s="7" t="n">
        <v>4</v>
      </c>
      <c r="D38374" s="7" t="n">
        <v>8</v>
      </c>
      <c r="E38374" s="7" t="s">
        <v>247</v>
      </c>
    </row>
    <row r="38375" spans="1:15">
      <c r="A38375" t="s">
        <v>4</v>
      </c>
      <c r="B38375" s="4" t="s">
        <v>5</v>
      </c>
      <c r="C38375" s="4" t="s">
        <v>11</v>
      </c>
    </row>
    <row r="38376" spans="1:15">
      <c r="A38376" t="n">
        <v>378885</v>
      </c>
      <c r="B38376" s="29" t="n">
        <v>16</v>
      </c>
      <c r="C38376" s="7" t="n">
        <v>0</v>
      </c>
    </row>
    <row r="38377" spans="1:15">
      <c r="A38377" t="s">
        <v>4</v>
      </c>
      <c r="B38377" s="4" t="s">
        <v>5</v>
      </c>
      <c r="C38377" s="4" t="s">
        <v>11</v>
      </c>
      <c r="D38377" s="4" t="s">
        <v>7</v>
      </c>
      <c r="E38377" s="4" t="s">
        <v>15</v>
      </c>
      <c r="F38377" s="4" t="s">
        <v>55</v>
      </c>
      <c r="G38377" s="4" t="s">
        <v>7</v>
      </c>
      <c r="H38377" s="4" t="s">
        <v>7</v>
      </c>
      <c r="I38377" s="4" t="s">
        <v>7</v>
      </c>
      <c r="J38377" s="4" t="s">
        <v>15</v>
      </c>
      <c r="K38377" s="4" t="s">
        <v>55</v>
      </c>
      <c r="L38377" s="4" t="s">
        <v>7</v>
      </c>
      <c r="M38377" s="4" t="s">
        <v>7</v>
      </c>
    </row>
    <row r="38378" spans="1:15">
      <c r="A38378" t="n">
        <v>378888</v>
      </c>
      <c r="B38378" s="55" t="n">
        <v>26</v>
      </c>
      <c r="C38378" s="7" t="n">
        <v>8</v>
      </c>
      <c r="D38378" s="7" t="n">
        <v>17</v>
      </c>
      <c r="E38378" s="7" t="n">
        <v>9814</v>
      </c>
      <c r="F38378" s="7" t="s">
        <v>1175</v>
      </c>
      <c r="G38378" s="7" t="n">
        <v>2</v>
      </c>
      <c r="H38378" s="7" t="n">
        <v>3</v>
      </c>
      <c r="I38378" s="7" t="n">
        <v>17</v>
      </c>
      <c r="J38378" s="7" t="n">
        <v>9815</v>
      </c>
      <c r="K38378" s="7" t="s">
        <v>1176</v>
      </c>
      <c r="L38378" s="7" t="n">
        <v>2</v>
      </c>
      <c r="M38378" s="7" t="n">
        <v>0</v>
      </c>
    </row>
    <row r="38379" spans="1:15">
      <c r="A38379" t="s">
        <v>4</v>
      </c>
      <c r="B38379" s="4" t="s">
        <v>5</v>
      </c>
    </row>
    <row r="38380" spans="1:15">
      <c r="A38380" t="n">
        <v>379063</v>
      </c>
      <c r="B38380" s="27" t="n">
        <v>28</v>
      </c>
    </row>
    <row r="38381" spans="1:15">
      <c r="A38381" t="s">
        <v>4</v>
      </c>
      <c r="B38381" s="4" t="s">
        <v>5</v>
      </c>
      <c r="C38381" s="4" t="s">
        <v>11</v>
      </c>
      <c r="D38381" s="4" t="s">
        <v>7</v>
      </c>
    </row>
    <row r="38382" spans="1:15">
      <c r="A38382" t="n">
        <v>379064</v>
      </c>
      <c r="B38382" s="68" t="n">
        <v>89</v>
      </c>
      <c r="C38382" s="7" t="n">
        <v>65533</v>
      </c>
      <c r="D38382" s="7" t="n">
        <v>1</v>
      </c>
    </row>
    <row r="38383" spans="1:15">
      <c r="A38383" t="s">
        <v>4</v>
      </c>
      <c r="B38383" s="4" t="s">
        <v>5</v>
      </c>
      <c r="C38383" s="4" t="s">
        <v>11</v>
      </c>
    </row>
    <row r="38384" spans="1:15">
      <c r="A38384" t="n">
        <v>379068</v>
      </c>
      <c r="B38384" s="29" t="n">
        <v>16</v>
      </c>
      <c r="C38384" s="7" t="n">
        <v>1000</v>
      </c>
    </row>
    <row r="38385" spans="1:13">
      <c r="A38385" t="s">
        <v>4</v>
      </c>
      <c r="B38385" s="4" t="s">
        <v>5</v>
      </c>
      <c r="C38385" s="4" t="s">
        <v>7</v>
      </c>
      <c r="D38385" s="4" t="s">
        <v>11</v>
      </c>
      <c r="E38385" s="4" t="s">
        <v>13</v>
      </c>
    </row>
    <row r="38386" spans="1:13">
      <c r="A38386" t="n">
        <v>379071</v>
      </c>
      <c r="B38386" s="23" t="n">
        <v>58</v>
      </c>
      <c r="C38386" s="7" t="n">
        <v>101</v>
      </c>
      <c r="D38386" s="7" t="n">
        <v>1000</v>
      </c>
      <c r="E38386" s="7" t="n">
        <v>1</v>
      </c>
    </row>
    <row r="38387" spans="1:13">
      <c r="A38387" t="s">
        <v>4</v>
      </c>
      <c r="B38387" s="4" t="s">
        <v>5</v>
      </c>
      <c r="C38387" s="4" t="s">
        <v>7</v>
      </c>
      <c r="D38387" s="4" t="s">
        <v>11</v>
      </c>
    </row>
    <row r="38388" spans="1:13">
      <c r="A38388" t="n">
        <v>379079</v>
      </c>
      <c r="B38388" s="23" t="n">
        <v>58</v>
      </c>
      <c r="C38388" s="7" t="n">
        <v>254</v>
      </c>
      <c r="D38388" s="7" t="n">
        <v>0</v>
      </c>
    </row>
    <row r="38389" spans="1:13">
      <c r="A38389" t="s">
        <v>4</v>
      </c>
      <c r="B38389" s="4" t="s">
        <v>5</v>
      </c>
      <c r="C38389" s="4" t="s">
        <v>7</v>
      </c>
    </row>
    <row r="38390" spans="1:13">
      <c r="A38390" t="n">
        <v>379083</v>
      </c>
      <c r="B38390" s="49" t="n">
        <v>116</v>
      </c>
      <c r="C38390" s="7" t="n">
        <v>0</v>
      </c>
    </row>
    <row r="38391" spans="1:13">
      <c r="A38391" t="s">
        <v>4</v>
      </c>
      <c r="B38391" s="4" t="s">
        <v>5</v>
      </c>
      <c r="C38391" s="4" t="s">
        <v>7</v>
      </c>
      <c r="D38391" s="4" t="s">
        <v>11</v>
      </c>
    </row>
    <row r="38392" spans="1:13">
      <c r="A38392" t="n">
        <v>379085</v>
      </c>
      <c r="B38392" s="49" t="n">
        <v>116</v>
      </c>
      <c r="C38392" s="7" t="n">
        <v>2</v>
      </c>
      <c r="D38392" s="7" t="n">
        <v>1</v>
      </c>
    </row>
    <row r="38393" spans="1:13">
      <c r="A38393" t="s">
        <v>4</v>
      </c>
      <c r="B38393" s="4" t="s">
        <v>5</v>
      </c>
      <c r="C38393" s="4" t="s">
        <v>7</v>
      </c>
      <c r="D38393" s="4" t="s">
        <v>15</v>
      </c>
    </row>
    <row r="38394" spans="1:13">
      <c r="A38394" t="n">
        <v>379089</v>
      </c>
      <c r="B38394" s="49" t="n">
        <v>116</v>
      </c>
      <c r="C38394" s="7" t="n">
        <v>5</v>
      </c>
      <c r="D38394" s="7" t="n">
        <v>1092616192</v>
      </c>
    </row>
    <row r="38395" spans="1:13">
      <c r="A38395" t="s">
        <v>4</v>
      </c>
      <c r="B38395" s="4" t="s">
        <v>5</v>
      </c>
      <c r="C38395" s="4" t="s">
        <v>7</v>
      </c>
      <c r="D38395" s="4" t="s">
        <v>11</v>
      </c>
    </row>
    <row r="38396" spans="1:13">
      <c r="A38396" t="n">
        <v>379095</v>
      </c>
      <c r="B38396" s="49" t="n">
        <v>116</v>
      </c>
      <c r="C38396" s="7" t="n">
        <v>6</v>
      </c>
      <c r="D38396" s="7" t="n">
        <v>1</v>
      </c>
    </row>
    <row r="38397" spans="1:13">
      <c r="A38397" t="s">
        <v>4</v>
      </c>
      <c r="B38397" s="4" t="s">
        <v>5</v>
      </c>
      <c r="C38397" s="4" t="s">
        <v>7</v>
      </c>
      <c r="D38397" s="4" t="s">
        <v>7</v>
      </c>
      <c r="E38397" s="4" t="s">
        <v>13</v>
      </c>
      <c r="F38397" s="4" t="s">
        <v>13</v>
      </c>
      <c r="G38397" s="4" t="s">
        <v>13</v>
      </c>
      <c r="H38397" s="4" t="s">
        <v>11</v>
      </c>
    </row>
    <row r="38398" spans="1:13">
      <c r="A38398" t="n">
        <v>379099</v>
      </c>
      <c r="B38398" s="51" t="n">
        <v>45</v>
      </c>
      <c r="C38398" s="7" t="n">
        <v>2</v>
      </c>
      <c r="D38398" s="7" t="n">
        <v>3</v>
      </c>
      <c r="E38398" s="7" t="n">
        <v>-6.67000007629395</v>
      </c>
      <c r="F38398" s="7" t="n">
        <v>6.42000007629395</v>
      </c>
      <c r="G38398" s="7" t="n">
        <v>29.8899993896484</v>
      </c>
      <c r="H38398" s="7" t="n">
        <v>0</v>
      </c>
    </row>
    <row r="38399" spans="1:13">
      <c r="A38399" t="s">
        <v>4</v>
      </c>
      <c r="B38399" s="4" t="s">
        <v>5</v>
      </c>
      <c r="C38399" s="4" t="s">
        <v>7</v>
      </c>
      <c r="D38399" s="4" t="s">
        <v>7</v>
      </c>
      <c r="E38399" s="4" t="s">
        <v>13</v>
      </c>
      <c r="F38399" s="4" t="s">
        <v>13</v>
      </c>
      <c r="G38399" s="4" t="s">
        <v>13</v>
      </c>
      <c r="H38399" s="4" t="s">
        <v>11</v>
      </c>
      <c r="I38399" s="4" t="s">
        <v>7</v>
      </c>
    </row>
    <row r="38400" spans="1:13">
      <c r="A38400" t="n">
        <v>379116</v>
      </c>
      <c r="B38400" s="51" t="n">
        <v>45</v>
      </c>
      <c r="C38400" s="7" t="n">
        <v>4</v>
      </c>
      <c r="D38400" s="7" t="n">
        <v>3</v>
      </c>
      <c r="E38400" s="7" t="n">
        <v>15.4700002670288</v>
      </c>
      <c r="F38400" s="7" t="n">
        <v>56.1100006103516</v>
      </c>
      <c r="G38400" s="7" t="n">
        <v>354</v>
      </c>
      <c r="H38400" s="7" t="n">
        <v>0</v>
      </c>
      <c r="I38400" s="7" t="n">
        <v>0</v>
      </c>
    </row>
    <row r="38401" spans="1:9">
      <c r="A38401" t="s">
        <v>4</v>
      </c>
      <c r="B38401" s="4" t="s">
        <v>5</v>
      </c>
      <c r="C38401" s="4" t="s">
        <v>7</v>
      </c>
      <c r="D38401" s="4" t="s">
        <v>7</v>
      </c>
      <c r="E38401" s="4" t="s">
        <v>13</v>
      </c>
      <c r="F38401" s="4" t="s">
        <v>11</v>
      </c>
    </row>
    <row r="38402" spans="1:9">
      <c r="A38402" t="n">
        <v>379134</v>
      </c>
      <c r="B38402" s="51" t="n">
        <v>45</v>
      </c>
      <c r="C38402" s="7" t="n">
        <v>5</v>
      </c>
      <c r="D38402" s="7" t="n">
        <v>3</v>
      </c>
      <c r="E38402" s="7" t="n">
        <v>1.5</v>
      </c>
      <c r="F38402" s="7" t="n">
        <v>0</v>
      </c>
    </row>
    <row r="38403" spans="1:9">
      <c r="A38403" t="s">
        <v>4</v>
      </c>
      <c r="B38403" s="4" t="s">
        <v>5</v>
      </c>
      <c r="C38403" s="4" t="s">
        <v>7</v>
      </c>
      <c r="D38403" s="4" t="s">
        <v>7</v>
      </c>
      <c r="E38403" s="4" t="s">
        <v>13</v>
      </c>
      <c r="F38403" s="4" t="s">
        <v>11</v>
      </c>
    </row>
    <row r="38404" spans="1:9">
      <c r="A38404" t="n">
        <v>379143</v>
      </c>
      <c r="B38404" s="51" t="n">
        <v>45</v>
      </c>
      <c r="C38404" s="7" t="n">
        <v>11</v>
      </c>
      <c r="D38404" s="7" t="n">
        <v>3</v>
      </c>
      <c r="E38404" s="7" t="n">
        <v>40.2999992370605</v>
      </c>
      <c r="F38404" s="7" t="n">
        <v>0</v>
      </c>
    </row>
    <row r="38405" spans="1:9">
      <c r="A38405" t="s">
        <v>4</v>
      </c>
      <c r="B38405" s="4" t="s">
        <v>5</v>
      </c>
      <c r="C38405" s="4" t="s">
        <v>7</v>
      </c>
      <c r="D38405" s="4" t="s">
        <v>7</v>
      </c>
      <c r="E38405" s="4" t="s">
        <v>13</v>
      </c>
      <c r="F38405" s="4" t="s">
        <v>13</v>
      </c>
      <c r="G38405" s="4" t="s">
        <v>13</v>
      </c>
      <c r="H38405" s="4" t="s">
        <v>11</v>
      </c>
    </row>
    <row r="38406" spans="1:9">
      <c r="A38406" t="n">
        <v>379152</v>
      </c>
      <c r="B38406" s="51" t="n">
        <v>45</v>
      </c>
      <c r="C38406" s="7" t="n">
        <v>2</v>
      </c>
      <c r="D38406" s="7" t="n">
        <v>3</v>
      </c>
      <c r="E38406" s="7" t="n">
        <v>-6.34000015258789</v>
      </c>
      <c r="F38406" s="7" t="n">
        <v>6.59000015258789</v>
      </c>
      <c r="G38406" s="7" t="n">
        <v>28.8899993896484</v>
      </c>
      <c r="H38406" s="7" t="n">
        <v>6000</v>
      </c>
    </row>
    <row r="38407" spans="1:9">
      <c r="A38407" t="s">
        <v>4</v>
      </c>
      <c r="B38407" s="4" t="s">
        <v>5</v>
      </c>
      <c r="C38407" s="4" t="s">
        <v>7</v>
      </c>
      <c r="D38407" s="4" t="s">
        <v>7</v>
      </c>
      <c r="E38407" s="4" t="s">
        <v>13</v>
      </c>
      <c r="F38407" s="4" t="s">
        <v>13</v>
      </c>
      <c r="G38407" s="4" t="s">
        <v>13</v>
      </c>
      <c r="H38407" s="4" t="s">
        <v>11</v>
      </c>
      <c r="I38407" s="4" t="s">
        <v>7</v>
      </c>
    </row>
    <row r="38408" spans="1:9">
      <c r="A38408" t="n">
        <v>379169</v>
      </c>
      <c r="B38408" s="51" t="n">
        <v>45</v>
      </c>
      <c r="C38408" s="7" t="n">
        <v>4</v>
      </c>
      <c r="D38408" s="7" t="n">
        <v>3</v>
      </c>
      <c r="E38408" s="7" t="n">
        <v>10.7700004577637</v>
      </c>
      <c r="F38408" s="7" t="n">
        <v>43.6100006103516</v>
      </c>
      <c r="G38408" s="7" t="n">
        <v>360</v>
      </c>
      <c r="H38408" s="7" t="n">
        <v>6000</v>
      </c>
      <c r="I38408" s="7" t="n">
        <v>1</v>
      </c>
    </row>
    <row r="38409" spans="1:9">
      <c r="A38409" t="s">
        <v>4</v>
      </c>
      <c r="B38409" s="4" t="s">
        <v>5</v>
      </c>
      <c r="C38409" s="4" t="s">
        <v>7</v>
      </c>
      <c r="D38409" s="4" t="s">
        <v>11</v>
      </c>
    </row>
    <row r="38410" spans="1:9">
      <c r="A38410" t="n">
        <v>379187</v>
      </c>
      <c r="B38410" s="23" t="n">
        <v>58</v>
      </c>
      <c r="C38410" s="7" t="n">
        <v>255</v>
      </c>
      <c r="D38410" s="7" t="n">
        <v>0</v>
      </c>
    </row>
    <row r="38411" spans="1:9">
      <c r="A38411" t="s">
        <v>4</v>
      </c>
      <c r="B38411" s="4" t="s">
        <v>5</v>
      </c>
      <c r="C38411" s="4" t="s">
        <v>7</v>
      </c>
      <c r="D38411" s="4" t="s">
        <v>11</v>
      </c>
    </row>
    <row r="38412" spans="1:9">
      <c r="A38412" t="n">
        <v>379191</v>
      </c>
      <c r="B38412" s="51" t="n">
        <v>45</v>
      </c>
      <c r="C38412" s="7" t="n">
        <v>7</v>
      </c>
      <c r="D38412" s="7" t="n">
        <v>255</v>
      </c>
    </row>
    <row r="38413" spans="1:9">
      <c r="A38413" t="s">
        <v>4</v>
      </c>
      <c r="B38413" s="4" t="s">
        <v>5</v>
      </c>
      <c r="C38413" s="4" t="s">
        <v>7</v>
      </c>
      <c r="D38413" s="4" t="s">
        <v>11</v>
      </c>
      <c r="E38413" s="4" t="s">
        <v>13</v>
      </c>
    </row>
    <row r="38414" spans="1:9">
      <c r="A38414" t="n">
        <v>379195</v>
      </c>
      <c r="B38414" s="23" t="n">
        <v>58</v>
      </c>
      <c r="C38414" s="7" t="n">
        <v>0</v>
      </c>
      <c r="D38414" s="7" t="n">
        <v>2000</v>
      </c>
      <c r="E38414" s="7" t="n">
        <v>1</v>
      </c>
    </row>
    <row r="38415" spans="1:9">
      <c r="A38415" t="s">
        <v>4</v>
      </c>
      <c r="B38415" s="4" t="s">
        <v>5</v>
      </c>
      <c r="C38415" s="4" t="s">
        <v>7</v>
      </c>
      <c r="D38415" s="4" t="s">
        <v>11</v>
      </c>
    </row>
    <row r="38416" spans="1:9">
      <c r="A38416" t="n">
        <v>379203</v>
      </c>
      <c r="B38416" s="23" t="n">
        <v>58</v>
      </c>
      <c r="C38416" s="7" t="n">
        <v>255</v>
      </c>
      <c r="D38416" s="7" t="n">
        <v>0</v>
      </c>
    </row>
    <row r="38417" spans="1:9">
      <c r="A38417" t="s">
        <v>4</v>
      </c>
      <c r="B38417" s="4" t="s">
        <v>5</v>
      </c>
      <c r="C38417" s="4" t="s">
        <v>7</v>
      </c>
      <c r="D38417" s="4" t="s">
        <v>11</v>
      </c>
      <c r="E38417" s="4" t="s">
        <v>11</v>
      </c>
      <c r="F38417" s="4" t="s">
        <v>15</v>
      </c>
    </row>
    <row r="38418" spans="1:9">
      <c r="A38418" t="n">
        <v>379207</v>
      </c>
      <c r="B38418" s="76" t="n">
        <v>84</v>
      </c>
      <c r="C38418" s="7" t="n">
        <v>1</v>
      </c>
      <c r="D38418" s="7" t="n">
        <v>0</v>
      </c>
      <c r="E38418" s="7" t="n">
        <v>0</v>
      </c>
      <c r="F38418" s="7" t="n">
        <v>0</v>
      </c>
    </row>
    <row r="38419" spans="1:9">
      <c r="A38419" t="s">
        <v>4</v>
      </c>
      <c r="B38419" s="4" t="s">
        <v>5</v>
      </c>
      <c r="C38419" s="4" t="s">
        <v>7</v>
      </c>
    </row>
    <row r="38420" spans="1:9">
      <c r="A38420" t="n">
        <v>379217</v>
      </c>
      <c r="B38420" s="28" t="n">
        <v>78</v>
      </c>
      <c r="C38420" s="7" t="n">
        <v>255</v>
      </c>
    </row>
    <row r="38421" spans="1:9">
      <c r="A38421" t="s">
        <v>4</v>
      </c>
      <c r="B38421" s="4" t="s">
        <v>5</v>
      </c>
      <c r="C38421" s="4" t="s">
        <v>7</v>
      </c>
      <c r="D38421" s="4" t="s">
        <v>11</v>
      </c>
      <c r="E38421" s="4" t="s">
        <v>7</v>
      </c>
    </row>
    <row r="38422" spans="1:9">
      <c r="A38422" t="n">
        <v>379219</v>
      </c>
      <c r="B38422" s="40" t="n">
        <v>36</v>
      </c>
      <c r="C38422" s="7" t="n">
        <v>9</v>
      </c>
      <c r="D38422" s="7" t="n">
        <v>0</v>
      </c>
      <c r="E38422" s="7" t="n">
        <v>0</v>
      </c>
    </row>
    <row r="38423" spans="1:9">
      <c r="A38423" t="s">
        <v>4</v>
      </c>
      <c r="B38423" s="4" t="s">
        <v>5</v>
      </c>
      <c r="C38423" s="4" t="s">
        <v>7</v>
      </c>
      <c r="D38423" s="4" t="s">
        <v>11</v>
      </c>
      <c r="E38423" s="4" t="s">
        <v>7</v>
      </c>
    </row>
    <row r="38424" spans="1:9">
      <c r="A38424" t="n">
        <v>379224</v>
      </c>
      <c r="B38424" s="40" t="n">
        <v>36</v>
      </c>
      <c r="C38424" s="7" t="n">
        <v>9</v>
      </c>
      <c r="D38424" s="7" t="n">
        <v>8</v>
      </c>
      <c r="E38424" s="7" t="n">
        <v>0</v>
      </c>
    </row>
    <row r="38425" spans="1:9">
      <c r="A38425" t="s">
        <v>4</v>
      </c>
      <c r="B38425" s="4" t="s">
        <v>5</v>
      </c>
      <c r="C38425" s="4" t="s">
        <v>7</v>
      </c>
      <c r="D38425" s="4" t="s">
        <v>11</v>
      </c>
      <c r="E38425" s="4" t="s">
        <v>11</v>
      </c>
      <c r="F38425" s="4" t="s">
        <v>15</v>
      </c>
      <c r="G38425" s="4" t="s">
        <v>15</v>
      </c>
      <c r="H38425" s="4" t="s">
        <v>15</v>
      </c>
    </row>
    <row r="38426" spans="1:9">
      <c r="A38426" t="n">
        <v>379229</v>
      </c>
      <c r="B38426" s="77" t="n">
        <v>97</v>
      </c>
      <c r="C38426" s="7" t="n">
        <v>7</v>
      </c>
      <c r="D38426" s="7" t="n">
        <v>0</v>
      </c>
      <c r="E38426" s="7" t="n">
        <v>0</v>
      </c>
      <c r="F38426" s="7" t="n">
        <v>0</v>
      </c>
      <c r="G38426" s="7" t="n">
        <v>0</v>
      </c>
      <c r="H38426" s="7" t="n">
        <v>0</v>
      </c>
    </row>
    <row r="38427" spans="1:9">
      <c r="A38427" t="s">
        <v>4</v>
      </c>
      <c r="B38427" s="4" t="s">
        <v>5</v>
      </c>
      <c r="C38427" s="4" t="s">
        <v>11</v>
      </c>
      <c r="D38427" s="4" t="s">
        <v>15</v>
      </c>
    </row>
    <row r="38428" spans="1:9">
      <c r="A38428" t="n">
        <v>379247</v>
      </c>
      <c r="B38428" s="63" t="n">
        <v>44</v>
      </c>
      <c r="C38428" s="7" t="n">
        <v>0</v>
      </c>
      <c r="D38428" s="7" t="n">
        <v>256</v>
      </c>
    </row>
    <row r="38429" spans="1:9">
      <c r="A38429" t="s">
        <v>4</v>
      </c>
      <c r="B38429" s="4" t="s">
        <v>5</v>
      </c>
      <c r="C38429" s="4" t="s">
        <v>11</v>
      </c>
      <c r="D38429" s="4" t="s">
        <v>13</v>
      </c>
      <c r="E38429" s="4" t="s">
        <v>13</v>
      </c>
      <c r="F38429" s="4" t="s">
        <v>13</v>
      </c>
      <c r="G38429" s="4" t="s">
        <v>13</v>
      </c>
    </row>
    <row r="38430" spans="1:9">
      <c r="A38430" t="n">
        <v>379254</v>
      </c>
      <c r="B38430" s="36" t="n">
        <v>46</v>
      </c>
      <c r="C38430" s="7" t="n">
        <v>61456</v>
      </c>
      <c r="D38430" s="7" t="n">
        <v>0</v>
      </c>
      <c r="E38430" s="7" t="n">
        <v>0</v>
      </c>
      <c r="F38430" s="7" t="n">
        <v>0</v>
      </c>
      <c r="G38430" s="7" t="n">
        <v>0</v>
      </c>
    </row>
    <row r="38431" spans="1:9">
      <c r="A38431" t="s">
        <v>4</v>
      </c>
      <c r="B38431" s="4" t="s">
        <v>5</v>
      </c>
      <c r="C38431" s="4" t="s">
        <v>7</v>
      </c>
      <c r="D38431" s="4" t="s">
        <v>8</v>
      </c>
    </row>
    <row r="38432" spans="1:9">
      <c r="A38432" t="n">
        <v>379273</v>
      </c>
      <c r="B38432" s="6" t="n">
        <v>2</v>
      </c>
      <c r="C38432" s="7" t="n">
        <v>10</v>
      </c>
      <c r="D38432" s="7" t="s">
        <v>1834</v>
      </c>
    </row>
    <row r="38433" spans="1:8">
      <c r="A38433" t="s">
        <v>4</v>
      </c>
      <c r="B38433" s="4" t="s">
        <v>5</v>
      </c>
    </row>
    <row r="38434" spans="1:8">
      <c r="A38434" t="n">
        <v>379294</v>
      </c>
      <c r="B38434" s="5" t="n">
        <v>1</v>
      </c>
    </row>
    <row r="38435" spans="1:8" s="3" customFormat="1" customHeight="0">
      <c r="A38435" s="3" t="s">
        <v>2</v>
      </c>
      <c r="B38435" s="3" t="s">
        <v>1856</v>
      </c>
    </row>
    <row r="38436" spans="1:8">
      <c r="A38436" t="s">
        <v>4</v>
      </c>
      <c r="B38436" s="4" t="s">
        <v>5</v>
      </c>
      <c r="C38436" s="4" t="s">
        <v>7</v>
      </c>
      <c r="D38436" s="4" t="s">
        <v>7</v>
      </c>
      <c r="E38436" s="4" t="s">
        <v>7</v>
      </c>
      <c r="F38436" s="4" t="s">
        <v>7</v>
      </c>
    </row>
    <row r="38437" spans="1:8">
      <c r="A38437" t="n">
        <v>379296</v>
      </c>
      <c r="B38437" s="9" t="n">
        <v>14</v>
      </c>
      <c r="C38437" s="7" t="n">
        <v>2</v>
      </c>
      <c r="D38437" s="7" t="n">
        <v>0</v>
      </c>
      <c r="E38437" s="7" t="n">
        <v>0</v>
      </c>
      <c r="F38437" s="7" t="n">
        <v>0</v>
      </c>
    </row>
    <row r="38438" spans="1:8">
      <c r="A38438" t="s">
        <v>4</v>
      </c>
      <c r="B38438" s="4" t="s">
        <v>5</v>
      </c>
      <c r="C38438" s="4" t="s">
        <v>7</v>
      </c>
      <c r="D38438" s="20" t="s">
        <v>35</v>
      </c>
      <c r="E38438" s="4" t="s">
        <v>5</v>
      </c>
      <c r="F38438" s="4" t="s">
        <v>7</v>
      </c>
      <c r="G38438" s="4" t="s">
        <v>11</v>
      </c>
      <c r="H38438" s="20" t="s">
        <v>36</v>
      </c>
      <c r="I38438" s="4" t="s">
        <v>7</v>
      </c>
      <c r="J38438" s="4" t="s">
        <v>15</v>
      </c>
      <c r="K38438" s="4" t="s">
        <v>7</v>
      </c>
      <c r="L38438" s="4" t="s">
        <v>7</v>
      </c>
      <c r="M38438" s="20" t="s">
        <v>35</v>
      </c>
      <c r="N38438" s="4" t="s">
        <v>5</v>
      </c>
      <c r="O38438" s="4" t="s">
        <v>7</v>
      </c>
      <c r="P38438" s="4" t="s">
        <v>11</v>
      </c>
      <c r="Q38438" s="20" t="s">
        <v>36</v>
      </c>
      <c r="R38438" s="4" t="s">
        <v>7</v>
      </c>
      <c r="S38438" s="4" t="s">
        <v>15</v>
      </c>
      <c r="T38438" s="4" t="s">
        <v>7</v>
      </c>
      <c r="U38438" s="4" t="s">
        <v>7</v>
      </c>
      <c r="V38438" s="4" t="s">
        <v>7</v>
      </c>
      <c r="W38438" s="4" t="s">
        <v>12</v>
      </c>
    </row>
    <row r="38439" spans="1:8">
      <c r="A38439" t="n">
        <v>379301</v>
      </c>
      <c r="B38439" s="10" t="n">
        <v>5</v>
      </c>
      <c r="C38439" s="7" t="n">
        <v>28</v>
      </c>
      <c r="D38439" s="20" t="s">
        <v>3</v>
      </c>
      <c r="E38439" s="8" t="n">
        <v>162</v>
      </c>
      <c r="F38439" s="7" t="n">
        <v>3</v>
      </c>
      <c r="G38439" s="7" t="n">
        <v>36888</v>
      </c>
      <c r="H38439" s="20" t="s">
        <v>3</v>
      </c>
      <c r="I38439" s="7" t="n">
        <v>0</v>
      </c>
      <c r="J38439" s="7" t="n">
        <v>1</v>
      </c>
      <c r="K38439" s="7" t="n">
        <v>2</v>
      </c>
      <c r="L38439" s="7" t="n">
        <v>28</v>
      </c>
      <c r="M38439" s="20" t="s">
        <v>3</v>
      </c>
      <c r="N38439" s="8" t="n">
        <v>162</v>
      </c>
      <c r="O38439" s="7" t="n">
        <v>3</v>
      </c>
      <c r="P38439" s="7" t="n">
        <v>36888</v>
      </c>
      <c r="Q38439" s="20" t="s">
        <v>3</v>
      </c>
      <c r="R38439" s="7" t="n">
        <v>0</v>
      </c>
      <c r="S38439" s="7" t="n">
        <v>2</v>
      </c>
      <c r="T38439" s="7" t="n">
        <v>2</v>
      </c>
      <c r="U38439" s="7" t="n">
        <v>11</v>
      </c>
      <c r="V38439" s="7" t="n">
        <v>1</v>
      </c>
      <c r="W38439" s="11" t="n">
        <f t="normal" ca="1">A38443</f>
        <v>0</v>
      </c>
    </row>
    <row r="38440" spans="1:8">
      <c r="A38440" t="s">
        <v>4</v>
      </c>
      <c r="B38440" s="4" t="s">
        <v>5</v>
      </c>
      <c r="C38440" s="4" t="s">
        <v>7</v>
      </c>
      <c r="D38440" s="4" t="s">
        <v>11</v>
      </c>
      <c r="E38440" s="4" t="s">
        <v>13</v>
      </c>
    </row>
    <row r="38441" spans="1:8">
      <c r="A38441" t="n">
        <v>379330</v>
      </c>
      <c r="B38441" s="23" t="n">
        <v>58</v>
      </c>
      <c r="C38441" s="7" t="n">
        <v>0</v>
      </c>
      <c r="D38441" s="7" t="n">
        <v>0</v>
      </c>
      <c r="E38441" s="7" t="n">
        <v>1</v>
      </c>
    </row>
    <row r="38442" spans="1:8">
      <c r="A38442" t="s">
        <v>4</v>
      </c>
      <c r="B38442" s="4" t="s">
        <v>5</v>
      </c>
      <c r="C38442" s="4" t="s">
        <v>7</v>
      </c>
      <c r="D38442" s="20" t="s">
        <v>35</v>
      </c>
      <c r="E38442" s="4" t="s">
        <v>5</v>
      </c>
      <c r="F38442" s="4" t="s">
        <v>7</v>
      </c>
      <c r="G38442" s="4" t="s">
        <v>11</v>
      </c>
      <c r="H38442" s="20" t="s">
        <v>36</v>
      </c>
      <c r="I38442" s="4" t="s">
        <v>7</v>
      </c>
      <c r="J38442" s="4" t="s">
        <v>15</v>
      </c>
      <c r="K38442" s="4" t="s">
        <v>7</v>
      </c>
      <c r="L38442" s="4" t="s">
        <v>7</v>
      </c>
      <c r="M38442" s="20" t="s">
        <v>35</v>
      </c>
      <c r="N38442" s="4" t="s">
        <v>5</v>
      </c>
      <c r="O38442" s="4" t="s">
        <v>7</v>
      </c>
      <c r="P38442" s="4" t="s">
        <v>11</v>
      </c>
      <c r="Q38442" s="20" t="s">
        <v>36</v>
      </c>
      <c r="R38442" s="4" t="s">
        <v>7</v>
      </c>
      <c r="S38442" s="4" t="s">
        <v>15</v>
      </c>
      <c r="T38442" s="4" t="s">
        <v>7</v>
      </c>
      <c r="U38442" s="4" t="s">
        <v>7</v>
      </c>
      <c r="V38442" s="4" t="s">
        <v>7</v>
      </c>
      <c r="W38442" s="4" t="s">
        <v>12</v>
      </c>
    </row>
    <row r="38443" spans="1:8">
      <c r="A38443" t="n">
        <v>379338</v>
      </c>
      <c r="B38443" s="10" t="n">
        <v>5</v>
      </c>
      <c r="C38443" s="7" t="n">
        <v>28</v>
      </c>
      <c r="D38443" s="20" t="s">
        <v>3</v>
      </c>
      <c r="E38443" s="8" t="n">
        <v>162</v>
      </c>
      <c r="F38443" s="7" t="n">
        <v>3</v>
      </c>
      <c r="G38443" s="7" t="n">
        <v>36888</v>
      </c>
      <c r="H38443" s="20" t="s">
        <v>3</v>
      </c>
      <c r="I38443" s="7" t="n">
        <v>0</v>
      </c>
      <c r="J38443" s="7" t="n">
        <v>1</v>
      </c>
      <c r="K38443" s="7" t="n">
        <v>3</v>
      </c>
      <c r="L38443" s="7" t="n">
        <v>28</v>
      </c>
      <c r="M38443" s="20" t="s">
        <v>3</v>
      </c>
      <c r="N38443" s="8" t="n">
        <v>162</v>
      </c>
      <c r="O38443" s="7" t="n">
        <v>3</v>
      </c>
      <c r="P38443" s="7" t="n">
        <v>36888</v>
      </c>
      <c r="Q38443" s="20" t="s">
        <v>3</v>
      </c>
      <c r="R38443" s="7" t="n">
        <v>0</v>
      </c>
      <c r="S38443" s="7" t="n">
        <v>2</v>
      </c>
      <c r="T38443" s="7" t="n">
        <v>3</v>
      </c>
      <c r="U38443" s="7" t="n">
        <v>9</v>
      </c>
      <c r="V38443" s="7" t="n">
        <v>1</v>
      </c>
      <c r="W38443" s="11" t="n">
        <f t="normal" ca="1">A38453</f>
        <v>0</v>
      </c>
    </row>
    <row r="38444" spans="1:8">
      <c r="A38444" t="s">
        <v>4</v>
      </c>
      <c r="B38444" s="4" t="s">
        <v>5</v>
      </c>
      <c r="C38444" s="4" t="s">
        <v>7</v>
      </c>
      <c r="D38444" s="20" t="s">
        <v>35</v>
      </c>
      <c r="E38444" s="4" t="s">
        <v>5</v>
      </c>
      <c r="F38444" s="4" t="s">
        <v>11</v>
      </c>
      <c r="G38444" s="4" t="s">
        <v>7</v>
      </c>
      <c r="H38444" s="4" t="s">
        <v>7</v>
      </c>
      <c r="I38444" s="4" t="s">
        <v>8</v>
      </c>
      <c r="J38444" s="20" t="s">
        <v>36</v>
      </c>
      <c r="K38444" s="4" t="s">
        <v>7</v>
      </c>
      <c r="L38444" s="4" t="s">
        <v>7</v>
      </c>
      <c r="M38444" s="20" t="s">
        <v>35</v>
      </c>
      <c r="N38444" s="4" t="s">
        <v>5</v>
      </c>
      <c r="O38444" s="4" t="s">
        <v>7</v>
      </c>
      <c r="P38444" s="20" t="s">
        <v>36</v>
      </c>
      <c r="Q38444" s="4" t="s">
        <v>7</v>
      </c>
      <c r="R38444" s="4" t="s">
        <v>15</v>
      </c>
      <c r="S38444" s="4" t="s">
        <v>7</v>
      </c>
      <c r="T38444" s="4" t="s">
        <v>7</v>
      </c>
      <c r="U38444" s="4" t="s">
        <v>7</v>
      </c>
      <c r="V38444" s="20" t="s">
        <v>35</v>
      </c>
      <c r="W38444" s="4" t="s">
        <v>5</v>
      </c>
      <c r="X38444" s="4" t="s">
        <v>7</v>
      </c>
      <c r="Y38444" s="20" t="s">
        <v>36</v>
      </c>
      <c r="Z38444" s="4" t="s">
        <v>7</v>
      </c>
      <c r="AA38444" s="4" t="s">
        <v>15</v>
      </c>
      <c r="AB38444" s="4" t="s">
        <v>7</v>
      </c>
      <c r="AC38444" s="4" t="s">
        <v>7</v>
      </c>
      <c r="AD38444" s="4" t="s">
        <v>7</v>
      </c>
      <c r="AE38444" s="4" t="s">
        <v>12</v>
      </c>
    </row>
    <row r="38445" spans="1:8">
      <c r="A38445" t="n">
        <v>379367</v>
      </c>
      <c r="B38445" s="10" t="n">
        <v>5</v>
      </c>
      <c r="C38445" s="7" t="n">
        <v>28</v>
      </c>
      <c r="D38445" s="20" t="s">
        <v>3</v>
      </c>
      <c r="E38445" s="41" t="n">
        <v>47</v>
      </c>
      <c r="F38445" s="7" t="n">
        <v>61456</v>
      </c>
      <c r="G38445" s="7" t="n">
        <v>2</v>
      </c>
      <c r="H38445" s="7" t="n">
        <v>0</v>
      </c>
      <c r="I38445" s="7" t="s">
        <v>105</v>
      </c>
      <c r="J38445" s="20" t="s">
        <v>3</v>
      </c>
      <c r="K38445" s="7" t="n">
        <v>8</v>
      </c>
      <c r="L38445" s="7" t="n">
        <v>28</v>
      </c>
      <c r="M38445" s="20" t="s">
        <v>3</v>
      </c>
      <c r="N38445" s="45" t="n">
        <v>74</v>
      </c>
      <c r="O38445" s="7" t="n">
        <v>65</v>
      </c>
      <c r="P38445" s="20" t="s">
        <v>3</v>
      </c>
      <c r="Q38445" s="7" t="n">
        <v>0</v>
      </c>
      <c r="R38445" s="7" t="n">
        <v>1</v>
      </c>
      <c r="S38445" s="7" t="n">
        <v>3</v>
      </c>
      <c r="T38445" s="7" t="n">
        <v>9</v>
      </c>
      <c r="U38445" s="7" t="n">
        <v>28</v>
      </c>
      <c r="V38445" s="20" t="s">
        <v>3</v>
      </c>
      <c r="W38445" s="45" t="n">
        <v>74</v>
      </c>
      <c r="X38445" s="7" t="n">
        <v>65</v>
      </c>
      <c r="Y38445" s="20" t="s">
        <v>3</v>
      </c>
      <c r="Z38445" s="7" t="n">
        <v>0</v>
      </c>
      <c r="AA38445" s="7" t="n">
        <v>2</v>
      </c>
      <c r="AB38445" s="7" t="n">
        <v>3</v>
      </c>
      <c r="AC38445" s="7" t="n">
        <v>9</v>
      </c>
      <c r="AD38445" s="7" t="n">
        <v>1</v>
      </c>
      <c r="AE38445" s="11" t="n">
        <f t="normal" ca="1">A38449</f>
        <v>0</v>
      </c>
    </row>
    <row r="38446" spans="1:8">
      <c r="A38446" t="s">
        <v>4</v>
      </c>
      <c r="B38446" s="4" t="s">
        <v>5</v>
      </c>
      <c r="C38446" s="4" t="s">
        <v>11</v>
      </c>
      <c r="D38446" s="4" t="s">
        <v>7</v>
      </c>
      <c r="E38446" s="4" t="s">
        <v>7</v>
      </c>
      <c r="F38446" s="4" t="s">
        <v>8</v>
      </c>
    </row>
    <row r="38447" spans="1:8">
      <c r="A38447" t="n">
        <v>379415</v>
      </c>
      <c r="B38447" s="41" t="n">
        <v>47</v>
      </c>
      <c r="C38447" s="7" t="n">
        <v>61456</v>
      </c>
      <c r="D38447" s="7" t="n">
        <v>0</v>
      </c>
      <c r="E38447" s="7" t="n">
        <v>0</v>
      </c>
      <c r="F38447" s="7" t="s">
        <v>106</v>
      </c>
    </row>
    <row r="38448" spans="1:8">
      <c r="A38448" t="s">
        <v>4</v>
      </c>
      <c r="B38448" s="4" t="s">
        <v>5</v>
      </c>
      <c r="C38448" s="4" t="s">
        <v>7</v>
      </c>
      <c r="D38448" s="4" t="s">
        <v>11</v>
      </c>
      <c r="E38448" s="4" t="s">
        <v>13</v>
      </c>
    </row>
    <row r="38449" spans="1:31">
      <c r="A38449" t="n">
        <v>379428</v>
      </c>
      <c r="B38449" s="23" t="n">
        <v>58</v>
      </c>
      <c r="C38449" s="7" t="n">
        <v>0</v>
      </c>
      <c r="D38449" s="7" t="n">
        <v>300</v>
      </c>
      <c r="E38449" s="7" t="n">
        <v>1</v>
      </c>
    </row>
    <row r="38450" spans="1:31">
      <c r="A38450" t="s">
        <v>4</v>
      </c>
      <c r="B38450" s="4" t="s">
        <v>5</v>
      </c>
      <c r="C38450" s="4" t="s">
        <v>7</v>
      </c>
      <c r="D38450" s="4" t="s">
        <v>11</v>
      </c>
    </row>
    <row r="38451" spans="1:31">
      <c r="A38451" t="n">
        <v>379436</v>
      </c>
      <c r="B38451" s="23" t="n">
        <v>58</v>
      </c>
      <c r="C38451" s="7" t="n">
        <v>255</v>
      </c>
      <c r="D38451" s="7" t="n">
        <v>0</v>
      </c>
    </row>
    <row r="38452" spans="1:31">
      <c r="A38452" t="s">
        <v>4</v>
      </c>
      <c r="B38452" s="4" t="s">
        <v>5</v>
      </c>
      <c r="C38452" s="4" t="s">
        <v>7</v>
      </c>
      <c r="D38452" s="4" t="s">
        <v>7</v>
      </c>
      <c r="E38452" s="4" t="s">
        <v>7</v>
      </c>
      <c r="F38452" s="4" t="s">
        <v>7</v>
      </c>
    </row>
    <row r="38453" spans="1:31">
      <c r="A38453" t="n">
        <v>379440</v>
      </c>
      <c r="B38453" s="9" t="n">
        <v>14</v>
      </c>
      <c r="C38453" s="7" t="n">
        <v>0</v>
      </c>
      <c r="D38453" s="7" t="n">
        <v>0</v>
      </c>
      <c r="E38453" s="7" t="n">
        <v>0</v>
      </c>
      <c r="F38453" s="7" t="n">
        <v>64</v>
      </c>
    </row>
    <row r="38454" spans="1:31">
      <c r="A38454" t="s">
        <v>4</v>
      </c>
      <c r="B38454" s="4" t="s">
        <v>5</v>
      </c>
      <c r="C38454" s="4" t="s">
        <v>7</v>
      </c>
      <c r="D38454" s="4" t="s">
        <v>11</v>
      </c>
    </row>
    <row r="38455" spans="1:31">
      <c r="A38455" t="n">
        <v>379445</v>
      </c>
      <c r="B38455" s="22" t="n">
        <v>22</v>
      </c>
      <c r="C38455" s="7" t="n">
        <v>0</v>
      </c>
      <c r="D38455" s="7" t="n">
        <v>36888</v>
      </c>
    </row>
    <row r="38456" spans="1:31">
      <c r="A38456" t="s">
        <v>4</v>
      </c>
      <c r="B38456" s="4" t="s">
        <v>5</v>
      </c>
      <c r="C38456" s="4" t="s">
        <v>7</v>
      </c>
      <c r="D38456" s="4" t="s">
        <v>11</v>
      </c>
    </row>
    <row r="38457" spans="1:31">
      <c r="A38457" t="n">
        <v>379449</v>
      </c>
      <c r="B38457" s="23" t="n">
        <v>58</v>
      </c>
      <c r="C38457" s="7" t="n">
        <v>5</v>
      </c>
      <c r="D38457" s="7" t="n">
        <v>300</v>
      </c>
    </row>
    <row r="38458" spans="1:31">
      <c r="A38458" t="s">
        <v>4</v>
      </c>
      <c r="B38458" s="4" t="s">
        <v>5</v>
      </c>
      <c r="C38458" s="4" t="s">
        <v>13</v>
      </c>
      <c r="D38458" s="4" t="s">
        <v>11</v>
      </c>
    </row>
    <row r="38459" spans="1:31">
      <c r="A38459" t="n">
        <v>379453</v>
      </c>
      <c r="B38459" s="46" t="n">
        <v>103</v>
      </c>
      <c r="C38459" s="7" t="n">
        <v>0</v>
      </c>
      <c r="D38459" s="7" t="n">
        <v>300</v>
      </c>
    </row>
    <row r="38460" spans="1:31">
      <c r="A38460" t="s">
        <v>4</v>
      </c>
      <c r="B38460" s="4" t="s">
        <v>5</v>
      </c>
      <c r="C38460" s="4" t="s">
        <v>7</v>
      </c>
    </row>
    <row r="38461" spans="1:31">
      <c r="A38461" t="n">
        <v>379460</v>
      </c>
      <c r="B38461" s="47" t="n">
        <v>64</v>
      </c>
      <c r="C38461" s="7" t="n">
        <v>7</v>
      </c>
    </row>
    <row r="38462" spans="1:31">
      <c r="A38462" t="s">
        <v>4</v>
      </c>
      <c r="B38462" s="4" t="s">
        <v>5</v>
      </c>
      <c r="C38462" s="4" t="s">
        <v>7</v>
      </c>
      <c r="D38462" s="4" t="s">
        <v>11</v>
      </c>
    </row>
    <row r="38463" spans="1:31">
      <c r="A38463" t="n">
        <v>379462</v>
      </c>
      <c r="B38463" s="48" t="n">
        <v>72</v>
      </c>
      <c r="C38463" s="7" t="n">
        <v>5</v>
      </c>
      <c r="D38463" s="7" t="n">
        <v>0</v>
      </c>
    </row>
    <row r="38464" spans="1:31">
      <c r="A38464" t="s">
        <v>4</v>
      </c>
      <c r="B38464" s="4" t="s">
        <v>5</v>
      </c>
      <c r="C38464" s="4" t="s">
        <v>7</v>
      </c>
      <c r="D38464" s="20" t="s">
        <v>35</v>
      </c>
      <c r="E38464" s="4" t="s">
        <v>5</v>
      </c>
      <c r="F38464" s="4" t="s">
        <v>7</v>
      </c>
      <c r="G38464" s="4" t="s">
        <v>11</v>
      </c>
      <c r="H38464" s="20" t="s">
        <v>36</v>
      </c>
      <c r="I38464" s="4" t="s">
        <v>7</v>
      </c>
      <c r="J38464" s="4" t="s">
        <v>15</v>
      </c>
      <c r="K38464" s="4" t="s">
        <v>7</v>
      </c>
      <c r="L38464" s="4" t="s">
        <v>7</v>
      </c>
      <c r="M38464" s="4" t="s">
        <v>12</v>
      </c>
    </row>
    <row r="38465" spans="1:13">
      <c r="A38465" t="n">
        <v>379466</v>
      </c>
      <c r="B38465" s="10" t="n">
        <v>5</v>
      </c>
      <c r="C38465" s="7" t="n">
        <v>28</v>
      </c>
      <c r="D38465" s="20" t="s">
        <v>3</v>
      </c>
      <c r="E38465" s="8" t="n">
        <v>162</v>
      </c>
      <c r="F38465" s="7" t="n">
        <v>4</v>
      </c>
      <c r="G38465" s="7" t="n">
        <v>36888</v>
      </c>
      <c r="H38465" s="20" t="s">
        <v>3</v>
      </c>
      <c r="I38465" s="7" t="n">
        <v>0</v>
      </c>
      <c r="J38465" s="7" t="n">
        <v>1</v>
      </c>
      <c r="K38465" s="7" t="n">
        <v>2</v>
      </c>
      <c r="L38465" s="7" t="n">
        <v>1</v>
      </c>
      <c r="M38465" s="11" t="n">
        <f t="normal" ca="1">A38471</f>
        <v>0</v>
      </c>
    </row>
    <row r="38466" spans="1:13">
      <c r="A38466" t="s">
        <v>4</v>
      </c>
      <c r="B38466" s="4" t="s">
        <v>5</v>
      </c>
      <c r="C38466" s="4" t="s">
        <v>7</v>
      </c>
      <c r="D38466" s="4" t="s">
        <v>8</v>
      </c>
    </row>
    <row r="38467" spans="1:13">
      <c r="A38467" t="n">
        <v>379483</v>
      </c>
      <c r="B38467" s="6" t="n">
        <v>2</v>
      </c>
      <c r="C38467" s="7" t="n">
        <v>10</v>
      </c>
      <c r="D38467" s="7" t="s">
        <v>107</v>
      </c>
    </row>
    <row r="38468" spans="1:13">
      <c r="A38468" t="s">
        <v>4</v>
      </c>
      <c r="B38468" s="4" t="s">
        <v>5</v>
      </c>
      <c r="C38468" s="4" t="s">
        <v>11</v>
      </c>
    </row>
    <row r="38469" spans="1:13">
      <c r="A38469" t="n">
        <v>379500</v>
      </c>
      <c r="B38469" s="29" t="n">
        <v>16</v>
      </c>
      <c r="C38469" s="7" t="n">
        <v>0</v>
      </c>
    </row>
    <row r="38470" spans="1:13">
      <c r="A38470" t="s">
        <v>4</v>
      </c>
      <c r="B38470" s="4" t="s">
        <v>5</v>
      </c>
      <c r="C38470" s="4" t="s">
        <v>7</v>
      </c>
      <c r="D38470" s="4" t="s">
        <v>11</v>
      </c>
      <c r="E38470" s="4" t="s">
        <v>15</v>
      </c>
      <c r="F38470" s="4" t="s">
        <v>11</v>
      </c>
      <c r="G38470" s="4" t="s">
        <v>15</v>
      </c>
      <c r="H38470" s="4" t="s">
        <v>7</v>
      </c>
    </row>
    <row r="38471" spans="1:13">
      <c r="A38471" t="n">
        <v>379503</v>
      </c>
      <c r="B38471" s="13" t="n">
        <v>49</v>
      </c>
      <c r="C38471" s="7" t="n">
        <v>0</v>
      </c>
      <c r="D38471" s="7" t="n">
        <v>501</v>
      </c>
      <c r="E38471" s="7" t="n">
        <v>1065353216</v>
      </c>
      <c r="F38471" s="7" t="n">
        <v>0</v>
      </c>
      <c r="G38471" s="7" t="n">
        <v>0</v>
      </c>
      <c r="H38471" s="7" t="n">
        <v>0</v>
      </c>
    </row>
    <row r="38472" spans="1:13">
      <c r="A38472" t="s">
        <v>4</v>
      </c>
      <c r="B38472" s="4" t="s">
        <v>5</v>
      </c>
      <c r="C38472" s="4" t="s">
        <v>11</v>
      </c>
      <c r="D38472" s="4" t="s">
        <v>8</v>
      </c>
      <c r="E38472" s="4" t="s">
        <v>8</v>
      </c>
      <c r="F38472" s="4" t="s">
        <v>8</v>
      </c>
      <c r="G38472" s="4" t="s">
        <v>7</v>
      </c>
      <c r="H38472" s="4" t="s">
        <v>15</v>
      </c>
      <c r="I38472" s="4" t="s">
        <v>13</v>
      </c>
      <c r="J38472" s="4" t="s">
        <v>13</v>
      </c>
      <c r="K38472" s="4" t="s">
        <v>13</v>
      </c>
      <c r="L38472" s="4" t="s">
        <v>13</v>
      </c>
      <c r="M38472" s="4" t="s">
        <v>13</v>
      </c>
      <c r="N38472" s="4" t="s">
        <v>13</v>
      </c>
      <c r="O38472" s="4" t="s">
        <v>13</v>
      </c>
      <c r="P38472" s="4" t="s">
        <v>8</v>
      </c>
      <c r="Q38472" s="4" t="s">
        <v>8</v>
      </c>
      <c r="R38472" s="4" t="s">
        <v>15</v>
      </c>
      <c r="S38472" s="4" t="s">
        <v>7</v>
      </c>
      <c r="T38472" s="4" t="s">
        <v>15</v>
      </c>
      <c r="U38472" s="4" t="s">
        <v>15</v>
      </c>
      <c r="V38472" s="4" t="s">
        <v>11</v>
      </c>
    </row>
    <row r="38473" spans="1:13">
      <c r="A38473" t="n">
        <v>379518</v>
      </c>
      <c r="B38473" s="62" t="n">
        <v>19</v>
      </c>
      <c r="C38473" s="7" t="n">
        <v>8</v>
      </c>
      <c r="D38473" s="7" t="s">
        <v>1128</v>
      </c>
      <c r="E38473" s="7" t="s">
        <v>1129</v>
      </c>
      <c r="F38473" s="7" t="s">
        <v>16</v>
      </c>
      <c r="G38473" s="7" t="n">
        <v>0</v>
      </c>
      <c r="H38473" s="7" t="n">
        <v>1</v>
      </c>
      <c r="I38473" s="7" t="n">
        <v>0</v>
      </c>
      <c r="J38473" s="7" t="n">
        <v>0</v>
      </c>
      <c r="K38473" s="7" t="n">
        <v>0</v>
      </c>
      <c r="L38473" s="7" t="n">
        <v>0</v>
      </c>
      <c r="M38473" s="7" t="n">
        <v>1</v>
      </c>
      <c r="N38473" s="7" t="n">
        <v>1.60000002384186</v>
      </c>
      <c r="O38473" s="7" t="n">
        <v>0.0900000035762787</v>
      </c>
      <c r="P38473" s="7" t="s">
        <v>16</v>
      </c>
      <c r="Q38473" s="7" t="s">
        <v>16</v>
      </c>
      <c r="R38473" s="7" t="n">
        <v>-1</v>
      </c>
      <c r="S38473" s="7" t="n">
        <v>0</v>
      </c>
      <c r="T38473" s="7" t="n">
        <v>0</v>
      </c>
      <c r="U38473" s="7" t="n">
        <v>0</v>
      </c>
      <c r="V38473" s="7" t="n">
        <v>0</v>
      </c>
    </row>
    <row r="38474" spans="1:13">
      <c r="A38474" t="s">
        <v>4</v>
      </c>
      <c r="B38474" s="4" t="s">
        <v>5</v>
      </c>
      <c r="C38474" s="4" t="s">
        <v>11</v>
      </c>
      <c r="D38474" s="4" t="s">
        <v>7</v>
      </c>
      <c r="E38474" s="4" t="s">
        <v>7</v>
      </c>
      <c r="F38474" s="4" t="s">
        <v>8</v>
      </c>
    </row>
    <row r="38475" spans="1:13">
      <c r="A38475" t="n">
        <v>379591</v>
      </c>
      <c r="B38475" s="50" t="n">
        <v>20</v>
      </c>
      <c r="C38475" s="7" t="n">
        <v>0</v>
      </c>
      <c r="D38475" s="7" t="n">
        <v>3</v>
      </c>
      <c r="E38475" s="7" t="n">
        <v>10</v>
      </c>
      <c r="F38475" s="7" t="s">
        <v>108</v>
      </c>
    </row>
    <row r="38476" spans="1:13">
      <c r="A38476" t="s">
        <v>4</v>
      </c>
      <c r="B38476" s="4" t="s">
        <v>5</v>
      </c>
      <c r="C38476" s="4" t="s">
        <v>11</v>
      </c>
    </row>
    <row r="38477" spans="1:13">
      <c r="A38477" t="n">
        <v>379609</v>
      </c>
      <c r="B38477" s="29" t="n">
        <v>16</v>
      </c>
      <c r="C38477" s="7" t="n">
        <v>0</v>
      </c>
    </row>
    <row r="38478" spans="1:13">
      <c r="A38478" t="s">
        <v>4</v>
      </c>
      <c r="B38478" s="4" t="s">
        <v>5</v>
      </c>
      <c r="C38478" s="4" t="s">
        <v>11</v>
      </c>
      <c r="D38478" s="4" t="s">
        <v>7</v>
      </c>
      <c r="E38478" s="4" t="s">
        <v>7</v>
      </c>
      <c r="F38478" s="4" t="s">
        <v>8</v>
      </c>
    </row>
    <row r="38479" spans="1:13">
      <c r="A38479" t="n">
        <v>379612</v>
      </c>
      <c r="B38479" s="50" t="n">
        <v>20</v>
      </c>
      <c r="C38479" s="7" t="n">
        <v>8</v>
      </c>
      <c r="D38479" s="7" t="n">
        <v>3</v>
      </c>
      <c r="E38479" s="7" t="n">
        <v>10</v>
      </c>
      <c r="F38479" s="7" t="s">
        <v>108</v>
      </c>
    </row>
    <row r="38480" spans="1:13">
      <c r="A38480" t="s">
        <v>4</v>
      </c>
      <c r="B38480" s="4" t="s">
        <v>5</v>
      </c>
      <c r="C38480" s="4" t="s">
        <v>11</v>
      </c>
    </row>
    <row r="38481" spans="1:22">
      <c r="A38481" t="n">
        <v>379630</v>
      </c>
      <c r="B38481" s="29" t="n">
        <v>16</v>
      </c>
      <c r="C38481" s="7" t="n">
        <v>0</v>
      </c>
    </row>
    <row r="38482" spans="1:22">
      <c r="A38482" t="s">
        <v>4</v>
      </c>
      <c r="B38482" s="4" t="s">
        <v>5</v>
      </c>
      <c r="C38482" s="4" t="s">
        <v>7</v>
      </c>
      <c r="D38482" s="4" t="s">
        <v>11</v>
      </c>
      <c r="E38482" s="4" t="s">
        <v>7</v>
      </c>
      <c r="F38482" s="4" t="s">
        <v>8</v>
      </c>
      <c r="G38482" s="4" t="s">
        <v>8</v>
      </c>
      <c r="H38482" s="4" t="s">
        <v>8</v>
      </c>
      <c r="I38482" s="4" t="s">
        <v>8</v>
      </c>
      <c r="J38482" s="4" t="s">
        <v>8</v>
      </c>
      <c r="K38482" s="4" t="s">
        <v>8</v>
      </c>
      <c r="L38482" s="4" t="s">
        <v>8</v>
      </c>
      <c r="M38482" s="4" t="s">
        <v>8</v>
      </c>
      <c r="N38482" s="4" t="s">
        <v>8</v>
      </c>
      <c r="O38482" s="4" t="s">
        <v>8</v>
      </c>
      <c r="P38482" s="4" t="s">
        <v>8</v>
      </c>
      <c r="Q38482" s="4" t="s">
        <v>8</v>
      </c>
      <c r="R38482" s="4" t="s">
        <v>8</v>
      </c>
      <c r="S38482" s="4" t="s">
        <v>8</v>
      </c>
      <c r="T38482" s="4" t="s">
        <v>8</v>
      </c>
      <c r="U38482" s="4" t="s">
        <v>8</v>
      </c>
    </row>
    <row r="38483" spans="1:22">
      <c r="A38483" t="n">
        <v>379633</v>
      </c>
      <c r="B38483" s="40" t="n">
        <v>36</v>
      </c>
      <c r="C38483" s="7" t="n">
        <v>8</v>
      </c>
      <c r="D38483" s="7" t="n">
        <v>8</v>
      </c>
      <c r="E38483" s="7" t="n">
        <v>0</v>
      </c>
      <c r="F38483" s="7" t="s">
        <v>93</v>
      </c>
      <c r="G38483" s="7" t="s">
        <v>16</v>
      </c>
      <c r="H38483" s="7" t="s">
        <v>16</v>
      </c>
      <c r="I38483" s="7" t="s">
        <v>16</v>
      </c>
      <c r="J38483" s="7" t="s">
        <v>16</v>
      </c>
      <c r="K38483" s="7" t="s">
        <v>16</v>
      </c>
      <c r="L38483" s="7" t="s">
        <v>16</v>
      </c>
      <c r="M38483" s="7" t="s">
        <v>16</v>
      </c>
      <c r="N38483" s="7" t="s">
        <v>16</v>
      </c>
      <c r="O38483" s="7" t="s">
        <v>16</v>
      </c>
      <c r="P38483" s="7" t="s">
        <v>16</v>
      </c>
      <c r="Q38483" s="7" t="s">
        <v>16</v>
      </c>
      <c r="R38483" s="7" t="s">
        <v>16</v>
      </c>
      <c r="S38483" s="7" t="s">
        <v>16</v>
      </c>
      <c r="T38483" s="7" t="s">
        <v>16</v>
      </c>
      <c r="U38483" s="7" t="s">
        <v>16</v>
      </c>
    </row>
    <row r="38484" spans="1:22">
      <c r="A38484" t="s">
        <v>4</v>
      </c>
      <c r="B38484" s="4" t="s">
        <v>5</v>
      </c>
      <c r="C38484" s="4" t="s">
        <v>7</v>
      </c>
    </row>
    <row r="38485" spans="1:22">
      <c r="A38485" t="n">
        <v>379663</v>
      </c>
      <c r="B38485" s="49" t="n">
        <v>116</v>
      </c>
      <c r="C38485" s="7" t="n">
        <v>0</v>
      </c>
    </row>
    <row r="38486" spans="1:22">
      <c r="A38486" t="s">
        <v>4</v>
      </c>
      <c r="B38486" s="4" t="s">
        <v>5</v>
      </c>
      <c r="C38486" s="4" t="s">
        <v>7</v>
      </c>
      <c r="D38486" s="4" t="s">
        <v>11</v>
      </c>
    </row>
    <row r="38487" spans="1:22">
      <c r="A38487" t="n">
        <v>379665</v>
      </c>
      <c r="B38487" s="49" t="n">
        <v>116</v>
      </c>
      <c r="C38487" s="7" t="n">
        <v>2</v>
      </c>
      <c r="D38487" s="7" t="n">
        <v>1</v>
      </c>
    </row>
    <row r="38488" spans="1:22">
      <c r="A38488" t="s">
        <v>4</v>
      </c>
      <c r="B38488" s="4" t="s">
        <v>5</v>
      </c>
      <c r="C38488" s="4" t="s">
        <v>7</v>
      </c>
      <c r="D38488" s="4" t="s">
        <v>15</v>
      </c>
    </row>
    <row r="38489" spans="1:22">
      <c r="A38489" t="n">
        <v>379669</v>
      </c>
      <c r="B38489" s="49" t="n">
        <v>116</v>
      </c>
      <c r="C38489" s="7" t="n">
        <v>5</v>
      </c>
      <c r="D38489" s="7" t="n">
        <v>1088421888</v>
      </c>
    </row>
    <row r="38490" spans="1:22">
      <c r="A38490" t="s">
        <v>4</v>
      </c>
      <c r="B38490" s="4" t="s">
        <v>5</v>
      </c>
      <c r="C38490" s="4" t="s">
        <v>7</v>
      </c>
      <c r="D38490" s="4" t="s">
        <v>11</v>
      </c>
    </row>
    <row r="38491" spans="1:22">
      <c r="A38491" t="n">
        <v>379675</v>
      </c>
      <c r="B38491" s="49" t="n">
        <v>116</v>
      </c>
      <c r="C38491" s="7" t="n">
        <v>6</v>
      </c>
      <c r="D38491" s="7" t="n">
        <v>1</v>
      </c>
    </row>
    <row r="38492" spans="1:22">
      <c r="A38492" t="s">
        <v>4</v>
      </c>
      <c r="B38492" s="4" t="s">
        <v>5</v>
      </c>
      <c r="C38492" s="4" t="s">
        <v>11</v>
      </c>
      <c r="D38492" s="4" t="s">
        <v>13</v>
      </c>
      <c r="E38492" s="4" t="s">
        <v>13</v>
      </c>
      <c r="F38492" s="4" t="s">
        <v>13</v>
      </c>
      <c r="G38492" s="4" t="s">
        <v>13</v>
      </c>
    </row>
    <row r="38493" spans="1:22">
      <c r="A38493" t="n">
        <v>379679</v>
      </c>
      <c r="B38493" s="36" t="n">
        <v>46</v>
      </c>
      <c r="C38493" s="7" t="n">
        <v>0</v>
      </c>
      <c r="D38493" s="7" t="n">
        <v>-16.4500007629395</v>
      </c>
      <c r="E38493" s="7" t="n">
        <v>5.01000022888184</v>
      </c>
      <c r="F38493" s="7" t="n">
        <v>54.8699989318848</v>
      </c>
      <c r="G38493" s="7" t="n">
        <v>118</v>
      </c>
    </row>
    <row r="38494" spans="1:22">
      <c r="A38494" t="s">
        <v>4</v>
      </c>
      <c r="B38494" s="4" t="s">
        <v>5</v>
      </c>
      <c r="C38494" s="4" t="s">
        <v>11</v>
      </c>
      <c r="D38494" s="4" t="s">
        <v>13</v>
      </c>
      <c r="E38494" s="4" t="s">
        <v>13</v>
      </c>
      <c r="F38494" s="4" t="s">
        <v>13</v>
      </c>
      <c r="G38494" s="4" t="s">
        <v>13</v>
      </c>
    </row>
    <row r="38495" spans="1:22">
      <c r="A38495" t="n">
        <v>379698</v>
      </c>
      <c r="B38495" s="36" t="n">
        <v>46</v>
      </c>
      <c r="C38495" s="7" t="n">
        <v>8</v>
      </c>
      <c r="D38495" s="7" t="n">
        <v>-15.4099998474121</v>
      </c>
      <c r="E38495" s="7" t="n">
        <v>5.01000022888184</v>
      </c>
      <c r="F38495" s="7" t="n">
        <v>54.4799995422363</v>
      </c>
      <c r="G38495" s="7" t="n">
        <v>229</v>
      </c>
    </row>
    <row r="38496" spans="1:22">
      <c r="A38496" t="s">
        <v>4</v>
      </c>
      <c r="B38496" s="4" t="s">
        <v>5</v>
      </c>
      <c r="C38496" s="4" t="s">
        <v>11</v>
      </c>
      <c r="D38496" s="4" t="s">
        <v>7</v>
      </c>
      <c r="E38496" s="4" t="s">
        <v>7</v>
      </c>
      <c r="F38496" s="4" t="s">
        <v>8</v>
      </c>
    </row>
    <row r="38497" spans="1:21">
      <c r="A38497" t="n">
        <v>379717</v>
      </c>
      <c r="B38497" s="41" t="n">
        <v>47</v>
      </c>
      <c r="C38497" s="7" t="n">
        <v>8</v>
      </c>
      <c r="D38497" s="7" t="n">
        <v>0</v>
      </c>
      <c r="E38497" s="7" t="n">
        <v>0</v>
      </c>
      <c r="F38497" s="7" t="s">
        <v>94</v>
      </c>
    </row>
    <row r="38498" spans="1:21">
      <c r="A38498" t="s">
        <v>4</v>
      </c>
      <c r="B38498" s="4" t="s">
        <v>5</v>
      </c>
      <c r="C38498" s="4" t="s">
        <v>11</v>
      </c>
      <c r="D38498" s="4" t="s">
        <v>7</v>
      </c>
      <c r="E38498" s="4" t="s">
        <v>8</v>
      </c>
      <c r="F38498" s="4" t="s">
        <v>13</v>
      </c>
      <c r="G38498" s="4" t="s">
        <v>13</v>
      </c>
      <c r="H38498" s="4" t="s">
        <v>13</v>
      </c>
    </row>
    <row r="38499" spans="1:21">
      <c r="A38499" t="n">
        <v>379738</v>
      </c>
      <c r="B38499" s="42" t="n">
        <v>48</v>
      </c>
      <c r="C38499" s="7" t="n">
        <v>8</v>
      </c>
      <c r="D38499" s="7" t="n">
        <v>0</v>
      </c>
      <c r="E38499" s="7" t="s">
        <v>93</v>
      </c>
      <c r="F38499" s="7" t="n">
        <v>0</v>
      </c>
      <c r="G38499" s="7" t="n">
        <v>1</v>
      </c>
      <c r="H38499" s="7" t="n">
        <v>0</v>
      </c>
    </row>
    <row r="38500" spans="1:21">
      <c r="A38500" t="s">
        <v>4</v>
      </c>
      <c r="B38500" s="4" t="s">
        <v>5</v>
      </c>
      <c r="C38500" s="4" t="s">
        <v>11</v>
      </c>
      <c r="D38500" s="4" t="s">
        <v>15</v>
      </c>
    </row>
    <row r="38501" spans="1:21">
      <c r="A38501" t="n">
        <v>379764</v>
      </c>
      <c r="B38501" s="39" t="n">
        <v>43</v>
      </c>
      <c r="C38501" s="7" t="n">
        <v>8</v>
      </c>
      <c r="D38501" s="7" t="n">
        <v>64</v>
      </c>
    </row>
    <row r="38502" spans="1:21">
      <c r="A38502" t="s">
        <v>4</v>
      </c>
      <c r="B38502" s="4" t="s">
        <v>5</v>
      </c>
      <c r="C38502" s="4" t="s">
        <v>11</v>
      </c>
    </row>
    <row r="38503" spans="1:21">
      <c r="A38503" t="n">
        <v>379771</v>
      </c>
      <c r="B38503" s="43" t="n">
        <v>12</v>
      </c>
      <c r="C38503" s="7" t="n">
        <v>7312</v>
      </c>
    </row>
    <row r="38504" spans="1:21">
      <c r="A38504" t="s">
        <v>4</v>
      </c>
      <c r="B38504" s="4" t="s">
        <v>5</v>
      </c>
      <c r="C38504" s="4" t="s">
        <v>7</v>
      </c>
      <c r="D38504" s="4" t="s">
        <v>8</v>
      </c>
      <c r="E38504" s="4" t="s">
        <v>13</v>
      </c>
      <c r="F38504" s="4" t="s">
        <v>13</v>
      </c>
      <c r="G38504" s="4" t="s">
        <v>13</v>
      </c>
    </row>
    <row r="38505" spans="1:21">
      <c r="A38505" t="n">
        <v>379774</v>
      </c>
      <c r="B38505" s="15" t="n">
        <v>94</v>
      </c>
      <c r="C38505" s="7" t="n">
        <v>2</v>
      </c>
      <c r="D38505" s="7" t="s">
        <v>95</v>
      </c>
      <c r="E38505" s="7" t="n">
        <v>-15.4099998474121</v>
      </c>
      <c r="F38505" s="7" t="n">
        <v>5.01000022888184</v>
      </c>
      <c r="G38505" s="7" t="n">
        <v>54.4799995422363</v>
      </c>
    </row>
    <row r="38506" spans="1:21">
      <c r="A38506" t="s">
        <v>4</v>
      </c>
      <c r="B38506" s="4" t="s">
        <v>5</v>
      </c>
      <c r="C38506" s="4" t="s">
        <v>7</v>
      </c>
      <c r="D38506" s="4" t="s">
        <v>8</v>
      </c>
      <c r="E38506" s="4" t="s">
        <v>13</v>
      </c>
      <c r="F38506" s="4" t="s">
        <v>13</v>
      </c>
      <c r="G38506" s="4" t="s">
        <v>13</v>
      </c>
    </row>
    <row r="38507" spans="1:21">
      <c r="A38507" t="n">
        <v>379798</v>
      </c>
      <c r="B38507" s="15" t="n">
        <v>94</v>
      </c>
      <c r="C38507" s="7" t="n">
        <v>3</v>
      </c>
      <c r="D38507" s="7" t="s">
        <v>95</v>
      </c>
      <c r="E38507" s="7" t="n">
        <v>0</v>
      </c>
      <c r="F38507" s="7" t="n">
        <v>229</v>
      </c>
      <c r="G38507" s="7" t="n">
        <v>0</v>
      </c>
    </row>
    <row r="38508" spans="1:21">
      <c r="A38508" t="s">
        <v>4</v>
      </c>
      <c r="B38508" s="4" t="s">
        <v>5</v>
      </c>
      <c r="C38508" s="4" t="s">
        <v>11</v>
      </c>
      <c r="D38508" s="4" t="s">
        <v>7</v>
      </c>
      <c r="E38508" s="4" t="s">
        <v>7</v>
      </c>
      <c r="F38508" s="4" t="s">
        <v>8</v>
      </c>
    </row>
    <row r="38509" spans="1:21">
      <c r="A38509" t="n">
        <v>379822</v>
      </c>
      <c r="B38509" s="41" t="n">
        <v>47</v>
      </c>
      <c r="C38509" s="7" t="n">
        <v>8</v>
      </c>
      <c r="D38509" s="7" t="n">
        <v>1</v>
      </c>
      <c r="E38509" s="7" t="n">
        <v>0</v>
      </c>
      <c r="F38509" s="7" t="s">
        <v>16</v>
      </c>
    </row>
    <row r="38510" spans="1:21">
      <c r="A38510" t="s">
        <v>4</v>
      </c>
      <c r="B38510" s="4" t="s">
        <v>5</v>
      </c>
      <c r="C38510" s="4" t="s">
        <v>11</v>
      </c>
    </row>
    <row r="38511" spans="1:21">
      <c r="A38511" t="n">
        <v>379828</v>
      </c>
      <c r="B38511" s="29" t="n">
        <v>16</v>
      </c>
      <c r="C38511" s="7" t="n">
        <v>0</v>
      </c>
    </row>
    <row r="38512" spans="1:21">
      <c r="A38512" t="s">
        <v>4</v>
      </c>
      <c r="B38512" s="4" t="s">
        <v>5</v>
      </c>
      <c r="C38512" s="4" t="s">
        <v>11</v>
      </c>
      <c r="D38512" s="4" t="s">
        <v>8</v>
      </c>
      <c r="E38512" s="4" t="s">
        <v>7</v>
      </c>
      <c r="F38512" s="4" t="s">
        <v>7</v>
      </c>
      <c r="G38512" s="4" t="s">
        <v>7</v>
      </c>
      <c r="H38512" s="4" t="s">
        <v>7</v>
      </c>
      <c r="I38512" s="4" t="s">
        <v>7</v>
      </c>
      <c r="J38512" s="4" t="s">
        <v>13</v>
      </c>
      <c r="K38512" s="4" t="s">
        <v>13</v>
      </c>
      <c r="L38512" s="4" t="s">
        <v>13</v>
      </c>
      <c r="M38512" s="4" t="s">
        <v>13</v>
      </c>
      <c r="N38512" s="4" t="s">
        <v>7</v>
      </c>
    </row>
    <row r="38513" spans="1:14">
      <c r="A38513" t="n">
        <v>379831</v>
      </c>
      <c r="B38513" s="82" t="n">
        <v>34</v>
      </c>
      <c r="C38513" s="7" t="n">
        <v>8</v>
      </c>
      <c r="D38513" s="7" t="s">
        <v>1349</v>
      </c>
      <c r="E38513" s="7" t="n">
        <v>0</v>
      </c>
      <c r="F38513" s="7" t="n">
        <v>0</v>
      </c>
      <c r="G38513" s="7" t="n">
        <v>0</v>
      </c>
      <c r="H38513" s="7" t="n">
        <v>0</v>
      </c>
      <c r="I38513" s="7" t="n">
        <v>0</v>
      </c>
      <c r="J38513" s="7" t="n">
        <v>0</v>
      </c>
      <c r="K38513" s="7" t="n">
        <v>-1</v>
      </c>
      <c r="L38513" s="7" t="n">
        <v>-1</v>
      </c>
      <c r="M38513" s="7" t="n">
        <v>-1</v>
      </c>
      <c r="N38513" s="7" t="n">
        <v>0</v>
      </c>
    </row>
    <row r="38514" spans="1:14">
      <c r="A38514" t="s">
        <v>4</v>
      </c>
      <c r="B38514" s="4" t="s">
        <v>5</v>
      </c>
      <c r="C38514" s="4" t="s">
        <v>11</v>
      </c>
      <c r="D38514" s="4" t="s">
        <v>15</v>
      </c>
      <c r="E38514" s="4" t="s">
        <v>7</v>
      </c>
    </row>
    <row r="38515" spans="1:14">
      <c r="A38515" t="n">
        <v>379864</v>
      </c>
      <c r="B38515" s="78" t="n">
        <v>35</v>
      </c>
      <c r="C38515" s="7" t="n">
        <v>8</v>
      </c>
      <c r="D38515" s="7" t="n">
        <v>0</v>
      </c>
      <c r="E38515" s="7" t="n">
        <v>0</v>
      </c>
    </row>
    <row r="38516" spans="1:14">
      <c r="A38516" t="s">
        <v>4</v>
      </c>
      <c r="B38516" s="4" t="s">
        <v>5</v>
      </c>
      <c r="C38516" s="4" t="s">
        <v>11</v>
      </c>
      <c r="D38516" s="4" t="s">
        <v>8</v>
      </c>
      <c r="E38516" s="4" t="s">
        <v>7</v>
      </c>
      <c r="F38516" s="4" t="s">
        <v>7</v>
      </c>
      <c r="G38516" s="4" t="s">
        <v>7</v>
      </c>
      <c r="H38516" s="4" t="s">
        <v>7</v>
      </c>
      <c r="I38516" s="4" t="s">
        <v>7</v>
      </c>
      <c r="J38516" s="4" t="s">
        <v>13</v>
      </c>
      <c r="K38516" s="4" t="s">
        <v>13</v>
      </c>
      <c r="L38516" s="4" t="s">
        <v>13</v>
      </c>
      <c r="M38516" s="4" t="s">
        <v>13</v>
      </c>
      <c r="N38516" s="4" t="s">
        <v>7</v>
      </c>
    </row>
    <row r="38517" spans="1:14">
      <c r="A38517" t="n">
        <v>379872</v>
      </c>
      <c r="B38517" s="82" t="n">
        <v>34</v>
      </c>
      <c r="C38517" s="7" t="n">
        <v>8</v>
      </c>
      <c r="D38517" s="7" t="s">
        <v>1350</v>
      </c>
      <c r="E38517" s="7" t="n">
        <v>1</v>
      </c>
      <c r="F38517" s="7" t="n">
        <v>1</v>
      </c>
      <c r="G38517" s="7" t="n">
        <v>0</v>
      </c>
      <c r="H38517" s="7" t="n">
        <v>1</v>
      </c>
      <c r="I38517" s="7" t="n">
        <v>0</v>
      </c>
      <c r="J38517" s="7" t="n">
        <v>0</v>
      </c>
      <c r="K38517" s="7" t="n">
        <v>-0.0333333350718021</v>
      </c>
      <c r="L38517" s="7" t="n">
        <v>-0.0333333350718021</v>
      </c>
      <c r="M38517" s="7" t="n">
        <v>-0.0333333350718021</v>
      </c>
      <c r="N38517" s="7" t="n">
        <v>0</v>
      </c>
    </row>
    <row r="38518" spans="1:14">
      <c r="A38518" t="s">
        <v>4</v>
      </c>
      <c r="B38518" s="4" t="s">
        <v>5</v>
      </c>
      <c r="C38518" s="4" t="s">
        <v>11</v>
      </c>
      <c r="D38518" s="4" t="s">
        <v>15</v>
      </c>
    </row>
    <row r="38519" spans="1:14">
      <c r="A38519" t="n">
        <v>379905</v>
      </c>
      <c r="B38519" s="44" t="n">
        <v>98</v>
      </c>
      <c r="C38519" s="7" t="n">
        <v>8</v>
      </c>
      <c r="D38519" s="7" t="n">
        <v>1048576000</v>
      </c>
    </row>
    <row r="38520" spans="1:14">
      <c r="A38520" t="s">
        <v>4</v>
      </c>
      <c r="B38520" s="4" t="s">
        <v>5</v>
      </c>
      <c r="C38520" s="4" t="s">
        <v>11</v>
      </c>
      <c r="D38520" s="4" t="s">
        <v>7</v>
      </c>
      <c r="E38520" s="4" t="s">
        <v>8</v>
      </c>
      <c r="F38520" s="4" t="s">
        <v>13</v>
      </c>
      <c r="G38520" s="4" t="s">
        <v>13</v>
      </c>
      <c r="H38520" s="4" t="s">
        <v>13</v>
      </c>
    </row>
    <row r="38521" spans="1:14">
      <c r="A38521" t="n">
        <v>379912</v>
      </c>
      <c r="B38521" s="42" t="n">
        <v>48</v>
      </c>
      <c r="C38521" s="7" t="n">
        <v>0</v>
      </c>
      <c r="D38521" s="7" t="n">
        <v>0</v>
      </c>
      <c r="E38521" s="7" t="s">
        <v>275</v>
      </c>
      <c r="F38521" s="7" t="n">
        <v>0</v>
      </c>
      <c r="G38521" s="7" t="n">
        <v>1</v>
      </c>
      <c r="H38521" s="7" t="n">
        <v>0</v>
      </c>
    </row>
    <row r="38522" spans="1:14">
      <c r="A38522" t="s">
        <v>4</v>
      </c>
      <c r="B38522" s="4" t="s">
        <v>5</v>
      </c>
      <c r="C38522" s="4" t="s">
        <v>7</v>
      </c>
      <c r="D38522" s="4" t="s">
        <v>7</v>
      </c>
      <c r="E38522" s="4" t="s">
        <v>13</v>
      </c>
      <c r="F38522" s="4" t="s">
        <v>13</v>
      </c>
      <c r="G38522" s="4" t="s">
        <v>13</v>
      </c>
      <c r="H38522" s="4" t="s">
        <v>11</v>
      </c>
    </row>
    <row r="38523" spans="1:14">
      <c r="A38523" t="n">
        <v>379937</v>
      </c>
      <c r="B38523" s="51" t="n">
        <v>45</v>
      </c>
      <c r="C38523" s="7" t="n">
        <v>2</v>
      </c>
      <c r="D38523" s="7" t="n">
        <v>3</v>
      </c>
      <c r="E38523" s="7" t="n">
        <v>-16.0799999237061</v>
      </c>
      <c r="F38523" s="7" t="n">
        <v>6.3899998664856</v>
      </c>
      <c r="G38523" s="7" t="n">
        <v>54.6199989318848</v>
      </c>
      <c r="H38523" s="7" t="n">
        <v>0</v>
      </c>
    </row>
    <row r="38524" spans="1:14">
      <c r="A38524" t="s">
        <v>4</v>
      </c>
      <c r="B38524" s="4" t="s">
        <v>5</v>
      </c>
      <c r="C38524" s="4" t="s">
        <v>7</v>
      </c>
      <c r="D38524" s="4" t="s">
        <v>7</v>
      </c>
      <c r="E38524" s="4" t="s">
        <v>13</v>
      </c>
      <c r="F38524" s="4" t="s">
        <v>13</v>
      </c>
      <c r="G38524" s="4" t="s">
        <v>13</v>
      </c>
      <c r="H38524" s="4" t="s">
        <v>11</v>
      </c>
      <c r="I38524" s="4" t="s">
        <v>7</v>
      </c>
    </row>
    <row r="38525" spans="1:14">
      <c r="A38525" t="n">
        <v>379954</v>
      </c>
      <c r="B38525" s="51" t="n">
        <v>45</v>
      </c>
      <c r="C38525" s="7" t="n">
        <v>4</v>
      </c>
      <c r="D38525" s="7" t="n">
        <v>3</v>
      </c>
      <c r="E38525" s="7" t="n">
        <v>19.8999996185303</v>
      </c>
      <c r="F38525" s="7" t="n">
        <v>248.270004272461</v>
      </c>
      <c r="G38525" s="7" t="n">
        <v>0</v>
      </c>
      <c r="H38525" s="7" t="n">
        <v>0</v>
      </c>
      <c r="I38525" s="7" t="n">
        <v>0</v>
      </c>
    </row>
    <row r="38526" spans="1:14">
      <c r="A38526" t="s">
        <v>4</v>
      </c>
      <c r="B38526" s="4" t="s">
        <v>5</v>
      </c>
      <c r="C38526" s="4" t="s">
        <v>7</v>
      </c>
      <c r="D38526" s="4" t="s">
        <v>7</v>
      </c>
      <c r="E38526" s="4" t="s">
        <v>13</v>
      </c>
      <c r="F38526" s="4" t="s">
        <v>11</v>
      </c>
    </row>
    <row r="38527" spans="1:14">
      <c r="A38527" t="n">
        <v>379972</v>
      </c>
      <c r="B38527" s="51" t="n">
        <v>45</v>
      </c>
      <c r="C38527" s="7" t="n">
        <v>5</v>
      </c>
      <c r="D38527" s="7" t="n">
        <v>3</v>
      </c>
      <c r="E38527" s="7" t="n">
        <v>1.79999995231628</v>
      </c>
      <c r="F38527" s="7" t="n">
        <v>0</v>
      </c>
    </row>
    <row r="38528" spans="1:14">
      <c r="A38528" t="s">
        <v>4</v>
      </c>
      <c r="B38528" s="4" t="s">
        <v>5</v>
      </c>
      <c r="C38528" s="4" t="s">
        <v>7</v>
      </c>
      <c r="D38528" s="4" t="s">
        <v>7</v>
      </c>
      <c r="E38528" s="4" t="s">
        <v>13</v>
      </c>
      <c r="F38528" s="4" t="s">
        <v>11</v>
      </c>
    </row>
    <row r="38529" spans="1:14">
      <c r="A38529" t="n">
        <v>379981</v>
      </c>
      <c r="B38529" s="51" t="n">
        <v>45</v>
      </c>
      <c r="C38529" s="7" t="n">
        <v>5</v>
      </c>
      <c r="D38529" s="7" t="n">
        <v>3</v>
      </c>
      <c r="E38529" s="7" t="n">
        <v>1.5</v>
      </c>
      <c r="F38529" s="7" t="n">
        <v>3000</v>
      </c>
    </row>
    <row r="38530" spans="1:14">
      <c r="A38530" t="s">
        <v>4</v>
      </c>
      <c r="B38530" s="4" t="s">
        <v>5</v>
      </c>
      <c r="C38530" s="4" t="s">
        <v>11</v>
      </c>
      <c r="D38530" s="4" t="s">
        <v>11</v>
      </c>
      <c r="E38530" s="4" t="s">
        <v>11</v>
      </c>
    </row>
    <row r="38531" spans="1:14">
      <c r="A38531" t="n">
        <v>379990</v>
      </c>
      <c r="B38531" s="72" t="n">
        <v>61</v>
      </c>
      <c r="C38531" s="7" t="n">
        <v>0</v>
      </c>
      <c r="D38531" s="7" t="n">
        <v>8</v>
      </c>
      <c r="E38531" s="7" t="n">
        <v>1000</v>
      </c>
    </row>
    <row r="38532" spans="1:14">
      <c r="A38532" t="s">
        <v>4</v>
      </c>
      <c r="B38532" s="4" t="s">
        <v>5</v>
      </c>
      <c r="C38532" s="4" t="s">
        <v>7</v>
      </c>
      <c r="D38532" s="4" t="s">
        <v>7</v>
      </c>
      <c r="E38532" s="4" t="s">
        <v>13</v>
      </c>
      <c r="F38532" s="4" t="s">
        <v>11</v>
      </c>
    </row>
    <row r="38533" spans="1:14">
      <c r="A38533" t="n">
        <v>379997</v>
      </c>
      <c r="B38533" s="51" t="n">
        <v>45</v>
      </c>
      <c r="C38533" s="7" t="n">
        <v>11</v>
      </c>
      <c r="D38533" s="7" t="n">
        <v>3</v>
      </c>
      <c r="E38533" s="7" t="n">
        <v>34</v>
      </c>
      <c r="F38533" s="7" t="n">
        <v>0</v>
      </c>
    </row>
    <row r="38534" spans="1:14">
      <c r="A38534" t="s">
        <v>4</v>
      </c>
      <c r="B38534" s="4" t="s">
        <v>5</v>
      </c>
      <c r="C38534" s="4" t="s">
        <v>7</v>
      </c>
      <c r="D38534" s="4" t="s">
        <v>11</v>
      </c>
      <c r="E38534" s="4" t="s">
        <v>13</v>
      </c>
    </row>
    <row r="38535" spans="1:14">
      <c r="A38535" t="n">
        <v>380006</v>
      </c>
      <c r="B38535" s="23" t="n">
        <v>58</v>
      </c>
      <c r="C38535" s="7" t="n">
        <v>100</v>
      </c>
      <c r="D38535" s="7" t="n">
        <v>1000</v>
      </c>
      <c r="E38535" s="7" t="n">
        <v>1</v>
      </c>
    </row>
    <row r="38536" spans="1:14">
      <c r="A38536" t="s">
        <v>4</v>
      </c>
      <c r="B38536" s="4" t="s">
        <v>5</v>
      </c>
      <c r="C38536" s="4" t="s">
        <v>7</v>
      </c>
      <c r="D38536" s="4" t="s">
        <v>11</v>
      </c>
    </row>
    <row r="38537" spans="1:14">
      <c r="A38537" t="n">
        <v>380014</v>
      </c>
      <c r="B38537" s="23" t="n">
        <v>58</v>
      </c>
      <c r="C38537" s="7" t="n">
        <v>255</v>
      </c>
      <c r="D38537" s="7" t="n">
        <v>0</v>
      </c>
    </row>
    <row r="38538" spans="1:14">
      <c r="A38538" t="s">
        <v>4</v>
      </c>
      <c r="B38538" s="4" t="s">
        <v>5</v>
      </c>
      <c r="C38538" s="4" t="s">
        <v>7</v>
      </c>
      <c r="D38538" s="4" t="s">
        <v>11</v>
      </c>
      <c r="E38538" s="4" t="s">
        <v>8</v>
      </c>
    </row>
    <row r="38539" spans="1:14">
      <c r="A38539" t="n">
        <v>380018</v>
      </c>
      <c r="B38539" s="38" t="n">
        <v>51</v>
      </c>
      <c r="C38539" s="7" t="n">
        <v>4</v>
      </c>
      <c r="D38539" s="7" t="n">
        <v>0</v>
      </c>
      <c r="E38539" s="7" t="s">
        <v>304</v>
      </c>
    </row>
    <row r="38540" spans="1:14">
      <c r="A38540" t="s">
        <v>4</v>
      </c>
      <c r="B38540" s="4" t="s">
        <v>5</v>
      </c>
      <c r="C38540" s="4" t="s">
        <v>11</v>
      </c>
    </row>
    <row r="38541" spans="1:14">
      <c r="A38541" t="n">
        <v>380031</v>
      </c>
      <c r="B38541" s="29" t="n">
        <v>16</v>
      </c>
      <c r="C38541" s="7" t="n">
        <v>0</v>
      </c>
    </row>
    <row r="38542" spans="1:14">
      <c r="A38542" t="s">
        <v>4</v>
      </c>
      <c r="B38542" s="4" t="s">
        <v>5</v>
      </c>
      <c r="C38542" s="4" t="s">
        <v>11</v>
      </c>
      <c r="D38542" s="4" t="s">
        <v>7</v>
      </c>
      <c r="E38542" s="4" t="s">
        <v>15</v>
      </c>
      <c r="F38542" s="4" t="s">
        <v>55</v>
      </c>
      <c r="G38542" s="4" t="s">
        <v>7</v>
      </c>
      <c r="H38542" s="4" t="s">
        <v>7</v>
      </c>
    </row>
    <row r="38543" spans="1:14">
      <c r="A38543" t="n">
        <v>380034</v>
      </c>
      <c r="B38543" s="55" t="n">
        <v>26</v>
      </c>
      <c r="C38543" s="7" t="n">
        <v>0</v>
      </c>
      <c r="D38543" s="7" t="n">
        <v>17</v>
      </c>
      <c r="E38543" s="7" t="n">
        <v>64394</v>
      </c>
      <c r="F38543" s="7" t="s">
        <v>1351</v>
      </c>
      <c r="G38543" s="7" t="n">
        <v>2</v>
      </c>
      <c r="H38543" s="7" t="n">
        <v>0</v>
      </c>
    </row>
    <row r="38544" spans="1:14">
      <c r="A38544" t="s">
        <v>4</v>
      </c>
      <c r="B38544" s="4" t="s">
        <v>5</v>
      </c>
    </row>
    <row r="38545" spans="1:8">
      <c r="A38545" t="n">
        <v>380092</v>
      </c>
      <c r="B38545" s="27" t="n">
        <v>28</v>
      </c>
    </row>
    <row r="38546" spans="1:8">
      <c r="A38546" t="s">
        <v>4</v>
      </c>
      <c r="B38546" s="4" t="s">
        <v>5</v>
      </c>
      <c r="C38546" s="4" t="s">
        <v>7</v>
      </c>
      <c r="D38546" s="4" t="s">
        <v>11</v>
      </c>
      <c r="E38546" s="4" t="s">
        <v>11</v>
      </c>
      <c r="F38546" s="4" t="s">
        <v>7</v>
      </c>
    </row>
    <row r="38547" spans="1:8">
      <c r="A38547" t="n">
        <v>380093</v>
      </c>
      <c r="B38547" s="31" t="n">
        <v>25</v>
      </c>
      <c r="C38547" s="7" t="n">
        <v>1</v>
      </c>
      <c r="D38547" s="7" t="n">
        <v>65535</v>
      </c>
      <c r="E38547" s="7" t="n">
        <v>65535</v>
      </c>
      <c r="F38547" s="7" t="n">
        <v>0</v>
      </c>
    </row>
    <row r="38548" spans="1:8">
      <c r="A38548" t="s">
        <v>4</v>
      </c>
      <c r="B38548" s="4" t="s">
        <v>5</v>
      </c>
      <c r="C38548" s="4" t="s">
        <v>11</v>
      </c>
      <c r="D38548" s="4" t="s">
        <v>11</v>
      </c>
      <c r="E38548" s="4" t="s">
        <v>11</v>
      </c>
    </row>
    <row r="38549" spans="1:8">
      <c r="A38549" t="n">
        <v>380100</v>
      </c>
      <c r="B38549" s="72" t="n">
        <v>61</v>
      </c>
      <c r="C38549" s="7" t="n">
        <v>8</v>
      </c>
      <c r="D38549" s="7" t="n">
        <v>0</v>
      </c>
      <c r="E38549" s="7" t="n">
        <v>1000</v>
      </c>
    </row>
    <row r="38550" spans="1:8">
      <c r="A38550" t="s">
        <v>4</v>
      </c>
      <c r="B38550" s="4" t="s">
        <v>5</v>
      </c>
      <c r="C38550" s="4" t="s">
        <v>11</v>
      </c>
      <c r="D38550" s="4" t="s">
        <v>13</v>
      </c>
      <c r="E38550" s="4" t="s">
        <v>13</v>
      </c>
      <c r="F38550" s="4" t="s">
        <v>7</v>
      </c>
    </row>
    <row r="38551" spans="1:8">
      <c r="A38551" t="n">
        <v>380107</v>
      </c>
      <c r="B38551" s="65" t="n">
        <v>52</v>
      </c>
      <c r="C38551" s="7" t="n">
        <v>8</v>
      </c>
      <c r="D38551" s="7" t="n">
        <v>254.800003051758</v>
      </c>
      <c r="E38551" s="7" t="n">
        <v>5</v>
      </c>
      <c r="F38551" s="7" t="n">
        <v>1</v>
      </c>
    </row>
    <row r="38552" spans="1:8">
      <c r="A38552" t="s">
        <v>4</v>
      </c>
      <c r="B38552" s="4" t="s">
        <v>5</v>
      </c>
      <c r="C38552" s="4" t="s">
        <v>11</v>
      </c>
    </row>
    <row r="38553" spans="1:8">
      <c r="A38553" t="n">
        <v>380119</v>
      </c>
      <c r="B38553" s="66" t="n">
        <v>54</v>
      </c>
      <c r="C38553" s="7" t="n">
        <v>8</v>
      </c>
    </row>
    <row r="38554" spans="1:8">
      <c r="A38554" t="s">
        <v>4</v>
      </c>
      <c r="B38554" s="4" t="s">
        <v>5</v>
      </c>
      <c r="C38554" s="4" t="s">
        <v>7</v>
      </c>
      <c r="D38554" s="4" t="s">
        <v>11</v>
      </c>
      <c r="E38554" s="4" t="s">
        <v>8</v>
      </c>
    </row>
    <row r="38555" spans="1:8">
      <c r="A38555" t="n">
        <v>380122</v>
      </c>
      <c r="B38555" s="38" t="n">
        <v>51</v>
      </c>
      <c r="C38555" s="7" t="n">
        <v>4</v>
      </c>
      <c r="D38555" s="7" t="n">
        <v>8</v>
      </c>
      <c r="E38555" s="7" t="s">
        <v>288</v>
      </c>
    </row>
    <row r="38556" spans="1:8">
      <c r="A38556" t="s">
        <v>4</v>
      </c>
      <c r="B38556" s="4" t="s">
        <v>5</v>
      </c>
      <c r="C38556" s="4" t="s">
        <v>11</v>
      </c>
    </row>
    <row r="38557" spans="1:8">
      <c r="A38557" t="n">
        <v>380135</v>
      </c>
      <c r="B38557" s="29" t="n">
        <v>16</v>
      </c>
      <c r="C38557" s="7" t="n">
        <v>0</v>
      </c>
    </row>
    <row r="38558" spans="1:8">
      <c r="A38558" t="s">
        <v>4</v>
      </c>
      <c r="B38558" s="4" t="s">
        <v>5</v>
      </c>
      <c r="C38558" s="4" t="s">
        <v>11</v>
      </c>
      <c r="D38558" s="4" t="s">
        <v>7</v>
      </c>
      <c r="E38558" s="4" t="s">
        <v>15</v>
      </c>
      <c r="F38558" s="4" t="s">
        <v>55</v>
      </c>
      <c r="G38558" s="4" t="s">
        <v>7</v>
      </c>
      <c r="H38558" s="4" t="s">
        <v>7</v>
      </c>
      <c r="I38558" s="4" t="s">
        <v>7</v>
      </c>
      <c r="J38558" s="4" t="s">
        <v>15</v>
      </c>
      <c r="K38558" s="4" t="s">
        <v>55</v>
      </c>
      <c r="L38558" s="4" t="s">
        <v>7</v>
      </c>
      <c r="M38558" s="4" t="s">
        <v>7</v>
      </c>
    </row>
    <row r="38559" spans="1:8">
      <c r="A38559" t="n">
        <v>380138</v>
      </c>
      <c r="B38559" s="55" t="n">
        <v>26</v>
      </c>
      <c r="C38559" s="7" t="n">
        <v>8</v>
      </c>
      <c r="D38559" s="7" t="n">
        <v>17</v>
      </c>
      <c r="E38559" s="7" t="n">
        <v>64395</v>
      </c>
      <c r="F38559" s="7" t="s">
        <v>1352</v>
      </c>
      <c r="G38559" s="7" t="n">
        <v>2</v>
      </c>
      <c r="H38559" s="7" t="n">
        <v>3</v>
      </c>
      <c r="I38559" s="7" t="n">
        <v>17</v>
      </c>
      <c r="J38559" s="7" t="n">
        <v>64396</v>
      </c>
      <c r="K38559" s="7" t="s">
        <v>1353</v>
      </c>
      <c r="L38559" s="7" t="n">
        <v>2</v>
      </c>
      <c r="M38559" s="7" t="n">
        <v>0</v>
      </c>
    </row>
    <row r="38560" spans="1:8">
      <c r="A38560" t="s">
        <v>4</v>
      </c>
      <c r="B38560" s="4" t="s">
        <v>5</v>
      </c>
    </row>
    <row r="38561" spans="1:13">
      <c r="A38561" t="n">
        <v>380273</v>
      </c>
      <c r="B38561" s="27" t="n">
        <v>28</v>
      </c>
    </row>
    <row r="38562" spans="1:13">
      <c r="A38562" t="s">
        <v>4</v>
      </c>
      <c r="B38562" s="4" t="s">
        <v>5</v>
      </c>
      <c r="C38562" s="4" t="s">
        <v>7</v>
      </c>
      <c r="D38562" s="4" t="s">
        <v>11</v>
      </c>
      <c r="E38562" s="4" t="s">
        <v>8</v>
      </c>
    </row>
    <row r="38563" spans="1:13">
      <c r="A38563" t="n">
        <v>380274</v>
      </c>
      <c r="B38563" s="38" t="n">
        <v>51</v>
      </c>
      <c r="C38563" s="7" t="n">
        <v>4</v>
      </c>
      <c r="D38563" s="7" t="n">
        <v>0</v>
      </c>
      <c r="E38563" s="7" t="s">
        <v>179</v>
      </c>
    </row>
    <row r="38564" spans="1:13">
      <c r="A38564" t="s">
        <v>4</v>
      </c>
      <c r="B38564" s="4" t="s">
        <v>5</v>
      </c>
      <c r="C38564" s="4" t="s">
        <v>11</v>
      </c>
    </row>
    <row r="38565" spans="1:13">
      <c r="A38565" t="n">
        <v>380288</v>
      </c>
      <c r="B38565" s="29" t="n">
        <v>16</v>
      </c>
      <c r="C38565" s="7" t="n">
        <v>0</v>
      </c>
    </row>
    <row r="38566" spans="1:13">
      <c r="A38566" t="s">
        <v>4</v>
      </c>
      <c r="B38566" s="4" t="s">
        <v>5</v>
      </c>
      <c r="C38566" s="4" t="s">
        <v>11</v>
      </c>
      <c r="D38566" s="4" t="s">
        <v>7</v>
      </c>
      <c r="E38566" s="4" t="s">
        <v>15</v>
      </c>
      <c r="F38566" s="4" t="s">
        <v>55</v>
      </c>
      <c r="G38566" s="4" t="s">
        <v>7</v>
      </c>
      <c r="H38566" s="4" t="s">
        <v>7</v>
      </c>
      <c r="I38566" s="4" t="s">
        <v>7</v>
      </c>
      <c r="J38566" s="4" t="s">
        <v>15</v>
      </c>
      <c r="K38566" s="4" t="s">
        <v>55</v>
      </c>
      <c r="L38566" s="4" t="s">
        <v>7</v>
      </c>
      <c r="M38566" s="4" t="s">
        <v>7</v>
      </c>
    </row>
    <row r="38567" spans="1:13">
      <c r="A38567" t="n">
        <v>380291</v>
      </c>
      <c r="B38567" s="55" t="n">
        <v>26</v>
      </c>
      <c r="C38567" s="7" t="n">
        <v>0</v>
      </c>
      <c r="D38567" s="7" t="n">
        <v>17</v>
      </c>
      <c r="E38567" s="7" t="n">
        <v>64397</v>
      </c>
      <c r="F38567" s="7" t="s">
        <v>1354</v>
      </c>
      <c r="G38567" s="7" t="n">
        <v>2</v>
      </c>
      <c r="H38567" s="7" t="n">
        <v>3</v>
      </c>
      <c r="I38567" s="7" t="n">
        <v>17</v>
      </c>
      <c r="J38567" s="7" t="n">
        <v>64398</v>
      </c>
      <c r="K38567" s="7" t="s">
        <v>1355</v>
      </c>
      <c r="L38567" s="7" t="n">
        <v>2</v>
      </c>
      <c r="M38567" s="7" t="n">
        <v>0</v>
      </c>
    </row>
    <row r="38568" spans="1:13">
      <c r="A38568" t="s">
        <v>4</v>
      </c>
      <c r="B38568" s="4" t="s">
        <v>5</v>
      </c>
    </row>
    <row r="38569" spans="1:13">
      <c r="A38569" t="n">
        <v>380410</v>
      </c>
      <c r="B38569" s="27" t="n">
        <v>28</v>
      </c>
    </row>
    <row r="38570" spans="1:13">
      <c r="A38570" t="s">
        <v>4</v>
      </c>
      <c r="B38570" s="4" t="s">
        <v>5</v>
      </c>
      <c r="C38570" s="4" t="s">
        <v>7</v>
      </c>
      <c r="D38570" s="4" t="s">
        <v>11</v>
      </c>
      <c r="E38570" s="4" t="s">
        <v>11</v>
      </c>
      <c r="F38570" s="4" t="s">
        <v>7</v>
      </c>
    </row>
    <row r="38571" spans="1:13">
      <c r="A38571" t="n">
        <v>380411</v>
      </c>
      <c r="B38571" s="31" t="n">
        <v>25</v>
      </c>
      <c r="C38571" s="7" t="n">
        <v>1</v>
      </c>
      <c r="D38571" s="7" t="n">
        <v>65535</v>
      </c>
      <c r="E38571" s="7" t="n">
        <v>65535</v>
      </c>
      <c r="F38571" s="7" t="n">
        <v>0</v>
      </c>
    </row>
    <row r="38572" spans="1:13">
      <c r="A38572" t="s">
        <v>4</v>
      </c>
      <c r="B38572" s="4" t="s">
        <v>5</v>
      </c>
      <c r="C38572" s="4" t="s">
        <v>7</v>
      </c>
      <c r="D38572" s="4" t="s">
        <v>11</v>
      </c>
      <c r="E38572" s="4" t="s">
        <v>8</v>
      </c>
    </row>
    <row r="38573" spans="1:13">
      <c r="A38573" t="n">
        <v>380418</v>
      </c>
      <c r="B38573" s="38" t="n">
        <v>51</v>
      </c>
      <c r="C38573" s="7" t="n">
        <v>4</v>
      </c>
      <c r="D38573" s="7" t="n">
        <v>8</v>
      </c>
      <c r="E38573" s="7" t="s">
        <v>313</v>
      </c>
    </row>
    <row r="38574" spans="1:13">
      <c r="A38574" t="s">
        <v>4</v>
      </c>
      <c r="B38574" s="4" t="s">
        <v>5</v>
      </c>
      <c r="C38574" s="4" t="s">
        <v>11</v>
      </c>
    </row>
    <row r="38575" spans="1:13">
      <c r="A38575" t="n">
        <v>380431</v>
      </c>
      <c r="B38575" s="29" t="n">
        <v>16</v>
      </c>
      <c r="C38575" s="7" t="n">
        <v>0</v>
      </c>
    </row>
    <row r="38576" spans="1:13">
      <c r="A38576" t="s">
        <v>4</v>
      </c>
      <c r="B38576" s="4" t="s">
        <v>5</v>
      </c>
      <c r="C38576" s="4" t="s">
        <v>11</v>
      </c>
      <c r="D38576" s="4" t="s">
        <v>7</v>
      </c>
      <c r="E38576" s="4" t="s">
        <v>15</v>
      </c>
      <c r="F38576" s="4" t="s">
        <v>55</v>
      </c>
      <c r="G38576" s="4" t="s">
        <v>7</v>
      </c>
      <c r="H38576" s="4" t="s">
        <v>7</v>
      </c>
      <c r="I38576" s="4" t="s">
        <v>7</v>
      </c>
      <c r="J38576" s="4" t="s">
        <v>15</v>
      </c>
      <c r="K38576" s="4" t="s">
        <v>55</v>
      </c>
      <c r="L38576" s="4" t="s">
        <v>7</v>
      </c>
      <c r="M38576" s="4" t="s">
        <v>7</v>
      </c>
      <c r="N38576" s="4" t="s">
        <v>7</v>
      </c>
      <c r="O38576" s="4" t="s">
        <v>15</v>
      </c>
      <c r="P38576" s="4" t="s">
        <v>55</v>
      </c>
      <c r="Q38576" s="4" t="s">
        <v>7</v>
      </c>
      <c r="R38576" s="4" t="s">
        <v>7</v>
      </c>
    </row>
    <row r="38577" spans="1:18">
      <c r="A38577" t="n">
        <v>380434</v>
      </c>
      <c r="B38577" s="55" t="n">
        <v>26</v>
      </c>
      <c r="C38577" s="7" t="n">
        <v>8</v>
      </c>
      <c r="D38577" s="7" t="n">
        <v>17</v>
      </c>
      <c r="E38577" s="7" t="n">
        <v>64399</v>
      </c>
      <c r="F38577" s="7" t="s">
        <v>1356</v>
      </c>
      <c r="G38577" s="7" t="n">
        <v>2</v>
      </c>
      <c r="H38577" s="7" t="n">
        <v>3</v>
      </c>
      <c r="I38577" s="7" t="n">
        <v>17</v>
      </c>
      <c r="J38577" s="7" t="n">
        <v>64400</v>
      </c>
      <c r="K38577" s="7" t="s">
        <v>1857</v>
      </c>
      <c r="L38577" s="7" t="n">
        <v>2</v>
      </c>
      <c r="M38577" s="7" t="n">
        <v>3</v>
      </c>
      <c r="N38577" s="7" t="n">
        <v>17</v>
      </c>
      <c r="O38577" s="7" t="n">
        <v>64401</v>
      </c>
      <c r="P38577" s="7" t="s">
        <v>1358</v>
      </c>
      <c r="Q38577" s="7" t="n">
        <v>2</v>
      </c>
      <c r="R38577" s="7" t="n">
        <v>0</v>
      </c>
    </row>
    <row r="38578" spans="1:18">
      <c r="A38578" t="s">
        <v>4</v>
      </c>
      <c r="B38578" s="4" t="s">
        <v>5</v>
      </c>
    </row>
    <row r="38579" spans="1:18">
      <c r="A38579" t="n">
        <v>380781</v>
      </c>
      <c r="B38579" s="27" t="n">
        <v>28</v>
      </c>
    </row>
    <row r="38580" spans="1:18">
      <c r="A38580" t="s">
        <v>4</v>
      </c>
      <c r="B38580" s="4" t="s">
        <v>5</v>
      </c>
      <c r="C38580" s="4" t="s">
        <v>7</v>
      </c>
      <c r="D38580" s="4" t="s">
        <v>11</v>
      </c>
      <c r="E38580" s="4" t="s">
        <v>8</v>
      </c>
    </row>
    <row r="38581" spans="1:18">
      <c r="A38581" t="n">
        <v>380782</v>
      </c>
      <c r="B38581" s="38" t="n">
        <v>51</v>
      </c>
      <c r="C38581" s="7" t="n">
        <v>4</v>
      </c>
      <c r="D38581" s="7" t="n">
        <v>0</v>
      </c>
      <c r="E38581" s="7" t="s">
        <v>179</v>
      </c>
    </row>
    <row r="38582" spans="1:18">
      <c r="A38582" t="s">
        <v>4</v>
      </c>
      <c r="B38582" s="4" t="s">
        <v>5</v>
      </c>
      <c r="C38582" s="4" t="s">
        <v>11</v>
      </c>
    </row>
    <row r="38583" spans="1:18">
      <c r="A38583" t="n">
        <v>380796</v>
      </c>
      <c r="B38583" s="29" t="n">
        <v>16</v>
      </c>
      <c r="C38583" s="7" t="n">
        <v>0</v>
      </c>
    </row>
    <row r="38584" spans="1:18">
      <c r="A38584" t="s">
        <v>4</v>
      </c>
      <c r="B38584" s="4" t="s">
        <v>5</v>
      </c>
      <c r="C38584" s="4" t="s">
        <v>11</v>
      </c>
      <c r="D38584" s="4" t="s">
        <v>7</v>
      </c>
      <c r="E38584" s="4" t="s">
        <v>15</v>
      </c>
      <c r="F38584" s="4" t="s">
        <v>55</v>
      </c>
      <c r="G38584" s="4" t="s">
        <v>7</v>
      </c>
      <c r="H38584" s="4" t="s">
        <v>7</v>
      </c>
    </row>
    <row r="38585" spans="1:18">
      <c r="A38585" t="n">
        <v>380799</v>
      </c>
      <c r="B38585" s="55" t="n">
        <v>26</v>
      </c>
      <c r="C38585" s="7" t="n">
        <v>0</v>
      </c>
      <c r="D38585" s="7" t="n">
        <v>17</v>
      </c>
      <c r="E38585" s="7" t="n">
        <v>64402</v>
      </c>
      <c r="F38585" s="7" t="s">
        <v>1359</v>
      </c>
      <c r="G38585" s="7" t="n">
        <v>2</v>
      </c>
      <c r="H38585" s="7" t="n">
        <v>0</v>
      </c>
    </row>
    <row r="38586" spans="1:18">
      <c r="A38586" t="s">
        <v>4</v>
      </c>
      <c r="B38586" s="4" t="s">
        <v>5</v>
      </c>
    </row>
    <row r="38587" spans="1:18">
      <c r="A38587" t="n">
        <v>380911</v>
      </c>
      <c r="B38587" s="27" t="n">
        <v>28</v>
      </c>
    </row>
    <row r="38588" spans="1:18">
      <c r="A38588" t="s">
        <v>4</v>
      </c>
      <c r="B38588" s="4" t="s">
        <v>5</v>
      </c>
      <c r="C38588" s="4" t="s">
        <v>7</v>
      </c>
      <c r="D38588" s="4" t="s">
        <v>11</v>
      </c>
      <c r="E38588" s="4" t="s">
        <v>11</v>
      </c>
      <c r="F38588" s="4" t="s">
        <v>7</v>
      </c>
    </row>
    <row r="38589" spans="1:18">
      <c r="A38589" t="n">
        <v>380912</v>
      </c>
      <c r="B38589" s="31" t="n">
        <v>25</v>
      </c>
      <c r="C38589" s="7" t="n">
        <v>1</v>
      </c>
      <c r="D38589" s="7" t="n">
        <v>65535</v>
      </c>
      <c r="E38589" s="7" t="n">
        <v>65535</v>
      </c>
      <c r="F38589" s="7" t="n">
        <v>0</v>
      </c>
    </row>
    <row r="38590" spans="1:18">
      <c r="A38590" t="s">
        <v>4</v>
      </c>
      <c r="B38590" s="4" t="s">
        <v>5</v>
      </c>
      <c r="C38590" s="4" t="s">
        <v>7</v>
      </c>
      <c r="D38590" s="4" t="s">
        <v>11</v>
      </c>
      <c r="E38590" s="4" t="s">
        <v>8</v>
      </c>
    </row>
    <row r="38591" spans="1:18">
      <c r="A38591" t="n">
        <v>380919</v>
      </c>
      <c r="B38591" s="38" t="n">
        <v>51</v>
      </c>
      <c r="C38591" s="7" t="n">
        <v>4</v>
      </c>
      <c r="D38591" s="7" t="n">
        <v>8</v>
      </c>
      <c r="E38591" s="7" t="s">
        <v>247</v>
      </c>
    </row>
    <row r="38592" spans="1:18">
      <c r="A38592" t="s">
        <v>4</v>
      </c>
      <c r="B38592" s="4" t="s">
        <v>5</v>
      </c>
      <c r="C38592" s="4" t="s">
        <v>11</v>
      </c>
    </row>
    <row r="38593" spans="1:18">
      <c r="A38593" t="n">
        <v>380933</v>
      </c>
      <c r="B38593" s="29" t="n">
        <v>16</v>
      </c>
      <c r="C38593" s="7" t="n">
        <v>0</v>
      </c>
    </row>
    <row r="38594" spans="1:18">
      <c r="A38594" t="s">
        <v>4</v>
      </c>
      <c r="B38594" s="4" t="s">
        <v>5</v>
      </c>
      <c r="C38594" s="4" t="s">
        <v>11</v>
      </c>
      <c r="D38594" s="4" t="s">
        <v>7</v>
      </c>
      <c r="E38594" s="4" t="s">
        <v>15</v>
      </c>
      <c r="F38594" s="4" t="s">
        <v>55</v>
      </c>
      <c r="G38594" s="4" t="s">
        <v>7</v>
      </c>
      <c r="H38594" s="4" t="s">
        <v>7</v>
      </c>
      <c r="I38594" s="4" t="s">
        <v>7</v>
      </c>
      <c r="J38594" s="4" t="s">
        <v>15</v>
      </c>
      <c r="K38594" s="4" t="s">
        <v>55</v>
      </c>
      <c r="L38594" s="4" t="s">
        <v>7</v>
      </c>
      <c r="M38594" s="4" t="s">
        <v>7</v>
      </c>
    </row>
    <row r="38595" spans="1:18">
      <c r="A38595" t="n">
        <v>380936</v>
      </c>
      <c r="B38595" s="55" t="n">
        <v>26</v>
      </c>
      <c r="C38595" s="7" t="n">
        <v>8</v>
      </c>
      <c r="D38595" s="7" t="n">
        <v>17</v>
      </c>
      <c r="E38595" s="7" t="n">
        <v>64403</v>
      </c>
      <c r="F38595" s="7" t="s">
        <v>1360</v>
      </c>
      <c r="G38595" s="7" t="n">
        <v>2</v>
      </c>
      <c r="H38595" s="7" t="n">
        <v>3</v>
      </c>
      <c r="I38595" s="7" t="n">
        <v>17</v>
      </c>
      <c r="J38595" s="7" t="n">
        <v>64404</v>
      </c>
      <c r="K38595" s="7" t="s">
        <v>1361</v>
      </c>
      <c r="L38595" s="7" t="n">
        <v>2</v>
      </c>
      <c r="M38595" s="7" t="n">
        <v>0</v>
      </c>
    </row>
    <row r="38596" spans="1:18">
      <c r="A38596" t="s">
        <v>4</v>
      </c>
      <c r="B38596" s="4" t="s">
        <v>5</v>
      </c>
    </row>
    <row r="38597" spans="1:18">
      <c r="A38597" t="n">
        <v>381094</v>
      </c>
      <c r="B38597" s="27" t="n">
        <v>28</v>
      </c>
    </row>
    <row r="38598" spans="1:18">
      <c r="A38598" t="s">
        <v>4</v>
      </c>
      <c r="B38598" s="4" t="s">
        <v>5</v>
      </c>
      <c r="C38598" s="4" t="s">
        <v>11</v>
      </c>
      <c r="D38598" s="4" t="s">
        <v>7</v>
      </c>
      <c r="E38598" s="4" t="s">
        <v>13</v>
      </c>
      <c r="F38598" s="4" t="s">
        <v>11</v>
      </c>
    </row>
    <row r="38599" spans="1:18">
      <c r="A38599" t="n">
        <v>381095</v>
      </c>
      <c r="B38599" s="56" t="n">
        <v>59</v>
      </c>
      <c r="C38599" s="7" t="n">
        <v>0</v>
      </c>
      <c r="D38599" s="7" t="n">
        <v>1</v>
      </c>
      <c r="E38599" s="7" t="n">
        <v>0.150000005960464</v>
      </c>
      <c r="F38599" s="7" t="n">
        <v>0</v>
      </c>
    </row>
    <row r="38600" spans="1:18">
      <c r="A38600" t="s">
        <v>4</v>
      </c>
      <c r="B38600" s="4" t="s">
        <v>5</v>
      </c>
      <c r="C38600" s="4" t="s">
        <v>11</v>
      </c>
    </row>
    <row r="38601" spans="1:18">
      <c r="A38601" t="n">
        <v>381105</v>
      </c>
      <c r="B38601" s="29" t="n">
        <v>16</v>
      </c>
      <c r="C38601" s="7" t="n">
        <v>1000</v>
      </c>
    </row>
    <row r="38602" spans="1:18">
      <c r="A38602" t="s">
        <v>4</v>
      </c>
      <c r="B38602" s="4" t="s">
        <v>5</v>
      </c>
      <c r="C38602" s="4" t="s">
        <v>7</v>
      </c>
      <c r="D38602" s="4" t="s">
        <v>11</v>
      </c>
      <c r="E38602" s="4" t="s">
        <v>8</v>
      </c>
    </row>
    <row r="38603" spans="1:18">
      <c r="A38603" t="n">
        <v>381108</v>
      </c>
      <c r="B38603" s="38" t="n">
        <v>51</v>
      </c>
      <c r="C38603" s="7" t="n">
        <v>4</v>
      </c>
      <c r="D38603" s="7" t="n">
        <v>0</v>
      </c>
      <c r="E38603" s="7" t="s">
        <v>245</v>
      </c>
    </row>
    <row r="38604" spans="1:18">
      <c r="A38604" t="s">
        <v>4</v>
      </c>
      <c r="B38604" s="4" t="s">
        <v>5</v>
      </c>
      <c r="C38604" s="4" t="s">
        <v>11</v>
      </c>
    </row>
    <row r="38605" spans="1:18">
      <c r="A38605" t="n">
        <v>381122</v>
      </c>
      <c r="B38605" s="29" t="n">
        <v>16</v>
      </c>
      <c r="C38605" s="7" t="n">
        <v>0</v>
      </c>
    </row>
    <row r="38606" spans="1:18">
      <c r="A38606" t="s">
        <v>4</v>
      </c>
      <c r="B38606" s="4" t="s">
        <v>5</v>
      </c>
      <c r="C38606" s="4" t="s">
        <v>11</v>
      </c>
      <c r="D38606" s="4" t="s">
        <v>7</v>
      </c>
      <c r="E38606" s="4" t="s">
        <v>15</v>
      </c>
      <c r="F38606" s="4" t="s">
        <v>55</v>
      </c>
      <c r="G38606" s="4" t="s">
        <v>7</v>
      </c>
      <c r="H38606" s="4" t="s">
        <v>7</v>
      </c>
    </row>
    <row r="38607" spans="1:18">
      <c r="A38607" t="n">
        <v>381125</v>
      </c>
      <c r="B38607" s="55" t="n">
        <v>26</v>
      </c>
      <c r="C38607" s="7" t="n">
        <v>0</v>
      </c>
      <c r="D38607" s="7" t="n">
        <v>17</v>
      </c>
      <c r="E38607" s="7" t="n">
        <v>64405</v>
      </c>
      <c r="F38607" s="7" t="s">
        <v>1362</v>
      </c>
      <c r="G38607" s="7" t="n">
        <v>2</v>
      </c>
      <c r="H38607" s="7" t="n">
        <v>0</v>
      </c>
    </row>
    <row r="38608" spans="1:18">
      <c r="A38608" t="s">
        <v>4</v>
      </c>
      <c r="B38608" s="4" t="s">
        <v>5</v>
      </c>
    </row>
    <row r="38609" spans="1:13">
      <c r="A38609" t="n">
        <v>381153</v>
      </c>
      <c r="B38609" s="27" t="n">
        <v>28</v>
      </c>
    </row>
    <row r="38610" spans="1:13">
      <c r="A38610" t="s">
        <v>4</v>
      </c>
      <c r="B38610" s="4" t="s">
        <v>5</v>
      </c>
      <c r="C38610" s="4" t="s">
        <v>7</v>
      </c>
      <c r="D38610" s="4" t="s">
        <v>11</v>
      </c>
      <c r="E38610" s="4" t="s">
        <v>11</v>
      </c>
      <c r="F38610" s="4" t="s">
        <v>7</v>
      </c>
    </row>
    <row r="38611" spans="1:13">
      <c r="A38611" t="n">
        <v>381154</v>
      </c>
      <c r="B38611" s="31" t="n">
        <v>25</v>
      </c>
      <c r="C38611" s="7" t="n">
        <v>1</v>
      </c>
      <c r="D38611" s="7" t="n">
        <v>65535</v>
      </c>
      <c r="E38611" s="7" t="n">
        <v>65535</v>
      </c>
      <c r="F38611" s="7" t="n">
        <v>0</v>
      </c>
    </row>
    <row r="38612" spans="1:13">
      <c r="A38612" t="s">
        <v>4</v>
      </c>
      <c r="B38612" s="4" t="s">
        <v>5</v>
      </c>
      <c r="C38612" s="4" t="s">
        <v>7</v>
      </c>
      <c r="D38612" s="4" t="s">
        <v>11</v>
      </c>
      <c r="E38612" s="4" t="s">
        <v>8</v>
      </c>
    </row>
    <row r="38613" spans="1:13">
      <c r="A38613" t="n">
        <v>381161</v>
      </c>
      <c r="B38613" s="38" t="n">
        <v>51</v>
      </c>
      <c r="C38613" s="7" t="n">
        <v>4</v>
      </c>
      <c r="D38613" s="7" t="n">
        <v>8</v>
      </c>
      <c r="E38613" s="7" t="s">
        <v>247</v>
      </c>
    </row>
    <row r="38614" spans="1:13">
      <c r="A38614" t="s">
        <v>4</v>
      </c>
      <c r="B38614" s="4" t="s">
        <v>5</v>
      </c>
      <c r="C38614" s="4" t="s">
        <v>11</v>
      </c>
    </row>
    <row r="38615" spans="1:13">
      <c r="A38615" t="n">
        <v>381175</v>
      </c>
      <c r="B38615" s="29" t="n">
        <v>16</v>
      </c>
      <c r="C38615" s="7" t="n">
        <v>0</v>
      </c>
    </row>
    <row r="38616" spans="1:13">
      <c r="A38616" t="s">
        <v>4</v>
      </c>
      <c r="B38616" s="4" t="s">
        <v>5</v>
      </c>
      <c r="C38616" s="4" t="s">
        <v>11</v>
      </c>
      <c r="D38616" s="4" t="s">
        <v>7</v>
      </c>
      <c r="E38616" s="4" t="s">
        <v>15</v>
      </c>
      <c r="F38616" s="4" t="s">
        <v>55</v>
      </c>
      <c r="G38616" s="4" t="s">
        <v>7</v>
      </c>
      <c r="H38616" s="4" t="s">
        <v>7</v>
      </c>
      <c r="I38616" s="4" t="s">
        <v>7</v>
      </c>
      <c r="J38616" s="4" t="s">
        <v>15</v>
      </c>
      <c r="K38616" s="4" t="s">
        <v>55</v>
      </c>
      <c r="L38616" s="4" t="s">
        <v>7</v>
      </c>
      <c r="M38616" s="4" t="s">
        <v>7</v>
      </c>
      <c r="N38616" s="4" t="s">
        <v>7</v>
      </c>
      <c r="O38616" s="4" t="s">
        <v>15</v>
      </c>
      <c r="P38616" s="4" t="s">
        <v>55</v>
      </c>
      <c r="Q38616" s="4" t="s">
        <v>7</v>
      </c>
      <c r="R38616" s="4" t="s">
        <v>7</v>
      </c>
    </row>
    <row r="38617" spans="1:13">
      <c r="A38617" t="n">
        <v>381178</v>
      </c>
      <c r="B38617" s="55" t="n">
        <v>26</v>
      </c>
      <c r="C38617" s="7" t="n">
        <v>8</v>
      </c>
      <c r="D38617" s="7" t="n">
        <v>17</v>
      </c>
      <c r="E38617" s="7" t="n">
        <v>64406</v>
      </c>
      <c r="F38617" s="7" t="s">
        <v>1363</v>
      </c>
      <c r="G38617" s="7" t="n">
        <v>2</v>
      </c>
      <c r="H38617" s="7" t="n">
        <v>3</v>
      </c>
      <c r="I38617" s="7" t="n">
        <v>17</v>
      </c>
      <c r="J38617" s="7" t="n">
        <v>64407</v>
      </c>
      <c r="K38617" s="7" t="s">
        <v>1364</v>
      </c>
      <c r="L38617" s="7" t="n">
        <v>2</v>
      </c>
      <c r="M38617" s="7" t="n">
        <v>3</v>
      </c>
      <c r="N38617" s="7" t="n">
        <v>17</v>
      </c>
      <c r="O38617" s="7" t="n">
        <v>64408</v>
      </c>
      <c r="P38617" s="7" t="s">
        <v>1365</v>
      </c>
      <c r="Q38617" s="7" t="n">
        <v>2</v>
      </c>
      <c r="R38617" s="7" t="n">
        <v>0</v>
      </c>
    </row>
    <row r="38618" spans="1:13">
      <c r="A38618" t="s">
        <v>4</v>
      </c>
      <c r="B38618" s="4" t="s">
        <v>5</v>
      </c>
    </row>
    <row r="38619" spans="1:13">
      <c r="A38619" t="n">
        <v>381445</v>
      </c>
      <c r="B38619" s="27" t="n">
        <v>28</v>
      </c>
    </row>
    <row r="38620" spans="1:13">
      <c r="A38620" t="s">
        <v>4</v>
      </c>
      <c r="B38620" s="4" t="s">
        <v>5</v>
      </c>
      <c r="C38620" s="4" t="s">
        <v>7</v>
      </c>
      <c r="D38620" s="4" t="s">
        <v>11</v>
      </c>
      <c r="E38620" s="4" t="s">
        <v>8</v>
      </c>
    </row>
    <row r="38621" spans="1:13">
      <c r="A38621" t="n">
        <v>381446</v>
      </c>
      <c r="B38621" s="38" t="n">
        <v>51</v>
      </c>
      <c r="C38621" s="7" t="n">
        <v>4</v>
      </c>
      <c r="D38621" s="7" t="n">
        <v>0</v>
      </c>
      <c r="E38621" s="7" t="s">
        <v>304</v>
      </c>
    </row>
    <row r="38622" spans="1:13">
      <c r="A38622" t="s">
        <v>4</v>
      </c>
      <c r="B38622" s="4" t="s">
        <v>5</v>
      </c>
      <c r="C38622" s="4" t="s">
        <v>11</v>
      </c>
    </row>
    <row r="38623" spans="1:13">
      <c r="A38623" t="n">
        <v>381459</v>
      </c>
      <c r="B38623" s="29" t="n">
        <v>16</v>
      </c>
      <c r="C38623" s="7" t="n">
        <v>0</v>
      </c>
    </row>
    <row r="38624" spans="1:13">
      <c r="A38624" t="s">
        <v>4</v>
      </c>
      <c r="B38624" s="4" t="s">
        <v>5</v>
      </c>
      <c r="C38624" s="4" t="s">
        <v>11</v>
      </c>
      <c r="D38624" s="4" t="s">
        <v>7</v>
      </c>
      <c r="E38624" s="4" t="s">
        <v>15</v>
      </c>
      <c r="F38624" s="4" t="s">
        <v>55</v>
      </c>
      <c r="G38624" s="4" t="s">
        <v>7</v>
      </c>
      <c r="H38624" s="4" t="s">
        <v>7</v>
      </c>
    </row>
    <row r="38625" spans="1:18">
      <c r="A38625" t="n">
        <v>381462</v>
      </c>
      <c r="B38625" s="55" t="n">
        <v>26</v>
      </c>
      <c r="C38625" s="7" t="n">
        <v>0</v>
      </c>
      <c r="D38625" s="7" t="n">
        <v>17</v>
      </c>
      <c r="E38625" s="7" t="n">
        <v>64409</v>
      </c>
      <c r="F38625" s="7" t="s">
        <v>1366</v>
      </c>
      <c r="G38625" s="7" t="n">
        <v>2</v>
      </c>
      <c r="H38625" s="7" t="n">
        <v>0</v>
      </c>
    </row>
    <row r="38626" spans="1:18">
      <c r="A38626" t="s">
        <v>4</v>
      </c>
      <c r="B38626" s="4" t="s">
        <v>5</v>
      </c>
    </row>
    <row r="38627" spans="1:18">
      <c r="A38627" t="n">
        <v>381506</v>
      </c>
      <c r="B38627" s="27" t="n">
        <v>28</v>
      </c>
    </row>
    <row r="38628" spans="1:18">
      <c r="A38628" t="s">
        <v>4</v>
      </c>
      <c r="B38628" s="4" t="s">
        <v>5</v>
      </c>
      <c r="C38628" s="4" t="s">
        <v>11</v>
      </c>
      <c r="D38628" s="4" t="s">
        <v>7</v>
      </c>
    </row>
    <row r="38629" spans="1:18">
      <c r="A38629" t="n">
        <v>381507</v>
      </c>
      <c r="B38629" s="68" t="n">
        <v>89</v>
      </c>
      <c r="C38629" s="7" t="n">
        <v>65533</v>
      </c>
      <c r="D38629" s="7" t="n">
        <v>1</v>
      </c>
    </row>
    <row r="38630" spans="1:18">
      <c r="A38630" t="s">
        <v>4</v>
      </c>
      <c r="B38630" s="4" t="s">
        <v>5</v>
      </c>
      <c r="C38630" s="4" t="s">
        <v>7</v>
      </c>
      <c r="D38630" s="4" t="s">
        <v>11</v>
      </c>
      <c r="E38630" s="4" t="s">
        <v>11</v>
      </c>
      <c r="F38630" s="4" t="s">
        <v>7</v>
      </c>
    </row>
    <row r="38631" spans="1:18">
      <c r="A38631" t="n">
        <v>381511</v>
      </c>
      <c r="B38631" s="31" t="n">
        <v>25</v>
      </c>
      <c r="C38631" s="7" t="n">
        <v>1</v>
      </c>
      <c r="D38631" s="7" t="n">
        <v>65535</v>
      </c>
      <c r="E38631" s="7" t="n">
        <v>65535</v>
      </c>
      <c r="F38631" s="7" t="n">
        <v>0</v>
      </c>
    </row>
    <row r="38632" spans="1:18">
      <c r="A38632" t="s">
        <v>4</v>
      </c>
      <c r="B38632" s="4" t="s">
        <v>5</v>
      </c>
      <c r="C38632" s="4" t="s">
        <v>7</v>
      </c>
      <c r="D38632" s="4" t="s">
        <v>11</v>
      </c>
      <c r="E38632" s="4" t="s">
        <v>13</v>
      </c>
    </row>
    <row r="38633" spans="1:18">
      <c r="A38633" t="n">
        <v>381518</v>
      </c>
      <c r="B38633" s="23" t="n">
        <v>58</v>
      </c>
      <c r="C38633" s="7" t="n">
        <v>101</v>
      </c>
      <c r="D38633" s="7" t="n">
        <v>800</v>
      </c>
      <c r="E38633" s="7" t="n">
        <v>1</v>
      </c>
    </row>
    <row r="38634" spans="1:18">
      <c r="A38634" t="s">
        <v>4</v>
      </c>
      <c r="B38634" s="4" t="s">
        <v>5</v>
      </c>
      <c r="C38634" s="4" t="s">
        <v>7</v>
      </c>
      <c r="D38634" s="4" t="s">
        <v>11</v>
      </c>
    </row>
    <row r="38635" spans="1:18">
      <c r="A38635" t="n">
        <v>381526</v>
      </c>
      <c r="B38635" s="23" t="n">
        <v>58</v>
      </c>
      <c r="C38635" s="7" t="n">
        <v>254</v>
      </c>
      <c r="D38635" s="7" t="n">
        <v>0</v>
      </c>
    </row>
    <row r="38636" spans="1:18">
      <c r="A38636" t="s">
        <v>4</v>
      </c>
      <c r="B38636" s="4" t="s">
        <v>5</v>
      </c>
      <c r="C38636" s="4" t="s">
        <v>11</v>
      </c>
      <c r="D38636" s="4" t="s">
        <v>13</v>
      </c>
      <c r="E38636" s="4" t="s">
        <v>13</v>
      </c>
      <c r="F38636" s="4" t="s">
        <v>13</v>
      </c>
      <c r="G38636" s="4" t="s">
        <v>13</v>
      </c>
    </row>
    <row r="38637" spans="1:18">
      <c r="A38637" t="n">
        <v>381530</v>
      </c>
      <c r="B38637" s="36" t="n">
        <v>46</v>
      </c>
      <c r="C38637" s="7" t="n">
        <v>0</v>
      </c>
      <c r="D38637" s="7" t="n">
        <v>-16.4200000762939</v>
      </c>
      <c r="E38637" s="7" t="n">
        <v>5.01000022888184</v>
      </c>
      <c r="F38637" s="7" t="n">
        <v>54.8600006103516</v>
      </c>
      <c r="G38637" s="7" t="n">
        <v>115.099998474121</v>
      </c>
    </row>
    <row r="38638" spans="1:18">
      <c r="A38638" t="s">
        <v>4</v>
      </c>
      <c r="B38638" s="4" t="s">
        <v>5</v>
      </c>
      <c r="C38638" s="4" t="s">
        <v>7</v>
      </c>
      <c r="D38638" s="4" t="s">
        <v>7</v>
      </c>
      <c r="E38638" s="4" t="s">
        <v>13</v>
      </c>
      <c r="F38638" s="4" t="s">
        <v>13</v>
      </c>
      <c r="G38638" s="4" t="s">
        <v>13</v>
      </c>
      <c r="H38638" s="4" t="s">
        <v>11</v>
      </c>
    </row>
    <row r="38639" spans="1:18">
      <c r="A38639" t="n">
        <v>381549</v>
      </c>
      <c r="B38639" s="51" t="n">
        <v>45</v>
      </c>
      <c r="C38639" s="7" t="n">
        <v>2</v>
      </c>
      <c r="D38639" s="7" t="n">
        <v>3</v>
      </c>
      <c r="E38639" s="7" t="n">
        <v>-16.0200004577637</v>
      </c>
      <c r="F38639" s="7" t="n">
        <v>6.3899998664856</v>
      </c>
      <c r="G38639" s="7" t="n">
        <v>54.6699981689453</v>
      </c>
      <c r="H38639" s="7" t="n">
        <v>0</v>
      </c>
    </row>
    <row r="38640" spans="1:18">
      <c r="A38640" t="s">
        <v>4</v>
      </c>
      <c r="B38640" s="4" t="s">
        <v>5</v>
      </c>
      <c r="C38640" s="4" t="s">
        <v>7</v>
      </c>
      <c r="D38640" s="4" t="s">
        <v>7</v>
      </c>
      <c r="E38640" s="4" t="s">
        <v>13</v>
      </c>
      <c r="F38640" s="4" t="s">
        <v>13</v>
      </c>
      <c r="G38640" s="4" t="s">
        <v>13</v>
      </c>
      <c r="H38640" s="4" t="s">
        <v>11</v>
      </c>
      <c r="I38640" s="4" t="s">
        <v>7</v>
      </c>
    </row>
    <row r="38641" spans="1:9">
      <c r="A38641" t="n">
        <v>381566</v>
      </c>
      <c r="B38641" s="51" t="n">
        <v>45</v>
      </c>
      <c r="C38641" s="7" t="n">
        <v>4</v>
      </c>
      <c r="D38641" s="7" t="n">
        <v>3</v>
      </c>
      <c r="E38641" s="7" t="n">
        <v>20.1200008392334</v>
      </c>
      <c r="F38641" s="7" t="n">
        <v>262.260009765625</v>
      </c>
      <c r="G38641" s="7" t="n">
        <v>6</v>
      </c>
      <c r="H38641" s="7" t="n">
        <v>0</v>
      </c>
      <c r="I38641" s="7" t="n">
        <v>0</v>
      </c>
    </row>
    <row r="38642" spans="1:9">
      <c r="A38642" t="s">
        <v>4</v>
      </c>
      <c r="B38642" s="4" t="s">
        <v>5</v>
      </c>
      <c r="C38642" s="4" t="s">
        <v>7</v>
      </c>
      <c r="D38642" s="4" t="s">
        <v>7</v>
      </c>
      <c r="E38642" s="4" t="s">
        <v>13</v>
      </c>
      <c r="F38642" s="4" t="s">
        <v>11</v>
      </c>
    </row>
    <row r="38643" spans="1:9">
      <c r="A38643" t="n">
        <v>381584</v>
      </c>
      <c r="B38643" s="51" t="n">
        <v>45</v>
      </c>
      <c r="C38643" s="7" t="n">
        <v>5</v>
      </c>
      <c r="D38643" s="7" t="n">
        <v>3</v>
      </c>
      <c r="E38643" s="7" t="n">
        <v>1</v>
      </c>
      <c r="F38643" s="7" t="n">
        <v>3000</v>
      </c>
    </row>
    <row r="38644" spans="1:9">
      <c r="A38644" t="s">
        <v>4</v>
      </c>
      <c r="B38644" s="4" t="s">
        <v>5</v>
      </c>
      <c r="C38644" s="4" t="s">
        <v>7</v>
      </c>
      <c r="D38644" s="4" t="s">
        <v>7</v>
      </c>
      <c r="E38644" s="4" t="s">
        <v>13</v>
      </c>
      <c r="F38644" s="4" t="s">
        <v>11</v>
      </c>
    </row>
    <row r="38645" spans="1:9">
      <c r="A38645" t="n">
        <v>381593</v>
      </c>
      <c r="B38645" s="51" t="n">
        <v>45</v>
      </c>
      <c r="C38645" s="7" t="n">
        <v>11</v>
      </c>
      <c r="D38645" s="7" t="n">
        <v>3</v>
      </c>
      <c r="E38645" s="7" t="n">
        <v>34</v>
      </c>
      <c r="F38645" s="7" t="n">
        <v>0</v>
      </c>
    </row>
    <row r="38646" spans="1:9">
      <c r="A38646" t="s">
        <v>4</v>
      </c>
      <c r="B38646" s="4" t="s">
        <v>5</v>
      </c>
      <c r="C38646" s="4" t="s">
        <v>7</v>
      </c>
      <c r="D38646" s="4" t="s">
        <v>7</v>
      </c>
      <c r="E38646" s="4" t="s">
        <v>13</v>
      </c>
      <c r="F38646" s="4" t="s">
        <v>11</v>
      </c>
    </row>
    <row r="38647" spans="1:9">
      <c r="A38647" t="n">
        <v>381602</v>
      </c>
      <c r="B38647" s="51" t="n">
        <v>45</v>
      </c>
      <c r="C38647" s="7" t="n">
        <v>5</v>
      </c>
      <c r="D38647" s="7" t="n">
        <v>3</v>
      </c>
      <c r="E38647" s="7" t="n">
        <v>1.10000002384186</v>
      </c>
      <c r="F38647" s="7" t="n">
        <v>0</v>
      </c>
    </row>
    <row r="38648" spans="1:9">
      <c r="A38648" t="s">
        <v>4</v>
      </c>
      <c r="B38648" s="4" t="s">
        <v>5</v>
      </c>
      <c r="C38648" s="4" t="s">
        <v>7</v>
      </c>
      <c r="D38648" s="4" t="s">
        <v>11</v>
      </c>
    </row>
    <row r="38649" spans="1:9">
      <c r="A38649" t="n">
        <v>381611</v>
      </c>
      <c r="B38649" s="23" t="n">
        <v>58</v>
      </c>
      <c r="C38649" s="7" t="n">
        <v>255</v>
      </c>
      <c r="D38649" s="7" t="n">
        <v>0</v>
      </c>
    </row>
    <row r="38650" spans="1:9">
      <c r="A38650" t="s">
        <v>4</v>
      </c>
      <c r="B38650" s="4" t="s">
        <v>5</v>
      </c>
      <c r="C38650" s="4" t="s">
        <v>7</v>
      </c>
      <c r="D38650" s="4" t="s">
        <v>11</v>
      </c>
      <c r="E38650" s="4" t="s">
        <v>8</v>
      </c>
      <c r="F38650" s="4" t="s">
        <v>8</v>
      </c>
      <c r="G38650" s="4" t="s">
        <v>8</v>
      </c>
      <c r="H38650" s="4" t="s">
        <v>8</v>
      </c>
    </row>
    <row r="38651" spans="1:9">
      <c r="A38651" t="n">
        <v>381615</v>
      </c>
      <c r="B38651" s="38" t="n">
        <v>51</v>
      </c>
      <c r="C38651" s="7" t="n">
        <v>3</v>
      </c>
      <c r="D38651" s="7" t="n">
        <v>8</v>
      </c>
      <c r="E38651" s="7" t="s">
        <v>86</v>
      </c>
      <c r="F38651" s="7" t="s">
        <v>79</v>
      </c>
      <c r="G38651" s="7" t="s">
        <v>78</v>
      </c>
      <c r="H38651" s="7" t="s">
        <v>79</v>
      </c>
    </row>
    <row r="38652" spans="1:9">
      <c r="A38652" t="s">
        <v>4</v>
      </c>
      <c r="B38652" s="4" t="s">
        <v>5</v>
      </c>
      <c r="C38652" s="4" t="s">
        <v>11</v>
      </c>
      <c r="D38652" s="4" t="s">
        <v>7</v>
      </c>
      <c r="E38652" s="4" t="s">
        <v>13</v>
      </c>
      <c r="F38652" s="4" t="s">
        <v>11</v>
      </c>
    </row>
    <row r="38653" spans="1:9">
      <c r="A38653" t="n">
        <v>381628</v>
      </c>
      <c r="B38653" s="56" t="n">
        <v>59</v>
      </c>
      <c r="C38653" s="7" t="n">
        <v>8</v>
      </c>
      <c r="D38653" s="7" t="n">
        <v>9</v>
      </c>
      <c r="E38653" s="7" t="n">
        <v>0.150000005960464</v>
      </c>
      <c r="F38653" s="7" t="n">
        <v>0</v>
      </c>
    </row>
    <row r="38654" spans="1:9">
      <c r="A38654" t="s">
        <v>4</v>
      </c>
      <c r="B38654" s="4" t="s">
        <v>5</v>
      </c>
      <c r="C38654" s="4" t="s">
        <v>11</v>
      </c>
    </row>
    <row r="38655" spans="1:9">
      <c r="A38655" t="n">
        <v>381638</v>
      </c>
      <c r="B38655" s="29" t="n">
        <v>16</v>
      </c>
      <c r="C38655" s="7" t="n">
        <v>1500</v>
      </c>
    </row>
    <row r="38656" spans="1:9">
      <c r="A38656" t="s">
        <v>4</v>
      </c>
      <c r="B38656" s="4" t="s">
        <v>5</v>
      </c>
      <c r="C38656" s="4" t="s">
        <v>7</v>
      </c>
      <c r="D38656" s="4" t="s">
        <v>11</v>
      </c>
      <c r="E38656" s="4" t="s">
        <v>8</v>
      </c>
    </row>
    <row r="38657" spans="1:9">
      <c r="A38657" t="n">
        <v>381641</v>
      </c>
      <c r="B38657" s="38" t="n">
        <v>51</v>
      </c>
      <c r="C38657" s="7" t="n">
        <v>4</v>
      </c>
      <c r="D38657" s="7" t="n">
        <v>8</v>
      </c>
      <c r="E38657" s="7" t="s">
        <v>432</v>
      </c>
    </row>
    <row r="38658" spans="1:9">
      <c r="A38658" t="s">
        <v>4</v>
      </c>
      <c r="B38658" s="4" t="s">
        <v>5</v>
      </c>
      <c r="C38658" s="4" t="s">
        <v>11</v>
      </c>
    </row>
    <row r="38659" spans="1:9">
      <c r="A38659" t="n">
        <v>381654</v>
      </c>
      <c r="B38659" s="29" t="n">
        <v>16</v>
      </c>
      <c r="C38659" s="7" t="n">
        <v>0</v>
      </c>
    </row>
    <row r="38660" spans="1:9">
      <c r="A38660" t="s">
        <v>4</v>
      </c>
      <c r="B38660" s="4" t="s">
        <v>5</v>
      </c>
      <c r="C38660" s="4" t="s">
        <v>11</v>
      </c>
      <c r="D38660" s="4" t="s">
        <v>7</v>
      </c>
      <c r="E38660" s="4" t="s">
        <v>15</v>
      </c>
      <c r="F38660" s="4" t="s">
        <v>55</v>
      </c>
      <c r="G38660" s="4" t="s">
        <v>7</v>
      </c>
      <c r="H38660" s="4" t="s">
        <v>7</v>
      </c>
      <c r="I38660" s="4" t="s">
        <v>7</v>
      </c>
      <c r="J38660" s="4" t="s">
        <v>15</v>
      </c>
      <c r="K38660" s="4" t="s">
        <v>55</v>
      </c>
      <c r="L38660" s="4" t="s">
        <v>7</v>
      </c>
      <c r="M38660" s="4" t="s">
        <v>7</v>
      </c>
      <c r="N38660" s="4" t="s">
        <v>7</v>
      </c>
      <c r="O38660" s="4" t="s">
        <v>15</v>
      </c>
      <c r="P38660" s="4" t="s">
        <v>55</v>
      </c>
      <c r="Q38660" s="4" t="s">
        <v>7</v>
      </c>
      <c r="R38660" s="4" t="s">
        <v>7</v>
      </c>
    </row>
    <row r="38661" spans="1:9">
      <c r="A38661" t="n">
        <v>381657</v>
      </c>
      <c r="B38661" s="55" t="n">
        <v>26</v>
      </c>
      <c r="C38661" s="7" t="n">
        <v>8</v>
      </c>
      <c r="D38661" s="7" t="n">
        <v>17</v>
      </c>
      <c r="E38661" s="7" t="n">
        <v>64414</v>
      </c>
      <c r="F38661" s="7" t="s">
        <v>1371</v>
      </c>
      <c r="G38661" s="7" t="n">
        <v>2</v>
      </c>
      <c r="H38661" s="7" t="n">
        <v>3</v>
      </c>
      <c r="I38661" s="7" t="n">
        <v>17</v>
      </c>
      <c r="J38661" s="7" t="n">
        <v>64415</v>
      </c>
      <c r="K38661" s="7" t="s">
        <v>1372</v>
      </c>
      <c r="L38661" s="7" t="n">
        <v>2</v>
      </c>
      <c r="M38661" s="7" t="n">
        <v>3</v>
      </c>
      <c r="N38661" s="7" t="n">
        <v>17</v>
      </c>
      <c r="O38661" s="7" t="n">
        <v>64416</v>
      </c>
      <c r="P38661" s="7" t="s">
        <v>1373</v>
      </c>
      <c r="Q38661" s="7" t="n">
        <v>2</v>
      </c>
      <c r="R38661" s="7" t="n">
        <v>0</v>
      </c>
    </row>
    <row r="38662" spans="1:9">
      <c r="A38662" t="s">
        <v>4</v>
      </c>
      <c r="B38662" s="4" t="s">
        <v>5</v>
      </c>
    </row>
    <row r="38663" spans="1:9">
      <c r="A38663" t="n">
        <v>381927</v>
      </c>
      <c r="B38663" s="27" t="n">
        <v>28</v>
      </c>
    </row>
    <row r="38664" spans="1:9">
      <c r="A38664" t="s">
        <v>4</v>
      </c>
      <c r="B38664" s="4" t="s">
        <v>5</v>
      </c>
      <c r="C38664" s="4" t="s">
        <v>11</v>
      </c>
      <c r="D38664" s="4" t="s">
        <v>7</v>
      </c>
      <c r="E38664" s="4" t="s">
        <v>7</v>
      </c>
      <c r="F38664" s="4" t="s">
        <v>8</v>
      </c>
    </row>
    <row r="38665" spans="1:9">
      <c r="A38665" t="n">
        <v>381928</v>
      </c>
      <c r="B38665" s="50" t="n">
        <v>20</v>
      </c>
      <c r="C38665" s="7" t="n">
        <v>0</v>
      </c>
      <c r="D38665" s="7" t="n">
        <v>2</v>
      </c>
      <c r="E38665" s="7" t="n">
        <v>10</v>
      </c>
      <c r="F38665" s="7" t="s">
        <v>260</v>
      </c>
    </row>
    <row r="38666" spans="1:9">
      <c r="A38666" t="s">
        <v>4</v>
      </c>
      <c r="B38666" s="4" t="s">
        <v>5</v>
      </c>
      <c r="C38666" s="4" t="s">
        <v>7</v>
      </c>
      <c r="D38666" s="4" t="s">
        <v>11</v>
      </c>
      <c r="E38666" s="4" t="s">
        <v>8</v>
      </c>
    </row>
    <row r="38667" spans="1:9">
      <c r="A38667" t="n">
        <v>381948</v>
      </c>
      <c r="B38667" s="38" t="n">
        <v>51</v>
      </c>
      <c r="C38667" s="7" t="n">
        <v>4</v>
      </c>
      <c r="D38667" s="7" t="n">
        <v>0</v>
      </c>
      <c r="E38667" s="7" t="s">
        <v>242</v>
      </c>
    </row>
    <row r="38668" spans="1:9">
      <c r="A38668" t="s">
        <v>4</v>
      </c>
      <c r="B38668" s="4" t="s">
        <v>5</v>
      </c>
      <c r="C38668" s="4" t="s">
        <v>11</v>
      </c>
    </row>
    <row r="38669" spans="1:9">
      <c r="A38669" t="n">
        <v>381962</v>
      </c>
      <c r="B38669" s="29" t="n">
        <v>16</v>
      </c>
      <c r="C38669" s="7" t="n">
        <v>0</v>
      </c>
    </row>
    <row r="38670" spans="1:9">
      <c r="A38670" t="s">
        <v>4</v>
      </c>
      <c r="B38670" s="4" t="s">
        <v>5</v>
      </c>
      <c r="C38670" s="4" t="s">
        <v>11</v>
      </c>
      <c r="D38670" s="4" t="s">
        <v>7</v>
      </c>
      <c r="E38670" s="4" t="s">
        <v>15</v>
      </c>
      <c r="F38670" s="4" t="s">
        <v>55</v>
      </c>
      <c r="G38670" s="4" t="s">
        <v>7</v>
      </c>
      <c r="H38670" s="4" t="s">
        <v>7</v>
      </c>
      <c r="I38670" s="4" t="s">
        <v>7</v>
      </c>
      <c r="J38670" s="4" t="s">
        <v>15</v>
      </c>
      <c r="K38670" s="4" t="s">
        <v>55</v>
      </c>
      <c r="L38670" s="4" t="s">
        <v>7</v>
      </c>
      <c r="M38670" s="4" t="s">
        <v>7</v>
      </c>
    </row>
    <row r="38671" spans="1:9">
      <c r="A38671" t="n">
        <v>381965</v>
      </c>
      <c r="B38671" s="55" t="n">
        <v>26</v>
      </c>
      <c r="C38671" s="7" t="n">
        <v>0</v>
      </c>
      <c r="D38671" s="7" t="n">
        <v>17</v>
      </c>
      <c r="E38671" s="7" t="n">
        <v>64417</v>
      </c>
      <c r="F38671" s="7" t="s">
        <v>1374</v>
      </c>
      <c r="G38671" s="7" t="n">
        <v>2</v>
      </c>
      <c r="H38671" s="7" t="n">
        <v>3</v>
      </c>
      <c r="I38671" s="7" t="n">
        <v>17</v>
      </c>
      <c r="J38671" s="7" t="n">
        <v>64418</v>
      </c>
      <c r="K38671" s="7" t="s">
        <v>1375</v>
      </c>
      <c r="L38671" s="7" t="n">
        <v>2</v>
      </c>
      <c r="M38671" s="7" t="n">
        <v>0</v>
      </c>
    </row>
    <row r="38672" spans="1:9">
      <c r="A38672" t="s">
        <v>4</v>
      </c>
      <c r="B38672" s="4" t="s">
        <v>5</v>
      </c>
    </row>
    <row r="38673" spans="1:18">
      <c r="A38673" t="n">
        <v>382033</v>
      </c>
      <c r="B38673" s="27" t="n">
        <v>28</v>
      </c>
    </row>
    <row r="38674" spans="1:18">
      <c r="A38674" t="s">
        <v>4</v>
      </c>
      <c r="B38674" s="4" t="s">
        <v>5</v>
      </c>
      <c r="C38674" s="4" t="s">
        <v>7</v>
      </c>
      <c r="D38674" s="4" t="s">
        <v>11</v>
      </c>
      <c r="E38674" s="4" t="s">
        <v>11</v>
      </c>
      <c r="F38674" s="4" t="s">
        <v>7</v>
      </c>
    </row>
    <row r="38675" spans="1:18">
      <c r="A38675" t="n">
        <v>382034</v>
      </c>
      <c r="B38675" s="31" t="n">
        <v>25</v>
      </c>
      <c r="C38675" s="7" t="n">
        <v>1</v>
      </c>
      <c r="D38675" s="7" t="n">
        <v>65535</v>
      </c>
      <c r="E38675" s="7" t="n">
        <v>65535</v>
      </c>
      <c r="F38675" s="7" t="n">
        <v>0</v>
      </c>
    </row>
    <row r="38676" spans="1:18">
      <c r="A38676" t="s">
        <v>4</v>
      </c>
      <c r="B38676" s="4" t="s">
        <v>5</v>
      </c>
      <c r="C38676" s="4" t="s">
        <v>11</v>
      </c>
      <c r="D38676" s="4" t="s">
        <v>13</v>
      </c>
      <c r="E38676" s="4" t="s">
        <v>13</v>
      </c>
      <c r="F38676" s="4" t="s">
        <v>13</v>
      </c>
      <c r="G38676" s="4" t="s">
        <v>11</v>
      </c>
      <c r="H38676" s="4" t="s">
        <v>11</v>
      </c>
    </row>
    <row r="38677" spans="1:18">
      <c r="A38677" t="n">
        <v>382041</v>
      </c>
      <c r="B38677" s="37" t="n">
        <v>60</v>
      </c>
      <c r="C38677" s="7" t="n">
        <v>8</v>
      </c>
      <c r="D38677" s="7" t="n">
        <v>0</v>
      </c>
      <c r="E38677" s="7" t="n">
        <v>-10</v>
      </c>
      <c r="F38677" s="7" t="n">
        <v>0</v>
      </c>
      <c r="G38677" s="7" t="n">
        <v>1000</v>
      </c>
      <c r="H38677" s="7" t="n">
        <v>0</v>
      </c>
    </row>
    <row r="38678" spans="1:18">
      <c r="A38678" t="s">
        <v>4</v>
      </c>
      <c r="B38678" s="4" t="s">
        <v>5</v>
      </c>
      <c r="C38678" s="4" t="s">
        <v>11</v>
      </c>
    </row>
    <row r="38679" spans="1:18">
      <c r="A38679" t="n">
        <v>382060</v>
      </c>
      <c r="B38679" s="29" t="n">
        <v>16</v>
      </c>
      <c r="C38679" s="7" t="n">
        <v>300</v>
      </c>
    </row>
    <row r="38680" spans="1:18">
      <c r="A38680" t="s">
        <v>4</v>
      </c>
      <c r="B38680" s="4" t="s">
        <v>5</v>
      </c>
      <c r="C38680" s="4" t="s">
        <v>7</v>
      </c>
      <c r="D38680" s="4" t="s">
        <v>11</v>
      </c>
      <c r="E38680" s="4" t="s">
        <v>8</v>
      </c>
    </row>
    <row r="38681" spans="1:18">
      <c r="A38681" t="n">
        <v>382063</v>
      </c>
      <c r="B38681" s="38" t="n">
        <v>51</v>
      </c>
      <c r="C38681" s="7" t="n">
        <v>4</v>
      </c>
      <c r="D38681" s="7" t="n">
        <v>8</v>
      </c>
      <c r="E38681" s="7" t="s">
        <v>1376</v>
      </c>
    </row>
    <row r="38682" spans="1:18">
      <c r="A38682" t="s">
        <v>4</v>
      </c>
      <c r="B38682" s="4" t="s">
        <v>5</v>
      </c>
      <c r="C38682" s="4" t="s">
        <v>11</v>
      </c>
    </row>
    <row r="38683" spans="1:18">
      <c r="A38683" t="n">
        <v>382078</v>
      </c>
      <c r="B38683" s="29" t="n">
        <v>16</v>
      </c>
      <c r="C38683" s="7" t="n">
        <v>0</v>
      </c>
    </row>
    <row r="38684" spans="1:18">
      <c r="A38684" t="s">
        <v>4</v>
      </c>
      <c r="B38684" s="4" t="s">
        <v>5</v>
      </c>
      <c r="C38684" s="4" t="s">
        <v>11</v>
      </c>
      <c r="D38684" s="4" t="s">
        <v>7</v>
      </c>
      <c r="E38684" s="4" t="s">
        <v>15</v>
      </c>
      <c r="F38684" s="4" t="s">
        <v>55</v>
      </c>
      <c r="G38684" s="4" t="s">
        <v>7</v>
      </c>
      <c r="H38684" s="4" t="s">
        <v>7</v>
      </c>
    </row>
    <row r="38685" spans="1:18">
      <c r="A38685" t="n">
        <v>382081</v>
      </c>
      <c r="B38685" s="55" t="n">
        <v>26</v>
      </c>
      <c r="C38685" s="7" t="n">
        <v>8</v>
      </c>
      <c r="D38685" s="7" t="n">
        <v>17</v>
      </c>
      <c r="E38685" s="7" t="n">
        <v>64419</v>
      </c>
      <c r="F38685" s="7" t="s">
        <v>464</v>
      </c>
      <c r="G38685" s="7" t="n">
        <v>2</v>
      </c>
      <c r="H38685" s="7" t="n">
        <v>0</v>
      </c>
    </row>
    <row r="38686" spans="1:18">
      <c r="A38686" t="s">
        <v>4</v>
      </c>
      <c r="B38686" s="4" t="s">
        <v>5</v>
      </c>
    </row>
    <row r="38687" spans="1:18">
      <c r="A38687" t="n">
        <v>382094</v>
      </c>
      <c r="B38687" s="27" t="n">
        <v>28</v>
      </c>
    </row>
    <row r="38688" spans="1:18">
      <c r="A38688" t="s">
        <v>4</v>
      </c>
      <c r="B38688" s="4" t="s">
        <v>5</v>
      </c>
      <c r="C38688" s="4" t="s">
        <v>7</v>
      </c>
      <c r="D38688" s="4" t="s">
        <v>11</v>
      </c>
      <c r="E38688" s="4" t="s">
        <v>8</v>
      </c>
    </row>
    <row r="38689" spans="1:8">
      <c r="A38689" t="n">
        <v>382095</v>
      </c>
      <c r="B38689" s="38" t="n">
        <v>51</v>
      </c>
      <c r="C38689" s="7" t="n">
        <v>4</v>
      </c>
      <c r="D38689" s="7" t="n">
        <v>0</v>
      </c>
      <c r="E38689" s="7" t="s">
        <v>242</v>
      </c>
    </row>
    <row r="38690" spans="1:8">
      <c r="A38690" t="s">
        <v>4</v>
      </c>
      <c r="B38690" s="4" t="s">
        <v>5</v>
      </c>
      <c r="C38690" s="4" t="s">
        <v>11</v>
      </c>
    </row>
    <row r="38691" spans="1:8">
      <c r="A38691" t="n">
        <v>382109</v>
      </c>
      <c r="B38691" s="29" t="n">
        <v>16</v>
      </c>
      <c r="C38691" s="7" t="n">
        <v>0</v>
      </c>
    </row>
    <row r="38692" spans="1:8">
      <c r="A38692" t="s">
        <v>4</v>
      </c>
      <c r="B38692" s="4" t="s">
        <v>5</v>
      </c>
      <c r="C38692" s="4" t="s">
        <v>11</v>
      </c>
      <c r="D38692" s="4" t="s">
        <v>7</v>
      </c>
      <c r="E38692" s="4" t="s">
        <v>15</v>
      </c>
      <c r="F38692" s="4" t="s">
        <v>55</v>
      </c>
      <c r="G38692" s="4" t="s">
        <v>7</v>
      </c>
      <c r="H38692" s="4" t="s">
        <v>7</v>
      </c>
      <c r="I38692" s="4" t="s">
        <v>7</v>
      </c>
      <c r="J38692" s="4" t="s">
        <v>15</v>
      </c>
      <c r="K38692" s="4" t="s">
        <v>55</v>
      </c>
      <c r="L38692" s="4" t="s">
        <v>7</v>
      </c>
      <c r="M38692" s="4" t="s">
        <v>7</v>
      </c>
      <c r="N38692" s="4" t="s">
        <v>7</v>
      </c>
      <c r="O38692" s="4" t="s">
        <v>15</v>
      </c>
      <c r="P38692" s="4" t="s">
        <v>55</v>
      </c>
      <c r="Q38692" s="4" t="s">
        <v>7</v>
      </c>
      <c r="R38692" s="4" t="s">
        <v>7</v>
      </c>
    </row>
    <row r="38693" spans="1:8">
      <c r="A38693" t="n">
        <v>382112</v>
      </c>
      <c r="B38693" s="55" t="n">
        <v>26</v>
      </c>
      <c r="C38693" s="7" t="n">
        <v>0</v>
      </c>
      <c r="D38693" s="7" t="n">
        <v>17</v>
      </c>
      <c r="E38693" s="7" t="n">
        <v>64420</v>
      </c>
      <c r="F38693" s="7" t="s">
        <v>1377</v>
      </c>
      <c r="G38693" s="7" t="n">
        <v>2</v>
      </c>
      <c r="H38693" s="7" t="n">
        <v>3</v>
      </c>
      <c r="I38693" s="7" t="n">
        <v>17</v>
      </c>
      <c r="J38693" s="7" t="n">
        <v>64421</v>
      </c>
      <c r="K38693" s="7" t="s">
        <v>1378</v>
      </c>
      <c r="L38693" s="7" t="n">
        <v>2</v>
      </c>
      <c r="M38693" s="7" t="n">
        <v>3</v>
      </c>
      <c r="N38693" s="7" t="n">
        <v>17</v>
      </c>
      <c r="O38693" s="7" t="n">
        <v>64422</v>
      </c>
      <c r="P38693" s="7" t="s">
        <v>1379</v>
      </c>
      <c r="Q38693" s="7" t="n">
        <v>2</v>
      </c>
      <c r="R38693" s="7" t="n">
        <v>0</v>
      </c>
    </row>
    <row r="38694" spans="1:8">
      <c r="A38694" t="s">
        <v>4</v>
      </c>
      <c r="B38694" s="4" t="s">
        <v>5</v>
      </c>
    </row>
    <row r="38695" spans="1:8">
      <c r="A38695" t="n">
        <v>382421</v>
      </c>
      <c r="B38695" s="27" t="n">
        <v>28</v>
      </c>
    </row>
    <row r="38696" spans="1:8">
      <c r="A38696" t="s">
        <v>4</v>
      </c>
      <c r="B38696" s="4" t="s">
        <v>5</v>
      </c>
      <c r="C38696" s="4" t="s">
        <v>7</v>
      </c>
      <c r="D38696" s="4" t="s">
        <v>11</v>
      </c>
      <c r="E38696" s="4" t="s">
        <v>11</v>
      </c>
      <c r="F38696" s="4" t="s">
        <v>7</v>
      </c>
    </row>
    <row r="38697" spans="1:8">
      <c r="A38697" t="n">
        <v>382422</v>
      </c>
      <c r="B38697" s="31" t="n">
        <v>25</v>
      </c>
      <c r="C38697" s="7" t="n">
        <v>1</v>
      </c>
      <c r="D38697" s="7" t="n">
        <v>65535</v>
      </c>
      <c r="E38697" s="7" t="n">
        <v>65535</v>
      </c>
      <c r="F38697" s="7" t="n">
        <v>0</v>
      </c>
    </row>
    <row r="38698" spans="1:8">
      <c r="A38698" t="s">
        <v>4</v>
      </c>
      <c r="B38698" s="4" t="s">
        <v>5</v>
      </c>
      <c r="C38698" s="4" t="s">
        <v>7</v>
      </c>
      <c r="D38698" s="4" t="s">
        <v>11</v>
      </c>
      <c r="E38698" s="4" t="s">
        <v>8</v>
      </c>
    </row>
    <row r="38699" spans="1:8">
      <c r="A38699" t="n">
        <v>382429</v>
      </c>
      <c r="B38699" s="38" t="n">
        <v>51</v>
      </c>
      <c r="C38699" s="7" t="n">
        <v>4</v>
      </c>
      <c r="D38699" s="7" t="n">
        <v>8</v>
      </c>
      <c r="E38699" s="7" t="s">
        <v>242</v>
      </c>
    </row>
    <row r="38700" spans="1:8">
      <c r="A38700" t="s">
        <v>4</v>
      </c>
      <c r="B38700" s="4" t="s">
        <v>5</v>
      </c>
      <c r="C38700" s="4" t="s">
        <v>11</v>
      </c>
    </row>
    <row r="38701" spans="1:8">
      <c r="A38701" t="n">
        <v>382443</v>
      </c>
      <c r="B38701" s="29" t="n">
        <v>16</v>
      </c>
      <c r="C38701" s="7" t="n">
        <v>0</v>
      </c>
    </row>
    <row r="38702" spans="1:8">
      <c r="A38702" t="s">
        <v>4</v>
      </c>
      <c r="B38702" s="4" t="s">
        <v>5</v>
      </c>
      <c r="C38702" s="4" t="s">
        <v>11</v>
      </c>
      <c r="D38702" s="4" t="s">
        <v>7</v>
      </c>
      <c r="E38702" s="4" t="s">
        <v>15</v>
      </c>
      <c r="F38702" s="4" t="s">
        <v>55</v>
      </c>
      <c r="G38702" s="4" t="s">
        <v>7</v>
      </c>
      <c r="H38702" s="4" t="s">
        <v>7</v>
      </c>
      <c r="I38702" s="4" t="s">
        <v>7</v>
      </c>
      <c r="J38702" s="4" t="s">
        <v>15</v>
      </c>
      <c r="K38702" s="4" t="s">
        <v>55</v>
      </c>
      <c r="L38702" s="4" t="s">
        <v>7</v>
      </c>
      <c r="M38702" s="4" t="s">
        <v>7</v>
      </c>
      <c r="N38702" s="4" t="s">
        <v>7</v>
      </c>
      <c r="O38702" s="4" t="s">
        <v>15</v>
      </c>
      <c r="P38702" s="4" t="s">
        <v>55</v>
      </c>
      <c r="Q38702" s="4" t="s">
        <v>7</v>
      </c>
      <c r="R38702" s="4" t="s">
        <v>7</v>
      </c>
    </row>
    <row r="38703" spans="1:8">
      <c r="A38703" t="n">
        <v>382446</v>
      </c>
      <c r="B38703" s="55" t="n">
        <v>26</v>
      </c>
      <c r="C38703" s="7" t="n">
        <v>8</v>
      </c>
      <c r="D38703" s="7" t="n">
        <v>17</v>
      </c>
      <c r="E38703" s="7" t="n">
        <v>64423</v>
      </c>
      <c r="F38703" s="7" t="s">
        <v>1380</v>
      </c>
      <c r="G38703" s="7" t="n">
        <v>2</v>
      </c>
      <c r="H38703" s="7" t="n">
        <v>3</v>
      </c>
      <c r="I38703" s="7" t="n">
        <v>17</v>
      </c>
      <c r="J38703" s="7" t="n">
        <v>64424</v>
      </c>
      <c r="K38703" s="7" t="s">
        <v>1381</v>
      </c>
      <c r="L38703" s="7" t="n">
        <v>2</v>
      </c>
      <c r="M38703" s="7" t="n">
        <v>3</v>
      </c>
      <c r="N38703" s="7" t="n">
        <v>17</v>
      </c>
      <c r="O38703" s="7" t="n">
        <v>64425</v>
      </c>
      <c r="P38703" s="7" t="s">
        <v>1382</v>
      </c>
      <c r="Q38703" s="7" t="n">
        <v>2</v>
      </c>
      <c r="R38703" s="7" t="n">
        <v>0</v>
      </c>
    </row>
    <row r="38704" spans="1:8">
      <c r="A38704" t="s">
        <v>4</v>
      </c>
      <c r="B38704" s="4" t="s">
        <v>5</v>
      </c>
    </row>
    <row r="38705" spans="1:18">
      <c r="A38705" t="n">
        <v>382640</v>
      </c>
      <c r="B38705" s="27" t="n">
        <v>28</v>
      </c>
    </row>
    <row r="38706" spans="1:18">
      <c r="A38706" t="s">
        <v>4</v>
      </c>
      <c r="B38706" s="4" t="s">
        <v>5</v>
      </c>
      <c r="C38706" s="4" t="s">
        <v>11</v>
      </c>
      <c r="D38706" s="4" t="s">
        <v>13</v>
      </c>
      <c r="E38706" s="4" t="s">
        <v>13</v>
      </c>
      <c r="F38706" s="4" t="s">
        <v>13</v>
      </c>
      <c r="G38706" s="4" t="s">
        <v>11</v>
      </c>
      <c r="H38706" s="4" t="s">
        <v>11</v>
      </c>
    </row>
    <row r="38707" spans="1:18">
      <c r="A38707" t="n">
        <v>382641</v>
      </c>
      <c r="B38707" s="37" t="n">
        <v>60</v>
      </c>
      <c r="C38707" s="7" t="n">
        <v>8</v>
      </c>
      <c r="D38707" s="7" t="n">
        <v>0</v>
      </c>
      <c r="E38707" s="7" t="n">
        <v>0</v>
      </c>
      <c r="F38707" s="7" t="n">
        <v>0</v>
      </c>
      <c r="G38707" s="7" t="n">
        <v>800</v>
      </c>
      <c r="H38707" s="7" t="n">
        <v>0</v>
      </c>
    </row>
    <row r="38708" spans="1:18">
      <c r="A38708" t="s">
        <v>4</v>
      </c>
      <c r="B38708" s="4" t="s">
        <v>5</v>
      </c>
      <c r="C38708" s="4" t="s">
        <v>11</v>
      </c>
    </row>
    <row r="38709" spans="1:18">
      <c r="A38709" t="n">
        <v>382660</v>
      </c>
      <c r="B38709" s="29" t="n">
        <v>16</v>
      </c>
      <c r="C38709" s="7" t="n">
        <v>1000</v>
      </c>
    </row>
    <row r="38710" spans="1:18">
      <c r="A38710" t="s">
        <v>4</v>
      </c>
      <c r="B38710" s="4" t="s">
        <v>5</v>
      </c>
      <c r="C38710" s="4" t="s">
        <v>7</v>
      </c>
      <c r="D38710" s="4" t="s">
        <v>11</v>
      </c>
      <c r="E38710" s="4" t="s">
        <v>8</v>
      </c>
    </row>
    <row r="38711" spans="1:18">
      <c r="A38711" t="n">
        <v>382663</v>
      </c>
      <c r="B38711" s="38" t="n">
        <v>51</v>
      </c>
      <c r="C38711" s="7" t="n">
        <v>4</v>
      </c>
      <c r="D38711" s="7" t="n">
        <v>8</v>
      </c>
      <c r="E38711" s="7" t="s">
        <v>288</v>
      </c>
    </row>
    <row r="38712" spans="1:18">
      <c r="A38712" t="s">
        <v>4</v>
      </c>
      <c r="B38712" s="4" t="s">
        <v>5</v>
      </c>
      <c r="C38712" s="4" t="s">
        <v>11</v>
      </c>
    </row>
    <row r="38713" spans="1:18">
      <c r="A38713" t="n">
        <v>382676</v>
      </c>
      <c r="B38713" s="29" t="n">
        <v>16</v>
      </c>
      <c r="C38713" s="7" t="n">
        <v>0</v>
      </c>
    </row>
    <row r="38714" spans="1:18">
      <c r="A38714" t="s">
        <v>4</v>
      </c>
      <c r="B38714" s="4" t="s">
        <v>5</v>
      </c>
      <c r="C38714" s="4" t="s">
        <v>11</v>
      </c>
      <c r="D38714" s="4" t="s">
        <v>7</v>
      </c>
      <c r="E38714" s="4" t="s">
        <v>15</v>
      </c>
      <c r="F38714" s="4" t="s">
        <v>55</v>
      </c>
      <c r="G38714" s="4" t="s">
        <v>7</v>
      </c>
      <c r="H38714" s="4" t="s">
        <v>7</v>
      </c>
      <c r="I38714" s="4" t="s">
        <v>7</v>
      </c>
      <c r="J38714" s="4" t="s">
        <v>15</v>
      </c>
      <c r="K38714" s="4" t="s">
        <v>55</v>
      </c>
      <c r="L38714" s="4" t="s">
        <v>7</v>
      </c>
      <c r="M38714" s="4" t="s">
        <v>7</v>
      </c>
      <c r="N38714" s="4" t="s">
        <v>7</v>
      </c>
      <c r="O38714" s="4" t="s">
        <v>15</v>
      </c>
      <c r="P38714" s="4" t="s">
        <v>55</v>
      </c>
      <c r="Q38714" s="4" t="s">
        <v>7</v>
      </c>
      <c r="R38714" s="4" t="s">
        <v>7</v>
      </c>
    </row>
    <row r="38715" spans="1:18">
      <c r="A38715" t="n">
        <v>382679</v>
      </c>
      <c r="B38715" s="55" t="n">
        <v>26</v>
      </c>
      <c r="C38715" s="7" t="n">
        <v>8</v>
      </c>
      <c r="D38715" s="7" t="n">
        <v>17</v>
      </c>
      <c r="E38715" s="7" t="n">
        <v>64426</v>
      </c>
      <c r="F38715" s="7" t="s">
        <v>1383</v>
      </c>
      <c r="G38715" s="7" t="n">
        <v>2</v>
      </c>
      <c r="H38715" s="7" t="n">
        <v>3</v>
      </c>
      <c r="I38715" s="7" t="n">
        <v>17</v>
      </c>
      <c r="J38715" s="7" t="n">
        <v>64427</v>
      </c>
      <c r="K38715" s="7" t="s">
        <v>1384</v>
      </c>
      <c r="L38715" s="7" t="n">
        <v>2</v>
      </c>
      <c r="M38715" s="7" t="n">
        <v>3</v>
      </c>
      <c r="N38715" s="7" t="n">
        <v>17</v>
      </c>
      <c r="O38715" s="7" t="n">
        <v>64428</v>
      </c>
      <c r="P38715" s="7" t="s">
        <v>1385</v>
      </c>
      <c r="Q38715" s="7" t="n">
        <v>2</v>
      </c>
      <c r="R38715" s="7" t="n">
        <v>0</v>
      </c>
    </row>
    <row r="38716" spans="1:18">
      <c r="A38716" t="s">
        <v>4</v>
      </c>
      <c r="B38716" s="4" t="s">
        <v>5</v>
      </c>
    </row>
    <row r="38717" spans="1:18">
      <c r="A38717" t="n">
        <v>382949</v>
      </c>
      <c r="B38717" s="27" t="n">
        <v>28</v>
      </c>
    </row>
    <row r="38718" spans="1:18">
      <c r="A38718" t="s">
        <v>4</v>
      </c>
      <c r="B38718" s="4" t="s">
        <v>5</v>
      </c>
      <c r="C38718" s="4" t="s">
        <v>11</v>
      </c>
      <c r="D38718" s="4" t="s">
        <v>7</v>
      </c>
      <c r="E38718" s="4" t="s">
        <v>7</v>
      </c>
      <c r="F38718" s="4" t="s">
        <v>8</v>
      </c>
    </row>
    <row r="38719" spans="1:18">
      <c r="A38719" t="n">
        <v>382950</v>
      </c>
      <c r="B38719" s="50" t="n">
        <v>20</v>
      </c>
      <c r="C38719" s="7" t="n">
        <v>0</v>
      </c>
      <c r="D38719" s="7" t="n">
        <v>2</v>
      </c>
      <c r="E38719" s="7" t="n">
        <v>10</v>
      </c>
      <c r="F38719" s="7" t="s">
        <v>223</v>
      </c>
    </row>
    <row r="38720" spans="1:18">
      <c r="A38720" t="s">
        <v>4</v>
      </c>
      <c r="B38720" s="4" t="s">
        <v>5</v>
      </c>
      <c r="C38720" s="4" t="s">
        <v>7</v>
      </c>
      <c r="D38720" s="4" t="s">
        <v>11</v>
      </c>
      <c r="E38720" s="4" t="s">
        <v>8</v>
      </c>
    </row>
    <row r="38721" spans="1:18">
      <c r="A38721" t="n">
        <v>382971</v>
      </c>
      <c r="B38721" s="38" t="n">
        <v>51</v>
      </c>
      <c r="C38721" s="7" t="n">
        <v>4</v>
      </c>
      <c r="D38721" s="7" t="n">
        <v>0</v>
      </c>
      <c r="E38721" s="7" t="s">
        <v>304</v>
      </c>
    </row>
    <row r="38722" spans="1:18">
      <c r="A38722" t="s">
        <v>4</v>
      </c>
      <c r="B38722" s="4" t="s">
        <v>5</v>
      </c>
      <c r="C38722" s="4" t="s">
        <v>11</v>
      </c>
    </row>
    <row r="38723" spans="1:18">
      <c r="A38723" t="n">
        <v>382984</v>
      </c>
      <c r="B38723" s="29" t="n">
        <v>16</v>
      </c>
      <c r="C38723" s="7" t="n">
        <v>0</v>
      </c>
    </row>
    <row r="38724" spans="1:18">
      <c r="A38724" t="s">
        <v>4</v>
      </c>
      <c r="B38724" s="4" t="s">
        <v>5</v>
      </c>
      <c r="C38724" s="4" t="s">
        <v>11</v>
      </c>
      <c r="D38724" s="4" t="s">
        <v>7</v>
      </c>
      <c r="E38724" s="4" t="s">
        <v>15</v>
      </c>
      <c r="F38724" s="4" t="s">
        <v>55</v>
      </c>
      <c r="G38724" s="4" t="s">
        <v>7</v>
      </c>
      <c r="H38724" s="4" t="s">
        <v>7</v>
      </c>
      <c r="I38724" s="4" t="s">
        <v>7</v>
      </c>
      <c r="J38724" s="4" t="s">
        <v>15</v>
      </c>
      <c r="K38724" s="4" t="s">
        <v>55</v>
      </c>
      <c r="L38724" s="4" t="s">
        <v>7</v>
      </c>
      <c r="M38724" s="4" t="s">
        <v>7</v>
      </c>
      <c r="N38724" s="4" t="s">
        <v>7</v>
      </c>
      <c r="O38724" s="4" t="s">
        <v>15</v>
      </c>
      <c r="P38724" s="4" t="s">
        <v>55</v>
      </c>
      <c r="Q38724" s="4" t="s">
        <v>7</v>
      </c>
      <c r="R38724" s="4" t="s">
        <v>7</v>
      </c>
    </row>
    <row r="38725" spans="1:18">
      <c r="A38725" t="n">
        <v>382987</v>
      </c>
      <c r="B38725" s="55" t="n">
        <v>26</v>
      </c>
      <c r="C38725" s="7" t="n">
        <v>0</v>
      </c>
      <c r="D38725" s="7" t="n">
        <v>17</v>
      </c>
      <c r="E38725" s="7" t="n">
        <v>64429</v>
      </c>
      <c r="F38725" s="7" t="s">
        <v>1386</v>
      </c>
      <c r="G38725" s="7" t="n">
        <v>2</v>
      </c>
      <c r="H38725" s="7" t="n">
        <v>3</v>
      </c>
      <c r="I38725" s="7" t="n">
        <v>17</v>
      </c>
      <c r="J38725" s="7" t="n">
        <v>64430</v>
      </c>
      <c r="K38725" s="7" t="s">
        <v>1387</v>
      </c>
      <c r="L38725" s="7" t="n">
        <v>2</v>
      </c>
      <c r="M38725" s="7" t="n">
        <v>3</v>
      </c>
      <c r="N38725" s="7" t="n">
        <v>17</v>
      </c>
      <c r="O38725" s="7" t="n">
        <v>64431</v>
      </c>
      <c r="P38725" s="7" t="s">
        <v>1388</v>
      </c>
      <c r="Q38725" s="7" t="n">
        <v>2</v>
      </c>
      <c r="R38725" s="7" t="n">
        <v>0</v>
      </c>
    </row>
    <row r="38726" spans="1:18">
      <c r="A38726" t="s">
        <v>4</v>
      </c>
      <c r="B38726" s="4" t="s">
        <v>5</v>
      </c>
    </row>
    <row r="38727" spans="1:18">
      <c r="A38727" t="n">
        <v>383235</v>
      </c>
      <c r="B38727" s="27" t="n">
        <v>28</v>
      </c>
    </row>
    <row r="38728" spans="1:18">
      <c r="A38728" t="s">
        <v>4</v>
      </c>
      <c r="B38728" s="4" t="s">
        <v>5</v>
      </c>
      <c r="C38728" s="4" t="s">
        <v>7</v>
      </c>
      <c r="D38728" s="4" t="s">
        <v>11</v>
      </c>
      <c r="E38728" s="4" t="s">
        <v>11</v>
      </c>
      <c r="F38728" s="4" t="s">
        <v>7</v>
      </c>
    </row>
    <row r="38729" spans="1:18">
      <c r="A38729" t="n">
        <v>383236</v>
      </c>
      <c r="B38729" s="31" t="n">
        <v>25</v>
      </c>
      <c r="C38729" s="7" t="n">
        <v>1</v>
      </c>
      <c r="D38729" s="7" t="n">
        <v>65535</v>
      </c>
      <c r="E38729" s="7" t="n">
        <v>65535</v>
      </c>
      <c r="F38729" s="7" t="n">
        <v>0</v>
      </c>
    </row>
    <row r="38730" spans="1:18">
      <c r="A38730" t="s">
        <v>4</v>
      </c>
      <c r="B38730" s="4" t="s">
        <v>5</v>
      </c>
      <c r="C38730" s="4" t="s">
        <v>7</v>
      </c>
      <c r="D38730" s="4" t="s">
        <v>11</v>
      </c>
      <c r="E38730" s="4" t="s">
        <v>8</v>
      </c>
    </row>
    <row r="38731" spans="1:18">
      <c r="A38731" t="n">
        <v>383243</v>
      </c>
      <c r="B38731" s="38" t="n">
        <v>51</v>
      </c>
      <c r="C38731" s="7" t="n">
        <v>4</v>
      </c>
      <c r="D38731" s="7" t="n">
        <v>8</v>
      </c>
      <c r="E38731" s="7" t="s">
        <v>247</v>
      </c>
    </row>
    <row r="38732" spans="1:18">
      <c r="A38732" t="s">
        <v>4</v>
      </c>
      <c r="B38732" s="4" t="s">
        <v>5</v>
      </c>
      <c r="C38732" s="4" t="s">
        <v>11</v>
      </c>
    </row>
    <row r="38733" spans="1:18">
      <c r="A38733" t="n">
        <v>383257</v>
      </c>
      <c r="B38733" s="29" t="n">
        <v>16</v>
      </c>
      <c r="C38733" s="7" t="n">
        <v>0</v>
      </c>
    </row>
    <row r="38734" spans="1:18">
      <c r="A38734" t="s">
        <v>4</v>
      </c>
      <c r="B38734" s="4" t="s">
        <v>5</v>
      </c>
      <c r="C38734" s="4" t="s">
        <v>11</v>
      </c>
      <c r="D38734" s="4" t="s">
        <v>7</v>
      </c>
      <c r="E38734" s="4" t="s">
        <v>15</v>
      </c>
      <c r="F38734" s="4" t="s">
        <v>55</v>
      </c>
      <c r="G38734" s="4" t="s">
        <v>7</v>
      </c>
      <c r="H38734" s="4" t="s">
        <v>7</v>
      </c>
    </row>
    <row r="38735" spans="1:18">
      <c r="A38735" t="n">
        <v>383260</v>
      </c>
      <c r="B38735" s="55" t="n">
        <v>26</v>
      </c>
      <c r="C38735" s="7" t="n">
        <v>8</v>
      </c>
      <c r="D38735" s="7" t="n">
        <v>17</v>
      </c>
      <c r="E38735" s="7" t="n">
        <v>64432</v>
      </c>
      <c r="F38735" s="7" t="s">
        <v>1389</v>
      </c>
      <c r="G38735" s="7" t="n">
        <v>2</v>
      </c>
      <c r="H38735" s="7" t="n">
        <v>0</v>
      </c>
    </row>
    <row r="38736" spans="1:18">
      <c r="A38736" t="s">
        <v>4</v>
      </c>
      <c r="B38736" s="4" t="s">
        <v>5</v>
      </c>
    </row>
    <row r="38737" spans="1:18">
      <c r="A38737" t="n">
        <v>383289</v>
      </c>
      <c r="B38737" s="27" t="n">
        <v>28</v>
      </c>
    </row>
    <row r="38738" spans="1:18">
      <c r="A38738" t="s">
        <v>4</v>
      </c>
      <c r="B38738" s="4" t="s">
        <v>5</v>
      </c>
      <c r="C38738" s="4" t="s">
        <v>7</v>
      </c>
      <c r="D38738" s="4" t="s">
        <v>11</v>
      </c>
      <c r="E38738" s="4" t="s">
        <v>13</v>
      </c>
    </row>
    <row r="38739" spans="1:18">
      <c r="A38739" t="n">
        <v>383290</v>
      </c>
      <c r="B38739" s="23" t="n">
        <v>58</v>
      </c>
      <c r="C38739" s="7" t="n">
        <v>0</v>
      </c>
      <c r="D38739" s="7" t="n">
        <v>2000</v>
      </c>
      <c r="E38739" s="7" t="n">
        <v>1</v>
      </c>
    </row>
    <row r="38740" spans="1:18">
      <c r="A38740" t="s">
        <v>4</v>
      </c>
      <c r="B38740" s="4" t="s">
        <v>5</v>
      </c>
      <c r="C38740" s="4" t="s">
        <v>7</v>
      </c>
      <c r="D38740" s="4" t="s">
        <v>11</v>
      </c>
    </row>
    <row r="38741" spans="1:18">
      <c r="A38741" t="n">
        <v>383298</v>
      </c>
      <c r="B38741" s="23" t="n">
        <v>58</v>
      </c>
      <c r="C38741" s="7" t="n">
        <v>255</v>
      </c>
      <c r="D38741" s="7" t="n">
        <v>0</v>
      </c>
    </row>
    <row r="38742" spans="1:18">
      <c r="A38742" t="s">
        <v>4</v>
      </c>
      <c r="B38742" s="4" t="s">
        <v>5</v>
      </c>
      <c r="C38742" s="4" t="s">
        <v>11</v>
      </c>
    </row>
    <row r="38743" spans="1:18">
      <c r="A38743" t="n">
        <v>383302</v>
      </c>
      <c r="B38743" s="29" t="n">
        <v>16</v>
      </c>
      <c r="C38743" s="7" t="n">
        <v>1000</v>
      </c>
    </row>
    <row r="38744" spans="1:18">
      <c r="A38744" t="s">
        <v>4</v>
      </c>
      <c r="B38744" s="4" t="s">
        <v>5</v>
      </c>
      <c r="C38744" s="4" t="s">
        <v>11</v>
      </c>
      <c r="D38744" s="4" t="s">
        <v>13</v>
      </c>
      <c r="E38744" s="4" t="s">
        <v>13</v>
      </c>
      <c r="F38744" s="4" t="s">
        <v>13</v>
      </c>
      <c r="G38744" s="4" t="s">
        <v>13</v>
      </c>
    </row>
    <row r="38745" spans="1:18">
      <c r="A38745" t="n">
        <v>383305</v>
      </c>
      <c r="B38745" s="36" t="n">
        <v>46</v>
      </c>
      <c r="C38745" s="7" t="n">
        <v>61456</v>
      </c>
      <c r="D38745" s="7" t="n">
        <v>-15.5200004577637</v>
      </c>
      <c r="E38745" s="7" t="n">
        <v>5.01000022888184</v>
      </c>
      <c r="F38745" s="7" t="n">
        <v>55.75</v>
      </c>
      <c r="G38745" s="7" t="n">
        <v>78.5</v>
      </c>
    </row>
    <row r="38746" spans="1:18">
      <c r="A38746" t="s">
        <v>4</v>
      </c>
      <c r="B38746" s="4" t="s">
        <v>5</v>
      </c>
      <c r="C38746" s="4" t="s">
        <v>7</v>
      </c>
      <c r="D38746" s="4" t="s">
        <v>7</v>
      </c>
      <c r="E38746" s="4" t="s">
        <v>13</v>
      </c>
      <c r="F38746" s="4" t="s">
        <v>13</v>
      </c>
      <c r="G38746" s="4" t="s">
        <v>13</v>
      </c>
      <c r="H38746" s="4" t="s">
        <v>11</v>
      </c>
      <c r="I38746" s="4" t="s">
        <v>7</v>
      </c>
    </row>
    <row r="38747" spans="1:18">
      <c r="A38747" t="n">
        <v>383324</v>
      </c>
      <c r="B38747" s="51" t="n">
        <v>45</v>
      </c>
      <c r="C38747" s="7" t="n">
        <v>4</v>
      </c>
      <c r="D38747" s="7" t="n">
        <v>3</v>
      </c>
      <c r="E38747" s="7" t="n">
        <v>7</v>
      </c>
      <c r="F38747" s="7" t="n">
        <v>303.989990234375</v>
      </c>
      <c r="G38747" s="7" t="n">
        <v>0</v>
      </c>
      <c r="H38747" s="7" t="n">
        <v>0</v>
      </c>
      <c r="I38747" s="7" t="n">
        <v>0</v>
      </c>
    </row>
    <row r="38748" spans="1:18">
      <c r="A38748" t="s">
        <v>4</v>
      </c>
      <c r="B38748" s="4" t="s">
        <v>5</v>
      </c>
      <c r="C38748" s="4" t="s">
        <v>7</v>
      </c>
      <c r="D38748" s="4" t="s">
        <v>8</v>
      </c>
    </row>
    <row r="38749" spans="1:18">
      <c r="A38749" t="n">
        <v>383342</v>
      </c>
      <c r="B38749" s="6" t="n">
        <v>2</v>
      </c>
      <c r="C38749" s="7" t="n">
        <v>10</v>
      </c>
      <c r="D38749" s="7" t="s">
        <v>1834</v>
      </c>
    </row>
    <row r="38750" spans="1:18">
      <c r="A38750" t="s">
        <v>4</v>
      </c>
      <c r="B38750" s="4" t="s">
        <v>5</v>
      </c>
    </row>
    <row r="38751" spans="1:18">
      <c r="A38751" t="n">
        <v>383363</v>
      </c>
      <c r="B38751" s="5" t="n">
        <v>1</v>
      </c>
    </row>
    <row r="38752" spans="1:18" s="3" customFormat="1" customHeight="0">
      <c r="A38752" s="3" t="s">
        <v>2</v>
      </c>
      <c r="B38752" s="3" t="s">
        <v>1858</v>
      </c>
    </row>
    <row r="38753" spans="1:9">
      <c r="A38753" t="s">
        <v>4</v>
      </c>
      <c r="B38753" s="4" t="s">
        <v>5</v>
      </c>
      <c r="C38753" s="4" t="s">
        <v>11</v>
      </c>
      <c r="D38753" s="4" t="s">
        <v>11</v>
      </c>
      <c r="E38753" s="4" t="s">
        <v>15</v>
      </c>
      <c r="F38753" s="4" t="s">
        <v>8</v>
      </c>
      <c r="G38753" s="4" t="s">
        <v>1859</v>
      </c>
      <c r="H38753" s="4" t="s">
        <v>11</v>
      </c>
      <c r="I38753" s="4" t="s">
        <v>11</v>
      </c>
      <c r="J38753" s="4" t="s">
        <v>15</v>
      </c>
      <c r="K38753" s="4" t="s">
        <v>8</v>
      </c>
      <c r="L38753" s="4" t="s">
        <v>1859</v>
      </c>
      <c r="M38753" s="4" t="s">
        <v>11</v>
      </c>
      <c r="N38753" s="4" t="s">
        <v>11</v>
      </c>
      <c r="O38753" s="4" t="s">
        <v>15</v>
      </c>
      <c r="P38753" s="4" t="s">
        <v>8</v>
      </c>
      <c r="Q38753" s="4" t="s">
        <v>1859</v>
      </c>
      <c r="R38753" s="4" t="s">
        <v>11</v>
      </c>
      <c r="S38753" s="4" t="s">
        <v>11</v>
      </c>
      <c r="T38753" s="4" t="s">
        <v>15</v>
      </c>
      <c r="U38753" s="4" t="s">
        <v>8</v>
      </c>
      <c r="V38753" s="4" t="s">
        <v>1859</v>
      </c>
      <c r="W38753" s="4" t="s">
        <v>11</v>
      </c>
      <c r="X38753" s="4" t="s">
        <v>11</v>
      </c>
      <c r="Y38753" s="4" t="s">
        <v>15</v>
      </c>
      <c r="Z38753" s="4" t="s">
        <v>8</v>
      </c>
      <c r="AA38753" s="4" t="s">
        <v>1859</v>
      </c>
      <c r="AB38753" s="4" t="s">
        <v>11</v>
      </c>
      <c r="AC38753" s="4" t="s">
        <v>11</v>
      </c>
      <c r="AD38753" s="4" t="s">
        <v>15</v>
      </c>
      <c r="AE38753" s="4" t="s">
        <v>8</v>
      </c>
      <c r="AF38753" s="4" t="s">
        <v>1859</v>
      </c>
    </row>
    <row r="38754" spans="1:9">
      <c r="A38754" t="n">
        <v>383376</v>
      </c>
      <c r="B38754" s="85" t="n">
        <v>257</v>
      </c>
      <c r="C38754" s="7" t="n">
        <v>7</v>
      </c>
      <c r="D38754" s="7" t="n">
        <v>65533</v>
      </c>
      <c r="E38754" s="7" t="n">
        <v>64250</v>
      </c>
      <c r="F38754" s="7" t="s">
        <v>16</v>
      </c>
      <c r="G38754" s="7" t="n">
        <f t="normal" ca="1">32-LENB(INDIRECT(ADDRESS(38754,6)))</f>
        <v>0</v>
      </c>
      <c r="H38754" s="7" t="n">
        <v>7</v>
      </c>
      <c r="I38754" s="7" t="n">
        <v>65533</v>
      </c>
      <c r="J38754" s="7" t="n">
        <v>64251</v>
      </c>
      <c r="K38754" s="7" t="s">
        <v>16</v>
      </c>
      <c r="L38754" s="7" t="n">
        <f t="normal" ca="1">32-LENB(INDIRECT(ADDRESS(38754,11)))</f>
        <v>0</v>
      </c>
      <c r="M38754" s="7" t="n">
        <v>7</v>
      </c>
      <c r="N38754" s="7" t="n">
        <v>65533</v>
      </c>
      <c r="O38754" s="7" t="n">
        <v>64252</v>
      </c>
      <c r="P38754" s="7" t="s">
        <v>16</v>
      </c>
      <c r="Q38754" s="7" t="n">
        <f t="normal" ca="1">32-LENB(INDIRECT(ADDRESS(38754,16)))</f>
        <v>0</v>
      </c>
      <c r="R38754" s="7" t="n">
        <v>7</v>
      </c>
      <c r="S38754" s="7" t="n">
        <v>65533</v>
      </c>
      <c r="T38754" s="7" t="n">
        <v>64253</v>
      </c>
      <c r="U38754" s="7" t="s">
        <v>16</v>
      </c>
      <c r="V38754" s="7" t="n">
        <f t="normal" ca="1">32-LENB(INDIRECT(ADDRESS(38754,21)))</f>
        <v>0</v>
      </c>
      <c r="W38754" s="7" t="n">
        <v>4</v>
      </c>
      <c r="X38754" s="7" t="n">
        <v>65533</v>
      </c>
      <c r="Y38754" s="7" t="n">
        <v>12105</v>
      </c>
      <c r="Z38754" s="7" t="s">
        <v>16</v>
      </c>
      <c r="AA38754" s="7" t="n">
        <f t="normal" ca="1">32-LENB(INDIRECT(ADDRESS(38754,26)))</f>
        <v>0</v>
      </c>
      <c r="AB38754" s="7" t="n">
        <v>0</v>
      </c>
      <c r="AC38754" s="7" t="n">
        <v>65533</v>
      </c>
      <c r="AD38754" s="7" t="n">
        <v>0</v>
      </c>
      <c r="AE38754" s="7" t="s">
        <v>16</v>
      </c>
      <c r="AF38754" s="7" t="n">
        <f t="normal" ca="1">32-LENB(INDIRECT(ADDRESS(38754,31)))</f>
        <v>0</v>
      </c>
    </row>
    <row r="38755" spans="1:9">
      <c r="A38755" t="s">
        <v>4</v>
      </c>
      <c r="B38755" s="4" t="s">
        <v>5</v>
      </c>
    </row>
    <row r="38756" spans="1:9">
      <c r="A38756" t="n">
        <v>383616</v>
      </c>
      <c r="B38756" s="5" t="n">
        <v>1</v>
      </c>
    </row>
    <row r="38757" spans="1:9" s="3" customFormat="1" customHeight="0">
      <c r="A38757" s="3" t="s">
        <v>2</v>
      </c>
      <c r="B38757" s="3" t="s">
        <v>1860</v>
      </c>
    </row>
    <row r="38758" spans="1:9">
      <c r="A38758" t="s">
        <v>4</v>
      </c>
      <c r="B38758" s="4" t="s">
        <v>5</v>
      </c>
      <c r="C38758" s="4" t="s">
        <v>11</v>
      </c>
      <c r="D38758" s="4" t="s">
        <v>11</v>
      </c>
      <c r="E38758" s="4" t="s">
        <v>15</v>
      </c>
      <c r="F38758" s="4" t="s">
        <v>8</v>
      </c>
      <c r="G38758" s="4" t="s">
        <v>1859</v>
      </c>
      <c r="H38758" s="4" t="s">
        <v>11</v>
      </c>
      <c r="I38758" s="4" t="s">
        <v>11</v>
      </c>
      <c r="J38758" s="4" t="s">
        <v>15</v>
      </c>
      <c r="K38758" s="4" t="s">
        <v>8</v>
      </c>
      <c r="L38758" s="4" t="s">
        <v>1859</v>
      </c>
      <c r="M38758" s="4" t="s">
        <v>11</v>
      </c>
      <c r="N38758" s="4" t="s">
        <v>11</v>
      </c>
      <c r="O38758" s="4" t="s">
        <v>15</v>
      </c>
      <c r="P38758" s="4" t="s">
        <v>8</v>
      </c>
      <c r="Q38758" s="4" t="s">
        <v>1859</v>
      </c>
      <c r="R38758" s="4" t="s">
        <v>11</v>
      </c>
      <c r="S38758" s="4" t="s">
        <v>11</v>
      </c>
      <c r="T38758" s="4" t="s">
        <v>15</v>
      </c>
      <c r="U38758" s="4" t="s">
        <v>8</v>
      </c>
      <c r="V38758" s="4" t="s">
        <v>1859</v>
      </c>
      <c r="W38758" s="4" t="s">
        <v>11</v>
      </c>
      <c r="X38758" s="4" t="s">
        <v>11</v>
      </c>
      <c r="Y38758" s="4" t="s">
        <v>15</v>
      </c>
      <c r="Z38758" s="4" t="s">
        <v>8</v>
      </c>
      <c r="AA38758" s="4" t="s">
        <v>1859</v>
      </c>
      <c r="AB38758" s="4" t="s">
        <v>11</v>
      </c>
      <c r="AC38758" s="4" t="s">
        <v>11</v>
      </c>
      <c r="AD38758" s="4" t="s">
        <v>15</v>
      </c>
      <c r="AE38758" s="4" t="s">
        <v>8</v>
      </c>
      <c r="AF38758" s="4" t="s">
        <v>1859</v>
      </c>
      <c r="AG38758" s="4" t="s">
        <v>11</v>
      </c>
      <c r="AH38758" s="4" t="s">
        <v>11</v>
      </c>
      <c r="AI38758" s="4" t="s">
        <v>15</v>
      </c>
      <c r="AJ38758" s="4" t="s">
        <v>8</v>
      </c>
      <c r="AK38758" s="4" t="s">
        <v>1859</v>
      </c>
      <c r="AL38758" s="4" t="s">
        <v>11</v>
      </c>
      <c r="AM38758" s="4" t="s">
        <v>11</v>
      </c>
      <c r="AN38758" s="4" t="s">
        <v>15</v>
      </c>
      <c r="AO38758" s="4" t="s">
        <v>8</v>
      </c>
      <c r="AP38758" s="4" t="s">
        <v>1859</v>
      </c>
      <c r="AQ38758" s="4" t="s">
        <v>11</v>
      </c>
      <c r="AR38758" s="4" t="s">
        <v>11</v>
      </c>
      <c r="AS38758" s="4" t="s">
        <v>15</v>
      </c>
      <c r="AT38758" s="4" t="s">
        <v>8</v>
      </c>
      <c r="AU38758" s="4" t="s">
        <v>1859</v>
      </c>
      <c r="AV38758" s="4" t="s">
        <v>11</v>
      </c>
      <c r="AW38758" s="4" t="s">
        <v>11</v>
      </c>
      <c r="AX38758" s="4" t="s">
        <v>15</v>
      </c>
      <c r="AY38758" s="4" t="s">
        <v>8</v>
      </c>
      <c r="AZ38758" s="4" t="s">
        <v>1859</v>
      </c>
      <c r="BA38758" s="4" t="s">
        <v>11</v>
      </c>
      <c r="BB38758" s="4" t="s">
        <v>11</v>
      </c>
      <c r="BC38758" s="4" t="s">
        <v>15</v>
      </c>
      <c r="BD38758" s="4" t="s">
        <v>8</v>
      </c>
      <c r="BE38758" s="4" t="s">
        <v>1859</v>
      </c>
      <c r="BF38758" s="4" t="s">
        <v>11</v>
      </c>
      <c r="BG38758" s="4" t="s">
        <v>11</v>
      </c>
      <c r="BH38758" s="4" t="s">
        <v>15</v>
      </c>
      <c r="BI38758" s="4" t="s">
        <v>8</v>
      </c>
      <c r="BJ38758" s="4" t="s">
        <v>1859</v>
      </c>
      <c r="BK38758" s="4" t="s">
        <v>11</v>
      </c>
      <c r="BL38758" s="4" t="s">
        <v>11</v>
      </c>
      <c r="BM38758" s="4" t="s">
        <v>15</v>
      </c>
      <c r="BN38758" s="4" t="s">
        <v>8</v>
      </c>
      <c r="BO38758" s="4" t="s">
        <v>1859</v>
      </c>
      <c r="BP38758" s="4" t="s">
        <v>11</v>
      </c>
      <c r="BQ38758" s="4" t="s">
        <v>11</v>
      </c>
      <c r="BR38758" s="4" t="s">
        <v>15</v>
      </c>
      <c r="BS38758" s="4" t="s">
        <v>8</v>
      </c>
      <c r="BT38758" s="4" t="s">
        <v>1859</v>
      </c>
      <c r="BU38758" s="4" t="s">
        <v>11</v>
      </c>
      <c r="BV38758" s="4" t="s">
        <v>11</v>
      </c>
      <c r="BW38758" s="4" t="s">
        <v>15</v>
      </c>
      <c r="BX38758" s="4" t="s">
        <v>8</v>
      </c>
      <c r="BY38758" s="4" t="s">
        <v>1859</v>
      </c>
      <c r="BZ38758" s="4" t="s">
        <v>11</v>
      </c>
      <c r="CA38758" s="4" t="s">
        <v>11</v>
      </c>
      <c r="CB38758" s="4" t="s">
        <v>15</v>
      </c>
      <c r="CC38758" s="4" t="s">
        <v>8</v>
      </c>
      <c r="CD38758" s="4" t="s">
        <v>1859</v>
      </c>
      <c r="CE38758" s="4" t="s">
        <v>11</v>
      </c>
      <c r="CF38758" s="4" t="s">
        <v>11</v>
      </c>
      <c r="CG38758" s="4" t="s">
        <v>15</v>
      </c>
      <c r="CH38758" s="4" t="s">
        <v>8</v>
      </c>
      <c r="CI38758" s="4" t="s">
        <v>1859</v>
      </c>
      <c r="CJ38758" s="4" t="s">
        <v>11</v>
      </c>
      <c r="CK38758" s="4" t="s">
        <v>11</v>
      </c>
      <c r="CL38758" s="4" t="s">
        <v>15</v>
      </c>
      <c r="CM38758" s="4" t="s">
        <v>8</v>
      </c>
      <c r="CN38758" s="4" t="s">
        <v>1859</v>
      </c>
      <c r="CO38758" s="4" t="s">
        <v>11</v>
      </c>
      <c r="CP38758" s="4" t="s">
        <v>11</v>
      </c>
      <c r="CQ38758" s="4" t="s">
        <v>15</v>
      </c>
      <c r="CR38758" s="4" t="s">
        <v>8</v>
      </c>
      <c r="CS38758" s="4" t="s">
        <v>1859</v>
      </c>
      <c r="CT38758" s="4" t="s">
        <v>11</v>
      </c>
      <c r="CU38758" s="4" t="s">
        <v>11</v>
      </c>
      <c r="CV38758" s="4" t="s">
        <v>15</v>
      </c>
      <c r="CW38758" s="4" t="s">
        <v>8</v>
      </c>
      <c r="CX38758" s="4" t="s">
        <v>1859</v>
      </c>
      <c r="CY38758" s="4" t="s">
        <v>11</v>
      </c>
      <c r="CZ38758" s="4" t="s">
        <v>11</v>
      </c>
      <c r="DA38758" s="4" t="s">
        <v>15</v>
      </c>
      <c r="DB38758" s="4" t="s">
        <v>8</v>
      </c>
      <c r="DC38758" s="4" t="s">
        <v>1859</v>
      </c>
      <c r="DD38758" s="4" t="s">
        <v>11</v>
      </c>
      <c r="DE38758" s="4" t="s">
        <v>11</v>
      </c>
      <c r="DF38758" s="4" t="s">
        <v>15</v>
      </c>
      <c r="DG38758" s="4" t="s">
        <v>8</v>
      </c>
      <c r="DH38758" s="4" t="s">
        <v>1859</v>
      </c>
      <c r="DI38758" s="4" t="s">
        <v>11</v>
      </c>
      <c r="DJ38758" s="4" t="s">
        <v>11</v>
      </c>
      <c r="DK38758" s="4" t="s">
        <v>15</v>
      </c>
      <c r="DL38758" s="4" t="s">
        <v>8</v>
      </c>
      <c r="DM38758" s="4" t="s">
        <v>1859</v>
      </c>
      <c r="DN38758" s="4" t="s">
        <v>11</v>
      </c>
      <c r="DO38758" s="4" t="s">
        <v>11</v>
      </c>
      <c r="DP38758" s="4" t="s">
        <v>15</v>
      </c>
      <c r="DQ38758" s="4" t="s">
        <v>8</v>
      </c>
      <c r="DR38758" s="4" t="s">
        <v>1859</v>
      </c>
      <c r="DS38758" s="4" t="s">
        <v>11</v>
      </c>
      <c r="DT38758" s="4" t="s">
        <v>11</v>
      </c>
      <c r="DU38758" s="4" t="s">
        <v>15</v>
      </c>
      <c r="DV38758" s="4" t="s">
        <v>8</v>
      </c>
      <c r="DW38758" s="4" t="s">
        <v>1859</v>
      </c>
      <c r="DX38758" s="4" t="s">
        <v>11</v>
      </c>
      <c r="DY38758" s="4" t="s">
        <v>11</v>
      </c>
      <c r="DZ38758" s="4" t="s">
        <v>15</v>
      </c>
      <c r="EA38758" s="4" t="s">
        <v>8</v>
      </c>
      <c r="EB38758" s="4" t="s">
        <v>1859</v>
      </c>
      <c r="EC38758" s="4" t="s">
        <v>11</v>
      </c>
      <c r="ED38758" s="4" t="s">
        <v>11</v>
      </c>
      <c r="EE38758" s="4" t="s">
        <v>15</v>
      </c>
      <c r="EF38758" s="4" t="s">
        <v>8</v>
      </c>
      <c r="EG38758" s="4" t="s">
        <v>1859</v>
      </c>
      <c r="EH38758" s="4" t="s">
        <v>11</v>
      </c>
      <c r="EI38758" s="4" t="s">
        <v>11</v>
      </c>
      <c r="EJ38758" s="4" t="s">
        <v>15</v>
      </c>
      <c r="EK38758" s="4" t="s">
        <v>8</v>
      </c>
      <c r="EL38758" s="4" t="s">
        <v>1859</v>
      </c>
      <c r="EM38758" s="4" t="s">
        <v>11</v>
      </c>
      <c r="EN38758" s="4" t="s">
        <v>11</v>
      </c>
      <c r="EO38758" s="4" t="s">
        <v>15</v>
      </c>
      <c r="EP38758" s="4" t="s">
        <v>8</v>
      </c>
      <c r="EQ38758" s="4" t="s">
        <v>1859</v>
      </c>
      <c r="ER38758" s="4" t="s">
        <v>11</v>
      </c>
      <c r="ES38758" s="4" t="s">
        <v>11</v>
      </c>
      <c r="ET38758" s="4" t="s">
        <v>15</v>
      </c>
      <c r="EU38758" s="4" t="s">
        <v>8</v>
      </c>
      <c r="EV38758" s="4" t="s">
        <v>1859</v>
      </c>
      <c r="EW38758" s="4" t="s">
        <v>11</v>
      </c>
      <c r="EX38758" s="4" t="s">
        <v>11</v>
      </c>
      <c r="EY38758" s="4" t="s">
        <v>15</v>
      </c>
      <c r="EZ38758" s="4" t="s">
        <v>8</v>
      </c>
      <c r="FA38758" s="4" t="s">
        <v>1859</v>
      </c>
      <c r="FB38758" s="4" t="s">
        <v>11</v>
      </c>
      <c r="FC38758" s="4" t="s">
        <v>11</v>
      </c>
      <c r="FD38758" s="4" t="s">
        <v>15</v>
      </c>
      <c r="FE38758" s="4" t="s">
        <v>8</v>
      </c>
      <c r="FF38758" s="4" t="s">
        <v>1859</v>
      </c>
      <c r="FG38758" s="4" t="s">
        <v>11</v>
      </c>
      <c r="FH38758" s="4" t="s">
        <v>11</v>
      </c>
      <c r="FI38758" s="4" t="s">
        <v>15</v>
      </c>
      <c r="FJ38758" s="4" t="s">
        <v>8</v>
      </c>
      <c r="FK38758" s="4" t="s">
        <v>1859</v>
      </c>
    </row>
    <row r="38759" spans="1:9">
      <c r="A38759" t="n">
        <v>383632</v>
      </c>
      <c r="B38759" s="85" t="n">
        <v>257</v>
      </c>
      <c r="C38759" s="7" t="n">
        <v>7</v>
      </c>
      <c r="D38759" s="7" t="n">
        <v>65533</v>
      </c>
      <c r="E38759" s="7" t="n">
        <v>64268</v>
      </c>
      <c r="F38759" s="7" t="s">
        <v>16</v>
      </c>
      <c r="G38759" s="7" t="n">
        <f t="normal" ca="1">32-LENB(INDIRECT(ADDRESS(38759,6)))</f>
        <v>0</v>
      </c>
      <c r="H38759" s="7" t="n">
        <v>4</v>
      </c>
      <c r="I38759" s="7" t="n">
        <v>65533</v>
      </c>
      <c r="J38759" s="7" t="n">
        <v>2049</v>
      </c>
      <c r="K38759" s="7" t="s">
        <v>16</v>
      </c>
      <c r="L38759" s="7" t="n">
        <f t="normal" ca="1">32-LENB(INDIRECT(ADDRESS(38759,11)))</f>
        <v>0</v>
      </c>
      <c r="M38759" s="7" t="n">
        <v>4</v>
      </c>
      <c r="N38759" s="7" t="n">
        <v>65533</v>
      </c>
      <c r="O38759" s="7" t="n">
        <v>2050</v>
      </c>
      <c r="P38759" s="7" t="s">
        <v>16</v>
      </c>
      <c r="Q38759" s="7" t="n">
        <f t="normal" ca="1">32-LENB(INDIRECT(ADDRESS(38759,16)))</f>
        <v>0</v>
      </c>
      <c r="R38759" s="7" t="n">
        <v>7</v>
      </c>
      <c r="S38759" s="7" t="n">
        <v>65533</v>
      </c>
      <c r="T38759" s="7" t="n">
        <v>51900</v>
      </c>
      <c r="U38759" s="7" t="s">
        <v>16</v>
      </c>
      <c r="V38759" s="7" t="n">
        <f t="normal" ca="1">32-LENB(INDIRECT(ADDRESS(38759,21)))</f>
        <v>0</v>
      </c>
      <c r="W38759" s="7" t="n">
        <v>7</v>
      </c>
      <c r="X38759" s="7" t="n">
        <v>65533</v>
      </c>
      <c r="Y38759" s="7" t="n">
        <v>51901</v>
      </c>
      <c r="Z38759" s="7" t="s">
        <v>16</v>
      </c>
      <c r="AA38759" s="7" t="n">
        <f t="normal" ca="1">32-LENB(INDIRECT(ADDRESS(38759,26)))</f>
        <v>0</v>
      </c>
      <c r="AB38759" s="7" t="n">
        <v>7</v>
      </c>
      <c r="AC38759" s="7" t="n">
        <v>65533</v>
      </c>
      <c r="AD38759" s="7" t="n">
        <v>29516</v>
      </c>
      <c r="AE38759" s="7" t="s">
        <v>16</v>
      </c>
      <c r="AF38759" s="7" t="n">
        <f t="normal" ca="1">32-LENB(INDIRECT(ADDRESS(38759,31)))</f>
        <v>0</v>
      </c>
      <c r="AG38759" s="7" t="n">
        <v>7</v>
      </c>
      <c r="AH38759" s="7" t="n">
        <v>65533</v>
      </c>
      <c r="AI38759" s="7" t="n">
        <v>29517</v>
      </c>
      <c r="AJ38759" s="7" t="s">
        <v>16</v>
      </c>
      <c r="AK38759" s="7" t="n">
        <f t="normal" ca="1">32-LENB(INDIRECT(ADDRESS(38759,36)))</f>
        <v>0</v>
      </c>
      <c r="AL38759" s="7" t="n">
        <v>7</v>
      </c>
      <c r="AM38759" s="7" t="n">
        <v>65533</v>
      </c>
      <c r="AN38759" s="7" t="n">
        <v>29518</v>
      </c>
      <c r="AO38759" s="7" t="s">
        <v>16</v>
      </c>
      <c r="AP38759" s="7" t="n">
        <f t="normal" ca="1">32-LENB(INDIRECT(ADDRESS(38759,41)))</f>
        <v>0</v>
      </c>
      <c r="AQ38759" s="7" t="n">
        <v>7</v>
      </c>
      <c r="AR38759" s="7" t="n">
        <v>65533</v>
      </c>
      <c r="AS38759" s="7" t="n">
        <v>29519</v>
      </c>
      <c r="AT38759" s="7" t="s">
        <v>16</v>
      </c>
      <c r="AU38759" s="7" t="n">
        <f t="normal" ca="1">32-LENB(INDIRECT(ADDRESS(38759,46)))</f>
        <v>0</v>
      </c>
      <c r="AV38759" s="7" t="n">
        <v>4</v>
      </c>
      <c r="AW38759" s="7" t="n">
        <v>65533</v>
      </c>
      <c r="AX38759" s="7" t="n">
        <v>2072</v>
      </c>
      <c r="AY38759" s="7" t="s">
        <v>16</v>
      </c>
      <c r="AZ38759" s="7" t="n">
        <f t="normal" ca="1">32-LENB(INDIRECT(ADDRESS(38759,51)))</f>
        <v>0</v>
      </c>
      <c r="BA38759" s="7" t="n">
        <v>4</v>
      </c>
      <c r="BB38759" s="7" t="n">
        <v>65533</v>
      </c>
      <c r="BC38759" s="7" t="n">
        <v>2049</v>
      </c>
      <c r="BD38759" s="7" t="s">
        <v>16</v>
      </c>
      <c r="BE38759" s="7" t="n">
        <f t="normal" ca="1">32-LENB(INDIRECT(ADDRESS(38759,56)))</f>
        <v>0</v>
      </c>
      <c r="BF38759" s="7" t="n">
        <v>4</v>
      </c>
      <c r="BG38759" s="7" t="n">
        <v>65533</v>
      </c>
      <c r="BH38759" s="7" t="n">
        <v>2073</v>
      </c>
      <c r="BI38759" s="7" t="s">
        <v>16</v>
      </c>
      <c r="BJ38759" s="7" t="n">
        <f t="normal" ca="1">32-LENB(INDIRECT(ADDRESS(38759,61)))</f>
        <v>0</v>
      </c>
      <c r="BK38759" s="7" t="n">
        <v>7</v>
      </c>
      <c r="BL38759" s="7" t="n">
        <v>65533</v>
      </c>
      <c r="BM38759" s="7" t="n">
        <v>16425</v>
      </c>
      <c r="BN38759" s="7" t="s">
        <v>16</v>
      </c>
      <c r="BO38759" s="7" t="n">
        <f t="normal" ca="1">32-LENB(INDIRECT(ADDRESS(38759,66)))</f>
        <v>0</v>
      </c>
      <c r="BP38759" s="7" t="n">
        <v>7</v>
      </c>
      <c r="BQ38759" s="7" t="n">
        <v>65533</v>
      </c>
      <c r="BR38759" s="7" t="n">
        <v>16426</v>
      </c>
      <c r="BS38759" s="7" t="s">
        <v>16</v>
      </c>
      <c r="BT38759" s="7" t="n">
        <f t="normal" ca="1">32-LENB(INDIRECT(ADDRESS(38759,71)))</f>
        <v>0</v>
      </c>
      <c r="BU38759" s="7" t="n">
        <v>7</v>
      </c>
      <c r="BV38759" s="7" t="n">
        <v>65533</v>
      </c>
      <c r="BW38759" s="7" t="n">
        <v>16427</v>
      </c>
      <c r="BX38759" s="7" t="s">
        <v>16</v>
      </c>
      <c r="BY38759" s="7" t="n">
        <f t="normal" ca="1">32-LENB(INDIRECT(ADDRESS(38759,76)))</f>
        <v>0</v>
      </c>
      <c r="BZ38759" s="7" t="n">
        <v>7</v>
      </c>
      <c r="CA38759" s="7" t="n">
        <v>65533</v>
      </c>
      <c r="CB38759" s="7" t="n">
        <v>16428</v>
      </c>
      <c r="CC38759" s="7" t="s">
        <v>16</v>
      </c>
      <c r="CD38759" s="7" t="n">
        <f t="normal" ca="1">32-LENB(INDIRECT(ADDRESS(38759,81)))</f>
        <v>0</v>
      </c>
      <c r="CE38759" s="7" t="n">
        <v>7</v>
      </c>
      <c r="CF38759" s="7" t="n">
        <v>65533</v>
      </c>
      <c r="CG38759" s="7" t="n">
        <v>16429</v>
      </c>
      <c r="CH38759" s="7" t="s">
        <v>16</v>
      </c>
      <c r="CI38759" s="7" t="n">
        <f t="normal" ca="1">32-LENB(INDIRECT(ADDRESS(38759,86)))</f>
        <v>0</v>
      </c>
      <c r="CJ38759" s="7" t="n">
        <v>7</v>
      </c>
      <c r="CK38759" s="7" t="n">
        <v>65533</v>
      </c>
      <c r="CL38759" s="7" t="n">
        <v>16430</v>
      </c>
      <c r="CM38759" s="7" t="s">
        <v>16</v>
      </c>
      <c r="CN38759" s="7" t="n">
        <f t="normal" ca="1">32-LENB(INDIRECT(ADDRESS(38759,91)))</f>
        <v>0</v>
      </c>
      <c r="CO38759" s="7" t="n">
        <v>7</v>
      </c>
      <c r="CP38759" s="7" t="n">
        <v>65533</v>
      </c>
      <c r="CQ38759" s="7" t="n">
        <v>16431</v>
      </c>
      <c r="CR38759" s="7" t="s">
        <v>16</v>
      </c>
      <c r="CS38759" s="7" t="n">
        <f t="normal" ca="1">32-LENB(INDIRECT(ADDRESS(38759,96)))</f>
        <v>0</v>
      </c>
      <c r="CT38759" s="7" t="n">
        <v>7</v>
      </c>
      <c r="CU38759" s="7" t="n">
        <v>65533</v>
      </c>
      <c r="CV38759" s="7" t="n">
        <v>16432</v>
      </c>
      <c r="CW38759" s="7" t="s">
        <v>16</v>
      </c>
      <c r="CX38759" s="7" t="n">
        <f t="normal" ca="1">32-LENB(INDIRECT(ADDRESS(38759,101)))</f>
        <v>0</v>
      </c>
      <c r="CY38759" s="7" t="n">
        <v>7</v>
      </c>
      <c r="CZ38759" s="7" t="n">
        <v>65533</v>
      </c>
      <c r="DA38759" s="7" t="n">
        <v>16433</v>
      </c>
      <c r="DB38759" s="7" t="s">
        <v>16</v>
      </c>
      <c r="DC38759" s="7" t="n">
        <f t="normal" ca="1">32-LENB(INDIRECT(ADDRESS(38759,106)))</f>
        <v>0</v>
      </c>
      <c r="DD38759" s="7" t="n">
        <v>7</v>
      </c>
      <c r="DE38759" s="7" t="n">
        <v>65533</v>
      </c>
      <c r="DF38759" s="7" t="n">
        <v>16434</v>
      </c>
      <c r="DG38759" s="7" t="s">
        <v>16</v>
      </c>
      <c r="DH38759" s="7" t="n">
        <f t="normal" ca="1">32-LENB(INDIRECT(ADDRESS(38759,111)))</f>
        <v>0</v>
      </c>
      <c r="DI38759" s="7" t="n">
        <v>7</v>
      </c>
      <c r="DJ38759" s="7" t="n">
        <v>65533</v>
      </c>
      <c r="DK38759" s="7" t="n">
        <v>16435</v>
      </c>
      <c r="DL38759" s="7" t="s">
        <v>16</v>
      </c>
      <c r="DM38759" s="7" t="n">
        <f t="normal" ca="1">32-LENB(INDIRECT(ADDRESS(38759,116)))</f>
        <v>0</v>
      </c>
      <c r="DN38759" s="7" t="n">
        <v>7</v>
      </c>
      <c r="DO38759" s="7" t="n">
        <v>65533</v>
      </c>
      <c r="DP38759" s="7" t="n">
        <v>16436</v>
      </c>
      <c r="DQ38759" s="7" t="s">
        <v>16</v>
      </c>
      <c r="DR38759" s="7" t="n">
        <f t="normal" ca="1">32-LENB(INDIRECT(ADDRESS(38759,121)))</f>
        <v>0</v>
      </c>
      <c r="DS38759" s="7" t="n">
        <v>7</v>
      </c>
      <c r="DT38759" s="7" t="n">
        <v>65533</v>
      </c>
      <c r="DU38759" s="7" t="n">
        <v>16437</v>
      </c>
      <c r="DV38759" s="7" t="s">
        <v>16</v>
      </c>
      <c r="DW38759" s="7" t="n">
        <f t="normal" ca="1">32-LENB(INDIRECT(ADDRESS(38759,126)))</f>
        <v>0</v>
      </c>
      <c r="DX38759" s="7" t="n">
        <v>7</v>
      </c>
      <c r="DY38759" s="7" t="n">
        <v>65533</v>
      </c>
      <c r="DZ38759" s="7" t="n">
        <v>16954</v>
      </c>
      <c r="EA38759" s="7" t="s">
        <v>16</v>
      </c>
      <c r="EB38759" s="7" t="n">
        <f t="normal" ca="1">32-LENB(INDIRECT(ADDRESS(38759,131)))</f>
        <v>0</v>
      </c>
      <c r="EC38759" s="7" t="n">
        <v>7</v>
      </c>
      <c r="ED38759" s="7" t="n">
        <v>65533</v>
      </c>
      <c r="EE38759" s="7" t="n">
        <v>16438</v>
      </c>
      <c r="EF38759" s="7" t="s">
        <v>16</v>
      </c>
      <c r="EG38759" s="7" t="n">
        <f t="normal" ca="1">32-LENB(INDIRECT(ADDRESS(38759,136)))</f>
        <v>0</v>
      </c>
      <c r="EH38759" s="7" t="n">
        <v>7</v>
      </c>
      <c r="EI38759" s="7" t="n">
        <v>65533</v>
      </c>
      <c r="EJ38759" s="7" t="n">
        <v>16439</v>
      </c>
      <c r="EK38759" s="7" t="s">
        <v>16</v>
      </c>
      <c r="EL38759" s="7" t="n">
        <f t="normal" ca="1">32-LENB(INDIRECT(ADDRESS(38759,141)))</f>
        <v>0</v>
      </c>
      <c r="EM38759" s="7" t="n">
        <v>7</v>
      </c>
      <c r="EN38759" s="7" t="n">
        <v>65533</v>
      </c>
      <c r="EO38759" s="7" t="n">
        <v>16440</v>
      </c>
      <c r="EP38759" s="7" t="s">
        <v>16</v>
      </c>
      <c r="EQ38759" s="7" t="n">
        <f t="normal" ca="1">32-LENB(INDIRECT(ADDRESS(38759,146)))</f>
        <v>0</v>
      </c>
      <c r="ER38759" s="7" t="n">
        <v>7</v>
      </c>
      <c r="ES38759" s="7" t="n">
        <v>65533</v>
      </c>
      <c r="ET38759" s="7" t="n">
        <v>16441</v>
      </c>
      <c r="EU38759" s="7" t="s">
        <v>16</v>
      </c>
      <c r="EV38759" s="7" t="n">
        <f t="normal" ca="1">32-LENB(INDIRECT(ADDRESS(38759,151)))</f>
        <v>0</v>
      </c>
      <c r="EW38759" s="7" t="n">
        <v>4</v>
      </c>
      <c r="EX38759" s="7" t="n">
        <v>65533</v>
      </c>
      <c r="EY38759" s="7" t="n">
        <v>2081</v>
      </c>
      <c r="EZ38759" s="7" t="s">
        <v>16</v>
      </c>
      <c r="FA38759" s="7" t="n">
        <f t="normal" ca="1">32-LENB(INDIRECT(ADDRESS(38759,156)))</f>
        <v>0</v>
      </c>
      <c r="FB38759" s="7" t="n">
        <v>4</v>
      </c>
      <c r="FC38759" s="7" t="n">
        <v>65533</v>
      </c>
      <c r="FD38759" s="7" t="n">
        <v>2000</v>
      </c>
      <c r="FE38759" s="7" t="s">
        <v>16</v>
      </c>
      <c r="FF38759" s="7" t="n">
        <f t="normal" ca="1">32-LENB(INDIRECT(ADDRESS(38759,161)))</f>
        <v>0</v>
      </c>
      <c r="FG38759" s="7" t="n">
        <v>0</v>
      </c>
      <c r="FH38759" s="7" t="n">
        <v>65533</v>
      </c>
      <c r="FI38759" s="7" t="n">
        <v>0</v>
      </c>
      <c r="FJ38759" s="7" t="s">
        <v>16</v>
      </c>
      <c r="FK38759" s="7" t="n">
        <f t="normal" ca="1">32-LENB(INDIRECT(ADDRESS(38759,166)))</f>
        <v>0</v>
      </c>
    </row>
    <row r="38760" spans="1:9">
      <c r="A38760" t="s">
        <v>4</v>
      </c>
      <c r="B38760" s="4" t="s">
        <v>5</v>
      </c>
    </row>
    <row r="38761" spans="1:9">
      <c r="A38761" t="n">
        <v>384952</v>
      </c>
      <c r="B38761" s="5" t="n">
        <v>1</v>
      </c>
    </row>
    <row r="38762" spans="1:9" s="3" customFormat="1" customHeight="0">
      <c r="A38762" s="3" t="s">
        <v>2</v>
      </c>
      <c r="B38762" s="3" t="s">
        <v>1861</v>
      </c>
    </row>
    <row r="38763" spans="1:9">
      <c r="A38763" t="s">
        <v>4</v>
      </c>
      <c r="B38763" s="4" t="s">
        <v>5</v>
      </c>
      <c r="C38763" s="4" t="s">
        <v>11</v>
      </c>
      <c r="D38763" s="4" t="s">
        <v>11</v>
      </c>
      <c r="E38763" s="4" t="s">
        <v>15</v>
      </c>
      <c r="F38763" s="4" t="s">
        <v>8</v>
      </c>
      <c r="G38763" s="4" t="s">
        <v>1859</v>
      </c>
      <c r="H38763" s="4" t="s">
        <v>11</v>
      </c>
      <c r="I38763" s="4" t="s">
        <v>11</v>
      </c>
      <c r="J38763" s="4" t="s">
        <v>15</v>
      </c>
      <c r="K38763" s="4" t="s">
        <v>8</v>
      </c>
      <c r="L38763" s="4" t="s">
        <v>1859</v>
      </c>
      <c r="M38763" s="4" t="s">
        <v>11</v>
      </c>
      <c r="N38763" s="4" t="s">
        <v>11</v>
      </c>
      <c r="O38763" s="4" t="s">
        <v>15</v>
      </c>
      <c r="P38763" s="4" t="s">
        <v>8</v>
      </c>
      <c r="Q38763" s="4" t="s">
        <v>1859</v>
      </c>
      <c r="R38763" s="4" t="s">
        <v>11</v>
      </c>
      <c r="S38763" s="4" t="s">
        <v>11</v>
      </c>
      <c r="T38763" s="4" t="s">
        <v>15</v>
      </c>
      <c r="U38763" s="4" t="s">
        <v>8</v>
      </c>
      <c r="V38763" s="4" t="s">
        <v>1859</v>
      </c>
    </row>
    <row r="38764" spans="1:9">
      <c r="A38764" t="n">
        <v>384960</v>
      </c>
      <c r="B38764" s="85" t="n">
        <v>257</v>
      </c>
      <c r="C38764" s="7" t="n">
        <v>4</v>
      </c>
      <c r="D38764" s="7" t="n">
        <v>65533</v>
      </c>
      <c r="E38764" s="7" t="n">
        <v>12010</v>
      </c>
      <c r="F38764" s="7" t="s">
        <v>16</v>
      </c>
      <c r="G38764" s="7" t="n">
        <f t="normal" ca="1">32-LENB(INDIRECT(ADDRESS(38764,6)))</f>
        <v>0</v>
      </c>
      <c r="H38764" s="7" t="n">
        <v>4</v>
      </c>
      <c r="I38764" s="7" t="n">
        <v>65533</v>
      </c>
      <c r="J38764" s="7" t="n">
        <v>2002</v>
      </c>
      <c r="K38764" s="7" t="s">
        <v>16</v>
      </c>
      <c r="L38764" s="7" t="n">
        <f t="normal" ca="1">32-LENB(INDIRECT(ADDRESS(38764,11)))</f>
        <v>0</v>
      </c>
      <c r="M38764" s="7" t="n">
        <v>4</v>
      </c>
      <c r="N38764" s="7" t="n">
        <v>65533</v>
      </c>
      <c r="O38764" s="7" t="n">
        <v>12105</v>
      </c>
      <c r="P38764" s="7" t="s">
        <v>16</v>
      </c>
      <c r="Q38764" s="7" t="n">
        <f t="normal" ca="1">32-LENB(INDIRECT(ADDRESS(38764,16)))</f>
        <v>0</v>
      </c>
      <c r="R38764" s="7" t="n">
        <v>0</v>
      </c>
      <c r="S38764" s="7" t="n">
        <v>65533</v>
      </c>
      <c r="T38764" s="7" t="n">
        <v>0</v>
      </c>
      <c r="U38764" s="7" t="s">
        <v>16</v>
      </c>
      <c r="V38764" s="7" t="n">
        <f t="normal" ca="1">32-LENB(INDIRECT(ADDRESS(38764,21)))</f>
        <v>0</v>
      </c>
    </row>
    <row r="38765" spans="1:9">
      <c r="A38765" t="s">
        <v>4</v>
      </c>
      <c r="B38765" s="4" t="s">
        <v>5</v>
      </c>
    </row>
    <row r="38766" spans="1:9">
      <c r="A38766" t="n">
        <v>385120</v>
      </c>
      <c r="B38766" s="5" t="n">
        <v>1</v>
      </c>
    </row>
    <row r="38767" spans="1:9" s="3" customFormat="1" customHeight="0">
      <c r="A38767" s="3" t="s">
        <v>2</v>
      </c>
      <c r="B38767" s="3" t="s">
        <v>1862</v>
      </c>
    </row>
    <row r="38768" spans="1:9">
      <c r="A38768" t="s">
        <v>4</v>
      </c>
      <c r="B38768" s="4" t="s">
        <v>5</v>
      </c>
      <c r="C38768" s="4" t="s">
        <v>11</v>
      </c>
      <c r="D38768" s="4" t="s">
        <v>11</v>
      </c>
      <c r="E38768" s="4" t="s">
        <v>15</v>
      </c>
      <c r="F38768" s="4" t="s">
        <v>8</v>
      </c>
      <c r="G38768" s="4" t="s">
        <v>1859</v>
      </c>
      <c r="H38768" s="4" t="s">
        <v>11</v>
      </c>
      <c r="I38768" s="4" t="s">
        <v>11</v>
      </c>
      <c r="J38768" s="4" t="s">
        <v>15</v>
      </c>
      <c r="K38768" s="4" t="s">
        <v>8</v>
      </c>
      <c r="L38768" s="4" t="s">
        <v>1859</v>
      </c>
    </row>
    <row r="38769" spans="1:167">
      <c r="A38769" t="n">
        <v>385136</v>
      </c>
      <c r="B38769" s="85" t="n">
        <v>257</v>
      </c>
      <c r="C38769" s="7" t="n">
        <v>4</v>
      </c>
      <c r="D38769" s="7" t="n">
        <v>65533</v>
      </c>
      <c r="E38769" s="7" t="n">
        <v>12010</v>
      </c>
      <c r="F38769" s="7" t="s">
        <v>16</v>
      </c>
      <c r="G38769" s="7" t="n">
        <f t="normal" ca="1">32-LENB(INDIRECT(ADDRESS(38769,6)))</f>
        <v>0</v>
      </c>
      <c r="H38769" s="7" t="n">
        <v>0</v>
      </c>
      <c r="I38769" s="7" t="n">
        <v>65533</v>
      </c>
      <c r="J38769" s="7" t="n">
        <v>0</v>
      </c>
      <c r="K38769" s="7" t="s">
        <v>16</v>
      </c>
      <c r="L38769" s="7" t="n">
        <f t="normal" ca="1">32-LENB(INDIRECT(ADDRESS(38769,11)))</f>
        <v>0</v>
      </c>
    </row>
    <row r="38770" spans="1:167">
      <c r="A38770" t="s">
        <v>4</v>
      </c>
      <c r="B38770" s="4" t="s">
        <v>5</v>
      </c>
    </row>
    <row r="38771" spans="1:167">
      <c r="A38771" t="n">
        <v>385216</v>
      </c>
      <c r="B38771" s="5" t="n">
        <v>1</v>
      </c>
    </row>
    <row r="38772" spans="1:167" s="3" customFormat="1" customHeight="0">
      <c r="A38772" s="3" t="s">
        <v>2</v>
      </c>
      <c r="B38772" s="3" t="s">
        <v>1863</v>
      </c>
    </row>
    <row r="38773" spans="1:167">
      <c r="A38773" t="s">
        <v>4</v>
      </c>
      <c r="B38773" s="4" t="s">
        <v>5</v>
      </c>
      <c r="C38773" s="4" t="s">
        <v>11</v>
      </c>
      <c r="D38773" s="4" t="s">
        <v>11</v>
      </c>
      <c r="E38773" s="4" t="s">
        <v>15</v>
      </c>
      <c r="F38773" s="4" t="s">
        <v>8</v>
      </c>
      <c r="G38773" s="4" t="s">
        <v>1859</v>
      </c>
      <c r="H38773" s="4" t="s">
        <v>11</v>
      </c>
      <c r="I38773" s="4" t="s">
        <v>11</v>
      </c>
      <c r="J38773" s="4" t="s">
        <v>15</v>
      </c>
      <c r="K38773" s="4" t="s">
        <v>8</v>
      </c>
      <c r="L38773" s="4" t="s">
        <v>1859</v>
      </c>
      <c r="M38773" s="4" t="s">
        <v>11</v>
      </c>
      <c r="N38773" s="4" t="s">
        <v>11</v>
      </c>
      <c r="O38773" s="4" t="s">
        <v>15</v>
      </c>
      <c r="P38773" s="4" t="s">
        <v>8</v>
      </c>
      <c r="Q38773" s="4" t="s">
        <v>1859</v>
      </c>
      <c r="R38773" s="4" t="s">
        <v>11</v>
      </c>
      <c r="S38773" s="4" t="s">
        <v>11</v>
      </c>
      <c r="T38773" s="4" t="s">
        <v>15</v>
      </c>
      <c r="U38773" s="4" t="s">
        <v>8</v>
      </c>
      <c r="V38773" s="4" t="s">
        <v>1859</v>
      </c>
      <c r="W38773" s="4" t="s">
        <v>11</v>
      </c>
      <c r="X38773" s="4" t="s">
        <v>11</v>
      </c>
      <c r="Y38773" s="4" t="s">
        <v>15</v>
      </c>
      <c r="Z38773" s="4" t="s">
        <v>8</v>
      </c>
      <c r="AA38773" s="4" t="s">
        <v>1859</v>
      </c>
      <c r="AB38773" s="4" t="s">
        <v>11</v>
      </c>
      <c r="AC38773" s="4" t="s">
        <v>11</v>
      </c>
      <c r="AD38773" s="4" t="s">
        <v>15</v>
      </c>
      <c r="AE38773" s="4" t="s">
        <v>8</v>
      </c>
      <c r="AF38773" s="4" t="s">
        <v>1859</v>
      </c>
      <c r="AG38773" s="4" t="s">
        <v>11</v>
      </c>
      <c r="AH38773" s="4" t="s">
        <v>11</v>
      </c>
      <c r="AI38773" s="4" t="s">
        <v>15</v>
      </c>
      <c r="AJ38773" s="4" t="s">
        <v>8</v>
      </c>
      <c r="AK38773" s="4" t="s">
        <v>1859</v>
      </c>
      <c r="AL38773" s="4" t="s">
        <v>11</v>
      </c>
      <c r="AM38773" s="4" t="s">
        <v>11</v>
      </c>
      <c r="AN38773" s="4" t="s">
        <v>15</v>
      </c>
      <c r="AO38773" s="4" t="s">
        <v>8</v>
      </c>
      <c r="AP38773" s="4" t="s">
        <v>1859</v>
      </c>
      <c r="AQ38773" s="4" t="s">
        <v>11</v>
      </c>
      <c r="AR38773" s="4" t="s">
        <v>11</v>
      </c>
      <c r="AS38773" s="4" t="s">
        <v>15</v>
      </c>
      <c r="AT38773" s="4" t="s">
        <v>8</v>
      </c>
      <c r="AU38773" s="4" t="s">
        <v>1859</v>
      </c>
      <c r="AV38773" s="4" t="s">
        <v>11</v>
      </c>
      <c r="AW38773" s="4" t="s">
        <v>11</v>
      </c>
      <c r="AX38773" s="4" t="s">
        <v>15</v>
      </c>
      <c r="AY38773" s="4" t="s">
        <v>8</v>
      </c>
      <c r="AZ38773" s="4" t="s">
        <v>1859</v>
      </c>
      <c r="BA38773" s="4" t="s">
        <v>11</v>
      </c>
      <c r="BB38773" s="4" t="s">
        <v>11</v>
      </c>
      <c r="BC38773" s="4" t="s">
        <v>15</v>
      </c>
      <c r="BD38773" s="4" t="s">
        <v>8</v>
      </c>
      <c r="BE38773" s="4" t="s">
        <v>1859</v>
      </c>
      <c r="BF38773" s="4" t="s">
        <v>11</v>
      </c>
      <c r="BG38773" s="4" t="s">
        <v>11</v>
      </c>
      <c r="BH38773" s="4" t="s">
        <v>15</v>
      </c>
      <c r="BI38773" s="4" t="s">
        <v>8</v>
      </c>
      <c r="BJ38773" s="4" t="s">
        <v>1859</v>
      </c>
      <c r="BK38773" s="4" t="s">
        <v>11</v>
      </c>
      <c r="BL38773" s="4" t="s">
        <v>11</v>
      </c>
      <c r="BM38773" s="4" t="s">
        <v>15</v>
      </c>
      <c r="BN38773" s="4" t="s">
        <v>8</v>
      </c>
      <c r="BO38773" s="4" t="s">
        <v>1859</v>
      </c>
      <c r="BP38773" s="4" t="s">
        <v>11</v>
      </c>
      <c r="BQ38773" s="4" t="s">
        <v>11</v>
      </c>
      <c r="BR38773" s="4" t="s">
        <v>15</v>
      </c>
      <c r="BS38773" s="4" t="s">
        <v>8</v>
      </c>
      <c r="BT38773" s="4" t="s">
        <v>1859</v>
      </c>
      <c r="BU38773" s="4" t="s">
        <v>11</v>
      </c>
      <c r="BV38773" s="4" t="s">
        <v>11</v>
      </c>
      <c r="BW38773" s="4" t="s">
        <v>15</v>
      </c>
      <c r="BX38773" s="4" t="s">
        <v>8</v>
      </c>
      <c r="BY38773" s="4" t="s">
        <v>1859</v>
      </c>
      <c r="BZ38773" s="4" t="s">
        <v>11</v>
      </c>
      <c r="CA38773" s="4" t="s">
        <v>11</v>
      </c>
      <c r="CB38773" s="4" t="s">
        <v>15</v>
      </c>
      <c r="CC38773" s="4" t="s">
        <v>8</v>
      </c>
      <c r="CD38773" s="4" t="s">
        <v>1859</v>
      </c>
      <c r="CE38773" s="4" t="s">
        <v>11</v>
      </c>
      <c r="CF38773" s="4" t="s">
        <v>11</v>
      </c>
      <c r="CG38773" s="4" t="s">
        <v>15</v>
      </c>
      <c r="CH38773" s="4" t="s">
        <v>8</v>
      </c>
      <c r="CI38773" s="4" t="s">
        <v>1859</v>
      </c>
      <c r="CJ38773" s="4" t="s">
        <v>11</v>
      </c>
      <c r="CK38773" s="4" t="s">
        <v>11</v>
      </c>
      <c r="CL38773" s="4" t="s">
        <v>15</v>
      </c>
      <c r="CM38773" s="4" t="s">
        <v>8</v>
      </c>
      <c r="CN38773" s="4" t="s">
        <v>1859</v>
      </c>
      <c r="CO38773" s="4" t="s">
        <v>11</v>
      </c>
      <c r="CP38773" s="4" t="s">
        <v>11</v>
      </c>
      <c r="CQ38773" s="4" t="s">
        <v>15</v>
      </c>
      <c r="CR38773" s="4" t="s">
        <v>8</v>
      </c>
      <c r="CS38773" s="4" t="s">
        <v>1859</v>
      </c>
      <c r="CT38773" s="4" t="s">
        <v>11</v>
      </c>
      <c r="CU38773" s="4" t="s">
        <v>11</v>
      </c>
      <c r="CV38773" s="4" t="s">
        <v>15</v>
      </c>
      <c r="CW38773" s="4" t="s">
        <v>8</v>
      </c>
      <c r="CX38773" s="4" t="s">
        <v>1859</v>
      </c>
      <c r="CY38773" s="4" t="s">
        <v>11</v>
      </c>
      <c r="CZ38773" s="4" t="s">
        <v>11</v>
      </c>
      <c r="DA38773" s="4" t="s">
        <v>15</v>
      </c>
      <c r="DB38773" s="4" t="s">
        <v>8</v>
      </c>
      <c r="DC38773" s="4" t="s">
        <v>1859</v>
      </c>
      <c r="DD38773" s="4" t="s">
        <v>11</v>
      </c>
      <c r="DE38773" s="4" t="s">
        <v>11</v>
      </c>
      <c r="DF38773" s="4" t="s">
        <v>15</v>
      </c>
      <c r="DG38773" s="4" t="s">
        <v>8</v>
      </c>
      <c r="DH38773" s="4" t="s">
        <v>1859</v>
      </c>
      <c r="DI38773" s="4" t="s">
        <v>11</v>
      </c>
      <c r="DJ38773" s="4" t="s">
        <v>11</v>
      </c>
      <c r="DK38773" s="4" t="s">
        <v>15</v>
      </c>
      <c r="DL38773" s="4" t="s">
        <v>8</v>
      </c>
      <c r="DM38773" s="4" t="s">
        <v>1859</v>
      </c>
      <c r="DN38773" s="4" t="s">
        <v>11</v>
      </c>
      <c r="DO38773" s="4" t="s">
        <v>11</v>
      </c>
      <c r="DP38773" s="4" t="s">
        <v>15</v>
      </c>
      <c r="DQ38773" s="4" t="s">
        <v>8</v>
      </c>
      <c r="DR38773" s="4" t="s">
        <v>1859</v>
      </c>
      <c r="DS38773" s="4" t="s">
        <v>11</v>
      </c>
      <c r="DT38773" s="4" t="s">
        <v>11</v>
      </c>
      <c r="DU38773" s="4" t="s">
        <v>15</v>
      </c>
      <c r="DV38773" s="4" t="s">
        <v>8</v>
      </c>
      <c r="DW38773" s="4" t="s">
        <v>1859</v>
      </c>
      <c r="DX38773" s="4" t="s">
        <v>11</v>
      </c>
      <c r="DY38773" s="4" t="s">
        <v>11</v>
      </c>
      <c r="DZ38773" s="4" t="s">
        <v>15</v>
      </c>
      <c r="EA38773" s="4" t="s">
        <v>8</v>
      </c>
      <c r="EB38773" s="4" t="s">
        <v>1859</v>
      </c>
      <c r="EC38773" s="4" t="s">
        <v>11</v>
      </c>
      <c r="ED38773" s="4" t="s">
        <v>11</v>
      </c>
      <c r="EE38773" s="4" t="s">
        <v>15</v>
      </c>
      <c r="EF38773" s="4" t="s">
        <v>8</v>
      </c>
      <c r="EG38773" s="4" t="s">
        <v>1859</v>
      </c>
      <c r="EH38773" s="4" t="s">
        <v>11</v>
      </c>
      <c r="EI38773" s="4" t="s">
        <v>11</v>
      </c>
      <c r="EJ38773" s="4" t="s">
        <v>15</v>
      </c>
      <c r="EK38773" s="4" t="s">
        <v>8</v>
      </c>
      <c r="EL38773" s="4" t="s">
        <v>1859</v>
      </c>
      <c r="EM38773" s="4" t="s">
        <v>11</v>
      </c>
      <c r="EN38773" s="4" t="s">
        <v>11</v>
      </c>
      <c r="EO38773" s="4" t="s">
        <v>15</v>
      </c>
      <c r="EP38773" s="4" t="s">
        <v>8</v>
      </c>
      <c r="EQ38773" s="4" t="s">
        <v>1859</v>
      </c>
      <c r="ER38773" s="4" t="s">
        <v>11</v>
      </c>
      <c r="ES38773" s="4" t="s">
        <v>11</v>
      </c>
      <c r="ET38773" s="4" t="s">
        <v>15</v>
      </c>
      <c r="EU38773" s="4" t="s">
        <v>8</v>
      </c>
      <c r="EV38773" s="4" t="s">
        <v>1859</v>
      </c>
      <c r="EW38773" s="4" t="s">
        <v>11</v>
      </c>
      <c r="EX38773" s="4" t="s">
        <v>11</v>
      </c>
      <c r="EY38773" s="4" t="s">
        <v>15</v>
      </c>
      <c r="EZ38773" s="4" t="s">
        <v>8</v>
      </c>
      <c r="FA38773" s="4" t="s">
        <v>1859</v>
      </c>
      <c r="FB38773" s="4" t="s">
        <v>11</v>
      </c>
      <c r="FC38773" s="4" t="s">
        <v>11</v>
      </c>
      <c r="FD38773" s="4" t="s">
        <v>15</v>
      </c>
      <c r="FE38773" s="4" t="s">
        <v>8</v>
      </c>
      <c r="FF38773" s="4" t="s">
        <v>1859</v>
      </c>
      <c r="FG38773" s="4" t="s">
        <v>11</v>
      </c>
      <c r="FH38773" s="4" t="s">
        <v>11</v>
      </c>
      <c r="FI38773" s="4" t="s">
        <v>15</v>
      </c>
      <c r="FJ38773" s="4" t="s">
        <v>8</v>
      </c>
      <c r="FK38773" s="4" t="s">
        <v>1859</v>
      </c>
      <c r="FL38773" s="4" t="s">
        <v>11</v>
      </c>
      <c r="FM38773" s="4" t="s">
        <v>11</v>
      </c>
      <c r="FN38773" s="4" t="s">
        <v>15</v>
      </c>
      <c r="FO38773" s="4" t="s">
        <v>8</v>
      </c>
      <c r="FP38773" s="4" t="s">
        <v>1859</v>
      </c>
      <c r="FQ38773" s="4" t="s">
        <v>11</v>
      </c>
      <c r="FR38773" s="4" t="s">
        <v>11</v>
      </c>
      <c r="FS38773" s="4" t="s">
        <v>15</v>
      </c>
      <c r="FT38773" s="4" t="s">
        <v>8</v>
      </c>
      <c r="FU38773" s="4" t="s">
        <v>1859</v>
      </c>
      <c r="FV38773" s="4" t="s">
        <v>11</v>
      </c>
      <c r="FW38773" s="4" t="s">
        <v>11</v>
      </c>
      <c r="FX38773" s="4" t="s">
        <v>15</v>
      </c>
      <c r="FY38773" s="4" t="s">
        <v>8</v>
      </c>
      <c r="FZ38773" s="4" t="s">
        <v>1859</v>
      </c>
      <c r="GA38773" s="4" t="s">
        <v>11</v>
      </c>
      <c r="GB38773" s="4" t="s">
        <v>11</v>
      </c>
      <c r="GC38773" s="4" t="s">
        <v>15</v>
      </c>
      <c r="GD38773" s="4" t="s">
        <v>8</v>
      </c>
      <c r="GE38773" s="4" t="s">
        <v>1859</v>
      </c>
      <c r="GF38773" s="4" t="s">
        <v>11</v>
      </c>
      <c r="GG38773" s="4" t="s">
        <v>11</v>
      </c>
      <c r="GH38773" s="4" t="s">
        <v>15</v>
      </c>
      <c r="GI38773" s="4" t="s">
        <v>8</v>
      </c>
      <c r="GJ38773" s="4" t="s">
        <v>1859</v>
      </c>
      <c r="GK38773" s="4" t="s">
        <v>11</v>
      </c>
      <c r="GL38773" s="4" t="s">
        <v>11</v>
      </c>
      <c r="GM38773" s="4" t="s">
        <v>15</v>
      </c>
      <c r="GN38773" s="4" t="s">
        <v>8</v>
      </c>
      <c r="GO38773" s="4" t="s">
        <v>1859</v>
      </c>
      <c r="GP38773" s="4" t="s">
        <v>11</v>
      </c>
      <c r="GQ38773" s="4" t="s">
        <v>11</v>
      </c>
      <c r="GR38773" s="4" t="s">
        <v>15</v>
      </c>
      <c r="GS38773" s="4" t="s">
        <v>8</v>
      </c>
      <c r="GT38773" s="4" t="s">
        <v>1859</v>
      </c>
      <c r="GU38773" s="4" t="s">
        <v>11</v>
      </c>
      <c r="GV38773" s="4" t="s">
        <v>11</v>
      </c>
      <c r="GW38773" s="4" t="s">
        <v>15</v>
      </c>
      <c r="GX38773" s="4" t="s">
        <v>8</v>
      </c>
      <c r="GY38773" s="4" t="s">
        <v>1859</v>
      </c>
      <c r="GZ38773" s="4" t="s">
        <v>11</v>
      </c>
      <c r="HA38773" s="4" t="s">
        <v>11</v>
      </c>
      <c r="HB38773" s="4" t="s">
        <v>15</v>
      </c>
      <c r="HC38773" s="4" t="s">
        <v>8</v>
      </c>
      <c r="HD38773" s="4" t="s">
        <v>1859</v>
      </c>
      <c r="HE38773" s="4" t="s">
        <v>11</v>
      </c>
      <c r="HF38773" s="4" t="s">
        <v>11</v>
      </c>
      <c r="HG38773" s="4" t="s">
        <v>15</v>
      </c>
      <c r="HH38773" s="4" t="s">
        <v>8</v>
      </c>
      <c r="HI38773" s="4" t="s">
        <v>1859</v>
      </c>
      <c r="HJ38773" s="4" t="s">
        <v>11</v>
      </c>
      <c r="HK38773" s="4" t="s">
        <v>11</v>
      </c>
      <c r="HL38773" s="4" t="s">
        <v>15</v>
      </c>
      <c r="HM38773" s="4" t="s">
        <v>8</v>
      </c>
      <c r="HN38773" s="4" t="s">
        <v>1859</v>
      </c>
      <c r="HO38773" s="4" t="s">
        <v>11</v>
      </c>
      <c r="HP38773" s="4" t="s">
        <v>11</v>
      </c>
      <c r="HQ38773" s="4" t="s">
        <v>15</v>
      </c>
      <c r="HR38773" s="4" t="s">
        <v>8</v>
      </c>
      <c r="HS38773" s="4" t="s">
        <v>1859</v>
      </c>
      <c r="HT38773" s="4" t="s">
        <v>11</v>
      </c>
      <c r="HU38773" s="4" t="s">
        <v>11</v>
      </c>
      <c r="HV38773" s="4" t="s">
        <v>15</v>
      </c>
      <c r="HW38773" s="4" t="s">
        <v>8</v>
      </c>
      <c r="HX38773" s="4" t="s">
        <v>1859</v>
      </c>
      <c r="HY38773" s="4" t="s">
        <v>11</v>
      </c>
      <c r="HZ38773" s="4" t="s">
        <v>11</v>
      </c>
      <c r="IA38773" s="4" t="s">
        <v>15</v>
      </c>
      <c r="IB38773" s="4" t="s">
        <v>8</v>
      </c>
      <c r="IC38773" s="4" t="s">
        <v>1859</v>
      </c>
      <c r="ID38773" s="4" t="s">
        <v>11</v>
      </c>
      <c r="IE38773" s="4" t="s">
        <v>11</v>
      </c>
      <c r="IF38773" s="4" t="s">
        <v>15</v>
      </c>
      <c r="IG38773" s="4" t="s">
        <v>8</v>
      </c>
      <c r="IH38773" s="4" t="s">
        <v>1859</v>
      </c>
      <c r="II38773" s="4" t="s">
        <v>11</v>
      </c>
      <c r="IJ38773" s="4" t="s">
        <v>11</v>
      </c>
      <c r="IK38773" s="4" t="s">
        <v>15</v>
      </c>
      <c r="IL38773" s="4" t="s">
        <v>8</v>
      </c>
      <c r="IM38773" s="4" t="s">
        <v>1859</v>
      </c>
      <c r="IN38773" s="4" t="s">
        <v>11</v>
      </c>
      <c r="IO38773" s="4" t="s">
        <v>11</v>
      </c>
      <c r="IP38773" s="4" t="s">
        <v>15</v>
      </c>
      <c r="IQ38773" s="4" t="s">
        <v>8</v>
      </c>
      <c r="IR38773" s="4" t="s">
        <v>1859</v>
      </c>
      <c r="IS38773" s="4" t="s">
        <v>11</v>
      </c>
      <c r="IT38773" s="4" t="s">
        <v>11</v>
      </c>
      <c r="IU38773" s="4" t="s">
        <v>15</v>
      </c>
      <c r="IV38773" s="4" t="s">
        <v>8</v>
      </c>
      <c r="IW38773" s="4" t="s">
        <v>1859</v>
      </c>
      <c r="IX38773" s="4" t="s">
        <v>11</v>
      </c>
      <c r="IY38773" s="4" t="s">
        <v>11</v>
      </c>
      <c r="IZ38773" s="4" t="s">
        <v>15</v>
      </c>
      <c r="JA38773" s="4" t="s">
        <v>8</v>
      </c>
      <c r="JB38773" s="4" t="s">
        <v>1859</v>
      </c>
      <c r="JC38773" s="4" t="s">
        <v>11</v>
      </c>
      <c r="JD38773" s="4" t="s">
        <v>11</v>
      </c>
      <c r="JE38773" s="4" t="s">
        <v>15</v>
      </c>
      <c r="JF38773" s="4" t="s">
        <v>8</v>
      </c>
      <c r="JG38773" s="4" t="s">
        <v>1859</v>
      </c>
      <c r="JH38773" s="4" t="s">
        <v>11</v>
      </c>
      <c r="JI38773" s="4" t="s">
        <v>11</v>
      </c>
      <c r="JJ38773" s="4" t="s">
        <v>15</v>
      </c>
      <c r="JK38773" s="4" t="s">
        <v>8</v>
      </c>
      <c r="JL38773" s="4" t="s">
        <v>1859</v>
      </c>
      <c r="JM38773" s="4" t="s">
        <v>11</v>
      </c>
      <c r="JN38773" s="4" t="s">
        <v>11</v>
      </c>
      <c r="JO38773" s="4" t="s">
        <v>15</v>
      </c>
      <c r="JP38773" s="4" t="s">
        <v>8</v>
      </c>
      <c r="JQ38773" s="4" t="s">
        <v>1859</v>
      </c>
      <c r="JR38773" s="4" t="s">
        <v>11</v>
      </c>
      <c r="JS38773" s="4" t="s">
        <v>11</v>
      </c>
      <c r="JT38773" s="4" t="s">
        <v>15</v>
      </c>
      <c r="JU38773" s="4" t="s">
        <v>8</v>
      </c>
      <c r="JV38773" s="4" t="s">
        <v>1859</v>
      </c>
      <c r="JW38773" s="4" t="s">
        <v>11</v>
      </c>
      <c r="JX38773" s="4" t="s">
        <v>11</v>
      </c>
      <c r="JY38773" s="4" t="s">
        <v>15</v>
      </c>
      <c r="JZ38773" s="4" t="s">
        <v>8</v>
      </c>
      <c r="KA38773" s="4" t="s">
        <v>1859</v>
      </c>
      <c r="KB38773" s="4" t="s">
        <v>11</v>
      </c>
      <c r="KC38773" s="4" t="s">
        <v>11</v>
      </c>
      <c r="KD38773" s="4" t="s">
        <v>15</v>
      </c>
      <c r="KE38773" s="4" t="s">
        <v>8</v>
      </c>
      <c r="KF38773" s="4" t="s">
        <v>1859</v>
      </c>
      <c r="KG38773" s="4" t="s">
        <v>11</v>
      </c>
      <c r="KH38773" s="4" t="s">
        <v>11</v>
      </c>
      <c r="KI38773" s="4" t="s">
        <v>15</v>
      </c>
      <c r="KJ38773" s="4" t="s">
        <v>8</v>
      </c>
      <c r="KK38773" s="4" t="s">
        <v>1859</v>
      </c>
      <c r="KL38773" s="4" t="s">
        <v>11</v>
      </c>
      <c r="KM38773" s="4" t="s">
        <v>11</v>
      </c>
      <c r="KN38773" s="4" t="s">
        <v>15</v>
      </c>
      <c r="KO38773" s="4" t="s">
        <v>8</v>
      </c>
      <c r="KP38773" s="4" t="s">
        <v>1859</v>
      </c>
      <c r="KQ38773" s="4" t="s">
        <v>11</v>
      </c>
      <c r="KR38773" s="4" t="s">
        <v>11</v>
      </c>
      <c r="KS38773" s="4" t="s">
        <v>15</v>
      </c>
      <c r="KT38773" s="4" t="s">
        <v>8</v>
      </c>
      <c r="KU38773" s="4" t="s">
        <v>1859</v>
      </c>
      <c r="KV38773" s="4" t="s">
        <v>11</v>
      </c>
      <c r="KW38773" s="4" t="s">
        <v>11</v>
      </c>
      <c r="KX38773" s="4" t="s">
        <v>15</v>
      </c>
      <c r="KY38773" s="4" t="s">
        <v>8</v>
      </c>
      <c r="KZ38773" s="4" t="s">
        <v>1859</v>
      </c>
      <c r="LA38773" s="4" t="s">
        <v>11</v>
      </c>
      <c r="LB38773" s="4" t="s">
        <v>11</v>
      </c>
      <c r="LC38773" s="4" t="s">
        <v>15</v>
      </c>
      <c r="LD38773" s="4" t="s">
        <v>8</v>
      </c>
      <c r="LE38773" s="4" t="s">
        <v>1859</v>
      </c>
      <c r="LF38773" s="4" t="s">
        <v>11</v>
      </c>
      <c r="LG38773" s="4" t="s">
        <v>11</v>
      </c>
      <c r="LH38773" s="4" t="s">
        <v>15</v>
      </c>
      <c r="LI38773" s="4" t="s">
        <v>8</v>
      </c>
      <c r="LJ38773" s="4" t="s">
        <v>1859</v>
      </c>
      <c r="LK38773" s="4" t="s">
        <v>11</v>
      </c>
      <c r="LL38773" s="4" t="s">
        <v>11</v>
      </c>
      <c r="LM38773" s="4" t="s">
        <v>15</v>
      </c>
      <c r="LN38773" s="4" t="s">
        <v>8</v>
      </c>
      <c r="LO38773" s="4" t="s">
        <v>1859</v>
      </c>
      <c r="LP38773" s="4" t="s">
        <v>11</v>
      </c>
      <c r="LQ38773" s="4" t="s">
        <v>11</v>
      </c>
      <c r="LR38773" s="4" t="s">
        <v>15</v>
      </c>
      <c r="LS38773" s="4" t="s">
        <v>8</v>
      </c>
      <c r="LT38773" s="4" t="s">
        <v>1859</v>
      </c>
      <c r="LU38773" s="4" t="s">
        <v>11</v>
      </c>
      <c r="LV38773" s="4" t="s">
        <v>11</v>
      </c>
      <c r="LW38773" s="4" t="s">
        <v>15</v>
      </c>
      <c r="LX38773" s="4" t="s">
        <v>8</v>
      </c>
      <c r="LY38773" s="4" t="s">
        <v>1859</v>
      </c>
      <c r="LZ38773" s="4" t="s">
        <v>11</v>
      </c>
      <c r="MA38773" s="4" t="s">
        <v>11</v>
      </c>
      <c r="MB38773" s="4" t="s">
        <v>15</v>
      </c>
      <c r="MC38773" s="4" t="s">
        <v>8</v>
      </c>
      <c r="MD38773" s="4" t="s">
        <v>1859</v>
      </c>
      <c r="ME38773" s="4" t="s">
        <v>11</v>
      </c>
      <c r="MF38773" s="4" t="s">
        <v>11</v>
      </c>
      <c r="MG38773" s="4" t="s">
        <v>15</v>
      </c>
      <c r="MH38773" s="4" t="s">
        <v>8</v>
      </c>
      <c r="MI38773" s="4" t="s">
        <v>1859</v>
      </c>
      <c r="MJ38773" s="4" t="s">
        <v>11</v>
      </c>
      <c r="MK38773" s="4" t="s">
        <v>11</v>
      </c>
      <c r="ML38773" s="4" t="s">
        <v>15</v>
      </c>
      <c r="MM38773" s="4" t="s">
        <v>8</v>
      </c>
      <c r="MN38773" s="4" t="s">
        <v>1859</v>
      </c>
      <c r="MO38773" s="4" t="s">
        <v>11</v>
      </c>
      <c r="MP38773" s="4" t="s">
        <v>11</v>
      </c>
      <c r="MQ38773" s="4" t="s">
        <v>15</v>
      </c>
      <c r="MR38773" s="4" t="s">
        <v>8</v>
      </c>
      <c r="MS38773" s="4" t="s">
        <v>1859</v>
      </c>
      <c r="MT38773" s="4" t="s">
        <v>11</v>
      </c>
      <c r="MU38773" s="4" t="s">
        <v>11</v>
      </c>
      <c r="MV38773" s="4" t="s">
        <v>15</v>
      </c>
      <c r="MW38773" s="4" t="s">
        <v>8</v>
      </c>
      <c r="MX38773" s="4" t="s">
        <v>1859</v>
      </c>
      <c r="MY38773" s="4" t="s">
        <v>11</v>
      </c>
      <c r="MZ38773" s="4" t="s">
        <v>11</v>
      </c>
      <c r="NA38773" s="4" t="s">
        <v>15</v>
      </c>
      <c r="NB38773" s="4" t="s">
        <v>8</v>
      </c>
      <c r="NC38773" s="4" t="s">
        <v>1859</v>
      </c>
      <c r="ND38773" s="4" t="s">
        <v>11</v>
      </c>
      <c r="NE38773" s="4" t="s">
        <v>11</v>
      </c>
      <c r="NF38773" s="4" t="s">
        <v>15</v>
      </c>
      <c r="NG38773" s="4" t="s">
        <v>8</v>
      </c>
      <c r="NH38773" s="4" t="s">
        <v>1859</v>
      </c>
      <c r="NI38773" s="4" t="s">
        <v>11</v>
      </c>
      <c r="NJ38773" s="4" t="s">
        <v>11</v>
      </c>
      <c r="NK38773" s="4" t="s">
        <v>15</v>
      </c>
      <c r="NL38773" s="4" t="s">
        <v>8</v>
      </c>
      <c r="NM38773" s="4" t="s">
        <v>1859</v>
      </c>
      <c r="NN38773" s="4" t="s">
        <v>11</v>
      </c>
      <c r="NO38773" s="4" t="s">
        <v>11</v>
      </c>
      <c r="NP38773" s="4" t="s">
        <v>15</v>
      </c>
      <c r="NQ38773" s="4" t="s">
        <v>8</v>
      </c>
      <c r="NR38773" s="4" t="s">
        <v>1859</v>
      </c>
      <c r="NS38773" s="4" t="s">
        <v>11</v>
      </c>
      <c r="NT38773" s="4" t="s">
        <v>11</v>
      </c>
      <c r="NU38773" s="4" t="s">
        <v>15</v>
      </c>
      <c r="NV38773" s="4" t="s">
        <v>8</v>
      </c>
      <c r="NW38773" s="4" t="s">
        <v>1859</v>
      </c>
      <c r="NX38773" s="4" t="s">
        <v>11</v>
      </c>
      <c r="NY38773" s="4" t="s">
        <v>11</v>
      </c>
      <c r="NZ38773" s="4" t="s">
        <v>15</v>
      </c>
      <c r="OA38773" s="4" t="s">
        <v>8</v>
      </c>
      <c r="OB38773" s="4" t="s">
        <v>1859</v>
      </c>
      <c r="OC38773" s="4" t="s">
        <v>11</v>
      </c>
      <c r="OD38773" s="4" t="s">
        <v>11</v>
      </c>
      <c r="OE38773" s="4" t="s">
        <v>15</v>
      </c>
      <c r="OF38773" s="4" t="s">
        <v>8</v>
      </c>
      <c r="OG38773" s="4" t="s">
        <v>1859</v>
      </c>
      <c r="OH38773" s="4" t="s">
        <v>11</v>
      </c>
      <c r="OI38773" s="4" t="s">
        <v>11</v>
      </c>
      <c r="OJ38773" s="4" t="s">
        <v>15</v>
      </c>
      <c r="OK38773" s="4" t="s">
        <v>8</v>
      </c>
      <c r="OL38773" s="4" t="s">
        <v>1859</v>
      </c>
      <c r="OM38773" s="4" t="s">
        <v>11</v>
      </c>
      <c r="ON38773" s="4" t="s">
        <v>11</v>
      </c>
      <c r="OO38773" s="4" t="s">
        <v>15</v>
      </c>
      <c r="OP38773" s="4" t="s">
        <v>8</v>
      </c>
      <c r="OQ38773" s="4" t="s">
        <v>1859</v>
      </c>
    </row>
    <row r="38774" spans="1:167">
      <c r="A38774" t="n">
        <v>385232</v>
      </c>
      <c r="B38774" s="85" t="n">
        <v>257</v>
      </c>
      <c r="C38774" s="7" t="n">
        <v>7</v>
      </c>
      <c r="D38774" s="7" t="n">
        <v>65533</v>
      </c>
      <c r="E38774" s="7" t="n">
        <v>63768</v>
      </c>
      <c r="F38774" s="7" t="s">
        <v>16</v>
      </c>
      <c r="G38774" s="7" t="n">
        <f t="normal" ca="1">32-LENB(INDIRECT(ADDRESS(38774,6)))</f>
        <v>0</v>
      </c>
      <c r="H38774" s="7" t="n">
        <v>7</v>
      </c>
      <c r="I38774" s="7" t="n">
        <v>65533</v>
      </c>
      <c r="J38774" s="7" t="n">
        <v>63769</v>
      </c>
      <c r="K38774" s="7" t="s">
        <v>16</v>
      </c>
      <c r="L38774" s="7" t="n">
        <f t="normal" ca="1">32-LENB(INDIRECT(ADDRESS(38774,11)))</f>
        <v>0</v>
      </c>
      <c r="M38774" s="7" t="n">
        <v>7</v>
      </c>
      <c r="N38774" s="7" t="n">
        <v>65533</v>
      </c>
      <c r="O38774" s="7" t="n">
        <v>63770</v>
      </c>
      <c r="P38774" s="7" t="s">
        <v>16</v>
      </c>
      <c r="Q38774" s="7" t="n">
        <f t="normal" ca="1">32-LENB(INDIRECT(ADDRESS(38774,16)))</f>
        <v>0</v>
      </c>
      <c r="R38774" s="7" t="n">
        <v>7</v>
      </c>
      <c r="S38774" s="7" t="n">
        <v>65533</v>
      </c>
      <c r="T38774" s="7" t="n">
        <v>63771</v>
      </c>
      <c r="U38774" s="7" t="s">
        <v>16</v>
      </c>
      <c r="V38774" s="7" t="n">
        <f t="normal" ca="1">32-LENB(INDIRECT(ADDRESS(38774,21)))</f>
        <v>0</v>
      </c>
      <c r="W38774" s="7" t="n">
        <v>7</v>
      </c>
      <c r="X38774" s="7" t="n">
        <v>65533</v>
      </c>
      <c r="Y38774" s="7" t="n">
        <v>63772</v>
      </c>
      <c r="Z38774" s="7" t="s">
        <v>16</v>
      </c>
      <c r="AA38774" s="7" t="n">
        <f t="normal" ca="1">32-LENB(INDIRECT(ADDRESS(38774,26)))</f>
        <v>0</v>
      </c>
      <c r="AB38774" s="7" t="n">
        <v>7</v>
      </c>
      <c r="AC38774" s="7" t="n">
        <v>65533</v>
      </c>
      <c r="AD38774" s="7" t="n">
        <v>63773</v>
      </c>
      <c r="AE38774" s="7" t="s">
        <v>16</v>
      </c>
      <c r="AF38774" s="7" t="n">
        <f t="normal" ca="1">32-LENB(INDIRECT(ADDRESS(38774,31)))</f>
        <v>0</v>
      </c>
      <c r="AG38774" s="7" t="n">
        <v>7</v>
      </c>
      <c r="AH38774" s="7" t="n">
        <v>65533</v>
      </c>
      <c r="AI38774" s="7" t="n">
        <v>63774</v>
      </c>
      <c r="AJ38774" s="7" t="s">
        <v>16</v>
      </c>
      <c r="AK38774" s="7" t="n">
        <f t="normal" ca="1">32-LENB(INDIRECT(ADDRESS(38774,36)))</f>
        <v>0</v>
      </c>
      <c r="AL38774" s="7" t="n">
        <v>7</v>
      </c>
      <c r="AM38774" s="7" t="n">
        <v>65533</v>
      </c>
      <c r="AN38774" s="7" t="n">
        <v>63775</v>
      </c>
      <c r="AO38774" s="7" t="s">
        <v>16</v>
      </c>
      <c r="AP38774" s="7" t="n">
        <f t="normal" ca="1">32-LENB(INDIRECT(ADDRESS(38774,41)))</f>
        <v>0</v>
      </c>
      <c r="AQ38774" s="7" t="n">
        <v>7</v>
      </c>
      <c r="AR38774" s="7" t="n">
        <v>65533</v>
      </c>
      <c r="AS38774" s="7" t="n">
        <v>63776</v>
      </c>
      <c r="AT38774" s="7" t="s">
        <v>16</v>
      </c>
      <c r="AU38774" s="7" t="n">
        <f t="normal" ca="1">32-LENB(INDIRECT(ADDRESS(38774,46)))</f>
        <v>0</v>
      </c>
      <c r="AV38774" s="7" t="n">
        <v>7</v>
      </c>
      <c r="AW38774" s="7" t="n">
        <v>65533</v>
      </c>
      <c r="AX38774" s="7" t="n">
        <v>63777</v>
      </c>
      <c r="AY38774" s="7" t="s">
        <v>16</v>
      </c>
      <c r="AZ38774" s="7" t="n">
        <f t="normal" ca="1">32-LENB(INDIRECT(ADDRESS(38774,51)))</f>
        <v>0</v>
      </c>
      <c r="BA38774" s="7" t="n">
        <v>7</v>
      </c>
      <c r="BB38774" s="7" t="n">
        <v>65533</v>
      </c>
      <c r="BC38774" s="7" t="n">
        <v>63778</v>
      </c>
      <c r="BD38774" s="7" t="s">
        <v>16</v>
      </c>
      <c r="BE38774" s="7" t="n">
        <f t="normal" ca="1">32-LENB(INDIRECT(ADDRESS(38774,56)))</f>
        <v>0</v>
      </c>
      <c r="BF38774" s="7" t="n">
        <v>7</v>
      </c>
      <c r="BG38774" s="7" t="n">
        <v>65533</v>
      </c>
      <c r="BH38774" s="7" t="n">
        <v>63779</v>
      </c>
      <c r="BI38774" s="7" t="s">
        <v>16</v>
      </c>
      <c r="BJ38774" s="7" t="n">
        <f t="normal" ca="1">32-LENB(INDIRECT(ADDRESS(38774,61)))</f>
        <v>0</v>
      </c>
      <c r="BK38774" s="7" t="n">
        <v>7</v>
      </c>
      <c r="BL38774" s="7" t="n">
        <v>65533</v>
      </c>
      <c r="BM38774" s="7" t="n">
        <v>63780</v>
      </c>
      <c r="BN38774" s="7" t="s">
        <v>16</v>
      </c>
      <c r="BO38774" s="7" t="n">
        <f t="normal" ca="1">32-LENB(INDIRECT(ADDRESS(38774,66)))</f>
        <v>0</v>
      </c>
      <c r="BP38774" s="7" t="n">
        <v>7</v>
      </c>
      <c r="BQ38774" s="7" t="n">
        <v>65533</v>
      </c>
      <c r="BR38774" s="7" t="n">
        <v>63781</v>
      </c>
      <c r="BS38774" s="7" t="s">
        <v>16</v>
      </c>
      <c r="BT38774" s="7" t="n">
        <f t="normal" ca="1">32-LENB(INDIRECT(ADDRESS(38774,71)))</f>
        <v>0</v>
      </c>
      <c r="BU38774" s="7" t="n">
        <v>7</v>
      </c>
      <c r="BV38774" s="7" t="n">
        <v>65533</v>
      </c>
      <c r="BW38774" s="7" t="n">
        <v>63782</v>
      </c>
      <c r="BX38774" s="7" t="s">
        <v>16</v>
      </c>
      <c r="BY38774" s="7" t="n">
        <f t="normal" ca="1">32-LENB(INDIRECT(ADDRESS(38774,76)))</f>
        <v>0</v>
      </c>
      <c r="BZ38774" s="7" t="n">
        <v>7</v>
      </c>
      <c r="CA38774" s="7" t="n">
        <v>65533</v>
      </c>
      <c r="CB38774" s="7" t="n">
        <v>63783</v>
      </c>
      <c r="CC38774" s="7" t="s">
        <v>16</v>
      </c>
      <c r="CD38774" s="7" t="n">
        <f t="normal" ca="1">32-LENB(INDIRECT(ADDRESS(38774,81)))</f>
        <v>0</v>
      </c>
      <c r="CE38774" s="7" t="n">
        <v>7</v>
      </c>
      <c r="CF38774" s="7" t="n">
        <v>65533</v>
      </c>
      <c r="CG38774" s="7" t="n">
        <v>63784</v>
      </c>
      <c r="CH38774" s="7" t="s">
        <v>16</v>
      </c>
      <c r="CI38774" s="7" t="n">
        <f t="normal" ca="1">32-LENB(INDIRECT(ADDRESS(38774,86)))</f>
        <v>0</v>
      </c>
      <c r="CJ38774" s="7" t="n">
        <v>7</v>
      </c>
      <c r="CK38774" s="7" t="n">
        <v>65533</v>
      </c>
      <c r="CL38774" s="7" t="n">
        <v>63785</v>
      </c>
      <c r="CM38774" s="7" t="s">
        <v>16</v>
      </c>
      <c r="CN38774" s="7" t="n">
        <f t="normal" ca="1">32-LENB(INDIRECT(ADDRESS(38774,91)))</f>
        <v>0</v>
      </c>
      <c r="CO38774" s="7" t="n">
        <v>7</v>
      </c>
      <c r="CP38774" s="7" t="n">
        <v>65533</v>
      </c>
      <c r="CQ38774" s="7" t="n">
        <v>63786</v>
      </c>
      <c r="CR38774" s="7" t="s">
        <v>16</v>
      </c>
      <c r="CS38774" s="7" t="n">
        <f t="normal" ca="1">32-LENB(INDIRECT(ADDRESS(38774,96)))</f>
        <v>0</v>
      </c>
      <c r="CT38774" s="7" t="n">
        <v>7</v>
      </c>
      <c r="CU38774" s="7" t="n">
        <v>65533</v>
      </c>
      <c r="CV38774" s="7" t="n">
        <v>63787</v>
      </c>
      <c r="CW38774" s="7" t="s">
        <v>16</v>
      </c>
      <c r="CX38774" s="7" t="n">
        <f t="normal" ca="1">32-LENB(INDIRECT(ADDRESS(38774,101)))</f>
        <v>0</v>
      </c>
      <c r="CY38774" s="7" t="n">
        <v>7</v>
      </c>
      <c r="CZ38774" s="7" t="n">
        <v>65533</v>
      </c>
      <c r="DA38774" s="7" t="n">
        <v>63788</v>
      </c>
      <c r="DB38774" s="7" t="s">
        <v>16</v>
      </c>
      <c r="DC38774" s="7" t="n">
        <f t="normal" ca="1">32-LENB(INDIRECT(ADDRESS(38774,106)))</f>
        <v>0</v>
      </c>
      <c r="DD38774" s="7" t="n">
        <v>7</v>
      </c>
      <c r="DE38774" s="7" t="n">
        <v>65533</v>
      </c>
      <c r="DF38774" s="7" t="n">
        <v>63789</v>
      </c>
      <c r="DG38774" s="7" t="s">
        <v>16</v>
      </c>
      <c r="DH38774" s="7" t="n">
        <f t="normal" ca="1">32-LENB(INDIRECT(ADDRESS(38774,111)))</f>
        <v>0</v>
      </c>
      <c r="DI38774" s="7" t="n">
        <v>7</v>
      </c>
      <c r="DJ38774" s="7" t="n">
        <v>65533</v>
      </c>
      <c r="DK38774" s="7" t="n">
        <v>63790</v>
      </c>
      <c r="DL38774" s="7" t="s">
        <v>16</v>
      </c>
      <c r="DM38774" s="7" t="n">
        <f t="normal" ca="1">32-LENB(INDIRECT(ADDRESS(38774,116)))</f>
        <v>0</v>
      </c>
      <c r="DN38774" s="7" t="n">
        <v>7</v>
      </c>
      <c r="DO38774" s="7" t="n">
        <v>65533</v>
      </c>
      <c r="DP38774" s="7" t="n">
        <v>63791</v>
      </c>
      <c r="DQ38774" s="7" t="s">
        <v>16</v>
      </c>
      <c r="DR38774" s="7" t="n">
        <f t="normal" ca="1">32-LENB(INDIRECT(ADDRESS(38774,121)))</f>
        <v>0</v>
      </c>
      <c r="DS38774" s="7" t="n">
        <v>7</v>
      </c>
      <c r="DT38774" s="7" t="n">
        <v>65533</v>
      </c>
      <c r="DU38774" s="7" t="n">
        <v>63792</v>
      </c>
      <c r="DV38774" s="7" t="s">
        <v>16</v>
      </c>
      <c r="DW38774" s="7" t="n">
        <f t="normal" ca="1">32-LENB(INDIRECT(ADDRESS(38774,126)))</f>
        <v>0</v>
      </c>
      <c r="DX38774" s="7" t="n">
        <v>7</v>
      </c>
      <c r="DY38774" s="7" t="n">
        <v>65533</v>
      </c>
      <c r="DZ38774" s="7" t="n">
        <v>63793</v>
      </c>
      <c r="EA38774" s="7" t="s">
        <v>16</v>
      </c>
      <c r="EB38774" s="7" t="n">
        <f t="normal" ca="1">32-LENB(INDIRECT(ADDRESS(38774,131)))</f>
        <v>0</v>
      </c>
      <c r="EC38774" s="7" t="n">
        <v>7</v>
      </c>
      <c r="ED38774" s="7" t="n">
        <v>65533</v>
      </c>
      <c r="EE38774" s="7" t="n">
        <v>64268</v>
      </c>
      <c r="EF38774" s="7" t="s">
        <v>16</v>
      </c>
      <c r="EG38774" s="7" t="n">
        <f t="normal" ca="1">32-LENB(INDIRECT(ADDRESS(38774,136)))</f>
        <v>0</v>
      </c>
      <c r="EH38774" s="7" t="n">
        <v>7</v>
      </c>
      <c r="EI38774" s="7" t="n">
        <v>65533</v>
      </c>
      <c r="EJ38774" s="7" t="n">
        <v>1800</v>
      </c>
      <c r="EK38774" s="7" t="s">
        <v>16</v>
      </c>
      <c r="EL38774" s="7" t="n">
        <f t="normal" ca="1">32-LENB(INDIRECT(ADDRESS(38774,141)))</f>
        <v>0</v>
      </c>
      <c r="EM38774" s="7" t="n">
        <v>7</v>
      </c>
      <c r="EN38774" s="7" t="n">
        <v>65533</v>
      </c>
      <c r="EO38774" s="7" t="n">
        <v>1801</v>
      </c>
      <c r="EP38774" s="7" t="s">
        <v>16</v>
      </c>
      <c r="EQ38774" s="7" t="n">
        <f t="normal" ca="1">32-LENB(INDIRECT(ADDRESS(38774,146)))</f>
        <v>0</v>
      </c>
      <c r="ER38774" s="7" t="n">
        <v>7</v>
      </c>
      <c r="ES38774" s="7" t="n">
        <v>65533</v>
      </c>
      <c r="ET38774" s="7" t="n">
        <v>63794</v>
      </c>
      <c r="EU38774" s="7" t="s">
        <v>16</v>
      </c>
      <c r="EV38774" s="7" t="n">
        <f t="normal" ca="1">32-LENB(INDIRECT(ADDRESS(38774,151)))</f>
        <v>0</v>
      </c>
      <c r="EW38774" s="7" t="n">
        <v>7</v>
      </c>
      <c r="EX38774" s="7" t="n">
        <v>65533</v>
      </c>
      <c r="EY38774" s="7" t="n">
        <v>63795</v>
      </c>
      <c r="EZ38774" s="7" t="s">
        <v>16</v>
      </c>
      <c r="FA38774" s="7" t="n">
        <f t="normal" ca="1">32-LENB(INDIRECT(ADDRESS(38774,156)))</f>
        <v>0</v>
      </c>
      <c r="FB38774" s="7" t="n">
        <v>7</v>
      </c>
      <c r="FC38774" s="7" t="n">
        <v>65533</v>
      </c>
      <c r="FD38774" s="7" t="n">
        <v>63796</v>
      </c>
      <c r="FE38774" s="7" t="s">
        <v>16</v>
      </c>
      <c r="FF38774" s="7" t="n">
        <f t="normal" ca="1">32-LENB(INDIRECT(ADDRESS(38774,161)))</f>
        <v>0</v>
      </c>
      <c r="FG38774" s="7" t="n">
        <v>7</v>
      </c>
      <c r="FH38774" s="7" t="n">
        <v>65533</v>
      </c>
      <c r="FI38774" s="7" t="n">
        <v>63797</v>
      </c>
      <c r="FJ38774" s="7" t="s">
        <v>16</v>
      </c>
      <c r="FK38774" s="7" t="n">
        <f t="normal" ca="1">32-LENB(INDIRECT(ADDRESS(38774,166)))</f>
        <v>0</v>
      </c>
      <c r="FL38774" s="7" t="n">
        <v>7</v>
      </c>
      <c r="FM38774" s="7" t="n">
        <v>65533</v>
      </c>
      <c r="FN38774" s="7" t="n">
        <v>1802</v>
      </c>
      <c r="FO38774" s="7" t="s">
        <v>16</v>
      </c>
      <c r="FP38774" s="7" t="n">
        <f t="normal" ca="1">32-LENB(INDIRECT(ADDRESS(38774,171)))</f>
        <v>0</v>
      </c>
      <c r="FQ38774" s="7" t="n">
        <v>7</v>
      </c>
      <c r="FR38774" s="7" t="n">
        <v>65533</v>
      </c>
      <c r="FS38774" s="7" t="n">
        <v>1803</v>
      </c>
      <c r="FT38774" s="7" t="s">
        <v>16</v>
      </c>
      <c r="FU38774" s="7" t="n">
        <f t="normal" ca="1">32-LENB(INDIRECT(ADDRESS(38774,176)))</f>
        <v>0</v>
      </c>
      <c r="FV38774" s="7" t="n">
        <v>7</v>
      </c>
      <c r="FW38774" s="7" t="n">
        <v>65533</v>
      </c>
      <c r="FX38774" s="7" t="n">
        <v>1804</v>
      </c>
      <c r="FY38774" s="7" t="s">
        <v>16</v>
      </c>
      <c r="FZ38774" s="7" t="n">
        <f t="normal" ca="1">32-LENB(INDIRECT(ADDRESS(38774,181)))</f>
        <v>0</v>
      </c>
      <c r="GA38774" s="7" t="n">
        <v>7</v>
      </c>
      <c r="GB38774" s="7" t="n">
        <v>65533</v>
      </c>
      <c r="GC38774" s="7" t="n">
        <v>63798</v>
      </c>
      <c r="GD38774" s="7" t="s">
        <v>16</v>
      </c>
      <c r="GE38774" s="7" t="n">
        <f t="normal" ca="1">32-LENB(INDIRECT(ADDRESS(38774,186)))</f>
        <v>0</v>
      </c>
      <c r="GF38774" s="7" t="n">
        <v>7</v>
      </c>
      <c r="GG38774" s="7" t="n">
        <v>65533</v>
      </c>
      <c r="GH38774" s="7" t="n">
        <v>1805</v>
      </c>
      <c r="GI38774" s="7" t="s">
        <v>16</v>
      </c>
      <c r="GJ38774" s="7" t="n">
        <f t="normal" ca="1">32-LENB(INDIRECT(ADDRESS(38774,191)))</f>
        <v>0</v>
      </c>
      <c r="GK38774" s="7" t="n">
        <v>7</v>
      </c>
      <c r="GL38774" s="7" t="n">
        <v>65533</v>
      </c>
      <c r="GM38774" s="7" t="n">
        <v>1806</v>
      </c>
      <c r="GN38774" s="7" t="s">
        <v>16</v>
      </c>
      <c r="GO38774" s="7" t="n">
        <f t="normal" ca="1">32-LENB(INDIRECT(ADDRESS(38774,196)))</f>
        <v>0</v>
      </c>
      <c r="GP38774" s="7" t="n">
        <v>7</v>
      </c>
      <c r="GQ38774" s="7" t="n">
        <v>65533</v>
      </c>
      <c r="GR38774" s="7" t="n">
        <v>1807</v>
      </c>
      <c r="GS38774" s="7" t="s">
        <v>16</v>
      </c>
      <c r="GT38774" s="7" t="n">
        <f t="normal" ca="1">32-LENB(INDIRECT(ADDRESS(38774,201)))</f>
        <v>0</v>
      </c>
      <c r="GU38774" s="7" t="n">
        <v>7</v>
      </c>
      <c r="GV38774" s="7" t="n">
        <v>65533</v>
      </c>
      <c r="GW38774" s="7" t="n">
        <v>63799</v>
      </c>
      <c r="GX38774" s="7" t="s">
        <v>16</v>
      </c>
      <c r="GY38774" s="7" t="n">
        <f t="normal" ca="1">32-LENB(INDIRECT(ADDRESS(38774,206)))</f>
        <v>0</v>
      </c>
      <c r="GZ38774" s="7" t="n">
        <v>7</v>
      </c>
      <c r="HA38774" s="7" t="n">
        <v>65533</v>
      </c>
      <c r="HB38774" s="7" t="n">
        <v>1808</v>
      </c>
      <c r="HC38774" s="7" t="s">
        <v>16</v>
      </c>
      <c r="HD38774" s="7" t="n">
        <f t="normal" ca="1">32-LENB(INDIRECT(ADDRESS(38774,211)))</f>
        <v>0</v>
      </c>
      <c r="HE38774" s="7" t="n">
        <v>7</v>
      </c>
      <c r="HF38774" s="7" t="n">
        <v>65533</v>
      </c>
      <c r="HG38774" s="7" t="n">
        <v>1809</v>
      </c>
      <c r="HH38774" s="7" t="s">
        <v>16</v>
      </c>
      <c r="HI38774" s="7" t="n">
        <f t="normal" ca="1">32-LENB(INDIRECT(ADDRESS(38774,216)))</f>
        <v>0</v>
      </c>
      <c r="HJ38774" s="7" t="n">
        <v>7</v>
      </c>
      <c r="HK38774" s="7" t="n">
        <v>65533</v>
      </c>
      <c r="HL38774" s="7" t="n">
        <v>1810</v>
      </c>
      <c r="HM38774" s="7" t="s">
        <v>16</v>
      </c>
      <c r="HN38774" s="7" t="n">
        <f t="normal" ca="1">32-LENB(INDIRECT(ADDRESS(38774,221)))</f>
        <v>0</v>
      </c>
      <c r="HO38774" s="7" t="n">
        <v>7</v>
      </c>
      <c r="HP38774" s="7" t="n">
        <v>65533</v>
      </c>
      <c r="HQ38774" s="7" t="n">
        <v>1811</v>
      </c>
      <c r="HR38774" s="7" t="s">
        <v>16</v>
      </c>
      <c r="HS38774" s="7" t="n">
        <f t="normal" ca="1">32-LENB(INDIRECT(ADDRESS(38774,226)))</f>
        <v>0</v>
      </c>
      <c r="HT38774" s="7" t="n">
        <v>7</v>
      </c>
      <c r="HU38774" s="7" t="n">
        <v>65533</v>
      </c>
      <c r="HV38774" s="7" t="n">
        <v>1812</v>
      </c>
      <c r="HW38774" s="7" t="s">
        <v>16</v>
      </c>
      <c r="HX38774" s="7" t="n">
        <f t="normal" ca="1">32-LENB(INDIRECT(ADDRESS(38774,231)))</f>
        <v>0</v>
      </c>
      <c r="HY38774" s="7" t="n">
        <v>7</v>
      </c>
      <c r="HZ38774" s="7" t="n">
        <v>65533</v>
      </c>
      <c r="IA38774" s="7" t="n">
        <v>63800</v>
      </c>
      <c r="IB38774" s="7" t="s">
        <v>16</v>
      </c>
      <c r="IC38774" s="7" t="n">
        <f t="normal" ca="1">32-LENB(INDIRECT(ADDRESS(38774,236)))</f>
        <v>0</v>
      </c>
      <c r="ID38774" s="7" t="n">
        <v>7</v>
      </c>
      <c r="IE38774" s="7" t="n">
        <v>65533</v>
      </c>
      <c r="IF38774" s="7" t="n">
        <v>63801</v>
      </c>
      <c r="IG38774" s="7" t="s">
        <v>16</v>
      </c>
      <c r="IH38774" s="7" t="n">
        <f t="normal" ca="1">32-LENB(INDIRECT(ADDRESS(38774,241)))</f>
        <v>0</v>
      </c>
      <c r="II38774" s="7" t="n">
        <v>7</v>
      </c>
      <c r="IJ38774" s="7" t="n">
        <v>65533</v>
      </c>
      <c r="IK38774" s="7" t="n">
        <v>63802</v>
      </c>
      <c r="IL38774" s="7" t="s">
        <v>16</v>
      </c>
      <c r="IM38774" s="7" t="n">
        <f t="normal" ca="1">32-LENB(INDIRECT(ADDRESS(38774,246)))</f>
        <v>0</v>
      </c>
      <c r="IN38774" s="7" t="n">
        <v>7</v>
      </c>
      <c r="IO38774" s="7" t="n">
        <v>65533</v>
      </c>
      <c r="IP38774" s="7" t="n">
        <v>63803</v>
      </c>
      <c r="IQ38774" s="7" t="s">
        <v>16</v>
      </c>
      <c r="IR38774" s="7" t="n">
        <f t="normal" ca="1">32-LENB(INDIRECT(ADDRESS(38774,251)))</f>
        <v>0</v>
      </c>
      <c r="IS38774" s="7" t="n">
        <v>7</v>
      </c>
      <c r="IT38774" s="7" t="n">
        <v>65533</v>
      </c>
      <c r="IU38774" s="7" t="n">
        <v>63804</v>
      </c>
      <c r="IV38774" s="7" t="s">
        <v>16</v>
      </c>
      <c r="IW38774" s="7" t="n">
        <f t="normal" ca="1">32-LENB(INDIRECT(ADDRESS(38774,256)))</f>
        <v>0</v>
      </c>
      <c r="IX38774" s="7" t="n">
        <v>7</v>
      </c>
      <c r="IY38774" s="7" t="n">
        <v>65533</v>
      </c>
      <c r="IZ38774" s="7" t="n">
        <v>1813</v>
      </c>
      <c r="JA38774" s="7" t="s">
        <v>16</v>
      </c>
      <c r="JB38774" s="7" t="n">
        <f t="normal" ca="1">32-LENB(INDIRECT(ADDRESS(38774,261)))</f>
        <v>0</v>
      </c>
      <c r="JC38774" s="7" t="n">
        <v>7</v>
      </c>
      <c r="JD38774" s="7" t="n">
        <v>65533</v>
      </c>
      <c r="JE38774" s="7" t="n">
        <v>63805</v>
      </c>
      <c r="JF38774" s="7" t="s">
        <v>16</v>
      </c>
      <c r="JG38774" s="7" t="n">
        <f t="normal" ca="1">32-LENB(INDIRECT(ADDRESS(38774,266)))</f>
        <v>0</v>
      </c>
      <c r="JH38774" s="7" t="n">
        <v>7</v>
      </c>
      <c r="JI38774" s="7" t="n">
        <v>65533</v>
      </c>
      <c r="JJ38774" s="7" t="n">
        <v>63806</v>
      </c>
      <c r="JK38774" s="7" t="s">
        <v>16</v>
      </c>
      <c r="JL38774" s="7" t="n">
        <f t="normal" ca="1">32-LENB(INDIRECT(ADDRESS(38774,271)))</f>
        <v>0</v>
      </c>
      <c r="JM38774" s="7" t="n">
        <v>7</v>
      </c>
      <c r="JN38774" s="7" t="n">
        <v>65533</v>
      </c>
      <c r="JO38774" s="7" t="n">
        <v>63807</v>
      </c>
      <c r="JP38774" s="7" t="s">
        <v>16</v>
      </c>
      <c r="JQ38774" s="7" t="n">
        <f t="normal" ca="1">32-LENB(INDIRECT(ADDRESS(38774,276)))</f>
        <v>0</v>
      </c>
      <c r="JR38774" s="7" t="n">
        <v>7</v>
      </c>
      <c r="JS38774" s="7" t="n">
        <v>65533</v>
      </c>
      <c r="JT38774" s="7" t="n">
        <v>63808</v>
      </c>
      <c r="JU38774" s="7" t="s">
        <v>16</v>
      </c>
      <c r="JV38774" s="7" t="n">
        <f t="normal" ca="1">32-LENB(INDIRECT(ADDRESS(38774,281)))</f>
        <v>0</v>
      </c>
      <c r="JW38774" s="7" t="n">
        <v>7</v>
      </c>
      <c r="JX38774" s="7" t="n">
        <v>65533</v>
      </c>
      <c r="JY38774" s="7" t="n">
        <v>1814</v>
      </c>
      <c r="JZ38774" s="7" t="s">
        <v>16</v>
      </c>
      <c r="KA38774" s="7" t="n">
        <f t="normal" ca="1">32-LENB(INDIRECT(ADDRESS(38774,286)))</f>
        <v>0</v>
      </c>
      <c r="KB38774" s="7" t="n">
        <v>7</v>
      </c>
      <c r="KC38774" s="7" t="n">
        <v>65533</v>
      </c>
      <c r="KD38774" s="7" t="n">
        <v>63809</v>
      </c>
      <c r="KE38774" s="7" t="s">
        <v>16</v>
      </c>
      <c r="KF38774" s="7" t="n">
        <f t="normal" ca="1">32-LENB(INDIRECT(ADDRESS(38774,291)))</f>
        <v>0</v>
      </c>
      <c r="KG38774" s="7" t="n">
        <v>7</v>
      </c>
      <c r="KH38774" s="7" t="n">
        <v>65533</v>
      </c>
      <c r="KI38774" s="7" t="n">
        <v>63810</v>
      </c>
      <c r="KJ38774" s="7" t="s">
        <v>16</v>
      </c>
      <c r="KK38774" s="7" t="n">
        <f t="normal" ca="1">32-LENB(INDIRECT(ADDRESS(38774,296)))</f>
        <v>0</v>
      </c>
      <c r="KL38774" s="7" t="n">
        <v>7</v>
      </c>
      <c r="KM38774" s="7" t="n">
        <v>65533</v>
      </c>
      <c r="KN38774" s="7" t="n">
        <v>63811</v>
      </c>
      <c r="KO38774" s="7" t="s">
        <v>16</v>
      </c>
      <c r="KP38774" s="7" t="n">
        <f t="normal" ca="1">32-LENB(INDIRECT(ADDRESS(38774,301)))</f>
        <v>0</v>
      </c>
      <c r="KQ38774" s="7" t="n">
        <v>7</v>
      </c>
      <c r="KR38774" s="7" t="n">
        <v>65533</v>
      </c>
      <c r="KS38774" s="7" t="n">
        <v>63812</v>
      </c>
      <c r="KT38774" s="7" t="s">
        <v>16</v>
      </c>
      <c r="KU38774" s="7" t="n">
        <f t="normal" ca="1">32-LENB(INDIRECT(ADDRESS(38774,306)))</f>
        <v>0</v>
      </c>
      <c r="KV38774" s="7" t="n">
        <v>7</v>
      </c>
      <c r="KW38774" s="7" t="n">
        <v>65533</v>
      </c>
      <c r="KX38774" s="7" t="n">
        <v>1815</v>
      </c>
      <c r="KY38774" s="7" t="s">
        <v>16</v>
      </c>
      <c r="KZ38774" s="7" t="n">
        <f t="normal" ca="1">32-LENB(INDIRECT(ADDRESS(38774,311)))</f>
        <v>0</v>
      </c>
      <c r="LA38774" s="7" t="n">
        <v>7</v>
      </c>
      <c r="LB38774" s="7" t="n">
        <v>65533</v>
      </c>
      <c r="LC38774" s="7" t="n">
        <v>1816</v>
      </c>
      <c r="LD38774" s="7" t="s">
        <v>16</v>
      </c>
      <c r="LE38774" s="7" t="n">
        <f t="normal" ca="1">32-LENB(INDIRECT(ADDRESS(38774,316)))</f>
        <v>0</v>
      </c>
      <c r="LF38774" s="7" t="n">
        <v>4</v>
      </c>
      <c r="LG38774" s="7" t="n">
        <v>65533</v>
      </c>
      <c r="LH38774" s="7" t="n">
        <v>2004</v>
      </c>
      <c r="LI38774" s="7" t="s">
        <v>16</v>
      </c>
      <c r="LJ38774" s="7" t="n">
        <f t="normal" ca="1">32-LENB(INDIRECT(ADDRESS(38774,321)))</f>
        <v>0</v>
      </c>
      <c r="LK38774" s="7" t="n">
        <v>7</v>
      </c>
      <c r="LL38774" s="7" t="n">
        <v>65533</v>
      </c>
      <c r="LM38774" s="7" t="n">
        <v>1817</v>
      </c>
      <c r="LN38774" s="7" t="s">
        <v>16</v>
      </c>
      <c r="LO38774" s="7" t="n">
        <f t="normal" ca="1">32-LENB(INDIRECT(ADDRESS(38774,326)))</f>
        <v>0</v>
      </c>
      <c r="LP38774" s="7" t="n">
        <v>7</v>
      </c>
      <c r="LQ38774" s="7" t="n">
        <v>65533</v>
      </c>
      <c r="LR38774" s="7" t="n">
        <v>1818</v>
      </c>
      <c r="LS38774" s="7" t="s">
        <v>16</v>
      </c>
      <c r="LT38774" s="7" t="n">
        <f t="normal" ca="1">32-LENB(INDIRECT(ADDRESS(38774,331)))</f>
        <v>0</v>
      </c>
      <c r="LU38774" s="7" t="n">
        <v>7</v>
      </c>
      <c r="LV38774" s="7" t="n">
        <v>65533</v>
      </c>
      <c r="LW38774" s="7" t="n">
        <v>1819</v>
      </c>
      <c r="LX38774" s="7" t="s">
        <v>16</v>
      </c>
      <c r="LY38774" s="7" t="n">
        <f t="normal" ca="1">32-LENB(INDIRECT(ADDRESS(38774,336)))</f>
        <v>0</v>
      </c>
      <c r="LZ38774" s="7" t="n">
        <v>7</v>
      </c>
      <c r="MA38774" s="7" t="n">
        <v>65533</v>
      </c>
      <c r="MB38774" s="7" t="n">
        <v>63813</v>
      </c>
      <c r="MC38774" s="7" t="s">
        <v>16</v>
      </c>
      <c r="MD38774" s="7" t="n">
        <f t="normal" ca="1">32-LENB(INDIRECT(ADDRESS(38774,341)))</f>
        <v>0</v>
      </c>
      <c r="ME38774" s="7" t="n">
        <v>7</v>
      </c>
      <c r="MF38774" s="7" t="n">
        <v>65533</v>
      </c>
      <c r="MG38774" s="7" t="n">
        <v>1820</v>
      </c>
      <c r="MH38774" s="7" t="s">
        <v>16</v>
      </c>
      <c r="MI38774" s="7" t="n">
        <f t="normal" ca="1">32-LENB(INDIRECT(ADDRESS(38774,346)))</f>
        <v>0</v>
      </c>
      <c r="MJ38774" s="7" t="n">
        <v>4</v>
      </c>
      <c r="MK38774" s="7" t="n">
        <v>65533</v>
      </c>
      <c r="ML38774" s="7" t="n">
        <v>2004</v>
      </c>
      <c r="MM38774" s="7" t="s">
        <v>16</v>
      </c>
      <c r="MN38774" s="7" t="n">
        <f t="normal" ca="1">32-LENB(INDIRECT(ADDRESS(38774,351)))</f>
        <v>0</v>
      </c>
      <c r="MO38774" s="7" t="n">
        <v>7</v>
      </c>
      <c r="MP38774" s="7" t="n">
        <v>65533</v>
      </c>
      <c r="MQ38774" s="7" t="n">
        <v>63814</v>
      </c>
      <c r="MR38774" s="7" t="s">
        <v>16</v>
      </c>
      <c r="MS38774" s="7" t="n">
        <f t="normal" ca="1">32-LENB(INDIRECT(ADDRESS(38774,356)))</f>
        <v>0</v>
      </c>
      <c r="MT38774" s="7" t="n">
        <v>7</v>
      </c>
      <c r="MU38774" s="7" t="n">
        <v>65533</v>
      </c>
      <c r="MV38774" s="7" t="n">
        <v>63815</v>
      </c>
      <c r="MW38774" s="7" t="s">
        <v>16</v>
      </c>
      <c r="MX38774" s="7" t="n">
        <f t="normal" ca="1">32-LENB(INDIRECT(ADDRESS(38774,361)))</f>
        <v>0</v>
      </c>
      <c r="MY38774" s="7" t="n">
        <v>7</v>
      </c>
      <c r="MZ38774" s="7" t="n">
        <v>65533</v>
      </c>
      <c r="NA38774" s="7" t="n">
        <v>1821</v>
      </c>
      <c r="NB38774" s="7" t="s">
        <v>16</v>
      </c>
      <c r="NC38774" s="7" t="n">
        <f t="normal" ca="1">32-LENB(INDIRECT(ADDRESS(38774,366)))</f>
        <v>0</v>
      </c>
      <c r="ND38774" s="7" t="n">
        <v>7</v>
      </c>
      <c r="NE38774" s="7" t="n">
        <v>65533</v>
      </c>
      <c r="NF38774" s="7" t="n">
        <v>1822</v>
      </c>
      <c r="NG38774" s="7" t="s">
        <v>16</v>
      </c>
      <c r="NH38774" s="7" t="n">
        <f t="normal" ca="1">32-LENB(INDIRECT(ADDRESS(38774,371)))</f>
        <v>0</v>
      </c>
      <c r="NI38774" s="7" t="n">
        <v>7</v>
      </c>
      <c r="NJ38774" s="7" t="n">
        <v>65533</v>
      </c>
      <c r="NK38774" s="7" t="n">
        <v>1823</v>
      </c>
      <c r="NL38774" s="7" t="s">
        <v>16</v>
      </c>
      <c r="NM38774" s="7" t="n">
        <f t="normal" ca="1">32-LENB(INDIRECT(ADDRESS(38774,376)))</f>
        <v>0</v>
      </c>
      <c r="NN38774" s="7" t="n">
        <v>7</v>
      </c>
      <c r="NO38774" s="7" t="n">
        <v>65533</v>
      </c>
      <c r="NP38774" s="7" t="n">
        <v>63816</v>
      </c>
      <c r="NQ38774" s="7" t="s">
        <v>16</v>
      </c>
      <c r="NR38774" s="7" t="n">
        <f t="normal" ca="1">32-LENB(INDIRECT(ADDRESS(38774,381)))</f>
        <v>0</v>
      </c>
      <c r="NS38774" s="7" t="n">
        <v>7</v>
      </c>
      <c r="NT38774" s="7" t="n">
        <v>65533</v>
      </c>
      <c r="NU38774" s="7" t="n">
        <v>63817</v>
      </c>
      <c r="NV38774" s="7" t="s">
        <v>16</v>
      </c>
      <c r="NW38774" s="7" t="n">
        <f t="normal" ca="1">32-LENB(INDIRECT(ADDRESS(38774,386)))</f>
        <v>0</v>
      </c>
      <c r="NX38774" s="7" t="n">
        <v>7</v>
      </c>
      <c r="NY38774" s="7" t="n">
        <v>65533</v>
      </c>
      <c r="NZ38774" s="7" t="n">
        <v>63818</v>
      </c>
      <c r="OA38774" s="7" t="s">
        <v>16</v>
      </c>
      <c r="OB38774" s="7" t="n">
        <f t="normal" ca="1">32-LENB(INDIRECT(ADDRESS(38774,391)))</f>
        <v>0</v>
      </c>
      <c r="OC38774" s="7" t="n">
        <v>7</v>
      </c>
      <c r="OD38774" s="7" t="n">
        <v>65533</v>
      </c>
      <c r="OE38774" s="7" t="n">
        <v>63819</v>
      </c>
      <c r="OF38774" s="7" t="s">
        <v>16</v>
      </c>
      <c r="OG38774" s="7" t="n">
        <f t="normal" ca="1">32-LENB(INDIRECT(ADDRESS(38774,396)))</f>
        <v>0</v>
      </c>
      <c r="OH38774" s="7" t="n">
        <v>7</v>
      </c>
      <c r="OI38774" s="7" t="n">
        <v>65533</v>
      </c>
      <c r="OJ38774" s="7" t="n">
        <v>1824</v>
      </c>
      <c r="OK38774" s="7" t="s">
        <v>16</v>
      </c>
      <c r="OL38774" s="7" t="n">
        <f t="normal" ca="1">32-LENB(INDIRECT(ADDRESS(38774,401)))</f>
        <v>0</v>
      </c>
      <c r="OM38774" s="7" t="n">
        <v>0</v>
      </c>
      <c r="ON38774" s="7" t="n">
        <v>65533</v>
      </c>
      <c r="OO38774" s="7" t="n">
        <v>0</v>
      </c>
      <c r="OP38774" s="7" t="s">
        <v>16</v>
      </c>
      <c r="OQ38774" s="7" t="n">
        <f t="normal" ca="1">32-LENB(INDIRECT(ADDRESS(38774,406)))</f>
        <v>0</v>
      </c>
    </row>
    <row r="38775" spans="1:167">
      <c r="A38775" t="s">
        <v>4</v>
      </c>
      <c r="B38775" s="4" t="s">
        <v>5</v>
      </c>
    </row>
    <row r="38776" spans="1:167">
      <c r="A38776" t="n">
        <v>388472</v>
      </c>
      <c r="B38776" s="5" t="n">
        <v>1</v>
      </c>
    </row>
    <row r="38777" spans="1:167" s="3" customFormat="1" customHeight="0">
      <c r="A38777" s="3" t="s">
        <v>2</v>
      </c>
      <c r="B38777" s="3" t="s">
        <v>1864</v>
      </c>
    </row>
    <row r="38778" spans="1:167">
      <c r="A38778" t="s">
        <v>4</v>
      </c>
      <c r="B38778" s="4" t="s">
        <v>5</v>
      </c>
      <c r="C38778" s="4" t="s">
        <v>11</v>
      </c>
      <c r="D38778" s="4" t="s">
        <v>11</v>
      </c>
      <c r="E38778" s="4" t="s">
        <v>15</v>
      </c>
      <c r="F38778" s="4" t="s">
        <v>8</v>
      </c>
      <c r="G38778" s="4" t="s">
        <v>1859</v>
      </c>
      <c r="H38778" s="4" t="s">
        <v>11</v>
      </c>
      <c r="I38778" s="4" t="s">
        <v>11</v>
      </c>
      <c r="J38778" s="4" t="s">
        <v>15</v>
      </c>
      <c r="K38778" s="4" t="s">
        <v>8</v>
      </c>
      <c r="L38778" s="4" t="s">
        <v>1859</v>
      </c>
      <c r="M38778" s="4" t="s">
        <v>11</v>
      </c>
      <c r="N38778" s="4" t="s">
        <v>11</v>
      </c>
      <c r="O38778" s="4" t="s">
        <v>15</v>
      </c>
      <c r="P38778" s="4" t="s">
        <v>8</v>
      </c>
      <c r="Q38778" s="4" t="s">
        <v>1859</v>
      </c>
      <c r="R38778" s="4" t="s">
        <v>11</v>
      </c>
      <c r="S38778" s="4" t="s">
        <v>11</v>
      </c>
      <c r="T38778" s="4" t="s">
        <v>15</v>
      </c>
      <c r="U38778" s="4" t="s">
        <v>8</v>
      </c>
      <c r="V38778" s="4" t="s">
        <v>1859</v>
      </c>
      <c r="W38778" s="4" t="s">
        <v>11</v>
      </c>
      <c r="X38778" s="4" t="s">
        <v>11</v>
      </c>
      <c r="Y38778" s="4" t="s">
        <v>15</v>
      </c>
      <c r="Z38778" s="4" t="s">
        <v>8</v>
      </c>
      <c r="AA38778" s="4" t="s">
        <v>1859</v>
      </c>
      <c r="AB38778" s="4" t="s">
        <v>11</v>
      </c>
      <c r="AC38778" s="4" t="s">
        <v>11</v>
      </c>
      <c r="AD38778" s="4" t="s">
        <v>15</v>
      </c>
      <c r="AE38778" s="4" t="s">
        <v>8</v>
      </c>
      <c r="AF38778" s="4" t="s">
        <v>1859</v>
      </c>
      <c r="AG38778" s="4" t="s">
        <v>11</v>
      </c>
      <c r="AH38778" s="4" t="s">
        <v>11</v>
      </c>
      <c r="AI38778" s="4" t="s">
        <v>15</v>
      </c>
      <c r="AJ38778" s="4" t="s">
        <v>8</v>
      </c>
      <c r="AK38778" s="4" t="s">
        <v>1859</v>
      </c>
      <c r="AL38778" s="4" t="s">
        <v>11</v>
      </c>
      <c r="AM38778" s="4" t="s">
        <v>11</v>
      </c>
      <c r="AN38778" s="4" t="s">
        <v>15</v>
      </c>
      <c r="AO38778" s="4" t="s">
        <v>8</v>
      </c>
      <c r="AP38778" s="4" t="s">
        <v>1859</v>
      </c>
      <c r="AQ38778" s="4" t="s">
        <v>11</v>
      </c>
      <c r="AR38778" s="4" t="s">
        <v>11</v>
      </c>
      <c r="AS38778" s="4" t="s">
        <v>15</v>
      </c>
      <c r="AT38778" s="4" t="s">
        <v>8</v>
      </c>
      <c r="AU38778" s="4" t="s">
        <v>1859</v>
      </c>
      <c r="AV38778" s="4" t="s">
        <v>11</v>
      </c>
      <c r="AW38778" s="4" t="s">
        <v>11</v>
      </c>
      <c r="AX38778" s="4" t="s">
        <v>15</v>
      </c>
      <c r="AY38778" s="4" t="s">
        <v>8</v>
      </c>
      <c r="AZ38778" s="4" t="s">
        <v>1859</v>
      </c>
      <c r="BA38778" s="4" t="s">
        <v>11</v>
      </c>
      <c r="BB38778" s="4" t="s">
        <v>11</v>
      </c>
      <c r="BC38778" s="4" t="s">
        <v>15</v>
      </c>
      <c r="BD38778" s="4" t="s">
        <v>8</v>
      </c>
      <c r="BE38778" s="4" t="s">
        <v>1859</v>
      </c>
      <c r="BF38778" s="4" t="s">
        <v>11</v>
      </c>
      <c r="BG38778" s="4" t="s">
        <v>11</v>
      </c>
      <c r="BH38778" s="4" t="s">
        <v>15</v>
      </c>
      <c r="BI38778" s="4" t="s">
        <v>8</v>
      </c>
      <c r="BJ38778" s="4" t="s">
        <v>1859</v>
      </c>
      <c r="BK38778" s="4" t="s">
        <v>11</v>
      </c>
      <c r="BL38778" s="4" t="s">
        <v>11</v>
      </c>
      <c r="BM38778" s="4" t="s">
        <v>15</v>
      </c>
      <c r="BN38778" s="4" t="s">
        <v>8</v>
      </c>
      <c r="BO38778" s="4" t="s">
        <v>1859</v>
      </c>
      <c r="BP38778" s="4" t="s">
        <v>11</v>
      </c>
      <c r="BQ38778" s="4" t="s">
        <v>11</v>
      </c>
      <c r="BR38778" s="4" t="s">
        <v>15</v>
      </c>
      <c r="BS38778" s="4" t="s">
        <v>8</v>
      </c>
      <c r="BT38778" s="4" t="s">
        <v>1859</v>
      </c>
      <c r="BU38778" s="4" t="s">
        <v>11</v>
      </c>
      <c r="BV38778" s="4" t="s">
        <v>11</v>
      </c>
      <c r="BW38778" s="4" t="s">
        <v>15</v>
      </c>
      <c r="BX38778" s="4" t="s">
        <v>8</v>
      </c>
      <c r="BY38778" s="4" t="s">
        <v>1859</v>
      </c>
      <c r="BZ38778" s="4" t="s">
        <v>11</v>
      </c>
      <c r="CA38778" s="4" t="s">
        <v>11</v>
      </c>
      <c r="CB38778" s="4" t="s">
        <v>15</v>
      </c>
      <c r="CC38778" s="4" t="s">
        <v>8</v>
      </c>
      <c r="CD38778" s="4" t="s">
        <v>1859</v>
      </c>
      <c r="CE38778" s="4" t="s">
        <v>11</v>
      </c>
      <c r="CF38778" s="4" t="s">
        <v>11</v>
      </c>
      <c r="CG38778" s="4" t="s">
        <v>15</v>
      </c>
      <c r="CH38778" s="4" t="s">
        <v>8</v>
      </c>
      <c r="CI38778" s="4" t="s">
        <v>1859</v>
      </c>
      <c r="CJ38778" s="4" t="s">
        <v>11</v>
      </c>
      <c r="CK38778" s="4" t="s">
        <v>11</v>
      </c>
      <c r="CL38778" s="4" t="s">
        <v>15</v>
      </c>
      <c r="CM38778" s="4" t="s">
        <v>8</v>
      </c>
      <c r="CN38778" s="4" t="s">
        <v>1859</v>
      </c>
      <c r="CO38778" s="4" t="s">
        <v>11</v>
      </c>
      <c r="CP38778" s="4" t="s">
        <v>11</v>
      </c>
      <c r="CQ38778" s="4" t="s">
        <v>15</v>
      </c>
      <c r="CR38778" s="4" t="s">
        <v>8</v>
      </c>
      <c r="CS38778" s="4" t="s">
        <v>1859</v>
      </c>
      <c r="CT38778" s="4" t="s">
        <v>11</v>
      </c>
      <c r="CU38778" s="4" t="s">
        <v>11</v>
      </c>
      <c r="CV38778" s="4" t="s">
        <v>15</v>
      </c>
      <c r="CW38778" s="4" t="s">
        <v>8</v>
      </c>
      <c r="CX38778" s="4" t="s">
        <v>1859</v>
      </c>
      <c r="CY38778" s="4" t="s">
        <v>11</v>
      </c>
      <c r="CZ38778" s="4" t="s">
        <v>11</v>
      </c>
      <c r="DA38778" s="4" t="s">
        <v>15</v>
      </c>
      <c r="DB38778" s="4" t="s">
        <v>8</v>
      </c>
      <c r="DC38778" s="4" t="s">
        <v>1859</v>
      </c>
      <c r="DD38778" s="4" t="s">
        <v>11</v>
      </c>
      <c r="DE38778" s="4" t="s">
        <v>11</v>
      </c>
      <c r="DF38778" s="4" t="s">
        <v>15</v>
      </c>
      <c r="DG38778" s="4" t="s">
        <v>8</v>
      </c>
      <c r="DH38778" s="4" t="s">
        <v>1859</v>
      </c>
      <c r="DI38778" s="4" t="s">
        <v>11</v>
      </c>
      <c r="DJ38778" s="4" t="s">
        <v>11</v>
      </c>
      <c r="DK38778" s="4" t="s">
        <v>15</v>
      </c>
      <c r="DL38778" s="4" t="s">
        <v>8</v>
      </c>
      <c r="DM38778" s="4" t="s">
        <v>1859</v>
      </c>
      <c r="DN38778" s="4" t="s">
        <v>11</v>
      </c>
      <c r="DO38778" s="4" t="s">
        <v>11</v>
      </c>
      <c r="DP38778" s="4" t="s">
        <v>15</v>
      </c>
      <c r="DQ38778" s="4" t="s">
        <v>8</v>
      </c>
      <c r="DR38778" s="4" t="s">
        <v>1859</v>
      </c>
      <c r="DS38778" s="4" t="s">
        <v>11</v>
      </c>
      <c r="DT38778" s="4" t="s">
        <v>11</v>
      </c>
      <c r="DU38778" s="4" t="s">
        <v>15</v>
      </c>
      <c r="DV38778" s="4" t="s">
        <v>8</v>
      </c>
      <c r="DW38778" s="4" t="s">
        <v>1859</v>
      </c>
      <c r="DX38778" s="4" t="s">
        <v>11</v>
      </c>
      <c r="DY38778" s="4" t="s">
        <v>11</v>
      </c>
      <c r="DZ38778" s="4" t="s">
        <v>15</v>
      </c>
      <c r="EA38778" s="4" t="s">
        <v>8</v>
      </c>
      <c r="EB38778" s="4" t="s">
        <v>1859</v>
      </c>
      <c r="EC38778" s="4" t="s">
        <v>11</v>
      </c>
      <c r="ED38778" s="4" t="s">
        <v>11</v>
      </c>
      <c r="EE38778" s="4" t="s">
        <v>15</v>
      </c>
      <c r="EF38778" s="4" t="s">
        <v>8</v>
      </c>
      <c r="EG38778" s="4" t="s">
        <v>1859</v>
      </c>
      <c r="EH38778" s="4" t="s">
        <v>11</v>
      </c>
      <c r="EI38778" s="4" t="s">
        <v>11</v>
      </c>
      <c r="EJ38778" s="4" t="s">
        <v>15</v>
      </c>
      <c r="EK38778" s="4" t="s">
        <v>8</v>
      </c>
      <c r="EL38778" s="4" t="s">
        <v>1859</v>
      </c>
      <c r="EM38778" s="4" t="s">
        <v>11</v>
      </c>
      <c r="EN38778" s="4" t="s">
        <v>11</v>
      </c>
      <c r="EO38778" s="4" t="s">
        <v>15</v>
      </c>
      <c r="EP38778" s="4" t="s">
        <v>8</v>
      </c>
      <c r="EQ38778" s="4" t="s">
        <v>1859</v>
      </c>
      <c r="ER38778" s="4" t="s">
        <v>11</v>
      </c>
      <c r="ES38778" s="4" t="s">
        <v>11</v>
      </c>
      <c r="ET38778" s="4" t="s">
        <v>15</v>
      </c>
      <c r="EU38778" s="4" t="s">
        <v>8</v>
      </c>
      <c r="EV38778" s="4" t="s">
        <v>1859</v>
      </c>
      <c r="EW38778" s="4" t="s">
        <v>11</v>
      </c>
      <c r="EX38778" s="4" t="s">
        <v>11</v>
      </c>
      <c r="EY38778" s="4" t="s">
        <v>15</v>
      </c>
      <c r="EZ38778" s="4" t="s">
        <v>8</v>
      </c>
      <c r="FA38778" s="4" t="s">
        <v>1859</v>
      </c>
      <c r="FB38778" s="4" t="s">
        <v>11</v>
      </c>
      <c r="FC38778" s="4" t="s">
        <v>11</v>
      </c>
      <c r="FD38778" s="4" t="s">
        <v>15</v>
      </c>
      <c r="FE38778" s="4" t="s">
        <v>8</v>
      </c>
      <c r="FF38778" s="4" t="s">
        <v>1859</v>
      </c>
      <c r="FG38778" s="4" t="s">
        <v>11</v>
      </c>
      <c r="FH38778" s="4" t="s">
        <v>11</v>
      </c>
      <c r="FI38778" s="4" t="s">
        <v>15</v>
      </c>
      <c r="FJ38778" s="4" t="s">
        <v>8</v>
      </c>
      <c r="FK38778" s="4" t="s">
        <v>1859</v>
      </c>
      <c r="FL38778" s="4" t="s">
        <v>11</v>
      </c>
      <c r="FM38778" s="4" t="s">
        <v>11</v>
      </c>
      <c r="FN38778" s="4" t="s">
        <v>15</v>
      </c>
      <c r="FO38778" s="4" t="s">
        <v>8</v>
      </c>
      <c r="FP38778" s="4" t="s">
        <v>1859</v>
      </c>
      <c r="FQ38778" s="4" t="s">
        <v>11</v>
      </c>
      <c r="FR38778" s="4" t="s">
        <v>11</v>
      </c>
      <c r="FS38778" s="4" t="s">
        <v>15</v>
      </c>
      <c r="FT38778" s="4" t="s">
        <v>8</v>
      </c>
      <c r="FU38778" s="4" t="s">
        <v>1859</v>
      </c>
      <c r="FV38778" s="4" t="s">
        <v>11</v>
      </c>
      <c r="FW38778" s="4" t="s">
        <v>11</v>
      </c>
      <c r="FX38778" s="4" t="s">
        <v>15</v>
      </c>
      <c r="FY38778" s="4" t="s">
        <v>8</v>
      </c>
      <c r="FZ38778" s="4" t="s">
        <v>1859</v>
      </c>
      <c r="GA38778" s="4" t="s">
        <v>11</v>
      </c>
      <c r="GB38778" s="4" t="s">
        <v>11</v>
      </c>
      <c r="GC38778" s="4" t="s">
        <v>15</v>
      </c>
      <c r="GD38778" s="4" t="s">
        <v>8</v>
      </c>
      <c r="GE38778" s="4" t="s">
        <v>1859</v>
      </c>
      <c r="GF38778" s="4" t="s">
        <v>11</v>
      </c>
      <c r="GG38778" s="4" t="s">
        <v>11</v>
      </c>
      <c r="GH38778" s="4" t="s">
        <v>15</v>
      </c>
      <c r="GI38778" s="4" t="s">
        <v>8</v>
      </c>
      <c r="GJ38778" s="4" t="s">
        <v>1859</v>
      </c>
      <c r="GK38778" s="4" t="s">
        <v>11</v>
      </c>
      <c r="GL38778" s="4" t="s">
        <v>11</v>
      </c>
      <c r="GM38778" s="4" t="s">
        <v>15</v>
      </c>
      <c r="GN38778" s="4" t="s">
        <v>8</v>
      </c>
      <c r="GO38778" s="4" t="s">
        <v>1859</v>
      </c>
      <c r="GP38778" s="4" t="s">
        <v>11</v>
      </c>
      <c r="GQ38778" s="4" t="s">
        <v>11</v>
      </c>
      <c r="GR38778" s="4" t="s">
        <v>15</v>
      </c>
      <c r="GS38778" s="4" t="s">
        <v>8</v>
      </c>
      <c r="GT38778" s="4" t="s">
        <v>1859</v>
      </c>
      <c r="GU38778" s="4" t="s">
        <v>11</v>
      </c>
      <c r="GV38778" s="4" t="s">
        <v>11</v>
      </c>
      <c r="GW38778" s="4" t="s">
        <v>15</v>
      </c>
      <c r="GX38778" s="4" t="s">
        <v>8</v>
      </c>
      <c r="GY38778" s="4" t="s">
        <v>1859</v>
      </c>
      <c r="GZ38778" s="4" t="s">
        <v>11</v>
      </c>
      <c r="HA38778" s="4" t="s">
        <v>11</v>
      </c>
      <c r="HB38778" s="4" t="s">
        <v>15</v>
      </c>
      <c r="HC38778" s="4" t="s">
        <v>8</v>
      </c>
      <c r="HD38778" s="4" t="s">
        <v>1859</v>
      </c>
      <c r="HE38778" s="4" t="s">
        <v>11</v>
      </c>
      <c r="HF38778" s="4" t="s">
        <v>11</v>
      </c>
      <c r="HG38778" s="4" t="s">
        <v>15</v>
      </c>
      <c r="HH38778" s="4" t="s">
        <v>8</v>
      </c>
      <c r="HI38778" s="4" t="s">
        <v>1859</v>
      </c>
      <c r="HJ38778" s="4" t="s">
        <v>11</v>
      </c>
      <c r="HK38778" s="4" t="s">
        <v>11</v>
      </c>
      <c r="HL38778" s="4" t="s">
        <v>15</v>
      </c>
      <c r="HM38778" s="4" t="s">
        <v>8</v>
      </c>
      <c r="HN38778" s="4" t="s">
        <v>1859</v>
      </c>
      <c r="HO38778" s="4" t="s">
        <v>11</v>
      </c>
      <c r="HP38778" s="4" t="s">
        <v>11</v>
      </c>
      <c r="HQ38778" s="4" t="s">
        <v>15</v>
      </c>
      <c r="HR38778" s="4" t="s">
        <v>8</v>
      </c>
      <c r="HS38778" s="4" t="s">
        <v>1859</v>
      </c>
      <c r="HT38778" s="4" t="s">
        <v>11</v>
      </c>
      <c r="HU38778" s="4" t="s">
        <v>11</v>
      </c>
      <c r="HV38778" s="4" t="s">
        <v>15</v>
      </c>
      <c r="HW38778" s="4" t="s">
        <v>8</v>
      </c>
      <c r="HX38778" s="4" t="s">
        <v>1859</v>
      </c>
      <c r="HY38778" s="4" t="s">
        <v>11</v>
      </c>
      <c r="HZ38778" s="4" t="s">
        <v>11</v>
      </c>
      <c r="IA38778" s="4" t="s">
        <v>15</v>
      </c>
      <c r="IB38778" s="4" t="s">
        <v>8</v>
      </c>
      <c r="IC38778" s="4" t="s">
        <v>1859</v>
      </c>
      <c r="ID38778" s="4" t="s">
        <v>11</v>
      </c>
      <c r="IE38778" s="4" t="s">
        <v>11</v>
      </c>
      <c r="IF38778" s="4" t="s">
        <v>15</v>
      </c>
      <c r="IG38778" s="4" t="s">
        <v>8</v>
      </c>
      <c r="IH38778" s="4" t="s">
        <v>1859</v>
      </c>
      <c r="II38778" s="4" t="s">
        <v>11</v>
      </c>
      <c r="IJ38778" s="4" t="s">
        <v>11</v>
      </c>
      <c r="IK38778" s="4" t="s">
        <v>15</v>
      </c>
      <c r="IL38778" s="4" t="s">
        <v>8</v>
      </c>
      <c r="IM38778" s="4" t="s">
        <v>1859</v>
      </c>
      <c r="IN38778" s="4" t="s">
        <v>11</v>
      </c>
      <c r="IO38778" s="4" t="s">
        <v>11</v>
      </c>
      <c r="IP38778" s="4" t="s">
        <v>15</v>
      </c>
      <c r="IQ38778" s="4" t="s">
        <v>8</v>
      </c>
      <c r="IR38778" s="4" t="s">
        <v>1859</v>
      </c>
      <c r="IS38778" s="4" t="s">
        <v>11</v>
      </c>
      <c r="IT38778" s="4" t="s">
        <v>11</v>
      </c>
      <c r="IU38778" s="4" t="s">
        <v>15</v>
      </c>
      <c r="IV38778" s="4" t="s">
        <v>8</v>
      </c>
      <c r="IW38778" s="4" t="s">
        <v>1859</v>
      </c>
      <c r="IX38778" s="4" t="s">
        <v>11</v>
      </c>
      <c r="IY38778" s="4" t="s">
        <v>11</v>
      </c>
      <c r="IZ38778" s="4" t="s">
        <v>15</v>
      </c>
      <c r="JA38778" s="4" t="s">
        <v>8</v>
      </c>
      <c r="JB38778" s="4" t="s">
        <v>1859</v>
      </c>
      <c r="JC38778" s="4" t="s">
        <v>11</v>
      </c>
      <c r="JD38778" s="4" t="s">
        <v>11</v>
      </c>
      <c r="JE38778" s="4" t="s">
        <v>15</v>
      </c>
      <c r="JF38778" s="4" t="s">
        <v>8</v>
      </c>
      <c r="JG38778" s="4" t="s">
        <v>1859</v>
      </c>
      <c r="JH38778" s="4" t="s">
        <v>11</v>
      </c>
      <c r="JI38778" s="4" t="s">
        <v>11</v>
      </c>
      <c r="JJ38778" s="4" t="s">
        <v>15</v>
      </c>
      <c r="JK38778" s="4" t="s">
        <v>8</v>
      </c>
      <c r="JL38778" s="4" t="s">
        <v>1859</v>
      </c>
      <c r="JM38778" s="4" t="s">
        <v>11</v>
      </c>
      <c r="JN38778" s="4" t="s">
        <v>11</v>
      </c>
      <c r="JO38778" s="4" t="s">
        <v>15</v>
      </c>
      <c r="JP38778" s="4" t="s">
        <v>8</v>
      </c>
      <c r="JQ38778" s="4" t="s">
        <v>1859</v>
      </c>
      <c r="JR38778" s="4" t="s">
        <v>11</v>
      </c>
      <c r="JS38778" s="4" t="s">
        <v>11</v>
      </c>
      <c r="JT38778" s="4" t="s">
        <v>15</v>
      </c>
      <c r="JU38778" s="4" t="s">
        <v>8</v>
      </c>
      <c r="JV38778" s="4" t="s">
        <v>1859</v>
      </c>
      <c r="JW38778" s="4" t="s">
        <v>11</v>
      </c>
      <c r="JX38778" s="4" t="s">
        <v>11</v>
      </c>
      <c r="JY38778" s="4" t="s">
        <v>15</v>
      </c>
      <c r="JZ38778" s="4" t="s">
        <v>8</v>
      </c>
      <c r="KA38778" s="4" t="s">
        <v>1859</v>
      </c>
      <c r="KB38778" s="4" t="s">
        <v>11</v>
      </c>
      <c r="KC38778" s="4" t="s">
        <v>11</v>
      </c>
      <c r="KD38778" s="4" t="s">
        <v>15</v>
      </c>
      <c r="KE38778" s="4" t="s">
        <v>8</v>
      </c>
      <c r="KF38778" s="4" t="s">
        <v>1859</v>
      </c>
      <c r="KG38778" s="4" t="s">
        <v>11</v>
      </c>
      <c r="KH38778" s="4" t="s">
        <v>11</v>
      </c>
      <c r="KI38778" s="4" t="s">
        <v>15</v>
      </c>
      <c r="KJ38778" s="4" t="s">
        <v>8</v>
      </c>
      <c r="KK38778" s="4" t="s">
        <v>1859</v>
      </c>
      <c r="KL38778" s="4" t="s">
        <v>11</v>
      </c>
      <c r="KM38778" s="4" t="s">
        <v>11</v>
      </c>
      <c r="KN38778" s="4" t="s">
        <v>15</v>
      </c>
      <c r="KO38778" s="4" t="s">
        <v>8</v>
      </c>
      <c r="KP38778" s="4" t="s">
        <v>1859</v>
      </c>
      <c r="KQ38778" s="4" t="s">
        <v>11</v>
      </c>
      <c r="KR38778" s="4" t="s">
        <v>11</v>
      </c>
      <c r="KS38778" s="4" t="s">
        <v>15</v>
      </c>
      <c r="KT38778" s="4" t="s">
        <v>8</v>
      </c>
      <c r="KU38778" s="4" t="s">
        <v>1859</v>
      </c>
      <c r="KV38778" s="4" t="s">
        <v>11</v>
      </c>
      <c r="KW38778" s="4" t="s">
        <v>11</v>
      </c>
      <c r="KX38778" s="4" t="s">
        <v>15</v>
      </c>
      <c r="KY38778" s="4" t="s">
        <v>8</v>
      </c>
      <c r="KZ38778" s="4" t="s">
        <v>1859</v>
      </c>
      <c r="LA38778" s="4" t="s">
        <v>11</v>
      </c>
      <c r="LB38778" s="4" t="s">
        <v>11</v>
      </c>
      <c r="LC38778" s="4" t="s">
        <v>15</v>
      </c>
      <c r="LD38778" s="4" t="s">
        <v>8</v>
      </c>
      <c r="LE38778" s="4" t="s">
        <v>1859</v>
      </c>
      <c r="LF38778" s="4" t="s">
        <v>11</v>
      </c>
      <c r="LG38778" s="4" t="s">
        <v>11</v>
      </c>
      <c r="LH38778" s="4" t="s">
        <v>15</v>
      </c>
      <c r="LI38778" s="4" t="s">
        <v>8</v>
      </c>
      <c r="LJ38778" s="4" t="s">
        <v>1859</v>
      </c>
      <c r="LK38778" s="4" t="s">
        <v>11</v>
      </c>
      <c r="LL38778" s="4" t="s">
        <v>11</v>
      </c>
      <c r="LM38778" s="4" t="s">
        <v>15</v>
      </c>
      <c r="LN38778" s="4" t="s">
        <v>8</v>
      </c>
      <c r="LO38778" s="4" t="s">
        <v>1859</v>
      </c>
      <c r="LP38778" s="4" t="s">
        <v>11</v>
      </c>
      <c r="LQ38778" s="4" t="s">
        <v>11</v>
      </c>
      <c r="LR38778" s="4" t="s">
        <v>15</v>
      </c>
      <c r="LS38778" s="4" t="s">
        <v>8</v>
      </c>
      <c r="LT38778" s="4" t="s">
        <v>1859</v>
      </c>
      <c r="LU38778" s="4" t="s">
        <v>11</v>
      </c>
      <c r="LV38778" s="4" t="s">
        <v>11</v>
      </c>
      <c r="LW38778" s="4" t="s">
        <v>15</v>
      </c>
      <c r="LX38778" s="4" t="s">
        <v>8</v>
      </c>
      <c r="LY38778" s="4" t="s">
        <v>1859</v>
      </c>
      <c r="LZ38778" s="4" t="s">
        <v>11</v>
      </c>
      <c r="MA38778" s="4" t="s">
        <v>11</v>
      </c>
      <c r="MB38778" s="4" t="s">
        <v>15</v>
      </c>
      <c r="MC38778" s="4" t="s">
        <v>8</v>
      </c>
      <c r="MD38778" s="4" t="s">
        <v>1859</v>
      </c>
      <c r="ME38778" s="4" t="s">
        <v>11</v>
      </c>
      <c r="MF38778" s="4" t="s">
        <v>11</v>
      </c>
      <c r="MG38778" s="4" t="s">
        <v>15</v>
      </c>
      <c r="MH38778" s="4" t="s">
        <v>8</v>
      </c>
      <c r="MI38778" s="4" t="s">
        <v>1859</v>
      </c>
      <c r="MJ38778" s="4" t="s">
        <v>11</v>
      </c>
      <c r="MK38778" s="4" t="s">
        <v>11</v>
      </c>
      <c r="ML38778" s="4" t="s">
        <v>15</v>
      </c>
      <c r="MM38778" s="4" t="s">
        <v>8</v>
      </c>
      <c r="MN38778" s="4" t="s">
        <v>1859</v>
      </c>
      <c r="MO38778" s="4" t="s">
        <v>11</v>
      </c>
      <c r="MP38778" s="4" t="s">
        <v>11</v>
      </c>
      <c r="MQ38778" s="4" t="s">
        <v>15</v>
      </c>
      <c r="MR38778" s="4" t="s">
        <v>8</v>
      </c>
      <c r="MS38778" s="4" t="s">
        <v>1859</v>
      </c>
      <c r="MT38778" s="4" t="s">
        <v>11</v>
      </c>
      <c r="MU38778" s="4" t="s">
        <v>11</v>
      </c>
      <c r="MV38778" s="4" t="s">
        <v>15</v>
      </c>
      <c r="MW38778" s="4" t="s">
        <v>8</v>
      </c>
      <c r="MX38778" s="4" t="s">
        <v>1859</v>
      </c>
      <c r="MY38778" s="4" t="s">
        <v>11</v>
      </c>
      <c r="MZ38778" s="4" t="s">
        <v>11</v>
      </c>
      <c r="NA38778" s="4" t="s">
        <v>15</v>
      </c>
      <c r="NB38778" s="4" t="s">
        <v>8</v>
      </c>
      <c r="NC38778" s="4" t="s">
        <v>1859</v>
      </c>
      <c r="ND38778" s="4" t="s">
        <v>11</v>
      </c>
      <c r="NE38778" s="4" t="s">
        <v>11</v>
      </c>
      <c r="NF38778" s="4" t="s">
        <v>15</v>
      </c>
      <c r="NG38778" s="4" t="s">
        <v>8</v>
      </c>
      <c r="NH38778" s="4" t="s">
        <v>1859</v>
      </c>
      <c r="NI38778" s="4" t="s">
        <v>11</v>
      </c>
      <c r="NJ38778" s="4" t="s">
        <v>11</v>
      </c>
      <c r="NK38778" s="4" t="s">
        <v>15</v>
      </c>
      <c r="NL38778" s="4" t="s">
        <v>8</v>
      </c>
      <c r="NM38778" s="4" t="s">
        <v>1859</v>
      </c>
      <c r="NN38778" s="4" t="s">
        <v>11</v>
      </c>
      <c r="NO38778" s="4" t="s">
        <v>11</v>
      </c>
      <c r="NP38778" s="4" t="s">
        <v>15</v>
      </c>
      <c r="NQ38778" s="4" t="s">
        <v>8</v>
      </c>
      <c r="NR38778" s="4" t="s">
        <v>1859</v>
      </c>
    </row>
    <row r="38779" spans="1:167">
      <c r="A38779" t="n">
        <v>388480</v>
      </c>
      <c r="B38779" s="85" t="n">
        <v>257</v>
      </c>
      <c r="C38779" s="7" t="n">
        <v>7</v>
      </c>
      <c r="D38779" s="7" t="n">
        <v>65533</v>
      </c>
      <c r="E38779" s="7" t="n">
        <v>63820</v>
      </c>
      <c r="F38779" s="7" t="s">
        <v>16</v>
      </c>
      <c r="G38779" s="7" t="n">
        <f t="normal" ca="1">32-LENB(INDIRECT(ADDRESS(38779,6)))</f>
        <v>0</v>
      </c>
      <c r="H38779" s="7" t="n">
        <v>7</v>
      </c>
      <c r="I38779" s="7" t="n">
        <v>65533</v>
      </c>
      <c r="J38779" s="7" t="n">
        <v>63821</v>
      </c>
      <c r="K38779" s="7" t="s">
        <v>16</v>
      </c>
      <c r="L38779" s="7" t="n">
        <f t="normal" ca="1">32-LENB(INDIRECT(ADDRESS(38779,11)))</f>
        <v>0</v>
      </c>
      <c r="M38779" s="7" t="n">
        <v>7</v>
      </c>
      <c r="N38779" s="7" t="n">
        <v>65533</v>
      </c>
      <c r="O38779" s="7" t="n">
        <v>63822</v>
      </c>
      <c r="P38779" s="7" t="s">
        <v>16</v>
      </c>
      <c r="Q38779" s="7" t="n">
        <f t="normal" ca="1">32-LENB(INDIRECT(ADDRESS(38779,16)))</f>
        <v>0</v>
      </c>
      <c r="R38779" s="7" t="n">
        <v>7</v>
      </c>
      <c r="S38779" s="7" t="n">
        <v>65533</v>
      </c>
      <c r="T38779" s="7" t="n">
        <v>63823</v>
      </c>
      <c r="U38779" s="7" t="s">
        <v>16</v>
      </c>
      <c r="V38779" s="7" t="n">
        <f t="normal" ca="1">32-LENB(INDIRECT(ADDRESS(38779,21)))</f>
        <v>0</v>
      </c>
      <c r="W38779" s="7" t="n">
        <v>7</v>
      </c>
      <c r="X38779" s="7" t="n">
        <v>65533</v>
      </c>
      <c r="Y38779" s="7" t="n">
        <v>63824</v>
      </c>
      <c r="Z38779" s="7" t="s">
        <v>16</v>
      </c>
      <c r="AA38779" s="7" t="n">
        <f t="normal" ca="1">32-LENB(INDIRECT(ADDRESS(38779,26)))</f>
        <v>0</v>
      </c>
      <c r="AB38779" s="7" t="n">
        <v>7</v>
      </c>
      <c r="AC38779" s="7" t="n">
        <v>65533</v>
      </c>
      <c r="AD38779" s="7" t="n">
        <v>63825</v>
      </c>
      <c r="AE38779" s="7" t="s">
        <v>16</v>
      </c>
      <c r="AF38779" s="7" t="n">
        <f t="normal" ca="1">32-LENB(INDIRECT(ADDRESS(38779,31)))</f>
        <v>0</v>
      </c>
      <c r="AG38779" s="7" t="n">
        <v>7</v>
      </c>
      <c r="AH38779" s="7" t="n">
        <v>65533</v>
      </c>
      <c r="AI38779" s="7" t="n">
        <v>63826</v>
      </c>
      <c r="AJ38779" s="7" t="s">
        <v>16</v>
      </c>
      <c r="AK38779" s="7" t="n">
        <f t="normal" ca="1">32-LENB(INDIRECT(ADDRESS(38779,36)))</f>
        <v>0</v>
      </c>
      <c r="AL38779" s="7" t="n">
        <v>7</v>
      </c>
      <c r="AM38779" s="7" t="n">
        <v>65533</v>
      </c>
      <c r="AN38779" s="7" t="n">
        <v>63827</v>
      </c>
      <c r="AO38779" s="7" t="s">
        <v>16</v>
      </c>
      <c r="AP38779" s="7" t="n">
        <f t="normal" ca="1">32-LENB(INDIRECT(ADDRESS(38779,41)))</f>
        <v>0</v>
      </c>
      <c r="AQ38779" s="7" t="n">
        <v>7</v>
      </c>
      <c r="AR38779" s="7" t="n">
        <v>65533</v>
      </c>
      <c r="AS38779" s="7" t="n">
        <v>63828</v>
      </c>
      <c r="AT38779" s="7" t="s">
        <v>16</v>
      </c>
      <c r="AU38779" s="7" t="n">
        <f t="normal" ca="1">32-LENB(INDIRECT(ADDRESS(38779,46)))</f>
        <v>0</v>
      </c>
      <c r="AV38779" s="7" t="n">
        <v>7</v>
      </c>
      <c r="AW38779" s="7" t="n">
        <v>65533</v>
      </c>
      <c r="AX38779" s="7" t="n">
        <v>63780</v>
      </c>
      <c r="AY38779" s="7" t="s">
        <v>16</v>
      </c>
      <c r="AZ38779" s="7" t="n">
        <f t="normal" ca="1">32-LENB(INDIRECT(ADDRESS(38779,51)))</f>
        <v>0</v>
      </c>
      <c r="BA38779" s="7" t="n">
        <v>7</v>
      </c>
      <c r="BB38779" s="7" t="n">
        <v>65533</v>
      </c>
      <c r="BC38779" s="7" t="n">
        <v>63829</v>
      </c>
      <c r="BD38779" s="7" t="s">
        <v>16</v>
      </c>
      <c r="BE38779" s="7" t="n">
        <f t="normal" ca="1">32-LENB(INDIRECT(ADDRESS(38779,56)))</f>
        <v>0</v>
      </c>
      <c r="BF38779" s="7" t="n">
        <v>7</v>
      </c>
      <c r="BG38779" s="7" t="n">
        <v>65533</v>
      </c>
      <c r="BH38779" s="7" t="n">
        <v>63830</v>
      </c>
      <c r="BI38779" s="7" t="s">
        <v>16</v>
      </c>
      <c r="BJ38779" s="7" t="n">
        <f t="normal" ca="1">32-LENB(INDIRECT(ADDRESS(38779,61)))</f>
        <v>0</v>
      </c>
      <c r="BK38779" s="7" t="n">
        <v>7</v>
      </c>
      <c r="BL38779" s="7" t="n">
        <v>65533</v>
      </c>
      <c r="BM38779" s="7" t="n">
        <v>63831</v>
      </c>
      <c r="BN38779" s="7" t="s">
        <v>16</v>
      </c>
      <c r="BO38779" s="7" t="n">
        <f t="normal" ca="1">32-LENB(INDIRECT(ADDRESS(38779,66)))</f>
        <v>0</v>
      </c>
      <c r="BP38779" s="7" t="n">
        <v>7</v>
      </c>
      <c r="BQ38779" s="7" t="n">
        <v>65533</v>
      </c>
      <c r="BR38779" s="7" t="n">
        <v>63832</v>
      </c>
      <c r="BS38779" s="7" t="s">
        <v>16</v>
      </c>
      <c r="BT38779" s="7" t="n">
        <f t="normal" ca="1">32-LENB(INDIRECT(ADDRESS(38779,71)))</f>
        <v>0</v>
      </c>
      <c r="BU38779" s="7" t="n">
        <v>7</v>
      </c>
      <c r="BV38779" s="7" t="n">
        <v>65533</v>
      </c>
      <c r="BW38779" s="7" t="n">
        <v>63833</v>
      </c>
      <c r="BX38779" s="7" t="s">
        <v>16</v>
      </c>
      <c r="BY38779" s="7" t="n">
        <f t="normal" ca="1">32-LENB(INDIRECT(ADDRESS(38779,76)))</f>
        <v>0</v>
      </c>
      <c r="BZ38779" s="7" t="n">
        <v>7</v>
      </c>
      <c r="CA38779" s="7" t="n">
        <v>65533</v>
      </c>
      <c r="CB38779" s="7" t="n">
        <v>63834</v>
      </c>
      <c r="CC38779" s="7" t="s">
        <v>16</v>
      </c>
      <c r="CD38779" s="7" t="n">
        <f t="normal" ca="1">32-LENB(INDIRECT(ADDRESS(38779,81)))</f>
        <v>0</v>
      </c>
      <c r="CE38779" s="7" t="n">
        <v>7</v>
      </c>
      <c r="CF38779" s="7" t="n">
        <v>65533</v>
      </c>
      <c r="CG38779" s="7" t="n">
        <v>63835</v>
      </c>
      <c r="CH38779" s="7" t="s">
        <v>16</v>
      </c>
      <c r="CI38779" s="7" t="n">
        <f t="normal" ca="1">32-LENB(INDIRECT(ADDRESS(38779,86)))</f>
        <v>0</v>
      </c>
      <c r="CJ38779" s="7" t="n">
        <v>7</v>
      </c>
      <c r="CK38779" s="7" t="n">
        <v>65533</v>
      </c>
      <c r="CL38779" s="7" t="n">
        <v>63836</v>
      </c>
      <c r="CM38779" s="7" t="s">
        <v>16</v>
      </c>
      <c r="CN38779" s="7" t="n">
        <f t="normal" ca="1">32-LENB(INDIRECT(ADDRESS(38779,91)))</f>
        <v>0</v>
      </c>
      <c r="CO38779" s="7" t="n">
        <v>7</v>
      </c>
      <c r="CP38779" s="7" t="n">
        <v>65533</v>
      </c>
      <c r="CQ38779" s="7" t="n">
        <v>63837</v>
      </c>
      <c r="CR38779" s="7" t="s">
        <v>16</v>
      </c>
      <c r="CS38779" s="7" t="n">
        <f t="normal" ca="1">32-LENB(INDIRECT(ADDRESS(38779,96)))</f>
        <v>0</v>
      </c>
      <c r="CT38779" s="7" t="n">
        <v>7</v>
      </c>
      <c r="CU38779" s="7" t="n">
        <v>65533</v>
      </c>
      <c r="CV38779" s="7" t="n">
        <v>2800</v>
      </c>
      <c r="CW38779" s="7" t="s">
        <v>16</v>
      </c>
      <c r="CX38779" s="7" t="n">
        <f t="normal" ca="1">32-LENB(INDIRECT(ADDRESS(38779,101)))</f>
        <v>0</v>
      </c>
      <c r="CY38779" s="7" t="n">
        <v>7</v>
      </c>
      <c r="CZ38779" s="7" t="n">
        <v>65533</v>
      </c>
      <c r="DA38779" s="7" t="n">
        <v>2801</v>
      </c>
      <c r="DB38779" s="7" t="s">
        <v>16</v>
      </c>
      <c r="DC38779" s="7" t="n">
        <f t="normal" ca="1">32-LENB(INDIRECT(ADDRESS(38779,106)))</f>
        <v>0</v>
      </c>
      <c r="DD38779" s="7" t="n">
        <v>7</v>
      </c>
      <c r="DE38779" s="7" t="n">
        <v>65533</v>
      </c>
      <c r="DF38779" s="7" t="n">
        <v>63838</v>
      </c>
      <c r="DG38779" s="7" t="s">
        <v>16</v>
      </c>
      <c r="DH38779" s="7" t="n">
        <f t="normal" ca="1">32-LENB(INDIRECT(ADDRESS(38779,111)))</f>
        <v>0</v>
      </c>
      <c r="DI38779" s="7" t="n">
        <v>7</v>
      </c>
      <c r="DJ38779" s="7" t="n">
        <v>65533</v>
      </c>
      <c r="DK38779" s="7" t="n">
        <v>63839</v>
      </c>
      <c r="DL38779" s="7" t="s">
        <v>16</v>
      </c>
      <c r="DM38779" s="7" t="n">
        <f t="normal" ca="1">32-LENB(INDIRECT(ADDRESS(38779,116)))</f>
        <v>0</v>
      </c>
      <c r="DN38779" s="7" t="n">
        <v>7</v>
      </c>
      <c r="DO38779" s="7" t="n">
        <v>65533</v>
      </c>
      <c r="DP38779" s="7" t="n">
        <v>63840</v>
      </c>
      <c r="DQ38779" s="7" t="s">
        <v>16</v>
      </c>
      <c r="DR38779" s="7" t="n">
        <f t="normal" ca="1">32-LENB(INDIRECT(ADDRESS(38779,121)))</f>
        <v>0</v>
      </c>
      <c r="DS38779" s="7" t="n">
        <v>7</v>
      </c>
      <c r="DT38779" s="7" t="n">
        <v>65533</v>
      </c>
      <c r="DU38779" s="7" t="n">
        <v>2802</v>
      </c>
      <c r="DV38779" s="7" t="s">
        <v>16</v>
      </c>
      <c r="DW38779" s="7" t="n">
        <f t="normal" ca="1">32-LENB(INDIRECT(ADDRESS(38779,126)))</f>
        <v>0</v>
      </c>
      <c r="DX38779" s="7" t="n">
        <v>7</v>
      </c>
      <c r="DY38779" s="7" t="n">
        <v>65533</v>
      </c>
      <c r="DZ38779" s="7" t="n">
        <v>2803</v>
      </c>
      <c r="EA38779" s="7" t="s">
        <v>16</v>
      </c>
      <c r="EB38779" s="7" t="n">
        <f t="normal" ca="1">32-LENB(INDIRECT(ADDRESS(38779,131)))</f>
        <v>0</v>
      </c>
      <c r="EC38779" s="7" t="n">
        <v>7</v>
      </c>
      <c r="ED38779" s="7" t="n">
        <v>65533</v>
      </c>
      <c r="EE38779" s="7" t="n">
        <v>2804</v>
      </c>
      <c r="EF38779" s="7" t="s">
        <v>16</v>
      </c>
      <c r="EG38779" s="7" t="n">
        <f t="normal" ca="1">32-LENB(INDIRECT(ADDRESS(38779,136)))</f>
        <v>0</v>
      </c>
      <c r="EH38779" s="7" t="n">
        <v>7</v>
      </c>
      <c r="EI38779" s="7" t="n">
        <v>65533</v>
      </c>
      <c r="EJ38779" s="7" t="n">
        <v>63841</v>
      </c>
      <c r="EK38779" s="7" t="s">
        <v>16</v>
      </c>
      <c r="EL38779" s="7" t="n">
        <f t="normal" ca="1">32-LENB(INDIRECT(ADDRESS(38779,141)))</f>
        <v>0</v>
      </c>
      <c r="EM38779" s="7" t="n">
        <v>7</v>
      </c>
      <c r="EN38779" s="7" t="n">
        <v>65533</v>
      </c>
      <c r="EO38779" s="7" t="n">
        <v>63842</v>
      </c>
      <c r="EP38779" s="7" t="s">
        <v>16</v>
      </c>
      <c r="EQ38779" s="7" t="n">
        <f t="normal" ca="1">32-LENB(INDIRECT(ADDRESS(38779,146)))</f>
        <v>0</v>
      </c>
      <c r="ER38779" s="7" t="n">
        <v>7</v>
      </c>
      <c r="ES38779" s="7" t="n">
        <v>65533</v>
      </c>
      <c r="ET38779" s="7" t="n">
        <v>63843</v>
      </c>
      <c r="EU38779" s="7" t="s">
        <v>16</v>
      </c>
      <c r="EV38779" s="7" t="n">
        <f t="normal" ca="1">32-LENB(INDIRECT(ADDRESS(38779,151)))</f>
        <v>0</v>
      </c>
      <c r="EW38779" s="7" t="n">
        <v>7</v>
      </c>
      <c r="EX38779" s="7" t="n">
        <v>65533</v>
      </c>
      <c r="EY38779" s="7" t="n">
        <v>63844</v>
      </c>
      <c r="EZ38779" s="7" t="s">
        <v>16</v>
      </c>
      <c r="FA38779" s="7" t="n">
        <f t="normal" ca="1">32-LENB(INDIRECT(ADDRESS(38779,156)))</f>
        <v>0</v>
      </c>
      <c r="FB38779" s="7" t="n">
        <v>7</v>
      </c>
      <c r="FC38779" s="7" t="n">
        <v>65533</v>
      </c>
      <c r="FD38779" s="7" t="n">
        <v>2805</v>
      </c>
      <c r="FE38779" s="7" t="s">
        <v>16</v>
      </c>
      <c r="FF38779" s="7" t="n">
        <f t="normal" ca="1">32-LENB(INDIRECT(ADDRESS(38779,161)))</f>
        <v>0</v>
      </c>
      <c r="FG38779" s="7" t="n">
        <v>7</v>
      </c>
      <c r="FH38779" s="7" t="n">
        <v>65533</v>
      </c>
      <c r="FI38779" s="7" t="n">
        <v>2806</v>
      </c>
      <c r="FJ38779" s="7" t="s">
        <v>16</v>
      </c>
      <c r="FK38779" s="7" t="n">
        <f t="normal" ca="1">32-LENB(INDIRECT(ADDRESS(38779,166)))</f>
        <v>0</v>
      </c>
      <c r="FL38779" s="7" t="n">
        <v>7</v>
      </c>
      <c r="FM38779" s="7" t="n">
        <v>65533</v>
      </c>
      <c r="FN38779" s="7" t="n">
        <v>2807</v>
      </c>
      <c r="FO38779" s="7" t="s">
        <v>16</v>
      </c>
      <c r="FP38779" s="7" t="n">
        <f t="normal" ca="1">32-LENB(INDIRECT(ADDRESS(38779,171)))</f>
        <v>0</v>
      </c>
      <c r="FQ38779" s="7" t="n">
        <v>7</v>
      </c>
      <c r="FR38779" s="7" t="n">
        <v>65533</v>
      </c>
      <c r="FS38779" s="7" t="n">
        <v>2808</v>
      </c>
      <c r="FT38779" s="7" t="s">
        <v>16</v>
      </c>
      <c r="FU38779" s="7" t="n">
        <f t="normal" ca="1">32-LENB(INDIRECT(ADDRESS(38779,176)))</f>
        <v>0</v>
      </c>
      <c r="FV38779" s="7" t="n">
        <v>7</v>
      </c>
      <c r="FW38779" s="7" t="n">
        <v>65533</v>
      </c>
      <c r="FX38779" s="7" t="n">
        <v>2809</v>
      </c>
      <c r="FY38779" s="7" t="s">
        <v>16</v>
      </c>
      <c r="FZ38779" s="7" t="n">
        <f t="normal" ca="1">32-LENB(INDIRECT(ADDRESS(38779,181)))</f>
        <v>0</v>
      </c>
      <c r="GA38779" s="7" t="n">
        <v>7</v>
      </c>
      <c r="GB38779" s="7" t="n">
        <v>65533</v>
      </c>
      <c r="GC38779" s="7" t="n">
        <v>63845</v>
      </c>
      <c r="GD38779" s="7" t="s">
        <v>16</v>
      </c>
      <c r="GE38779" s="7" t="n">
        <f t="normal" ca="1">32-LENB(INDIRECT(ADDRESS(38779,186)))</f>
        <v>0</v>
      </c>
      <c r="GF38779" s="7" t="n">
        <v>7</v>
      </c>
      <c r="GG38779" s="7" t="n">
        <v>65533</v>
      </c>
      <c r="GH38779" s="7" t="n">
        <v>2810</v>
      </c>
      <c r="GI38779" s="7" t="s">
        <v>16</v>
      </c>
      <c r="GJ38779" s="7" t="n">
        <f t="normal" ca="1">32-LENB(INDIRECT(ADDRESS(38779,191)))</f>
        <v>0</v>
      </c>
      <c r="GK38779" s="7" t="n">
        <v>7</v>
      </c>
      <c r="GL38779" s="7" t="n">
        <v>65533</v>
      </c>
      <c r="GM38779" s="7" t="n">
        <v>2811</v>
      </c>
      <c r="GN38779" s="7" t="s">
        <v>16</v>
      </c>
      <c r="GO38779" s="7" t="n">
        <f t="normal" ca="1">32-LENB(INDIRECT(ADDRESS(38779,196)))</f>
        <v>0</v>
      </c>
      <c r="GP38779" s="7" t="n">
        <v>7</v>
      </c>
      <c r="GQ38779" s="7" t="n">
        <v>65533</v>
      </c>
      <c r="GR38779" s="7" t="n">
        <v>63846</v>
      </c>
      <c r="GS38779" s="7" t="s">
        <v>16</v>
      </c>
      <c r="GT38779" s="7" t="n">
        <f t="normal" ca="1">32-LENB(INDIRECT(ADDRESS(38779,201)))</f>
        <v>0</v>
      </c>
      <c r="GU38779" s="7" t="n">
        <v>7</v>
      </c>
      <c r="GV38779" s="7" t="n">
        <v>65533</v>
      </c>
      <c r="GW38779" s="7" t="n">
        <v>2812</v>
      </c>
      <c r="GX38779" s="7" t="s">
        <v>16</v>
      </c>
      <c r="GY38779" s="7" t="n">
        <f t="normal" ca="1">32-LENB(INDIRECT(ADDRESS(38779,206)))</f>
        <v>0</v>
      </c>
      <c r="GZ38779" s="7" t="n">
        <v>7</v>
      </c>
      <c r="HA38779" s="7" t="n">
        <v>65533</v>
      </c>
      <c r="HB38779" s="7" t="n">
        <v>2813</v>
      </c>
      <c r="HC38779" s="7" t="s">
        <v>16</v>
      </c>
      <c r="HD38779" s="7" t="n">
        <f t="normal" ca="1">32-LENB(INDIRECT(ADDRESS(38779,211)))</f>
        <v>0</v>
      </c>
      <c r="HE38779" s="7" t="n">
        <v>7</v>
      </c>
      <c r="HF38779" s="7" t="n">
        <v>65533</v>
      </c>
      <c r="HG38779" s="7" t="n">
        <v>2814</v>
      </c>
      <c r="HH38779" s="7" t="s">
        <v>16</v>
      </c>
      <c r="HI38779" s="7" t="n">
        <f t="normal" ca="1">32-LENB(INDIRECT(ADDRESS(38779,216)))</f>
        <v>0</v>
      </c>
      <c r="HJ38779" s="7" t="n">
        <v>7</v>
      </c>
      <c r="HK38779" s="7" t="n">
        <v>65533</v>
      </c>
      <c r="HL38779" s="7" t="n">
        <v>2815</v>
      </c>
      <c r="HM38779" s="7" t="s">
        <v>16</v>
      </c>
      <c r="HN38779" s="7" t="n">
        <f t="normal" ca="1">32-LENB(INDIRECT(ADDRESS(38779,221)))</f>
        <v>0</v>
      </c>
      <c r="HO38779" s="7" t="n">
        <v>7</v>
      </c>
      <c r="HP38779" s="7" t="n">
        <v>65533</v>
      </c>
      <c r="HQ38779" s="7" t="n">
        <v>63847</v>
      </c>
      <c r="HR38779" s="7" t="s">
        <v>16</v>
      </c>
      <c r="HS38779" s="7" t="n">
        <f t="normal" ca="1">32-LENB(INDIRECT(ADDRESS(38779,226)))</f>
        <v>0</v>
      </c>
      <c r="HT38779" s="7" t="n">
        <v>7</v>
      </c>
      <c r="HU38779" s="7" t="n">
        <v>65533</v>
      </c>
      <c r="HV38779" s="7" t="n">
        <v>2816</v>
      </c>
      <c r="HW38779" s="7" t="s">
        <v>16</v>
      </c>
      <c r="HX38779" s="7" t="n">
        <f t="normal" ca="1">32-LENB(INDIRECT(ADDRESS(38779,231)))</f>
        <v>0</v>
      </c>
      <c r="HY38779" s="7" t="n">
        <v>7</v>
      </c>
      <c r="HZ38779" s="7" t="n">
        <v>65533</v>
      </c>
      <c r="IA38779" s="7" t="n">
        <v>2817</v>
      </c>
      <c r="IB38779" s="7" t="s">
        <v>16</v>
      </c>
      <c r="IC38779" s="7" t="n">
        <f t="normal" ca="1">32-LENB(INDIRECT(ADDRESS(38779,236)))</f>
        <v>0</v>
      </c>
      <c r="ID38779" s="7" t="n">
        <v>7</v>
      </c>
      <c r="IE38779" s="7" t="n">
        <v>65533</v>
      </c>
      <c r="IF38779" s="7" t="n">
        <v>2818</v>
      </c>
      <c r="IG38779" s="7" t="s">
        <v>16</v>
      </c>
      <c r="IH38779" s="7" t="n">
        <f t="normal" ca="1">32-LENB(INDIRECT(ADDRESS(38779,241)))</f>
        <v>0</v>
      </c>
      <c r="II38779" s="7" t="n">
        <v>7</v>
      </c>
      <c r="IJ38779" s="7" t="n">
        <v>65533</v>
      </c>
      <c r="IK38779" s="7" t="n">
        <v>2819</v>
      </c>
      <c r="IL38779" s="7" t="s">
        <v>16</v>
      </c>
      <c r="IM38779" s="7" t="n">
        <f t="normal" ca="1">32-LENB(INDIRECT(ADDRESS(38779,246)))</f>
        <v>0</v>
      </c>
      <c r="IN38779" s="7" t="n">
        <v>7</v>
      </c>
      <c r="IO38779" s="7" t="n">
        <v>65533</v>
      </c>
      <c r="IP38779" s="7" t="n">
        <v>63848</v>
      </c>
      <c r="IQ38779" s="7" t="s">
        <v>16</v>
      </c>
      <c r="IR38779" s="7" t="n">
        <f t="normal" ca="1">32-LENB(INDIRECT(ADDRESS(38779,251)))</f>
        <v>0</v>
      </c>
      <c r="IS38779" s="7" t="n">
        <v>7</v>
      </c>
      <c r="IT38779" s="7" t="n">
        <v>65533</v>
      </c>
      <c r="IU38779" s="7" t="n">
        <v>63849</v>
      </c>
      <c r="IV38779" s="7" t="s">
        <v>16</v>
      </c>
      <c r="IW38779" s="7" t="n">
        <f t="normal" ca="1">32-LENB(INDIRECT(ADDRESS(38779,256)))</f>
        <v>0</v>
      </c>
      <c r="IX38779" s="7" t="n">
        <v>7</v>
      </c>
      <c r="IY38779" s="7" t="n">
        <v>65533</v>
      </c>
      <c r="IZ38779" s="7" t="n">
        <v>2820</v>
      </c>
      <c r="JA38779" s="7" t="s">
        <v>16</v>
      </c>
      <c r="JB38779" s="7" t="n">
        <f t="normal" ca="1">32-LENB(INDIRECT(ADDRESS(38779,261)))</f>
        <v>0</v>
      </c>
      <c r="JC38779" s="7" t="n">
        <v>7</v>
      </c>
      <c r="JD38779" s="7" t="n">
        <v>65533</v>
      </c>
      <c r="JE38779" s="7" t="n">
        <v>63850</v>
      </c>
      <c r="JF38779" s="7" t="s">
        <v>16</v>
      </c>
      <c r="JG38779" s="7" t="n">
        <f t="normal" ca="1">32-LENB(INDIRECT(ADDRESS(38779,266)))</f>
        <v>0</v>
      </c>
      <c r="JH38779" s="7" t="n">
        <v>7</v>
      </c>
      <c r="JI38779" s="7" t="n">
        <v>65533</v>
      </c>
      <c r="JJ38779" s="7" t="n">
        <v>63851</v>
      </c>
      <c r="JK38779" s="7" t="s">
        <v>16</v>
      </c>
      <c r="JL38779" s="7" t="n">
        <f t="normal" ca="1">32-LENB(INDIRECT(ADDRESS(38779,271)))</f>
        <v>0</v>
      </c>
      <c r="JM38779" s="7" t="n">
        <v>7</v>
      </c>
      <c r="JN38779" s="7" t="n">
        <v>65533</v>
      </c>
      <c r="JO38779" s="7" t="n">
        <v>63852</v>
      </c>
      <c r="JP38779" s="7" t="s">
        <v>16</v>
      </c>
      <c r="JQ38779" s="7" t="n">
        <f t="normal" ca="1">32-LENB(INDIRECT(ADDRESS(38779,276)))</f>
        <v>0</v>
      </c>
      <c r="JR38779" s="7" t="n">
        <v>7</v>
      </c>
      <c r="JS38779" s="7" t="n">
        <v>65533</v>
      </c>
      <c r="JT38779" s="7" t="n">
        <v>63853</v>
      </c>
      <c r="JU38779" s="7" t="s">
        <v>16</v>
      </c>
      <c r="JV38779" s="7" t="n">
        <f t="normal" ca="1">32-LENB(INDIRECT(ADDRESS(38779,281)))</f>
        <v>0</v>
      </c>
      <c r="JW38779" s="7" t="n">
        <v>7</v>
      </c>
      <c r="JX38779" s="7" t="n">
        <v>65533</v>
      </c>
      <c r="JY38779" s="7" t="n">
        <v>63854</v>
      </c>
      <c r="JZ38779" s="7" t="s">
        <v>16</v>
      </c>
      <c r="KA38779" s="7" t="n">
        <f t="normal" ca="1">32-LENB(INDIRECT(ADDRESS(38779,286)))</f>
        <v>0</v>
      </c>
      <c r="KB38779" s="7" t="n">
        <v>7</v>
      </c>
      <c r="KC38779" s="7" t="n">
        <v>65533</v>
      </c>
      <c r="KD38779" s="7" t="n">
        <v>2821</v>
      </c>
      <c r="KE38779" s="7" t="s">
        <v>16</v>
      </c>
      <c r="KF38779" s="7" t="n">
        <f t="normal" ca="1">32-LENB(INDIRECT(ADDRESS(38779,291)))</f>
        <v>0</v>
      </c>
      <c r="KG38779" s="7" t="n">
        <v>7</v>
      </c>
      <c r="KH38779" s="7" t="n">
        <v>65533</v>
      </c>
      <c r="KI38779" s="7" t="n">
        <v>63855</v>
      </c>
      <c r="KJ38779" s="7" t="s">
        <v>16</v>
      </c>
      <c r="KK38779" s="7" t="n">
        <f t="normal" ca="1">32-LENB(INDIRECT(ADDRESS(38779,296)))</f>
        <v>0</v>
      </c>
      <c r="KL38779" s="7" t="n">
        <v>7</v>
      </c>
      <c r="KM38779" s="7" t="n">
        <v>65533</v>
      </c>
      <c r="KN38779" s="7" t="n">
        <v>63856</v>
      </c>
      <c r="KO38779" s="7" t="s">
        <v>16</v>
      </c>
      <c r="KP38779" s="7" t="n">
        <f t="normal" ca="1">32-LENB(INDIRECT(ADDRESS(38779,301)))</f>
        <v>0</v>
      </c>
      <c r="KQ38779" s="7" t="n">
        <v>7</v>
      </c>
      <c r="KR38779" s="7" t="n">
        <v>65533</v>
      </c>
      <c r="KS38779" s="7" t="n">
        <v>63857</v>
      </c>
      <c r="KT38779" s="7" t="s">
        <v>16</v>
      </c>
      <c r="KU38779" s="7" t="n">
        <f t="normal" ca="1">32-LENB(INDIRECT(ADDRESS(38779,306)))</f>
        <v>0</v>
      </c>
      <c r="KV38779" s="7" t="n">
        <v>7</v>
      </c>
      <c r="KW38779" s="7" t="n">
        <v>65533</v>
      </c>
      <c r="KX38779" s="7" t="n">
        <v>63858</v>
      </c>
      <c r="KY38779" s="7" t="s">
        <v>16</v>
      </c>
      <c r="KZ38779" s="7" t="n">
        <f t="normal" ca="1">32-LENB(INDIRECT(ADDRESS(38779,311)))</f>
        <v>0</v>
      </c>
      <c r="LA38779" s="7" t="n">
        <v>7</v>
      </c>
      <c r="LB38779" s="7" t="n">
        <v>65533</v>
      </c>
      <c r="LC38779" s="7" t="n">
        <v>2822</v>
      </c>
      <c r="LD38779" s="7" t="s">
        <v>16</v>
      </c>
      <c r="LE38779" s="7" t="n">
        <f t="normal" ca="1">32-LENB(INDIRECT(ADDRESS(38779,316)))</f>
        <v>0</v>
      </c>
      <c r="LF38779" s="7" t="n">
        <v>7</v>
      </c>
      <c r="LG38779" s="7" t="n">
        <v>65533</v>
      </c>
      <c r="LH38779" s="7" t="n">
        <v>2823</v>
      </c>
      <c r="LI38779" s="7" t="s">
        <v>16</v>
      </c>
      <c r="LJ38779" s="7" t="n">
        <f t="normal" ca="1">32-LENB(INDIRECT(ADDRESS(38779,321)))</f>
        <v>0</v>
      </c>
      <c r="LK38779" s="7" t="n">
        <v>4</v>
      </c>
      <c r="LL38779" s="7" t="n">
        <v>65533</v>
      </c>
      <c r="LM38779" s="7" t="n">
        <v>2004</v>
      </c>
      <c r="LN38779" s="7" t="s">
        <v>16</v>
      </c>
      <c r="LO38779" s="7" t="n">
        <f t="normal" ca="1">32-LENB(INDIRECT(ADDRESS(38779,326)))</f>
        <v>0</v>
      </c>
      <c r="LP38779" s="7" t="n">
        <v>7</v>
      </c>
      <c r="LQ38779" s="7" t="n">
        <v>65533</v>
      </c>
      <c r="LR38779" s="7" t="n">
        <v>63859</v>
      </c>
      <c r="LS38779" s="7" t="s">
        <v>16</v>
      </c>
      <c r="LT38779" s="7" t="n">
        <f t="normal" ca="1">32-LENB(INDIRECT(ADDRESS(38779,331)))</f>
        <v>0</v>
      </c>
      <c r="LU38779" s="7" t="n">
        <v>7</v>
      </c>
      <c r="LV38779" s="7" t="n">
        <v>65533</v>
      </c>
      <c r="LW38779" s="7" t="n">
        <v>2824</v>
      </c>
      <c r="LX38779" s="7" t="s">
        <v>16</v>
      </c>
      <c r="LY38779" s="7" t="n">
        <f t="normal" ca="1">32-LENB(INDIRECT(ADDRESS(38779,336)))</f>
        <v>0</v>
      </c>
      <c r="LZ38779" s="7" t="n">
        <v>7</v>
      </c>
      <c r="MA38779" s="7" t="n">
        <v>65533</v>
      </c>
      <c r="MB38779" s="7" t="n">
        <v>2825</v>
      </c>
      <c r="MC38779" s="7" t="s">
        <v>16</v>
      </c>
      <c r="MD38779" s="7" t="n">
        <f t="normal" ca="1">32-LENB(INDIRECT(ADDRESS(38779,341)))</f>
        <v>0</v>
      </c>
      <c r="ME38779" s="7" t="n">
        <v>7</v>
      </c>
      <c r="MF38779" s="7" t="n">
        <v>65533</v>
      </c>
      <c r="MG38779" s="7" t="n">
        <v>63860</v>
      </c>
      <c r="MH38779" s="7" t="s">
        <v>16</v>
      </c>
      <c r="MI38779" s="7" t="n">
        <f t="normal" ca="1">32-LENB(INDIRECT(ADDRESS(38779,346)))</f>
        <v>0</v>
      </c>
      <c r="MJ38779" s="7" t="n">
        <v>4</v>
      </c>
      <c r="MK38779" s="7" t="n">
        <v>65533</v>
      </c>
      <c r="ML38779" s="7" t="n">
        <v>2000</v>
      </c>
      <c r="MM38779" s="7" t="s">
        <v>16</v>
      </c>
      <c r="MN38779" s="7" t="n">
        <f t="normal" ca="1">32-LENB(INDIRECT(ADDRESS(38779,351)))</f>
        <v>0</v>
      </c>
      <c r="MO38779" s="7" t="n">
        <v>7</v>
      </c>
      <c r="MP38779" s="7" t="n">
        <v>65533</v>
      </c>
      <c r="MQ38779" s="7" t="n">
        <v>63861</v>
      </c>
      <c r="MR38779" s="7" t="s">
        <v>16</v>
      </c>
      <c r="MS38779" s="7" t="n">
        <f t="normal" ca="1">32-LENB(INDIRECT(ADDRESS(38779,356)))</f>
        <v>0</v>
      </c>
      <c r="MT38779" s="7" t="n">
        <v>7</v>
      </c>
      <c r="MU38779" s="7" t="n">
        <v>65533</v>
      </c>
      <c r="MV38779" s="7" t="n">
        <v>63862</v>
      </c>
      <c r="MW38779" s="7" t="s">
        <v>16</v>
      </c>
      <c r="MX38779" s="7" t="n">
        <f t="normal" ca="1">32-LENB(INDIRECT(ADDRESS(38779,361)))</f>
        <v>0</v>
      </c>
      <c r="MY38779" s="7" t="n">
        <v>7</v>
      </c>
      <c r="MZ38779" s="7" t="n">
        <v>65533</v>
      </c>
      <c r="NA38779" s="7" t="n">
        <v>63863</v>
      </c>
      <c r="NB38779" s="7" t="s">
        <v>16</v>
      </c>
      <c r="NC38779" s="7" t="n">
        <f t="normal" ca="1">32-LENB(INDIRECT(ADDRESS(38779,366)))</f>
        <v>0</v>
      </c>
      <c r="ND38779" s="7" t="n">
        <v>7</v>
      </c>
      <c r="NE38779" s="7" t="n">
        <v>65533</v>
      </c>
      <c r="NF38779" s="7" t="n">
        <v>2826</v>
      </c>
      <c r="NG38779" s="7" t="s">
        <v>16</v>
      </c>
      <c r="NH38779" s="7" t="n">
        <f t="normal" ca="1">32-LENB(INDIRECT(ADDRESS(38779,371)))</f>
        <v>0</v>
      </c>
      <c r="NI38779" s="7" t="n">
        <v>7</v>
      </c>
      <c r="NJ38779" s="7" t="n">
        <v>65533</v>
      </c>
      <c r="NK38779" s="7" t="n">
        <v>2827</v>
      </c>
      <c r="NL38779" s="7" t="s">
        <v>16</v>
      </c>
      <c r="NM38779" s="7" t="n">
        <f t="normal" ca="1">32-LENB(INDIRECT(ADDRESS(38779,376)))</f>
        <v>0</v>
      </c>
      <c r="NN38779" s="7" t="n">
        <v>0</v>
      </c>
      <c r="NO38779" s="7" t="n">
        <v>65533</v>
      </c>
      <c r="NP38779" s="7" t="n">
        <v>0</v>
      </c>
      <c r="NQ38779" s="7" t="s">
        <v>16</v>
      </c>
      <c r="NR38779" s="7" t="n">
        <f t="normal" ca="1">32-LENB(INDIRECT(ADDRESS(38779,381)))</f>
        <v>0</v>
      </c>
    </row>
    <row r="38780" spans="1:167">
      <c r="A38780" t="s">
        <v>4</v>
      </c>
      <c r="B38780" s="4" t="s">
        <v>5</v>
      </c>
    </row>
    <row r="38781" spans="1:167">
      <c r="A38781" t="n">
        <v>391520</v>
      </c>
      <c r="B38781" s="5" t="n">
        <v>1</v>
      </c>
    </row>
    <row r="38782" spans="1:167" s="3" customFormat="1" customHeight="0">
      <c r="A38782" s="3" t="s">
        <v>2</v>
      </c>
      <c r="B38782" s="3" t="s">
        <v>1865</v>
      </c>
    </row>
    <row r="38783" spans="1:167">
      <c r="A38783" t="s">
        <v>4</v>
      </c>
      <c r="B38783" s="4" t="s">
        <v>5</v>
      </c>
      <c r="C38783" s="4" t="s">
        <v>11</v>
      </c>
      <c r="D38783" s="4" t="s">
        <v>11</v>
      </c>
      <c r="E38783" s="4" t="s">
        <v>15</v>
      </c>
      <c r="F38783" s="4" t="s">
        <v>8</v>
      </c>
      <c r="G38783" s="4" t="s">
        <v>1859</v>
      </c>
      <c r="H38783" s="4" t="s">
        <v>11</v>
      </c>
      <c r="I38783" s="4" t="s">
        <v>11</v>
      </c>
      <c r="J38783" s="4" t="s">
        <v>15</v>
      </c>
      <c r="K38783" s="4" t="s">
        <v>8</v>
      </c>
      <c r="L38783" s="4" t="s">
        <v>1859</v>
      </c>
      <c r="M38783" s="4" t="s">
        <v>11</v>
      </c>
      <c r="N38783" s="4" t="s">
        <v>11</v>
      </c>
      <c r="O38783" s="4" t="s">
        <v>15</v>
      </c>
      <c r="P38783" s="4" t="s">
        <v>8</v>
      </c>
      <c r="Q38783" s="4" t="s">
        <v>1859</v>
      </c>
      <c r="R38783" s="4" t="s">
        <v>11</v>
      </c>
      <c r="S38783" s="4" t="s">
        <v>11</v>
      </c>
      <c r="T38783" s="4" t="s">
        <v>15</v>
      </c>
      <c r="U38783" s="4" t="s">
        <v>8</v>
      </c>
      <c r="V38783" s="4" t="s">
        <v>1859</v>
      </c>
      <c r="W38783" s="4" t="s">
        <v>11</v>
      </c>
      <c r="X38783" s="4" t="s">
        <v>11</v>
      </c>
      <c r="Y38783" s="4" t="s">
        <v>15</v>
      </c>
      <c r="Z38783" s="4" t="s">
        <v>8</v>
      </c>
      <c r="AA38783" s="4" t="s">
        <v>1859</v>
      </c>
      <c r="AB38783" s="4" t="s">
        <v>11</v>
      </c>
      <c r="AC38783" s="4" t="s">
        <v>11</v>
      </c>
      <c r="AD38783" s="4" t="s">
        <v>15</v>
      </c>
      <c r="AE38783" s="4" t="s">
        <v>8</v>
      </c>
      <c r="AF38783" s="4" t="s">
        <v>1859</v>
      </c>
      <c r="AG38783" s="4" t="s">
        <v>11</v>
      </c>
      <c r="AH38783" s="4" t="s">
        <v>11</v>
      </c>
      <c r="AI38783" s="4" t="s">
        <v>15</v>
      </c>
      <c r="AJ38783" s="4" t="s">
        <v>8</v>
      </c>
      <c r="AK38783" s="4" t="s">
        <v>1859</v>
      </c>
      <c r="AL38783" s="4" t="s">
        <v>11</v>
      </c>
      <c r="AM38783" s="4" t="s">
        <v>11</v>
      </c>
      <c r="AN38783" s="4" t="s">
        <v>15</v>
      </c>
      <c r="AO38783" s="4" t="s">
        <v>8</v>
      </c>
      <c r="AP38783" s="4" t="s">
        <v>1859</v>
      </c>
      <c r="AQ38783" s="4" t="s">
        <v>11</v>
      </c>
      <c r="AR38783" s="4" t="s">
        <v>11</v>
      </c>
      <c r="AS38783" s="4" t="s">
        <v>15</v>
      </c>
      <c r="AT38783" s="4" t="s">
        <v>8</v>
      </c>
      <c r="AU38783" s="4" t="s">
        <v>1859</v>
      </c>
      <c r="AV38783" s="4" t="s">
        <v>11</v>
      </c>
      <c r="AW38783" s="4" t="s">
        <v>11</v>
      </c>
      <c r="AX38783" s="4" t="s">
        <v>15</v>
      </c>
      <c r="AY38783" s="4" t="s">
        <v>8</v>
      </c>
      <c r="AZ38783" s="4" t="s">
        <v>1859</v>
      </c>
      <c r="BA38783" s="4" t="s">
        <v>11</v>
      </c>
      <c r="BB38783" s="4" t="s">
        <v>11</v>
      </c>
      <c r="BC38783" s="4" t="s">
        <v>15</v>
      </c>
      <c r="BD38783" s="4" t="s">
        <v>8</v>
      </c>
      <c r="BE38783" s="4" t="s">
        <v>1859</v>
      </c>
      <c r="BF38783" s="4" t="s">
        <v>11</v>
      </c>
      <c r="BG38783" s="4" t="s">
        <v>11</v>
      </c>
      <c r="BH38783" s="4" t="s">
        <v>15</v>
      </c>
      <c r="BI38783" s="4" t="s">
        <v>8</v>
      </c>
      <c r="BJ38783" s="4" t="s">
        <v>1859</v>
      </c>
      <c r="BK38783" s="4" t="s">
        <v>11</v>
      </c>
      <c r="BL38783" s="4" t="s">
        <v>11</v>
      </c>
      <c r="BM38783" s="4" t="s">
        <v>15</v>
      </c>
      <c r="BN38783" s="4" t="s">
        <v>8</v>
      </c>
      <c r="BO38783" s="4" t="s">
        <v>1859</v>
      </c>
      <c r="BP38783" s="4" t="s">
        <v>11</v>
      </c>
      <c r="BQ38783" s="4" t="s">
        <v>11</v>
      </c>
      <c r="BR38783" s="4" t="s">
        <v>15</v>
      </c>
      <c r="BS38783" s="4" t="s">
        <v>8</v>
      </c>
      <c r="BT38783" s="4" t="s">
        <v>1859</v>
      </c>
      <c r="BU38783" s="4" t="s">
        <v>11</v>
      </c>
      <c r="BV38783" s="4" t="s">
        <v>11</v>
      </c>
      <c r="BW38783" s="4" t="s">
        <v>15</v>
      </c>
      <c r="BX38783" s="4" t="s">
        <v>8</v>
      </c>
      <c r="BY38783" s="4" t="s">
        <v>1859</v>
      </c>
      <c r="BZ38783" s="4" t="s">
        <v>11</v>
      </c>
      <c r="CA38783" s="4" t="s">
        <v>11</v>
      </c>
      <c r="CB38783" s="4" t="s">
        <v>15</v>
      </c>
      <c r="CC38783" s="4" t="s">
        <v>8</v>
      </c>
      <c r="CD38783" s="4" t="s">
        <v>1859</v>
      </c>
      <c r="CE38783" s="4" t="s">
        <v>11</v>
      </c>
      <c r="CF38783" s="4" t="s">
        <v>11</v>
      </c>
      <c r="CG38783" s="4" t="s">
        <v>15</v>
      </c>
      <c r="CH38783" s="4" t="s">
        <v>8</v>
      </c>
      <c r="CI38783" s="4" t="s">
        <v>1859</v>
      </c>
      <c r="CJ38783" s="4" t="s">
        <v>11</v>
      </c>
      <c r="CK38783" s="4" t="s">
        <v>11</v>
      </c>
      <c r="CL38783" s="4" t="s">
        <v>15</v>
      </c>
      <c r="CM38783" s="4" t="s">
        <v>8</v>
      </c>
      <c r="CN38783" s="4" t="s">
        <v>1859</v>
      </c>
      <c r="CO38783" s="4" t="s">
        <v>11</v>
      </c>
      <c r="CP38783" s="4" t="s">
        <v>11</v>
      </c>
      <c r="CQ38783" s="4" t="s">
        <v>15</v>
      </c>
      <c r="CR38783" s="4" t="s">
        <v>8</v>
      </c>
      <c r="CS38783" s="4" t="s">
        <v>1859</v>
      </c>
      <c r="CT38783" s="4" t="s">
        <v>11</v>
      </c>
      <c r="CU38783" s="4" t="s">
        <v>11</v>
      </c>
      <c r="CV38783" s="4" t="s">
        <v>15</v>
      </c>
      <c r="CW38783" s="4" t="s">
        <v>8</v>
      </c>
      <c r="CX38783" s="4" t="s">
        <v>1859</v>
      </c>
      <c r="CY38783" s="4" t="s">
        <v>11</v>
      </c>
      <c r="CZ38783" s="4" t="s">
        <v>11</v>
      </c>
      <c r="DA38783" s="4" t="s">
        <v>15</v>
      </c>
      <c r="DB38783" s="4" t="s">
        <v>8</v>
      </c>
      <c r="DC38783" s="4" t="s">
        <v>1859</v>
      </c>
      <c r="DD38783" s="4" t="s">
        <v>11</v>
      </c>
      <c r="DE38783" s="4" t="s">
        <v>11</v>
      </c>
      <c r="DF38783" s="4" t="s">
        <v>15</v>
      </c>
      <c r="DG38783" s="4" t="s">
        <v>8</v>
      </c>
      <c r="DH38783" s="4" t="s">
        <v>1859</v>
      </c>
      <c r="DI38783" s="4" t="s">
        <v>11</v>
      </c>
      <c r="DJ38783" s="4" t="s">
        <v>11</v>
      </c>
      <c r="DK38783" s="4" t="s">
        <v>15</v>
      </c>
      <c r="DL38783" s="4" t="s">
        <v>8</v>
      </c>
      <c r="DM38783" s="4" t="s">
        <v>1859</v>
      </c>
      <c r="DN38783" s="4" t="s">
        <v>11</v>
      </c>
      <c r="DO38783" s="4" t="s">
        <v>11</v>
      </c>
      <c r="DP38783" s="4" t="s">
        <v>15</v>
      </c>
      <c r="DQ38783" s="4" t="s">
        <v>8</v>
      </c>
      <c r="DR38783" s="4" t="s">
        <v>1859</v>
      </c>
      <c r="DS38783" s="4" t="s">
        <v>11</v>
      </c>
      <c r="DT38783" s="4" t="s">
        <v>11</v>
      </c>
      <c r="DU38783" s="4" t="s">
        <v>15</v>
      </c>
      <c r="DV38783" s="4" t="s">
        <v>8</v>
      </c>
      <c r="DW38783" s="4" t="s">
        <v>1859</v>
      </c>
      <c r="DX38783" s="4" t="s">
        <v>11</v>
      </c>
      <c r="DY38783" s="4" t="s">
        <v>11</v>
      </c>
      <c r="DZ38783" s="4" t="s">
        <v>15</v>
      </c>
      <c r="EA38783" s="4" t="s">
        <v>8</v>
      </c>
      <c r="EB38783" s="4" t="s">
        <v>1859</v>
      </c>
      <c r="EC38783" s="4" t="s">
        <v>11</v>
      </c>
      <c r="ED38783" s="4" t="s">
        <v>11</v>
      </c>
      <c r="EE38783" s="4" t="s">
        <v>15</v>
      </c>
      <c r="EF38783" s="4" t="s">
        <v>8</v>
      </c>
      <c r="EG38783" s="4" t="s">
        <v>1859</v>
      </c>
      <c r="EH38783" s="4" t="s">
        <v>11</v>
      </c>
      <c r="EI38783" s="4" t="s">
        <v>11</v>
      </c>
      <c r="EJ38783" s="4" t="s">
        <v>15</v>
      </c>
      <c r="EK38783" s="4" t="s">
        <v>8</v>
      </c>
      <c r="EL38783" s="4" t="s">
        <v>1859</v>
      </c>
      <c r="EM38783" s="4" t="s">
        <v>11</v>
      </c>
      <c r="EN38783" s="4" t="s">
        <v>11</v>
      </c>
      <c r="EO38783" s="4" t="s">
        <v>15</v>
      </c>
      <c r="EP38783" s="4" t="s">
        <v>8</v>
      </c>
      <c r="EQ38783" s="4" t="s">
        <v>1859</v>
      </c>
      <c r="ER38783" s="4" t="s">
        <v>11</v>
      </c>
      <c r="ES38783" s="4" t="s">
        <v>11</v>
      </c>
      <c r="ET38783" s="4" t="s">
        <v>15</v>
      </c>
      <c r="EU38783" s="4" t="s">
        <v>8</v>
      </c>
      <c r="EV38783" s="4" t="s">
        <v>1859</v>
      </c>
      <c r="EW38783" s="4" t="s">
        <v>11</v>
      </c>
      <c r="EX38783" s="4" t="s">
        <v>11</v>
      </c>
      <c r="EY38783" s="4" t="s">
        <v>15</v>
      </c>
      <c r="EZ38783" s="4" t="s">
        <v>8</v>
      </c>
      <c r="FA38783" s="4" t="s">
        <v>1859</v>
      </c>
      <c r="FB38783" s="4" t="s">
        <v>11</v>
      </c>
      <c r="FC38783" s="4" t="s">
        <v>11</v>
      </c>
      <c r="FD38783" s="4" t="s">
        <v>15</v>
      </c>
      <c r="FE38783" s="4" t="s">
        <v>8</v>
      </c>
      <c r="FF38783" s="4" t="s">
        <v>1859</v>
      </c>
      <c r="FG38783" s="4" t="s">
        <v>11</v>
      </c>
      <c r="FH38783" s="4" t="s">
        <v>11</v>
      </c>
      <c r="FI38783" s="4" t="s">
        <v>15</v>
      </c>
      <c r="FJ38783" s="4" t="s">
        <v>8</v>
      </c>
      <c r="FK38783" s="4" t="s">
        <v>1859</v>
      </c>
      <c r="FL38783" s="4" t="s">
        <v>11</v>
      </c>
      <c r="FM38783" s="4" t="s">
        <v>11</v>
      </c>
      <c r="FN38783" s="4" t="s">
        <v>15</v>
      </c>
      <c r="FO38783" s="4" t="s">
        <v>8</v>
      </c>
      <c r="FP38783" s="4" t="s">
        <v>1859</v>
      </c>
      <c r="FQ38783" s="4" t="s">
        <v>11</v>
      </c>
      <c r="FR38783" s="4" t="s">
        <v>11</v>
      </c>
      <c r="FS38783" s="4" t="s">
        <v>15</v>
      </c>
      <c r="FT38783" s="4" t="s">
        <v>8</v>
      </c>
      <c r="FU38783" s="4" t="s">
        <v>1859</v>
      </c>
      <c r="FV38783" s="4" t="s">
        <v>11</v>
      </c>
      <c r="FW38783" s="4" t="s">
        <v>11</v>
      </c>
      <c r="FX38783" s="4" t="s">
        <v>15</v>
      </c>
      <c r="FY38783" s="4" t="s">
        <v>8</v>
      </c>
      <c r="FZ38783" s="4" t="s">
        <v>1859</v>
      </c>
      <c r="GA38783" s="4" t="s">
        <v>11</v>
      </c>
      <c r="GB38783" s="4" t="s">
        <v>11</v>
      </c>
      <c r="GC38783" s="4" t="s">
        <v>15</v>
      </c>
      <c r="GD38783" s="4" t="s">
        <v>8</v>
      </c>
      <c r="GE38783" s="4" t="s">
        <v>1859</v>
      </c>
      <c r="GF38783" s="4" t="s">
        <v>11</v>
      </c>
      <c r="GG38783" s="4" t="s">
        <v>11</v>
      </c>
      <c r="GH38783" s="4" t="s">
        <v>15</v>
      </c>
      <c r="GI38783" s="4" t="s">
        <v>8</v>
      </c>
      <c r="GJ38783" s="4" t="s">
        <v>1859</v>
      </c>
      <c r="GK38783" s="4" t="s">
        <v>11</v>
      </c>
      <c r="GL38783" s="4" t="s">
        <v>11</v>
      </c>
      <c r="GM38783" s="4" t="s">
        <v>15</v>
      </c>
      <c r="GN38783" s="4" t="s">
        <v>8</v>
      </c>
      <c r="GO38783" s="4" t="s">
        <v>1859</v>
      </c>
      <c r="GP38783" s="4" t="s">
        <v>11</v>
      </c>
      <c r="GQ38783" s="4" t="s">
        <v>11</v>
      </c>
      <c r="GR38783" s="4" t="s">
        <v>15</v>
      </c>
      <c r="GS38783" s="4" t="s">
        <v>8</v>
      </c>
      <c r="GT38783" s="4" t="s">
        <v>1859</v>
      </c>
      <c r="GU38783" s="4" t="s">
        <v>11</v>
      </c>
      <c r="GV38783" s="4" t="s">
        <v>11</v>
      </c>
      <c r="GW38783" s="4" t="s">
        <v>15</v>
      </c>
      <c r="GX38783" s="4" t="s">
        <v>8</v>
      </c>
      <c r="GY38783" s="4" t="s">
        <v>1859</v>
      </c>
      <c r="GZ38783" s="4" t="s">
        <v>11</v>
      </c>
      <c r="HA38783" s="4" t="s">
        <v>11</v>
      </c>
      <c r="HB38783" s="4" t="s">
        <v>15</v>
      </c>
      <c r="HC38783" s="4" t="s">
        <v>8</v>
      </c>
      <c r="HD38783" s="4" t="s">
        <v>1859</v>
      </c>
      <c r="HE38783" s="4" t="s">
        <v>11</v>
      </c>
      <c r="HF38783" s="4" t="s">
        <v>11</v>
      </c>
      <c r="HG38783" s="4" t="s">
        <v>15</v>
      </c>
      <c r="HH38783" s="4" t="s">
        <v>8</v>
      </c>
      <c r="HI38783" s="4" t="s">
        <v>1859</v>
      </c>
      <c r="HJ38783" s="4" t="s">
        <v>11</v>
      </c>
      <c r="HK38783" s="4" t="s">
        <v>11</v>
      </c>
      <c r="HL38783" s="4" t="s">
        <v>15</v>
      </c>
      <c r="HM38783" s="4" t="s">
        <v>8</v>
      </c>
      <c r="HN38783" s="4" t="s">
        <v>1859</v>
      </c>
      <c r="HO38783" s="4" t="s">
        <v>11</v>
      </c>
      <c r="HP38783" s="4" t="s">
        <v>11</v>
      </c>
      <c r="HQ38783" s="4" t="s">
        <v>15</v>
      </c>
      <c r="HR38783" s="4" t="s">
        <v>8</v>
      </c>
      <c r="HS38783" s="4" t="s">
        <v>1859</v>
      </c>
      <c r="HT38783" s="4" t="s">
        <v>11</v>
      </c>
      <c r="HU38783" s="4" t="s">
        <v>11</v>
      </c>
      <c r="HV38783" s="4" t="s">
        <v>15</v>
      </c>
      <c r="HW38783" s="4" t="s">
        <v>8</v>
      </c>
      <c r="HX38783" s="4" t="s">
        <v>1859</v>
      </c>
      <c r="HY38783" s="4" t="s">
        <v>11</v>
      </c>
      <c r="HZ38783" s="4" t="s">
        <v>11</v>
      </c>
      <c r="IA38783" s="4" t="s">
        <v>15</v>
      </c>
      <c r="IB38783" s="4" t="s">
        <v>8</v>
      </c>
      <c r="IC38783" s="4" t="s">
        <v>1859</v>
      </c>
      <c r="ID38783" s="4" t="s">
        <v>11</v>
      </c>
      <c r="IE38783" s="4" t="s">
        <v>11</v>
      </c>
      <c r="IF38783" s="4" t="s">
        <v>15</v>
      </c>
      <c r="IG38783" s="4" t="s">
        <v>8</v>
      </c>
      <c r="IH38783" s="4" t="s">
        <v>1859</v>
      </c>
      <c r="II38783" s="4" t="s">
        <v>11</v>
      </c>
      <c r="IJ38783" s="4" t="s">
        <v>11</v>
      </c>
      <c r="IK38783" s="4" t="s">
        <v>15</v>
      </c>
      <c r="IL38783" s="4" t="s">
        <v>8</v>
      </c>
      <c r="IM38783" s="4" t="s">
        <v>1859</v>
      </c>
      <c r="IN38783" s="4" t="s">
        <v>11</v>
      </c>
      <c r="IO38783" s="4" t="s">
        <v>11</v>
      </c>
      <c r="IP38783" s="4" t="s">
        <v>15</v>
      </c>
      <c r="IQ38783" s="4" t="s">
        <v>8</v>
      </c>
      <c r="IR38783" s="4" t="s">
        <v>1859</v>
      </c>
      <c r="IS38783" s="4" t="s">
        <v>11</v>
      </c>
      <c r="IT38783" s="4" t="s">
        <v>11</v>
      </c>
      <c r="IU38783" s="4" t="s">
        <v>15</v>
      </c>
      <c r="IV38783" s="4" t="s">
        <v>8</v>
      </c>
      <c r="IW38783" s="4" t="s">
        <v>1859</v>
      </c>
      <c r="IX38783" s="4" t="s">
        <v>11</v>
      </c>
      <c r="IY38783" s="4" t="s">
        <v>11</v>
      </c>
      <c r="IZ38783" s="4" t="s">
        <v>15</v>
      </c>
      <c r="JA38783" s="4" t="s">
        <v>8</v>
      </c>
      <c r="JB38783" s="4" t="s">
        <v>1859</v>
      </c>
      <c r="JC38783" s="4" t="s">
        <v>11</v>
      </c>
      <c r="JD38783" s="4" t="s">
        <v>11</v>
      </c>
      <c r="JE38783" s="4" t="s">
        <v>15</v>
      </c>
      <c r="JF38783" s="4" t="s">
        <v>8</v>
      </c>
      <c r="JG38783" s="4" t="s">
        <v>1859</v>
      </c>
      <c r="JH38783" s="4" t="s">
        <v>11</v>
      </c>
      <c r="JI38783" s="4" t="s">
        <v>11</v>
      </c>
      <c r="JJ38783" s="4" t="s">
        <v>15</v>
      </c>
      <c r="JK38783" s="4" t="s">
        <v>8</v>
      </c>
      <c r="JL38783" s="4" t="s">
        <v>1859</v>
      </c>
      <c r="JM38783" s="4" t="s">
        <v>11</v>
      </c>
      <c r="JN38783" s="4" t="s">
        <v>11</v>
      </c>
      <c r="JO38783" s="4" t="s">
        <v>15</v>
      </c>
      <c r="JP38783" s="4" t="s">
        <v>8</v>
      </c>
      <c r="JQ38783" s="4" t="s">
        <v>1859</v>
      </c>
      <c r="JR38783" s="4" t="s">
        <v>11</v>
      </c>
      <c r="JS38783" s="4" t="s">
        <v>11</v>
      </c>
      <c r="JT38783" s="4" t="s">
        <v>15</v>
      </c>
      <c r="JU38783" s="4" t="s">
        <v>8</v>
      </c>
      <c r="JV38783" s="4" t="s">
        <v>1859</v>
      </c>
      <c r="JW38783" s="4" t="s">
        <v>11</v>
      </c>
      <c r="JX38783" s="4" t="s">
        <v>11</v>
      </c>
      <c r="JY38783" s="4" t="s">
        <v>15</v>
      </c>
      <c r="JZ38783" s="4" t="s">
        <v>8</v>
      </c>
      <c r="KA38783" s="4" t="s">
        <v>1859</v>
      </c>
      <c r="KB38783" s="4" t="s">
        <v>11</v>
      </c>
      <c r="KC38783" s="4" t="s">
        <v>11</v>
      </c>
      <c r="KD38783" s="4" t="s">
        <v>15</v>
      </c>
      <c r="KE38783" s="4" t="s">
        <v>8</v>
      </c>
      <c r="KF38783" s="4" t="s">
        <v>1859</v>
      </c>
      <c r="KG38783" s="4" t="s">
        <v>11</v>
      </c>
      <c r="KH38783" s="4" t="s">
        <v>11</v>
      </c>
      <c r="KI38783" s="4" t="s">
        <v>15</v>
      </c>
      <c r="KJ38783" s="4" t="s">
        <v>8</v>
      </c>
      <c r="KK38783" s="4" t="s">
        <v>1859</v>
      </c>
      <c r="KL38783" s="4" t="s">
        <v>11</v>
      </c>
      <c r="KM38783" s="4" t="s">
        <v>11</v>
      </c>
      <c r="KN38783" s="4" t="s">
        <v>15</v>
      </c>
      <c r="KO38783" s="4" t="s">
        <v>8</v>
      </c>
      <c r="KP38783" s="4" t="s">
        <v>1859</v>
      </c>
      <c r="KQ38783" s="4" t="s">
        <v>11</v>
      </c>
      <c r="KR38783" s="4" t="s">
        <v>11</v>
      </c>
      <c r="KS38783" s="4" t="s">
        <v>15</v>
      </c>
      <c r="KT38783" s="4" t="s">
        <v>8</v>
      </c>
      <c r="KU38783" s="4" t="s">
        <v>1859</v>
      </c>
      <c r="KV38783" s="4" t="s">
        <v>11</v>
      </c>
      <c r="KW38783" s="4" t="s">
        <v>11</v>
      </c>
      <c r="KX38783" s="4" t="s">
        <v>15</v>
      </c>
      <c r="KY38783" s="4" t="s">
        <v>8</v>
      </c>
      <c r="KZ38783" s="4" t="s">
        <v>1859</v>
      </c>
      <c r="LA38783" s="4" t="s">
        <v>11</v>
      </c>
      <c r="LB38783" s="4" t="s">
        <v>11</v>
      </c>
      <c r="LC38783" s="4" t="s">
        <v>15</v>
      </c>
      <c r="LD38783" s="4" t="s">
        <v>8</v>
      </c>
      <c r="LE38783" s="4" t="s">
        <v>1859</v>
      </c>
      <c r="LF38783" s="4" t="s">
        <v>11</v>
      </c>
      <c r="LG38783" s="4" t="s">
        <v>11</v>
      </c>
      <c r="LH38783" s="4" t="s">
        <v>15</v>
      </c>
      <c r="LI38783" s="4" t="s">
        <v>8</v>
      </c>
      <c r="LJ38783" s="4" t="s">
        <v>1859</v>
      </c>
      <c r="LK38783" s="4" t="s">
        <v>11</v>
      </c>
      <c r="LL38783" s="4" t="s">
        <v>11</v>
      </c>
      <c r="LM38783" s="4" t="s">
        <v>15</v>
      </c>
      <c r="LN38783" s="4" t="s">
        <v>8</v>
      </c>
      <c r="LO38783" s="4" t="s">
        <v>1859</v>
      </c>
    </row>
    <row r="38784" spans="1:167">
      <c r="A38784" t="n">
        <v>391536</v>
      </c>
      <c r="B38784" s="85" t="n">
        <v>257</v>
      </c>
      <c r="C38784" s="7" t="n">
        <v>7</v>
      </c>
      <c r="D38784" s="7" t="n">
        <v>65533</v>
      </c>
      <c r="E38784" s="7" t="n">
        <v>63864</v>
      </c>
      <c r="F38784" s="7" t="s">
        <v>16</v>
      </c>
      <c r="G38784" s="7" t="n">
        <f t="normal" ca="1">32-LENB(INDIRECT(ADDRESS(38784,6)))</f>
        <v>0</v>
      </c>
      <c r="H38784" s="7" t="n">
        <v>7</v>
      </c>
      <c r="I38784" s="7" t="n">
        <v>65533</v>
      </c>
      <c r="J38784" s="7" t="n">
        <v>63865</v>
      </c>
      <c r="K38784" s="7" t="s">
        <v>16</v>
      </c>
      <c r="L38784" s="7" t="n">
        <f t="normal" ca="1">32-LENB(INDIRECT(ADDRESS(38784,11)))</f>
        <v>0</v>
      </c>
      <c r="M38784" s="7" t="n">
        <v>7</v>
      </c>
      <c r="N38784" s="7" t="n">
        <v>65533</v>
      </c>
      <c r="O38784" s="7" t="n">
        <v>63866</v>
      </c>
      <c r="P38784" s="7" t="s">
        <v>16</v>
      </c>
      <c r="Q38784" s="7" t="n">
        <f t="normal" ca="1">32-LENB(INDIRECT(ADDRESS(38784,16)))</f>
        <v>0</v>
      </c>
      <c r="R38784" s="7" t="n">
        <v>7</v>
      </c>
      <c r="S38784" s="7" t="n">
        <v>65533</v>
      </c>
      <c r="T38784" s="7" t="n">
        <v>63867</v>
      </c>
      <c r="U38784" s="7" t="s">
        <v>16</v>
      </c>
      <c r="V38784" s="7" t="n">
        <f t="normal" ca="1">32-LENB(INDIRECT(ADDRESS(38784,21)))</f>
        <v>0</v>
      </c>
      <c r="W38784" s="7" t="n">
        <v>7</v>
      </c>
      <c r="X38784" s="7" t="n">
        <v>65533</v>
      </c>
      <c r="Y38784" s="7" t="n">
        <v>63868</v>
      </c>
      <c r="Z38784" s="7" t="s">
        <v>16</v>
      </c>
      <c r="AA38784" s="7" t="n">
        <f t="normal" ca="1">32-LENB(INDIRECT(ADDRESS(38784,26)))</f>
        <v>0</v>
      </c>
      <c r="AB38784" s="7" t="n">
        <v>7</v>
      </c>
      <c r="AC38784" s="7" t="n">
        <v>65533</v>
      </c>
      <c r="AD38784" s="7" t="n">
        <v>63869</v>
      </c>
      <c r="AE38784" s="7" t="s">
        <v>16</v>
      </c>
      <c r="AF38784" s="7" t="n">
        <f t="normal" ca="1">32-LENB(INDIRECT(ADDRESS(38784,31)))</f>
        <v>0</v>
      </c>
      <c r="AG38784" s="7" t="n">
        <v>7</v>
      </c>
      <c r="AH38784" s="7" t="n">
        <v>65533</v>
      </c>
      <c r="AI38784" s="7" t="n">
        <v>63870</v>
      </c>
      <c r="AJ38784" s="7" t="s">
        <v>16</v>
      </c>
      <c r="AK38784" s="7" t="n">
        <f t="normal" ca="1">32-LENB(INDIRECT(ADDRESS(38784,36)))</f>
        <v>0</v>
      </c>
      <c r="AL38784" s="7" t="n">
        <v>7</v>
      </c>
      <c r="AM38784" s="7" t="n">
        <v>65533</v>
      </c>
      <c r="AN38784" s="7" t="n">
        <v>63871</v>
      </c>
      <c r="AO38784" s="7" t="s">
        <v>16</v>
      </c>
      <c r="AP38784" s="7" t="n">
        <f t="normal" ca="1">32-LENB(INDIRECT(ADDRESS(38784,41)))</f>
        <v>0</v>
      </c>
      <c r="AQ38784" s="7" t="n">
        <v>7</v>
      </c>
      <c r="AR38784" s="7" t="n">
        <v>65533</v>
      </c>
      <c r="AS38784" s="7" t="n">
        <v>63872</v>
      </c>
      <c r="AT38784" s="7" t="s">
        <v>16</v>
      </c>
      <c r="AU38784" s="7" t="n">
        <f t="normal" ca="1">32-LENB(INDIRECT(ADDRESS(38784,46)))</f>
        <v>0</v>
      </c>
      <c r="AV38784" s="7" t="n">
        <v>7</v>
      </c>
      <c r="AW38784" s="7" t="n">
        <v>65533</v>
      </c>
      <c r="AX38784" s="7" t="n">
        <v>63873</v>
      </c>
      <c r="AY38784" s="7" t="s">
        <v>16</v>
      </c>
      <c r="AZ38784" s="7" t="n">
        <f t="normal" ca="1">32-LENB(INDIRECT(ADDRESS(38784,51)))</f>
        <v>0</v>
      </c>
      <c r="BA38784" s="7" t="n">
        <v>7</v>
      </c>
      <c r="BB38784" s="7" t="n">
        <v>65533</v>
      </c>
      <c r="BC38784" s="7" t="n">
        <v>63874</v>
      </c>
      <c r="BD38784" s="7" t="s">
        <v>16</v>
      </c>
      <c r="BE38784" s="7" t="n">
        <f t="normal" ca="1">32-LENB(INDIRECT(ADDRESS(38784,56)))</f>
        <v>0</v>
      </c>
      <c r="BF38784" s="7" t="n">
        <v>7</v>
      </c>
      <c r="BG38784" s="7" t="n">
        <v>65533</v>
      </c>
      <c r="BH38784" s="7" t="n">
        <v>63875</v>
      </c>
      <c r="BI38784" s="7" t="s">
        <v>16</v>
      </c>
      <c r="BJ38784" s="7" t="n">
        <f t="normal" ca="1">32-LENB(INDIRECT(ADDRESS(38784,61)))</f>
        <v>0</v>
      </c>
      <c r="BK38784" s="7" t="n">
        <v>7</v>
      </c>
      <c r="BL38784" s="7" t="n">
        <v>65533</v>
      </c>
      <c r="BM38784" s="7" t="n">
        <v>63876</v>
      </c>
      <c r="BN38784" s="7" t="s">
        <v>16</v>
      </c>
      <c r="BO38784" s="7" t="n">
        <f t="normal" ca="1">32-LENB(INDIRECT(ADDRESS(38784,66)))</f>
        <v>0</v>
      </c>
      <c r="BP38784" s="7" t="n">
        <v>7</v>
      </c>
      <c r="BQ38784" s="7" t="n">
        <v>65533</v>
      </c>
      <c r="BR38784" s="7" t="n">
        <v>63877</v>
      </c>
      <c r="BS38784" s="7" t="s">
        <v>16</v>
      </c>
      <c r="BT38784" s="7" t="n">
        <f t="normal" ca="1">32-LENB(INDIRECT(ADDRESS(38784,71)))</f>
        <v>0</v>
      </c>
      <c r="BU38784" s="7" t="n">
        <v>7</v>
      </c>
      <c r="BV38784" s="7" t="n">
        <v>65533</v>
      </c>
      <c r="BW38784" s="7" t="n">
        <v>63878</v>
      </c>
      <c r="BX38784" s="7" t="s">
        <v>16</v>
      </c>
      <c r="BY38784" s="7" t="n">
        <f t="normal" ca="1">32-LENB(INDIRECT(ADDRESS(38784,76)))</f>
        <v>0</v>
      </c>
      <c r="BZ38784" s="7" t="n">
        <v>7</v>
      </c>
      <c r="CA38784" s="7" t="n">
        <v>65533</v>
      </c>
      <c r="CB38784" s="7" t="n">
        <v>63879</v>
      </c>
      <c r="CC38784" s="7" t="s">
        <v>16</v>
      </c>
      <c r="CD38784" s="7" t="n">
        <f t="normal" ca="1">32-LENB(INDIRECT(ADDRESS(38784,81)))</f>
        <v>0</v>
      </c>
      <c r="CE38784" s="7" t="n">
        <v>7</v>
      </c>
      <c r="CF38784" s="7" t="n">
        <v>65533</v>
      </c>
      <c r="CG38784" s="7" t="n">
        <v>63880</v>
      </c>
      <c r="CH38784" s="7" t="s">
        <v>16</v>
      </c>
      <c r="CI38784" s="7" t="n">
        <f t="normal" ca="1">32-LENB(INDIRECT(ADDRESS(38784,86)))</f>
        <v>0</v>
      </c>
      <c r="CJ38784" s="7" t="n">
        <v>7</v>
      </c>
      <c r="CK38784" s="7" t="n">
        <v>65533</v>
      </c>
      <c r="CL38784" s="7" t="n">
        <v>63881</v>
      </c>
      <c r="CM38784" s="7" t="s">
        <v>16</v>
      </c>
      <c r="CN38784" s="7" t="n">
        <f t="normal" ca="1">32-LENB(INDIRECT(ADDRESS(38784,91)))</f>
        <v>0</v>
      </c>
      <c r="CO38784" s="7" t="n">
        <v>7</v>
      </c>
      <c r="CP38784" s="7" t="n">
        <v>65533</v>
      </c>
      <c r="CQ38784" s="7" t="n">
        <v>63882</v>
      </c>
      <c r="CR38784" s="7" t="s">
        <v>16</v>
      </c>
      <c r="CS38784" s="7" t="n">
        <f t="normal" ca="1">32-LENB(INDIRECT(ADDRESS(38784,96)))</f>
        <v>0</v>
      </c>
      <c r="CT38784" s="7" t="n">
        <v>7</v>
      </c>
      <c r="CU38784" s="7" t="n">
        <v>65533</v>
      </c>
      <c r="CV38784" s="7" t="n">
        <v>63883</v>
      </c>
      <c r="CW38784" s="7" t="s">
        <v>16</v>
      </c>
      <c r="CX38784" s="7" t="n">
        <f t="normal" ca="1">32-LENB(INDIRECT(ADDRESS(38784,101)))</f>
        <v>0</v>
      </c>
      <c r="CY38784" s="7" t="n">
        <v>7</v>
      </c>
      <c r="CZ38784" s="7" t="n">
        <v>65533</v>
      </c>
      <c r="DA38784" s="7" t="n">
        <v>63884</v>
      </c>
      <c r="DB38784" s="7" t="s">
        <v>16</v>
      </c>
      <c r="DC38784" s="7" t="n">
        <f t="normal" ca="1">32-LENB(INDIRECT(ADDRESS(38784,106)))</f>
        <v>0</v>
      </c>
      <c r="DD38784" s="7" t="n">
        <v>7</v>
      </c>
      <c r="DE38784" s="7" t="n">
        <v>65533</v>
      </c>
      <c r="DF38784" s="7" t="n">
        <v>3800</v>
      </c>
      <c r="DG38784" s="7" t="s">
        <v>16</v>
      </c>
      <c r="DH38784" s="7" t="n">
        <f t="normal" ca="1">32-LENB(INDIRECT(ADDRESS(38784,111)))</f>
        <v>0</v>
      </c>
      <c r="DI38784" s="7" t="n">
        <v>7</v>
      </c>
      <c r="DJ38784" s="7" t="n">
        <v>65533</v>
      </c>
      <c r="DK38784" s="7" t="n">
        <v>3801</v>
      </c>
      <c r="DL38784" s="7" t="s">
        <v>16</v>
      </c>
      <c r="DM38784" s="7" t="n">
        <f t="normal" ca="1">32-LENB(INDIRECT(ADDRESS(38784,116)))</f>
        <v>0</v>
      </c>
      <c r="DN38784" s="7" t="n">
        <v>7</v>
      </c>
      <c r="DO38784" s="7" t="n">
        <v>65533</v>
      </c>
      <c r="DP38784" s="7" t="n">
        <v>3802</v>
      </c>
      <c r="DQ38784" s="7" t="s">
        <v>16</v>
      </c>
      <c r="DR38784" s="7" t="n">
        <f t="normal" ca="1">32-LENB(INDIRECT(ADDRESS(38784,121)))</f>
        <v>0</v>
      </c>
      <c r="DS38784" s="7" t="n">
        <v>7</v>
      </c>
      <c r="DT38784" s="7" t="n">
        <v>65533</v>
      </c>
      <c r="DU38784" s="7" t="n">
        <v>3803</v>
      </c>
      <c r="DV38784" s="7" t="s">
        <v>16</v>
      </c>
      <c r="DW38784" s="7" t="n">
        <f t="normal" ca="1">32-LENB(INDIRECT(ADDRESS(38784,126)))</f>
        <v>0</v>
      </c>
      <c r="DX38784" s="7" t="n">
        <v>7</v>
      </c>
      <c r="DY38784" s="7" t="n">
        <v>65533</v>
      </c>
      <c r="DZ38784" s="7" t="n">
        <v>63885</v>
      </c>
      <c r="EA38784" s="7" t="s">
        <v>16</v>
      </c>
      <c r="EB38784" s="7" t="n">
        <f t="normal" ca="1">32-LENB(INDIRECT(ADDRESS(38784,131)))</f>
        <v>0</v>
      </c>
      <c r="EC38784" s="7" t="n">
        <v>7</v>
      </c>
      <c r="ED38784" s="7" t="n">
        <v>65533</v>
      </c>
      <c r="EE38784" s="7" t="n">
        <v>63886</v>
      </c>
      <c r="EF38784" s="7" t="s">
        <v>16</v>
      </c>
      <c r="EG38784" s="7" t="n">
        <f t="normal" ca="1">32-LENB(INDIRECT(ADDRESS(38784,136)))</f>
        <v>0</v>
      </c>
      <c r="EH38784" s="7" t="n">
        <v>7</v>
      </c>
      <c r="EI38784" s="7" t="n">
        <v>65533</v>
      </c>
      <c r="EJ38784" s="7" t="n">
        <v>63887</v>
      </c>
      <c r="EK38784" s="7" t="s">
        <v>16</v>
      </c>
      <c r="EL38784" s="7" t="n">
        <f t="normal" ca="1">32-LENB(INDIRECT(ADDRESS(38784,141)))</f>
        <v>0</v>
      </c>
      <c r="EM38784" s="7" t="n">
        <v>7</v>
      </c>
      <c r="EN38784" s="7" t="n">
        <v>65533</v>
      </c>
      <c r="EO38784" s="7" t="n">
        <v>3804</v>
      </c>
      <c r="EP38784" s="7" t="s">
        <v>16</v>
      </c>
      <c r="EQ38784" s="7" t="n">
        <f t="normal" ca="1">32-LENB(INDIRECT(ADDRESS(38784,146)))</f>
        <v>0</v>
      </c>
      <c r="ER38784" s="7" t="n">
        <v>7</v>
      </c>
      <c r="ES38784" s="7" t="n">
        <v>65533</v>
      </c>
      <c r="ET38784" s="7" t="n">
        <v>3805</v>
      </c>
      <c r="EU38784" s="7" t="s">
        <v>16</v>
      </c>
      <c r="EV38784" s="7" t="n">
        <f t="normal" ca="1">32-LENB(INDIRECT(ADDRESS(38784,151)))</f>
        <v>0</v>
      </c>
      <c r="EW38784" s="7" t="n">
        <v>7</v>
      </c>
      <c r="EX38784" s="7" t="n">
        <v>65533</v>
      </c>
      <c r="EY38784" s="7" t="n">
        <v>3806</v>
      </c>
      <c r="EZ38784" s="7" t="s">
        <v>16</v>
      </c>
      <c r="FA38784" s="7" t="n">
        <f t="normal" ca="1">32-LENB(INDIRECT(ADDRESS(38784,156)))</f>
        <v>0</v>
      </c>
      <c r="FB38784" s="7" t="n">
        <v>7</v>
      </c>
      <c r="FC38784" s="7" t="n">
        <v>65533</v>
      </c>
      <c r="FD38784" s="7" t="n">
        <v>3807</v>
      </c>
      <c r="FE38784" s="7" t="s">
        <v>16</v>
      </c>
      <c r="FF38784" s="7" t="n">
        <f t="normal" ca="1">32-LENB(INDIRECT(ADDRESS(38784,161)))</f>
        <v>0</v>
      </c>
      <c r="FG38784" s="7" t="n">
        <v>7</v>
      </c>
      <c r="FH38784" s="7" t="n">
        <v>65533</v>
      </c>
      <c r="FI38784" s="7" t="n">
        <v>63888</v>
      </c>
      <c r="FJ38784" s="7" t="s">
        <v>16</v>
      </c>
      <c r="FK38784" s="7" t="n">
        <f t="normal" ca="1">32-LENB(INDIRECT(ADDRESS(38784,166)))</f>
        <v>0</v>
      </c>
      <c r="FL38784" s="7" t="n">
        <v>7</v>
      </c>
      <c r="FM38784" s="7" t="n">
        <v>65533</v>
      </c>
      <c r="FN38784" s="7" t="n">
        <v>3808</v>
      </c>
      <c r="FO38784" s="7" t="s">
        <v>16</v>
      </c>
      <c r="FP38784" s="7" t="n">
        <f t="normal" ca="1">32-LENB(INDIRECT(ADDRESS(38784,171)))</f>
        <v>0</v>
      </c>
      <c r="FQ38784" s="7" t="n">
        <v>7</v>
      </c>
      <c r="FR38784" s="7" t="n">
        <v>65533</v>
      </c>
      <c r="FS38784" s="7" t="n">
        <v>3809</v>
      </c>
      <c r="FT38784" s="7" t="s">
        <v>16</v>
      </c>
      <c r="FU38784" s="7" t="n">
        <f t="normal" ca="1">32-LENB(INDIRECT(ADDRESS(38784,176)))</f>
        <v>0</v>
      </c>
      <c r="FV38784" s="7" t="n">
        <v>7</v>
      </c>
      <c r="FW38784" s="7" t="n">
        <v>65533</v>
      </c>
      <c r="FX38784" s="7" t="n">
        <v>3810</v>
      </c>
      <c r="FY38784" s="7" t="s">
        <v>16</v>
      </c>
      <c r="FZ38784" s="7" t="n">
        <f t="normal" ca="1">32-LENB(INDIRECT(ADDRESS(38784,181)))</f>
        <v>0</v>
      </c>
      <c r="GA38784" s="7" t="n">
        <v>7</v>
      </c>
      <c r="GB38784" s="7" t="n">
        <v>65533</v>
      </c>
      <c r="GC38784" s="7" t="n">
        <v>3811</v>
      </c>
      <c r="GD38784" s="7" t="s">
        <v>16</v>
      </c>
      <c r="GE38784" s="7" t="n">
        <f t="normal" ca="1">32-LENB(INDIRECT(ADDRESS(38784,186)))</f>
        <v>0</v>
      </c>
      <c r="GF38784" s="7" t="n">
        <v>7</v>
      </c>
      <c r="GG38784" s="7" t="n">
        <v>65533</v>
      </c>
      <c r="GH38784" s="7" t="n">
        <v>3812</v>
      </c>
      <c r="GI38784" s="7" t="s">
        <v>16</v>
      </c>
      <c r="GJ38784" s="7" t="n">
        <f t="normal" ca="1">32-LENB(INDIRECT(ADDRESS(38784,191)))</f>
        <v>0</v>
      </c>
      <c r="GK38784" s="7" t="n">
        <v>7</v>
      </c>
      <c r="GL38784" s="7" t="n">
        <v>65533</v>
      </c>
      <c r="GM38784" s="7" t="n">
        <v>63889</v>
      </c>
      <c r="GN38784" s="7" t="s">
        <v>16</v>
      </c>
      <c r="GO38784" s="7" t="n">
        <f t="normal" ca="1">32-LENB(INDIRECT(ADDRESS(38784,196)))</f>
        <v>0</v>
      </c>
      <c r="GP38784" s="7" t="n">
        <v>7</v>
      </c>
      <c r="GQ38784" s="7" t="n">
        <v>65533</v>
      </c>
      <c r="GR38784" s="7" t="n">
        <v>63890</v>
      </c>
      <c r="GS38784" s="7" t="s">
        <v>16</v>
      </c>
      <c r="GT38784" s="7" t="n">
        <f t="normal" ca="1">32-LENB(INDIRECT(ADDRESS(38784,201)))</f>
        <v>0</v>
      </c>
      <c r="GU38784" s="7" t="n">
        <v>7</v>
      </c>
      <c r="GV38784" s="7" t="n">
        <v>65533</v>
      </c>
      <c r="GW38784" s="7" t="n">
        <v>63891</v>
      </c>
      <c r="GX38784" s="7" t="s">
        <v>16</v>
      </c>
      <c r="GY38784" s="7" t="n">
        <f t="normal" ca="1">32-LENB(INDIRECT(ADDRESS(38784,206)))</f>
        <v>0</v>
      </c>
      <c r="GZ38784" s="7" t="n">
        <v>7</v>
      </c>
      <c r="HA38784" s="7" t="n">
        <v>65533</v>
      </c>
      <c r="HB38784" s="7" t="n">
        <v>63892</v>
      </c>
      <c r="HC38784" s="7" t="s">
        <v>16</v>
      </c>
      <c r="HD38784" s="7" t="n">
        <f t="normal" ca="1">32-LENB(INDIRECT(ADDRESS(38784,211)))</f>
        <v>0</v>
      </c>
      <c r="HE38784" s="7" t="n">
        <v>7</v>
      </c>
      <c r="HF38784" s="7" t="n">
        <v>65533</v>
      </c>
      <c r="HG38784" s="7" t="n">
        <v>3813</v>
      </c>
      <c r="HH38784" s="7" t="s">
        <v>16</v>
      </c>
      <c r="HI38784" s="7" t="n">
        <f t="normal" ca="1">32-LENB(INDIRECT(ADDRESS(38784,216)))</f>
        <v>0</v>
      </c>
      <c r="HJ38784" s="7" t="n">
        <v>7</v>
      </c>
      <c r="HK38784" s="7" t="n">
        <v>65533</v>
      </c>
      <c r="HL38784" s="7" t="n">
        <v>3814</v>
      </c>
      <c r="HM38784" s="7" t="s">
        <v>16</v>
      </c>
      <c r="HN38784" s="7" t="n">
        <f t="normal" ca="1">32-LENB(INDIRECT(ADDRESS(38784,221)))</f>
        <v>0</v>
      </c>
      <c r="HO38784" s="7" t="n">
        <v>7</v>
      </c>
      <c r="HP38784" s="7" t="n">
        <v>65533</v>
      </c>
      <c r="HQ38784" s="7" t="n">
        <v>3815</v>
      </c>
      <c r="HR38784" s="7" t="s">
        <v>16</v>
      </c>
      <c r="HS38784" s="7" t="n">
        <f t="normal" ca="1">32-LENB(INDIRECT(ADDRESS(38784,226)))</f>
        <v>0</v>
      </c>
      <c r="HT38784" s="7" t="n">
        <v>7</v>
      </c>
      <c r="HU38784" s="7" t="n">
        <v>65533</v>
      </c>
      <c r="HV38784" s="7" t="n">
        <v>3816</v>
      </c>
      <c r="HW38784" s="7" t="s">
        <v>16</v>
      </c>
      <c r="HX38784" s="7" t="n">
        <f t="normal" ca="1">32-LENB(INDIRECT(ADDRESS(38784,231)))</f>
        <v>0</v>
      </c>
      <c r="HY38784" s="7" t="n">
        <v>7</v>
      </c>
      <c r="HZ38784" s="7" t="n">
        <v>65533</v>
      </c>
      <c r="IA38784" s="7" t="n">
        <v>64268</v>
      </c>
      <c r="IB38784" s="7" t="s">
        <v>16</v>
      </c>
      <c r="IC38784" s="7" t="n">
        <f t="normal" ca="1">32-LENB(INDIRECT(ADDRESS(38784,236)))</f>
        <v>0</v>
      </c>
      <c r="ID38784" s="7" t="n">
        <v>7</v>
      </c>
      <c r="IE38784" s="7" t="n">
        <v>65533</v>
      </c>
      <c r="IF38784" s="7" t="n">
        <v>3817</v>
      </c>
      <c r="IG38784" s="7" t="s">
        <v>16</v>
      </c>
      <c r="IH38784" s="7" t="n">
        <f t="normal" ca="1">32-LENB(INDIRECT(ADDRESS(38784,241)))</f>
        <v>0</v>
      </c>
      <c r="II38784" s="7" t="n">
        <v>7</v>
      </c>
      <c r="IJ38784" s="7" t="n">
        <v>65533</v>
      </c>
      <c r="IK38784" s="7" t="n">
        <v>63893</v>
      </c>
      <c r="IL38784" s="7" t="s">
        <v>16</v>
      </c>
      <c r="IM38784" s="7" t="n">
        <f t="normal" ca="1">32-LENB(INDIRECT(ADDRESS(38784,246)))</f>
        <v>0</v>
      </c>
      <c r="IN38784" s="7" t="n">
        <v>7</v>
      </c>
      <c r="IO38784" s="7" t="n">
        <v>65533</v>
      </c>
      <c r="IP38784" s="7" t="n">
        <v>63894</v>
      </c>
      <c r="IQ38784" s="7" t="s">
        <v>16</v>
      </c>
      <c r="IR38784" s="7" t="n">
        <f t="normal" ca="1">32-LENB(INDIRECT(ADDRESS(38784,251)))</f>
        <v>0</v>
      </c>
      <c r="IS38784" s="7" t="n">
        <v>7</v>
      </c>
      <c r="IT38784" s="7" t="n">
        <v>65533</v>
      </c>
      <c r="IU38784" s="7" t="n">
        <v>63895</v>
      </c>
      <c r="IV38784" s="7" t="s">
        <v>16</v>
      </c>
      <c r="IW38784" s="7" t="n">
        <f t="normal" ca="1">32-LENB(INDIRECT(ADDRESS(38784,256)))</f>
        <v>0</v>
      </c>
      <c r="IX38784" s="7" t="n">
        <v>7</v>
      </c>
      <c r="IY38784" s="7" t="n">
        <v>65533</v>
      </c>
      <c r="IZ38784" s="7" t="n">
        <v>63896</v>
      </c>
      <c r="JA38784" s="7" t="s">
        <v>16</v>
      </c>
      <c r="JB38784" s="7" t="n">
        <f t="normal" ca="1">32-LENB(INDIRECT(ADDRESS(38784,261)))</f>
        <v>0</v>
      </c>
      <c r="JC38784" s="7" t="n">
        <v>7</v>
      </c>
      <c r="JD38784" s="7" t="n">
        <v>65533</v>
      </c>
      <c r="JE38784" s="7" t="n">
        <v>3818</v>
      </c>
      <c r="JF38784" s="7" t="s">
        <v>16</v>
      </c>
      <c r="JG38784" s="7" t="n">
        <f t="normal" ca="1">32-LENB(INDIRECT(ADDRESS(38784,266)))</f>
        <v>0</v>
      </c>
      <c r="JH38784" s="7" t="n">
        <v>7</v>
      </c>
      <c r="JI38784" s="7" t="n">
        <v>65533</v>
      </c>
      <c r="JJ38784" s="7" t="n">
        <v>63897</v>
      </c>
      <c r="JK38784" s="7" t="s">
        <v>16</v>
      </c>
      <c r="JL38784" s="7" t="n">
        <f t="normal" ca="1">32-LENB(INDIRECT(ADDRESS(38784,271)))</f>
        <v>0</v>
      </c>
      <c r="JM38784" s="7" t="n">
        <v>7</v>
      </c>
      <c r="JN38784" s="7" t="n">
        <v>65533</v>
      </c>
      <c r="JO38784" s="7" t="n">
        <v>63898</v>
      </c>
      <c r="JP38784" s="7" t="s">
        <v>16</v>
      </c>
      <c r="JQ38784" s="7" t="n">
        <f t="normal" ca="1">32-LENB(INDIRECT(ADDRESS(38784,276)))</f>
        <v>0</v>
      </c>
      <c r="JR38784" s="7" t="n">
        <v>7</v>
      </c>
      <c r="JS38784" s="7" t="n">
        <v>65533</v>
      </c>
      <c r="JT38784" s="7" t="n">
        <v>63899</v>
      </c>
      <c r="JU38784" s="7" t="s">
        <v>16</v>
      </c>
      <c r="JV38784" s="7" t="n">
        <f t="normal" ca="1">32-LENB(INDIRECT(ADDRESS(38784,281)))</f>
        <v>0</v>
      </c>
      <c r="JW38784" s="7" t="n">
        <v>7</v>
      </c>
      <c r="JX38784" s="7" t="n">
        <v>65533</v>
      </c>
      <c r="JY38784" s="7" t="n">
        <v>63900</v>
      </c>
      <c r="JZ38784" s="7" t="s">
        <v>16</v>
      </c>
      <c r="KA38784" s="7" t="n">
        <f t="normal" ca="1">32-LENB(INDIRECT(ADDRESS(38784,286)))</f>
        <v>0</v>
      </c>
      <c r="KB38784" s="7" t="n">
        <v>7</v>
      </c>
      <c r="KC38784" s="7" t="n">
        <v>65533</v>
      </c>
      <c r="KD38784" s="7" t="n">
        <v>3819</v>
      </c>
      <c r="KE38784" s="7" t="s">
        <v>16</v>
      </c>
      <c r="KF38784" s="7" t="n">
        <f t="normal" ca="1">32-LENB(INDIRECT(ADDRESS(38784,291)))</f>
        <v>0</v>
      </c>
      <c r="KG38784" s="7" t="n">
        <v>4</v>
      </c>
      <c r="KH38784" s="7" t="n">
        <v>65533</v>
      </c>
      <c r="KI38784" s="7" t="n">
        <v>2004</v>
      </c>
      <c r="KJ38784" s="7" t="s">
        <v>16</v>
      </c>
      <c r="KK38784" s="7" t="n">
        <f t="normal" ca="1">32-LENB(INDIRECT(ADDRESS(38784,296)))</f>
        <v>0</v>
      </c>
      <c r="KL38784" s="7" t="n">
        <v>7</v>
      </c>
      <c r="KM38784" s="7" t="n">
        <v>65533</v>
      </c>
      <c r="KN38784" s="7" t="n">
        <v>3820</v>
      </c>
      <c r="KO38784" s="7" t="s">
        <v>16</v>
      </c>
      <c r="KP38784" s="7" t="n">
        <f t="normal" ca="1">32-LENB(INDIRECT(ADDRESS(38784,301)))</f>
        <v>0</v>
      </c>
      <c r="KQ38784" s="7" t="n">
        <v>7</v>
      </c>
      <c r="KR38784" s="7" t="n">
        <v>65533</v>
      </c>
      <c r="KS38784" s="7" t="n">
        <v>3821</v>
      </c>
      <c r="KT38784" s="7" t="s">
        <v>16</v>
      </c>
      <c r="KU38784" s="7" t="n">
        <f t="normal" ca="1">32-LENB(INDIRECT(ADDRESS(38784,306)))</f>
        <v>0</v>
      </c>
      <c r="KV38784" s="7" t="n">
        <v>7</v>
      </c>
      <c r="KW38784" s="7" t="n">
        <v>65533</v>
      </c>
      <c r="KX38784" s="7" t="n">
        <v>63901</v>
      </c>
      <c r="KY38784" s="7" t="s">
        <v>16</v>
      </c>
      <c r="KZ38784" s="7" t="n">
        <f t="normal" ca="1">32-LENB(INDIRECT(ADDRESS(38784,311)))</f>
        <v>0</v>
      </c>
      <c r="LA38784" s="7" t="n">
        <v>7</v>
      </c>
      <c r="LB38784" s="7" t="n">
        <v>65533</v>
      </c>
      <c r="LC38784" s="7" t="n">
        <v>63902</v>
      </c>
      <c r="LD38784" s="7" t="s">
        <v>16</v>
      </c>
      <c r="LE38784" s="7" t="n">
        <f t="normal" ca="1">32-LENB(INDIRECT(ADDRESS(38784,316)))</f>
        <v>0</v>
      </c>
      <c r="LF38784" s="7" t="n">
        <v>7</v>
      </c>
      <c r="LG38784" s="7" t="n">
        <v>65533</v>
      </c>
      <c r="LH38784" s="7" t="n">
        <v>3822</v>
      </c>
      <c r="LI38784" s="7" t="s">
        <v>16</v>
      </c>
      <c r="LJ38784" s="7" t="n">
        <f t="normal" ca="1">32-LENB(INDIRECT(ADDRESS(38784,321)))</f>
        <v>0</v>
      </c>
      <c r="LK38784" s="7" t="n">
        <v>0</v>
      </c>
      <c r="LL38784" s="7" t="n">
        <v>65533</v>
      </c>
      <c r="LM38784" s="7" t="n">
        <v>0</v>
      </c>
      <c r="LN38784" s="7" t="s">
        <v>16</v>
      </c>
      <c r="LO38784" s="7" t="n">
        <f t="normal" ca="1">32-LENB(INDIRECT(ADDRESS(38784,326)))</f>
        <v>0</v>
      </c>
    </row>
    <row r="38785" spans="1:407">
      <c r="A38785" t="s">
        <v>4</v>
      </c>
      <c r="B38785" s="4" t="s">
        <v>5</v>
      </c>
    </row>
    <row r="38786" spans="1:407">
      <c r="A38786" t="n">
        <v>394136</v>
      </c>
      <c r="B38786" s="5" t="n">
        <v>1</v>
      </c>
    </row>
    <row r="38787" spans="1:407" s="3" customFormat="1" customHeight="0">
      <c r="A38787" s="3" t="s">
        <v>2</v>
      </c>
      <c r="B38787" s="3" t="s">
        <v>1866</v>
      </c>
    </row>
    <row r="38788" spans="1:407">
      <c r="A38788" t="s">
        <v>4</v>
      </c>
      <c r="B38788" s="4" t="s">
        <v>5</v>
      </c>
      <c r="C38788" s="4" t="s">
        <v>11</v>
      </c>
      <c r="D38788" s="4" t="s">
        <v>11</v>
      </c>
      <c r="E38788" s="4" t="s">
        <v>15</v>
      </c>
      <c r="F38788" s="4" t="s">
        <v>8</v>
      </c>
      <c r="G38788" s="4" t="s">
        <v>1859</v>
      </c>
      <c r="H38788" s="4" t="s">
        <v>11</v>
      </c>
      <c r="I38788" s="4" t="s">
        <v>11</v>
      </c>
      <c r="J38788" s="4" t="s">
        <v>15</v>
      </c>
      <c r="K38788" s="4" t="s">
        <v>8</v>
      </c>
      <c r="L38788" s="4" t="s">
        <v>1859</v>
      </c>
      <c r="M38788" s="4" t="s">
        <v>11</v>
      </c>
      <c r="N38788" s="4" t="s">
        <v>11</v>
      </c>
      <c r="O38788" s="4" t="s">
        <v>15</v>
      </c>
      <c r="P38788" s="4" t="s">
        <v>8</v>
      </c>
      <c r="Q38788" s="4" t="s">
        <v>1859</v>
      </c>
      <c r="R38788" s="4" t="s">
        <v>11</v>
      </c>
      <c r="S38788" s="4" t="s">
        <v>11</v>
      </c>
      <c r="T38788" s="4" t="s">
        <v>15</v>
      </c>
      <c r="U38788" s="4" t="s">
        <v>8</v>
      </c>
      <c r="V38788" s="4" t="s">
        <v>1859</v>
      </c>
      <c r="W38788" s="4" t="s">
        <v>11</v>
      </c>
      <c r="X38788" s="4" t="s">
        <v>11</v>
      </c>
      <c r="Y38788" s="4" t="s">
        <v>15</v>
      </c>
      <c r="Z38788" s="4" t="s">
        <v>8</v>
      </c>
      <c r="AA38788" s="4" t="s">
        <v>1859</v>
      </c>
      <c r="AB38788" s="4" t="s">
        <v>11</v>
      </c>
      <c r="AC38788" s="4" t="s">
        <v>11</v>
      </c>
      <c r="AD38788" s="4" t="s">
        <v>15</v>
      </c>
      <c r="AE38788" s="4" t="s">
        <v>8</v>
      </c>
      <c r="AF38788" s="4" t="s">
        <v>1859</v>
      </c>
      <c r="AG38788" s="4" t="s">
        <v>11</v>
      </c>
      <c r="AH38788" s="4" t="s">
        <v>11</v>
      </c>
      <c r="AI38788" s="4" t="s">
        <v>15</v>
      </c>
      <c r="AJ38788" s="4" t="s">
        <v>8</v>
      </c>
      <c r="AK38788" s="4" t="s">
        <v>1859</v>
      </c>
      <c r="AL38788" s="4" t="s">
        <v>11</v>
      </c>
      <c r="AM38788" s="4" t="s">
        <v>11</v>
      </c>
      <c r="AN38788" s="4" t="s">
        <v>15</v>
      </c>
      <c r="AO38788" s="4" t="s">
        <v>8</v>
      </c>
      <c r="AP38788" s="4" t="s">
        <v>1859</v>
      </c>
      <c r="AQ38788" s="4" t="s">
        <v>11</v>
      </c>
      <c r="AR38788" s="4" t="s">
        <v>11</v>
      </c>
      <c r="AS38788" s="4" t="s">
        <v>15</v>
      </c>
      <c r="AT38788" s="4" t="s">
        <v>8</v>
      </c>
      <c r="AU38788" s="4" t="s">
        <v>1859</v>
      </c>
      <c r="AV38788" s="4" t="s">
        <v>11</v>
      </c>
      <c r="AW38788" s="4" t="s">
        <v>11</v>
      </c>
      <c r="AX38788" s="4" t="s">
        <v>15</v>
      </c>
      <c r="AY38788" s="4" t="s">
        <v>8</v>
      </c>
      <c r="AZ38788" s="4" t="s">
        <v>1859</v>
      </c>
      <c r="BA38788" s="4" t="s">
        <v>11</v>
      </c>
      <c r="BB38788" s="4" t="s">
        <v>11</v>
      </c>
      <c r="BC38788" s="4" t="s">
        <v>15</v>
      </c>
      <c r="BD38788" s="4" t="s">
        <v>8</v>
      </c>
      <c r="BE38788" s="4" t="s">
        <v>1859</v>
      </c>
      <c r="BF38788" s="4" t="s">
        <v>11</v>
      </c>
      <c r="BG38788" s="4" t="s">
        <v>11</v>
      </c>
      <c r="BH38788" s="4" t="s">
        <v>15</v>
      </c>
      <c r="BI38788" s="4" t="s">
        <v>8</v>
      </c>
      <c r="BJ38788" s="4" t="s">
        <v>1859</v>
      </c>
      <c r="BK38788" s="4" t="s">
        <v>11</v>
      </c>
      <c r="BL38788" s="4" t="s">
        <v>11</v>
      </c>
      <c r="BM38788" s="4" t="s">
        <v>15</v>
      </c>
      <c r="BN38788" s="4" t="s">
        <v>8</v>
      </c>
      <c r="BO38788" s="4" t="s">
        <v>1859</v>
      </c>
      <c r="BP38788" s="4" t="s">
        <v>11</v>
      </c>
      <c r="BQ38788" s="4" t="s">
        <v>11</v>
      </c>
      <c r="BR38788" s="4" t="s">
        <v>15</v>
      </c>
      <c r="BS38788" s="4" t="s">
        <v>8</v>
      </c>
      <c r="BT38788" s="4" t="s">
        <v>1859</v>
      </c>
      <c r="BU38788" s="4" t="s">
        <v>11</v>
      </c>
      <c r="BV38788" s="4" t="s">
        <v>11</v>
      </c>
      <c r="BW38788" s="4" t="s">
        <v>15</v>
      </c>
      <c r="BX38788" s="4" t="s">
        <v>8</v>
      </c>
      <c r="BY38788" s="4" t="s">
        <v>1859</v>
      </c>
      <c r="BZ38788" s="4" t="s">
        <v>11</v>
      </c>
      <c r="CA38788" s="4" t="s">
        <v>11</v>
      </c>
      <c r="CB38788" s="4" t="s">
        <v>15</v>
      </c>
      <c r="CC38788" s="4" t="s">
        <v>8</v>
      </c>
      <c r="CD38788" s="4" t="s">
        <v>1859</v>
      </c>
      <c r="CE38788" s="4" t="s">
        <v>11</v>
      </c>
      <c r="CF38788" s="4" t="s">
        <v>11</v>
      </c>
      <c r="CG38788" s="4" t="s">
        <v>15</v>
      </c>
      <c r="CH38788" s="4" t="s">
        <v>8</v>
      </c>
      <c r="CI38788" s="4" t="s">
        <v>1859</v>
      </c>
      <c r="CJ38788" s="4" t="s">
        <v>11</v>
      </c>
      <c r="CK38788" s="4" t="s">
        <v>11</v>
      </c>
      <c r="CL38788" s="4" t="s">
        <v>15</v>
      </c>
      <c r="CM38788" s="4" t="s">
        <v>8</v>
      </c>
      <c r="CN38788" s="4" t="s">
        <v>1859</v>
      </c>
      <c r="CO38788" s="4" t="s">
        <v>11</v>
      </c>
      <c r="CP38788" s="4" t="s">
        <v>11</v>
      </c>
      <c r="CQ38788" s="4" t="s">
        <v>15</v>
      </c>
      <c r="CR38788" s="4" t="s">
        <v>8</v>
      </c>
      <c r="CS38788" s="4" t="s">
        <v>1859</v>
      </c>
      <c r="CT38788" s="4" t="s">
        <v>11</v>
      </c>
      <c r="CU38788" s="4" t="s">
        <v>11</v>
      </c>
      <c r="CV38788" s="4" t="s">
        <v>15</v>
      </c>
      <c r="CW38788" s="4" t="s">
        <v>8</v>
      </c>
      <c r="CX38788" s="4" t="s">
        <v>1859</v>
      </c>
      <c r="CY38788" s="4" t="s">
        <v>11</v>
      </c>
      <c r="CZ38788" s="4" t="s">
        <v>11</v>
      </c>
      <c r="DA38788" s="4" t="s">
        <v>15</v>
      </c>
      <c r="DB38788" s="4" t="s">
        <v>8</v>
      </c>
      <c r="DC38788" s="4" t="s">
        <v>1859</v>
      </c>
      <c r="DD38788" s="4" t="s">
        <v>11</v>
      </c>
      <c r="DE38788" s="4" t="s">
        <v>11</v>
      </c>
      <c r="DF38788" s="4" t="s">
        <v>15</v>
      </c>
      <c r="DG38788" s="4" t="s">
        <v>8</v>
      </c>
      <c r="DH38788" s="4" t="s">
        <v>1859</v>
      </c>
      <c r="DI38788" s="4" t="s">
        <v>11</v>
      </c>
      <c r="DJ38788" s="4" t="s">
        <v>11</v>
      </c>
      <c r="DK38788" s="4" t="s">
        <v>15</v>
      </c>
      <c r="DL38788" s="4" t="s">
        <v>8</v>
      </c>
      <c r="DM38788" s="4" t="s">
        <v>1859</v>
      </c>
      <c r="DN38788" s="4" t="s">
        <v>11</v>
      </c>
      <c r="DO38788" s="4" t="s">
        <v>11</v>
      </c>
      <c r="DP38788" s="4" t="s">
        <v>15</v>
      </c>
      <c r="DQ38788" s="4" t="s">
        <v>8</v>
      </c>
      <c r="DR38788" s="4" t="s">
        <v>1859</v>
      </c>
      <c r="DS38788" s="4" t="s">
        <v>11</v>
      </c>
      <c r="DT38788" s="4" t="s">
        <v>11</v>
      </c>
      <c r="DU38788" s="4" t="s">
        <v>15</v>
      </c>
      <c r="DV38788" s="4" t="s">
        <v>8</v>
      </c>
      <c r="DW38788" s="4" t="s">
        <v>1859</v>
      </c>
      <c r="DX38788" s="4" t="s">
        <v>11</v>
      </c>
      <c r="DY38788" s="4" t="s">
        <v>11</v>
      </c>
      <c r="DZ38788" s="4" t="s">
        <v>15</v>
      </c>
      <c r="EA38788" s="4" t="s">
        <v>8</v>
      </c>
      <c r="EB38788" s="4" t="s">
        <v>1859</v>
      </c>
      <c r="EC38788" s="4" t="s">
        <v>11</v>
      </c>
      <c r="ED38788" s="4" t="s">
        <v>11</v>
      </c>
      <c r="EE38788" s="4" t="s">
        <v>15</v>
      </c>
      <c r="EF38788" s="4" t="s">
        <v>8</v>
      </c>
      <c r="EG38788" s="4" t="s">
        <v>1859</v>
      </c>
      <c r="EH38788" s="4" t="s">
        <v>11</v>
      </c>
      <c r="EI38788" s="4" t="s">
        <v>11</v>
      </c>
      <c r="EJ38788" s="4" t="s">
        <v>15</v>
      </c>
      <c r="EK38788" s="4" t="s">
        <v>8</v>
      </c>
      <c r="EL38788" s="4" t="s">
        <v>1859</v>
      </c>
      <c r="EM38788" s="4" t="s">
        <v>11</v>
      </c>
      <c r="EN38788" s="4" t="s">
        <v>11</v>
      </c>
      <c r="EO38788" s="4" t="s">
        <v>15</v>
      </c>
      <c r="EP38788" s="4" t="s">
        <v>8</v>
      </c>
      <c r="EQ38788" s="4" t="s">
        <v>1859</v>
      </c>
      <c r="ER38788" s="4" t="s">
        <v>11</v>
      </c>
      <c r="ES38788" s="4" t="s">
        <v>11</v>
      </c>
      <c r="ET38788" s="4" t="s">
        <v>15</v>
      </c>
      <c r="EU38788" s="4" t="s">
        <v>8</v>
      </c>
      <c r="EV38788" s="4" t="s">
        <v>1859</v>
      </c>
      <c r="EW38788" s="4" t="s">
        <v>11</v>
      </c>
      <c r="EX38788" s="4" t="s">
        <v>11</v>
      </c>
      <c r="EY38788" s="4" t="s">
        <v>15</v>
      </c>
      <c r="EZ38788" s="4" t="s">
        <v>8</v>
      </c>
      <c r="FA38788" s="4" t="s">
        <v>1859</v>
      </c>
      <c r="FB38788" s="4" t="s">
        <v>11</v>
      </c>
      <c r="FC38788" s="4" t="s">
        <v>11</v>
      </c>
      <c r="FD38788" s="4" t="s">
        <v>15</v>
      </c>
      <c r="FE38788" s="4" t="s">
        <v>8</v>
      </c>
      <c r="FF38788" s="4" t="s">
        <v>1859</v>
      </c>
      <c r="FG38788" s="4" t="s">
        <v>11</v>
      </c>
      <c r="FH38788" s="4" t="s">
        <v>11</v>
      </c>
      <c r="FI38788" s="4" t="s">
        <v>15</v>
      </c>
      <c r="FJ38788" s="4" t="s">
        <v>8</v>
      </c>
      <c r="FK38788" s="4" t="s">
        <v>1859</v>
      </c>
      <c r="FL38788" s="4" t="s">
        <v>11</v>
      </c>
      <c r="FM38788" s="4" t="s">
        <v>11</v>
      </c>
      <c r="FN38788" s="4" t="s">
        <v>15</v>
      </c>
      <c r="FO38788" s="4" t="s">
        <v>8</v>
      </c>
      <c r="FP38788" s="4" t="s">
        <v>1859</v>
      </c>
      <c r="FQ38788" s="4" t="s">
        <v>11</v>
      </c>
      <c r="FR38788" s="4" t="s">
        <v>11</v>
      </c>
      <c r="FS38788" s="4" t="s">
        <v>15</v>
      </c>
      <c r="FT38788" s="4" t="s">
        <v>8</v>
      </c>
      <c r="FU38788" s="4" t="s">
        <v>1859</v>
      </c>
      <c r="FV38788" s="4" t="s">
        <v>11</v>
      </c>
      <c r="FW38788" s="4" t="s">
        <v>11</v>
      </c>
      <c r="FX38788" s="4" t="s">
        <v>15</v>
      </c>
      <c r="FY38788" s="4" t="s">
        <v>8</v>
      </c>
      <c r="FZ38788" s="4" t="s">
        <v>1859</v>
      </c>
      <c r="GA38788" s="4" t="s">
        <v>11</v>
      </c>
      <c r="GB38788" s="4" t="s">
        <v>11</v>
      </c>
      <c r="GC38788" s="4" t="s">
        <v>15</v>
      </c>
      <c r="GD38788" s="4" t="s">
        <v>8</v>
      </c>
      <c r="GE38788" s="4" t="s">
        <v>1859</v>
      </c>
      <c r="GF38788" s="4" t="s">
        <v>11</v>
      </c>
      <c r="GG38788" s="4" t="s">
        <v>11</v>
      </c>
      <c r="GH38788" s="4" t="s">
        <v>15</v>
      </c>
      <c r="GI38788" s="4" t="s">
        <v>8</v>
      </c>
      <c r="GJ38788" s="4" t="s">
        <v>1859</v>
      </c>
      <c r="GK38788" s="4" t="s">
        <v>11</v>
      </c>
      <c r="GL38788" s="4" t="s">
        <v>11</v>
      </c>
      <c r="GM38788" s="4" t="s">
        <v>15</v>
      </c>
      <c r="GN38788" s="4" t="s">
        <v>8</v>
      </c>
      <c r="GO38788" s="4" t="s">
        <v>1859</v>
      </c>
      <c r="GP38788" s="4" t="s">
        <v>11</v>
      </c>
      <c r="GQ38788" s="4" t="s">
        <v>11</v>
      </c>
      <c r="GR38788" s="4" t="s">
        <v>15</v>
      </c>
      <c r="GS38788" s="4" t="s">
        <v>8</v>
      </c>
      <c r="GT38788" s="4" t="s">
        <v>1859</v>
      </c>
      <c r="GU38788" s="4" t="s">
        <v>11</v>
      </c>
      <c r="GV38788" s="4" t="s">
        <v>11</v>
      </c>
      <c r="GW38788" s="4" t="s">
        <v>15</v>
      </c>
      <c r="GX38788" s="4" t="s">
        <v>8</v>
      </c>
      <c r="GY38788" s="4" t="s">
        <v>1859</v>
      </c>
      <c r="GZ38788" s="4" t="s">
        <v>11</v>
      </c>
      <c r="HA38788" s="4" t="s">
        <v>11</v>
      </c>
      <c r="HB38788" s="4" t="s">
        <v>15</v>
      </c>
      <c r="HC38788" s="4" t="s">
        <v>8</v>
      </c>
      <c r="HD38788" s="4" t="s">
        <v>1859</v>
      </c>
      <c r="HE38788" s="4" t="s">
        <v>11</v>
      </c>
      <c r="HF38788" s="4" t="s">
        <v>11</v>
      </c>
      <c r="HG38788" s="4" t="s">
        <v>15</v>
      </c>
      <c r="HH38788" s="4" t="s">
        <v>8</v>
      </c>
      <c r="HI38788" s="4" t="s">
        <v>1859</v>
      </c>
      <c r="HJ38788" s="4" t="s">
        <v>11</v>
      </c>
      <c r="HK38788" s="4" t="s">
        <v>11</v>
      </c>
      <c r="HL38788" s="4" t="s">
        <v>15</v>
      </c>
      <c r="HM38788" s="4" t="s">
        <v>8</v>
      </c>
      <c r="HN38788" s="4" t="s">
        <v>1859</v>
      </c>
      <c r="HO38788" s="4" t="s">
        <v>11</v>
      </c>
      <c r="HP38788" s="4" t="s">
        <v>11</v>
      </c>
      <c r="HQ38788" s="4" t="s">
        <v>15</v>
      </c>
      <c r="HR38788" s="4" t="s">
        <v>8</v>
      </c>
      <c r="HS38788" s="4" t="s">
        <v>1859</v>
      </c>
      <c r="HT38788" s="4" t="s">
        <v>11</v>
      </c>
      <c r="HU38788" s="4" t="s">
        <v>11</v>
      </c>
      <c r="HV38788" s="4" t="s">
        <v>15</v>
      </c>
      <c r="HW38788" s="4" t="s">
        <v>8</v>
      </c>
      <c r="HX38788" s="4" t="s">
        <v>1859</v>
      </c>
      <c r="HY38788" s="4" t="s">
        <v>11</v>
      </c>
      <c r="HZ38788" s="4" t="s">
        <v>11</v>
      </c>
      <c r="IA38788" s="4" t="s">
        <v>15</v>
      </c>
      <c r="IB38788" s="4" t="s">
        <v>8</v>
      </c>
      <c r="IC38788" s="4" t="s">
        <v>1859</v>
      </c>
      <c r="ID38788" s="4" t="s">
        <v>11</v>
      </c>
      <c r="IE38788" s="4" t="s">
        <v>11</v>
      </c>
      <c r="IF38788" s="4" t="s">
        <v>15</v>
      </c>
      <c r="IG38788" s="4" t="s">
        <v>8</v>
      </c>
      <c r="IH38788" s="4" t="s">
        <v>1859</v>
      </c>
      <c r="II38788" s="4" t="s">
        <v>11</v>
      </c>
      <c r="IJ38788" s="4" t="s">
        <v>11</v>
      </c>
      <c r="IK38788" s="4" t="s">
        <v>15</v>
      </c>
      <c r="IL38788" s="4" t="s">
        <v>8</v>
      </c>
      <c r="IM38788" s="4" t="s">
        <v>1859</v>
      </c>
      <c r="IN38788" s="4" t="s">
        <v>11</v>
      </c>
      <c r="IO38788" s="4" t="s">
        <v>11</v>
      </c>
      <c r="IP38788" s="4" t="s">
        <v>15</v>
      </c>
      <c r="IQ38788" s="4" t="s">
        <v>8</v>
      </c>
      <c r="IR38788" s="4" t="s">
        <v>1859</v>
      </c>
      <c r="IS38788" s="4" t="s">
        <v>11</v>
      </c>
      <c r="IT38788" s="4" t="s">
        <v>11</v>
      </c>
      <c r="IU38788" s="4" t="s">
        <v>15</v>
      </c>
      <c r="IV38788" s="4" t="s">
        <v>8</v>
      </c>
      <c r="IW38788" s="4" t="s">
        <v>1859</v>
      </c>
      <c r="IX38788" s="4" t="s">
        <v>11</v>
      </c>
      <c r="IY38788" s="4" t="s">
        <v>11</v>
      </c>
      <c r="IZ38788" s="4" t="s">
        <v>15</v>
      </c>
      <c r="JA38788" s="4" t="s">
        <v>8</v>
      </c>
      <c r="JB38788" s="4" t="s">
        <v>1859</v>
      </c>
      <c r="JC38788" s="4" t="s">
        <v>11</v>
      </c>
      <c r="JD38788" s="4" t="s">
        <v>11</v>
      </c>
      <c r="JE38788" s="4" t="s">
        <v>15</v>
      </c>
      <c r="JF38788" s="4" t="s">
        <v>8</v>
      </c>
      <c r="JG38788" s="4" t="s">
        <v>1859</v>
      </c>
      <c r="JH38788" s="4" t="s">
        <v>11</v>
      </c>
      <c r="JI38788" s="4" t="s">
        <v>11</v>
      </c>
      <c r="JJ38788" s="4" t="s">
        <v>15</v>
      </c>
      <c r="JK38788" s="4" t="s">
        <v>8</v>
      </c>
      <c r="JL38788" s="4" t="s">
        <v>1859</v>
      </c>
      <c r="JM38788" s="4" t="s">
        <v>11</v>
      </c>
      <c r="JN38788" s="4" t="s">
        <v>11</v>
      </c>
      <c r="JO38788" s="4" t="s">
        <v>15</v>
      </c>
      <c r="JP38788" s="4" t="s">
        <v>8</v>
      </c>
      <c r="JQ38788" s="4" t="s">
        <v>1859</v>
      </c>
      <c r="JR38788" s="4" t="s">
        <v>11</v>
      </c>
      <c r="JS38788" s="4" t="s">
        <v>11</v>
      </c>
      <c r="JT38788" s="4" t="s">
        <v>15</v>
      </c>
      <c r="JU38788" s="4" t="s">
        <v>8</v>
      </c>
      <c r="JV38788" s="4" t="s">
        <v>1859</v>
      </c>
      <c r="JW38788" s="4" t="s">
        <v>11</v>
      </c>
      <c r="JX38788" s="4" t="s">
        <v>11</v>
      </c>
      <c r="JY38788" s="4" t="s">
        <v>15</v>
      </c>
      <c r="JZ38788" s="4" t="s">
        <v>8</v>
      </c>
      <c r="KA38788" s="4" t="s">
        <v>1859</v>
      </c>
      <c r="KB38788" s="4" t="s">
        <v>11</v>
      </c>
      <c r="KC38788" s="4" t="s">
        <v>11</v>
      </c>
      <c r="KD38788" s="4" t="s">
        <v>15</v>
      </c>
      <c r="KE38788" s="4" t="s">
        <v>8</v>
      </c>
      <c r="KF38788" s="4" t="s">
        <v>1859</v>
      </c>
      <c r="KG38788" s="4" t="s">
        <v>11</v>
      </c>
      <c r="KH38788" s="4" t="s">
        <v>11</v>
      </c>
      <c r="KI38788" s="4" t="s">
        <v>15</v>
      </c>
      <c r="KJ38788" s="4" t="s">
        <v>8</v>
      </c>
      <c r="KK38788" s="4" t="s">
        <v>1859</v>
      </c>
      <c r="KL38788" s="4" t="s">
        <v>11</v>
      </c>
      <c r="KM38788" s="4" t="s">
        <v>11</v>
      </c>
      <c r="KN38788" s="4" t="s">
        <v>15</v>
      </c>
      <c r="KO38788" s="4" t="s">
        <v>8</v>
      </c>
      <c r="KP38788" s="4" t="s">
        <v>1859</v>
      </c>
      <c r="KQ38788" s="4" t="s">
        <v>11</v>
      </c>
      <c r="KR38788" s="4" t="s">
        <v>11</v>
      </c>
      <c r="KS38788" s="4" t="s">
        <v>15</v>
      </c>
      <c r="KT38788" s="4" t="s">
        <v>8</v>
      </c>
      <c r="KU38788" s="4" t="s">
        <v>1859</v>
      </c>
      <c r="KV38788" s="4" t="s">
        <v>11</v>
      </c>
      <c r="KW38788" s="4" t="s">
        <v>11</v>
      </c>
      <c r="KX38788" s="4" t="s">
        <v>15</v>
      </c>
      <c r="KY38788" s="4" t="s">
        <v>8</v>
      </c>
      <c r="KZ38788" s="4" t="s">
        <v>1859</v>
      </c>
      <c r="LA38788" s="4" t="s">
        <v>11</v>
      </c>
      <c r="LB38788" s="4" t="s">
        <v>11</v>
      </c>
      <c r="LC38788" s="4" t="s">
        <v>15</v>
      </c>
      <c r="LD38788" s="4" t="s">
        <v>8</v>
      </c>
      <c r="LE38788" s="4" t="s">
        <v>1859</v>
      </c>
      <c r="LF38788" s="4" t="s">
        <v>11</v>
      </c>
      <c r="LG38788" s="4" t="s">
        <v>11</v>
      </c>
      <c r="LH38788" s="4" t="s">
        <v>15</v>
      </c>
      <c r="LI38788" s="4" t="s">
        <v>8</v>
      </c>
      <c r="LJ38788" s="4" t="s">
        <v>1859</v>
      </c>
      <c r="LK38788" s="4" t="s">
        <v>11</v>
      </c>
      <c r="LL38788" s="4" t="s">
        <v>11</v>
      </c>
      <c r="LM38788" s="4" t="s">
        <v>15</v>
      </c>
      <c r="LN38788" s="4" t="s">
        <v>8</v>
      </c>
      <c r="LO38788" s="4" t="s">
        <v>1859</v>
      </c>
      <c r="LP38788" s="4" t="s">
        <v>11</v>
      </c>
      <c r="LQ38788" s="4" t="s">
        <v>11</v>
      </c>
      <c r="LR38788" s="4" t="s">
        <v>15</v>
      </c>
      <c r="LS38788" s="4" t="s">
        <v>8</v>
      </c>
      <c r="LT38788" s="4" t="s">
        <v>1859</v>
      </c>
    </row>
    <row r="38789" spans="1:407">
      <c r="A38789" t="n">
        <v>394144</v>
      </c>
      <c r="B38789" s="85" t="n">
        <v>257</v>
      </c>
      <c r="C38789" s="7" t="n">
        <v>7</v>
      </c>
      <c r="D38789" s="7" t="n">
        <v>65533</v>
      </c>
      <c r="E38789" s="7" t="n">
        <v>63903</v>
      </c>
      <c r="F38789" s="7" t="s">
        <v>16</v>
      </c>
      <c r="G38789" s="7" t="n">
        <f t="normal" ca="1">32-LENB(INDIRECT(ADDRESS(38789,6)))</f>
        <v>0</v>
      </c>
      <c r="H38789" s="7" t="n">
        <v>7</v>
      </c>
      <c r="I38789" s="7" t="n">
        <v>65533</v>
      </c>
      <c r="J38789" s="7" t="n">
        <v>63904</v>
      </c>
      <c r="K38789" s="7" t="s">
        <v>16</v>
      </c>
      <c r="L38789" s="7" t="n">
        <f t="normal" ca="1">32-LENB(INDIRECT(ADDRESS(38789,11)))</f>
        <v>0</v>
      </c>
      <c r="M38789" s="7" t="n">
        <v>7</v>
      </c>
      <c r="N38789" s="7" t="n">
        <v>65533</v>
      </c>
      <c r="O38789" s="7" t="n">
        <v>63905</v>
      </c>
      <c r="P38789" s="7" t="s">
        <v>16</v>
      </c>
      <c r="Q38789" s="7" t="n">
        <f t="normal" ca="1">32-LENB(INDIRECT(ADDRESS(38789,16)))</f>
        <v>0</v>
      </c>
      <c r="R38789" s="7" t="n">
        <v>7</v>
      </c>
      <c r="S38789" s="7" t="n">
        <v>65533</v>
      </c>
      <c r="T38789" s="7" t="n">
        <v>63906</v>
      </c>
      <c r="U38789" s="7" t="s">
        <v>16</v>
      </c>
      <c r="V38789" s="7" t="n">
        <f t="normal" ca="1">32-LENB(INDIRECT(ADDRESS(38789,21)))</f>
        <v>0</v>
      </c>
      <c r="W38789" s="7" t="n">
        <v>7</v>
      </c>
      <c r="X38789" s="7" t="n">
        <v>65533</v>
      </c>
      <c r="Y38789" s="7" t="n">
        <v>63907</v>
      </c>
      <c r="Z38789" s="7" t="s">
        <v>16</v>
      </c>
      <c r="AA38789" s="7" t="n">
        <f t="normal" ca="1">32-LENB(INDIRECT(ADDRESS(38789,26)))</f>
        <v>0</v>
      </c>
      <c r="AB38789" s="7" t="n">
        <v>7</v>
      </c>
      <c r="AC38789" s="7" t="n">
        <v>65533</v>
      </c>
      <c r="AD38789" s="7" t="n">
        <v>63908</v>
      </c>
      <c r="AE38789" s="7" t="s">
        <v>16</v>
      </c>
      <c r="AF38789" s="7" t="n">
        <f t="normal" ca="1">32-LENB(INDIRECT(ADDRESS(38789,31)))</f>
        <v>0</v>
      </c>
      <c r="AG38789" s="7" t="n">
        <v>7</v>
      </c>
      <c r="AH38789" s="7" t="n">
        <v>65533</v>
      </c>
      <c r="AI38789" s="7" t="n">
        <v>63909</v>
      </c>
      <c r="AJ38789" s="7" t="s">
        <v>16</v>
      </c>
      <c r="AK38789" s="7" t="n">
        <f t="normal" ca="1">32-LENB(INDIRECT(ADDRESS(38789,36)))</f>
        <v>0</v>
      </c>
      <c r="AL38789" s="7" t="n">
        <v>7</v>
      </c>
      <c r="AM38789" s="7" t="n">
        <v>65533</v>
      </c>
      <c r="AN38789" s="7" t="n">
        <v>63910</v>
      </c>
      <c r="AO38789" s="7" t="s">
        <v>16</v>
      </c>
      <c r="AP38789" s="7" t="n">
        <f t="normal" ca="1">32-LENB(INDIRECT(ADDRESS(38789,41)))</f>
        <v>0</v>
      </c>
      <c r="AQ38789" s="7" t="n">
        <v>7</v>
      </c>
      <c r="AR38789" s="7" t="n">
        <v>65533</v>
      </c>
      <c r="AS38789" s="7" t="n">
        <v>63911</v>
      </c>
      <c r="AT38789" s="7" t="s">
        <v>16</v>
      </c>
      <c r="AU38789" s="7" t="n">
        <f t="normal" ca="1">32-LENB(INDIRECT(ADDRESS(38789,46)))</f>
        <v>0</v>
      </c>
      <c r="AV38789" s="7" t="n">
        <v>7</v>
      </c>
      <c r="AW38789" s="7" t="n">
        <v>65533</v>
      </c>
      <c r="AX38789" s="7" t="n">
        <v>63912</v>
      </c>
      <c r="AY38789" s="7" t="s">
        <v>16</v>
      </c>
      <c r="AZ38789" s="7" t="n">
        <f t="normal" ca="1">32-LENB(INDIRECT(ADDRESS(38789,51)))</f>
        <v>0</v>
      </c>
      <c r="BA38789" s="7" t="n">
        <v>7</v>
      </c>
      <c r="BB38789" s="7" t="n">
        <v>65533</v>
      </c>
      <c r="BC38789" s="7" t="n">
        <v>63913</v>
      </c>
      <c r="BD38789" s="7" t="s">
        <v>16</v>
      </c>
      <c r="BE38789" s="7" t="n">
        <f t="normal" ca="1">32-LENB(INDIRECT(ADDRESS(38789,56)))</f>
        <v>0</v>
      </c>
      <c r="BF38789" s="7" t="n">
        <v>7</v>
      </c>
      <c r="BG38789" s="7" t="n">
        <v>65533</v>
      </c>
      <c r="BH38789" s="7" t="n">
        <v>63914</v>
      </c>
      <c r="BI38789" s="7" t="s">
        <v>16</v>
      </c>
      <c r="BJ38789" s="7" t="n">
        <f t="normal" ca="1">32-LENB(INDIRECT(ADDRESS(38789,61)))</f>
        <v>0</v>
      </c>
      <c r="BK38789" s="7" t="n">
        <v>7</v>
      </c>
      <c r="BL38789" s="7" t="n">
        <v>65533</v>
      </c>
      <c r="BM38789" s="7" t="n">
        <v>63915</v>
      </c>
      <c r="BN38789" s="7" t="s">
        <v>16</v>
      </c>
      <c r="BO38789" s="7" t="n">
        <f t="normal" ca="1">32-LENB(INDIRECT(ADDRESS(38789,66)))</f>
        <v>0</v>
      </c>
      <c r="BP38789" s="7" t="n">
        <v>7</v>
      </c>
      <c r="BQ38789" s="7" t="n">
        <v>65533</v>
      </c>
      <c r="BR38789" s="7" t="n">
        <v>63916</v>
      </c>
      <c r="BS38789" s="7" t="s">
        <v>16</v>
      </c>
      <c r="BT38789" s="7" t="n">
        <f t="normal" ca="1">32-LENB(INDIRECT(ADDRESS(38789,71)))</f>
        <v>0</v>
      </c>
      <c r="BU38789" s="7" t="n">
        <v>7</v>
      </c>
      <c r="BV38789" s="7" t="n">
        <v>65533</v>
      </c>
      <c r="BW38789" s="7" t="n">
        <v>63917</v>
      </c>
      <c r="BX38789" s="7" t="s">
        <v>16</v>
      </c>
      <c r="BY38789" s="7" t="n">
        <f t="normal" ca="1">32-LENB(INDIRECT(ADDRESS(38789,76)))</f>
        <v>0</v>
      </c>
      <c r="BZ38789" s="7" t="n">
        <v>7</v>
      </c>
      <c r="CA38789" s="7" t="n">
        <v>65533</v>
      </c>
      <c r="CB38789" s="7" t="n">
        <v>63918</v>
      </c>
      <c r="CC38789" s="7" t="s">
        <v>16</v>
      </c>
      <c r="CD38789" s="7" t="n">
        <f t="normal" ca="1">32-LENB(INDIRECT(ADDRESS(38789,81)))</f>
        <v>0</v>
      </c>
      <c r="CE38789" s="7" t="n">
        <v>7</v>
      </c>
      <c r="CF38789" s="7" t="n">
        <v>65533</v>
      </c>
      <c r="CG38789" s="7" t="n">
        <v>63919</v>
      </c>
      <c r="CH38789" s="7" t="s">
        <v>16</v>
      </c>
      <c r="CI38789" s="7" t="n">
        <f t="normal" ca="1">32-LENB(INDIRECT(ADDRESS(38789,86)))</f>
        <v>0</v>
      </c>
      <c r="CJ38789" s="7" t="n">
        <v>7</v>
      </c>
      <c r="CK38789" s="7" t="n">
        <v>65533</v>
      </c>
      <c r="CL38789" s="7" t="n">
        <v>63920</v>
      </c>
      <c r="CM38789" s="7" t="s">
        <v>16</v>
      </c>
      <c r="CN38789" s="7" t="n">
        <f t="normal" ca="1">32-LENB(INDIRECT(ADDRESS(38789,91)))</f>
        <v>0</v>
      </c>
      <c r="CO38789" s="7" t="n">
        <v>7</v>
      </c>
      <c r="CP38789" s="7" t="n">
        <v>65533</v>
      </c>
      <c r="CQ38789" s="7" t="n">
        <v>63921</v>
      </c>
      <c r="CR38789" s="7" t="s">
        <v>16</v>
      </c>
      <c r="CS38789" s="7" t="n">
        <f t="normal" ca="1">32-LENB(INDIRECT(ADDRESS(38789,96)))</f>
        <v>0</v>
      </c>
      <c r="CT38789" s="7" t="n">
        <v>7</v>
      </c>
      <c r="CU38789" s="7" t="n">
        <v>65533</v>
      </c>
      <c r="CV38789" s="7" t="n">
        <v>63922</v>
      </c>
      <c r="CW38789" s="7" t="s">
        <v>16</v>
      </c>
      <c r="CX38789" s="7" t="n">
        <f t="normal" ca="1">32-LENB(INDIRECT(ADDRESS(38789,101)))</f>
        <v>0</v>
      </c>
      <c r="CY38789" s="7" t="n">
        <v>7</v>
      </c>
      <c r="CZ38789" s="7" t="n">
        <v>65533</v>
      </c>
      <c r="DA38789" s="7" t="n">
        <v>63923</v>
      </c>
      <c r="DB38789" s="7" t="s">
        <v>16</v>
      </c>
      <c r="DC38789" s="7" t="n">
        <f t="normal" ca="1">32-LENB(INDIRECT(ADDRESS(38789,106)))</f>
        <v>0</v>
      </c>
      <c r="DD38789" s="7" t="n">
        <v>7</v>
      </c>
      <c r="DE38789" s="7" t="n">
        <v>65533</v>
      </c>
      <c r="DF38789" s="7" t="n">
        <v>63924</v>
      </c>
      <c r="DG38789" s="7" t="s">
        <v>16</v>
      </c>
      <c r="DH38789" s="7" t="n">
        <f t="normal" ca="1">32-LENB(INDIRECT(ADDRESS(38789,111)))</f>
        <v>0</v>
      </c>
      <c r="DI38789" s="7" t="n">
        <v>7</v>
      </c>
      <c r="DJ38789" s="7" t="n">
        <v>65533</v>
      </c>
      <c r="DK38789" s="7" t="n">
        <v>63925</v>
      </c>
      <c r="DL38789" s="7" t="s">
        <v>16</v>
      </c>
      <c r="DM38789" s="7" t="n">
        <f t="normal" ca="1">32-LENB(INDIRECT(ADDRESS(38789,116)))</f>
        <v>0</v>
      </c>
      <c r="DN38789" s="7" t="n">
        <v>7</v>
      </c>
      <c r="DO38789" s="7" t="n">
        <v>65533</v>
      </c>
      <c r="DP38789" s="7" t="n">
        <v>4800</v>
      </c>
      <c r="DQ38789" s="7" t="s">
        <v>16</v>
      </c>
      <c r="DR38789" s="7" t="n">
        <f t="normal" ca="1">32-LENB(INDIRECT(ADDRESS(38789,121)))</f>
        <v>0</v>
      </c>
      <c r="DS38789" s="7" t="n">
        <v>7</v>
      </c>
      <c r="DT38789" s="7" t="n">
        <v>65533</v>
      </c>
      <c r="DU38789" s="7" t="n">
        <v>4801</v>
      </c>
      <c r="DV38789" s="7" t="s">
        <v>16</v>
      </c>
      <c r="DW38789" s="7" t="n">
        <f t="normal" ca="1">32-LENB(INDIRECT(ADDRESS(38789,126)))</f>
        <v>0</v>
      </c>
      <c r="DX38789" s="7" t="n">
        <v>7</v>
      </c>
      <c r="DY38789" s="7" t="n">
        <v>65533</v>
      </c>
      <c r="DZ38789" s="7" t="n">
        <v>4802</v>
      </c>
      <c r="EA38789" s="7" t="s">
        <v>16</v>
      </c>
      <c r="EB38789" s="7" t="n">
        <f t="normal" ca="1">32-LENB(INDIRECT(ADDRESS(38789,131)))</f>
        <v>0</v>
      </c>
      <c r="EC38789" s="7" t="n">
        <v>7</v>
      </c>
      <c r="ED38789" s="7" t="n">
        <v>65533</v>
      </c>
      <c r="EE38789" s="7" t="n">
        <v>4803</v>
      </c>
      <c r="EF38789" s="7" t="s">
        <v>16</v>
      </c>
      <c r="EG38789" s="7" t="n">
        <f t="normal" ca="1">32-LENB(INDIRECT(ADDRESS(38789,136)))</f>
        <v>0</v>
      </c>
      <c r="EH38789" s="7" t="n">
        <v>7</v>
      </c>
      <c r="EI38789" s="7" t="n">
        <v>65533</v>
      </c>
      <c r="EJ38789" s="7" t="n">
        <v>63926</v>
      </c>
      <c r="EK38789" s="7" t="s">
        <v>16</v>
      </c>
      <c r="EL38789" s="7" t="n">
        <f t="normal" ca="1">32-LENB(INDIRECT(ADDRESS(38789,141)))</f>
        <v>0</v>
      </c>
      <c r="EM38789" s="7" t="n">
        <v>7</v>
      </c>
      <c r="EN38789" s="7" t="n">
        <v>65533</v>
      </c>
      <c r="EO38789" s="7" t="n">
        <v>4804</v>
      </c>
      <c r="EP38789" s="7" t="s">
        <v>16</v>
      </c>
      <c r="EQ38789" s="7" t="n">
        <f t="normal" ca="1">32-LENB(INDIRECT(ADDRESS(38789,146)))</f>
        <v>0</v>
      </c>
      <c r="ER38789" s="7" t="n">
        <v>7</v>
      </c>
      <c r="ES38789" s="7" t="n">
        <v>65533</v>
      </c>
      <c r="ET38789" s="7" t="n">
        <v>4805</v>
      </c>
      <c r="EU38789" s="7" t="s">
        <v>16</v>
      </c>
      <c r="EV38789" s="7" t="n">
        <f t="normal" ca="1">32-LENB(INDIRECT(ADDRESS(38789,151)))</f>
        <v>0</v>
      </c>
      <c r="EW38789" s="7" t="n">
        <v>7</v>
      </c>
      <c r="EX38789" s="7" t="n">
        <v>65533</v>
      </c>
      <c r="EY38789" s="7" t="n">
        <v>4806</v>
      </c>
      <c r="EZ38789" s="7" t="s">
        <v>16</v>
      </c>
      <c r="FA38789" s="7" t="n">
        <f t="normal" ca="1">32-LENB(INDIRECT(ADDRESS(38789,156)))</f>
        <v>0</v>
      </c>
      <c r="FB38789" s="7" t="n">
        <v>7</v>
      </c>
      <c r="FC38789" s="7" t="n">
        <v>65533</v>
      </c>
      <c r="FD38789" s="7" t="n">
        <v>64268</v>
      </c>
      <c r="FE38789" s="7" t="s">
        <v>16</v>
      </c>
      <c r="FF38789" s="7" t="n">
        <f t="normal" ca="1">32-LENB(INDIRECT(ADDRESS(38789,161)))</f>
        <v>0</v>
      </c>
      <c r="FG38789" s="7" t="n">
        <v>7</v>
      </c>
      <c r="FH38789" s="7" t="n">
        <v>65533</v>
      </c>
      <c r="FI38789" s="7" t="n">
        <v>4807</v>
      </c>
      <c r="FJ38789" s="7" t="s">
        <v>16</v>
      </c>
      <c r="FK38789" s="7" t="n">
        <f t="normal" ca="1">32-LENB(INDIRECT(ADDRESS(38789,166)))</f>
        <v>0</v>
      </c>
      <c r="FL38789" s="7" t="n">
        <v>7</v>
      </c>
      <c r="FM38789" s="7" t="n">
        <v>65533</v>
      </c>
      <c r="FN38789" s="7" t="n">
        <v>4808</v>
      </c>
      <c r="FO38789" s="7" t="s">
        <v>16</v>
      </c>
      <c r="FP38789" s="7" t="n">
        <f t="normal" ca="1">32-LENB(INDIRECT(ADDRESS(38789,171)))</f>
        <v>0</v>
      </c>
      <c r="FQ38789" s="7" t="n">
        <v>7</v>
      </c>
      <c r="FR38789" s="7" t="n">
        <v>65533</v>
      </c>
      <c r="FS38789" s="7" t="n">
        <v>4809</v>
      </c>
      <c r="FT38789" s="7" t="s">
        <v>16</v>
      </c>
      <c r="FU38789" s="7" t="n">
        <f t="normal" ca="1">32-LENB(INDIRECT(ADDRESS(38789,176)))</f>
        <v>0</v>
      </c>
      <c r="FV38789" s="7" t="n">
        <v>7</v>
      </c>
      <c r="FW38789" s="7" t="n">
        <v>65533</v>
      </c>
      <c r="FX38789" s="7" t="n">
        <v>4810</v>
      </c>
      <c r="FY38789" s="7" t="s">
        <v>16</v>
      </c>
      <c r="FZ38789" s="7" t="n">
        <f t="normal" ca="1">32-LENB(INDIRECT(ADDRESS(38789,181)))</f>
        <v>0</v>
      </c>
      <c r="GA38789" s="7" t="n">
        <v>7</v>
      </c>
      <c r="GB38789" s="7" t="n">
        <v>65533</v>
      </c>
      <c r="GC38789" s="7" t="n">
        <v>4811</v>
      </c>
      <c r="GD38789" s="7" t="s">
        <v>16</v>
      </c>
      <c r="GE38789" s="7" t="n">
        <f t="normal" ca="1">32-LENB(INDIRECT(ADDRESS(38789,186)))</f>
        <v>0</v>
      </c>
      <c r="GF38789" s="7" t="n">
        <v>7</v>
      </c>
      <c r="GG38789" s="7" t="n">
        <v>65533</v>
      </c>
      <c r="GH38789" s="7" t="n">
        <v>4812</v>
      </c>
      <c r="GI38789" s="7" t="s">
        <v>16</v>
      </c>
      <c r="GJ38789" s="7" t="n">
        <f t="normal" ca="1">32-LENB(INDIRECT(ADDRESS(38789,191)))</f>
        <v>0</v>
      </c>
      <c r="GK38789" s="7" t="n">
        <v>7</v>
      </c>
      <c r="GL38789" s="7" t="n">
        <v>65533</v>
      </c>
      <c r="GM38789" s="7" t="n">
        <v>64268</v>
      </c>
      <c r="GN38789" s="7" t="s">
        <v>16</v>
      </c>
      <c r="GO38789" s="7" t="n">
        <f t="normal" ca="1">32-LENB(INDIRECT(ADDRESS(38789,196)))</f>
        <v>0</v>
      </c>
      <c r="GP38789" s="7" t="n">
        <v>7</v>
      </c>
      <c r="GQ38789" s="7" t="n">
        <v>65533</v>
      </c>
      <c r="GR38789" s="7" t="n">
        <v>4813</v>
      </c>
      <c r="GS38789" s="7" t="s">
        <v>16</v>
      </c>
      <c r="GT38789" s="7" t="n">
        <f t="normal" ca="1">32-LENB(INDIRECT(ADDRESS(38789,201)))</f>
        <v>0</v>
      </c>
      <c r="GU38789" s="7" t="n">
        <v>7</v>
      </c>
      <c r="GV38789" s="7" t="n">
        <v>65533</v>
      </c>
      <c r="GW38789" s="7" t="n">
        <v>4814</v>
      </c>
      <c r="GX38789" s="7" t="s">
        <v>16</v>
      </c>
      <c r="GY38789" s="7" t="n">
        <f t="normal" ca="1">32-LENB(INDIRECT(ADDRESS(38789,206)))</f>
        <v>0</v>
      </c>
      <c r="GZ38789" s="7" t="n">
        <v>7</v>
      </c>
      <c r="HA38789" s="7" t="n">
        <v>65533</v>
      </c>
      <c r="HB38789" s="7" t="n">
        <v>4815</v>
      </c>
      <c r="HC38789" s="7" t="s">
        <v>16</v>
      </c>
      <c r="HD38789" s="7" t="n">
        <f t="normal" ca="1">32-LENB(INDIRECT(ADDRESS(38789,211)))</f>
        <v>0</v>
      </c>
      <c r="HE38789" s="7" t="n">
        <v>7</v>
      </c>
      <c r="HF38789" s="7" t="n">
        <v>65533</v>
      </c>
      <c r="HG38789" s="7" t="n">
        <v>63927</v>
      </c>
      <c r="HH38789" s="7" t="s">
        <v>16</v>
      </c>
      <c r="HI38789" s="7" t="n">
        <f t="normal" ca="1">32-LENB(INDIRECT(ADDRESS(38789,216)))</f>
        <v>0</v>
      </c>
      <c r="HJ38789" s="7" t="n">
        <v>7</v>
      </c>
      <c r="HK38789" s="7" t="n">
        <v>65533</v>
      </c>
      <c r="HL38789" s="7" t="n">
        <v>63928</v>
      </c>
      <c r="HM38789" s="7" t="s">
        <v>16</v>
      </c>
      <c r="HN38789" s="7" t="n">
        <f t="normal" ca="1">32-LENB(INDIRECT(ADDRESS(38789,221)))</f>
        <v>0</v>
      </c>
      <c r="HO38789" s="7" t="n">
        <v>7</v>
      </c>
      <c r="HP38789" s="7" t="n">
        <v>65533</v>
      </c>
      <c r="HQ38789" s="7" t="n">
        <v>4816</v>
      </c>
      <c r="HR38789" s="7" t="s">
        <v>16</v>
      </c>
      <c r="HS38789" s="7" t="n">
        <f t="normal" ca="1">32-LENB(INDIRECT(ADDRESS(38789,226)))</f>
        <v>0</v>
      </c>
      <c r="HT38789" s="7" t="n">
        <v>7</v>
      </c>
      <c r="HU38789" s="7" t="n">
        <v>65533</v>
      </c>
      <c r="HV38789" s="7" t="n">
        <v>4817</v>
      </c>
      <c r="HW38789" s="7" t="s">
        <v>16</v>
      </c>
      <c r="HX38789" s="7" t="n">
        <f t="normal" ca="1">32-LENB(INDIRECT(ADDRESS(38789,231)))</f>
        <v>0</v>
      </c>
      <c r="HY38789" s="7" t="n">
        <v>7</v>
      </c>
      <c r="HZ38789" s="7" t="n">
        <v>65533</v>
      </c>
      <c r="IA38789" s="7" t="n">
        <v>4818</v>
      </c>
      <c r="IB38789" s="7" t="s">
        <v>16</v>
      </c>
      <c r="IC38789" s="7" t="n">
        <f t="normal" ca="1">32-LENB(INDIRECT(ADDRESS(38789,236)))</f>
        <v>0</v>
      </c>
      <c r="ID38789" s="7" t="n">
        <v>7</v>
      </c>
      <c r="IE38789" s="7" t="n">
        <v>65533</v>
      </c>
      <c r="IF38789" s="7" t="n">
        <v>63929</v>
      </c>
      <c r="IG38789" s="7" t="s">
        <v>16</v>
      </c>
      <c r="IH38789" s="7" t="n">
        <f t="normal" ca="1">32-LENB(INDIRECT(ADDRESS(38789,241)))</f>
        <v>0</v>
      </c>
      <c r="II38789" s="7" t="n">
        <v>7</v>
      </c>
      <c r="IJ38789" s="7" t="n">
        <v>65533</v>
      </c>
      <c r="IK38789" s="7" t="n">
        <v>4819</v>
      </c>
      <c r="IL38789" s="7" t="s">
        <v>16</v>
      </c>
      <c r="IM38789" s="7" t="n">
        <f t="normal" ca="1">32-LENB(INDIRECT(ADDRESS(38789,246)))</f>
        <v>0</v>
      </c>
      <c r="IN38789" s="7" t="n">
        <v>7</v>
      </c>
      <c r="IO38789" s="7" t="n">
        <v>65533</v>
      </c>
      <c r="IP38789" s="7" t="n">
        <v>4820</v>
      </c>
      <c r="IQ38789" s="7" t="s">
        <v>16</v>
      </c>
      <c r="IR38789" s="7" t="n">
        <f t="normal" ca="1">32-LENB(INDIRECT(ADDRESS(38789,251)))</f>
        <v>0</v>
      </c>
      <c r="IS38789" s="7" t="n">
        <v>7</v>
      </c>
      <c r="IT38789" s="7" t="n">
        <v>65533</v>
      </c>
      <c r="IU38789" s="7" t="n">
        <v>4821</v>
      </c>
      <c r="IV38789" s="7" t="s">
        <v>16</v>
      </c>
      <c r="IW38789" s="7" t="n">
        <f t="normal" ca="1">32-LENB(INDIRECT(ADDRESS(38789,256)))</f>
        <v>0</v>
      </c>
      <c r="IX38789" s="7" t="n">
        <v>7</v>
      </c>
      <c r="IY38789" s="7" t="n">
        <v>65533</v>
      </c>
      <c r="IZ38789" s="7" t="n">
        <v>4822</v>
      </c>
      <c r="JA38789" s="7" t="s">
        <v>16</v>
      </c>
      <c r="JB38789" s="7" t="n">
        <f t="normal" ca="1">32-LENB(INDIRECT(ADDRESS(38789,261)))</f>
        <v>0</v>
      </c>
      <c r="JC38789" s="7" t="n">
        <v>7</v>
      </c>
      <c r="JD38789" s="7" t="n">
        <v>65533</v>
      </c>
      <c r="JE38789" s="7" t="n">
        <v>63930</v>
      </c>
      <c r="JF38789" s="7" t="s">
        <v>16</v>
      </c>
      <c r="JG38789" s="7" t="n">
        <f t="normal" ca="1">32-LENB(INDIRECT(ADDRESS(38789,266)))</f>
        <v>0</v>
      </c>
      <c r="JH38789" s="7" t="n">
        <v>4</v>
      </c>
      <c r="JI38789" s="7" t="n">
        <v>65533</v>
      </c>
      <c r="JJ38789" s="7" t="n">
        <v>2004</v>
      </c>
      <c r="JK38789" s="7" t="s">
        <v>16</v>
      </c>
      <c r="JL38789" s="7" t="n">
        <f t="normal" ca="1">32-LENB(INDIRECT(ADDRESS(38789,271)))</f>
        <v>0</v>
      </c>
      <c r="JM38789" s="7" t="n">
        <v>7</v>
      </c>
      <c r="JN38789" s="7" t="n">
        <v>65533</v>
      </c>
      <c r="JO38789" s="7" t="n">
        <v>4823</v>
      </c>
      <c r="JP38789" s="7" t="s">
        <v>16</v>
      </c>
      <c r="JQ38789" s="7" t="n">
        <f t="normal" ca="1">32-LENB(INDIRECT(ADDRESS(38789,276)))</f>
        <v>0</v>
      </c>
      <c r="JR38789" s="7" t="n">
        <v>7</v>
      </c>
      <c r="JS38789" s="7" t="n">
        <v>65533</v>
      </c>
      <c r="JT38789" s="7" t="n">
        <v>64642</v>
      </c>
      <c r="JU38789" s="7" t="s">
        <v>16</v>
      </c>
      <c r="JV38789" s="7" t="n">
        <f t="normal" ca="1">32-LENB(INDIRECT(ADDRESS(38789,281)))</f>
        <v>0</v>
      </c>
      <c r="JW38789" s="7" t="n">
        <v>7</v>
      </c>
      <c r="JX38789" s="7" t="n">
        <v>65533</v>
      </c>
      <c r="JY38789" s="7" t="n">
        <v>63931</v>
      </c>
      <c r="JZ38789" s="7" t="s">
        <v>16</v>
      </c>
      <c r="KA38789" s="7" t="n">
        <f t="normal" ca="1">32-LENB(INDIRECT(ADDRESS(38789,286)))</f>
        <v>0</v>
      </c>
      <c r="KB38789" s="7" t="n">
        <v>7</v>
      </c>
      <c r="KC38789" s="7" t="n">
        <v>65533</v>
      </c>
      <c r="KD38789" s="7" t="n">
        <v>63932</v>
      </c>
      <c r="KE38789" s="7" t="s">
        <v>16</v>
      </c>
      <c r="KF38789" s="7" t="n">
        <f t="normal" ca="1">32-LENB(INDIRECT(ADDRESS(38789,291)))</f>
        <v>0</v>
      </c>
      <c r="KG38789" s="7" t="n">
        <v>7</v>
      </c>
      <c r="KH38789" s="7" t="n">
        <v>65533</v>
      </c>
      <c r="KI38789" s="7" t="n">
        <v>63933</v>
      </c>
      <c r="KJ38789" s="7" t="s">
        <v>16</v>
      </c>
      <c r="KK38789" s="7" t="n">
        <f t="normal" ca="1">32-LENB(INDIRECT(ADDRESS(38789,296)))</f>
        <v>0</v>
      </c>
      <c r="KL38789" s="7" t="n">
        <v>7</v>
      </c>
      <c r="KM38789" s="7" t="n">
        <v>65533</v>
      </c>
      <c r="KN38789" s="7" t="n">
        <v>63934</v>
      </c>
      <c r="KO38789" s="7" t="s">
        <v>16</v>
      </c>
      <c r="KP38789" s="7" t="n">
        <f t="normal" ca="1">32-LENB(INDIRECT(ADDRESS(38789,301)))</f>
        <v>0</v>
      </c>
      <c r="KQ38789" s="7" t="n">
        <v>7</v>
      </c>
      <c r="KR38789" s="7" t="n">
        <v>65533</v>
      </c>
      <c r="KS38789" s="7" t="n">
        <v>4824</v>
      </c>
      <c r="KT38789" s="7" t="s">
        <v>16</v>
      </c>
      <c r="KU38789" s="7" t="n">
        <f t="normal" ca="1">32-LENB(INDIRECT(ADDRESS(38789,306)))</f>
        <v>0</v>
      </c>
      <c r="KV38789" s="7" t="n">
        <v>4</v>
      </c>
      <c r="KW38789" s="7" t="n">
        <v>65533</v>
      </c>
      <c r="KX38789" s="7" t="n">
        <v>2000</v>
      </c>
      <c r="KY38789" s="7" t="s">
        <v>16</v>
      </c>
      <c r="KZ38789" s="7" t="n">
        <f t="normal" ca="1">32-LENB(INDIRECT(ADDRESS(38789,311)))</f>
        <v>0</v>
      </c>
      <c r="LA38789" s="7" t="n">
        <v>7</v>
      </c>
      <c r="LB38789" s="7" t="n">
        <v>65533</v>
      </c>
      <c r="LC38789" s="7" t="n">
        <v>63935</v>
      </c>
      <c r="LD38789" s="7" t="s">
        <v>16</v>
      </c>
      <c r="LE38789" s="7" t="n">
        <f t="normal" ca="1">32-LENB(INDIRECT(ADDRESS(38789,316)))</f>
        <v>0</v>
      </c>
      <c r="LF38789" s="7" t="n">
        <v>7</v>
      </c>
      <c r="LG38789" s="7" t="n">
        <v>65533</v>
      </c>
      <c r="LH38789" s="7" t="n">
        <v>63936</v>
      </c>
      <c r="LI38789" s="7" t="s">
        <v>16</v>
      </c>
      <c r="LJ38789" s="7" t="n">
        <f t="normal" ca="1">32-LENB(INDIRECT(ADDRESS(38789,321)))</f>
        <v>0</v>
      </c>
      <c r="LK38789" s="7" t="n">
        <v>7</v>
      </c>
      <c r="LL38789" s="7" t="n">
        <v>65533</v>
      </c>
      <c r="LM38789" s="7" t="n">
        <v>4825</v>
      </c>
      <c r="LN38789" s="7" t="s">
        <v>16</v>
      </c>
      <c r="LO38789" s="7" t="n">
        <f t="normal" ca="1">32-LENB(INDIRECT(ADDRESS(38789,326)))</f>
        <v>0</v>
      </c>
      <c r="LP38789" s="7" t="n">
        <v>0</v>
      </c>
      <c r="LQ38789" s="7" t="n">
        <v>65533</v>
      </c>
      <c r="LR38789" s="7" t="n">
        <v>0</v>
      </c>
      <c r="LS38789" s="7" t="s">
        <v>16</v>
      </c>
      <c r="LT38789" s="7" t="n">
        <f t="normal" ca="1">32-LENB(INDIRECT(ADDRESS(38789,331)))</f>
        <v>0</v>
      </c>
    </row>
    <row r="38790" spans="1:407">
      <c r="A38790" t="s">
        <v>4</v>
      </c>
      <c r="B38790" s="4" t="s">
        <v>5</v>
      </c>
    </row>
    <row r="38791" spans="1:407">
      <c r="A38791" t="n">
        <v>396784</v>
      </c>
      <c r="B38791" s="5" t="n">
        <v>1</v>
      </c>
    </row>
    <row r="38792" spans="1:407" s="3" customFormat="1" customHeight="0">
      <c r="A38792" s="3" t="s">
        <v>2</v>
      </c>
      <c r="B38792" s="3" t="s">
        <v>1867</v>
      </c>
    </row>
    <row r="38793" spans="1:407">
      <c r="A38793" t="s">
        <v>4</v>
      </c>
      <c r="B38793" s="4" t="s">
        <v>5</v>
      </c>
      <c r="C38793" s="4" t="s">
        <v>11</v>
      </c>
      <c r="D38793" s="4" t="s">
        <v>11</v>
      </c>
      <c r="E38793" s="4" t="s">
        <v>15</v>
      </c>
      <c r="F38793" s="4" t="s">
        <v>8</v>
      </c>
      <c r="G38793" s="4" t="s">
        <v>1859</v>
      </c>
      <c r="H38793" s="4" t="s">
        <v>11</v>
      </c>
      <c r="I38793" s="4" t="s">
        <v>11</v>
      </c>
      <c r="J38793" s="4" t="s">
        <v>15</v>
      </c>
      <c r="K38793" s="4" t="s">
        <v>8</v>
      </c>
      <c r="L38793" s="4" t="s">
        <v>1859</v>
      </c>
      <c r="M38793" s="4" t="s">
        <v>11</v>
      </c>
      <c r="N38793" s="4" t="s">
        <v>11</v>
      </c>
      <c r="O38793" s="4" t="s">
        <v>15</v>
      </c>
      <c r="P38793" s="4" t="s">
        <v>8</v>
      </c>
      <c r="Q38793" s="4" t="s">
        <v>1859</v>
      </c>
      <c r="R38793" s="4" t="s">
        <v>11</v>
      </c>
      <c r="S38793" s="4" t="s">
        <v>11</v>
      </c>
      <c r="T38793" s="4" t="s">
        <v>15</v>
      </c>
      <c r="U38793" s="4" t="s">
        <v>8</v>
      </c>
      <c r="V38793" s="4" t="s">
        <v>1859</v>
      </c>
      <c r="W38793" s="4" t="s">
        <v>11</v>
      </c>
      <c r="X38793" s="4" t="s">
        <v>11</v>
      </c>
      <c r="Y38793" s="4" t="s">
        <v>15</v>
      </c>
      <c r="Z38793" s="4" t="s">
        <v>8</v>
      </c>
      <c r="AA38793" s="4" t="s">
        <v>1859</v>
      </c>
      <c r="AB38793" s="4" t="s">
        <v>11</v>
      </c>
      <c r="AC38793" s="4" t="s">
        <v>11</v>
      </c>
      <c r="AD38793" s="4" t="s">
        <v>15</v>
      </c>
      <c r="AE38793" s="4" t="s">
        <v>8</v>
      </c>
      <c r="AF38793" s="4" t="s">
        <v>1859</v>
      </c>
      <c r="AG38793" s="4" t="s">
        <v>11</v>
      </c>
      <c r="AH38793" s="4" t="s">
        <v>11</v>
      </c>
      <c r="AI38793" s="4" t="s">
        <v>15</v>
      </c>
      <c r="AJ38793" s="4" t="s">
        <v>8</v>
      </c>
      <c r="AK38793" s="4" t="s">
        <v>1859</v>
      </c>
      <c r="AL38793" s="4" t="s">
        <v>11</v>
      </c>
      <c r="AM38793" s="4" t="s">
        <v>11</v>
      </c>
      <c r="AN38793" s="4" t="s">
        <v>15</v>
      </c>
      <c r="AO38793" s="4" t="s">
        <v>8</v>
      </c>
      <c r="AP38793" s="4" t="s">
        <v>1859</v>
      </c>
      <c r="AQ38793" s="4" t="s">
        <v>11</v>
      </c>
      <c r="AR38793" s="4" t="s">
        <v>11</v>
      </c>
      <c r="AS38793" s="4" t="s">
        <v>15</v>
      </c>
      <c r="AT38793" s="4" t="s">
        <v>8</v>
      </c>
      <c r="AU38793" s="4" t="s">
        <v>1859</v>
      </c>
      <c r="AV38793" s="4" t="s">
        <v>11</v>
      </c>
      <c r="AW38793" s="4" t="s">
        <v>11</v>
      </c>
      <c r="AX38793" s="4" t="s">
        <v>15</v>
      </c>
      <c r="AY38793" s="4" t="s">
        <v>8</v>
      </c>
      <c r="AZ38793" s="4" t="s">
        <v>1859</v>
      </c>
      <c r="BA38793" s="4" t="s">
        <v>11</v>
      </c>
      <c r="BB38793" s="4" t="s">
        <v>11</v>
      </c>
      <c r="BC38793" s="4" t="s">
        <v>15</v>
      </c>
      <c r="BD38793" s="4" t="s">
        <v>8</v>
      </c>
      <c r="BE38793" s="4" t="s">
        <v>1859</v>
      </c>
      <c r="BF38793" s="4" t="s">
        <v>11</v>
      </c>
      <c r="BG38793" s="4" t="s">
        <v>11</v>
      </c>
      <c r="BH38793" s="4" t="s">
        <v>15</v>
      </c>
      <c r="BI38793" s="4" t="s">
        <v>8</v>
      </c>
      <c r="BJ38793" s="4" t="s">
        <v>1859</v>
      </c>
      <c r="BK38793" s="4" t="s">
        <v>11</v>
      </c>
      <c r="BL38793" s="4" t="s">
        <v>11</v>
      </c>
      <c r="BM38793" s="4" t="s">
        <v>15</v>
      </c>
      <c r="BN38793" s="4" t="s">
        <v>8</v>
      </c>
      <c r="BO38793" s="4" t="s">
        <v>1859</v>
      </c>
      <c r="BP38793" s="4" t="s">
        <v>11</v>
      </c>
      <c r="BQ38793" s="4" t="s">
        <v>11</v>
      </c>
      <c r="BR38793" s="4" t="s">
        <v>15</v>
      </c>
      <c r="BS38793" s="4" t="s">
        <v>8</v>
      </c>
      <c r="BT38793" s="4" t="s">
        <v>1859</v>
      </c>
      <c r="BU38793" s="4" t="s">
        <v>11</v>
      </c>
      <c r="BV38793" s="4" t="s">
        <v>11</v>
      </c>
      <c r="BW38793" s="4" t="s">
        <v>15</v>
      </c>
      <c r="BX38793" s="4" t="s">
        <v>8</v>
      </c>
      <c r="BY38793" s="4" t="s">
        <v>1859</v>
      </c>
      <c r="BZ38793" s="4" t="s">
        <v>11</v>
      </c>
      <c r="CA38793" s="4" t="s">
        <v>11</v>
      </c>
      <c r="CB38793" s="4" t="s">
        <v>15</v>
      </c>
      <c r="CC38793" s="4" t="s">
        <v>8</v>
      </c>
      <c r="CD38793" s="4" t="s">
        <v>1859</v>
      </c>
      <c r="CE38793" s="4" t="s">
        <v>11</v>
      </c>
      <c r="CF38793" s="4" t="s">
        <v>11</v>
      </c>
      <c r="CG38793" s="4" t="s">
        <v>15</v>
      </c>
      <c r="CH38793" s="4" t="s">
        <v>8</v>
      </c>
      <c r="CI38793" s="4" t="s">
        <v>1859</v>
      </c>
      <c r="CJ38793" s="4" t="s">
        <v>11</v>
      </c>
      <c r="CK38793" s="4" t="s">
        <v>11</v>
      </c>
      <c r="CL38793" s="4" t="s">
        <v>15</v>
      </c>
      <c r="CM38793" s="4" t="s">
        <v>8</v>
      </c>
      <c r="CN38793" s="4" t="s">
        <v>1859</v>
      </c>
      <c r="CO38793" s="4" t="s">
        <v>11</v>
      </c>
      <c r="CP38793" s="4" t="s">
        <v>11</v>
      </c>
      <c r="CQ38793" s="4" t="s">
        <v>15</v>
      </c>
      <c r="CR38793" s="4" t="s">
        <v>8</v>
      </c>
      <c r="CS38793" s="4" t="s">
        <v>1859</v>
      </c>
      <c r="CT38793" s="4" t="s">
        <v>11</v>
      </c>
      <c r="CU38793" s="4" t="s">
        <v>11</v>
      </c>
      <c r="CV38793" s="4" t="s">
        <v>15</v>
      </c>
      <c r="CW38793" s="4" t="s">
        <v>8</v>
      </c>
      <c r="CX38793" s="4" t="s">
        <v>1859</v>
      </c>
      <c r="CY38793" s="4" t="s">
        <v>11</v>
      </c>
      <c r="CZ38793" s="4" t="s">
        <v>11</v>
      </c>
      <c r="DA38793" s="4" t="s">
        <v>15</v>
      </c>
      <c r="DB38793" s="4" t="s">
        <v>8</v>
      </c>
      <c r="DC38793" s="4" t="s">
        <v>1859</v>
      </c>
      <c r="DD38793" s="4" t="s">
        <v>11</v>
      </c>
      <c r="DE38793" s="4" t="s">
        <v>11</v>
      </c>
      <c r="DF38793" s="4" t="s">
        <v>15</v>
      </c>
      <c r="DG38793" s="4" t="s">
        <v>8</v>
      </c>
      <c r="DH38793" s="4" t="s">
        <v>1859</v>
      </c>
      <c r="DI38793" s="4" t="s">
        <v>11</v>
      </c>
      <c r="DJ38793" s="4" t="s">
        <v>11</v>
      </c>
      <c r="DK38793" s="4" t="s">
        <v>15</v>
      </c>
      <c r="DL38793" s="4" t="s">
        <v>8</v>
      </c>
      <c r="DM38793" s="4" t="s">
        <v>1859</v>
      </c>
      <c r="DN38793" s="4" t="s">
        <v>11</v>
      </c>
      <c r="DO38793" s="4" t="s">
        <v>11</v>
      </c>
      <c r="DP38793" s="4" t="s">
        <v>15</v>
      </c>
      <c r="DQ38793" s="4" t="s">
        <v>8</v>
      </c>
      <c r="DR38793" s="4" t="s">
        <v>1859</v>
      </c>
      <c r="DS38793" s="4" t="s">
        <v>11</v>
      </c>
      <c r="DT38793" s="4" t="s">
        <v>11</v>
      </c>
      <c r="DU38793" s="4" t="s">
        <v>15</v>
      </c>
      <c r="DV38793" s="4" t="s">
        <v>8</v>
      </c>
      <c r="DW38793" s="4" t="s">
        <v>1859</v>
      </c>
      <c r="DX38793" s="4" t="s">
        <v>11</v>
      </c>
      <c r="DY38793" s="4" t="s">
        <v>11</v>
      </c>
      <c r="DZ38793" s="4" t="s">
        <v>15</v>
      </c>
      <c r="EA38793" s="4" t="s">
        <v>8</v>
      </c>
      <c r="EB38793" s="4" t="s">
        <v>1859</v>
      </c>
      <c r="EC38793" s="4" t="s">
        <v>11</v>
      </c>
      <c r="ED38793" s="4" t="s">
        <v>11</v>
      </c>
      <c r="EE38793" s="4" t="s">
        <v>15</v>
      </c>
      <c r="EF38793" s="4" t="s">
        <v>8</v>
      </c>
      <c r="EG38793" s="4" t="s">
        <v>1859</v>
      </c>
      <c r="EH38793" s="4" t="s">
        <v>11</v>
      </c>
      <c r="EI38793" s="4" t="s">
        <v>11</v>
      </c>
      <c r="EJ38793" s="4" t="s">
        <v>15</v>
      </c>
      <c r="EK38793" s="4" t="s">
        <v>8</v>
      </c>
      <c r="EL38793" s="4" t="s">
        <v>1859</v>
      </c>
      <c r="EM38793" s="4" t="s">
        <v>11</v>
      </c>
      <c r="EN38793" s="4" t="s">
        <v>11</v>
      </c>
      <c r="EO38793" s="4" t="s">
        <v>15</v>
      </c>
      <c r="EP38793" s="4" t="s">
        <v>8</v>
      </c>
      <c r="EQ38793" s="4" t="s">
        <v>1859</v>
      </c>
      <c r="ER38793" s="4" t="s">
        <v>11</v>
      </c>
      <c r="ES38793" s="4" t="s">
        <v>11</v>
      </c>
      <c r="ET38793" s="4" t="s">
        <v>15</v>
      </c>
      <c r="EU38793" s="4" t="s">
        <v>8</v>
      </c>
      <c r="EV38793" s="4" t="s">
        <v>1859</v>
      </c>
      <c r="EW38793" s="4" t="s">
        <v>11</v>
      </c>
      <c r="EX38793" s="4" t="s">
        <v>11</v>
      </c>
      <c r="EY38793" s="4" t="s">
        <v>15</v>
      </c>
      <c r="EZ38793" s="4" t="s">
        <v>8</v>
      </c>
      <c r="FA38793" s="4" t="s">
        <v>1859</v>
      </c>
      <c r="FB38793" s="4" t="s">
        <v>11</v>
      </c>
      <c r="FC38793" s="4" t="s">
        <v>11</v>
      </c>
      <c r="FD38793" s="4" t="s">
        <v>15</v>
      </c>
      <c r="FE38793" s="4" t="s">
        <v>8</v>
      </c>
      <c r="FF38793" s="4" t="s">
        <v>1859</v>
      </c>
      <c r="FG38793" s="4" t="s">
        <v>11</v>
      </c>
      <c r="FH38793" s="4" t="s">
        <v>11</v>
      </c>
      <c r="FI38793" s="4" t="s">
        <v>15</v>
      </c>
      <c r="FJ38793" s="4" t="s">
        <v>8</v>
      </c>
      <c r="FK38793" s="4" t="s">
        <v>1859</v>
      </c>
      <c r="FL38793" s="4" t="s">
        <v>11</v>
      </c>
      <c r="FM38793" s="4" t="s">
        <v>11</v>
      </c>
      <c r="FN38793" s="4" t="s">
        <v>15</v>
      </c>
      <c r="FO38793" s="4" t="s">
        <v>8</v>
      </c>
      <c r="FP38793" s="4" t="s">
        <v>1859</v>
      </c>
      <c r="FQ38793" s="4" t="s">
        <v>11</v>
      </c>
      <c r="FR38793" s="4" t="s">
        <v>11</v>
      </c>
      <c r="FS38793" s="4" t="s">
        <v>15</v>
      </c>
      <c r="FT38793" s="4" t="s">
        <v>8</v>
      </c>
      <c r="FU38793" s="4" t="s">
        <v>1859</v>
      </c>
      <c r="FV38793" s="4" t="s">
        <v>11</v>
      </c>
      <c r="FW38793" s="4" t="s">
        <v>11</v>
      </c>
      <c r="FX38793" s="4" t="s">
        <v>15</v>
      </c>
      <c r="FY38793" s="4" t="s">
        <v>8</v>
      </c>
      <c r="FZ38793" s="4" t="s">
        <v>1859</v>
      </c>
      <c r="GA38793" s="4" t="s">
        <v>11</v>
      </c>
      <c r="GB38793" s="4" t="s">
        <v>11</v>
      </c>
      <c r="GC38793" s="4" t="s">
        <v>15</v>
      </c>
      <c r="GD38793" s="4" t="s">
        <v>8</v>
      </c>
      <c r="GE38793" s="4" t="s">
        <v>1859</v>
      </c>
      <c r="GF38793" s="4" t="s">
        <v>11</v>
      </c>
      <c r="GG38793" s="4" t="s">
        <v>11</v>
      </c>
      <c r="GH38793" s="4" t="s">
        <v>15</v>
      </c>
      <c r="GI38793" s="4" t="s">
        <v>8</v>
      </c>
      <c r="GJ38793" s="4" t="s">
        <v>1859</v>
      </c>
      <c r="GK38793" s="4" t="s">
        <v>11</v>
      </c>
      <c r="GL38793" s="4" t="s">
        <v>11</v>
      </c>
      <c r="GM38793" s="4" t="s">
        <v>15</v>
      </c>
      <c r="GN38793" s="4" t="s">
        <v>8</v>
      </c>
      <c r="GO38793" s="4" t="s">
        <v>1859</v>
      </c>
      <c r="GP38793" s="4" t="s">
        <v>11</v>
      </c>
      <c r="GQ38793" s="4" t="s">
        <v>11</v>
      </c>
      <c r="GR38793" s="4" t="s">
        <v>15</v>
      </c>
      <c r="GS38793" s="4" t="s">
        <v>8</v>
      </c>
      <c r="GT38793" s="4" t="s">
        <v>1859</v>
      </c>
      <c r="GU38793" s="4" t="s">
        <v>11</v>
      </c>
      <c r="GV38793" s="4" t="s">
        <v>11</v>
      </c>
      <c r="GW38793" s="4" t="s">
        <v>15</v>
      </c>
      <c r="GX38793" s="4" t="s">
        <v>8</v>
      </c>
      <c r="GY38793" s="4" t="s">
        <v>1859</v>
      </c>
      <c r="GZ38793" s="4" t="s">
        <v>11</v>
      </c>
      <c r="HA38793" s="4" t="s">
        <v>11</v>
      </c>
      <c r="HB38793" s="4" t="s">
        <v>15</v>
      </c>
      <c r="HC38793" s="4" t="s">
        <v>8</v>
      </c>
      <c r="HD38793" s="4" t="s">
        <v>1859</v>
      </c>
      <c r="HE38793" s="4" t="s">
        <v>11</v>
      </c>
      <c r="HF38793" s="4" t="s">
        <v>11</v>
      </c>
      <c r="HG38793" s="4" t="s">
        <v>15</v>
      </c>
      <c r="HH38793" s="4" t="s">
        <v>8</v>
      </c>
      <c r="HI38793" s="4" t="s">
        <v>1859</v>
      </c>
      <c r="HJ38793" s="4" t="s">
        <v>11</v>
      </c>
      <c r="HK38793" s="4" t="s">
        <v>11</v>
      </c>
      <c r="HL38793" s="4" t="s">
        <v>15</v>
      </c>
      <c r="HM38793" s="4" t="s">
        <v>8</v>
      </c>
      <c r="HN38793" s="4" t="s">
        <v>1859</v>
      </c>
      <c r="HO38793" s="4" t="s">
        <v>11</v>
      </c>
      <c r="HP38793" s="4" t="s">
        <v>11</v>
      </c>
      <c r="HQ38793" s="4" t="s">
        <v>15</v>
      </c>
      <c r="HR38793" s="4" t="s">
        <v>8</v>
      </c>
      <c r="HS38793" s="4" t="s">
        <v>1859</v>
      </c>
      <c r="HT38793" s="4" t="s">
        <v>11</v>
      </c>
      <c r="HU38793" s="4" t="s">
        <v>11</v>
      </c>
      <c r="HV38793" s="4" t="s">
        <v>15</v>
      </c>
      <c r="HW38793" s="4" t="s">
        <v>8</v>
      </c>
      <c r="HX38793" s="4" t="s">
        <v>1859</v>
      </c>
      <c r="HY38793" s="4" t="s">
        <v>11</v>
      </c>
      <c r="HZ38793" s="4" t="s">
        <v>11</v>
      </c>
      <c r="IA38793" s="4" t="s">
        <v>15</v>
      </c>
      <c r="IB38793" s="4" t="s">
        <v>8</v>
      </c>
      <c r="IC38793" s="4" t="s">
        <v>1859</v>
      </c>
      <c r="ID38793" s="4" t="s">
        <v>11</v>
      </c>
      <c r="IE38793" s="4" t="s">
        <v>11</v>
      </c>
      <c r="IF38793" s="4" t="s">
        <v>15</v>
      </c>
      <c r="IG38793" s="4" t="s">
        <v>8</v>
      </c>
      <c r="IH38793" s="4" t="s">
        <v>1859</v>
      </c>
      <c r="II38793" s="4" t="s">
        <v>11</v>
      </c>
      <c r="IJ38793" s="4" t="s">
        <v>11</v>
      </c>
      <c r="IK38793" s="4" t="s">
        <v>15</v>
      </c>
      <c r="IL38793" s="4" t="s">
        <v>8</v>
      </c>
      <c r="IM38793" s="4" t="s">
        <v>1859</v>
      </c>
      <c r="IN38793" s="4" t="s">
        <v>11</v>
      </c>
      <c r="IO38793" s="4" t="s">
        <v>11</v>
      </c>
      <c r="IP38793" s="4" t="s">
        <v>15</v>
      </c>
      <c r="IQ38793" s="4" t="s">
        <v>8</v>
      </c>
      <c r="IR38793" s="4" t="s">
        <v>1859</v>
      </c>
      <c r="IS38793" s="4" t="s">
        <v>11</v>
      </c>
      <c r="IT38793" s="4" t="s">
        <v>11</v>
      </c>
      <c r="IU38793" s="4" t="s">
        <v>15</v>
      </c>
      <c r="IV38793" s="4" t="s">
        <v>8</v>
      </c>
      <c r="IW38793" s="4" t="s">
        <v>1859</v>
      </c>
      <c r="IX38793" s="4" t="s">
        <v>11</v>
      </c>
      <c r="IY38793" s="4" t="s">
        <v>11</v>
      </c>
      <c r="IZ38793" s="4" t="s">
        <v>15</v>
      </c>
      <c r="JA38793" s="4" t="s">
        <v>8</v>
      </c>
      <c r="JB38793" s="4" t="s">
        <v>1859</v>
      </c>
      <c r="JC38793" s="4" t="s">
        <v>11</v>
      </c>
      <c r="JD38793" s="4" t="s">
        <v>11</v>
      </c>
      <c r="JE38793" s="4" t="s">
        <v>15</v>
      </c>
      <c r="JF38793" s="4" t="s">
        <v>8</v>
      </c>
      <c r="JG38793" s="4" t="s">
        <v>1859</v>
      </c>
      <c r="JH38793" s="4" t="s">
        <v>11</v>
      </c>
      <c r="JI38793" s="4" t="s">
        <v>11</v>
      </c>
      <c r="JJ38793" s="4" t="s">
        <v>15</v>
      </c>
      <c r="JK38793" s="4" t="s">
        <v>8</v>
      </c>
      <c r="JL38793" s="4" t="s">
        <v>1859</v>
      </c>
      <c r="JM38793" s="4" t="s">
        <v>11</v>
      </c>
      <c r="JN38793" s="4" t="s">
        <v>11</v>
      </c>
      <c r="JO38793" s="4" t="s">
        <v>15</v>
      </c>
      <c r="JP38793" s="4" t="s">
        <v>8</v>
      </c>
      <c r="JQ38793" s="4" t="s">
        <v>1859</v>
      </c>
      <c r="JR38793" s="4" t="s">
        <v>11</v>
      </c>
      <c r="JS38793" s="4" t="s">
        <v>11</v>
      </c>
      <c r="JT38793" s="4" t="s">
        <v>15</v>
      </c>
      <c r="JU38793" s="4" t="s">
        <v>8</v>
      </c>
      <c r="JV38793" s="4" t="s">
        <v>1859</v>
      </c>
      <c r="JW38793" s="4" t="s">
        <v>11</v>
      </c>
      <c r="JX38793" s="4" t="s">
        <v>11</v>
      </c>
      <c r="JY38793" s="4" t="s">
        <v>15</v>
      </c>
      <c r="JZ38793" s="4" t="s">
        <v>8</v>
      </c>
      <c r="KA38793" s="4" t="s">
        <v>1859</v>
      </c>
      <c r="KB38793" s="4" t="s">
        <v>11</v>
      </c>
      <c r="KC38793" s="4" t="s">
        <v>11</v>
      </c>
      <c r="KD38793" s="4" t="s">
        <v>15</v>
      </c>
      <c r="KE38793" s="4" t="s">
        <v>8</v>
      </c>
      <c r="KF38793" s="4" t="s">
        <v>1859</v>
      </c>
      <c r="KG38793" s="4" t="s">
        <v>11</v>
      </c>
      <c r="KH38793" s="4" t="s">
        <v>11</v>
      </c>
      <c r="KI38793" s="4" t="s">
        <v>15</v>
      </c>
      <c r="KJ38793" s="4" t="s">
        <v>8</v>
      </c>
      <c r="KK38793" s="4" t="s">
        <v>1859</v>
      </c>
      <c r="KL38793" s="4" t="s">
        <v>11</v>
      </c>
      <c r="KM38793" s="4" t="s">
        <v>11</v>
      </c>
      <c r="KN38793" s="4" t="s">
        <v>15</v>
      </c>
      <c r="KO38793" s="4" t="s">
        <v>8</v>
      </c>
      <c r="KP38793" s="4" t="s">
        <v>1859</v>
      </c>
      <c r="KQ38793" s="4" t="s">
        <v>11</v>
      </c>
      <c r="KR38793" s="4" t="s">
        <v>11</v>
      </c>
      <c r="KS38793" s="4" t="s">
        <v>15</v>
      </c>
      <c r="KT38793" s="4" t="s">
        <v>8</v>
      </c>
      <c r="KU38793" s="4" t="s">
        <v>1859</v>
      </c>
      <c r="KV38793" s="4" t="s">
        <v>11</v>
      </c>
      <c r="KW38793" s="4" t="s">
        <v>11</v>
      </c>
      <c r="KX38793" s="4" t="s">
        <v>15</v>
      </c>
      <c r="KY38793" s="4" t="s">
        <v>8</v>
      </c>
      <c r="KZ38793" s="4" t="s">
        <v>1859</v>
      </c>
      <c r="LA38793" s="4" t="s">
        <v>11</v>
      </c>
      <c r="LB38793" s="4" t="s">
        <v>11</v>
      </c>
      <c r="LC38793" s="4" t="s">
        <v>15</v>
      </c>
      <c r="LD38793" s="4" t="s">
        <v>8</v>
      </c>
      <c r="LE38793" s="4" t="s">
        <v>1859</v>
      </c>
      <c r="LF38793" s="4" t="s">
        <v>11</v>
      </c>
      <c r="LG38793" s="4" t="s">
        <v>11</v>
      </c>
      <c r="LH38793" s="4" t="s">
        <v>15</v>
      </c>
      <c r="LI38793" s="4" t="s">
        <v>8</v>
      </c>
      <c r="LJ38793" s="4" t="s">
        <v>1859</v>
      </c>
      <c r="LK38793" s="4" t="s">
        <v>11</v>
      </c>
      <c r="LL38793" s="4" t="s">
        <v>11</v>
      </c>
      <c r="LM38793" s="4" t="s">
        <v>15</v>
      </c>
      <c r="LN38793" s="4" t="s">
        <v>8</v>
      </c>
      <c r="LO38793" s="4" t="s">
        <v>1859</v>
      </c>
      <c r="LP38793" s="4" t="s">
        <v>11</v>
      </c>
      <c r="LQ38793" s="4" t="s">
        <v>11</v>
      </c>
      <c r="LR38793" s="4" t="s">
        <v>15</v>
      </c>
      <c r="LS38793" s="4" t="s">
        <v>8</v>
      </c>
      <c r="LT38793" s="4" t="s">
        <v>1859</v>
      </c>
    </row>
    <row r="38794" spans="1:407">
      <c r="A38794" t="n">
        <v>396800</v>
      </c>
      <c r="B38794" s="85" t="n">
        <v>257</v>
      </c>
      <c r="C38794" s="7" t="n">
        <v>7</v>
      </c>
      <c r="D38794" s="7" t="n">
        <v>65533</v>
      </c>
      <c r="E38794" s="7" t="n">
        <v>63937</v>
      </c>
      <c r="F38794" s="7" t="s">
        <v>16</v>
      </c>
      <c r="G38794" s="7" t="n">
        <f t="normal" ca="1">32-LENB(INDIRECT(ADDRESS(38794,6)))</f>
        <v>0</v>
      </c>
      <c r="H38794" s="7" t="n">
        <v>7</v>
      </c>
      <c r="I38794" s="7" t="n">
        <v>65533</v>
      </c>
      <c r="J38794" s="7" t="n">
        <v>63938</v>
      </c>
      <c r="K38794" s="7" t="s">
        <v>16</v>
      </c>
      <c r="L38794" s="7" t="n">
        <f t="normal" ca="1">32-LENB(INDIRECT(ADDRESS(38794,11)))</f>
        <v>0</v>
      </c>
      <c r="M38794" s="7" t="n">
        <v>7</v>
      </c>
      <c r="N38794" s="7" t="n">
        <v>65533</v>
      </c>
      <c r="O38794" s="7" t="n">
        <v>63939</v>
      </c>
      <c r="P38794" s="7" t="s">
        <v>16</v>
      </c>
      <c r="Q38794" s="7" t="n">
        <f t="normal" ca="1">32-LENB(INDIRECT(ADDRESS(38794,16)))</f>
        <v>0</v>
      </c>
      <c r="R38794" s="7" t="n">
        <v>7</v>
      </c>
      <c r="S38794" s="7" t="n">
        <v>65533</v>
      </c>
      <c r="T38794" s="7" t="n">
        <v>63940</v>
      </c>
      <c r="U38794" s="7" t="s">
        <v>16</v>
      </c>
      <c r="V38794" s="7" t="n">
        <f t="normal" ca="1">32-LENB(INDIRECT(ADDRESS(38794,21)))</f>
        <v>0</v>
      </c>
      <c r="W38794" s="7" t="n">
        <v>7</v>
      </c>
      <c r="X38794" s="7" t="n">
        <v>65533</v>
      </c>
      <c r="Y38794" s="7" t="n">
        <v>63941</v>
      </c>
      <c r="Z38794" s="7" t="s">
        <v>16</v>
      </c>
      <c r="AA38794" s="7" t="n">
        <f t="normal" ca="1">32-LENB(INDIRECT(ADDRESS(38794,26)))</f>
        <v>0</v>
      </c>
      <c r="AB38794" s="7" t="n">
        <v>7</v>
      </c>
      <c r="AC38794" s="7" t="n">
        <v>65533</v>
      </c>
      <c r="AD38794" s="7" t="n">
        <v>63942</v>
      </c>
      <c r="AE38794" s="7" t="s">
        <v>16</v>
      </c>
      <c r="AF38794" s="7" t="n">
        <f t="normal" ca="1">32-LENB(INDIRECT(ADDRESS(38794,31)))</f>
        <v>0</v>
      </c>
      <c r="AG38794" s="7" t="n">
        <v>7</v>
      </c>
      <c r="AH38794" s="7" t="n">
        <v>65533</v>
      </c>
      <c r="AI38794" s="7" t="n">
        <v>63943</v>
      </c>
      <c r="AJ38794" s="7" t="s">
        <v>16</v>
      </c>
      <c r="AK38794" s="7" t="n">
        <f t="normal" ca="1">32-LENB(INDIRECT(ADDRESS(38794,36)))</f>
        <v>0</v>
      </c>
      <c r="AL38794" s="7" t="n">
        <v>7</v>
      </c>
      <c r="AM38794" s="7" t="n">
        <v>65533</v>
      </c>
      <c r="AN38794" s="7" t="n">
        <v>63944</v>
      </c>
      <c r="AO38794" s="7" t="s">
        <v>16</v>
      </c>
      <c r="AP38794" s="7" t="n">
        <f t="normal" ca="1">32-LENB(INDIRECT(ADDRESS(38794,41)))</f>
        <v>0</v>
      </c>
      <c r="AQ38794" s="7" t="n">
        <v>7</v>
      </c>
      <c r="AR38794" s="7" t="n">
        <v>65533</v>
      </c>
      <c r="AS38794" s="7" t="n">
        <v>63945</v>
      </c>
      <c r="AT38794" s="7" t="s">
        <v>16</v>
      </c>
      <c r="AU38794" s="7" t="n">
        <f t="normal" ca="1">32-LENB(INDIRECT(ADDRESS(38794,46)))</f>
        <v>0</v>
      </c>
      <c r="AV38794" s="7" t="n">
        <v>7</v>
      </c>
      <c r="AW38794" s="7" t="n">
        <v>65533</v>
      </c>
      <c r="AX38794" s="7" t="n">
        <v>63946</v>
      </c>
      <c r="AY38794" s="7" t="s">
        <v>16</v>
      </c>
      <c r="AZ38794" s="7" t="n">
        <f t="normal" ca="1">32-LENB(INDIRECT(ADDRESS(38794,51)))</f>
        <v>0</v>
      </c>
      <c r="BA38794" s="7" t="n">
        <v>7</v>
      </c>
      <c r="BB38794" s="7" t="n">
        <v>65533</v>
      </c>
      <c r="BC38794" s="7" t="n">
        <v>63947</v>
      </c>
      <c r="BD38794" s="7" t="s">
        <v>16</v>
      </c>
      <c r="BE38794" s="7" t="n">
        <f t="normal" ca="1">32-LENB(INDIRECT(ADDRESS(38794,56)))</f>
        <v>0</v>
      </c>
      <c r="BF38794" s="7" t="n">
        <v>7</v>
      </c>
      <c r="BG38794" s="7" t="n">
        <v>65533</v>
      </c>
      <c r="BH38794" s="7" t="n">
        <v>63948</v>
      </c>
      <c r="BI38794" s="7" t="s">
        <v>16</v>
      </c>
      <c r="BJ38794" s="7" t="n">
        <f t="normal" ca="1">32-LENB(INDIRECT(ADDRESS(38794,61)))</f>
        <v>0</v>
      </c>
      <c r="BK38794" s="7" t="n">
        <v>7</v>
      </c>
      <c r="BL38794" s="7" t="n">
        <v>65533</v>
      </c>
      <c r="BM38794" s="7" t="n">
        <v>63949</v>
      </c>
      <c r="BN38794" s="7" t="s">
        <v>16</v>
      </c>
      <c r="BO38794" s="7" t="n">
        <f t="normal" ca="1">32-LENB(INDIRECT(ADDRESS(38794,66)))</f>
        <v>0</v>
      </c>
      <c r="BP38794" s="7" t="n">
        <v>7</v>
      </c>
      <c r="BQ38794" s="7" t="n">
        <v>65533</v>
      </c>
      <c r="BR38794" s="7" t="n">
        <v>63950</v>
      </c>
      <c r="BS38794" s="7" t="s">
        <v>16</v>
      </c>
      <c r="BT38794" s="7" t="n">
        <f t="normal" ca="1">32-LENB(INDIRECT(ADDRESS(38794,71)))</f>
        <v>0</v>
      </c>
      <c r="BU38794" s="7" t="n">
        <v>7</v>
      </c>
      <c r="BV38794" s="7" t="n">
        <v>65533</v>
      </c>
      <c r="BW38794" s="7" t="n">
        <v>63951</v>
      </c>
      <c r="BX38794" s="7" t="s">
        <v>16</v>
      </c>
      <c r="BY38794" s="7" t="n">
        <f t="normal" ca="1">32-LENB(INDIRECT(ADDRESS(38794,76)))</f>
        <v>0</v>
      </c>
      <c r="BZ38794" s="7" t="n">
        <v>7</v>
      </c>
      <c r="CA38794" s="7" t="n">
        <v>65533</v>
      </c>
      <c r="CB38794" s="7" t="n">
        <v>63952</v>
      </c>
      <c r="CC38794" s="7" t="s">
        <v>16</v>
      </c>
      <c r="CD38794" s="7" t="n">
        <f t="normal" ca="1">32-LENB(INDIRECT(ADDRESS(38794,81)))</f>
        <v>0</v>
      </c>
      <c r="CE38794" s="7" t="n">
        <v>7</v>
      </c>
      <c r="CF38794" s="7" t="n">
        <v>65533</v>
      </c>
      <c r="CG38794" s="7" t="n">
        <v>63953</v>
      </c>
      <c r="CH38794" s="7" t="s">
        <v>16</v>
      </c>
      <c r="CI38794" s="7" t="n">
        <f t="normal" ca="1">32-LENB(INDIRECT(ADDRESS(38794,86)))</f>
        <v>0</v>
      </c>
      <c r="CJ38794" s="7" t="n">
        <v>7</v>
      </c>
      <c r="CK38794" s="7" t="n">
        <v>65533</v>
      </c>
      <c r="CL38794" s="7" t="n">
        <v>63954</v>
      </c>
      <c r="CM38794" s="7" t="s">
        <v>16</v>
      </c>
      <c r="CN38794" s="7" t="n">
        <f t="normal" ca="1">32-LENB(INDIRECT(ADDRESS(38794,91)))</f>
        <v>0</v>
      </c>
      <c r="CO38794" s="7" t="n">
        <v>7</v>
      </c>
      <c r="CP38794" s="7" t="n">
        <v>65533</v>
      </c>
      <c r="CQ38794" s="7" t="n">
        <v>63955</v>
      </c>
      <c r="CR38794" s="7" t="s">
        <v>16</v>
      </c>
      <c r="CS38794" s="7" t="n">
        <f t="normal" ca="1">32-LENB(INDIRECT(ADDRESS(38794,96)))</f>
        <v>0</v>
      </c>
      <c r="CT38794" s="7" t="n">
        <v>7</v>
      </c>
      <c r="CU38794" s="7" t="n">
        <v>65533</v>
      </c>
      <c r="CV38794" s="7" t="n">
        <v>63956</v>
      </c>
      <c r="CW38794" s="7" t="s">
        <v>16</v>
      </c>
      <c r="CX38794" s="7" t="n">
        <f t="normal" ca="1">32-LENB(INDIRECT(ADDRESS(38794,101)))</f>
        <v>0</v>
      </c>
      <c r="CY38794" s="7" t="n">
        <v>7</v>
      </c>
      <c r="CZ38794" s="7" t="n">
        <v>65533</v>
      </c>
      <c r="DA38794" s="7" t="n">
        <v>63957</v>
      </c>
      <c r="DB38794" s="7" t="s">
        <v>16</v>
      </c>
      <c r="DC38794" s="7" t="n">
        <f t="normal" ca="1">32-LENB(INDIRECT(ADDRESS(38794,106)))</f>
        <v>0</v>
      </c>
      <c r="DD38794" s="7" t="n">
        <v>7</v>
      </c>
      <c r="DE38794" s="7" t="n">
        <v>65533</v>
      </c>
      <c r="DF38794" s="7" t="n">
        <v>63958</v>
      </c>
      <c r="DG38794" s="7" t="s">
        <v>16</v>
      </c>
      <c r="DH38794" s="7" t="n">
        <f t="normal" ca="1">32-LENB(INDIRECT(ADDRESS(38794,111)))</f>
        <v>0</v>
      </c>
      <c r="DI38794" s="7" t="n">
        <v>7</v>
      </c>
      <c r="DJ38794" s="7" t="n">
        <v>65533</v>
      </c>
      <c r="DK38794" s="7" t="n">
        <v>63959</v>
      </c>
      <c r="DL38794" s="7" t="s">
        <v>16</v>
      </c>
      <c r="DM38794" s="7" t="n">
        <f t="normal" ca="1">32-LENB(INDIRECT(ADDRESS(38794,116)))</f>
        <v>0</v>
      </c>
      <c r="DN38794" s="7" t="n">
        <v>7</v>
      </c>
      <c r="DO38794" s="7" t="n">
        <v>65533</v>
      </c>
      <c r="DP38794" s="7" t="n">
        <v>63960</v>
      </c>
      <c r="DQ38794" s="7" t="s">
        <v>16</v>
      </c>
      <c r="DR38794" s="7" t="n">
        <f t="normal" ca="1">32-LENB(INDIRECT(ADDRESS(38794,121)))</f>
        <v>0</v>
      </c>
      <c r="DS38794" s="7" t="n">
        <v>7</v>
      </c>
      <c r="DT38794" s="7" t="n">
        <v>65533</v>
      </c>
      <c r="DU38794" s="7" t="n">
        <v>63961</v>
      </c>
      <c r="DV38794" s="7" t="s">
        <v>16</v>
      </c>
      <c r="DW38794" s="7" t="n">
        <f t="normal" ca="1">32-LENB(INDIRECT(ADDRESS(38794,126)))</f>
        <v>0</v>
      </c>
      <c r="DX38794" s="7" t="n">
        <v>7</v>
      </c>
      <c r="DY38794" s="7" t="n">
        <v>65533</v>
      </c>
      <c r="DZ38794" s="7" t="n">
        <v>5800</v>
      </c>
      <c r="EA38794" s="7" t="s">
        <v>16</v>
      </c>
      <c r="EB38794" s="7" t="n">
        <f t="normal" ca="1">32-LENB(INDIRECT(ADDRESS(38794,131)))</f>
        <v>0</v>
      </c>
      <c r="EC38794" s="7" t="n">
        <v>7</v>
      </c>
      <c r="ED38794" s="7" t="n">
        <v>65533</v>
      </c>
      <c r="EE38794" s="7" t="n">
        <v>63962</v>
      </c>
      <c r="EF38794" s="7" t="s">
        <v>16</v>
      </c>
      <c r="EG38794" s="7" t="n">
        <f t="normal" ca="1">32-LENB(INDIRECT(ADDRESS(38794,136)))</f>
        <v>0</v>
      </c>
      <c r="EH38794" s="7" t="n">
        <v>7</v>
      </c>
      <c r="EI38794" s="7" t="n">
        <v>65533</v>
      </c>
      <c r="EJ38794" s="7" t="n">
        <v>5801</v>
      </c>
      <c r="EK38794" s="7" t="s">
        <v>16</v>
      </c>
      <c r="EL38794" s="7" t="n">
        <f t="normal" ca="1">32-LENB(INDIRECT(ADDRESS(38794,141)))</f>
        <v>0</v>
      </c>
      <c r="EM38794" s="7" t="n">
        <v>7</v>
      </c>
      <c r="EN38794" s="7" t="n">
        <v>65533</v>
      </c>
      <c r="EO38794" s="7" t="n">
        <v>5802</v>
      </c>
      <c r="EP38794" s="7" t="s">
        <v>16</v>
      </c>
      <c r="EQ38794" s="7" t="n">
        <f t="normal" ca="1">32-LENB(INDIRECT(ADDRESS(38794,146)))</f>
        <v>0</v>
      </c>
      <c r="ER38794" s="7" t="n">
        <v>7</v>
      </c>
      <c r="ES38794" s="7" t="n">
        <v>65533</v>
      </c>
      <c r="ET38794" s="7" t="n">
        <v>5803</v>
      </c>
      <c r="EU38794" s="7" t="s">
        <v>16</v>
      </c>
      <c r="EV38794" s="7" t="n">
        <f t="normal" ca="1">32-LENB(INDIRECT(ADDRESS(38794,151)))</f>
        <v>0</v>
      </c>
      <c r="EW38794" s="7" t="n">
        <v>7</v>
      </c>
      <c r="EX38794" s="7" t="n">
        <v>65533</v>
      </c>
      <c r="EY38794" s="7" t="n">
        <v>5804</v>
      </c>
      <c r="EZ38794" s="7" t="s">
        <v>16</v>
      </c>
      <c r="FA38794" s="7" t="n">
        <f t="normal" ca="1">32-LENB(INDIRECT(ADDRESS(38794,156)))</f>
        <v>0</v>
      </c>
      <c r="FB38794" s="7" t="n">
        <v>7</v>
      </c>
      <c r="FC38794" s="7" t="n">
        <v>65533</v>
      </c>
      <c r="FD38794" s="7" t="n">
        <v>63963</v>
      </c>
      <c r="FE38794" s="7" t="s">
        <v>16</v>
      </c>
      <c r="FF38794" s="7" t="n">
        <f t="normal" ca="1">32-LENB(INDIRECT(ADDRESS(38794,161)))</f>
        <v>0</v>
      </c>
      <c r="FG38794" s="7" t="n">
        <v>7</v>
      </c>
      <c r="FH38794" s="7" t="n">
        <v>65533</v>
      </c>
      <c r="FI38794" s="7" t="n">
        <v>63964</v>
      </c>
      <c r="FJ38794" s="7" t="s">
        <v>16</v>
      </c>
      <c r="FK38794" s="7" t="n">
        <f t="normal" ca="1">32-LENB(INDIRECT(ADDRESS(38794,166)))</f>
        <v>0</v>
      </c>
      <c r="FL38794" s="7" t="n">
        <v>7</v>
      </c>
      <c r="FM38794" s="7" t="n">
        <v>65533</v>
      </c>
      <c r="FN38794" s="7" t="n">
        <v>63965</v>
      </c>
      <c r="FO38794" s="7" t="s">
        <v>16</v>
      </c>
      <c r="FP38794" s="7" t="n">
        <f t="normal" ca="1">32-LENB(INDIRECT(ADDRESS(38794,171)))</f>
        <v>0</v>
      </c>
      <c r="FQ38794" s="7" t="n">
        <v>7</v>
      </c>
      <c r="FR38794" s="7" t="n">
        <v>65533</v>
      </c>
      <c r="FS38794" s="7" t="n">
        <v>63966</v>
      </c>
      <c r="FT38794" s="7" t="s">
        <v>16</v>
      </c>
      <c r="FU38794" s="7" t="n">
        <f t="normal" ca="1">32-LENB(INDIRECT(ADDRESS(38794,176)))</f>
        <v>0</v>
      </c>
      <c r="FV38794" s="7" t="n">
        <v>7</v>
      </c>
      <c r="FW38794" s="7" t="n">
        <v>65533</v>
      </c>
      <c r="FX38794" s="7" t="n">
        <v>5805</v>
      </c>
      <c r="FY38794" s="7" t="s">
        <v>16</v>
      </c>
      <c r="FZ38794" s="7" t="n">
        <f t="normal" ca="1">32-LENB(INDIRECT(ADDRESS(38794,181)))</f>
        <v>0</v>
      </c>
      <c r="GA38794" s="7" t="n">
        <v>7</v>
      </c>
      <c r="GB38794" s="7" t="n">
        <v>65533</v>
      </c>
      <c r="GC38794" s="7" t="n">
        <v>5806</v>
      </c>
      <c r="GD38794" s="7" t="s">
        <v>16</v>
      </c>
      <c r="GE38794" s="7" t="n">
        <f t="normal" ca="1">32-LENB(INDIRECT(ADDRESS(38794,186)))</f>
        <v>0</v>
      </c>
      <c r="GF38794" s="7" t="n">
        <v>7</v>
      </c>
      <c r="GG38794" s="7" t="n">
        <v>65533</v>
      </c>
      <c r="GH38794" s="7" t="n">
        <v>5807</v>
      </c>
      <c r="GI38794" s="7" t="s">
        <v>16</v>
      </c>
      <c r="GJ38794" s="7" t="n">
        <f t="normal" ca="1">32-LENB(INDIRECT(ADDRESS(38794,191)))</f>
        <v>0</v>
      </c>
      <c r="GK38794" s="7" t="n">
        <v>7</v>
      </c>
      <c r="GL38794" s="7" t="n">
        <v>65533</v>
      </c>
      <c r="GM38794" s="7" t="n">
        <v>63967</v>
      </c>
      <c r="GN38794" s="7" t="s">
        <v>16</v>
      </c>
      <c r="GO38794" s="7" t="n">
        <f t="normal" ca="1">32-LENB(INDIRECT(ADDRESS(38794,196)))</f>
        <v>0</v>
      </c>
      <c r="GP38794" s="7" t="n">
        <v>7</v>
      </c>
      <c r="GQ38794" s="7" t="n">
        <v>65533</v>
      </c>
      <c r="GR38794" s="7" t="n">
        <v>5808</v>
      </c>
      <c r="GS38794" s="7" t="s">
        <v>16</v>
      </c>
      <c r="GT38794" s="7" t="n">
        <f t="normal" ca="1">32-LENB(INDIRECT(ADDRESS(38794,201)))</f>
        <v>0</v>
      </c>
      <c r="GU38794" s="7" t="n">
        <v>7</v>
      </c>
      <c r="GV38794" s="7" t="n">
        <v>65533</v>
      </c>
      <c r="GW38794" s="7" t="n">
        <v>63968</v>
      </c>
      <c r="GX38794" s="7" t="s">
        <v>16</v>
      </c>
      <c r="GY38794" s="7" t="n">
        <f t="normal" ca="1">32-LENB(INDIRECT(ADDRESS(38794,206)))</f>
        <v>0</v>
      </c>
      <c r="GZ38794" s="7" t="n">
        <v>7</v>
      </c>
      <c r="HA38794" s="7" t="n">
        <v>65533</v>
      </c>
      <c r="HB38794" s="7" t="n">
        <v>63969</v>
      </c>
      <c r="HC38794" s="7" t="s">
        <v>16</v>
      </c>
      <c r="HD38794" s="7" t="n">
        <f t="normal" ca="1">32-LENB(INDIRECT(ADDRESS(38794,211)))</f>
        <v>0</v>
      </c>
      <c r="HE38794" s="7" t="n">
        <v>7</v>
      </c>
      <c r="HF38794" s="7" t="n">
        <v>65533</v>
      </c>
      <c r="HG38794" s="7" t="n">
        <v>63970</v>
      </c>
      <c r="HH38794" s="7" t="s">
        <v>16</v>
      </c>
      <c r="HI38794" s="7" t="n">
        <f t="normal" ca="1">32-LENB(INDIRECT(ADDRESS(38794,216)))</f>
        <v>0</v>
      </c>
      <c r="HJ38794" s="7" t="n">
        <v>7</v>
      </c>
      <c r="HK38794" s="7" t="n">
        <v>65533</v>
      </c>
      <c r="HL38794" s="7" t="n">
        <v>63971</v>
      </c>
      <c r="HM38794" s="7" t="s">
        <v>16</v>
      </c>
      <c r="HN38794" s="7" t="n">
        <f t="normal" ca="1">32-LENB(INDIRECT(ADDRESS(38794,221)))</f>
        <v>0</v>
      </c>
      <c r="HO38794" s="7" t="n">
        <v>7</v>
      </c>
      <c r="HP38794" s="7" t="n">
        <v>65533</v>
      </c>
      <c r="HQ38794" s="7" t="n">
        <v>63972</v>
      </c>
      <c r="HR38794" s="7" t="s">
        <v>16</v>
      </c>
      <c r="HS38794" s="7" t="n">
        <f t="normal" ca="1">32-LENB(INDIRECT(ADDRESS(38794,226)))</f>
        <v>0</v>
      </c>
      <c r="HT38794" s="7" t="n">
        <v>7</v>
      </c>
      <c r="HU38794" s="7" t="n">
        <v>65533</v>
      </c>
      <c r="HV38794" s="7" t="n">
        <v>5809</v>
      </c>
      <c r="HW38794" s="7" t="s">
        <v>16</v>
      </c>
      <c r="HX38794" s="7" t="n">
        <f t="normal" ca="1">32-LENB(INDIRECT(ADDRESS(38794,231)))</f>
        <v>0</v>
      </c>
      <c r="HY38794" s="7" t="n">
        <v>7</v>
      </c>
      <c r="HZ38794" s="7" t="n">
        <v>65533</v>
      </c>
      <c r="IA38794" s="7" t="n">
        <v>63973</v>
      </c>
      <c r="IB38794" s="7" t="s">
        <v>16</v>
      </c>
      <c r="IC38794" s="7" t="n">
        <f t="normal" ca="1">32-LENB(INDIRECT(ADDRESS(38794,236)))</f>
        <v>0</v>
      </c>
      <c r="ID38794" s="7" t="n">
        <v>7</v>
      </c>
      <c r="IE38794" s="7" t="n">
        <v>65533</v>
      </c>
      <c r="IF38794" s="7" t="n">
        <v>63974</v>
      </c>
      <c r="IG38794" s="7" t="s">
        <v>16</v>
      </c>
      <c r="IH38794" s="7" t="n">
        <f t="normal" ca="1">32-LENB(INDIRECT(ADDRESS(38794,241)))</f>
        <v>0</v>
      </c>
      <c r="II38794" s="7" t="n">
        <v>7</v>
      </c>
      <c r="IJ38794" s="7" t="n">
        <v>65533</v>
      </c>
      <c r="IK38794" s="7" t="n">
        <v>63975</v>
      </c>
      <c r="IL38794" s="7" t="s">
        <v>16</v>
      </c>
      <c r="IM38794" s="7" t="n">
        <f t="normal" ca="1">32-LENB(INDIRECT(ADDRESS(38794,246)))</f>
        <v>0</v>
      </c>
      <c r="IN38794" s="7" t="n">
        <v>7</v>
      </c>
      <c r="IO38794" s="7" t="n">
        <v>65533</v>
      </c>
      <c r="IP38794" s="7" t="n">
        <v>5810</v>
      </c>
      <c r="IQ38794" s="7" t="s">
        <v>16</v>
      </c>
      <c r="IR38794" s="7" t="n">
        <f t="normal" ca="1">32-LENB(INDIRECT(ADDRESS(38794,251)))</f>
        <v>0</v>
      </c>
      <c r="IS38794" s="7" t="n">
        <v>4</v>
      </c>
      <c r="IT38794" s="7" t="n">
        <v>65533</v>
      </c>
      <c r="IU38794" s="7" t="n">
        <v>2003</v>
      </c>
      <c r="IV38794" s="7" t="s">
        <v>16</v>
      </c>
      <c r="IW38794" s="7" t="n">
        <f t="normal" ca="1">32-LENB(INDIRECT(ADDRESS(38794,256)))</f>
        <v>0</v>
      </c>
      <c r="IX38794" s="7" t="n">
        <v>7</v>
      </c>
      <c r="IY38794" s="7" t="n">
        <v>65533</v>
      </c>
      <c r="IZ38794" s="7" t="n">
        <v>5811</v>
      </c>
      <c r="JA38794" s="7" t="s">
        <v>16</v>
      </c>
      <c r="JB38794" s="7" t="n">
        <f t="normal" ca="1">32-LENB(INDIRECT(ADDRESS(38794,261)))</f>
        <v>0</v>
      </c>
      <c r="JC38794" s="7" t="n">
        <v>7</v>
      </c>
      <c r="JD38794" s="7" t="n">
        <v>65533</v>
      </c>
      <c r="JE38794" s="7" t="n">
        <v>5812</v>
      </c>
      <c r="JF38794" s="7" t="s">
        <v>16</v>
      </c>
      <c r="JG38794" s="7" t="n">
        <f t="normal" ca="1">32-LENB(INDIRECT(ADDRESS(38794,266)))</f>
        <v>0</v>
      </c>
      <c r="JH38794" s="7" t="n">
        <v>7</v>
      </c>
      <c r="JI38794" s="7" t="n">
        <v>65533</v>
      </c>
      <c r="JJ38794" s="7" t="n">
        <v>63976</v>
      </c>
      <c r="JK38794" s="7" t="s">
        <v>16</v>
      </c>
      <c r="JL38794" s="7" t="n">
        <f t="normal" ca="1">32-LENB(INDIRECT(ADDRESS(38794,271)))</f>
        <v>0</v>
      </c>
      <c r="JM38794" s="7" t="n">
        <v>7</v>
      </c>
      <c r="JN38794" s="7" t="n">
        <v>65533</v>
      </c>
      <c r="JO38794" s="7" t="n">
        <v>63977</v>
      </c>
      <c r="JP38794" s="7" t="s">
        <v>16</v>
      </c>
      <c r="JQ38794" s="7" t="n">
        <f t="normal" ca="1">32-LENB(INDIRECT(ADDRESS(38794,276)))</f>
        <v>0</v>
      </c>
      <c r="JR38794" s="7" t="n">
        <v>7</v>
      </c>
      <c r="JS38794" s="7" t="n">
        <v>65533</v>
      </c>
      <c r="JT38794" s="7" t="n">
        <v>63978</v>
      </c>
      <c r="JU38794" s="7" t="s">
        <v>16</v>
      </c>
      <c r="JV38794" s="7" t="n">
        <f t="normal" ca="1">32-LENB(INDIRECT(ADDRESS(38794,281)))</f>
        <v>0</v>
      </c>
      <c r="JW38794" s="7" t="n">
        <v>7</v>
      </c>
      <c r="JX38794" s="7" t="n">
        <v>65533</v>
      </c>
      <c r="JY38794" s="7" t="n">
        <v>63979</v>
      </c>
      <c r="JZ38794" s="7" t="s">
        <v>16</v>
      </c>
      <c r="KA38794" s="7" t="n">
        <f t="normal" ca="1">32-LENB(INDIRECT(ADDRESS(38794,286)))</f>
        <v>0</v>
      </c>
      <c r="KB38794" s="7" t="n">
        <v>4</v>
      </c>
      <c r="KC38794" s="7" t="n">
        <v>65533</v>
      </c>
      <c r="KD38794" s="7" t="n">
        <v>2000</v>
      </c>
      <c r="KE38794" s="7" t="s">
        <v>16</v>
      </c>
      <c r="KF38794" s="7" t="n">
        <f t="normal" ca="1">32-LENB(INDIRECT(ADDRESS(38794,291)))</f>
        <v>0</v>
      </c>
      <c r="KG38794" s="7" t="n">
        <v>7</v>
      </c>
      <c r="KH38794" s="7" t="n">
        <v>65533</v>
      </c>
      <c r="KI38794" s="7" t="n">
        <v>5813</v>
      </c>
      <c r="KJ38794" s="7" t="s">
        <v>16</v>
      </c>
      <c r="KK38794" s="7" t="n">
        <f t="normal" ca="1">32-LENB(INDIRECT(ADDRESS(38794,296)))</f>
        <v>0</v>
      </c>
      <c r="KL38794" s="7" t="n">
        <v>7</v>
      </c>
      <c r="KM38794" s="7" t="n">
        <v>65533</v>
      </c>
      <c r="KN38794" s="7" t="n">
        <v>5814</v>
      </c>
      <c r="KO38794" s="7" t="s">
        <v>16</v>
      </c>
      <c r="KP38794" s="7" t="n">
        <f t="normal" ca="1">32-LENB(INDIRECT(ADDRESS(38794,301)))</f>
        <v>0</v>
      </c>
      <c r="KQ38794" s="7" t="n">
        <v>7</v>
      </c>
      <c r="KR38794" s="7" t="n">
        <v>65533</v>
      </c>
      <c r="KS38794" s="7" t="n">
        <v>5815</v>
      </c>
      <c r="KT38794" s="7" t="s">
        <v>16</v>
      </c>
      <c r="KU38794" s="7" t="n">
        <f t="normal" ca="1">32-LENB(INDIRECT(ADDRESS(38794,306)))</f>
        <v>0</v>
      </c>
      <c r="KV38794" s="7" t="n">
        <v>7</v>
      </c>
      <c r="KW38794" s="7" t="n">
        <v>65533</v>
      </c>
      <c r="KX38794" s="7" t="n">
        <v>63980</v>
      </c>
      <c r="KY38794" s="7" t="s">
        <v>16</v>
      </c>
      <c r="KZ38794" s="7" t="n">
        <f t="normal" ca="1">32-LENB(INDIRECT(ADDRESS(38794,311)))</f>
        <v>0</v>
      </c>
      <c r="LA38794" s="7" t="n">
        <v>7</v>
      </c>
      <c r="LB38794" s="7" t="n">
        <v>65533</v>
      </c>
      <c r="LC38794" s="7" t="n">
        <v>63981</v>
      </c>
      <c r="LD38794" s="7" t="s">
        <v>16</v>
      </c>
      <c r="LE38794" s="7" t="n">
        <f t="normal" ca="1">32-LENB(INDIRECT(ADDRESS(38794,316)))</f>
        <v>0</v>
      </c>
      <c r="LF38794" s="7" t="n">
        <v>7</v>
      </c>
      <c r="LG38794" s="7" t="n">
        <v>65533</v>
      </c>
      <c r="LH38794" s="7" t="n">
        <v>63982</v>
      </c>
      <c r="LI38794" s="7" t="s">
        <v>16</v>
      </c>
      <c r="LJ38794" s="7" t="n">
        <f t="normal" ca="1">32-LENB(INDIRECT(ADDRESS(38794,321)))</f>
        <v>0</v>
      </c>
      <c r="LK38794" s="7" t="n">
        <v>7</v>
      </c>
      <c r="LL38794" s="7" t="n">
        <v>65533</v>
      </c>
      <c r="LM38794" s="7" t="n">
        <v>5816</v>
      </c>
      <c r="LN38794" s="7" t="s">
        <v>16</v>
      </c>
      <c r="LO38794" s="7" t="n">
        <f t="normal" ca="1">32-LENB(INDIRECT(ADDRESS(38794,326)))</f>
        <v>0</v>
      </c>
      <c r="LP38794" s="7" t="n">
        <v>0</v>
      </c>
      <c r="LQ38794" s="7" t="n">
        <v>65533</v>
      </c>
      <c r="LR38794" s="7" t="n">
        <v>0</v>
      </c>
      <c r="LS38794" s="7" t="s">
        <v>16</v>
      </c>
      <c r="LT38794" s="7" t="n">
        <f t="normal" ca="1">32-LENB(INDIRECT(ADDRESS(38794,331)))</f>
        <v>0</v>
      </c>
    </row>
    <row r="38795" spans="1:407">
      <c r="A38795" t="s">
        <v>4</v>
      </c>
      <c r="B38795" s="4" t="s">
        <v>5</v>
      </c>
    </row>
    <row r="38796" spans="1:407">
      <c r="A38796" t="n">
        <v>399440</v>
      </c>
      <c r="B38796" s="5" t="n">
        <v>1</v>
      </c>
    </row>
    <row r="38797" spans="1:407" s="3" customFormat="1" customHeight="0">
      <c r="A38797" s="3" t="s">
        <v>2</v>
      </c>
      <c r="B38797" s="3" t="s">
        <v>1868</v>
      </c>
    </row>
    <row r="38798" spans="1:407">
      <c r="A38798" t="s">
        <v>4</v>
      </c>
      <c r="B38798" s="4" t="s">
        <v>5</v>
      </c>
      <c r="C38798" s="4" t="s">
        <v>11</v>
      </c>
      <c r="D38798" s="4" t="s">
        <v>11</v>
      </c>
      <c r="E38798" s="4" t="s">
        <v>15</v>
      </c>
      <c r="F38798" s="4" t="s">
        <v>8</v>
      </c>
      <c r="G38798" s="4" t="s">
        <v>1859</v>
      </c>
      <c r="H38798" s="4" t="s">
        <v>11</v>
      </c>
      <c r="I38798" s="4" t="s">
        <v>11</v>
      </c>
      <c r="J38798" s="4" t="s">
        <v>15</v>
      </c>
      <c r="K38798" s="4" t="s">
        <v>8</v>
      </c>
      <c r="L38798" s="4" t="s">
        <v>1859</v>
      </c>
      <c r="M38798" s="4" t="s">
        <v>11</v>
      </c>
      <c r="N38798" s="4" t="s">
        <v>11</v>
      </c>
      <c r="O38798" s="4" t="s">
        <v>15</v>
      </c>
      <c r="P38798" s="4" t="s">
        <v>8</v>
      </c>
      <c r="Q38798" s="4" t="s">
        <v>1859</v>
      </c>
      <c r="R38798" s="4" t="s">
        <v>11</v>
      </c>
      <c r="S38798" s="4" t="s">
        <v>11</v>
      </c>
      <c r="T38798" s="4" t="s">
        <v>15</v>
      </c>
      <c r="U38798" s="4" t="s">
        <v>8</v>
      </c>
      <c r="V38798" s="4" t="s">
        <v>1859</v>
      </c>
      <c r="W38798" s="4" t="s">
        <v>11</v>
      </c>
      <c r="X38798" s="4" t="s">
        <v>11</v>
      </c>
      <c r="Y38798" s="4" t="s">
        <v>15</v>
      </c>
      <c r="Z38798" s="4" t="s">
        <v>8</v>
      </c>
      <c r="AA38798" s="4" t="s">
        <v>1859</v>
      </c>
      <c r="AB38798" s="4" t="s">
        <v>11</v>
      </c>
      <c r="AC38798" s="4" t="s">
        <v>11</v>
      </c>
      <c r="AD38798" s="4" t="s">
        <v>15</v>
      </c>
      <c r="AE38798" s="4" t="s">
        <v>8</v>
      </c>
      <c r="AF38798" s="4" t="s">
        <v>1859</v>
      </c>
      <c r="AG38798" s="4" t="s">
        <v>11</v>
      </c>
      <c r="AH38798" s="4" t="s">
        <v>11</v>
      </c>
      <c r="AI38798" s="4" t="s">
        <v>15</v>
      </c>
      <c r="AJ38798" s="4" t="s">
        <v>8</v>
      </c>
      <c r="AK38798" s="4" t="s">
        <v>1859</v>
      </c>
      <c r="AL38798" s="4" t="s">
        <v>11</v>
      </c>
      <c r="AM38798" s="4" t="s">
        <v>11</v>
      </c>
      <c r="AN38798" s="4" t="s">
        <v>15</v>
      </c>
      <c r="AO38798" s="4" t="s">
        <v>8</v>
      </c>
      <c r="AP38798" s="4" t="s">
        <v>1859</v>
      </c>
      <c r="AQ38798" s="4" t="s">
        <v>11</v>
      </c>
      <c r="AR38798" s="4" t="s">
        <v>11</v>
      </c>
      <c r="AS38798" s="4" t="s">
        <v>15</v>
      </c>
      <c r="AT38798" s="4" t="s">
        <v>8</v>
      </c>
      <c r="AU38798" s="4" t="s">
        <v>1859</v>
      </c>
      <c r="AV38798" s="4" t="s">
        <v>11</v>
      </c>
      <c r="AW38798" s="4" t="s">
        <v>11</v>
      </c>
      <c r="AX38798" s="4" t="s">
        <v>15</v>
      </c>
      <c r="AY38798" s="4" t="s">
        <v>8</v>
      </c>
      <c r="AZ38798" s="4" t="s">
        <v>1859</v>
      </c>
      <c r="BA38798" s="4" t="s">
        <v>11</v>
      </c>
      <c r="BB38798" s="4" t="s">
        <v>11</v>
      </c>
      <c r="BC38798" s="4" t="s">
        <v>15</v>
      </c>
      <c r="BD38798" s="4" t="s">
        <v>8</v>
      </c>
      <c r="BE38798" s="4" t="s">
        <v>1859</v>
      </c>
      <c r="BF38798" s="4" t="s">
        <v>11</v>
      </c>
      <c r="BG38798" s="4" t="s">
        <v>11</v>
      </c>
      <c r="BH38798" s="4" t="s">
        <v>15</v>
      </c>
      <c r="BI38798" s="4" t="s">
        <v>8</v>
      </c>
      <c r="BJ38798" s="4" t="s">
        <v>1859</v>
      </c>
      <c r="BK38798" s="4" t="s">
        <v>11</v>
      </c>
      <c r="BL38798" s="4" t="s">
        <v>11</v>
      </c>
      <c r="BM38798" s="4" t="s">
        <v>15</v>
      </c>
      <c r="BN38798" s="4" t="s">
        <v>8</v>
      </c>
      <c r="BO38798" s="4" t="s">
        <v>1859</v>
      </c>
      <c r="BP38798" s="4" t="s">
        <v>11</v>
      </c>
      <c r="BQ38798" s="4" t="s">
        <v>11</v>
      </c>
      <c r="BR38798" s="4" t="s">
        <v>15</v>
      </c>
      <c r="BS38798" s="4" t="s">
        <v>8</v>
      </c>
      <c r="BT38798" s="4" t="s">
        <v>1859</v>
      </c>
      <c r="BU38798" s="4" t="s">
        <v>11</v>
      </c>
      <c r="BV38798" s="4" t="s">
        <v>11</v>
      </c>
      <c r="BW38798" s="4" t="s">
        <v>15</v>
      </c>
      <c r="BX38798" s="4" t="s">
        <v>8</v>
      </c>
      <c r="BY38798" s="4" t="s">
        <v>1859</v>
      </c>
      <c r="BZ38798" s="4" t="s">
        <v>11</v>
      </c>
      <c r="CA38798" s="4" t="s">
        <v>11</v>
      </c>
      <c r="CB38798" s="4" t="s">
        <v>15</v>
      </c>
      <c r="CC38798" s="4" t="s">
        <v>8</v>
      </c>
      <c r="CD38798" s="4" t="s">
        <v>1859</v>
      </c>
      <c r="CE38798" s="4" t="s">
        <v>11</v>
      </c>
      <c r="CF38798" s="4" t="s">
        <v>11</v>
      </c>
      <c r="CG38798" s="4" t="s">
        <v>15</v>
      </c>
      <c r="CH38798" s="4" t="s">
        <v>8</v>
      </c>
      <c r="CI38798" s="4" t="s">
        <v>1859</v>
      </c>
      <c r="CJ38798" s="4" t="s">
        <v>11</v>
      </c>
      <c r="CK38798" s="4" t="s">
        <v>11</v>
      </c>
      <c r="CL38798" s="4" t="s">
        <v>15</v>
      </c>
      <c r="CM38798" s="4" t="s">
        <v>8</v>
      </c>
      <c r="CN38798" s="4" t="s">
        <v>1859</v>
      </c>
      <c r="CO38798" s="4" t="s">
        <v>11</v>
      </c>
      <c r="CP38798" s="4" t="s">
        <v>11</v>
      </c>
      <c r="CQ38798" s="4" t="s">
        <v>15</v>
      </c>
      <c r="CR38798" s="4" t="s">
        <v>8</v>
      </c>
      <c r="CS38798" s="4" t="s">
        <v>1859</v>
      </c>
      <c r="CT38798" s="4" t="s">
        <v>11</v>
      </c>
      <c r="CU38798" s="4" t="s">
        <v>11</v>
      </c>
      <c r="CV38798" s="4" t="s">
        <v>15</v>
      </c>
      <c r="CW38798" s="4" t="s">
        <v>8</v>
      </c>
      <c r="CX38798" s="4" t="s">
        <v>1859</v>
      </c>
      <c r="CY38798" s="4" t="s">
        <v>11</v>
      </c>
      <c r="CZ38798" s="4" t="s">
        <v>11</v>
      </c>
      <c r="DA38798" s="4" t="s">
        <v>15</v>
      </c>
      <c r="DB38798" s="4" t="s">
        <v>8</v>
      </c>
      <c r="DC38798" s="4" t="s">
        <v>1859</v>
      </c>
      <c r="DD38798" s="4" t="s">
        <v>11</v>
      </c>
      <c r="DE38798" s="4" t="s">
        <v>11</v>
      </c>
      <c r="DF38798" s="4" t="s">
        <v>15</v>
      </c>
      <c r="DG38798" s="4" t="s">
        <v>8</v>
      </c>
      <c r="DH38798" s="4" t="s">
        <v>1859</v>
      </c>
      <c r="DI38798" s="4" t="s">
        <v>11</v>
      </c>
      <c r="DJ38798" s="4" t="s">
        <v>11</v>
      </c>
      <c r="DK38798" s="4" t="s">
        <v>15</v>
      </c>
      <c r="DL38798" s="4" t="s">
        <v>8</v>
      </c>
      <c r="DM38798" s="4" t="s">
        <v>1859</v>
      </c>
      <c r="DN38798" s="4" t="s">
        <v>11</v>
      </c>
      <c r="DO38798" s="4" t="s">
        <v>11</v>
      </c>
      <c r="DP38798" s="4" t="s">
        <v>15</v>
      </c>
      <c r="DQ38798" s="4" t="s">
        <v>8</v>
      </c>
      <c r="DR38798" s="4" t="s">
        <v>1859</v>
      </c>
      <c r="DS38798" s="4" t="s">
        <v>11</v>
      </c>
      <c r="DT38798" s="4" t="s">
        <v>11</v>
      </c>
      <c r="DU38798" s="4" t="s">
        <v>15</v>
      </c>
      <c r="DV38798" s="4" t="s">
        <v>8</v>
      </c>
      <c r="DW38798" s="4" t="s">
        <v>1859</v>
      </c>
      <c r="DX38798" s="4" t="s">
        <v>11</v>
      </c>
      <c r="DY38798" s="4" t="s">
        <v>11</v>
      </c>
      <c r="DZ38798" s="4" t="s">
        <v>15</v>
      </c>
      <c r="EA38798" s="4" t="s">
        <v>8</v>
      </c>
      <c r="EB38798" s="4" t="s">
        <v>1859</v>
      </c>
      <c r="EC38798" s="4" t="s">
        <v>11</v>
      </c>
      <c r="ED38798" s="4" t="s">
        <v>11</v>
      </c>
      <c r="EE38798" s="4" t="s">
        <v>15</v>
      </c>
      <c r="EF38798" s="4" t="s">
        <v>8</v>
      </c>
      <c r="EG38798" s="4" t="s">
        <v>1859</v>
      </c>
      <c r="EH38798" s="4" t="s">
        <v>11</v>
      </c>
      <c r="EI38798" s="4" t="s">
        <v>11</v>
      </c>
      <c r="EJ38798" s="4" t="s">
        <v>15</v>
      </c>
      <c r="EK38798" s="4" t="s">
        <v>8</v>
      </c>
      <c r="EL38798" s="4" t="s">
        <v>1859</v>
      </c>
      <c r="EM38798" s="4" t="s">
        <v>11</v>
      </c>
      <c r="EN38798" s="4" t="s">
        <v>11</v>
      </c>
      <c r="EO38798" s="4" t="s">
        <v>15</v>
      </c>
      <c r="EP38798" s="4" t="s">
        <v>8</v>
      </c>
      <c r="EQ38798" s="4" t="s">
        <v>1859</v>
      </c>
      <c r="ER38798" s="4" t="s">
        <v>11</v>
      </c>
      <c r="ES38798" s="4" t="s">
        <v>11</v>
      </c>
      <c r="ET38798" s="4" t="s">
        <v>15</v>
      </c>
      <c r="EU38798" s="4" t="s">
        <v>8</v>
      </c>
      <c r="EV38798" s="4" t="s">
        <v>1859</v>
      </c>
      <c r="EW38798" s="4" t="s">
        <v>11</v>
      </c>
      <c r="EX38798" s="4" t="s">
        <v>11</v>
      </c>
      <c r="EY38798" s="4" t="s">
        <v>15</v>
      </c>
      <c r="EZ38798" s="4" t="s">
        <v>8</v>
      </c>
      <c r="FA38798" s="4" t="s">
        <v>1859</v>
      </c>
      <c r="FB38798" s="4" t="s">
        <v>11</v>
      </c>
      <c r="FC38798" s="4" t="s">
        <v>11</v>
      </c>
      <c r="FD38798" s="4" t="s">
        <v>15</v>
      </c>
      <c r="FE38798" s="4" t="s">
        <v>8</v>
      </c>
      <c r="FF38798" s="4" t="s">
        <v>1859</v>
      </c>
      <c r="FG38798" s="4" t="s">
        <v>11</v>
      </c>
      <c r="FH38798" s="4" t="s">
        <v>11</v>
      </c>
      <c r="FI38798" s="4" t="s">
        <v>15</v>
      </c>
      <c r="FJ38798" s="4" t="s">
        <v>8</v>
      </c>
      <c r="FK38798" s="4" t="s">
        <v>1859</v>
      </c>
      <c r="FL38798" s="4" t="s">
        <v>11</v>
      </c>
      <c r="FM38798" s="4" t="s">
        <v>11</v>
      </c>
      <c r="FN38798" s="4" t="s">
        <v>15</v>
      </c>
      <c r="FO38798" s="4" t="s">
        <v>8</v>
      </c>
      <c r="FP38798" s="4" t="s">
        <v>1859</v>
      </c>
      <c r="FQ38798" s="4" t="s">
        <v>11</v>
      </c>
      <c r="FR38798" s="4" t="s">
        <v>11</v>
      </c>
      <c r="FS38798" s="4" t="s">
        <v>15</v>
      </c>
      <c r="FT38798" s="4" t="s">
        <v>8</v>
      </c>
      <c r="FU38798" s="4" t="s">
        <v>1859</v>
      </c>
      <c r="FV38798" s="4" t="s">
        <v>11</v>
      </c>
      <c r="FW38798" s="4" t="s">
        <v>11</v>
      </c>
      <c r="FX38798" s="4" t="s">
        <v>15</v>
      </c>
      <c r="FY38798" s="4" t="s">
        <v>8</v>
      </c>
      <c r="FZ38798" s="4" t="s">
        <v>1859</v>
      </c>
      <c r="GA38798" s="4" t="s">
        <v>11</v>
      </c>
      <c r="GB38798" s="4" t="s">
        <v>11</v>
      </c>
      <c r="GC38798" s="4" t="s">
        <v>15</v>
      </c>
      <c r="GD38798" s="4" t="s">
        <v>8</v>
      </c>
      <c r="GE38798" s="4" t="s">
        <v>1859</v>
      </c>
      <c r="GF38798" s="4" t="s">
        <v>11</v>
      </c>
      <c r="GG38798" s="4" t="s">
        <v>11</v>
      </c>
      <c r="GH38798" s="4" t="s">
        <v>15</v>
      </c>
      <c r="GI38798" s="4" t="s">
        <v>8</v>
      </c>
      <c r="GJ38798" s="4" t="s">
        <v>1859</v>
      </c>
      <c r="GK38798" s="4" t="s">
        <v>11</v>
      </c>
      <c r="GL38798" s="4" t="s">
        <v>11</v>
      </c>
      <c r="GM38798" s="4" t="s">
        <v>15</v>
      </c>
      <c r="GN38798" s="4" t="s">
        <v>8</v>
      </c>
      <c r="GO38798" s="4" t="s">
        <v>1859</v>
      </c>
      <c r="GP38798" s="4" t="s">
        <v>11</v>
      </c>
      <c r="GQ38798" s="4" t="s">
        <v>11</v>
      </c>
      <c r="GR38798" s="4" t="s">
        <v>15</v>
      </c>
      <c r="GS38798" s="4" t="s">
        <v>8</v>
      </c>
      <c r="GT38798" s="4" t="s">
        <v>1859</v>
      </c>
      <c r="GU38798" s="4" t="s">
        <v>11</v>
      </c>
      <c r="GV38798" s="4" t="s">
        <v>11</v>
      </c>
      <c r="GW38798" s="4" t="s">
        <v>15</v>
      </c>
      <c r="GX38798" s="4" t="s">
        <v>8</v>
      </c>
      <c r="GY38798" s="4" t="s">
        <v>1859</v>
      </c>
      <c r="GZ38798" s="4" t="s">
        <v>11</v>
      </c>
      <c r="HA38798" s="4" t="s">
        <v>11</v>
      </c>
      <c r="HB38798" s="4" t="s">
        <v>15</v>
      </c>
      <c r="HC38798" s="4" t="s">
        <v>8</v>
      </c>
      <c r="HD38798" s="4" t="s">
        <v>1859</v>
      </c>
      <c r="HE38798" s="4" t="s">
        <v>11</v>
      </c>
      <c r="HF38798" s="4" t="s">
        <v>11</v>
      </c>
      <c r="HG38798" s="4" t="s">
        <v>15</v>
      </c>
      <c r="HH38798" s="4" t="s">
        <v>8</v>
      </c>
      <c r="HI38798" s="4" t="s">
        <v>1859</v>
      </c>
      <c r="HJ38798" s="4" t="s">
        <v>11</v>
      </c>
      <c r="HK38798" s="4" t="s">
        <v>11</v>
      </c>
      <c r="HL38798" s="4" t="s">
        <v>15</v>
      </c>
      <c r="HM38798" s="4" t="s">
        <v>8</v>
      </c>
      <c r="HN38798" s="4" t="s">
        <v>1859</v>
      </c>
      <c r="HO38798" s="4" t="s">
        <v>11</v>
      </c>
      <c r="HP38798" s="4" t="s">
        <v>11</v>
      </c>
      <c r="HQ38798" s="4" t="s">
        <v>15</v>
      </c>
      <c r="HR38798" s="4" t="s">
        <v>8</v>
      </c>
      <c r="HS38798" s="4" t="s">
        <v>1859</v>
      </c>
      <c r="HT38798" s="4" t="s">
        <v>11</v>
      </c>
      <c r="HU38798" s="4" t="s">
        <v>11</v>
      </c>
      <c r="HV38798" s="4" t="s">
        <v>15</v>
      </c>
      <c r="HW38798" s="4" t="s">
        <v>8</v>
      </c>
      <c r="HX38798" s="4" t="s">
        <v>1859</v>
      </c>
      <c r="HY38798" s="4" t="s">
        <v>11</v>
      </c>
      <c r="HZ38798" s="4" t="s">
        <v>11</v>
      </c>
      <c r="IA38798" s="4" t="s">
        <v>15</v>
      </c>
      <c r="IB38798" s="4" t="s">
        <v>8</v>
      </c>
      <c r="IC38798" s="4" t="s">
        <v>1859</v>
      </c>
      <c r="ID38798" s="4" t="s">
        <v>11</v>
      </c>
      <c r="IE38798" s="4" t="s">
        <v>11</v>
      </c>
      <c r="IF38798" s="4" t="s">
        <v>15</v>
      </c>
      <c r="IG38798" s="4" t="s">
        <v>8</v>
      </c>
      <c r="IH38798" s="4" t="s">
        <v>1859</v>
      </c>
      <c r="II38798" s="4" t="s">
        <v>11</v>
      </c>
      <c r="IJ38798" s="4" t="s">
        <v>11</v>
      </c>
      <c r="IK38798" s="4" t="s">
        <v>15</v>
      </c>
      <c r="IL38798" s="4" t="s">
        <v>8</v>
      </c>
      <c r="IM38798" s="4" t="s">
        <v>1859</v>
      </c>
      <c r="IN38798" s="4" t="s">
        <v>11</v>
      </c>
      <c r="IO38798" s="4" t="s">
        <v>11</v>
      </c>
      <c r="IP38798" s="4" t="s">
        <v>15</v>
      </c>
      <c r="IQ38798" s="4" t="s">
        <v>8</v>
      </c>
      <c r="IR38798" s="4" t="s">
        <v>1859</v>
      </c>
      <c r="IS38798" s="4" t="s">
        <v>11</v>
      </c>
      <c r="IT38798" s="4" t="s">
        <v>11</v>
      </c>
      <c r="IU38798" s="4" t="s">
        <v>15</v>
      </c>
      <c r="IV38798" s="4" t="s">
        <v>8</v>
      </c>
      <c r="IW38798" s="4" t="s">
        <v>1859</v>
      </c>
      <c r="IX38798" s="4" t="s">
        <v>11</v>
      </c>
      <c r="IY38798" s="4" t="s">
        <v>11</v>
      </c>
      <c r="IZ38798" s="4" t="s">
        <v>15</v>
      </c>
      <c r="JA38798" s="4" t="s">
        <v>8</v>
      </c>
      <c r="JB38798" s="4" t="s">
        <v>1859</v>
      </c>
      <c r="JC38798" s="4" t="s">
        <v>11</v>
      </c>
      <c r="JD38798" s="4" t="s">
        <v>11</v>
      </c>
      <c r="JE38798" s="4" t="s">
        <v>15</v>
      </c>
      <c r="JF38798" s="4" t="s">
        <v>8</v>
      </c>
      <c r="JG38798" s="4" t="s">
        <v>1859</v>
      </c>
      <c r="JH38798" s="4" t="s">
        <v>11</v>
      </c>
      <c r="JI38798" s="4" t="s">
        <v>11</v>
      </c>
      <c r="JJ38798" s="4" t="s">
        <v>15</v>
      </c>
      <c r="JK38798" s="4" t="s">
        <v>8</v>
      </c>
      <c r="JL38798" s="4" t="s">
        <v>1859</v>
      </c>
      <c r="JM38798" s="4" t="s">
        <v>11</v>
      </c>
      <c r="JN38798" s="4" t="s">
        <v>11</v>
      </c>
      <c r="JO38798" s="4" t="s">
        <v>15</v>
      </c>
      <c r="JP38798" s="4" t="s">
        <v>8</v>
      </c>
      <c r="JQ38798" s="4" t="s">
        <v>1859</v>
      </c>
      <c r="JR38798" s="4" t="s">
        <v>11</v>
      </c>
      <c r="JS38798" s="4" t="s">
        <v>11</v>
      </c>
      <c r="JT38798" s="4" t="s">
        <v>15</v>
      </c>
      <c r="JU38798" s="4" t="s">
        <v>8</v>
      </c>
      <c r="JV38798" s="4" t="s">
        <v>1859</v>
      </c>
      <c r="JW38798" s="4" t="s">
        <v>11</v>
      </c>
      <c r="JX38798" s="4" t="s">
        <v>11</v>
      </c>
      <c r="JY38798" s="4" t="s">
        <v>15</v>
      </c>
      <c r="JZ38798" s="4" t="s">
        <v>8</v>
      </c>
      <c r="KA38798" s="4" t="s">
        <v>1859</v>
      </c>
      <c r="KB38798" s="4" t="s">
        <v>11</v>
      </c>
      <c r="KC38798" s="4" t="s">
        <v>11</v>
      </c>
      <c r="KD38798" s="4" t="s">
        <v>15</v>
      </c>
      <c r="KE38798" s="4" t="s">
        <v>8</v>
      </c>
      <c r="KF38798" s="4" t="s">
        <v>1859</v>
      </c>
      <c r="KG38798" s="4" t="s">
        <v>11</v>
      </c>
      <c r="KH38798" s="4" t="s">
        <v>11</v>
      </c>
      <c r="KI38798" s="4" t="s">
        <v>15</v>
      </c>
      <c r="KJ38798" s="4" t="s">
        <v>8</v>
      </c>
      <c r="KK38798" s="4" t="s">
        <v>1859</v>
      </c>
      <c r="KL38798" s="4" t="s">
        <v>11</v>
      </c>
      <c r="KM38798" s="4" t="s">
        <v>11</v>
      </c>
      <c r="KN38798" s="4" t="s">
        <v>15</v>
      </c>
      <c r="KO38798" s="4" t="s">
        <v>8</v>
      </c>
      <c r="KP38798" s="4" t="s">
        <v>1859</v>
      </c>
      <c r="KQ38798" s="4" t="s">
        <v>11</v>
      </c>
      <c r="KR38798" s="4" t="s">
        <v>11</v>
      </c>
      <c r="KS38798" s="4" t="s">
        <v>15</v>
      </c>
      <c r="KT38798" s="4" t="s">
        <v>8</v>
      </c>
      <c r="KU38798" s="4" t="s">
        <v>1859</v>
      </c>
      <c r="KV38798" s="4" t="s">
        <v>11</v>
      </c>
      <c r="KW38798" s="4" t="s">
        <v>11</v>
      </c>
      <c r="KX38798" s="4" t="s">
        <v>15</v>
      </c>
      <c r="KY38798" s="4" t="s">
        <v>8</v>
      </c>
      <c r="KZ38798" s="4" t="s">
        <v>1859</v>
      </c>
      <c r="LA38798" s="4" t="s">
        <v>11</v>
      </c>
      <c r="LB38798" s="4" t="s">
        <v>11</v>
      </c>
      <c r="LC38798" s="4" t="s">
        <v>15</v>
      </c>
      <c r="LD38798" s="4" t="s">
        <v>8</v>
      </c>
      <c r="LE38798" s="4" t="s">
        <v>1859</v>
      </c>
      <c r="LF38798" s="4" t="s">
        <v>11</v>
      </c>
      <c r="LG38798" s="4" t="s">
        <v>11</v>
      </c>
      <c r="LH38798" s="4" t="s">
        <v>15</v>
      </c>
      <c r="LI38798" s="4" t="s">
        <v>8</v>
      </c>
      <c r="LJ38798" s="4" t="s">
        <v>1859</v>
      </c>
      <c r="LK38798" s="4" t="s">
        <v>11</v>
      </c>
      <c r="LL38798" s="4" t="s">
        <v>11</v>
      </c>
      <c r="LM38798" s="4" t="s">
        <v>15</v>
      </c>
      <c r="LN38798" s="4" t="s">
        <v>8</v>
      </c>
      <c r="LO38798" s="4" t="s">
        <v>1859</v>
      </c>
      <c r="LP38798" s="4" t="s">
        <v>11</v>
      </c>
      <c r="LQ38798" s="4" t="s">
        <v>11</v>
      </c>
      <c r="LR38798" s="4" t="s">
        <v>15</v>
      </c>
      <c r="LS38798" s="4" t="s">
        <v>8</v>
      </c>
      <c r="LT38798" s="4" t="s">
        <v>1859</v>
      </c>
      <c r="LU38798" s="4" t="s">
        <v>11</v>
      </c>
      <c r="LV38798" s="4" t="s">
        <v>11</v>
      </c>
      <c r="LW38798" s="4" t="s">
        <v>15</v>
      </c>
      <c r="LX38798" s="4" t="s">
        <v>8</v>
      </c>
      <c r="LY38798" s="4" t="s">
        <v>1859</v>
      </c>
      <c r="LZ38798" s="4" t="s">
        <v>11</v>
      </c>
      <c r="MA38798" s="4" t="s">
        <v>11</v>
      </c>
      <c r="MB38798" s="4" t="s">
        <v>15</v>
      </c>
      <c r="MC38798" s="4" t="s">
        <v>8</v>
      </c>
      <c r="MD38798" s="4" t="s">
        <v>1859</v>
      </c>
      <c r="ME38798" s="4" t="s">
        <v>11</v>
      </c>
      <c r="MF38798" s="4" t="s">
        <v>11</v>
      </c>
      <c r="MG38798" s="4" t="s">
        <v>15</v>
      </c>
      <c r="MH38798" s="4" t="s">
        <v>8</v>
      </c>
      <c r="MI38798" s="4" t="s">
        <v>1859</v>
      </c>
      <c r="MJ38798" s="4" t="s">
        <v>11</v>
      </c>
      <c r="MK38798" s="4" t="s">
        <v>11</v>
      </c>
      <c r="ML38798" s="4" t="s">
        <v>15</v>
      </c>
      <c r="MM38798" s="4" t="s">
        <v>8</v>
      </c>
      <c r="MN38798" s="4" t="s">
        <v>1859</v>
      </c>
      <c r="MO38798" s="4" t="s">
        <v>11</v>
      </c>
      <c r="MP38798" s="4" t="s">
        <v>11</v>
      </c>
      <c r="MQ38798" s="4" t="s">
        <v>15</v>
      </c>
      <c r="MR38798" s="4" t="s">
        <v>8</v>
      </c>
      <c r="MS38798" s="4" t="s">
        <v>1859</v>
      </c>
      <c r="MT38798" s="4" t="s">
        <v>11</v>
      </c>
      <c r="MU38798" s="4" t="s">
        <v>11</v>
      </c>
      <c r="MV38798" s="4" t="s">
        <v>15</v>
      </c>
      <c r="MW38798" s="4" t="s">
        <v>8</v>
      </c>
      <c r="MX38798" s="4" t="s">
        <v>1859</v>
      </c>
      <c r="MY38798" s="4" t="s">
        <v>11</v>
      </c>
      <c r="MZ38798" s="4" t="s">
        <v>11</v>
      </c>
      <c r="NA38798" s="4" t="s">
        <v>15</v>
      </c>
      <c r="NB38798" s="4" t="s">
        <v>8</v>
      </c>
      <c r="NC38798" s="4" t="s">
        <v>1859</v>
      </c>
    </row>
    <row r="38799" spans="1:407">
      <c r="A38799" t="n">
        <v>399456</v>
      </c>
      <c r="B38799" s="85" t="n">
        <v>257</v>
      </c>
      <c r="C38799" s="7" t="n">
        <v>7</v>
      </c>
      <c r="D38799" s="7" t="n">
        <v>65533</v>
      </c>
      <c r="E38799" s="7" t="n">
        <v>63983</v>
      </c>
      <c r="F38799" s="7" t="s">
        <v>16</v>
      </c>
      <c r="G38799" s="7" t="n">
        <f t="normal" ca="1">32-LENB(INDIRECT(ADDRESS(38799,6)))</f>
        <v>0</v>
      </c>
      <c r="H38799" s="7" t="n">
        <v>7</v>
      </c>
      <c r="I38799" s="7" t="n">
        <v>65533</v>
      </c>
      <c r="J38799" s="7" t="n">
        <v>63984</v>
      </c>
      <c r="K38799" s="7" t="s">
        <v>16</v>
      </c>
      <c r="L38799" s="7" t="n">
        <f t="normal" ca="1">32-LENB(INDIRECT(ADDRESS(38799,11)))</f>
        <v>0</v>
      </c>
      <c r="M38799" s="7" t="n">
        <v>7</v>
      </c>
      <c r="N38799" s="7" t="n">
        <v>65533</v>
      </c>
      <c r="O38799" s="7" t="n">
        <v>63985</v>
      </c>
      <c r="P38799" s="7" t="s">
        <v>16</v>
      </c>
      <c r="Q38799" s="7" t="n">
        <f t="normal" ca="1">32-LENB(INDIRECT(ADDRESS(38799,16)))</f>
        <v>0</v>
      </c>
      <c r="R38799" s="7" t="n">
        <v>7</v>
      </c>
      <c r="S38799" s="7" t="n">
        <v>65533</v>
      </c>
      <c r="T38799" s="7" t="n">
        <v>63986</v>
      </c>
      <c r="U38799" s="7" t="s">
        <v>16</v>
      </c>
      <c r="V38799" s="7" t="n">
        <f t="normal" ca="1">32-LENB(INDIRECT(ADDRESS(38799,21)))</f>
        <v>0</v>
      </c>
      <c r="W38799" s="7" t="n">
        <v>7</v>
      </c>
      <c r="X38799" s="7" t="n">
        <v>65533</v>
      </c>
      <c r="Y38799" s="7" t="n">
        <v>63987</v>
      </c>
      <c r="Z38799" s="7" t="s">
        <v>16</v>
      </c>
      <c r="AA38799" s="7" t="n">
        <f t="normal" ca="1">32-LENB(INDIRECT(ADDRESS(38799,26)))</f>
        <v>0</v>
      </c>
      <c r="AB38799" s="7" t="n">
        <v>7</v>
      </c>
      <c r="AC38799" s="7" t="n">
        <v>65533</v>
      </c>
      <c r="AD38799" s="7" t="n">
        <v>63988</v>
      </c>
      <c r="AE38799" s="7" t="s">
        <v>16</v>
      </c>
      <c r="AF38799" s="7" t="n">
        <f t="normal" ca="1">32-LENB(INDIRECT(ADDRESS(38799,31)))</f>
        <v>0</v>
      </c>
      <c r="AG38799" s="7" t="n">
        <v>7</v>
      </c>
      <c r="AH38799" s="7" t="n">
        <v>65533</v>
      </c>
      <c r="AI38799" s="7" t="n">
        <v>63989</v>
      </c>
      <c r="AJ38799" s="7" t="s">
        <v>16</v>
      </c>
      <c r="AK38799" s="7" t="n">
        <f t="normal" ca="1">32-LENB(INDIRECT(ADDRESS(38799,36)))</f>
        <v>0</v>
      </c>
      <c r="AL38799" s="7" t="n">
        <v>7</v>
      </c>
      <c r="AM38799" s="7" t="n">
        <v>65533</v>
      </c>
      <c r="AN38799" s="7" t="n">
        <v>63990</v>
      </c>
      <c r="AO38799" s="7" t="s">
        <v>16</v>
      </c>
      <c r="AP38799" s="7" t="n">
        <f t="normal" ca="1">32-LENB(INDIRECT(ADDRESS(38799,41)))</f>
        <v>0</v>
      </c>
      <c r="AQ38799" s="7" t="n">
        <v>7</v>
      </c>
      <c r="AR38799" s="7" t="n">
        <v>65533</v>
      </c>
      <c r="AS38799" s="7" t="n">
        <v>63991</v>
      </c>
      <c r="AT38799" s="7" t="s">
        <v>16</v>
      </c>
      <c r="AU38799" s="7" t="n">
        <f t="normal" ca="1">32-LENB(INDIRECT(ADDRESS(38799,46)))</f>
        <v>0</v>
      </c>
      <c r="AV38799" s="7" t="n">
        <v>7</v>
      </c>
      <c r="AW38799" s="7" t="n">
        <v>65533</v>
      </c>
      <c r="AX38799" s="7" t="n">
        <v>63992</v>
      </c>
      <c r="AY38799" s="7" t="s">
        <v>16</v>
      </c>
      <c r="AZ38799" s="7" t="n">
        <f t="normal" ca="1">32-LENB(INDIRECT(ADDRESS(38799,51)))</f>
        <v>0</v>
      </c>
      <c r="BA38799" s="7" t="n">
        <v>7</v>
      </c>
      <c r="BB38799" s="7" t="n">
        <v>65533</v>
      </c>
      <c r="BC38799" s="7" t="n">
        <v>63993</v>
      </c>
      <c r="BD38799" s="7" t="s">
        <v>16</v>
      </c>
      <c r="BE38799" s="7" t="n">
        <f t="normal" ca="1">32-LENB(INDIRECT(ADDRESS(38799,56)))</f>
        <v>0</v>
      </c>
      <c r="BF38799" s="7" t="n">
        <v>7</v>
      </c>
      <c r="BG38799" s="7" t="n">
        <v>65533</v>
      </c>
      <c r="BH38799" s="7" t="n">
        <v>63994</v>
      </c>
      <c r="BI38799" s="7" t="s">
        <v>16</v>
      </c>
      <c r="BJ38799" s="7" t="n">
        <f t="normal" ca="1">32-LENB(INDIRECT(ADDRESS(38799,61)))</f>
        <v>0</v>
      </c>
      <c r="BK38799" s="7" t="n">
        <v>7</v>
      </c>
      <c r="BL38799" s="7" t="n">
        <v>65533</v>
      </c>
      <c r="BM38799" s="7" t="n">
        <v>63995</v>
      </c>
      <c r="BN38799" s="7" t="s">
        <v>16</v>
      </c>
      <c r="BO38799" s="7" t="n">
        <f t="normal" ca="1">32-LENB(INDIRECT(ADDRESS(38799,66)))</f>
        <v>0</v>
      </c>
      <c r="BP38799" s="7" t="n">
        <v>7</v>
      </c>
      <c r="BQ38799" s="7" t="n">
        <v>65533</v>
      </c>
      <c r="BR38799" s="7" t="n">
        <v>63996</v>
      </c>
      <c r="BS38799" s="7" t="s">
        <v>16</v>
      </c>
      <c r="BT38799" s="7" t="n">
        <f t="normal" ca="1">32-LENB(INDIRECT(ADDRESS(38799,71)))</f>
        <v>0</v>
      </c>
      <c r="BU38799" s="7" t="n">
        <v>7</v>
      </c>
      <c r="BV38799" s="7" t="n">
        <v>65533</v>
      </c>
      <c r="BW38799" s="7" t="n">
        <v>63997</v>
      </c>
      <c r="BX38799" s="7" t="s">
        <v>16</v>
      </c>
      <c r="BY38799" s="7" t="n">
        <f t="normal" ca="1">32-LENB(INDIRECT(ADDRESS(38799,76)))</f>
        <v>0</v>
      </c>
      <c r="BZ38799" s="7" t="n">
        <v>7</v>
      </c>
      <c r="CA38799" s="7" t="n">
        <v>65533</v>
      </c>
      <c r="CB38799" s="7" t="n">
        <v>63998</v>
      </c>
      <c r="CC38799" s="7" t="s">
        <v>16</v>
      </c>
      <c r="CD38799" s="7" t="n">
        <f t="normal" ca="1">32-LENB(INDIRECT(ADDRESS(38799,81)))</f>
        <v>0</v>
      </c>
      <c r="CE38799" s="7" t="n">
        <v>7</v>
      </c>
      <c r="CF38799" s="7" t="n">
        <v>65533</v>
      </c>
      <c r="CG38799" s="7" t="n">
        <v>63999</v>
      </c>
      <c r="CH38799" s="7" t="s">
        <v>16</v>
      </c>
      <c r="CI38799" s="7" t="n">
        <f t="normal" ca="1">32-LENB(INDIRECT(ADDRESS(38799,86)))</f>
        <v>0</v>
      </c>
      <c r="CJ38799" s="7" t="n">
        <v>7</v>
      </c>
      <c r="CK38799" s="7" t="n">
        <v>65533</v>
      </c>
      <c r="CL38799" s="7" t="n">
        <v>64000</v>
      </c>
      <c r="CM38799" s="7" t="s">
        <v>16</v>
      </c>
      <c r="CN38799" s="7" t="n">
        <f t="normal" ca="1">32-LENB(INDIRECT(ADDRESS(38799,91)))</f>
        <v>0</v>
      </c>
      <c r="CO38799" s="7" t="n">
        <v>7</v>
      </c>
      <c r="CP38799" s="7" t="n">
        <v>65533</v>
      </c>
      <c r="CQ38799" s="7" t="n">
        <v>64001</v>
      </c>
      <c r="CR38799" s="7" t="s">
        <v>16</v>
      </c>
      <c r="CS38799" s="7" t="n">
        <f t="normal" ca="1">32-LENB(INDIRECT(ADDRESS(38799,96)))</f>
        <v>0</v>
      </c>
      <c r="CT38799" s="7" t="n">
        <v>7</v>
      </c>
      <c r="CU38799" s="7" t="n">
        <v>65533</v>
      </c>
      <c r="CV38799" s="7" t="n">
        <v>64002</v>
      </c>
      <c r="CW38799" s="7" t="s">
        <v>16</v>
      </c>
      <c r="CX38799" s="7" t="n">
        <f t="normal" ca="1">32-LENB(INDIRECT(ADDRESS(38799,101)))</f>
        <v>0</v>
      </c>
      <c r="CY38799" s="7" t="n">
        <v>7</v>
      </c>
      <c r="CZ38799" s="7" t="n">
        <v>65533</v>
      </c>
      <c r="DA38799" s="7" t="n">
        <v>64003</v>
      </c>
      <c r="DB38799" s="7" t="s">
        <v>16</v>
      </c>
      <c r="DC38799" s="7" t="n">
        <f t="normal" ca="1">32-LENB(INDIRECT(ADDRESS(38799,106)))</f>
        <v>0</v>
      </c>
      <c r="DD38799" s="7" t="n">
        <v>7</v>
      </c>
      <c r="DE38799" s="7" t="n">
        <v>65533</v>
      </c>
      <c r="DF38799" s="7" t="n">
        <v>64004</v>
      </c>
      <c r="DG38799" s="7" t="s">
        <v>16</v>
      </c>
      <c r="DH38799" s="7" t="n">
        <f t="normal" ca="1">32-LENB(INDIRECT(ADDRESS(38799,111)))</f>
        <v>0</v>
      </c>
      <c r="DI38799" s="7" t="n">
        <v>7</v>
      </c>
      <c r="DJ38799" s="7" t="n">
        <v>65533</v>
      </c>
      <c r="DK38799" s="7" t="n">
        <v>64005</v>
      </c>
      <c r="DL38799" s="7" t="s">
        <v>16</v>
      </c>
      <c r="DM38799" s="7" t="n">
        <f t="normal" ca="1">32-LENB(INDIRECT(ADDRESS(38799,116)))</f>
        <v>0</v>
      </c>
      <c r="DN38799" s="7" t="n">
        <v>7</v>
      </c>
      <c r="DO38799" s="7" t="n">
        <v>65533</v>
      </c>
      <c r="DP38799" s="7" t="n">
        <v>10800</v>
      </c>
      <c r="DQ38799" s="7" t="s">
        <v>16</v>
      </c>
      <c r="DR38799" s="7" t="n">
        <f t="normal" ca="1">32-LENB(INDIRECT(ADDRESS(38799,121)))</f>
        <v>0</v>
      </c>
      <c r="DS38799" s="7" t="n">
        <v>7</v>
      </c>
      <c r="DT38799" s="7" t="n">
        <v>65533</v>
      </c>
      <c r="DU38799" s="7" t="n">
        <v>10801</v>
      </c>
      <c r="DV38799" s="7" t="s">
        <v>16</v>
      </c>
      <c r="DW38799" s="7" t="n">
        <f t="normal" ca="1">32-LENB(INDIRECT(ADDRESS(38799,126)))</f>
        <v>0</v>
      </c>
      <c r="DX38799" s="7" t="n">
        <v>7</v>
      </c>
      <c r="DY38799" s="7" t="n">
        <v>65533</v>
      </c>
      <c r="DZ38799" s="7" t="n">
        <v>64006</v>
      </c>
      <c r="EA38799" s="7" t="s">
        <v>16</v>
      </c>
      <c r="EB38799" s="7" t="n">
        <f t="normal" ca="1">32-LENB(INDIRECT(ADDRESS(38799,131)))</f>
        <v>0</v>
      </c>
      <c r="EC38799" s="7" t="n">
        <v>7</v>
      </c>
      <c r="ED38799" s="7" t="n">
        <v>65533</v>
      </c>
      <c r="EE38799" s="7" t="n">
        <v>64007</v>
      </c>
      <c r="EF38799" s="7" t="s">
        <v>16</v>
      </c>
      <c r="EG38799" s="7" t="n">
        <f t="normal" ca="1">32-LENB(INDIRECT(ADDRESS(38799,136)))</f>
        <v>0</v>
      </c>
      <c r="EH38799" s="7" t="n">
        <v>7</v>
      </c>
      <c r="EI38799" s="7" t="n">
        <v>65533</v>
      </c>
      <c r="EJ38799" s="7" t="n">
        <v>10802</v>
      </c>
      <c r="EK38799" s="7" t="s">
        <v>16</v>
      </c>
      <c r="EL38799" s="7" t="n">
        <f t="normal" ca="1">32-LENB(INDIRECT(ADDRESS(38799,141)))</f>
        <v>0</v>
      </c>
      <c r="EM38799" s="7" t="n">
        <v>7</v>
      </c>
      <c r="EN38799" s="7" t="n">
        <v>65533</v>
      </c>
      <c r="EO38799" s="7" t="n">
        <v>10803</v>
      </c>
      <c r="EP38799" s="7" t="s">
        <v>16</v>
      </c>
      <c r="EQ38799" s="7" t="n">
        <f t="normal" ca="1">32-LENB(INDIRECT(ADDRESS(38799,146)))</f>
        <v>0</v>
      </c>
      <c r="ER38799" s="7" t="n">
        <v>7</v>
      </c>
      <c r="ES38799" s="7" t="n">
        <v>65533</v>
      </c>
      <c r="ET38799" s="7" t="n">
        <v>10804</v>
      </c>
      <c r="EU38799" s="7" t="s">
        <v>16</v>
      </c>
      <c r="EV38799" s="7" t="n">
        <f t="normal" ca="1">32-LENB(INDIRECT(ADDRESS(38799,151)))</f>
        <v>0</v>
      </c>
      <c r="EW38799" s="7" t="n">
        <v>7</v>
      </c>
      <c r="EX38799" s="7" t="n">
        <v>65533</v>
      </c>
      <c r="EY38799" s="7" t="n">
        <v>10805</v>
      </c>
      <c r="EZ38799" s="7" t="s">
        <v>16</v>
      </c>
      <c r="FA38799" s="7" t="n">
        <f t="normal" ca="1">32-LENB(INDIRECT(ADDRESS(38799,156)))</f>
        <v>0</v>
      </c>
      <c r="FB38799" s="7" t="n">
        <v>7</v>
      </c>
      <c r="FC38799" s="7" t="n">
        <v>65533</v>
      </c>
      <c r="FD38799" s="7" t="n">
        <v>64008</v>
      </c>
      <c r="FE38799" s="7" t="s">
        <v>16</v>
      </c>
      <c r="FF38799" s="7" t="n">
        <f t="normal" ca="1">32-LENB(INDIRECT(ADDRESS(38799,161)))</f>
        <v>0</v>
      </c>
      <c r="FG38799" s="7" t="n">
        <v>7</v>
      </c>
      <c r="FH38799" s="7" t="n">
        <v>65533</v>
      </c>
      <c r="FI38799" s="7" t="n">
        <v>10806</v>
      </c>
      <c r="FJ38799" s="7" t="s">
        <v>16</v>
      </c>
      <c r="FK38799" s="7" t="n">
        <f t="normal" ca="1">32-LENB(INDIRECT(ADDRESS(38799,166)))</f>
        <v>0</v>
      </c>
      <c r="FL38799" s="7" t="n">
        <v>7</v>
      </c>
      <c r="FM38799" s="7" t="n">
        <v>65533</v>
      </c>
      <c r="FN38799" s="7" t="n">
        <v>10807</v>
      </c>
      <c r="FO38799" s="7" t="s">
        <v>16</v>
      </c>
      <c r="FP38799" s="7" t="n">
        <f t="normal" ca="1">32-LENB(INDIRECT(ADDRESS(38799,171)))</f>
        <v>0</v>
      </c>
      <c r="FQ38799" s="7" t="n">
        <v>7</v>
      </c>
      <c r="FR38799" s="7" t="n">
        <v>65533</v>
      </c>
      <c r="FS38799" s="7" t="n">
        <v>10808</v>
      </c>
      <c r="FT38799" s="7" t="s">
        <v>16</v>
      </c>
      <c r="FU38799" s="7" t="n">
        <f t="normal" ca="1">32-LENB(INDIRECT(ADDRESS(38799,176)))</f>
        <v>0</v>
      </c>
      <c r="FV38799" s="7" t="n">
        <v>7</v>
      </c>
      <c r="FW38799" s="7" t="n">
        <v>65533</v>
      </c>
      <c r="FX38799" s="7" t="n">
        <v>10809</v>
      </c>
      <c r="FY38799" s="7" t="s">
        <v>16</v>
      </c>
      <c r="FZ38799" s="7" t="n">
        <f t="normal" ca="1">32-LENB(INDIRECT(ADDRESS(38799,181)))</f>
        <v>0</v>
      </c>
      <c r="GA38799" s="7" t="n">
        <v>7</v>
      </c>
      <c r="GB38799" s="7" t="n">
        <v>65533</v>
      </c>
      <c r="GC38799" s="7" t="n">
        <v>10810</v>
      </c>
      <c r="GD38799" s="7" t="s">
        <v>16</v>
      </c>
      <c r="GE38799" s="7" t="n">
        <f t="normal" ca="1">32-LENB(INDIRECT(ADDRESS(38799,186)))</f>
        <v>0</v>
      </c>
      <c r="GF38799" s="7" t="n">
        <v>7</v>
      </c>
      <c r="GG38799" s="7" t="n">
        <v>65533</v>
      </c>
      <c r="GH38799" s="7" t="n">
        <v>64009</v>
      </c>
      <c r="GI38799" s="7" t="s">
        <v>16</v>
      </c>
      <c r="GJ38799" s="7" t="n">
        <f t="normal" ca="1">32-LENB(INDIRECT(ADDRESS(38799,191)))</f>
        <v>0</v>
      </c>
      <c r="GK38799" s="7" t="n">
        <v>7</v>
      </c>
      <c r="GL38799" s="7" t="n">
        <v>65533</v>
      </c>
      <c r="GM38799" s="7" t="n">
        <v>64010</v>
      </c>
      <c r="GN38799" s="7" t="s">
        <v>16</v>
      </c>
      <c r="GO38799" s="7" t="n">
        <f t="normal" ca="1">32-LENB(INDIRECT(ADDRESS(38799,196)))</f>
        <v>0</v>
      </c>
      <c r="GP38799" s="7" t="n">
        <v>7</v>
      </c>
      <c r="GQ38799" s="7" t="n">
        <v>65533</v>
      </c>
      <c r="GR38799" s="7" t="n">
        <v>64011</v>
      </c>
      <c r="GS38799" s="7" t="s">
        <v>16</v>
      </c>
      <c r="GT38799" s="7" t="n">
        <f t="normal" ca="1">32-LENB(INDIRECT(ADDRESS(38799,201)))</f>
        <v>0</v>
      </c>
      <c r="GU38799" s="7" t="n">
        <v>7</v>
      </c>
      <c r="GV38799" s="7" t="n">
        <v>65533</v>
      </c>
      <c r="GW38799" s="7" t="n">
        <v>10811</v>
      </c>
      <c r="GX38799" s="7" t="s">
        <v>16</v>
      </c>
      <c r="GY38799" s="7" t="n">
        <f t="normal" ca="1">32-LENB(INDIRECT(ADDRESS(38799,206)))</f>
        <v>0</v>
      </c>
      <c r="GZ38799" s="7" t="n">
        <v>7</v>
      </c>
      <c r="HA38799" s="7" t="n">
        <v>65533</v>
      </c>
      <c r="HB38799" s="7" t="n">
        <v>64012</v>
      </c>
      <c r="HC38799" s="7" t="s">
        <v>16</v>
      </c>
      <c r="HD38799" s="7" t="n">
        <f t="normal" ca="1">32-LENB(INDIRECT(ADDRESS(38799,211)))</f>
        <v>0</v>
      </c>
      <c r="HE38799" s="7" t="n">
        <v>7</v>
      </c>
      <c r="HF38799" s="7" t="n">
        <v>65533</v>
      </c>
      <c r="HG38799" s="7" t="n">
        <v>64013</v>
      </c>
      <c r="HH38799" s="7" t="s">
        <v>16</v>
      </c>
      <c r="HI38799" s="7" t="n">
        <f t="normal" ca="1">32-LENB(INDIRECT(ADDRESS(38799,216)))</f>
        <v>0</v>
      </c>
      <c r="HJ38799" s="7" t="n">
        <v>7</v>
      </c>
      <c r="HK38799" s="7" t="n">
        <v>65533</v>
      </c>
      <c r="HL38799" s="7" t="n">
        <v>64014</v>
      </c>
      <c r="HM38799" s="7" t="s">
        <v>16</v>
      </c>
      <c r="HN38799" s="7" t="n">
        <f t="normal" ca="1">32-LENB(INDIRECT(ADDRESS(38799,221)))</f>
        <v>0</v>
      </c>
      <c r="HO38799" s="7" t="n">
        <v>7</v>
      </c>
      <c r="HP38799" s="7" t="n">
        <v>65533</v>
      </c>
      <c r="HQ38799" s="7" t="n">
        <v>64015</v>
      </c>
      <c r="HR38799" s="7" t="s">
        <v>16</v>
      </c>
      <c r="HS38799" s="7" t="n">
        <f t="normal" ca="1">32-LENB(INDIRECT(ADDRESS(38799,226)))</f>
        <v>0</v>
      </c>
      <c r="HT38799" s="7" t="n">
        <v>7</v>
      </c>
      <c r="HU38799" s="7" t="n">
        <v>65533</v>
      </c>
      <c r="HV38799" s="7" t="n">
        <v>10812</v>
      </c>
      <c r="HW38799" s="7" t="s">
        <v>16</v>
      </c>
      <c r="HX38799" s="7" t="n">
        <f t="normal" ca="1">32-LENB(INDIRECT(ADDRESS(38799,231)))</f>
        <v>0</v>
      </c>
      <c r="HY38799" s="7" t="n">
        <v>7</v>
      </c>
      <c r="HZ38799" s="7" t="n">
        <v>65533</v>
      </c>
      <c r="IA38799" s="7" t="n">
        <v>64016</v>
      </c>
      <c r="IB38799" s="7" t="s">
        <v>16</v>
      </c>
      <c r="IC38799" s="7" t="n">
        <f t="normal" ca="1">32-LENB(INDIRECT(ADDRESS(38799,236)))</f>
        <v>0</v>
      </c>
      <c r="ID38799" s="7" t="n">
        <v>7</v>
      </c>
      <c r="IE38799" s="7" t="n">
        <v>65533</v>
      </c>
      <c r="IF38799" s="7" t="n">
        <v>64017</v>
      </c>
      <c r="IG38799" s="7" t="s">
        <v>16</v>
      </c>
      <c r="IH38799" s="7" t="n">
        <f t="normal" ca="1">32-LENB(INDIRECT(ADDRESS(38799,241)))</f>
        <v>0</v>
      </c>
      <c r="II38799" s="7" t="n">
        <v>7</v>
      </c>
      <c r="IJ38799" s="7" t="n">
        <v>65533</v>
      </c>
      <c r="IK38799" s="7" t="n">
        <v>64018</v>
      </c>
      <c r="IL38799" s="7" t="s">
        <v>16</v>
      </c>
      <c r="IM38799" s="7" t="n">
        <f t="normal" ca="1">32-LENB(INDIRECT(ADDRESS(38799,246)))</f>
        <v>0</v>
      </c>
      <c r="IN38799" s="7" t="n">
        <v>7</v>
      </c>
      <c r="IO38799" s="7" t="n">
        <v>65533</v>
      </c>
      <c r="IP38799" s="7" t="n">
        <v>64019</v>
      </c>
      <c r="IQ38799" s="7" t="s">
        <v>16</v>
      </c>
      <c r="IR38799" s="7" t="n">
        <f t="normal" ca="1">32-LENB(INDIRECT(ADDRESS(38799,251)))</f>
        <v>0</v>
      </c>
      <c r="IS38799" s="7" t="n">
        <v>7</v>
      </c>
      <c r="IT38799" s="7" t="n">
        <v>65533</v>
      </c>
      <c r="IU38799" s="7" t="n">
        <v>10813</v>
      </c>
      <c r="IV38799" s="7" t="s">
        <v>16</v>
      </c>
      <c r="IW38799" s="7" t="n">
        <f t="normal" ca="1">32-LENB(INDIRECT(ADDRESS(38799,256)))</f>
        <v>0</v>
      </c>
      <c r="IX38799" s="7" t="n">
        <v>7</v>
      </c>
      <c r="IY38799" s="7" t="n">
        <v>65533</v>
      </c>
      <c r="IZ38799" s="7" t="n">
        <v>10814</v>
      </c>
      <c r="JA38799" s="7" t="s">
        <v>16</v>
      </c>
      <c r="JB38799" s="7" t="n">
        <f t="normal" ca="1">32-LENB(INDIRECT(ADDRESS(38799,261)))</f>
        <v>0</v>
      </c>
      <c r="JC38799" s="7" t="n">
        <v>7</v>
      </c>
      <c r="JD38799" s="7" t="n">
        <v>65533</v>
      </c>
      <c r="JE38799" s="7" t="n">
        <v>10815</v>
      </c>
      <c r="JF38799" s="7" t="s">
        <v>16</v>
      </c>
      <c r="JG38799" s="7" t="n">
        <f t="normal" ca="1">32-LENB(INDIRECT(ADDRESS(38799,266)))</f>
        <v>0</v>
      </c>
      <c r="JH38799" s="7" t="n">
        <v>7</v>
      </c>
      <c r="JI38799" s="7" t="n">
        <v>65533</v>
      </c>
      <c r="JJ38799" s="7" t="n">
        <v>10816</v>
      </c>
      <c r="JK38799" s="7" t="s">
        <v>16</v>
      </c>
      <c r="JL38799" s="7" t="n">
        <f t="normal" ca="1">32-LENB(INDIRECT(ADDRESS(38799,271)))</f>
        <v>0</v>
      </c>
      <c r="JM38799" s="7" t="n">
        <v>7</v>
      </c>
      <c r="JN38799" s="7" t="n">
        <v>65533</v>
      </c>
      <c r="JO38799" s="7" t="n">
        <v>10817</v>
      </c>
      <c r="JP38799" s="7" t="s">
        <v>16</v>
      </c>
      <c r="JQ38799" s="7" t="n">
        <f t="normal" ca="1">32-LENB(INDIRECT(ADDRESS(38799,276)))</f>
        <v>0</v>
      </c>
      <c r="JR38799" s="7" t="n">
        <v>7</v>
      </c>
      <c r="JS38799" s="7" t="n">
        <v>65533</v>
      </c>
      <c r="JT38799" s="7" t="n">
        <v>64020</v>
      </c>
      <c r="JU38799" s="7" t="s">
        <v>16</v>
      </c>
      <c r="JV38799" s="7" t="n">
        <f t="normal" ca="1">32-LENB(INDIRECT(ADDRESS(38799,281)))</f>
        <v>0</v>
      </c>
      <c r="JW38799" s="7" t="n">
        <v>7</v>
      </c>
      <c r="JX38799" s="7" t="n">
        <v>65533</v>
      </c>
      <c r="JY38799" s="7" t="n">
        <v>64021</v>
      </c>
      <c r="JZ38799" s="7" t="s">
        <v>16</v>
      </c>
      <c r="KA38799" s="7" t="n">
        <f t="normal" ca="1">32-LENB(INDIRECT(ADDRESS(38799,286)))</f>
        <v>0</v>
      </c>
      <c r="KB38799" s="7" t="n">
        <v>7</v>
      </c>
      <c r="KC38799" s="7" t="n">
        <v>65533</v>
      </c>
      <c r="KD38799" s="7" t="n">
        <v>64022</v>
      </c>
      <c r="KE38799" s="7" t="s">
        <v>16</v>
      </c>
      <c r="KF38799" s="7" t="n">
        <f t="normal" ca="1">32-LENB(INDIRECT(ADDRESS(38799,291)))</f>
        <v>0</v>
      </c>
      <c r="KG38799" s="7" t="n">
        <v>7</v>
      </c>
      <c r="KH38799" s="7" t="n">
        <v>65533</v>
      </c>
      <c r="KI38799" s="7" t="n">
        <v>10818</v>
      </c>
      <c r="KJ38799" s="7" t="s">
        <v>16</v>
      </c>
      <c r="KK38799" s="7" t="n">
        <f t="normal" ca="1">32-LENB(INDIRECT(ADDRESS(38799,296)))</f>
        <v>0</v>
      </c>
      <c r="KL38799" s="7" t="n">
        <v>7</v>
      </c>
      <c r="KM38799" s="7" t="n">
        <v>65533</v>
      </c>
      <c r="KN38799" s="7" t="n">
        <v>10819</v>
      </c>
      <c r="KO38799" s="7" t="s">
        <v>16</v>
      </c>
      <c r="KP38799" s="7" t="n">
        <f t="normal" ca="1">32-LENB(INDIRECT(ADDRESS(38799,301)))</f>
        <v>0</v>
      </c>
      <c r="KQ38799" s="7" t="n">
        <v>7</v>
      </c>
      <c r="KR38799" s="7" t="n">
        <v>65533</v>
      </c>
      <c r="KS38799" s="7" t="n">
        <v>10820</v>
      </c>
      <c r="KT38799" s="7" t="s">
        <v>16</v>
      </c>
      <c r="KU38799" s="7" t="n">
        <f t="normal" ca="1">32-LENB(INDIRECT(ADDRESS(38799,306)))</f>
        <v>0</v>
      </c>
      <c r="KV38799" s="7" t="n">
        <v>7</v>
      </c>
      <c r="KW38799" s="7" t="n">
        <v>65533</v>
      </c>
      <c r="KX38799" s="7" t="n">
        <v>10821</v>
      </c>
      <c r="KY38799" s="7" t="s">
        <v>16</v>
      </c>
      <c r="KZ38799" s="7" t="n">
        <f t="normal" ca="1">32-LENB(INDIRECT(ADDRESS(38799,311)))</f>
        <v>0</v>
      </c>
      <c r="LA38799" s="7" t="n">
        <v>7</v>
      </c>
      <c r="LB38799" s="7" t="n">
        <v>65533</v>
      </c>
      <c r="LC38799" s="7" t="n">
        <v>64023</v>
      </c>
      <c r="LD38799" s="7" t="s">
        <v>16</v>
      </c>
      <c r="LE38799" s="7" t="n">
        <f t="normal" ca="1">32-LENB(INDIRECT(ADDRESS(38799,316)))</f>
        <v>0</v>
      </c>
      <c r="LF38799" s="7" t="n">
        <v>7</v>
      </c>
      <c r="LG38799" s="7" t="n">
        <v>65533</v>
      </c>
      <c r="LH38799" s="7" t="n">
        <v>10822</v>
      </c>
      <c r="LI38799" s="7" t="s">
        <v>16</v>
      </c>
      <c r="LJ38799" s="7" t="n">
        <f t="normal" ca="1">32-LENB(INDIRECT(ADDRESS(38799,321)))</f>
        <v>0</v>
      </c>
      <c r="LK38799" s="7" t="n">
        <v>7</v>
      </c>
      <c r="LL38799" s="7" t="n">
        <v>65533</v>
      </c>
      <c r="LM38799" s="7" t="n">
        <v>64024</v>
      </c>
      <c r="LN38799" s="7" t="s">
        <v>16</v>
      </c>
      <c r="LO38799" s="7" t="n">
        <f t="normal" ca="1">32-LENB(INDIRECT(ADDRESS(38799,326)))</f>
        <v>0</v>
      </c>
      <c r="LP38799" s="7" t="n">
        <v>4</v>
      </c>
      <c r="LQ38799" s="7" t="n">
        <v>65533</v>
      </c>
      <c r="LR38799" s="7" t="n">
        <v>2000</v>
      </c>
      <c r="LS38799" s="7" t="s">
        <v>16</v>
      </c>
      <c r="LT38799" s="7" t="n">
        <f t="normal" ca="1">32-LENB(INDIRECT(ADDRESS(38799,331)))</f>
        <v>0</v>
      </c>
      <c r="LU38799" s="7" t="n">
        <v>7</v>
      </c>
      <c r="LV38799" s="7" t="n">
        <v>65533</v>
      </c>
      <c r="LW38799" s="7" t="n">
        <v>10823</v>
      </c>
      <c r="LX38799" s="7" t="s">
        <v>16</v>
      </c>
      <c r="LY38799" s="7" t="n">
        <f t="normal" ca="1">32-LENB(INDIRECT(ADDRESS(38799,336)))</f>
        <v>0</v>
      </c>
      <c r="LZ38799" s="7" t="n">
        <v>7</v>
      </c>
      <c r="MA38799" s="7" t="n">
        <v>65533</v>
      </c>
      <c r="MB38799" s="7" t="n">
        <v>65271</v>
      </c>
      <c r="MC38799" s="7" t="s">
        <v>16</v>
      </c>
      <c r="MD38799" s="7" t="n">
        <f t="normal" ca="1">32-LENB(INDIRECT(ADDRESS(38799,341)))</f>
        <v>0</v>
      </c>
      <c r="ME38799" s="7" t="n">
        <v>7</v>
      </c>
      <c r="MF38799" s="7" t="n">
        <v>65533</v>
      </c>
      <c r="MG38799" s="7" t="n">
        <v>10824</v>
      </c>
      <c r="MH38799" s="7" t="s">
        <v>16</v>
      </c>
      <c r="MI38799" s="7" t="n">
        <f t="normal" ca="1">32-LENB(INDIRECT(ADDRESS(38799,346)))</f>
        <v>0</v>
      </c>
      <c r="MJ38799" s="7" t="n">
        <v>7</v>
      </c>
      <c r="MK38799" s="7" t="n">
        <v>65533</v>
      </c>
      <c r="ML38799" s="7" t="n">
        <v>10825</v>
      </c>
      <c r="MM38799" s="7" t="s">
        <v>16</v>
      </c>
      <c r="MN38799" s="7" t="n">
        <f t="normal" ca="1">32-LENB(INDIRECT(ADDRESS(38799,351)))</f>
        <v>0</v>
      </c>
      <c r="MO38799" s="7" t="n">
        <v>7</v>
      </c>
      <c r="MP38799" s="7" t="n">
        <v>65533</v>
      </c>
      <c r="MQ38799" s="7" t="n">
        <v>10826</v>
      </c>
      <c r="MR38799" s="7" t="s">
        <v>16</v>
      </c>
      <c r="MS38799" s="7" t="n">
        <f t="normal" ca="1">32-LENB(INDIRECT(ADDRESS(38799,356)))</f>
        <v>0</v>
      </c>
      <c r="MT38799" s="7" t="n">
        <v>7</v>
      </c>
      <c r="MU38799" s="7" t="n">
        <v>65533</v>
      </c>
      <c r="MV38799" s="7" t="n">
        <v>64025</v>
      </c>
      <c r="MW38799" s="7" t="s">
        <v>16</v>
      </c>
      <c r="MX38799" s="7" t="n">
        <f t="normal" ca="1">32-LENB(INDIRECT(ADDRESS(38799,361)))</f>
        <v>0</v>
      </c>
      <c r="MY38799" s="7" t="n">
        <v>0</v>
      </c>
      <c r="MZ38799" s="7" t="n">
        <v>65533</v>
      </c>
      <c r="NA38799" s="7" t="n">
        <v>0</v>
      </c>
      <c r="NB38799" s="7" t="s">
        <v>16</v>
      </c>
      <c r="NC38799" s="7" t="n">
        <f t="normal" ca="1">32-LENB(INDIRECT(ADDRESS(38799,366)))</f>
        <v>0</v>
      </c>
    </row>
    <row r="38800" spans="1:407">
      <c r="A38800" t="s">
        <v>4</v>
      </c>
      <c r="B38800" s="4" t="s">
        <v>5</v>
      </c>
    </row>
    <row r="38801" spans="1:367">
      <c r="A38801" t="n">
        <v>402376</v>
      </c>
      <c r="B38801" s="5" t="n">
        <v>1</v>
      </c>
    </row>
    <row r="38802" spans="1:367" s="3" customFormat="1" customHeight="0">
      <c r="A38802" s="3" t="s">
        <v>2</v>
      </c>
      <c r="B38802" s="3" t="s">
        <v>1869</v>
      </c>
    </row>
    <row r="38803" spans="1:367">
      <c r="A38803" t="s">
        <v>4</v>
      </c>
      <c r="B38803" s="4" t="s">
        <v>5</v>
      </c>
      <c r="C38803" s="4" t="s">
        <v>11</v>
      </c>
      <c r="D38803" s="4" t="s">
        <v>11</v>
      </c>
      <c r="E38803" s="4" t="s">
        <v>15</v>
      </c>
      <c r="F38803" s="4" t="s">
        <v>8</v>
      </c>
      <c r="G38803" s="4" t="s">
        <v>1859</v>
      </c>
      <c r="H38803" s="4" t="s">
        <v>11</v>
      </c>
      <c r="I38803" s="4" t="s">
        <v>11</v>
      </c>
      <c r="J38803" s="4" t="s">
        <v>15</v>
      </c>
      <c r="K38803" s="4" t="s">
        <v>8</v>
      </c>
      <c r="L38803" s="4" t="s">
        <v>1859</v>
      </c>
      <c r="M38803" s="4" t="s">
        <v>11</v>
      </c>
      <c r="N38803" s="4" t="s">
        <v>11</v>
      </c>
      <c r="O38803" s="4" t="s">
        <v>15</v>
      </c>
      <c r="P38803" s="4" t="s">
        <v>8</v>
      </c>
      <c r="Q38803" s="4" t="s">
        <v>1859</v>
      </c>
      <c r="R38803" s="4" t="s">
        <v>11</v>
      </c>
      <c r="S38803" s="4" t="s">
        <v>11</v>
      </c>
      <c r="T38803" s="4" t="s">
        <v>15</v>
      </c>
      <c r="U38803" s="4" t="s">
        <v>8</v>
      </c>
      <c r="V38803" s="4" t="s">
        <v>1859</v>
      </c>
      <c r="W38803" s="4" t="s">
        <v>11</v>
      </c>
      <c r="X38803" s="4" t="s">
        <v>11</v>
      </c>
      <c r="Y38803" s="4" t="s">
        <v>15</v>
      </c>
      <c r="Z38803" s="4" t="s">
        <v>8</v>
      </c>
      <c r="AA38803" s="4" t="s">
        <v>1859</v>
      </c>
      <c r="AB38803" s="4" t="s">
        <v>11</v>
      </c>
      <c r="AC38803" s="4" t="s">
        <v>11</v>
      </c>
      <c r="AD38803" s="4" t="s">
        <v>15</v>
      </c>
      <c r="AE38803" s="4" t="s">
        <v>8</v>
      </c>
      <c r="AF38803" s="4" t="s">
        <v>1859</v>
      </c>
      <c r="AG38803" s="4" t="s">
        <v>11</v>
      </c>
      <c r="AH38803" s="4" t="s">
        <v>11</v>
      </c>
      <c r="AI38803" s="4" t="s">
        <v>15</v>
      </c>
      <c r="AJ38803" s="4" t="s">
        <v>8</v>
      </c>
      <c r="AK38803" s="4" t="s">
        <v>1859</v>
      </c>
      <c r="AL38803" s="4" t="s">
        <v>11</v>
      </c>
      <c r="AM38803" s="4" t="s">
        <v>11</v>
      </c>
      <c r="AN38803" s="4" t="s">
        <v>15</v>
      </c>
      <c r="AO38803" s="4" t="s">
        <v>8</v>
      </c>
      <c r="AP38803" s="4" t="s">
        <v>1859</v>
      </c>
      <c r="AQ38803" s="4" t="s">
        <v>11</v>
      </c>
      <c r="AR38803" s="4" t="s">
        <v>11</v>
      </c>
      <c r="AS38803" s="4" t="s">
        <v>15</v>
      </c>
      <c r="AT38803" s="4" t="s">
        <v>8</v>
      </c>
      <c r="AU38803" s="4" t="s">
        <v>1859</v>
      </c>
      <c r="AV38803" s="4" t="s">
        <v>11</v>
      </c>
      <c r="AW38803" s="4" t="s">
        <v>11</v>
      </c>
      <c r="AX38803" s="4" t="s">
        <v>15</v>
      </c>
      <c r="AY38803" s="4" t="s">
        <v>8</v>
      </c>
      <c r="AZ38803" s="4" t="s">
        <v>1859</v>
      </c>
      <c r="BA38803" s="4" t="s">
        <v>11</v>
      </c>
      <c r="BB38803" s="4" t="s">
        <v>11</v>
      </c>
      <c r="BC38803" s="4" t="s">
        <v>15</v>
      </c>
      <c r="BD38803" s="4" t="s">
        <v>8</v>
      </c>
      <c r="BE38803" s="4" t="s">
        <v>1859</v>
      </c>
      <c r="BF38803" s="4" t="s">
        <v>11</v>
      </c>
      <c r="BG38803" s="4" t="s">
        <v>11</v>
      </c>
      <c r="BH38803" s="4" t="s">
        <v>15</v>
      </c>
      <c r="BI38803" s="4" t="s">
        <v>8</v>
      </c>
      <c r="BJ38803" s="4" t="s">
        <v>1859</v>
      </c>
      <c r="BK38803" s="4" t="s">
        <v>11</v>
      </c>
      <c r="BL38803" s="4" t="s">
        <v>11</v>
      </c>
      <c r="BM38803" s="4" t="s">
        <v>15</v>
      </c>
      <c r="BN38803" s="4" t="s">
        <v>8</v>
      </c>
      <c r="BO38803" s="4" t="s">
        <v>1859</v>
      </c>
      <c r="BP38803" s="4" t="s">
        <v>11</v>
      </c>
      <c r="BQ38803" s="4" t="s">
        <v>11</v>
      </c>
      <c r="BR38803" s="4" t="s">
        <v>15</v>
      </c>
      <c r="BS38803" s="4" t="s">
        <v>8</v>
      </c>
      <c r="BT38803" s="4" t="s">
        <v>1859</v>
      </c>
      <c r="BU38803" s="4" t="s">
        <v>11</v>
      </c>
      <c r="BV38803" s="4" t="s">
        <v>11</v>
      </c>
      <c r="BW38803" s="4" t="s">
        <v>15</v>
      </c>
      <c r="BX38803" s="4" t="s">
        <v>8</v>
      </c>
      <c r="BY38803" s="4" t="s">
        <v>1859</v>
      </c>
      <c r="BZ38803" s="4" t="s">
        <v>11</v>
      </c>
      <c r="CA38803" s="4" t="s">
        <v>11</v>
      </c>
      <c r="CB38803" s="4" t="s">
        <v>15</v>
      </c>
      <c r="CC38803" s="4" t="s">
        <v>8</v>
      </c>
      <c r="CD38803" s="4" t="s">
        <v>1859</v>
      </c>
      <c r="CE38803" s="4" t="s">
        <v>11</v>
      </c>
      <c r="CF38803" s="4" t="s">
        <v>11</v>
      </c>
      <c r="CG38803" s="4" t="s">
        <v>15</v>
      </c>
      <c r="CH38803" s="4" t="s">
        <v>8</v>
      </c>
      <c r="CI38803" s="4" t="s">
        <v>1859</v>
      </c>
      <c r="CJ38803" s="4" t="s">
        <v>11</v>
      </c>
      <c r="CK38803" s="4" t="s">
        <v>11</v>
      </c>
      <c r="CL38803" s="4" t="s">
        <v>15</v>
      </c>
      <c r="CM38803" s="4" t="s">
        <v>8</v>
      </c>
      <c r="CN38803" s="4" t="s">
        <v>1859</v>
      </c>
      <c r="CO38803" s="4" t="s">
        <v>11</v>
      </c>
      <c r="CP38803" s="4" t="s">
        <v>11</v>
      </c>
      <c r="CQ38803" s="4" t="s">
        <v>15</v>
      </c>
      <c r="CR38803" s="4" t="s">
        <v>8</v>
      </c>
      <c r="CS38803" s="4" t="s">
        <v>1859</v>
      </c>
      <c r="CT38803" s="4" t="s">
        <v>11</v>
      </c>
      <c r="CU38803" s="4" t="s">
        <v>11</v>
      </c>
      <c r="CV38803" s="4" t="s">
        <v>15</v>
      </c>
      <c r="CW38803" s="4" t="s">
        <v>8</v>
      </c>
      <c r="CX38803" s="4" t="s">
        <v>1859</v>
      </c>
      <c r="CY38803" s="4" t="s">
        <v>11</v>
      </c>
      <c r="CZ38803" s="4" t="s">
        <v>11</v>
      </c>
      <c r="DA38803" s="4" t="s">
        <v>15</v>
      </c>
      <c r="DB38803" s="4" t="s">
        <v>8</v>
      </c>
      <c r="DC38803" s="4" t="s">
        <v>1859</v>
      </c>
      <c r="DD38803" s="4" t="s">
        <v>11</v>
      </c>
      <c r="DE38803" s="4" t="s">
        <v>11</v>
      </c>
      <c r="DF38803" s="4" t="s">
        <v>15</v>
      </c>
      <c r="DG38803" s="4" t="s">
        <v>8</v>
      </c>
      <c r="DH38803" s="4" t="s">
        <v>1859</v>
      </c>
      <c r="DI38803" s="4" t="s">
        <v>11</v>
      </c>
      <c r="DJ38803" s="4" t="s">
        <v>11</v>
      </c>
      <c r="DK38803" s="4" t="s">
        <v>15</v>
      </c>
      <c r="DL38803" s="4" t="s">
        <v>8</v>
      </c>
      <c r="DM38803" s="4" t="s">
        <v>1859</v>
      </c>
      <c r="DN38803" s="4" t="s">
        <v>11</v>
      </c>
      <c r="DO38803" s="4" t="s">
        <v>11</v>
      </c>
      <c r="DP38803" s="4" t="s">
        <v>15</v>
      </c>
      <c r="DQ38803" s="4" t="s">
        <v>8</v>
      </c>
      <c r="DR38803" s="4" t="s">
        <v>1859</v>
      </c>
      <c r="DS38803" s="4" t="s">
        <v>11</v>
      </c>
      <c r="DT38803" s="4" t="s">
        <v>11</v>
      </c>
      <c r="DU38803" s="4" t="s">
        <v>15</v>
      </c>
      <c r="DV38803" s="4" t="s">
        <v>8</v>
      </c>
      <c r="DW38803" s="4" t="s">
        <v>1859</v>
      </c>
      <c r="DX38803" s="4" t="s">
        <v>11</v>
      </c>
      <c r="DY38803" s="4" t="s">
        <v>11</v>
      </c>
      <c r="DZ38803" s="4" t="s">
        <v>15</v>
      </c>
      <c r="EA38803" s="4" t="s">
        <v>8</v>
      </c>
      <c r="EB38803" s="4" t="s">
        <v>1859</v>
      </c>
      <c r="EC38803" s="4" t="s">
        <v>11</v>
      </c>
      <c r="ED38803" s="4" t="s">
        <v>11</v>
      </c>
      <c r="EE38803" s="4" t="s">
        <v>15</v>
      </c>
      <c r="EF38803" s="4" t="s">
        <v>8</v>
      </c>
      <c r="EG38803" s="4" t="s">
        <v>1859</v>
      </c>
      <c r="EH38803" s="4" t="s">
        <v>11</v>
      </c>
      <c r="EI38803" s="4" t="s">
        <v>11</v>
      </c>
      <c r="EJ38803" s="4" t="s">
        <v>15</v>
      </c>
      <c r="EK38803" s="4" t="s">
        <v>8</v>
      </c>
      <c r="EL38803" s="4" t="s">
        <v>1859</v>
      </c>
      <c r="EM38803" s="4" t="s">
        <v>11</v>
      </c>
      <c r="EN38803" s="4" t="s">
        <v>11</v>
      </c>
      <c r="EO38803" s="4" t="s">
        <v>15</v>
      </c>
      <c r="EP38803" s="4" t="s">
        <v>8</v>
      </c>
      <c r="EQ38803" s="4" t="s">
        <v>1859</v>
      </c>
      <c r="ER38803" s="4" t="s">
        <v>11</v>
      </c>
      <c r="ES38803" s="4" t="s">
        <v>11</v>
      </c>
      <c r="ET38803" s="4" t="s">
        <v>15</v>
      </c>
      <c r="EU38803" s="4" t="s">
        <v>8</v>
      </c>
      <c r="EV38803" s="4" t="s">
        <v>1859</v>
      </c>
      <c r="EW38803" s="4" t="s">
        <v>11</v>
      </c>
      <c r="EX38803" s="4" t="s">
        <v>11</v>
      </c>
      <c r="EY38803" s="4" t="s">
        <v>15</v>
      </c>
      <c r="EZ38803" s="4" t="s">
        <v>8</v>
      </c>
      <c r="FA38803" s="4" t="s">
        <v>1859</v>
      </c>
      <c r="FB38803" s="4" t="s">
        <v>11</v>
      </c>
      <c r="FC38803" s="4" t="s">
        <v>11</v>
      </c>
      <c r="FD38803" s="4" t="s">
        <v>15</v>
      </c>
      <c r="FE38803" s="4" t="s">
        <v>8</v>
      </c>
      <c r="FF38803" s="4" t="s">
        <v>1859</v>
      </c>
      <c r="FG38803" s="4" t="s">
        <v>11</v>
      </c>
      <c r="FH38803" s="4" t="s">
        <v>11</v>
      </c>
      <c r="FI38803" s="4" t="s">
        <v>15</v>
      </c>
      <c r="FJ38803" s="4" t="s">
        <v>8</v>
      </c>
      <c r="FK38803" s="4" t="s">
        <v>1859</v>
      </c>
      <c r="FL38803" s="4" t="s">
        <v>11</v>
      </c>
      <c r="FM38803" s="4" t="s">
        <v>11</v>
      </c>
      <c r="FN38803" s="4" t="s">
        <v>15</v>
      </c>
      <c r="FO38803" s="4" t="s">
        <v>8</v>
      </c>
      <c r="FP38803" s="4" t="s">
        <v>1859</v>
      </c>
      <c r="FQ38803" s="4" t="s">
        <v>11</v>
      </c>
      <c r="FR38803" s="4" t="s">
        <v>11</v>
      </c>
      <c r="FS38803" s="4" t="s">
        <v>15</v>
      </c>
      <c r="FT38803" s="4" t="s">
        <v>8</v>
      </c>
      <c r="FU38803" s="4" t="s">
        <v>1859</v>
      </c>
      <c r="FV38803" s="4" t="s">
        <v>11</v>
      </c>
      <c r="FW38803" s="4" t="s">
        <v>11</v>
      </c>
      <c r="FX38803" s="4" t="s">
        <v>15</v>
      </c>
      <c r="FY38803" s="4" t="s">
        <v>8</v>
      </c>
      <c r="FZ38803" s="4" t="s">
        <v>1859</v>
      </c>
      <c r="GA38803" s="4" t="s">
        <v>11</v>
      </c>
      <c r="GB38803" s="4" t="s">
        <v>11</v>
      </c>
      <c r="GC38803" s="4" t="s">
        <v>15</v>
      </c>
      <c r="GD38803" s="4" t="s">
        <v>8</v>
      </c>
      <c r="GE38803" s="4" t="s">
        <v>1859</v>
      </c>
      <c r="GF38803" s="4" t="s">
        <v>11</v>
      </c>
      <c r="GG38803" s="4" t="s">
        <v>11</v>
      </c>
      <c r="GH38803" s="4" t="s">
        <v>15</v>
      </c>
      <c r="GI38803" s="4" t="s">
        <v>8</v>
      </c>
      <c r="GJ38803" s="4" t="s">
        <v>1859</v>
      </c>
      <c r="GK38803" s="4" t="s">
        <v>11</v>
      </c>
      <c r="GL38803" s="4" t="s">
        <v>11</v>
      </c>
      <c r="GM38803" s="4" t="s">
        <v>15</v>
      </c>
      <c r="GN38803" s="4" t="s">
        <v>8</v>
      </c>
      <c r="GO38803" s="4" t="s">
        <v>1859</v>
      </c>
      <c r="GP38803" s="4" t="s">
        <v>11</v>
      </c>
      <c r="GQ38803" s="4" t="s">
        <v>11</v>
      </c>
      <c r="GR38803" s="4" t="s">
        <v>15</v>
      </c>
      <c r="GS38803" s="4" t="s">
        <v>8</v>
      </c>
      <c r="GT38803" s="4" t="s">
        <v>1859</v>
      </c>
      <c r="GU38803" s="4" t="s">
        <v>11</v>
      </c>
      <c r="GV38803" s="4" t="s">
        <v>11</v>
      </c>
      <c r="GW38803" s="4" t="s">
        <v>15</v>
      </c>
      <c r="GX38803" s="4" t="s">
        <v>8</v>
      </c>
      <c r="GY38803" s="4" t="s">
        <v>1859</v>
      </c>
      <c r="GZ38803" s="4" t="s">
        <v>11</v>
      </c>
      <c r="HA38803" s="4" t="s">
        <v>11</v>
      </c>
      <c r="HB38803" s="4" t="s">
        <v>15</v>
      </c>
      <c r="HC38803" s="4" t="s">
        <v>8</v>
      </c>
      <c r="HD38803" s="4" t="s">
        <v>1859</v>
      </c>
      <c r="HE38803" s="4" t="s">
        <v>11</v>
      </c>
      <c r="HF38803" s="4" t="s">
        <v>11</v>
      </c>
      <c r="HG38803" s="4" t="s">
        <v>15</v>
      </c>
      <c r="HH38803" s="4" t="s">
        <v>8</v>
      </c>
      <c r="HI38803" s="4" t="s">
        <v>1859</v>
      </c>
      <c r="HJ38803" s="4" t="s">
        <v>11</v>
      </c>
      <c r="HK38803" s="4" t="s">
        <v>11</v>
      </c>
      <c r="HL38803" s="4" t="s">
        <v>15</v>
      </c>
      <c r="HM38803" s="4" t="s">
        <v>8</v>
      </c>
      <c r="HN38803" s="4" t="s">
        <v>1859</v>
      </c>
      <c r="HO38803" s="4" t="s">
        <v>11</v>
      </c>
      <c r="HP38803" s="4" t="s">
        <v>11</v>
      </c>
      <c r="HQ38803" s="4" t="s">
        <v>15</v>
      </c>
      <c r="HR38803" s="4" t="s">
        <v>8</v>
      </c>
      <c r="HS38803" s="4" t="s">
        <v>1859</v>
      </c>
      <c r="HT38803" s="4" t="s">
        <v>11</v>
      </c>
      <c r="HU38803" s="4" t="s">
        <v>11</v>
      </c>
      <c r="HV38803" s="4" t="s">
        <v>15</v>
      </c>
      <c r="HW38803" s="4" t="s">
        <v>8</v>
      </c>
      <c r="HX38803" s="4" t="s">
        <v>1859</v>
      </c>
      <c r="HY38803" s="4" t="s">
        <v>11</v>
      </c>
      <c r="HZ38803" s="4" t="s">
        <v>11</v>
      </c>
      <c r="IA38803" s="4" t="s">
        <v>15</v>
      </c>
      <c r="IB38803" s="4" t="s">
        <v>8</v>
      </c>
      <c r="IC38803" s="4" t="s">
        <v>1859</v>
      </c>
      <c r="ID38803" s="4" t="s">
        <v>11</v>
      </c>
      <c r="IE38803" s="4" t="s">
        <v>11</v>
      </c>
      <c r="IF38803" s="4" t="s">
        <v>15</v>
      </c>
      <c r="IG38803" s="4" t="s">
        <v>8</v>
      </c>
      <c r="IH38803" s="4" t="s">
        <v>1859</v>
      </c>
      <c r="II38803" s="4" t="s">
        <v>11</v>
      </c>
      <c r="IJ38803" s="4" t="s">
        <v>11</v>
      </c>
      <c r="IK38803" s="4" t="s">
        <v>15</v>
      </c>
      <c r="IL38803" s="4" t="s">
        <v>8</v>
      </c>
      <c r="IM38803" s="4" t="s">
        <v>1859</v>
      </c>
      <c r="IN38803" s="4" t="s">
        <v>11</v>
      </c>
      <c r="IO38803" s="4" t="s">
        <v>11</v>
      </c>
      <c r="IP38803" s="4" t="s">
        <v>15</v>
      </c>
      <c r="IQ38803" s="4" t="s">
        <v>8</v>
      </c>
      <c r="IR38803" s="4" t="s">
        <v>1859</v>
      </c>
      <c r="IS38803" s="4" t="s">
        <v>11</v>
      </c>
      <c r="IT38803" s="4" t="s">
        <v>11</v>
      </c>
      <c r="IU38803" s="4" t="s">
        <v>15</v>
      </c>
      <c r="IV38803" s="4" t="s">
        <v>8</v>
      </c>
      <c r="IW38803" s="4" t="s">
        <v>1859</v>
      </c>
      <c r="IX38803" s="4" t="s">
        <v>11</v>
      </c>
      <c r="IY38803" s="4" t="s">
        <v>11</v>
      </c>
      <c r="IZ38803" s="4" t="s">
        <v>15</v>
      </c>
      <c r="JA38803" s="4" t="s">
        <v>8</v>
      </c>
      <c r="JB38803" s="4" t="s">
        <v>1859</v>
      </c>
      <c r="JC38803" s="4" t="s">
        <v>11</v>
      </c>
      <c r="JD38803" s="4" t="s">
        <v>11</v>
      </c>
      <c r="JE38803" s="4" t="s">
        <v>15</v>
      </c>
      <c r="JF38803" s="4" t="s">
        <v>8</v>
      </c>
      <c r="JG38803" s="4" t="s">
        <v>1859</v>
      </c>
      <c r="JH38803" s="4" t="s">
        <v>11</v>
      </c>
      <c r="JI38803" s="4" t="s">
        <v>11</v>
      </c>
      <c r="JJ38803" s="4" t="s">
        <v>15</v>
      </c>
      <c r="JK38803" s="4" t="s">
        <v>8</v>
      </c>
      <c r="JL38803" s="4" t="s">
        <v>1859</v>
      </c>
      <c r="JM38803" s="4" t="s">
        <v>11</v>
      </c>
      <c r="JN38803" s="4" t="s">
        <v>11</v>
      </c>
      <c r="JO38803" s="4" t="s">
        <v>15</v>
      </c>
      <c r="JP38803" s="4" t="s">
        <v>8</v>
      </c>
      <c r="JQ38803" s="4" t="s">
        <v>1859</v>
      </c>
      <c r="JR38803" s="4" t="s">
        <v>11</v>
      </c>
      <c r="JS38803" s="4" t="s">
        <v>11</v>
      </c>
      <c r="JT38803" s="4" t="s">
        <v>15</v>
      </c>
      <c r="JU38803" s="4" t="s">
        <v>8</v>
      </c>
      <c r="JV38803" s="4" t="s">
        <v>1859</v>
      </c>
      <c r="JW38803" s="4" t="s">
        <v>11</v>
      </c>
      <c r="JX38803" s="4" t="s">
        <v>11</v>
      </c>
      <c r="JY38803" s="4" t="s">
        <v>15</v>
      </c>
      <c r="JZ38803" s="4" t="s">
        <v>8</v>
      </c>
      <c r="KA38803" s="4" t="s">
        <v>1859</v>
      </c>
      <c r="KB38803" s="4" t="s">
        <v>11</v>
      </c>
      <c r="KC38803" s="4" t="s">
        <v>11</v>
      </c>
      <c r="KD38803" s="4" t="s">
        <v>15</v>
      </c>
      <c r="KE38803" s="4" t="s">
        <v>8</v>
      </c>
      <c r="KF38803" s="4" t="s">
        <v>1859</v>
      </c>
      <c r="KG38803" s="4" t="s">
        <v>11</v>
      </c>
      <c r="KH38803" s="4" t="s">
        <v>11</v>
      </c>
      <c r="KI38803" s="4" t="s">
        <v>15</v>
      </c>
      <c r="KJ38803" s="4" t="s">
        <v>8</v>
      </c>
      <c r="KK38803" s="4" t="s">
        <v>1859</v>
      </c>
      <c r="KL38803" s="4" t="s">
        <v>11</v>
      </c>
      <c r="KM38803" s="4" t="s">
        <v>11</v>
      </c>
      <c r="KN38803" s="4" t="s">
        <v>15</v>
      </c>
      <c r="KO38803" s="4" t="s">
        <v>8</v>
      </c>
      <c r="KP38803" s="4" t="s">
        <v>1859</v>
      </c>
      <c r="KQ38803" s="4" t="s">
        <v>11</v>
      </c>
      <c r="KR38803" s="4" t="s">
        <v>11</v>
      </c>
      <c r="KS38803" s="4" t="s">
        <v>15</v>
      </c>
      <c r="KT38803" s="4" t="s">
        <v>8</v>
      </c>
      <c r="KU38803" s="4" t="s">
        <v>1859</v>
      </c>
      <c r="KV38803" s="4" t="s">
        <v>11</v>
      </c>
      <c r="KW38803" s="4" t="s">
        <v>11</v>
      </c>
      <c r="KX38803" s="4" t="s">
        <v>15</v>
      </c>
      <c r="KY38803" s="4" t="s">
        <v>8</v>
      </c>
      <c r="KZ38803" s="4" t="s">
        <v>1859</v>
      </c>
      <c r="LA38803" s="4" t="s">
        <v>11</v>
      </c>
      <c r="LB38803" s="4" t="s">
        <v>11</v>
      </c>
      <c r="LC38803" s="4" t="s">
        <v>15</v>
      </c>
      <c r="LD38803" s="4" t="s">
        <v>8</v>
      </c>
      <c r="LE38803" s="4" t="s">
        <v>1859</v>
      </c>
    </row>
    <row r="38804" spans="1:367">
      <c r="A38804" t="n">
        <v>402384</v>
      </c>
      <c r="B38804" s="85" t="n">
        <v>257</v>
      </c>
      <c r="C38804" s="7" t="n">
        <v>7</v>
      </c>
      <c r="D38804" s="7" t="n">
        <v>65533</v>
      </c>
      <c r="E38804" s="7" t="n">
        <v>64026</v>
      </c>
      <c r="F38804" s="7" t="s">
        <v>16</v>
      </c>
      <c r="G38804" s="7" t="n">
        <f t="normal" ca="1">32-LENB(INDIRECT(ADDRESS(38804,6)))</f>
        <v>0</v>
      </c>
      <c r="H38804" s="7" t="n">
        <v>7</v>
      </c>
      <c r="I38804" s="7" t="n">
        <v>65533</v>
      </c>
      <c r="J38804" s="7" t="n">
        <v>64027</v>
      </c>
      <c r="K38804" s="7" t="s">
        <v>16</v>
      </c>
      <c r="L38804" s="7" t="n">
        <f t="normal" ca="1">32-LENB(INDIRECT(ADDRESS(38804,11)))</f>
        <v>0</v>
      </c>
      <c r="M38804" s="7" t="n">
        <v>7</v>
      </c>
      <c r="N38804" s="7" t="n">
        <v>65533</v>
      </c>
      <c r="O38804" s="7" t="n">
        <v>64028</v>
      </c>
      <c r="P38804" s="7" t="s">
        <v>16</v>
      </c>
      <c r="Q38804" s="7" t="n">
        <f t="normal" ca="1">32-LENB(INDIRECT(ADDRESS(38804,16)))</f>
        <v>0</v>
      </c>
      <c r="R38804" s="7" t="n">
        <v>7</v>
      </c>
      <c r="S38804" s="7" t="n">
        <v>65533</v>
      </c>
      <c r="T38804" s="7" t="n">
        <v>64029</v>
      </c>
      <c r="U38804" s="7" t="s">
        <v>16</v>
      </c>
      <c r="V38804" s="7" t="n">
        <f t="normal" ca="1">32-LENB(INDIRECT(ADDRESS(38804,21)))</f>
        <v>0</v>
      </c>
      <c r="W38804" s="7" t="n">
        <v>7</v>
      </c>
      <c r="X38804" s="7" t="n">
        <v>65533</v>
      </c>
      <c r="Y38804" s="7" t="n">
        <v>64030</v>
      </c>
      <c r="Z38804" s="7" t="s">
        <v>16</v>
      </c>
      <c r="AA38804" s="7" t="n">
        <f t="normal" ca="1">32-LENB(INDIRECT(ADDRESS(38804,26)))</f>
        <v>0</v>
      </c>
      <c r="AB38804" s="7" t="n">
        <v>7</v>
      </c>
      <c r="AC38804" s="7" t="n">
        <v>65533</v>
      </c>
      <c r="AD38804" s="7" t="n">
        <v>64031</v>
      </c>
      <c r="AE38804" s="7" t="s">
        <v>16</v>
      </c>
      <c r="AF38804" s="7" t="n">
        <f t="normal" ca="1">32-LENB(INDIRECT(ADDRESS(38804,31)))</f>
        <v>0</v>
      </c>
      <c r="AG38804" s="7" t="n">
        <v>7</v>
      </c>
      <c r="AH38804" s="7" t="n">
        <v>65533</v>
      </c>
      <c r="AI38804" s="7" t="n">
        <v>64032</v>
      </c>
      <c r="AJ38804" s="7" t="s">
        <v>16</v>
      </c>
      <c r="AK38804" s="7" t="n">
        <f t="normal" ca="1">32-LENB(INDIRECT(ADDRESS(38804,36)))</f>
        <v>0</v>
      </c>
      <c r="AL38804" s="7" t="n">
        <v>7</v>
      </c>
      <c r="AM38804" s="7" t="n">
        <v>65533</v>
      </c>
      <c r="AN38804" s="7" t="n">
        <v>64033</v>
      </c>
      <c r="AO38804" s="7" t="s">
        <v>16</v>
      </c>
      <c r="AP38804" s="7" t="n">
        <f t="normal" ca="1">32-LENB(INDIRECT(ADDRESS(38804,41)))</f>
        <v>0</v>
      </c>
      <c r="AQ38804" s="7" t="n">
        <v>7</v>
      </c>
      <c r="AR38804" s="7" t="n">
        <v>65533</v>
      </c>
      <c r="AS38804" s="7" t="n">
        <v>64034</v>
      </c>
      <c r="AT38804" s="7" t="s">
        <v>16</v>
      </c>
      <c r="AU38804" s="7" t="n">
        <f t="normal" ca="1">32-LENB(INDIRECT(ADDRESS(38804,46)))</f>
        <v>0</v>
      </c>
      <c r="AV38804" s="7" t="n">
        <v>7</v>
      </c>
      <c r="AW38804" s="7" t="n">
        <v>65533</v>
      </c>
      <c r="AX38804" s="7" t="n">
        <v>64035</v>
      </c>
      <c r="AY38804" s="7" t="s">
        <v>16</v>
      </c>
      <c r="AZ38804" s="7" t="n">
        <f t="normal" ca="1">32-LENB(INDIRECT(ADDRESS(38804,51)))</f>
        <v>0</v>
      </c>
      <c r="BA38804" s="7" t="n">
        <v>7</v>
      </c>
      <c r="BB38804" s="7" t="n">
        <v>65533</v>
      </c>
      <c r="BC38804" s="7" t="n">
        <v>63780</v>
      </c>
      <c r="BD38804" s="7" t="s">
        <v>16</v>
      </c>
      <c r="BE38804" s="7" t="n">
        <f t="normal" ca="1">32-LENB(INDIRECT(ADDRESS(38804,56)))</f>
        <v>0</v>
      </c>
      <c r="BF38804" s="7" t="n">
        <v>7</v>
      </c>
      <c r="BG38804" s="7" t="n">
        <v>65533</v>
      </c>
      <c r="BH38804" s="7" t="n">
        <v>64036</v>
      </c>
      <c r="BI38804" s="7" t="s">
        <v>16</v>
      </c>
      <c r="BJ38804" s="7" t="n">
        <f t="normal" ca="1">32-LENB(INDIRECT(ADDRESS(38804,61)))</f>
        <v>0</v>
      </c>
      <c r="BK38804" s="7" t="n">
        <v>7</v>
      </c>
      <c r="BL38804" s="7" t="n">
        <v>65533</v>
      </c>
      <c r="BM38804" s="7" t="n">
        <v>64037</v>
      </c>
      <c r="BN38804" s="7" t="s">
        <v>16</v>
      </c>
      <c r="BO38804" s="7" t="n">
        <f t="normal" ca="1">32-LENB(INDIRECT(ADDRESS(38804,66)))</f>
        <v>0</v>
      </c>
      <c r="BP38804" s="7" t="n">
        <v>7</v>
      </c>
      <c r="BQ38804" s="7" t="n">
        <v>65533</v>
      </c>
      <c r="BR38804" s="7" t="n">
        <v>64038</v>
      </c>
      <c r="BS38804" s="7" t="s">
        <v>16</v>
      </c>
      <c r="BT38804" s="7" t="n">
        <f t="normal" ca="1">32-LENB(INDIRECT(ADDRESS(38804,71)))</f>
        <v>0</v>
      </c>
      <c r="BU38804" s="7" t="n">
        <v>7</v>
      </c>
      <c r="BV38804" s="7" t="n">
        <v>65533</v>
      </c>
      <c r="BW38804" s="7" t="n">
        <v>64039</v>
      </c>
      <c r="BX38804" s="7" t="s">
        <v>16</v>
      </c>
      <c r="BY38804" s="7" t="n">
        <f t="normal" ca="1">32-LENB(INDIRECT(ADDRESS(38804,76)))</f>
        <v>0</v>
      </c>
      <c r="BZ38804" s="7" t="n">
        <v>7</v>
      </c>
      <c r="CA38804" s="7" t="n">
        <v>65533</v>
      </c>
      <c r="CB38804" s="7" t="n">
        <v>64040</v>
      </c>
      <c r="CC38804" s="7" t="s">
        <v>16</v>
      </c>
      <c r="CD38804" s="7" t="n">
        <f t="normal" ca="1">32-LENB(INDIRECT(ADDRESS(38804,81)))</f>
        <v>0</v>
      </c>
      <c r="CE38804" s="7" t="n">
        <v>7</v>
      </c>
      <c r="CF38804" s="7" t="n">
        <v>65533</v>
      </c>
      <c r="CG38804" s="7" t="n">
        <v>64041</v>
      </c>
      <c r="CH38804" s="7" t="s">
        <v>16</v>
      </c>
      <c r="CI38804" s="7" t="n">
        <f t="normal" ca="1">32-LENB(INDIRECT(ADDRESS(38804,86)))</f>
        <v>0</v>
      </c>
      <c r="CJ38804" s="7" t="n">
        <v>7</v>
      </c>
      <c r="CK38804" s="7" t="n">
        <v>65533</v>
      </c>
      <c r="CL38804" s="7" t="n">
        <v>64042</v>
      </c>
      <c r="CM38804" s="7" t="s">
        <v>16</v>
      </c>
      <c r="CN38804" s="7" t="n">
        <f t="normal" ca="1">32-LENB(INDIRECT(ADDRESS(38804,91)))</f>
        <v>0</v>
      </c>
      <c r="CO38804" s="7" t="n">
        <v>7</v>
      </c>
      <c r="CP38804" s="7" t="n">
        <v>65533</v>
      </c>
      <c r="CQ38804" s="7" t="n">
        <v>64043</v>
      </c>
      <c r="CR38804" s="7" t="s">
        <v>16</v>
      </c>
      <c r="CS38804" s="7" t="n">
        <f t="normal" ca="1">32-LENB(INDIRECT(ADDRESS(38804,96)))</f>
        <v>0</v>
      </c>
      <c r="CT38804" s="7" t="n">
        <v>7</v>
      </c>
      <c r="CU38804" s="7" t="n">
        <v>65533</v>
      </c>
      <c r="CV38804" s="7" t="n">
        <v>64044</v>
      </c>
      <c r="CW38804" s="7" t="s">
        <v>16</v>
      </c>
      <c r="CX38804" s="7" t="n">
        <f t="normal" ca="1">32-LENB(INDIRECT(ADDRESS(38804,101)))</f>
        <v>0</v>
      </c>
      <c r="CY38804" s="7" t="n">
        <v>7</v>
      </c>
      <c r="CZ38804" s="7" t="n">
        <v>65533</v>
      </c>
      <c r="DA38804" s="7" t="n">
        <v>64045</v>
      </c>
      <c r="DB38804" s="7" t="s">
        <v>16</v>
      </c>
      <c r="DC38804" s="7" t="n">
        <f t="normal" ca="1">32-LENB(INDIRECT(ADDRESS(38804,106)))</f>
        <v>0</v>
      </c>
      <c r="DD38804" s="7" t="n">
        <v>7</v>
      </c>
      <c r="DE38804" s="7" t="n">
        <v>65533</v>
      </c>
      <c r="DF38804" s="7" t="n">
        <v>11800</v>
      </c>
      <c r="DG38804" s="7" t="s">
        <v>16</v>
      </c>
      <c r="DH38804" s="7" t="n">
        <f t="normal" ca="1">32-LENB(INDIRECT(ADDRESS(38804,111)))</f>
        <v>0</v>
      </c>
      <c r="DI38804" s="7" t="n">
        <v>7</v>
      </c>
      <c r="DJ38804" s="7" t="n">
        <v>65533</v>
      </c>
      <c r="DK38804" s="7" t="n">
        <v>11801</v>
      </c>
      <c r="DL38804" s="7" t="s">
        <v>16</v>
      </c>
      <c r="DM38804" s="7" t="n">
        <f t="normal" ca="1">32-LENB(INDIRECT(ADDRESS(38804,116)))</f>
        <v>0</v>
      </c>
      <c r="DN38804" s="7" t="n">
        <v>7</v>
      </c>
      <c r="DO38804" s="7" t="n">
        <v>65533</v>
      </c>
      <c r="DP38804" s="7" t="n">
        <v>64046</v>
      </c>
      <c r="DQ38804" s="7" t="s">
        <v>16</v>
      </c>
      <c r="DR38804" s="7" t="n">
        <f t="normal" ca="1">32-LENB(INDIRECT(ADDRESS(38804,121)))</f>
        <v>0</v>
      </c>
      <c r="DS38804" s="7" t="n">
        <v>7</v>
      </c>
      <c r="DT38804" s="7" t="n">
        <v>65533</v>
      </c>
      <c r="DU38804" s="7" t="n">
        <v>64047</v>
      </c>
      <c r="DV38804" s="7" t="s">
        <v>16</v>
      </c>
      <c r="DW38804" s="7" t="n">
        <f t="normal" ca="1">32-LENB(INDIRECT(ADDRESS(38804,126)))</f>
        <v>0</v>
      </c>
      <c r="DX38804" s="7" t="n">
        <v>7</v>
      </c>
      <c r="DY38804" s="7" t="n">
        <v>65533</v>
      </c>
      <c r="DZ38804" s="7" t="n">
        <v>64048</v>
      </c>
      <c r="EA38804" s="7" t="s">
        <v>16</v>
      </c>
      <c r="EB38804" s="7" t="n">
        <f t="normal" ca="1">32-LENB(INDIRECT(ADDRESS(38804,131)))</f>
        <v>0</v>
      </c>
      <c r="EC38804" s="7" t="n">
        <v>7</v>
      </c>
      <c r="ED38804" s="7" t="n">
        <v>65533</v>
      </c>
      <c r="EE38804" s="7" t="n">
        <v>11802</v>
      </c>
      <c r="EF38804" s="7" t="s">
        <v>16</v>
      </c>
      <c r="EG38804" s="7" t="n">
        <f t="normal" ca="1">32-LENB(INDIRECT(ADDRESS(38804,136)))</f>
        <v>0</v>
      </c>
      <c r="EH38804" s="7" t="n">
        <v>7</v>
      </c>
      <c r="EI38804" s="7" t="n">
        <v>65533</v>
      </c>
      <c r="EJ38804" s="7" t="n">
        <v>11803</v>
      </c>
      <c r="EK38804" s="7" t="s">
        <v>16</v>
      </c>
      <c r="EL38804" s="7" t="n">
        <f t="normal" ca="1">32-LENB(INDIRECT(ADDRESS(38804,141)))</f>
        <v>0</v>
      </c>
      <c r="EM38804" s="7" t="n">
        <v>7</v>
      </c>
      <c r="EN38804" s="7" t="n">
        <v>65533</v>
      </c>
      <c r="EO38804" s="7" t="n">
        <v>64049</v>
      </c>
      <c r="EP38804" s="7" t="s">
        <v>16</v>
      </c>
      <c r="EQ38804" s="7" t="n">
        <f t="normal" ca="1">32-LENB(INDIRECT(ADDRESS(38804,146)))</f>
        <v>0</v>
      </c>
      <c r="ER38804" s="7" t="n">
        <v>7</v>
      </c>
      <c r="ES38804" s="7" t="n">
        <v>65533</v>
      </c>
      <c r="ET38804" s="7" t="n">
        <v>11804</v>
      </c>
      <c r="EU38804" s="7" t="s">
        <v>16</v>
      </c>
      <c r="EV38804" s="7" t="n">
        <f t="normal" ca="1">32-LENB(INDIRECT(ADDRESS(38804,151)))</f>
        <v>0</v>
      </c>
      <c r="EW38804" s="7" t="n">
        <v>7</v>
      </c>
      <c r="EX38804" s="7" t="n">
        <v>65533</v>
      </c>
      <c r="EY38804" s="7" t="n">
        <v>11805</v>
      </c>
      <c r="EZ38804" s="7" t="s">
        <v>16</v>
      </c>
      <c r="FA38804" s="7" t="n">
        <f t="normal" ca="1">32-LENB(INDIRECT(ADDRESS(38804,156)))</f>
        <v>0</v>
      </c>
      <c r="FB38804" s="7" t="n">
        <v>7</v>
      </c>
      <c r="FC38804" s="7" t="n">
        <v>65533</v>
      </c>
      <c r="FD38804" s="7" t="n">
        <v>11806</v>
      </c>
      <c r="FE38804" s="7" t="s">
        <v>16</v>
      </c>
      <c r="FF38804" s="7" t="n">
        <f t="normal" ca="1">32-LENB(INDIRECT(ADDRESS(38804,161)))</f>
        <v>0</v>
      </c>
      <c r="FG38804" s="7" t="n">
        <v>7</v>
      </c>
      <c r="FH38804" s="7" t="n">
        <v>65533</v>
      </c>
      <c r="FI38804" s="7" t="n">
        <v>11807</v>
      </c>
      <c r="FJ38804" s="7" t="s">
        <v>16</v>
      </c>
      <c r="FK38804" s="7" t="n">
        <f t="normal" ca="1">32-LENB(INDIRECT(ADDRESS(38804,166)))</f>
        <v>0</v>
      </c>
      <c r="FL38804" s="7" t="n">
        <v>7</v>
      </c>
      <c r="FM38804" s="7" t="n">
        <v>65533</v>
      </c>
      <c r="FN38804" s="7" t="n">
        <v>11808</v>
      </c>
      <c r="FO38804" s="7" t="s">
        <v>16</v>
      </c>
      <c r="FP38804" s="7" t="n">
        <f t="normal" ca="1">32-LENB(INDIRECT(ADDRESS(38804,171)))</f>
        <v>0</v>
      </c>
      <c r="FQ38804" s="7" t="n">
        <v>7</v>
      </c>
      <c r="FR38804" s="7" t="n">
        <v>65533</v>
      </c>
      <c r="FS38804" s="7" t="n">
        <v>65271</v>
      </c>
      <c r="FT38804" s="7" t="s">
        <v>16</v>
      </c>
      <c r="FU38804" s="7" t="n">
        <f t="normal" ca="1">32-LENB(INDIRECT(ADDRESS(38804,176)))</f>
        <v>0</v>
      </c>
      <c r="FV38804" s="7" t="n">
        <v>7</v>
      </c>
      <c r="FW38804" s="7" t="n">
        <v>65533</v>
      </c>
      <c r="FX38804" s="7" t="n">
        <v>11809</v>
      </c>
      <c r="FY38804" s="7" t="s">
        <v>16</v>
      </c>
      <c r="FZ38804" s="7" t="n">
        <f t="normal" ca="1">32-LENB(INDIRECT(ADDRESS(38804,181)))</f>
        <v>0</v>
      </c>
      <c r="GA38804" s="7" t="n">
        <v>7</v>
      </c>
      <c r="GB38804" s="7" t="n">
        <v>65533</v>
      </c>
      <c r="GC38804" s="7" t="n">
        <v>11810</v>
      </c>
      <c r="GD38804" s="7" t="s">
        <v>16</v>
      </c>
      <c r="GE38804" s="7" t="n">
        <f t="normal" ca="1">32-LENB(INDIRECT(ADDRESS(38804,186)))</f>
        <v>0</v>
      </c>
      <c r="GF38804" s="7" t="n">
        <v>7</v>
      </c>
      <c r="GG38804" s="7" t="n">
        <v>65533</v>
      </c>
      <c r="GH38804" s="7" t="n">
        <v>11811</v>
      </c>
      <c r="GI38804" s="7" t="s">
        <v>16</v>
      </c>
      <c r="GJ38804" s="7" t="n">
        <f t="normal" ca="1">32-LENB(INDIRECT(ADDRESS(38804,191)))</f>
        <v>0</v>
      </c>
      <c r="GK38804" s="7" t="n">
        <v>7</v>
      </c>
      <c r="GL38804" s="7" t="n">
        <v>65533</v>
      </c>
      <c r="GM38804" s="7" t="n">
        <v>64050</v>
      </c>
      <c r="GN38804" s="7" t="s">
        <v>16</v>
      </c>
      <c r="GO38804" s="7" t="n">
        <f t="normal" ca="1">32-LENB(INDIRECT(ADDRESS(38804,196)))</f>
        <v>0</v>
      </c>
      <c r="GP38804" s="7" t="n">
        <v>7</v>
      </c>
      <c r="GQ38804" s="7" t="n">
        <v>65533</v>
      </c>
      <c r="GR38804" s="7" t="n">
        <v>64051</v>
      </c>
      <c r="GS38804" s="7" t="s">
        <v>16</v>
      </c>
      <c r="GT38804" s="7" t="n">
        <f t="normal" ca="1">32-LENB(INDIRECT(ADDRESS(38804,201)))</f>
        <v>0</v>
      </c>
      <c r="GU38804" s="7" t="n">
        <v>7</v>
      </c>
      <c r="GV38804" s="7" t="n">
        <v>65533</v>
      </c>
      <c r="GW38804" s="7" t="n">
        <v>64052</v>
      </c>
      <c r="GX38804" s="7" t="s">
        <v>16</v>
      </c>
      <c r="GY38804" s="7" t="n">
        <f t="normal" ca="1">32-LENB(INDIRECT(ADDRESS(38804,206)))</f>
        <v>0</v>
      </c>
      <c r="GZ38804" s="7" t="n">
        <v>7</v>
      </c>
      <c r="HA38804" s="7" t="n">
        <v>65533</v>
      </c>
      <c r="HB38804" s="7" t="n">
        <v>64053</v>
      </c>
      <c r="HC38804" s="7" t="s">
        <v>16</v>
      </c>
      <c r="HD38804" s="7" t="n">
        <f t="normal" ca="1">32-LENB(INDIRECT(ADDRESS(38804,211)))</f>
        <v>0</v>
      </c>
      <c r="HE38804" s="7" t="n">
        <v>7</v>
      </c>
      <c r="HF38804" s="7" t="n">
        <v>65533</v>
      </c>
      <c r="HG38804" s="7" t="n">
        <v>11812</v>
      </c>
      <c r="HH38804" s="7" t="s">
        <v>16</v>
      </c>
      <c r="HI38804" s="7" t="n">
        <f t="normal" ca="1">32-LENB(INDIRECT(ADDRESS(38804,216)))</f>
        <v>0</v>
      </c>
      <c r="HJ38804" s="7" t="n">
        <v>7</v>
      </c>
      <c r="HK38804" s="7" t="n">
        <v>65533</v>
      </c>
      <c r="HL38804" s="7" t="n">
        <v>64054</v>
      </c>
      <c r="HM38804" s="7" t="s">
        <v>16</v>
      </c>
      <c r="HN38804" s="7" t="n">
        <f t="normal" ca="1">32-LENB(INDIRECT(ADDRESS(38804,221)))</f>
        <v>0</v>
      </c>
      <c r="HO38804" s="7" t="n">
        <v>7</v>
      </c>
      <c r="HP38804" s="7" t="n">
        <v>65533</v>
      </c>
      <c r="HQ38804" s="7" t="n">
        <v>64055</v>
      </c>
      <c r="HR38804" s="7" t="s">
        <v>16</v>
      </c>
      <c r="HS38804" s="7" t="n">
        <f t="normal" ca="1">32-LENB(INDIRECT(ADDRESS(38804,226)))</f>
        <v>0</v>
      </c>
      <c r="HT38804" s="7" t="n">
        <v>7</v>
      </c>
      <c r="HU38804" s="7" t="n">
        <v>65533</v>
      </c>
      <c r="HV38804" s="7" t="n">
        <v>64056</v>
      </c>
      <c r="HW38804" s="7" t="s">
        <v>16</v>
      </c>
      <c r="HX38804" s="7" t="n">
        <f t="normal" ca="1">32-LENB(INDIRECT(ADDRESS(38804,231)))</f>
        <v>0</v>
      </c>
      <c r="HY38804" s="7" t="n">
        <v>7</v>
      </c>
      <c r="HZ38804" s="7" t="n">
        <v>65533</v>
      </c>
      <c r="IA38804" s="7" t="n">
        <v>11813</v>
      </c>
      <c r="IB38804" s="7" t="s">
        <v>16</v>
      </c>
      <c r="IC38804" s="7" t="n">
        <f t="normal" ca="1">32-LENB(INDIRECT(ADDRESS(38804,236)))</f>
        <v>0</v>
      </c>
      <c r="ID38804" s="7" t="n">
        <v>7</v>
      </c>
      <c r="IE38804" s="7" t="n">
        <v>65533</v>
      </c>
      <c r="IF38804" s="7" t="n">
        <v>11814</v>
      </c>
      <c r="IG38804" s="7" t="s">
        <v>16</v>
      </c>
      <c r="IH38804" s="7" t="n">
        <f t="normal" ca="1">32-LENB(INDIRECT(ADDRESS(38804,241)))</f>
        <v>0</v>
      </c>
      <c r="II38804" s="7" t="n">
        <v>7</v>
      </c>
      <c r="IJ38804" s="7" t="n">
        <v>65533</v>
      </c>
      <c r="IK38804" s="7" t="n">
        <v>11815</v>
      </c>
      <c r="IL38804" s="7" t="s">
        <v>16</v>
      </c>
      <c r="IM38804" s="7" t="n">
        <f t="normal" ca="1">32-LENB(INDIRECT(ADDRESS(38804,246)))</f>
        <v>0</v>
      </c>
      <c r="IN38804" s="7" t="n">
        <v>7</v>
      </c>
      <c r="IO38804" s="7" t="n">
        <v>65533</v>
      </c>
      <c r="IP38804" s="7" t="n">
        <v>11816</v>
      </c>
      <c r="IQ38804" s="7" t="s">
        <v>16</v>
      </c>
      <c r="IR38804" s="7" t="n">
        <f t="normal" ca="1">32-LENB(INDIRECT(ADDRESS(38804,251)))</f>
        <v>0</v>
      </c>
      <c r="IS38804" s="7" t="n">
        <v>7</v>
      </c>
      <c r="IT38804" s="7" t="n">
        <v>65533</v>
      </c>
      <c r="IU38804" s="7" t="n">
        <v>65272</v>
      </c>
      <c r="IV38804" s="7" t="s">
        <v>16</v>
      </c>
      <c r="IW38804" s="7" t="n">
        <f t="normal" ca="1">32-LENB(INDIRECT(ADDRESS(38804,256)))</f>
        <v>0</v>
      </c>
      <c r="IX38804" s="7" t="n">
        <v>7</v>
      </c>
      <c r="IY38804" s="7" t="n">
        <v>65533</v>
      </c>
      <c r="IZ38804" s="7" t="n">
        <v>11817</v>
      </c>
      <c r="JA38804" s="7" t="s">
        <v>16</v>
      </c>
      <c r="JB38804" s="7" t="n">
        <f t="normal" ca="1">32-LENB(INDIRECT(ADDRESS(38804,261)))</f>
        <v>0</v>
      </c>
      <c r="JC38804" s="7" t="n">
        <v>7</v>
      </c>
      <c r="JD38804" s="7" t="n">
        <v>65533</v>
      </c>
      <c r="JE38804" s="7" t="n">
        <v>11818</v>
      </c>
      <c r="JF38804" s="7" t="s">
        <v>16</v>
      </c>
      <c r="JG38804" s="7" t="n">
        <f t="normal" ca="1">32-LENB(INDIRECT(ADDRESS(38804,266)))</f>
        <v>0</v>
      </c>
      <c r="JH38804" s="7" t="n">
        <v>7</v>
      </c>
      <c r="JI38804" s="7" t="n">
        <v>65533</v>
      </c>
      <c r="JJ38804" s="7" t="n">
        <v>64057</v>
      </c>
      <c r="JK38804" s="7" t="s">
        <v>16</v>
      </c>
      <c r="JL38804" s="7" t="n">
        <f t="normal" ca="1">32-LENB(INDIRECT(ADDRESS(38804,271)))</f>
        <v>0</v>
      </c>
      <c r="JM38804" s="7" t="n">
        <v>4</v>
      </c>
      <c r="JN38804" s="7" t="n">
        <v>65533</v>
      </c>
      <c r="JO38804" s="7" t="n">
        <v>2000</v>
      </c>
      <c r="JP38804" s="7" t="s">
        <v>16</v>
      </c>
      <c r="JQ38804" s="7" t="n">
        <f t="normal" ca="1">32-LENB(INDIRECT(ADDRESS(38804,276)))</f>
        <v>0</v>
      </c>
      <c r="JR38804" s="7" t="n">
        <v>7</v>
      </c>
      <c r="JS38804" s="7" t="n">
        <v>65533</v>
      </c>
      <c r="JT38804" s="7" t="n">
        <v>64058</v>
      </c>
      <c r="JU38804" s="7" t="s">
        <v>16</v>
      </c>
      <c r="JV38804" s="7" t="n">
        <f t="normal" ca="1">32-LENB(INDIRECT(ADDRESS(38804,281)))</f>
        <v>0</v>
      </c>
      <c r="JW38804" s="7" t="n">
        <v>4</v>
      </c>
      <c r="JX38804" s="7" t="n">
        <v>65533</v>
      </c>
      <c r="JY38804" s="7" t="n">
        <v>2004</v>
      </c>
      <c r="JZ38804" s="7" t="s">
        <v>16</v>
      </c>
      <c r="KA38804" s="7" t="n">
        <f t="normal" ca="1">32-LENB(INDIRECT(ADDRESS(38804,286)))</f>
        <v>0</v>
      </c>
      <c r="KB38804" s="7" t="n">
        <v>7</v>
      </c>
      <c r="KC38804" s="7" t="n">
        <v>65533</v>
      </c>
      <c r="KD38804" s="7" t="n">
        <v>65271</v>
      </c>
      <c r="KE38804" s="7" t="s">
        <v>16</v>
      </c>
      <c r="KF38804" s="7" t="n">
        <f t="normal" ca="1">32-LENB(INDIRECT(ADDRESS(38804,291)))</f>
        <v>0</v>
      </c>
      <c r="KG38804" s="7" t="n">
        <v>7</v>
      </c>
      <c r="KH38804" s="7" t="n">
        <v>65533</v>
      </c>
      <c r="KI38804" s="7" t="n">
        <v>11819</v>
      </c>
      <c r="KJ38804" s="7" t="s">
        <v>16</v>
      </c>
      <c r="KK38804" s="7" t="n">
        <f t="normal" ca="1">32-LENB(INDIRECT(ADDRESS(38804,296)))</f>
        <v>0</v>
      </c>
      <c r="KL38804" s="7" t="n">
        <v>7</v>
      </c>
      <c r="KM38804" s="7" t="n">
        <v>65533</v>
      </c>
      <c r="KN38804" s="7" t="n">
        <v>11820</v>
      </c>
      <c r="KO38804" s="7" t="s">
        <v>16</v>
      </c>
      <c r="KP38804" s="7" t="n">
        <f t="normal" ca="1">32-LENB(INDIRECT(ADDRESS(38804,301)))</f>
        <v>0</v>
      </c>
      <c r="KQ38804" s="7" t="n">
        <v>7</v>
      </c>
      <c r="KR38804" s="7" t="n">
        <v>65533</v>
      </c>
      <c r="KS38804" s="7" t="n">
        <v>11821</v>
      </c>
      <c r="KT38804" s="7" t="s">
        <v>16</v>
      </c>
      <c r="KU38804" s="7" t="n">
        <f t="normal" ca="1">32-LENB(INDIRECT(ADDRESS(38804,306)))</f>
        <v>0</v>
      </c>
      <c r="KV38804" s="7" t="n">
        <v>7</v>
      </c>
      <c r="KW38804" s="7" t="n">
        <v>65533</v>
      </c>
      <c r="KX38804" s="7" t="n">
        <v>64059</v>
      </c>
      <c r="KY38804" s="7" t="s">
        <v>16</v>
      </c>
      <c r="KZ38804" s="7" t="n">
        <f t="normal" ca="1">32-LENB(INDIRECT(ADDRESS(38804,311)))</f>
        <v>0</v>
      </c>
      <c r="LA38804" s="7" t="n">
        <v>0</v>
      </c>
      <c r="LB38804" s="7" t="n">
        <v>65533</v>
      </c>
      <c r="LC38804" s="7" t="n">
        <v>0</v>
      </c>
      <c r="LD38804" s="7" t="s">
        <v>16</v>
      </c>
      <c r="LE38804" s="7" t="n">
        <f t="normal" ca="1">32-LENB(INDIRECT(ADDRESS(38804,316)))</f>
        <v>0</v>
      </c>
    </row>
    <row r="38805" spans="1:367">
      <c r="A38805" t="s">
        <v>4</v>
      </c>
      <c r="B38805" s="4" t="s">
        <v>5</v>
      </c>
    </row>
    <row r="38806" spans="1:367">
      <c r="A38806" t="n">
        <v>404904</v>
      </c>
      <c r="B38806" s="5" t="n">
        <v>1</v>
      </c>
    </row>
    <row r="38807" spans="1:367" s="3" customFormat="1" customHeight="0">
      <c r="A38807" s="3" t="s">
        <v>2</v>
      </c>
      <c r="B38807" s="3" t="s">
        <v>1870</v>
      </c>
    </row>
    <row r="38808" spans="1:367">
      <c r="A38808" t="s">
        <v>4</v>
      </c>
      <c r="B38808" s="4" t="s">
        <v>5</v>
      </c>
      <c r="C38808" s="4" t="s">
        <v>11</v>
      </c>
      <c r="D38808" s="4" t="s">
        <v>11</v>
      </c>
      <c r="E38808" s="4" t="s">
        <v>15</v>
      </c>
      <c r="F38808" s="4" t="s">
        <v>8</v>
      </c>
      <c r="G38808" s="4" t="s">
        <v>1859</v>
      </c>
      <c r="H38808" s="4" t="s">
        <v>11</v>
      </c>
      <c r="I38808" s="4" t="s">
        <v>11</v>
      </c>
      <c r="J38808" s="4" t="s">
        <v>15</v>
      </c>
      <c r="K38808" s="4" t="s">
        <v>8</v>
      </c>
      <c r="L38808" s="4" t="s">
        <v>1859</v>
      </c>
      <c r="M38808" s="4" t="s">
        <v>11</v>
      </c>
      <c r="N38808" s="4" t="s">
        <v>11</v>
      </c>
      <c r="O38808" s="4" t="s">
        <v>15</v>
      </c>
      <c r="P38808" s="4" t="s">
        <v>8</v>
      </c>
      <c r="Q38808" s="4" t="s">
        <v>1859</v>
      </c>
      <c r="R38808" s="4" t="s">
        <v>11</v>
      </c>
      <c r="S38808" s="4" t="s">
        <v>11</v>
      </c>
      <c r="T38808" s="4" t="s">
        <v>15</v>
      </c>
      <c r="U38808" s="4" t="s">
        <v>8</v>
      </c>
      <c r="V38808" s="4" t="s">
        <v>1859</v>
      </c>
      <c r="W38808" s="4" t="s">
        <v>11</v>
      </c>
      <c r="X38808" s="4" t="s">
        <v>11</v>
      </c>
      <c r="Y38808" s="4" t="s">
        <v>15</v>
      </c>
      <c r="Z38808" s="4" t="s">
        <v>8</v>
      </c>
      <c r="AA38808" s="4" t="s">
        <v>1859</v>
      </c>
      <c r="AB38808" s="4" t="s">
        <v>11</v>
      </c>
      <c r="AC38808" s="4" t="s">
        <v>11</v>
      </c>
      <c r="AD38808" s="4" t="s">
        <v>15</v>
      </c>
      <c r="AE38808" s="4" t="s">
        <v>8</v>
      </c>
      <c r="AF38808" s="4" t="s">
        <v>1859</v>
      </c>
      <c r="AG38808" s="4" t="s">
        <v>11</v>
      </c>
      <c r="AH38808" s="4" t="s">
        <v>11</v>
      </c>
      <c r="AI38808" s="4" t="s">
        <v>15</v>
      </c>
      <c r="AJ38808" s="4" t="s">
        <v>8</v>
      </c>
      <c r="AK38808" s="4" t="s">
        <v>1859</v>
      </c>
      <c r="AL38808" s="4" t="s">
        <v>11</v>
      </c>
      <c r="AM38808" s="4" t="s">
        <v>11</v>
      </c>
      <c r="AN38808" s="4" t="s">
        <v>15</v>
      </c>
      <c r="AO38808" s="4" t="s">
        <v>8</v>
      </c>
      <c r="AP38808" s="4" t="s">
        <v>1859</v>
      </c>
      <c r="AQ38808" s="4" t="s">
        <v>11</v>
      </c>
      <c r="AR38808" s="4" t="s">
        <v>11</v>
      </c>
      <c r="AS38808" s="4" t="s">
        <v>15</v>
      </c>
      <c r="AT38808" s="4" t="s">
        <v>8</v>
      </c>
      <c r="AU38808" s="4" t="s">
        <v>1859</v>
      </c>
      <c r="AV38808" s="4" t="s">
        <v>11</v>
      </c>
      <c r="AW38808" s="4" t="s">
        <v>11</v>
      </c>
      <c r="AX38808" s="4" t="s">
        <v>15</v>
      </c>
      <c r="AY38808" s="4" t="s">
        <v>8</v>
      </c>
      <c r="AZ38808" s="4" t="s">
        <v>1859</v>
      </c>
      <c r="BA38808" s="4" t="s">
        <v>11</v>
      </c>
      <c r="BB38808" s="4" t="s">
        <v>11</v>
      </c>
      <c r="BC38808" s="4" t="s">
        <v>15</v>
      </c>
      <c r="BD38808" s="4" t="s">
        <v>8</v>
      </c>
      <c r="BE38808" s="4" t="s">
        <v>1859</v>
      </c>
      <c r="BF38808" s="4" t="s">
        <v>11</v>
      </c>
      <c r="BG38808" s="4" t="s">
        <v>11</v>
      </c>
      <c r="BH38808" s="4" t="s">
        <v>15</v>
      </c>
      <c r="BI38808" s="4" t="s">
        <v>8</v>
      </c>
      <c r="BJ38808" s="4" t="s">
        <v>1859</v>
      </c>
      <c r="BK38808" s="4" t="s">
        <v>11</v>
      </c>
      <c r="BL38808" s="4" t="s">
        <v>11</v>
      </c>
      <c r="BM38808" s="4" t="s">
        <v>15</v>
      </c>
      <c r="BN38808" s="4" t="s">
        <v>8</v>
      </c>
      <c r="BO38808" s="4" t="s">
        <v>1859</v>
      </c>
      <c r="BP38808" s="4" t="s">
        <v>11</v>
      </c>
      <c r="BQ38808" s="4" t="s">
        <v>11</v>
      </c>
      <c r="BR38808" s="4" t="s">
        <v>15</v>
      </c>
      <c r="BS38808" s="4" t="s">
        <v>8</v>
      </c>
      <c r="BT38808" s="4" t="s">
        <v>1859</v>
      </c>
      <c r="BU38808" s="4" t="s">
        <v>11</v>
      </c>
      <c r="BV38808" s="4" t="s">
        <v>11</v>
      </c>
      <c r="BW38808" s="4" t="s">
        <v>15</v>
      </c>
      <c r="BX38808" s="4" t="s">
        <v>8</v>
      </c>
      <c r="BY38808" s="4" t="s">
        <v>1859</v>
      </c>
      <c r="BZ38808" s="4" t="s">
        <v>11</v>
      </c>
      <c r="CA38808" s="4" t="s">
        <v>11</v>
      </c>
      <c r="CB38808" s="4" t="s">
        <v>15</v>
      </c>
      <c r="CC38808" s="4" t="s">
        <v>8</v>
      </c>
      <c r="CD38808" s="4" t="s">
        <v>1859</v>
      </c>
      <c r="CE38808" s="4" t="s">
        <v>11</v>
      </c>
      <c r="CF38808" s="4" t="s">
        <v>11</v>
      </c>
      <c r="CG38808" s="4" t="s">
        <v>15</v>
      </c>
      <c r="CH38808" s="4" t="s">
        <v>8</v>
      </c>
      <c r="CI38808" s="4" t="s">
        <v>1859</v>
      </c>
      <c r="CJ38808" s="4" t="s">
        <v>11</v>
      </c>
      <c r="CK38808" s="4" t="s">
        <v>11</v>
      </c>
      <c r="CL38808" s="4" t="s">
        <v>15</v>
      </c>
      <c r="CM38808" s="4" t="s">
        <v>8</v>
      </c>
      <c r="CN38808" s="4" t="s">
        <v>1859</v>
      </c>
      <c r="CO38808" s="4" t="s">
        <v>11</v>
      </c>
      <c r="CP38808" s="4" t="s">
        <v>11</v>
      </c>
      <c r="CQ38808" s="4" t="s">
        <v>15</v>
      </c>
      <c r="CR38808" s="4" t="s">
        <v>8</v>
      </c>
      <c r="CS38808" s="4" t="s">
        <v>1859</v>
      </c>
      <c r="CT38808" s="4" t="s">
        <v>11</v>
      </c>
      <c r="CU38808" s="4" t="s">
        <v>11</v>
      </c>
      <c r="CV38808" s="4" t="s">
        <v>15</v>
      </c>
      <c r="CW38808" s="4" t="s">
        <v>8</v>
      </c>
      <c r="CX38808" s="4" t="s">
        <v>1859</v>
      </c>
      <c r="CY38808" s="4" t="s">
        <v>11</v>
      </c>
      <c r="CZ38808" s="4" t="s">
        <v>11</v>
      </c>
      <c r="DA38808" s="4" t="s">
        <v>15</v>
      </c>
      <c r="DB38808" s="4" t="s">
        <v>8</v>
      </c>
      <c r="DC38808" s="4" t="s">
        <v>1859</v>
      </c>
      <c r="DD38808" s="4" t="s">
        <v>11</v>
      </c>
      <c r="DE38808" s="4" t="s">
        <v>11</v>
      </c>
      <c r="DF38808" s="4" t="s">
        <v>15</v>
      </c>
      <c r="DG38808" s="4" t="s">
        <v>8</v>
      </c>
      <c r="DH38808" s="4" t="s">
        <v>1859</v>
      </c>
      <c r="DI38808" s="4" t="s">
        <v>11</v>
      </c>
      <c r="DJ38808" s="4" t="s">
        <v>11</v>
      </c>
      <c r="DK38808" s="4" t="s">
        <v>15</v>
      </c>
      <c r="DL38808" s="4" t="s">
        <v>8</v>
      </c>
      <c r="DM38808" s="4" t="s">
        <v>1859</v>
      </c>
      <c r="DN38808" s="4" t="s">
        <v>11</v>
      </c>
      <c r="DO38808" s="4" t="s">
        <v>11</v>
      </c>
      <c r="DP38808" s="4" t="s">
        <v>15</v>
      </c>
      <c r="DQ38808" s="4" t="s">
        <v>8</v>
      </c>
      <c r="DR38808" s="4" t="s">
        <v>1859</v>
      </c>
      <c r="DS38808" s="4" t="s">
        <v>11</v>
      </c>
      <c r="DT38808" s="4" t="s">
        <v>11</v>
      </c>
      <c r="DU38808" s="4" t="s">
        <v>15</v>
      </c>
      <c r="DV38808" s="4" t="s">
        <v>8</v>
      </c>
      <c r="DW38808" s="4" t="s">
        <v>1859</v>
      </c>
      <c r="DX38808" s="4" t="s">
        <v>11</v>
      </c>
      <c r="DY38808" s="4" t="s">
        <v>11</v>
      </c>
      <c r="DZ38808" s="4" t="s">
        <v>15</v>
      </c>
      <c r="EA38808" s="4" t="s">
        <v>8</v>
      </c>
      <c r="EB38808" s="4" t="s">
        <v>1859</v>
      </c>
      <c r="EC38808" s="4" t="s">
        <v>11</v>
      </c>
      <c r="ED38808" s="4" t="s">
        <v>11</v>
      </c>
      <c r="EE38808" s="4" t="s">
        <v>15</v>
      </c>
      <c r="EF38808" s="4" t="s">
        <v>8</v>
      </c>
      <c r="EG38808" s="4" t="s">
        <v>1859</v>
      </c>
      <c r="EH38808" s="4" t="s">
        <v>11</v>
      </c>
      <c r="EI38808" s="4" t="s">
        <v>11</v>
      </c>
      <c r="EJ38808" s="4" t="s">
        <v>15</v>
      </c>
      <c r="EK38808" s="4" t="s">
        <v>8</v>
      </c>
      <c r="EL38808" s="4" t="s">
        <v>1859</v>
      </c>
      <c r="EM38808" s="4" t="s">
        <v>11</v>
      </c>
      <c r="EN38808" s="4" t="s">
        <v>11</v>
      </c>
      <c r="EO38808" s="4" t="s">
        <v>15</v>
      </c>
      <c r="EP38808" s="4" t="s">
        <v>8</v>
      </c>
      <c r="EQ38808" s="4" t="s">
        <v>1859</v>
      </c>
      <c r="ER38808" s="4" t="s">
        <v>11</v>
      </c>
      <c r="ES38808" s="4" t="s">
        <v>11</v>
      </c>
      <c r="ET38808" s="4" t="s">
        <v>15</v>
      </c>
      <c r="EU38808" s="4" t="s">
        <v>8</v>
      </c>
      <c r="EV38808" s="4" t="s">
        <v>1859</v>
      </c>
      <c r="EW38808" s="4" t="s">
        <v>11</v>
      </c>
      <c r="EX38808" s="4" t="s">
        <v>11</v>
      </c>
      <c r="EY38808" s="4" t="s">
        <v>15</v>
      </c>
      <c r="EZ38808" s="4" t="s">
        <v>8</v>
      </c>
      <c r="FA38808" s="4" t="s">
        <v>1859</v>
      </c>
      <c r="FB38808" s="4" t="s">
        <v>11</v>
      </c>
      <c r="FC38808" s="4" t="s">
        <v>11</v>
      </c>
      <c r="FD38808" s="4" t="s">
        <v>15</v>
      </c>
      <c r="FE38808" s="4" t="s">
        <v>8</v>
      </c>
      <c r="FF38808" s="4" t="s">
        <v>1859</v>
      </c>
      <c r="FG38808" s="4" t="s">
        <v>11</v>
      </c>
      <c r="FH38808" s="4" t="s">
        <v>11</v>
      </c>
      <c r="FI38808" s="4" t="s">
        <v>15</v>
      </c>
      <c r="FJ38808" s="4" t="s">
        <v>8</v>
      </c>
      <c r="FK38808" s="4" t="s">
        <v>1859</v>
      </c>
      <c r="FL38808" s="4" t="s">
        <v>11</v>
      </c>
      <c r="FM38808" s="4" t="s">
        <v>11</v>
      </c>
      <c r="FN38808" s="4" t="s">
        <v>15</v>
      </c>
      <c r="FO38808" s="4" t="s">
        <v>8</v>
      </c>
      <c r="FP38808" s="4" t="s">
        <v>1859</v>
      </c>
      <c r="FQ38808" s="4" t="s">
        <v>11</v>
      </c>
      <c r="FR38808" s="4" t="s">
        <v>11</v>
      </c>
      <c r="FS38808" s="4" t="s">
        <v>15</v>
      </c>
      <c r="FT38808" s="4" t="s">
        <v>8</v>
      </c>
      <c r="FU38808" s="4" t="s">
        <v>1859</v>
      </c>
      <c r="FV38808" s="4" t="s">
        <v>11</v>
      </c>
      <c r="FW38808" s="4" t="s">
        <v>11</v>
      </c>
      <c r="FX38808" s="4" t="s">
        <v>15</v>
      </c>
      <c r="FY38808" s="4" t="s">
        <v>8</v>
      </c>
      <c r="FZ38808" s="4" t="s">
        <v>1859</v>
      </c>
      <c r="GA38808" s="4" t="s">
        <v>11</v>
      </c>
      <c r="GB38808" s="4" t="s">
        <v>11</v>
      </c>
      <c r="GC38808" s="4" t="s">
        <v>15</v>
      </c>
      <c r="GD38808" s="4" t="s">
        <v>8</v>
      </c>
      <c r="GE38808" s="4" t="s">
        <v>1859</v>
      </c>
      <c r="GF38808" s="4" t="s">
        <v>11</v>
      </c>
      <c r="GG38808" s="4" t="s">
        <v>11</v>
      </c>
      <c r="GH38808" s="4" t="s">
        <v>15</v>
      </c>
      <c r="GI38808" s="4" t="s">
        <v>8</v>
      </c>
      <c r="GJ38808" s="4" t="s">
        <v>1859</v>
      </c>
      <c r="GK38808" s="4" t="s">
        <v>11</v>
      </c>
      <c r="GL38808" s="4" t="s">
        <v>11</v>
      </c>
      <c r="GM38808" s="4" t="s">
        <v>15</v>
      </c>
      <c r="GN38808" s="4" t="s">
        <v>8</v>
      </c>
      <c r="GO38808" s="4" t="s">
        <v>1859</v>
      </c>
      <c r="GP38808" s="4" t="s">
        <v>11</v>
      </c>
      <c r="GQ38808" s="4" t="s">
        <v>11</v>
      </c>
      <c r="GR38808" s="4" t="s">
        <v>15</v>
      </c>
      <c r="GS38808" s="4" t="s">
        <v>8</v>
      </c>
      <c r="GT38808" s="4" t="s">
        <v>1859</v>
      </c>
      <c r="GU38808" s="4" t="s">
        <v>11</v>
      </c>
      <c r="GV38808" s="4" t="s">
        <v>11</v>
      </c>
      <c r="GW38808" s="4" t="s">
        <v>15</v>
      </c>
      <c r="GX38808" s="4" t="s">
        <v>8</v>
      </c>
      <c r="GY38808" s="4" t="s">
        <v>1859</v>
      </c>
      <c r="GZ38808" s="4" t="s">
        <v>11</v>
      </c>
      <c r="HA38808" s="4" t="s">
        <v>11</v>
      </c>
      <c r="HB38808" s="4" t="s">
        <v>15</v>
      </c>
      <c r="HC38808" s="4" t="s">
        <v>8</v>
      </c>
      <c r="HD38808" s="4" t="s">
        <v>1859</v>
      </c>
      <c r="HE38808" s="4" t="s">
        <v>11</v>
      </c>
      <c r="HF38808" s="4" t="s">
        <v>11</v>
      </c>
      <c r="HG38808" s="4" t="s">
        <v>15</v>
      </c>
      <c r="HH38808" s="4" t="s">
        <v>8</v>
      </c>
      <c r="HI38808" s="4" t="s">
        <v>1859</v>
      </c>
      <c r="HJ38808" s="4" t="s">
        <v>11</v>
      </c>
      <c r="HK38808" s="4" t="s">
        <v>11</v>
      </c>
      <c r="HL38808" s="4" t="s">
        <v>15</v>
      </c>
      <c r="HM38808" s="4" t="s">
        <v>8</v>
      </c>
      <c r="HN38808" s="4" t="s">
        <v>1859</v>
      </c>
      <c r="HO38808" s="4" t="s">
        <v>11</v>
      </c>
      <c r="HP38808" s="4" t="s">
        <v>11</v>
      </c>
      <c r="HQ38808" s="4" t="s">
        <v>15</v>
      </c>
      <c r="HR38808" s="4" t="s">
        <v>8</v>
      </c>
      <c r="HS38808" s="4" t="s">
        <v>1859</v>
      </c>
      <c r="HT38808" s="4" t="s">
        <v>11</v>
      </c>
      <c r="HU38808" s="4" t="s">
        <v>11</v>
      </c>
      <c r="HV38808" s="4" t="s">
        <v>15</v>
      </c>
      <c r="HW38808" s="4" t="s">
        <v>8</v>
      </c>
      <c r="HX38808" s="4" t="s">
        <v>1859</v>
      </c>
      <c r="HY38808" s="4" t="s">
        <v>11</v>
      </c>
      <c r="HZ38808" s="4" t="s">
        <v>11</v>
      </c>
      <c r="IA38808" s="4" t="s">
        <v>15</v>
      </c>
      <c r="IB38808" s="4" t="s">
        <v>8</v>
      </c>
      <c r="IC38808" s="4" t="s">
        <v>1859</v>
      </c>
      <c r="ID38808" s="4" t="s">
        <v>11</v>
      </c>
      <c r="IE38808" s="4" t="s">
        <v>11</v>
      </c>
      <c r="IF38808" s="4" t="s">
        <v>15</v>
      </c>
      <c r="IG38808" s="4" t="s">
        <v>8</v>
      </c>
      <c r="IH38808" s="4" t="s">
        <v>1859</v>
      </c>
      <c r="II38808" s="4" t="s">
        <v>11</v>
      </c>
      <c r="IJ38808" s="4" t="s">
        <v>11</v>
      </c>
      <c r="IK38808" s="4" t="s">
        <v>15</v>
      </c>
      <c r="IL38808" s="4" t="s">
        <v>8</v>
      </c>
      <c r="IM38808" s="4" t="s">
        <v>1859</v>
      </c>
      <c r="IN38808" s="4" t="s">
        <v>11</v>
      </c>
      <c r="IO38808" s="4" t="s">
        <v>11</v>
      </c>
      <c r="IP38808" s="4" t="s">
        <v>15</v>
      </c>
      <c r="IQ38808" s="4" t="s">
        <v>8</v>
      </c>
      <c r="IR38808" s="4" t="s">
        <v>1859</v>
      </c>
      <c r="IS38808" s="4" t="s">
        <v>11</v>
      </c>
      <c r="IT38808" s="4" t="s">
        <v>11</v>
      </c>
      <c r="IU38808" s="4" t="s">
        <v>15</v>
      </c>
      <c r="IV38808" s="4" t="s">
        <v>8</v>
      </c>
      <c r="IW38808" s="4" t="s">
        <v>1859</v>
      </c>
      <c r="IX38808" s="4" t="s">
        <v>11</v>
      </c>
      <c r="IY38808" s="4" t="s">
        <v>11</v>
      </c>
      <c r="IZ38808" s="4" t="s">
        <v>15</v>
      </c>
      <c r="JA38808" s="4" t="s">
        <v>8</v>
      </c>
      <c r="JB38808" s="4" t="s">
        <v>1859</v>
      </c>
      <c r="JC38808" s="4" t="s">
        <v>11</v>
      </c>
      <c r="JD38808" s="4" t="s">
        <v>11</v>
      </c>
      <c r="JE38808" s="4" t="s">
        <v>15</v>
      </c>
      <c r="JF38808" s="4" t="s">
        <v>8</v>
      </c>
      <c r="JG38808" s="4" t="s">
        <v>1859</v>
      </c>
      <c r="JH38808" s="4" t="s">
        <v>11</v>
      </c>
      <c r="JI38808" s="4" t="s">
        <v>11</v>
      </c>
      <c r="JJ38808" s="4" t="s">
        <v>15</v>
      </c>
      <c r="JK38808" s="4" t="s">
        <v>8</v>
      </c>
      <c r="JL38808" s="4" t="s">
        <v>1859</v>
      </c>
      <c r="JM38808" s="4" t="s">
        <v>11</v>
      </c>
      <c r="JN38808" s="4" t="s">
        <v>11</v>
      </c>
      <c r="JO38808" s="4" t="s">
        <v>15</v>
      </c>
      <c r="JP38808" s="4" t="s">
        <v>8</v>
      </c>
      <c r="JQ38808" s="4" t="s">
        <v>1859</v>
      </c>
      <c r="JR38808" s="4" t="s">
        <v>11</v>
      </c>
      <c r="JS38808" s="4" t="s">
        <v>11</v>
      </c>
      <c r="JT38808" s="4" t="s">
        <v>15</v>
      </c>
      <c r="JU38808" s="4" t="s">
        <v>8</v>
      </c>
      <c r="JV38808" s="4" t="s">
        <v>1859</v>
      </c>
      <c r="JW38808" s="4" t="s">
        <v>11</v>
      </c>
      <c r="JX38808" s="4" t="s">
        <v>11</v>
      </c>
      <c r="JY38808" s="4" t="s">
        <v>15</v>
      </c>
      <c r="JZ38808" s="4" t="s">
        <v>8</v>
      </c>
      <c r="KA38808" s="4" t="s">
        <v>1859</v>
      </c>
    </row>
    <row r="38809" spans="1:367">
      <c r="A38809" t="n">
        <v>404912</v>
      </c>
      <c r="B38809" s="85" t="n">
        <v>257</v>
      </c>
      <c r="C38809" s="7" t="n">
        <v>3</v>
      </c>
      <c r="D38809" s="7" t="n">
        <v>65533</v>
      </c>
      <c r="E38809" s="7" t="n">
        <v>0</v>
      </c>
      <c r="F38809" s="7" t="s">
        <v>850</v>
      </c>
      <c r="G38809" s="7" t="n">
        <f t="normal" ca="1">32-LENB(INDIRECT(ADDRESS(38809,6)))</f>
        <v>0</v>
      </c>
      <c r="H38809" s="7" t="n">
        <v>7</v>
      </c>
      <c r="I38809" s="7" t="n">
        <v>65533</v>
      </c>
      <c r="J38809" s="7" t="n">
        <v>64060</v>
      </c>
      <c r="K38809" s="7" t="s">
        <v>16</v>
      </c>
      <c r="L38809" s="7" t="n">
        <f t="normal" ca="1">32-LENB(INDIRECT(ADDRESS(38809,11)))</f>
        <v>0</v>
      </c>
      <c r="M38809" s="7" t="n">
        <v>7</v>
      </c>
      <c r="N38809" s="7" t="n">
        <v>65533</v>
      </c>
      <c r="O38809" s="7" t="n">
        <v>64061</v>
      </c>
      <c r="P38809" s="7" t="s">
        <v>16</v>
      </c>
      <c r="Q38809" s="7" t="n">
        <f t="normal" ca="1">32-LENB(INDIRECT(ADDRESS(38809,16)))</f>
        <v>0</v>
      </c>
      <c r="R38809" s="7" t="n">
        <v>7</v>
      </c>
      <c r="S38809" s="7" t="n">
        <v>65533</v>
      </c>
      <c r="T38809" s="7" t="n">
        <v>64062</v>
      </c>
      <c r="U38809" s="7" t="s">
        <v>16</v>
      </c>
      <c r="V38809" s="7" t="n">
        <f t="normal" ca="1">32-LENB(INDIRECT(ADDRESS(38809,21)))</f>
        <v>0</v>
      </c>
      <c r="W38809" s="7" t="n">
        <v>7</v>
      </c>
      <c r="X38809" s="7" t="n">
        <v>65533</v>
      </c>
      <c r="Y38809" s="7" t="n">
        <v>64063</v>
      </c>
      <c r="Z38809" s="7" t="s">
        <v>16</v>
      </c>
      <c r="AA38809" s="7" t="n">
        <f t="normal" ca="1">32-LENB(INDIRECT(ADDRESS(38809,26)))</f>
        <v>0</v>
      </c>
      <c r="AB38809" s="7" t="n">
        <v>7</v>
      </c>
      <c r="AC38809" s="7" t="n">
        <v>65533</v>
      </c>
      <c r="AD38809" s="7" t="n">
        <v>64064</v>
      </c>
      <c r="AE38809" s="7" t="s">
        <v>16</v>
      </c>
      <c r="AF38809" s="7" t="n">
        <f t="normal" ca="1">32-LENB(INDIRECT(ADDRESS(38809,31)))</f>
        <v>0</v>
      </c>
      <c r="AG38809" s="7" t="n">
        <v>7</v>
      </c>
      <c r="AH38809" s="7" t="n">
        <v>65533</v>
      </c>
      <c r="AI38809" s="7" t="n">
        <v>64065</v>
      </c>
      <c r="AJ38809" s="7" t="s">
        <v>16</v>
      </c>
      <c r="AK38809" s="7" t="n">
        <f t="normal" ca="1">32-LENB(INDIRECT(ADDRESS(38809,36)))</f>
        <v>0</v>
      </c>
      <c r="AL38809" s="7" t="n">
        <v>7</v>
      </c>
      <c r="AM38809" s="7" t="n">
        <v>65533</v>
      </c>
      <c r="AN38809" s="7" t="n">
        <v>64066</v>
      </c>
      <c r="AO38809" s="7" t="s">
        <v>16</v>
      </c>
      <c r="AP38809" s="7" t="n">
        <f t="normal" ca="1">32-LENB(INDIRECT(ADDRESS(38809,41)))</f>
        <v>0</v>
      </c>
      <c r="AQ38809" s="7" t="n">
        <v>7</v>
      </c>
      <c r="AR38809" s="7" t="n">
        <v>65533</v>
      </c>
      <c r="AS38809" s="7" t="n">
        <v>64067</v>
      </c>
      <c r="AT38809" s="7" t="s">
        <v>16</v>
      </c>
      <c r="AU38809" s="7" t="n">
        <f t="normal" ca="1">32-LENB(INDIRECT(ADDRESS(38809,46)))</f>
        <v>0</v>
      </c>
      <c r="AV38809" s="7" t="n">
        <v>7</v>
      </c>
      <c r="AW38809" s="7" t="n">
        <v>65533</v>
      </c>
      <c r="AX38809" s="7" t="n">
        <v>64068</v>
      </c>
      <c r="AY38809" s="7" t="s">
        <v>16</v>
      </c>
      <c r="AZ38809" s="7" t="n">
        <f t="normal" ca="1">32-LENB(INDIRECT(ADDRESS(38809,51)))</f>
        <v>0</v>
      </c>
      <c r="BA38809" s="7" t="n">
        <v>7</v>
      </c>
      <c r="BB38809" s="7" t="n">
        <v>65533</v>
      </c>
      <c r="BC38809" s="7" t="n">
        <v>64069</v>
      </c>
      <c r="BD38809" s="7" t="s">
        <v>16</v>
      </c>
      <c r="BE38809" s="7" t="n">
        <f t="normal" ca="1">32-LENB(INDIRECT(ADDRESS(38809,56)))</f>
        <v>0</v>
      </c>
      <c r="BF38809" s="7" t="n">
        <v>7</v>
      </c>
      <c r="BG38809" s="7" t="n">
        <v>65533</v>
      </c>
      <c r="BH38809" s="7" t="n">
        <v>64070</v>
      </c>
      <c r="BI38809" s="7" t="s">
        <v>16</v>
      </c>
      <c r="BJ38809" s="7" t="n">
        <f t="normal" ca="1">32-LENB(INDIRECT(ADDRESS(38809,61)))</f>
        <v>0</v>
      </c>
      <c r="BK38809" s="7" t="n">
        <v>7</v>
      </c>
      <c r="BL38809" s="7" t="n">
        <v>65533</v>
      </c>
      <c r="BM38809" s="7" t="n">
        <v>64071</v>
      </c>
      <c r="BN38809" s="7" t="s">
        <v>16</v>
      </c>
      <c r="BO38809" s="7" t="n">
        <f t="normal" ca="1">32-LENB(INDIRECT(ADDRESS(38809,66)))</f>
        <v>0</v>
      </c>
      <c r="BP38809" s="7" t="n">
        <v>7</v>
      </c>
      <c r="BQ38809" s="7" t="n">
        <v>65533</v>
      </c>
      <c r="BR38809" s="7" t="n">
        <v>64072</v>
      </c>
      <c r="BS38809" s="7" t="s">
        <v>16</v>
      </c>
      <c r="BT38809" s="7" t="n">
        <f t="normal" ca="1">32-LENB(INDIRECT(ADDRESS(38809,71)))</f>
        <v>0</v>
      </c>
      <c r="BU38809" s="7" t="n">
        <v>7</v>
      </c>
      <c r="BV38809" s="7" t="n">
        <v>65533</v>
      </c>
      <c r="BW38809" s="7" t="n">
        <v>64073</v>
      </c>
      <c r="BX38809" s="7" t="s">
        <v>16</v>
      </c>
      <c r="BY38809" s="7" t="n">
        <f t="normal" ca="1">32-LENB(INDIRECT(ADDRESS(38809,76)))</f>
        <v>0</v>
      </c>
      <c r="BZ38809" s="7" t="n">
        <v>7</v>
      </c>
      <c r="CA38809" s="7" t="n">
        <v>65533</v>
      </c>
      <c r="CB38809" s="7" t="n">
        <v>64074</v>
      </c>
      <c r="CC38809" s="7" t="s">
        <v>16</v>
      </c>
      <c r="CD38809" s="7" t="n">
        <f t="normal" ca="1">32-LENB(INDIRECT(ADDRESS(38809,81)))</f>
        <v>0</v>
      </c>
      <c r="CE38809" s="7" t="n">
        <v>7</v>
      </c>
      <c r="CF38809" s="7" t="n">
        <v>65533</v>
      </c>
      <c r="CG38809" s="7" t="n">
        <v>64075</v>
      </c>
      <c r="CH38809" s="7" t="s">
        <v>16</v>
      </c>
      <c r="CI38809" s="7" t="n">
        <f t="normal" ca="1">32-LENB(INDIRECT(ADDRESS(38809,86)))</f>
        <v>0</v>
      </c>
      <c r="CJ38809" s="7" t="n">
        <v>7</v>
      </c>
      <c r="CK38809" s="7" t="n">
        <v>65533</v>
      </c>
      <c r="CL38809" s="7" t="n">
        <v>64076</v>
      </c>
      <c r="CM38809" s="7" t="s">
        <v>16</v>
      </c>
      <c r="CN38809" s="7" t="n">
        <f t="normal" ca="1">32-LENB(INDIRECT(ADDRESS(38809,91)))</f>
        <v>0</v>
      </c>
      <c r="CO38809" s="7" t="n">
        <v>7</v>
      </c>
      <c r="CP38809" s="7" t="n">
        <v>65533</v>
      </c>
      <c r="CQ38809" s="7" t="n">
        <v>64077</v>
      </c>
      <c r="CR38809" s="7" t="s">
        <v>16</v>
      </c>
      <c r="CS38809" s="7" t="n">
        <f t="normal" ca="1">32-LENB(INDIRECT(ADDRESS(38809,96)))</f>
        <v>0</v>
      </c>
      <c r="CT38809" s="7" t="n">
        <v>7</v>
      </c>
      <c r="CU38809" s="7" t="n">
        <v>65533</v>
      </c>
      <c r="CV38809" s="7" t="n">
        <v>64078</v>
      </c>
      <c r="CW38809" s="7" t="s">
        <v>16</v>
      </c>
      <c r="CX38809" s="7" t="n">
        <f t="normal" ca="1">32-LENB(INDIRECT(ADDRESS(38809,101)))</f>
        <v>0</v>
      </c>
      <c r="CY38809" s="7" t="n">
        <v>7</v>
      </c>
      <c r="CZ38809" s="7" t="n">
        <v>65533</v>
      </c>
      <c r="DA38809" s="7" t="n">
        <v>64079</v>
      </c>
      <c r="DB38809" s="7" t="s">
        <v>16</v>
      </c>
      <c r="DC38809" s="7" t="n">
        <f t="normal" ca="1">32-LENB(INDIRECT(ADDRESS(38809,106)))</f>
        <v>0</v>
      </c>
      <c r="DD38809" s="7" t="n">
        <v>7</v>
      </c>
      <c r="DE38809" s="7" t="n">
        <v>65533</v>
      </c>
      <c r="DF38809" s="7" t="n">
        <v>64080</v>
      </c>
      <c r="DG38809" s="7" t="s">
        <v>16</v>
      </c>
      <c r="DH38809" s="7" t="n">
        <f t="normal" ca="1">32-LENB(INDIRECT(ADDRESS(38809,111)))</f>
        <v>0</v>
      </c>
      <c r="DI38809" s="7" t="n">
        <v>7</v>
      </c>
      <c r="DJ38809" s="7" t="n">
        <v>65533</v>
      </c>
      <c r="DK38809" s="7" t="n">
        <v>64081</v>
      </c>
      <c r="DL38809" s="7" t="s">
        <v>16</v>
      </c>
      <c r="DM38809" s="7" t="n">
        <f t="normal" ca="1">32-LENB(INDIRECT(ADDRESS(38809,116)))</f>
        <v>0</v>
      </c>
      <c r="DN38809" s="7" t="n">
        <v>7</v>
      </c>
      <c r="DO38809" s="7" t="n">
        <v>65533</v>
      </c>
      <c r="DP38809" s="7" t="n">
        <v>64082</v>
      </c>
      <c r="DQ38809" s="7" t="s">
        <v>16</v>
      </c>
      <c r="DR38809" s="7" t="n">
        <f t="normal" ca="1">32-LENB(INDIRECT(ADDRESS(38809,121)))</f>
        <v>0</v>
      </c>
      <c r="DS38809" s="7" t="n">
        <v>7</v>
      </c>
      <c r="DT38809" s="7" t="n">
        <v>65533</v>
      </c>
      <c r="DU38809" s="7" t="n">
        <v>64083</v>
      </c>
      <c r="DV38809" s="7" t="s">
        <v>16</v>
      </c>
      <c r="DW38809" s="7" t="n">
        <f t="normal" ca="1">32-LENB(INDIRECT(ADDRESS(38809,126)))</f>
        <v>0</v>
      </c>
      <c r="DX38809" s="7" t="n">
        <v>7</v>
      </c>
      <c r="DY38809" s="7" t="n">
        <v>65533</v>
      </c>
      <c r="DZ38809" s="7" t="n">
        <v>64084</v>
      </c>
      <c r="EA38809" s="7" t="s">
        <v>16</v>
      </c>
      <c r="EB38809" s="7" t="n">
        <f t="normal" ca="1">32-LENB(INDIRECT(ADDRESS(38809,131)))</f>
        <v>0</v>
      </c>
      <c r="EC38809" s="7" t="n">
        <v>7</v>
      </c>
      <c r="ED38809" s="7" t="n">
        <v>65533</v>
      </c>
      <c r="EE38809" s="7" t="n">
        <v>17800</v>
      </c>
      <c r="EF38809" s="7" t="s">
        <v>16</v>
      </c>
      <c r="EG38809" s="7" t="n">
        <f t="normal" ca="1">32-LENB(INDIRECT(ADDRESS(38809,136)))</f>
        <v>0</v>
      </c>
      <c r="EH38809" s="7" t="n">
        <v>7</v>
      </c>
      <c r="EI38809" s="7" t="n">
        <v>65533</v>
      </c>
      <c r="EJ38809" s="7" t="n">
        <v>64085</v>
      </c>
      <c r="EK38809" s="7" t="s">
        <v>16</v>
      </c>
      <c r="EL38809" s="7" t="n">
        <f t="normal" ca="1">32-LENB(INDIRECT(ADDRESS(38809,141)))</f>
        <v>0</v>
      </c>
      <c r="EM38809" s="7" t="n">
        <v>7</v>
      </c>
      <c r="EN38809" s="7" t="n">
        <v>65533</v>
      </c>
      <c r="EO38809" s="7" t="n">
        <v>17801</v>
      </c>
      <c r="EP38809" s="7" t="s">
        <v>16</v>
      </c>
      <c r="EQ38809" s="7" t="n">
        <f t="normal" ca="1">32-LENB(INDIRECT(ADDRESS(38809,146)))</f>
        <v>0</v>
      </c>
      <c r="ER38809" s="7" t="n">
        <v>7</v>
      </c>
      <c r="ES38809" s="7" t="n">
        <v>65533</v>
      </c>
      <c r="ET38809" s="7" t="n">
        <v>17802</v>
      </c>
      <c r="EU38809" s="7" t="s">
        <v>16</v>
      </c>
      <c r="EV38809" s="7" t="n">
        <f t="normal" ca="1">32-LENB(INDIRECT(ADDRESS(38809,151)))</f>
        <v>0</v>
      </c>
      <c r="EW38809" s="7" t="n">
        <v>7</v>
      </c>
      <c r="EX38809" s="7" t="n">
        <v>65533</v>
      </c>
      <c r="EY38809" s="7" t="n">
        <v>17803</v>
      </c>
      <c r="EZ38809" s="7" t="s">
        <v>16</v>
      </c>
      <c r="FA38809" s="7" t="n">
        <f t="normal" ca="1">32-LENB(INDIRECT(ADDRESS(38809,156)))</f>
        <v>0</v>
      </c>
      <c r="FB38809" s="7" t="n">
        <v>7</v>
      </c>
      <c r="FC38809" s="7" t="n">
        <v>65533</v>
      </c>
      <c r="FD38809" s="7" t="n">
        <v>17804</v>
      </c>
      <c r="FE38809" s="7" t="s">
        <v>16</v>
      </c>
      <c r="FF38809" s="7" t="n">
        <f t="normal" ca="1">32-LENB(INDIRECT(ADDRESS(38809,161)))</f>
        <v>0</v>
      </c>
      <c r="FG38809" s="7" t="n">
        <v>7</v>
      </c>
      <c r="FH38809" s="7" t="n">
        <v>65533</v>
      </c>
      <c r="FI38809" s="7" t="n">
        <v>64086</v>
      </c>
      <c r="FJ38809" s="7" t="s">
        <v>16</v>
      </c>
      <c r="FK38809" s="7" t="n">
        <f t="normal" ca="1">32-LENB(INDIRECT(ADDRESS(38809,166)))</f>
        <v>0</v>
      </c>
      <c r="FL38809" s="7" t="n">
        <v>7</v>
      </c>
      <c r="FM38809" s="7" t="n">
        <v>65533</v>
      </c>
      <c r="FN38809" s="7" t="n">
        <v>17805</v>
      </c>
      <c r="FO38809" s="7" t="s">
        <v>16</v>
      </c>
      <c r="FP38809" s="7" t="n">
        <f t="normal" ca="1">32-LENB(INDIRECT(ADDRESS(38809,171)))</f>
        <v>0</v>
      </c>
      <c r="FQ38809" s="7" t="n">
        <v>7</v>
      </c>
      <c r="FR38809" s="7" t="n">
        <v>65533</v>
      </c>
      <c r="FS38809" s="7" t="n">
        <v>17806</v>
      </c>
      <c r="FT38809" s="7" t="s">
        <v>16</v>
      </c>
      <c r="FU38809" s="7" t="n">
        <f t="normal" ca="1">32-LENB(INDIRECT(ADDRESS(38809,176)))</f>
        <v>0</v>
      </c>
      <c r="FV38809" s="7" t="n">
        <v>7</v>
      </c>
      <c r="FW38809" s="7" t="n">
        <v>65533</v>
      </c>
      <c r="FX38809" s="7" t="n">
        <v>64268</v>
      </c>
      <c r="FY38809" s="7" t="s">
        <v>16</v>
      </c>
      <c r="FZ38809" s="7" t="n">
        <f t="normal" ca="1">32-LENB(INDIRECT(ADDRESS(38809,181)))</f>
        <v>0</v>
      </c>
      <c r="GA38809" s="7" t="n">
        <v>4</v>
      </c>
      <c r="GB38809" s="7" t="n">
        <v>65533</v>
      </c>
      <c r="GC38809" s="7" t="n">
        <v>2000</v>
      </c>
      <c r="GD38809" s="7" t="s">
        <v>16</v>
      </c>
      <c r="GE38809" s="7" t="n">
        <f t="normal" ca="1">32-LENB(INDIRECT(ADDRESS(38809,186)))</f>
        <v>0</v>
      </c>
      <c r="GF38809" s="7" t="n">
        <v>7</v>
      </c>
      <c r="GG38809" s="7" t="n">
        <v>65533</v>
      </c>
      <c r="GH38809" s="7" t="n">
        <v>17807</v>
      </c>
      <c r="GI38809" s="7" t="s">
        <v>16</v>
      </c>
      <c r="GJ38809" s="7" t="n">
        <f t="normal" ca="1">32-LENB(INDIRECT(ADDRESS(38809,191)))</f>
        <v>0</v>
      </c>
      <c r="GK38809" s="7" t="n">
        <v>7</v>
      </c>
      <c r="GL38809" s="7" t="n">
        <v>65533</v>
      </c>
      <c r="GM38809" s="7" t="n">
        <v>64087</v>
      </c>
      <c r="GN38809" s="7" t="s">
        <v>16</v>
      </c>
      <c r="GO38809" s="7" t="n">
        <f t="normal" ca="1">32-LENB(INDIRECT(ADDRESS(38809,196)))</f>
        <v>0</v>
      </c>
      <c r="GP38809" s="7" t="n">
        <v>7</v>
      </c>
      <c r="GQ38809" s="7" t="n">
        <v>65533</v>
      </c>
      <c r="GR38809" s="7" t="n">
        <v>64088</v>
      </c>
      <c r="GS38809" s="7" t="s">
        <v>16</v>
      </c>
      <c r="GT38809" s="7" t="n">
        <f t="normal" ca="1">32-LENB(INDIRECT(ADDRESS(38809,201)))</f>
        <v>0</v>
      </c>
      <c r="GU38809" s="7" t="n">
        <v>7</v>
      </c>
      <c r="GV38809" s="7" t="n">
        <v>65533</v>
      </c>
      <c r="GW38809" s="7" t="n">
        <v>17808</v>
      </c>
      <c r="GX38809" s="7" t="s">
        <v>16</v>
      </c>
      <c r="GY38809" s="7" t="n">
        <f t="normal" ca="1">32-LENB(INDIRECT(ADDRESS(38809,206)))</f>
        <v>0</v>
      </c>
      <c r="GZ38809" s="7" t="n">
        <v>7</v>
      </c>
      <c r="HA38809" s="7" t="n">
        <v>65533</v>
      </c>
      <c r="HB38809" s="7" t="n">
        <v>64089</v>
      </c>
      <c r="HC38809" s="7" t="s">
        <v>16</v>
      </c>
      <c r="HD38809" s="7" t="n">
        <f t="normal" ca="1">32-LENB(INDIRECT(ADDRESS(38809,211)))</f>
        <v>0</v>
      </c>
      <c r="HE38809" s="7" t="n">
        <v>7</v>
      </c>
      <c r="HF38809" s="7" t="n">
        <v>65533</v>
      </c>
      <c r="HG38809" s="7" t="n">
        <v>64090</v>
      </c>
      <c r="HH38809" s="7" t="s">
        <v>16</v>
      </c>
      <c r="HI38809" s="7" t="n">
        <f t="normal" ca="1">32-LENB(INDIRECT(ADDRESS(38809,216)))</f>
        <v>0</v>
      </c>
      <c r="HJ38809" s="7" t="n">
        <v>7</v>
      </c>
      <c r="HK38809" s="7" t="n">
        <v>65533</v>
      </c>
      <c r="HL38809" s="7" t="n">
        <v>64091</v>
      </c>
      <c r="HM38809" s="7" t="s">
        <v>16</v>
      </c>
      <c r="HN38809" s="7" t="n">
        <f t="normal" ca="1">32-LENB(INDIRECT(ADDRESS(38809,221)))</f>
        <v>0</v>
      </c>
      <c r="HO38809" s="7" t="n">
        <v>7</v>
      </c>
      <c r="HP38809" s="7" t="n">
        <v>65533</v>
      </c>
      <c r="HQ38809" s="7" t="n">
        <v>17809</v>
      </c>
      <c r="HR38809" s="7" t="s">
        <v>16</v>
      </c>
      <c r="HS38809" s="7" t="n">
        <f t="normal" ca="1">32-LENB(INDIRECT(ADDRESS(38809,226)))</f>
        <v>0</v>
      </c>
      <c r="HT38809" s="7" t="n">
        <v>7</v>
      </c>
      <c r="HU38809" s="7" t="n">
        <v>65533</v>
      </c>
      <c r="HV38809" s="7" t="n">
        <v>17810</v>
      </c>
      <c r="HW38809" s="7" t="s">
        <v>16</v>
      </c>
      <c r="HX38809" s="7" t="n">
        <f t="normal" ca="1">32-LENB(INDIRECT(ADDRESS(38809,231)))</f>
        <v>0</v>
      </c>
      <c r="HY38809" s="7" t="n">
        <v>7</v>
      </c>
      <c r="HZ38809" s="7" t="n">
        <v>65533</v>
      </c>
      <c r="IA38809" s="7" t="n">
        <v>17811</v>
      </c>
      <c r="IB38809" s="7" t="s">
        <v>16</v>
      </c>
      <c r="IC38809" s="7" t="n">
        <f t="normal" ca="1">32-LENB(INDIRECT(ADDRESS(38809,236)))</f>
        <v>0</v>
      </c>
      <c r="ID38809" s="7" t="n">
        <v>7</v>
      </c>
      <c r="IE38809" s="7" t="n">
        <v>65533</v>
      </c>
      <c r="IF38809" s="7" t="n">
        <v>17812</v>
      </c>
      <c r="IG38809" s="7" t="s">
        <v>16</v>
      </c>
      <c r="IH38809" s="7" t="n">
        <f t="normal" ca="1">32-LENB(INDIRECT(ADDRESS(38809,241)))</f>
        <v>0</v>
      </c>
      <c r="II38809" s="7" t="n">
        <v>7</v>
      </c>
      <c r="IJ38809" s="7" t="n">
        <v>65533</v>
      </c>
      <c r="IK38809" s="7" t="n">
        <v>17813</v>
      </c>
      <c r="IL38809" s="7" t="s">
        <v>16</v>
      </c>
      <c r="IM38809" s="7" t="n">
        <f t="normal" ca="1">32-LENB(INDIRECT(ADDRESS(38809,246)))</f>
        <v>0</v>
      </c>
      <c r="IN38809" s="7" t="n">
        <v>7</v>
      </c>
      <c r="IO38809" s="7" t="n">
        <v>65533</v>
      </c>
      <c r="IP38809" s="7" t="n">
        <v>64092</v>
      </c>
      <c r="IQ38809" s="7" t="s">
        <v>16</v>
      </c>
      <c r="IR38809" s="7" t="n">
        <f t="normal" ca="1">32-LENB(INDIRECT(ADDRESS(38809,251)))</f>
        <v>0</v>
      </c>
      <c r="IS38809" s="7" t="n">
        <v>7</v>
      </c>
      <c r="IT38809" s="7" t="n">
        <v>65533</v>
      </c>
      <c r="IU38809" s="7" t="n">
        <v>17814</v>
      </c>
      <c r="IV38809" s="7" t="s">
        <v>16</v>
      </c>
      <c r="IW38809" s="7" t="n">
        <f t="normal" ca="1">32-LENB(INDIRECT(ADDRESS(38809,256)))</f>
        <v>0</v>
      </c>
      <c r="IX38809" s="7" t="n">
        <v>7</v>
      </c>
      <c r="IY38809" s="7" t="n">
        <v>65533</v>
      </c>
      <c r="IZ38809" s="7" t="n">
        <v>17815</v>
      </c>
      <c r="JA38809" s="7" t="s">
        <v>16</v>
      </c>
      <c r="JB38809" s="7" t="n">
        <f t="normal" ca="1">32-LENB(INDIRECT(ADDRESS(38809,261)))</f>
        <v>0</v>
      </c>
      <c r="JC38809" s="7" t="n">
        <v>7</v>
      </c>
      <c r="JD38809" s="7" t="n">
        <v>65533</v>
      </c>
      <c r="JE38809" s="7" t="n">
        <v>17816</v>
      </c>
      <c r="JF38809" s="7" t="s">
        <v>16</v>
      </c>
      <c r="JG38809" s="7" t="n">
        <f t="normal" ca="1">32-LENB(INDIRECT(ADDRESS(38809,266)))</f>
        <v>0</v>
      </c>
      <c r="JH38809" s="7" t="n">
        <v>7</v>
      </c>
      <c r="JI38809" s="7" t="n">
        <v>65533</v>
      </c>
      <c r="JJ38809" s="7" t="n">
        <v>64093</v>
      </c>
      <c r="JK38809" s="7" t="s">
        <v>16</v>
      </c>
      <c r="JL38809" s="7" t="n">
        <f t="normal" ca="1">32-LENB(INDIRECT(ADDRESS(38809,271)))</f>
        <v>0</v>
      </c>
      <c r="JM38809" s="7" t="n">
        <v>7</v>
      </c>
      <c r="JN38809" s="7" t="n">
        <v>65533</v>
      </c>
      <c r="JO38809" s="7" t="n">
        <v>64094</v>
      </c>
      <c r="JP38809" s="7" t="s">
        <v>16</v>
      </c>
      <c r="JQ38809" s="7" t="n">
        <f t="normal" ca="1">32-LENB(INDIRECT(ADDRESS(38809,276)))</f>
        <v>0</v>
      </c>
      <c r="JR38809" s="7" t="n">
        <v>7</v>
      </c>
      <c r="JS38809" s="7" t="n">
        <v>65533</v>
      </c>
      <c r="JT38809" s="7" t="n">
        <v>17817</v>
      </c>
      <c r="JU38809" s="7" t="s">
        <v>16</v>
      </c>
      <c r="JV38809" s="7" t="n">
        <f t="normal" ca="1">32-LENB(INDIRECT(ADDRESS(38809,281)))</f>
        <v>0</v>
      </c>
      <c r="JW38809" s="7" t="n">
        <v>0</v>
      </c>
      <c r="JX38809" s="7" t="n">
        <v>65533</v>
      </c>
      <c r="JY38809" s="7" t="n">
        <v>0</v>
      </c>
      <c r="JZ38809" s="7" t="s">
        <v>16</v>
      </c>
      <c r="KA38809" s="7" t="n">
        <f t="normal" ca="1">32-LENB(INDIRECT(ADDRESS(38809,286)))</f>
        <v>0</v>
      </c>
    </row>
    <row r="38810" spans="1:367">
      <c r="A38810" t="s">
        <v>4</v>
      </c>
      <c r="B38810" s="4" t="s">
        <v>5</v>
      </c>
    </row>
    <row r="38811" spans="1:367">
      <c r="A38811" t="n">
        <v>407192</v>
      </c>
      <c r="B38811" s="5" t="n">
        <v>1</v>
      </c>
    </row>
    <row r="38812" spans="1:367" s="3" customFormat="1" customHeight="0">
      <c r="A38812" s="3" t="s">
        <v>2</v>
      </c>
      <c r="B38812" s="3" t="s">
        <v>1871</v>
      </c>
    </row>
    <row r="38813" spans="1:367">
      <c r="A38813" t="s">
        <v>4</v>
      </c>
      <c r="B38813" s="4" t="s">
        <v>5</v>
      </c>
      <c r="C38813" s="4" t="s">
        <v>11</v>
      </c>
      <c r="D38813" s="4" t="s">
        <v>11</v>
      </c>
      <c r="E38813" s="4" t="s">
        <v>15</v>
      </c>
      <c r="F38813" s="4" t="s">
        <v>8</v>
      </c>
      <c r="G38813" s="4" t="s">
        <v>1859</v>
      </c>
      <c r="H38813" s="4" t="s">
        <v>11</v>
      </c>
      <c r="I38813" s="4" t="s">
        <v>11</v>
      </c>
      <c r="J38813" s="4" t="s">
        <v>15</v>
      </c>
      <c r="K38813" s="4" t="s">
        <v>8</v>
      </c>
      <c r="L38813" s="4" t="s">
        <v>1859</v>
      </c>
      <c r="M38813" s="4" t="s">
        <v>11</v>
      </c>
      <c r="N38813" s="4" t="s">
        <v>11</v>
      </c>
      <c r="O38813" s="4" t="s">
        <v>15</v>
      </c>
      <c r="P38813" s="4" t="s">
        <v>8</v>
      </c>
      <c r="Q38813" s="4" t="s">
        <v>1859</v>
      </c>
      <c r="R38813" s="4" t="s">
        <v>11</v>
      </c>
      <c r="S38813" s="4" t="s">
        <v>11</v>
      </c>
      <c r="T38813" s="4" t="s">
        <v>15</v>
      </c>
      <c r="U38813" s="4" t="s">
        <v>8</v>
      </c>
      <c r="V38813" s="4" t="s">
        <v>1859</v>
      </c>
      <c r="W38813" s="4" t="s">
        <v>11</v>
      </c>
      <c r="X38813" s="4" t="s">
        <v>11</v>
      </c>
      <c r="Y38813" s="4" t="s">
        <v>15</v>
      </c>
      <c r="Z38813" s="4" t="s">
        <v>8</v>
      </c>
      <c r="AA38813" s="4" t="s">
        <v>1859</v>
      </c>
      <c r="AB38813" s="4" t="s">
        <v>11</v>
      </c>
      <c r="AC38813" s="4" t="s">
        <v>11</v>
      </c>
      <c r="AD38813" s="4" t="s">
        <v>15</v>
      </c>
      <c r="AE38813" s="4" t="s">
        <v>8</v>
      </c>
      <c r="AF38813" s="4" t="s">
        <v>1859</v>
      </c>
      <c r="AG38813" s="4" t="s">
        <v>11</v>
      </c>
      <c r="AH38813" s="4" t="s">
        <v>11</v>
      </c>
      <c r="AI38813" s="4" t="s">
        <v>15</v>
      </c>
      <c r="AJ38813" s="4" t="s">
        <v>8</v>
      </c>
      <c r="AK38813" s="4" t="s">
        <v>1859</v>
      </c>
      <c r="AL38813" s="4" t="s">
        <v>11</v>
      </c>
      <c r="AM38813" s="4" t="s">
        <v>11</v>
      </c>
      <c r="AN38813" s="4" t="s">
        <v>15</v>
      </c>
      <c r="AO38813" s="4" t="s">
        <v>8</v>
      </c>
      <c r="AP38813" s="4" t="s">
        <v>1859</v>
      </c>
      <c r="AQ38813" s="4" t="s">
        <v>11</v>
      </c>
      <c r="AR38813" s="4" t="s">
        <v>11</v>
      </c>
      <c r="AS38813" s="4" t="s">
        <v>15</v>
      </c>
      <c r="AT38813" s="4" t="s">
        <v>8</v>
      </c>
      <c r="AU38813" s="4" t="s">
        <v>1859</v>
      </c>
      <c r="AV38813" s="4" t="s">
        <v>11</v>
      </c>
      <c r="AW38813" s="4" t="s">
        <v>11</v>
      </c>
      <c r="AX38813" s="4" t="s">
        <v>15</v>
      </c>
      <c r="AY38813" s="4" t="s">
        <v>8</v>
      </c>
      <c r="AZ38813" s="4" t="s">
        <v>1859</v>
      </c>
      <c r="BA38813" s="4" t="s">
        <v>11</v>
      </c>
      <c r="BB38813" s="4" t="s">
        <v>11</v>
      </c>
      <c r="BC38813" s="4" t="s">
        <v>15</v>
      </c>
      <c r="BD38813" s="4" t="s">
        <v>8</v>
      </c>
      <c r="BE38813" s="4" t="s">
        <v>1859</v>
      </c>
      <c r="BF38813" s="4" t="s">
        <v>11</v>
      </c>
      <c r="BG38813" s="4" t="s">
        <v>11</v>
      </c>
      <c r="BH38813" s="4" t="s">
        <v>15</v>
      </c>
      <c r="BI38813" s="4" t="s">
        <v>8</v>
      </c>
      <c r="BJ38813" s="4" t="s">
        <v>1859</v>
      </c>
      <c r="BK38813" s="4" t="s">
        <v>11</v>
      </c>
      <c r="BL38813" s="4" t="s">
        <v>11</v>
      </c>
      <c r="BM38813" s="4" t="s">
        <v>15</v>
      </c>
      <c r="BN38813" s="4" t="s">
        <v>8</v>
      </c>
      <c r="BO38813" s="4" t="s">
        <v>1859</v>
      </c>
      <c r="BP38813" s="4" t="s">
        <v>11</v>
      </c>
      <c r="BQ38813" s="4" t="s">
        <v>11</v>
      </c>
      <c r="BR38813" s="4" t="s">
        <v>15</v>
      </c>
      <c r="BS38813" s="4" t="s">
        <v>8</v>
      </c>
      <c r="BT38813" s="4" t="s">
        <v>1859</v>
      </c>
      <c r="BU38813" s="4" t="s">
        <v>11</v>
      </c>
      <c r="BV38813" s="4" t="s">
        <v>11</v>
      </c>
      <c r="BW38813" s="4" t="s">
        <v>15</v>
      </c>
      <c r="BX38813" s="4" t="s">
        <v>8</v>
      </c>
      <c r="BY38813" s="4" t="s">
        <v>1859</v>
      </c>
      <c r="BZ38813" s="4" t="s">
        <v>11</v>
      </c>
      <c r="CA38813" s="4" t="s">
        <v>11</v>
      </c>
      <c r="CB38813" s="4" t="s">
        <v>15</v>
      </c>
      <c r="CC38813" s="4" t="s">
        <v>8</v>
      </c>
      <c r="CD38813" s="4" t="s">
        <v>1859</v>
      </c>
      <c r="CE38813" s="4" t="s">
        <v>11</v>
      </c>
      <c r="CF38813" s="4" t="s">
        <v>11</v>
      </c>
      <c r="CG38813" s="4" t="s">
        <v>15</v>
      </c>
      <c r="CH38813" s="4" t="s">
        <v>8</v>
      </c>
      <c r="CI38813" s="4" t="s">
        <v>1859</v>
      </c>
      <c r="CJ38813" s="4" t="s">
        <v>11</v>
      </c>
      <c r="CK38813" s="4" t="s">
        <v>11</v>
      </c>
      <c r="CL38813" s="4" t="s">
        <v>15</v>
      </c>
      <c r="CM38813" s="4" t="s">
        <v>8</v>
      </c>
      <c r="CN38813" s="4" t="s">
        <v>1859</v>
      </c>
      <c r="CO38813" s="4" t="s">
        <v>11</v>
      </c>
      <c r="CP38813" s="4" t="s">
        <v>11</v>
      </c>
      <c r="CQ38813" s="4" t="s">
        <v>15</v>
      </c>
      <c r="CR38813" s="4" t="s">
        <v>8</v>
      </c>
      <c r="CS38813" s="4" t="s">
        <v>1859</v>
      </c>
      <c r="CT38813" s="4" t="s">
        <v>11</v>
      </c>
      <c r="CU38813" s="4" t="s">
        <v>11</v>
      </c>
      <c r="CV38813" s="4" t="s">
        <v>15</v>
      </c>
      <c r="CW38813" s="4" t="s">
        <v>8</v>
      </c>
      <c r="CX38813" s="4" t="s">
        <v>1859</v>
      </c>
      <c r="CY38813" s="4" t="s">
        <v>11</v>
      </c>
      <c r="CZ38813" s="4" t="s">
        <v>11</v>
      </c>
      <c r="DA38813" s="4" t="s">
        <v>15</v>
      </c>
      <c r="DB38813" s="4" t="s">
        <v>8</v>
      </c>
      <c r="DC38813" s="4" t="s">
        <v>1859</v>
      </c>
      <c r="DD38813" s="4" t="s">
        <v>11</v>
      </c>
      <c r="DE38813" s="4" t="s">
        <v>11</v>
      </c>
      <c r="DF38813" s="4" t="s">
        <v>15</v>
      </c>
      <c r="DG38813" s="4" t="s">
        <v>8</v>
      </c>
      <c r="DH38813" s="4" t="s">
        <v>1859</v>
      </c>
      <c r="DI38813" s="4" t="s">
        <v>11</v>
      </c>
      <c r="DJ38813" s="4" t="s">
        <v>11</v>
      </c>
      <c r="DK38813" s="4" t="s">
        <v>15</v>
      </c>
      <c r="DL38813" s="4" t="s">
        <v>8</v>
      </c>
      <c r="DM38813" s="4" t="s">
        <v>1859</v>
      </c>
      <c r="DN38813" s="4" t="s">
        <v>11</v>
      </c>
      <c r="DO38813" s="4" t="s">
        <v>11</v>
      </c>
      <c r="DP38813" s="4" t="s">
        <v>15</v>
      </c>
      <c r="DQ38813" s="4" t="s">
        <v>8</v>
      </c>
      <c r="DR38813" s="4" t="s">
        <v>1859</v>
      </c>
      <c r="DS38813" s="4" t="s">
        <v>11</v>
      </c>
      <c r="DT38813" s="4" t="s">
        <v>11</v>
      </c>
      <c r="DU38813" s="4" t="s">
        <v>15</v>
      </c>
      <c r="DV38813" s="4" t="s">
        <v>8</v>
      </c>
      <c r="DW38813" s="4" t="s">
        <v>1859</v>
      </c>
      <c r="DX38813" s="4" t="s">
        <v>11</v>
      </c>
      <c r="DY38813" s="4" t="s">
        <v>11</v>
      </c>
      <c r="DZ38813" s="4" t="s">
        <v>15</v>
      </c>
      <c r="EA38813" s="4" t="s">
        <v>8</v>
      </c>
      <c r="EB38813" s="4" t="s">
        <v>1859</v>
      </c>
      <c r="EC38813" s="4" t="s">
        <v>11</v>
      </c>
      <c r="ED38813" s="4" t="s">
        <v>11</v>
      </c>
      <c r="EE38813" s="4" t="s">
        <v>15</v>
      </c>
      <c r="EF38813" s="4" t="s">
        <v>8</v>
      </c>
      <c r="EG38813" s="4" t="s">
        <v>1859</v>
      </c>
      <c r="EH38813" s="4" t="s">
        <v>11</v>
      </c>
      <c r="EI38813" s="4" t="s">
        <v>11</v>
      </c>
      <c r="EJ38813" s="4" t="s">
        <v>15</v>
      </c>
      <c r="EK38813" s="4" t="s">
        <v>8</v>
      </c>
      <c r="EL38813" s="4" t="s">
        <v>1859</v>
      </c>
      <c r="EM38813" s="4" t="s">
        <v>11</v>
      </c>
      <c r="EN38813" s="4" t="s">
        <v>11</v>
      </c>
      <c r="EO38813" s="4" t="s">
        <v>15</v>
      </c>
      <c r="EP38813" s="4" t="s">
        <v>8</v>
      </c>
      <c r="EQ38813" s="4" t="s">
        <v>1859</v>
      </c>
      <c r="ER38813" s="4" t="s">
        <v>11</v>
      </c>
      <c r="ES38813" s="4" t="s">
        <v>11</v>
      </c>
      <c r="ET38813" s="4" t="s">
        <v>15</v>
      </c>
      <c r="EU38813" s="4" t="s">
        <v>8</v>
      </c>
      <c r="EV38813" s="4" t="s">
        <v>1859</v>
      </c>
      <c r="EW38813" s="4" t="s">
        <v>11</v>
      </c>
      <c r="EX38813" s="4" t="s">
        <v>11</v>
      </c>
      <c r="EY38813" s="4" t="s">
        <v>15</v>
      </c>
      <c r="EZ38813" s="4" t="s">
        <v>8</v>
      </c>
      <c r="FA38813" s="4" t="s">
        <v>1859</v>
      </c>
      <c r="FB38813" s="4" t="s">
        <v>11</v>
      </c>
      <c r="FC38813" s="4" t="s">
        <v>11</v>
      </c>
      <c r="FD38813" s="4" t="s">
        <v>15</v>
      </c>
      <c r="FE38813" s="4" t="s">
        <v>8</v>
      </c>
      <c r="FF38813" s="4" t="s">
        <v>1859</v>
      </c>
      <c r="FG38813" s="4" t="s">
        <v>11</v>
      </c>
      <c r="FH38813" s="4" t="s">
        <v>11</v>
      </c>
      <c r="FI38813" s="4" t="s">
        <v>15</v>
      </c>
      <c r="FJ38813" s="4" t="s">
        <v>8</v>
      </c>
      <c r="FK38813" s="4" t="s">
        <v>1859</v>
      </c>
      <c r="FL38813" s="4" t="s">
        <v>11</v>
      </c>
      <c r="FM38813" s="4" t="s">
        <v>11</v>
      </c>
      <c r="FN38813" s="4" t="s">
        <v>15</v>
      </c>
      <c r="FO38813" s="4" t="s">
        <v>8</v>
      </c>
      <c r="FP38813" s="4" t="s">
        <v>1859</v>
      </c>
      <c r="FQ38813" s="4" t="s">
        <v>11</v>
      </c>
      <c r="FR38813" s="4" t="s">
        <v>11</v>
      </c>
      <c r="FS38813" s="4" t="s">
        <v>15</v>
      </c>
      <c r="FT38813" s="4" t="s">
        <v>8</v>
      </c>
      <c r="FU38813" s="4" t="s">
        <v>1859</v>
      </c>
      <c r="FV38813" s="4" t="s">
        <v>11</v>
      </c>
      <c r="FW38813" s="4" t="s">
        <v>11</v>
      </c>
      <c r="FX38813" s="4" t="s">
        <v>15</v>
      </c>
      <c r="FY38813" s="4" t="s">
        <v>8</v>
      </c>
      <c r="FZ38813" s="4" t="s">
        <v>1859</v>
      </c>
      <c r="GA38813" s="4" t="s">
        <v>11</v>
      </c>
      <c r="GB38813" s="4" t="s">
        <v>11</v>
      </c>
      <c r="GC38813" s="4" t="s">
        <v>15</v>
      </c>
      <c r="GD38813" s="4" t="s">
        <v>8</v>
      </c>
      <c r="GE38813" s="4" t="s">
        <v>1859</v>
      </c>
      <c r="GF38813" s="4" t="s">
        <v>11</v>
      </c>
      <c r="GG38813" s="4" t="s">
        <v>11</v>
      </c>
      <c r="GH38813" s="4" t="s">
        <v>15</v>
      </c>
      <c r="GI38813" s="4" t="s">
        <v>8</v>
      </c>
      <c r="GJ38813" s="4" t="s">
        <v>1859</v>
      </c>
      <c r="GK38813" s="4" t="s">
        <v>11</v>
      </c>
      <c r="GL38813" s="4" t="s">
        <v>11</v>
      </c>
      <c r="GM38813" s="4" t="s">
        <v>15</v>
      </c>
      <c r="GN38813" s="4" t="s">
        <v>8</v>
      </c>
      <c r="GO38813" s="4" t="s">
        <v>1859</v>
      </c>
      <c r="GP38813" s="4" t="s">
        <v>11</v>
      </c>
      <c r="GQ38813" s="4" t="s">
        <v>11</v>
      </c>
      <c r="GR38813" s="4" t="s">
        <v>15</v>
      </c>
      <c r="GS38813" s="4" t="s">
        <v>8</v>
      </c>
      <c r="GT38813" s="4" t="s">
        <v>1859</v>
      </c>
      <c r="GU38813" s="4" t="s">
        <v>11</v>
      </c>
      <c r="GV38813" s="4" t="s">
        <v>11</v>
      </c>
      <c r="GW38813" s="4" t="s">
        <v>15</v>
      </c>
      <c r="GX38813" s="4" t="s">
        <v>8</v>
      </c>
      <c r="GY38813" s="4" t="s">
        <v>1859</v>
      </c>
      <c r="GZ38813" s="4" t="s">
        <v>11</v>
      </c>
      <c r="HA38813" s="4" t="s">
        <v>11</v>
      </c>
      <c r="HB38813" s="4" t="s">
        <v>15</v>
      </c>
      <c r="HC38813" s="4" t="s">
        <v>8</v>
      </c>
      <c r="HD38813" s="4" t="s">
        <v>1859</v>
      </c>
      <c r="HE38813" s="4" t="s">
        <v>11</v>
      </c>
      <c r="HF38813" s="4" t="s">
        <v>11</v>
      </c>
      <c r="HG38813" s="4" t="s">
        <v>15</v>
      </c>
      <c r="HH38813" s="4" t="s">
        <v>8</v>
      </c>
      <c r="HI38813" s="4" t="s">
        <v>1859</v>
      </c>
      <c r="HJ38813" s="4" t="s">
        <v>11</v>
      </c>
      <c r="HK38813" s="4" t="s">
        <v>11</v>
      </c>
      <c r="HL38813" s="4" t="s">
        <v>15</v>
      </c>
      <c r="HM38813" s="4" t="s">
        <v>8</v>
      </c>
      <c r="HN38813" s="4" t="s">
        <v>1859</v>
      </c>
      <c r="HO38813" s="4" t="s">
        <v>11</v>
      </c>
      <c r="HP38813" s="4" t="s">
        <v>11</v>
      </c>
      <c r="HQ38813" s="4" t="s">
        <v>15</v>
      </c>
      <c r="HR38813" s="4" t="s">
        <v>8</v>
      </c>
      <c r="HS38813" s="4" t="s">
        <v>1859</v>
      </c>
      <c r="HT38813" s="4" t="s">
        <v>11</v>
      </c>
      <c r="HU38813" s="4" t="s">
        <v>11</v>
      </c>
      <c r="HV38813" s="4" t="s">
        <v>15</v>
      </c>
      <c r="HW38813" s="4" t="s">
        <v>8</v>
      </c>
      <c r="HX38813" s="4" t="s">
        <v>1859</v>
      </c>
      <c r="HY38813" s="4" t="s">
        <v>11</v>
      </c>
      <c r="HZ38813" s="4" t="s">
        <v>11</v>
      </c>
      <c r="IA38813" s="4" t="s">
        <v>15</v>
      </c>
      <c r="IB38813" s="4" t="s">
        <v>8</v>
      </c>
      <c r="IC38813" s="4" t="s">
        <v>1859</v>
      </c>
      <c r="ID38813" s="4" t="s">
        <v>11</v>
      </c>
      <c r="IE38813" s="4" t="s">
        <v>11</v>
      </c>
      <c r="IF38813" s="4" t="s">
        <v>15</v>
      </c>
      <c r="IG38813" s="4" t="s">
        <v>8</v>
      </c>
      <c r="IH38813" s="4" t="s">
        <v>1859</v>
      </c>
      <c r="II38813" s="4" t="s">
        <v>11</v>
      </c>
      <c r="IJ38813" s="4" t="s">
        <v>11</v>
      </c>
      <c r="IK38813" s="4" t="s">
        <v>15</v>
      </c>
      <c r="IL38813" s="4" t="s">
        <v>8</v>
      </c>
      <c r="IM38813" s="4" t="s">
        <v>1859</v>
      </c>
      <c r="IN38813" s="4" t="s">
        <v>11</v>
      </c>
      <c r="IO38813" s="4" t="s">
        <v>11</v>
      </c>
      <c r="IP38813" s="4" t="s">
        <v>15</v>
      </c>
      <c r="IQ38813" s="4" t="s">
        <v>8</v>
      </c>
      <c r="IR38813" s="4" t="s">
        <v>1859</v>
      </c>
      <c r="IS38813" s="4" t="s">
        <v>11</v>
      </c>
      <c r="IT38813" s="4" t="s">
        <v>11</v>
      </c>
      <c r="IU38813" s="4" t="s">
        <v>15</v>
      </c>
      <c r="IV38813" s="4" t="s">
        <v>8</v>
      </c>
      <c r="IW38813" s="4" t="s">
        <v>1859</v>
      </c>
      <c r="IX38813" s="4" t="s">
        <v>11</v>
      </c>
      <c r="IY38813" s="4" t="s">
        <v>11</v>
      </c>
      <c r="IZ38813" s="4" t="s">
        <v>15</v>
      </c>
      <c r="JA38813" s="4" t="s">
        <v>8</v>
      </c>
      <c r="JB38813" s="4" t="s">
        <v>1859</v>
      </c>
      <c r="JC38813" s="4" t="s">
        <v>11</v>
      </c>
      <c r="JD38813" s="4" t="s">
        <v>11</v>
      </c>
      <c r="JE38813" s="4" t="s">
        <v>15</v>
      </c>
      <c r="JF38813" s="4" t="s">
        <v>8</v>
      </c>
      <c r="JG38813" s="4" t="s">
        <v>1859</v>
      </c>
      <c r="JH38813" s="4" t="s">
        <v>11</v>
      </c>
      <c r="JI38813" s="4" t="s">
        <v>11</v>
      </c>
      <c r="JJ38813" s="4" t="s">
        <v>15</v>
      </c>
      <c r="JK38813" s="4" t="s">
        <v>8</v>
      </c>
      <c r="JL38813" s="4" t="s">
        <v>1859</v>
      </c>
      <c r="JM38813" s="4" t="s">
        <v>11</v>
      </c>
      <c r="JN38813" s="4" t="s">
        <v>11</v>
      </c>
      <c r="JO38813" s="4" t="s">
        <v>15</v>
      </c>
      <c r="JP38813" s="4" t="s">
        <v>8</v>
      </c>
      <c r="JQ38813" s="4" t="s">
        <v>1859</v>
      </c>
      <c r="JR38813" s="4" t="s">
        <v>11</v>
      </c>
      <c r="JS38813" s="4" t="s">
        <v>11</v>
      </c>
      <c r="JT38813" s="4" t="s">
        <v>15</v>
      </c>
      <c r="JU38813" s="4" t="s">
        <v>8</v>
      </c>
      <c r="JV38813" s="4" t="s">
        <v>1859</v>
      </c>
      <c r="JW38813" s="4" t="s">
        <v>11</v>
      </c>
      <c r="JX38813" s="4" t="s">
        <v>11</v>
      </c>
      <c r="JY38813" s="4" t="s">
        <v>15</v>
      </c>
      <c r="JZ38813" s="4" t="s">
        <v>8</v>
      </c>
      <c r="KA38813" s="4" t="s">
        <v>1859</v>
      </c>
      <c r="KB38813" s="4" t="s">
        <v>11</v>
      </c>
      <c r="KC38813" s="4" t="s">
        <v>11</v>
      </c>
      <c r="KD38813" s="4" t="s">
        <v>15</v>
      </c>
      <c r="KE38813" s="4" t="s">
        <v>8</v>
      </c>
      <c r="KF38813" s="4" t="s">
        <v>1859</v>
      </c>
      <c r="KG38813" s="4" t="s">
        <v>11</v>
      </c>
      <c r="KH38813" s="4" t="s">
        <v>11</v>
      </c>
      <c r="KI38813" s="4" t="s">
        <v>15</v>
      </c>
      <c r="KJ38813" s="4" t="s">
        <v>8</v>
      </c>
      <c r="KK38813" s="4" t="s">
        <v>1859</v>
      </c>
      <c r="KL38813" s="4" t="s">
        <v>11</v>
      </c>
      <c r="KM38813" s="4" t="s">
        <v>11</v>
      </c>
      <c r="KN38813" s="4" t="s">
        <v>15</v>
      </c>
      <c r="KO38813" s="4" t="s">
        <v>8</v>
      </c>
      <c r="KP38813" s="4" t="s">
        <v>1859</v>
      </c>
    </row>
    <row r="38814" spans="1:367">
      <c r="A38814" t="n">
        <v>407200</v>
      </c>
      <c r="B38814" s="85" t="n">
        <v>257</v>
      </c>
      <c r="C38814" s="7" t="n">
        <v>7</v>
      </c>
      <c r="D38814" s="7" t="n">
        <v>65533</v>
      </c>
      <c r="E38814" s="7" t="n">
        <v>64095</v>
      </c>
      <c r="F38814" s="7" t="s">
        <v>16</v>
      </c>
      <c r="G38814" s="7" t="n">
        <f t="normal" ca="1">32-LENB(INDIRECT(ADDRESS(38814,6)))</f>
        <v>0</v>
      </c>
      <c r="H38814" s="7" t="n">
        <v>7</v>
      </c>
      <c r="I38814" s="7" t="n">
        <v>65533</v>
      </c>
      <c r="J38814" s="7" t="n">
        <v>64096</v>
      </c>
      <c r="K38814" s="7" t="s">
        <v>16</v>
      </c>
      <c r="L38814" s="7" t="n">
        <f t="normal" ca="1">32-LENB(INDIRECT(ADDRESS(38814,11)))</f>
        <v>0</v>
      </c>
      <c r="M38814" s="7" t="n">
        <v>7</v>
      </c>
      <c r="N38814" s="7" t="n">
        <v>65533</v>
      </c>
      <c r="O38814" s="7" t="n">
        <v>64097</v>
      </c>
      <c r="P38814" s="7" t="s">
        <v>16</v>
      </c>
      <c r="Q38814" s="7" t="n">
        <f t="normal" ca="1">32-LENB(INDIRECT(ADDRESS(38814,16)))</f>
        <v>0</v>
      </c>
      <c r="R38814" s="7" t="n">
        <v>7</v>
      </c>
      <c r="S38814" s="7" t="n">
        <v>65533</v>
      </c>
      <c r="T38814" s="7" t="n">
        <v>64098</v>
      </c>
      <c r="U38814" s="7" t="s">
        <v>16</v>
      </c>
      <c r="V38814" s="7" t="n">
        <f t="normal" ca="1">32-LENB(INDIRECT(ADDRESS(38814,21)))</f>
        <v>0</v>
      </c>
      <c r="W38814" s="7" t="n">
        <v>7</v>
      </c>
      <c r="X38814" s="7" t="n">
        <v>65533</v>
      </c>
      <c r="Y38814" s="7" t="n">
        <v>64099</v>
      </c>
      <c r="Z38814" s="7" t="s">
        <v>16</v>
      </c>
      <c r="AA38814" s="7" t="n">
        <f t="normal" ca="1">32-LENB(INDIRECT(ADDRESS(38814,26)))</f>
        <v>0</v>
      </c>
      <c r="AB38814" s="7" t="n">
        <v>7</v>
      </c>
      <c r="AC38814" s="7" t="n">
        <v>65533</v>
      </c>
      <c r="AD38814" s="7" t="n">
        <v>64100</v>
      </c>
      <c r="AE38814" s="7" t="s">
        <v>16</v>
      </c>
      <c r="AF38814" s="7" t="n">
        <f t="normal" ca="1">32-LENB(INDIRECT(ADDRESS(38814,31)))</f>
        <v>0</v>
      </c>
      <c r="AG38814" s="7" t="n">
        <v>7</v>
      </c>
      <c r="AH38814" s="7" t="n">
        <v>65533</v>
      </c>
      <c r="AI38814" s="7" t="n">
        <v>64101</v>
      </c>
      <c r="AJ38814" s="7" t="s">
        <v>16</v>
      </c>
      <c r="AK38814" s="7" t="n">
        <f t="normal" ca="1">32-LENB(INDIRECT(ADDRESS(38814,36)))</f>
        <v>0</v>
      </c>
      <c r="AL38814" s="7" t="n">
        <v>7</v>
      </c>
      <c r="AM38814" s="7" t="n">
        <v>65533</v>
      </c>
      <c r="AN38814" s="7" t="n">
        <v>64102</v>
      </c>
      <c r="AO38814" s="7" t="s">
        <v>16</v>
      </c>
      <c r="AP38814" s="7" t="n">
        <f t="normal" ca="1">32-LENB(INDIRECT(ADDRESS(38814,41)))</f>
        <v>0</v>
      </c>
      <c r="AQ38814" s="7" t="n">
        <v>7</v>
      </c>
      <c r="AR38814" s="7" t="n">
        <v>65533</v>
      </c>
      <c r="AS38814" s="7" t="n">
        <v>64103</v>
      </c>
      <c r="AT38814" s="7" t="s">
        <v>16</v>
      </c>
      <c r="AU38814" s="7" t="n">
        <f t="normal" ca="1">32-LENB(INDIRECT(ADDRESS(38814,46)))</f>
        <v>0</v>
      </c>
      <c r="AV38814" s="7" t="n">
        <v>7</v>
      </c>
      <c r="AW38814" s="7" t="n">
        <v>65533</v>
      </c>
      <c r="AX38814" s="7" t="n">
        <v>64104</v>
      </c>
      <c r="AY38814" s="7" t="s">
        <v>16</v>
      </c>
      <c r="AZ38814" s="7" t="n">
        <f t="normal" ca="1">32-LENB(INDIRECT(ADDRESS(38814,51)))</f>
        <v>0</v>
      </c>
      <c r="BA38814" s="7" t="n">
        <v>7</v>
      </c>
      <c r="BB38814" s="7" t="n">
        <v>65533</v>
      </c>
      <c r="BC38814" s="7" t="n">
        <v>64105</v>
      </c>
      <c r="BD38814" s="7" t="s">
        <v>16</v>
      </c>
      <c r="BE38814" s="7" t="n">
        <f t="normal" ca="1">32-LENB(INDIRECT(ADDRESS(38814,56)))</f>
        <v>0</v>
      </c>
      <c r="BF38814" s="7" t="n">
        <v>7</v>
      </c>
      <c r="BG38814" s="7" t="n">
        <v>65533</v>
      </c>
      <c r="BH38814" s="7" t="n">
        <v>64106</v>
      </c>
      <c r="BI38814" s="7" t="s">
        <v>16</v>
      </c>
      <c r="BJ38814" s="7" t="n">
        <f t="normal" ca="1">32-LENB(INDIRECT(ADDRESS(38814,61)))</f>
        <v>0</v>
      </c>
      <c r="BK38814" s="7" t="n">
        <v>7</v>
      </c>
      <c r="BL38814" s="7" t="n">
        <v>65533</v>
      </c>
      <c r="BM38814" s="7" t="n">
        <v>64107</v>
      </c>
      <c r="BN38814" s="7" t="s">
        <v>16</v>
      </c>
      <c r="BO38814" s="7" t="n">
        <f t="normal" ca="1">32-LENB(INDIRECT(ADDRESS(38814,66)))</f>
        <v>0</v>
      </c>
      <c r="BP38814" s="7" t="n">
        <v>7</v>
      </c>
      <c r="BQ38814" s="7" t="n">
        <v>65533</v>
      </c>
      <c r="BR38814" s="7" t="n">
        <v>64108</v>
      </c>
      <c r="BS38814" s="7" t="s">
        <v>16</v>
      </c>
      <c r="BT38814" s="7" t="n">
        <f t="normal" ca="1">32-LENB(INDIRECT(ADDRESS(38814,71)))</f>
        <v>0</v>
      </c>
      <c r="BU38814" s="7" t="n">
        <v>7</v>
      </c>
      <c r="BV38814" s="7" t="n">
        <v>65533</v>
      </c>
      <c r="BW38814" s="7" t="n">
        <v>64109</v>
      </c>
      <c r="BX38814" s="7" t="s">
        <v>16</v>
      </c>
      <c r="BY38814" s="7" t="n">
        <f t="normal" ca="1">32-LENB(INDIRECT(ADDRESS(38814,76)))</f>
        <v>0</v>
      </c>
      <c r="BZ38814" s="7" t="n">
        <v>7</v>
      </c>
      <c r="CA38814" s="7" t="n">
        <v>65533</v>
      </c>
      <c r="CB38814" s="7" t="n">
        <v>64110</v>
      </c>
      <c r="CC38814" s="7" t="s">
        <v>16</v>
      </c>
      <c r="CD38814" s="7" t="n">
        <f t="normal" ca="1">32-LENB(INDIRECT(ADDRESS(38814,81)))</f>
        <v>0</v>
      </c>
      <c r="CE38814" s="7" t="n">
        <v>7</v>
      </c>
      <c r="CF38814" s="7" t="n">
        <v>65533</v>
      </c>
      <c r="CG38814" s="7" t="n">
        <v>64111</v>
      </c>
      <c r="CH38814" s="7" t="s">
        <v>16</v>
      </c>
      <c r="CI38814" s="7" t="n">
        <f t="normal" ca="1">32-LENB(INDIRECT(ADDRESS(38814,86)))</f>
        <v>0</v>
      </c>
      <c r="CJ38814" s="7" t="n">
        <v>7</v>
      </c>
      <c r="CK38814" s="7" t="n">
        <v>65533</v>
      </c>
      <c r="CL38814" s="7" t="n">
        <v>64112</v>
      </c>
      <c r="CM38814" s="7" t="s">
        <v>16</v>
      </c>
      <c r="CN38814" s="7" t="n">
        <f t="normal" ca="1">32-LENB(INDIRECT(ADDRESS(38814,91)))</f>
        <v>0</v>
      </c>
      <c r="CO38814" s="7" t="n">
        <v>7</v>
      </c>
      <c r="CP38814" s="7" t="n">
        <v>65533</v>
      </c>
      <c r="CQ38814" s="7" t="n">
        <v>64113</v>
      </c>
      <c r="CR38814" s="7" t="s">
        <v>16</v>
      </c>
      <c r="CS38814" s="7" t="n">
        <f t="normal" ca="1">32-LENB(INDIRECT(ADDRESS(38814,96)))</f>
        <v>0</v>
      </c>
      <c r="CT38814" s="7" t="n">
        <v>7</v>
      </c>
      <c r="CU38814" s="7" t="n">
        <v>65533</v>
      </c>
      <c r="CV38814" s="7" t="n">
        <v>64114</v>
      </c>
      <c r="CW38814" s="7" t="s">
        <v>16</v>
      </c>
      <c r="CX38814" s="7" t="n">
        <f t="normal" ca="1">32-LENB(INDIRECT(ADDRESS(38814,101)))</f>
        <v>0</v>
      </c>
      <c r="CY38814" s="7" t="n">
        <v>7</v>
      </c>
      <c r="CZ38814" s="7" t="n">
        <v>65533</v>
      </c>
      <c r="DA38814" s="7" t="n">
        <v>64115</v>
      </c>
      <c r="DB38814" s="7" t="s">
        <v>16</v>
      </c>
      <c r="DC38814" s="7" t="n">
        <f t="normal" ca="1">32-LENB(INDIRECT(ADDRESS(38814,106)))</f>
        <v>0</v>
      </c>
      <c r="DD38814" s="7" t="n">
        <v>7</v>
      </c>
      <c r="DE38814" s="7" t="n">
        <v>65533</v>
      </c>
      <c r="DF38814" s="7" t="n">
        <v>6800</v>
      </c>
      <c r="DG38814" s="7" t="s">
        <v>16</v>
      </c>
      <c r="DH38814" s="7" t="n">
        <f t="normal" ca="1">32-LENB(INDIRECT(ADDRESS(38814,111)))</f>
        <v>0</v>
      </c>
      <c r="DI38814" s="7" t="n">
        <v>7</v>
      </c>
      <c r="DJ38814" s="7" t="n">
        <v>65533</v>
      </c>
      <c r="DK38814" s="7" t="n">
        <v>6801</v>
      </c>
      <c r="DL38814" s="7" t="s">
        <v>16</v>
      </c>
      <c r="DM38814" s="7" t="n">
        <f t="normal" ca="1">32-LENB(INDIRECT(ADDRESS(38814,116)))</f>
        <v>0</v>
      </c>
      <c r="DN38814" s="7" t="n">
        <v>7</v>
      </c>
      <c r="DO38814" s="7" t="n">
        <v>65533</v>
      </c>
      <c r="DP38814" s="7" t="n">
        <v>64116</v>
      </c>
      <c r="DQ38814" s="7" t="s">
        <v>16</v>
      </c>
      <c r="DR38814" s="7" t="n">
        <f t="normal" ca="1">32-LENB(INDIRECT(ADDRESS(38814,121)))</f>
        <v>0</v>
      </c>
      <c r="DS38814" s="7" t="n">
        <v>7</v>
      </c>
      <c r="DT38814" s="7" t="n">
        <v>65533</v>
      </c>
      <c r="DU38814" s="7" t="n">
        <v>64117</v>
      </c>
      <c r="DV38814" s="7" t="s">
        <v>16</v>
      </c>
      <c r="DW38814" s="7" t="n">
        <f t="normal" ca="1">32-LENB(INDIRECT(ADDRESS(38814,126)))</f>
        <v>0</v>
      </c>
      <c r="DX38814" s="7" t="n">
        <v>7</v>
      </c>
      <c r="DY38814" s="7" t="n">
        <v>65533</v>
      </c>
      <c r="DZ38814" s="7" t="n">
        <v>64118</v>
      </c>
      <c r="EA38814" s="7" t="s">
        <v>16</v>
      </c>
      <c r="EB38814" s="7" t="n">
        <f t="normal" ca="1">32-LENB(INDIRECT(ADDRESS(38814,131)))</f>
        <v>0</v>
      </c>
      <c r="EC38814" s="7" t="n">
        <v>7</v>
      </c>
      <c r="ED38814" s="7" t="n">
        <v>65533</v>
      </c>
      <c r="EE38814" s="7" t="n">
        <v>6802</v>
      </c>
      <c r="EF38814" s="7" t="s">
        <v>16</v>
      </c>
      <c r="EG38814" s="7" t="n">
        <f t="normal" ca="1">32-LENB(INDIRECT(ADDRESS(38814,136)))</f>
        <v>0</v>
      </c>
      <c r="EH38814" s="7" t="n">
        <v>7</v>
      </c>
      <c r="EI38814" s="7" t="n">
        <v>65533</v>
      </c>
      <c r="EJ38814" s="7" t="n">
        <v>6803</v>
      </c>
      <c r="EK38814" s="7" t="s">
        <v>16</v>
      </c>
      <c r="EL38814" s="7" t="n">
        <f t="normal" ca="1">32-LENB(INDIRECT(ADDRESS(38814,141)))</f>
        <v>0</v>
      </c>
      <c r="EM38814" s="7" t="n">
        <v>7</v>
      </c>
      <c r="EN38814" s="7" t="n">
        <v>65533</v>
      </c>
      <c r="EO38814" s="7" t="n">
        <v>6804</v>
      </c>
      <c r="EP38814" s="7" t="s">
        <v>16</v>
      </c>
      <c r="EQ38814" s="7" t="n">
        <f t="normal" ca="1">32-LENB(INDIRECT(ADDRESS(38814,146)))</f>
        <v>0</v>
      </c>
      <c r="ER38814" s="7" t="n">
        <v>7</v>
      </c>
      <c r="ES38814" s="7" t="n">
        <v>65533</v>
      </c>
      <c r="ET38814" s="7" t="n">
        <v>6805</v>
      </c>
      <c r="EU38814" s="7" t="s">
        <v>16</v>
      </c>
      <c r="EV38814" s="7" t="n">
        <f t="normal" ca="1">32-LENB(INDIRECT(ADDRESS(38814,151)))</f>
        <v>0</v>
      </c>
      <c r="EW38814" s="7" t="n">
        <v>7</v>
      </c>
      <c r="EX38814" s="7" t="n">
        <v>65533</v>
      </c>
      <c r="EY38814" s="7" t="n">
        <v>6806</v>
      </c>
      <c r="EZ38814" s="7" t="s">
        <v>16</v>
      </c>
      <c r="FA38814" s="7" t="n">
        <f t="normal" ca="1">32-LENB(INDIRECT(ADDRESS(38814,156)))</f>
        <v>0</v>
      </c>
      <c r="FB38814" s="7" t="n">
        <v>7</v>
      </c>
      <c r="FC38814" s="7" t="n">
        <v>65533</v>
      </c>
      <c r="FD38814" s="7" t="n">
        <v>64119</v>
      </c>
      <c r="FE38814" s="7" t="s">
        <v>16</v>
      </c>
      <c r="FF38814" s="7" t="n">
        <f t="normal" ca="1">32-LENB(INDIRECT(ADDRESS(38814,161)))</f>
        <v>0</v>
      </c>
      <c r="FG38814" s="7" t="n">
        <v>7</v>
      </c>
      <c r="FH38814" s="7" t="n">
        <v>65533</v>
      </c>
      <c r="FI38814" s="7" t="n">
        <v>6807</v>
      </c>
      <c r="FJ38814" s="7" t="s">
        <v>16</v>
      </c>
      <c r="FK38814" s="7" t="n">
        <f t="normal" ca="1">32-LENB(INDIRECT(ADDRESS(38814,166)))</f>
        <v>0</v>
      </c>
      <c r="FL38814" s="7" t="n">
        <v>7</v>
      </c>
      <c r="FM38814" s="7" t="n">
        <v>65533</v>
      </c>
      <c r="FN38814" s="7" t="n">
        <v>6808</v>
      </c>
      <c r="FO38814" s="7" t="s">
        <v>16</v>
      </c>
      <c r="FP38814" s="7" t="n">
        <f t="normal" ca="1">32-LENB(INDIRECT(ADDRESS(38814,171)))</f>
        <v>0</v>
      </c>
      <c r="FQ38814" s="7" t="n">
        <v>7</v>
      </c>
      <c r="FR38814" s="7" t="n">
        <v>65533</v>
      </c>
      <c r="FS38814" s="7" t="n">
        <v>6809</v>
      </c>
      <c r="FT38814" s="7" t="s">
        <v>16</v>
      </c>
      <c r="FU38814" s="7" t="n">
        <f t="normal" ca="1">32-LENB(INDIRECT(ADDRESS(38814,176)))</f>
        <v>0</v>
      </c>
      <c r="FV38814" s="7" t="n">
        <v>7</v>
      </c>
      <c r="FW38814" s="7" t="n">
        <v>65533</v>
      </c>
      <c r="FX38814" s="7" t="n">
        <v>6810</v>
      </c>
      <c r="FY38814" s="7" t="s">
        <v>16</v>
      </c>
      <c r="FZ38814" s="7" t="n">
        <f t="normal" ca="1">32-LENB(INDIRECT(ADDRESS(38814,181)))</f>
        <v>0</v>
      </c>
      <c r="GA38814" s="7" t="n">
        <v>7</v>
      </c>
      <c r="GB38814" s="7" t="n">
        <v>65533</v>
      </c>
      <c r="GC38814" s="7" t="n">
        <v>64120</v>
      </c>
      <c r="GD38814" s="7" t="s">
        <v>16</v>
      </c>
      <c r="GE38814" s="7" t="n">
        <f t="normal" ca="1">32-LENB(INDIRECT(ADDRESS(38814,186)))</f>
        <v>0</v>
      </c>
      <c r="GF38814" s="7" t="n">
        <v>7</v>
      </c>
      <c r="GG38814" s="7" t="n">
        <v>65533</v>
      </c>
      <c r="GH38814" s="7" t="n">
        <v>64121</v>
      </c>
      <c r="GI38814" s="7" t="s">
        <v>16</v>
      </c>
      <c r="GJ38814" s="7" t="n">
        <f t="normal" ca="1">32-LENB(INDIRECT(ADDRESS(38814,191)))</f>
        <v>0</v>
      </c>
      <c r="GK38814" s="7" t="n">
        <v>7</v>
      </c>
      <c r="GL38814" s="7" t="n">
        <v>65533</v>
      </c>
      <c r="GM38814" s="7" t="n">
        <v>64122</v>
      </c>
      <c r="GN38814" s="7" t="s">
        <v>16</v>
      </c>
      <c r="GO38814" s="7" t="n">
        <f t="normal" ca="1">32-LENB(INDIRECT(ADDRESS(38814,196)))</f>
        <v>0</v>
      </c>
      <c r="GP38814" s="7" t="n">
        <v>7</v>
      </c>
      <c r="GQ38814" s="7" t="n">
        <v>65533</v>
      </c>
      <c r="GR38814" s="7" t="n">
        <v>6811</v>
      </c>
      <c r="GS38814" s="7" t="s">
        <v>16</v>
      </c>
      <c r="GT38814" s="7" t="n">
        <f t="normal" ca="1">32-LENB(INDIRECT(ADDRESS(38814,201)))</f>
        <v>0</v>
      </c>
      <c r="GU38814" s="7" t="n">
        <v>7</v>
      </c>
      <c r="GV38814" s="7" t="n">
        <v>65533</v>
      </c>
      <c r="GW38814" s="7" t="n">
        <v>6812</v>
      </c>
      <c r="GX38814" s="7" t="s">
        <v>16</v>
      </c>
      <c r="GY38814" s="7" t="n">
        <f t="normal" ca="1">32-LENB(INDIRECT(ADDRESS(38814,206)))</f>
        <v>0</v>
      </c>
      <c r="GZ38814" s="7" t="n">
        <v>7</v>
      </c>
      <c r="HA38814" s="7" t="n">
        <v>65533</v>
      </c>
      <c r="HB38814" s="7" t="n">
        <v>64123</v>
      </c>
      <c r="HC38814" s="7" t="s">
        <v>16</v>
      </c>
      <c r="HD38814" s="7" t="n">
        <f t="normal" ca="1">32-LENB(INDIRECT(ADDRESS(38814,211)))</f>
        <v>0</v>
      </c>
      <c r="HE38814" s="7" t="n">
        <v>7</v>
      </c>
      <c r="HF38814" s="7" t="n">
        <v>65533</v>
      </c>
      <c r="HG38814" s="7" t="n">
        <v>6813</v>
      </c>
      <c r="HH38814" s="7" t="s">
        <v>16</v>
      </c>
      <c r="HI38814" s="7" t="n">
        <f t="normal" ca="1">32-LENB(INDIRECT(ADDRESS(38814,216)))</f>
        <v>0</v>
      </c>
      <c r="HJ38814" s="7" t="n">
        <v>7</v>
      </c>
      <c r="HK38814" s="7" t="n">
        <v>65533</v>
      </c>
      <c r="HL38814" s="7" t="n">
        <v>6814</v>
      </c>
      <c r="HM38814" s="7" t="s">
        <v>16</v>
      </c>
      <c r="HN38814" s="7" t="n">
        <f t="normal" ca="1">32-LENB(INDIRECT(ADDRESS(38814,221)))</f>
        <v>0</v>
      </c>
      <c r="HO38814" s="7" t="n">
        <v>7</v>
      </c>
      <c r="HP38814" s="7" t="n">
        <v>65533</v>
      </c>
      <c r="HQ38814" s="7" t="n">
        <v>6815</v>
      </c>
      <c r="HR38814" s="7" t="s">
        <v>16</v>
      </c>
      <c r="HS38814" s="7" t="n">
        <f t="normal" ca="1">32-LENB(INDIRECT(ADDRESS(38814,226)))</f>
        <v>0</v>
      </c>
      <c r="HT38814" s="7" t="n">
        <v>7</v>
      </c>
      <c r="HU38814" s="7" t="n">
        <v>65533</v>
      </c>
      <c r="HV38814" s="7" t="n">
        <v>6816</v>
      </c>
      <c r="HW38814" s="7" t="s">
        <v>16</v>
      </c>
      <c r="HX38814" s="7" t="n">
        <f t="normal" ca="1">32-LENB(INDIRECT(ADDRESS(38814,231)))</f>
        <v>0</v>
      </c>
      <c r="HY38814" s="7" t="n">
        <v>7</v>
      </c>
      <c r="HZ38814" s="7" t="n">
        <v>65533</v>
      </c>
      <c r="IA38814" s="7" t="n">
        <v>64124</v>
      </c>
      <c r="IB38814" s="7" t="s">
        <v>16</v>
      </c>
      <c r="IC38814" s="7" t="n">
        <f t="normal" ca="1">32-LENB(INDIRECT(ADDRESS(38814,236)))</f>
        <v>0</v>
      </c>
      <c r="ID38814" s="7" t="n">
        <v>7</v>
      </c>
      <c r="IE38814" s="7" t="n">
        <v>65533</v>
      </c>
      <c r="IF38814" s="7" t="n">
        <v>64125</v>
      </c>
      <c r="IG38814" s="7" t="s">
        <v>16</v>
      </c>
      <c r="IH38814" s="7" t="n">
        <f t="normal" ca="1">32-LENB(INDIRECT(ADDRESS(38814,241)))</f>
        <v>0</v>
      </c>
      <c r="II38814" s="7" t="n">
        <v>7</v>
      </c>
      <c r="IJ38814" s="7" t="n">
        <v>65533</v>
      </c>
      <c r="IK38814" s="7" t="n">
        <v>64126</v>
      </c>
      <c r="IL38814" s="7" t="s">
        <v>16</v>
      </c>
      <c r="IM38814" s="7" t="n">
        <f t="normal" ca="1">32-LENB(INDIRECT(ADDRESS(38814,246)))</f>
        <v>0</v>
      </c>
      <c r="IN38814" s="7" t="n">
        <v>7</v>
      </c>
      <c r="IO38814" s="7" t="n">
        <v>65533</v>
      </c>
      <c r="IP38814" s="7" t="n">
        <v>64127</v>
      </c>
      <c r="IQ38814" s="7" t="s">
        <v>16</v>
      </c>
      <c r="IR38814" s="7" t="n">
        <f t="normal" ca="1">32-LENB(INDIRECT(ADDRESS(38814,251)))</f>
        <v>0</v>
      </c>
      <c r="IS38814" s="7" t="n">
        <v>7</v>
      </c>
      <c r="IT38814" s="7" t="n">
        <v>65533</v>
      </c>
      <c r="IU38814" s="7" t="n">
        <v>6817</v>
      </c>
      <c r="IV38814" s="7" t="s">
        <v>16</v>
      </c>
      <c r="IW38814" s="7" t="n">
        <f t="normal" ca="1">32-LENB(INDIRECT(ADDRESS(38814,256)))</f>
        <v>0</v>
      </c>
      <c r="IX38814" s="7" t="n">
        <v>7</v>
      </c>
      <c r="IY38814" s="7" t="n">
        <v>65533</v>
      </c>
      <c r="IZ38814" s="7" t="n">
        <v>6818</v>
      </c>
      <c r="JA38814" s="7" t="s">
        <v>16</v>
      </c>
      <c r="JB38814" s="7" t="n">
        <f t="normal" ca="1">32-LENB(INDIRECT(ADDRESS(38814,261)))</f>
        <v>0</v>
      </c>
      <c r="JC38814" s="7" t="n">
        <v>7</v>
      </c>
      <c r="JD38814" s="7" t="n">
        <v>65533</v>
      </c>
      <c r="JE38814" s="7" t="n">
        <v>6819</v>
      </c>
      <c r="JF38814" s="7" t="s">
        <v>16</v>
      </c>
      <c r="JG38814" s="7" t="n">
        <f t="normal" ca="1">32-LENB(INDIRECT(ADDRESS(38814,266)))</f>
        <v>0</v>
      </c>
      <c r="JH38814" s="7" t="n">
        <v>7</v>
      </c>
      <c r="JI38814" s="7" t="n">
        <v>65533</v>
      </c>
      <c r="JJ38814" s="7" t="n">
        <v>64128</v>
      </c>
      <c r="JK38814" s="7" t="s">
        <v>16</v>
      </c>
      <c r="JL38814" s="7" t="n">
        <f t="normal" ca="1">32-LENB(INDIRECT(ADDRESS(38814,271)))</f>
        <v>0</v>
      </c>
      <c r="JM38814" s="7" t="n">
        <v>4</v>
      </c>
      <c r="JN38814" s="7" t="n">
        <v>65533</v>
      </c>
      <c r="JO38814" s="7" t="n">
        <v>2000</v>
      </c>
      <c r="JP38814" s="7" t="s">
        <v>16</v>
      </c>
      <c r="JQ38814" s="7" t="n">
        <f t="normal" ca="1">32-LENB(INDIRECT(ADDRESS(38814,276)))</f>
        <v>0</v>
      </c>
      <c r="JR38814" s="7" t="n">
        <v>7</v>
      </c>
      <c r="JS38814" s="7" t="n">
        <v>65533</v>
      </c>
      <c r="JT38814" s="7" t="n">
        <v>6820</v>
      </c>
      <c r="JU38814" s="7" t="s">
        <v>16</v>
      </c>
      <c r="JV38814" s="7" t="n">
        <f t="normal" ca="1">32-LENB(INDIRECT(ADDRESS(38814,281)))</f>
        <v>0</v>
      </c>
      <c r="JW38814" s="7" t="n">
        <v>7</v>
      </c>
      <c r="JX38814" s="7" t="n">
        <v>65533</v>
      </c>
      <c r="JY38814" s="7" t="n">
        <v>6821</v>
      </c>
      <c r="JZ38814" s="7" t="s">
        <v>16</v>
      </c>
      <c r="KA38814" s="7" t="n">
        <f t="normal" ca="1">32-LENB(INDIRECT(ADDRESS(38814,286)))</f>
        <v>0</v>
      </c>
      <c r="KB38814" s="7" t="n">
        <v>7</v>
      </c>
      <c r="KC38814" s="7" t="n">
        <v>65533</v>
      </c>
      <c r="KD38814" s="7" t="n">
        <v>64129</v>
      </c>
      <c r="KE38814" s="7" t="s">
        <v>16</v>
      </c>
      <c r="KF38814" s="7" t="n">
        <f t="normal" ca="1">32-LENB(INDIRECT(ADDRESS(38814,291)))</f>
        <v>0</v>
      </c>
      <c r="KG38814" s="7" t="n">
        <v>7</v>
      </c>
      <c r="KH38814" s="7" t="n">
        <v>65533</v>
      </c>
      <c r="KI38814" s="7" t="n">
        <v>64130</v>
      </c>
      <c r="KJ38814" s="7" t="s">
        <v>16</v>
      </c>
      <c r="KK38814" s="7" t="n">
        <f t="normal" ca="1">32-LENB(INDIRECT(ADDRESS(38814,296)))</f>
        <v>0</v>
      </c>
      <c r="KL38814" s="7" t="n">
        <v>0</v>
      </c>
      <c r="KM38814" s="7" t="n">
        <v>65533</v>
      </c>
      <c r="KN38814" s="7" t="n">
        <v>0</v>
      </c>
      <c r="KO38814" s="7" t="s">
        <v>16</v>
      </c>
      <c r="KP38814" s="7" t="n">
        <f t="normal" ca="1">32-LENB(INDIRECT(ADDRESS(38814,301)))</f>
        <v>0</v>
      </c>
    </row>
    <row r="38815" spans="1:367">
      <c r="A38815" t="s">
        <v>4</v>
      </c>
      <c r="B38815" s="4" t="s">
        <v>5</v>
      </c>
    </row>
    <row r="38816" spans="1:367">
      <c r="A38816" t="n">
        <v>409600</v>
      </c>
      <c r="B38816" s="5" t="n">
        <v>1</v>
      </c>
    </row>
    <row r="38817" spans="1:317" s="3" customFormat="1" customHeight="0">
      <c r="A38817" s="3" t="s">
        <v>2</v>
      </c>
      <c r="B38817" s="3" t="s">
        <v>1872</v>
      </c>
    </row>
    <row r="38818" spans="1:317">
      <c r="A38818" t="s">
        <v>4</v>
      </c>
      <c r="B38818" s="4" t="s">
        <v>5</v>
      </c>
      <c r="C38818" s="4" t="s">
        <v>11</v>
      </c>
      <c r="D38818" s="4" t="s">
        <v>11</v>
      </c>
      <c r="E38818" s="4" t="s">
        <v>15</v>
      </c>
      <c r="F38818" s="4" t="s">
        <v>8</v>
      </c>
      <c r="G38818" s="4" t="s">
        <v>1859</v>
      </c>
      <c r="H38818" s="4" t="s">
        <v>11</v>
      </c>
      <c r="I38818" s="4" t="s">
        <v>11</v>
      </c>
      <c r="J38818" s="4" t="s">
        <v>15</v>
      </c>
      <c r="K38818" s="4" t="s">
        <v>8</v>
      </c>
      <c r="L38818" s="4" t="s">
        <v>1859</v>
      </c>
      <c r="M38818" s="4" t="s">
        <v>11</v>
      </c>
      <c r="N38818" s="4" t="s">
        <v>11</v>
      </c>
      <c r="O38818" s="4" t="s">
        <v>15</v>
      </c>
      <c r="P38818" s="4" t="s">
        <v>8</v>
      </c>
      <c r="Q38818" s="4" t="s">
        <v>1859</v>
      </c>
      <c r="R38818" s="4" t="s">
        <v>11</v>
      </c>
      <c r="S38818" s="4" t="s">
        <v>11</v>
      </c>
      <c r="T38818" s="4" t="s">
        <v>15</v>
      </c>
      <c r="U38818" s="4" t="s">
        <v>8</v>
      </c>
      <c r="V38818" s="4" t="s">
        <v>1859</v>
      </c>
      <c r="W38818" s="4" t="s">
        <v>11</v>
      </c>
      <c r="X38818" s="4" t="s">
        <v>11</v>
      </c>
      <c r="Y38818" s="4" t="s">
        <v>15</v>
      </c>
      <c r="Z38818" s="4" t="s">
        <v>8</v>
      </c>
      <c r="AA38818" s="4" t="s">
        <v>1859</v>
      </c>
      <c r="AB38818" s="4" t="s">
        <v>11</v>
      </c>
      <c r="AC38818" s="4" t="s">
        <v>11</v>
      </c>
      <c r="AD38818" s="4" t="s">
        <v>15</v>
      </c>
      <c r="AE38818" s="4" t="s">
        <v>8</v>
      </c>
      <c r="AF38818" s="4" t="s">
        <v>1859</v>
      </c>
      <c r="AG38818" s="4" t="s">
        <v>11</v>
      </c>
      <c r="AH38818" s="4" t="s">
        <v>11</v>
      </c>
      <c r="AI38818" s="4" t="s">
        <v>15</v>
      </c>
      <c r="AJ38818" s="4" t="s">
        <v>8</v>
      </c>
      <c r="AK38818" s="4" t="s">
        <v>1859</v>
      </c>
      <c r="AL38818" s="4" t="s">
        <v>11</v>
      </c>
      <c r="AM38818" s="4" t="s">
        <v>11</v>
      </c>
      <c r="AN38818" s="4" t="s">
        <v>15</v>
      </c>
      <c r="AO38818" s="4" t="s">
        <v>8</v>
      </c>
      <c r="AP38818" s="4" t="s">
        <v>1859</v>
      </c>
      <c r="AQ38818" s="4" t="s">
        <v>11</v>
      </c>
      <c r="AR38818" s="4" t="s">
        <v>11</v>
      </c>
      <c r="AS38818" s="4" t="s">
        <v>15</v>
      </c>
      <c r="AT38818" s="4" t="s">
        <v>8</v>
      </c>
      <c r="AU38818" s="4" t="s">
        <v>1859</v>
      </c>
      <c r="AV38818" s="4" t="s">
        <v>11</v>
      </c>
      <c r="AW38818" s="4" t="s">
        <v>11</v>
      </c>
      <c r="AX38818" s="4" t="s">
        <v>15</v>
      </c>
      <c r="AY38818" s="4" t="s">
        <v>8</v>
      </c>
      <c r="AZ38818" s="4" t="s">
        <v>1859</v>
      </c>
      <c r="BA38818" s="4" t="s">
        <v>11</v>
      </c>
      <c r="BB38818" s="4" t="s">
        <v>11</v>
      </c>
      <c r="BC38818" s="4" t="s">
        <v>15</v>
      </c>
      <c r="BD38818" s="4" t="s">
        <v>8</v>
      </c>
      <c r="BE38818" s="4" t="s">
        <v>1859</v>
      </c>
      <c r="BF38818" s="4" t="s">
        <v>11</v>
      </c>
      <c r="BG38818" s="4" t="s">
        <v>11</v>
      </c>
      <c r="BH38818" s="4" t="s">
        <v>15</v>
      </c>
      <c r="BI38818" s="4" t="s">
        <v>8</v>
      </c>
      <c r="BJ38818" s="4" t="s">
        <v>1859</v>
      </c>
      <c r="BK38818" s="4" t="s">
        <v>11</v>
      </c>
      <c r="BL38818" s="4" t="s">
        <v>11</v>
      </c>
      <c r="BM38818" s="4" t="s">
        <v>15</v>
      </c>
      <c r="BN38818" s="4" t="s">
        <v>8</v>
      </c>
      <c r="BO38818" s="4" t="s">
        <v>1859</v>
      </c>
      <c r="BP38818" s="4" t="s">
        <v>11</v>
      </c>
      <c r="BQ38818" s="4" t="s">
        <v>11</v>
      </c>
      <c r="BR38818" s="4" t="s">
        <v>15</v>
      </c>
      <c r="BS38818" s="4" t="s">
        <v>8</v>
      </c>
      <c r="BT38818" s="4" t="s">
        <v>1859</v>
      </c>
      <c r="BU38818" s="4" t="s">
        <v>11</v>
      </c>
      <c r="BV38818" s="4" t="s">
        <v>11</v>
      </c>
      <c r="BW38818" s="4" t="s">
        <v>15</v>
      </c>
      <c r="BX38818" s="4" t="s">
        <v>8</v>
      </c>
      <c r="BY38818" s="4" t="s">
        <v>1859</v>
      </c>
      <c r="BZ38818" s="4" t="s">
        <v>11</v>
      </c>
      <c r="CA38818" s="4" t="s">
        <v>11</v>
      </c>
      <c r="CB38818" s="4" t="s">
        <v>15</v>
      </c>
      <c r="CC38818" s="4" t="s">
        <v>8</v>
      </c>
      <c r="CD38818" s="4" t="s">
        <v>1859</v>
      </c>
      <c r="CE38818" s="4" t="s">
        <v>11</v>
      </c>
      <c r="CF38818" s="4" t="s">
        <v>11</v>
      </c>
      <c r="CG38818" s="4" t="s">
        <v>15</v>
      </c>
      <c r="CH38818" s="4" t="s">
        <v>8</v>
      </c>
      <c r="CI38818" s="4" t="s">
        <v>1859</v>
      </c>
      <c r="CJ38818" s="4" t="s">
        <v>11</v>
      </c>
      <c r="CK38818" s="4" t="s">
        <v>11</v>
      </c>
      <c r="CL38818" s="4" t="s">
        <v>15</v>
      </c>
      <c r="CM38818" s="4" t="s">
        <v>8</v>
      </c>
      <c r="CN38818" s="4" t="s">
        <v>1859</v>
      </c>
      <c r="CO38818" s="4" t="s">
        <v>11</v>
      </c>
      <c r="CP38818" s="4" t="s">
        <v>11</v>
      </c>
      <c r="CQ38818" s="4" t="s">
        <v>15</v>
      </c>
      <c r="CR38818" s="4" t="s">
        <v>8</v>
      </c>
      <c r="CS38818" s="4" t="s">
        <v>1859</v>
      </c>
      <c r="CT38818" s="4" t="s">
        <v>11</v>
      </c>
      <c r="CU38818" s="4" t="s">
        <v>11</v>
      </c>
      <c r="CV38818" s="4" t="s">
        <v>15</v>
      </c>
      <c r="CW38818" s="4" t="s">
        <v>8</v>
      </c>
      <c r="CX38818" s="4" t="s">
        <v>1859</v>
      </c>
      <c r="CY38818" s="4" t="s">
        <v>11</v>
      </c>
      <c r="CZ38818" s="4" t="s">
        <v>11</v>
      </c>
      <c r="DA38818" s="4" t="s">
        <v>15</v>
      </c>
      <c r="DB38818" s="4" t="s">
        <v>8</v>
      </c>
      <c r="DC38818" s="4" t="s">
        <v>1859</v>
      </c>
      <c r="DD38818" s="4" t="s">
        <v>11</v>
      </c>
      <c r="DE38818" s="4" t="s">
        <v>11</v>
      </c>
      <c r="DF38818" s="4" t="s">
        <v>15</v>
      </c>
      <c r="DG38818" s="4" t="s">
        <v>8</v>
      </c>
      <c r="DH38818" s="4" t="s">
        <v>1859</v>
      </c>
      <c r="DI38818" s="4" t="s">
        <v>11</v>
      </c>
      <c r="DJ38818" s="4" t="s">
        <v>11</v>
      </c>
      <c r="DK38818" s="4" t="s">
        <v>15</v>
      </c>
      <c r="DL38818" s="4" t="s">
        <v>8</v>
      </c>
      <c r="DM38818" s="4" t="s">
        <v>1859</v>
      </c>
      <c r="DN38818" s="4" t="s">
        <v>11</v>
      </c>
      <c r="DO38818" s="4" t="s">
        <v>11</v>
      </c>
      <c r="DP38818" s="4" t="s">
        <v>15</v>
      </c>
      <c r="DQ38818" s="4" t="s">
        <v>8</v>
      </c>
      <c r="DR38818" s="4" t="s">
        <v>1859</v>
      </c>
      <c r="DS38818" s="4" t="s">
        <v>11</v>
      </c>
      <c r="DT38818" s="4" t="s">
        <v>11</v>
      </c>
      <c r="DU38818" s="4" t="s">
        <v>15</v>
      </c>
      <c r="DV38818" s="4" t="s">
        <v>8</v>
      </c>
      <c r="DW38818" s="4" t="s">
        <v>1859</v>
      </c>
      <c r="DX38818" s="4" t="s">
        <v>11</v>
      </c>
      <c r="DY38818" s="4" t="s">
        <v>11</v>
      </c>
      <c r="DZ38818" s="4" t="s">
        <v>15</v>
      </c>
      <c r="EA38818" s="4" t="s">
        <v>8</v>
      </c>
      <c r="EB38818" s="4" t="s">
        <v>1859</v>
      </c>
      <c r="EC38818" s="4" t="s">
        <v>11</v>
      </c>
      <c r="ED38818" s="4" t="s">
        <v>11</v>
      </c>
      <c r="EE38818" s="4" t="s">
        <v>15</v>
      </c>
      <c r="EF38818" s="4" t="s">
        <v>8</v>
      </c>
      <c r="EG38818" s="4" t="s">
        <v>1859</v>
      </c>
      <c r="EH38818" s="4" t="s">
        <v>11</v>
      </c>
      <c r="EI38818" s="4" t="s">
        <v>11</v>
      </c>
      <c r="EJ38818" s="4" t="s">
        <v>15</v>
      </c>
      <c r="EK38818" s="4" t="s">
        <v>8</v>
      </c>
      <c r="EL38818" s="4" t="s">
        <v>1859</v>
      </c>
      <c r="EM38818" s="4" t="s">
        <v>11</v>
      </c>
      <c r="EN38818" s="4" t="s">
        <v>11</v>
      </c>
      <c r="EO38818" s="4" t="s">
        <v>15</v>
      </c>
      <c r="EP38818" s="4" t="s">
        <v>8</v>
      </c>
      <c r="EQ38818" s="4" t="s">
        <v>1859</v>
      </c>
      <c r="ER38818" s="4" t="s">
        <v>11</v>
      </c>
      <c r="ES38818" s="4" t="s">
        <v>11</v>
      </c>
      <c r="ET38818" s="4" t="s">
        <v>15</v>
      </c>
      <c r="EU38818" s="4" t="s">
        <v>8</v>
      </c>
      <c r="EV38818" s="4" t="s">
        <v>1859</v>
      </c>
      <c r="EW38818" s="4" t="s">
        <v>11</v>
      </c>
      <c r="EX38818" s="4" t="s">
        <v>11</v>
      </c>
      <c r="EY38818" s="4" t="s">
        <v>15</v>
      </c>
      <c r="EZ38818" s="4" t="s">
        <v>8</v>
      </c>
      <c r="FA38818" s="4" t="s">
        <v>1859</v>
      </c>
      <c r="FB38818" s="4" t="s">
        <v>11</v>
      </c>
      <c r="FC38818" s="4" t="s">
        <v>11</v>
      </c>
      <c r="FD38818" s="4" t="s">
        <v>15</v>
      </c>
      <c r="FE38818" s="4" t="s">
        <v>8</v>
      </c>
      <c r="FF38818" s="4" t="s">
        <v>1859</v>
      </c>
      <c r="FG38818" s="4" t="s">
        <v>11</v>
      </c>
      <c r="FH38818" s="4" t="s">
        <v>11</v>
      </c>
      <c r="FI38818" s="4" t="s">
        <v>15</v>
      </c>
      <c r="FJ38818" s="4" t="s">
        <v>8</v>
      </c>
      <c r="FK38818" s="4" t="s">
        <v>1859</v>
      </c>
      <c r="FL38818" s="4" t="s">
        <v>11</v>
      </c>
      <c r="FM38818" s="4" t="s">
        <v>11</v>
      </c>
      <c r="FN38818" s="4" t="s">
        <v>15</v>
      </c>
      <c r="FO38818" s="4" t="s">
        <v>8</v>
      </c>
      <c r="FP38818" s="4" t="s">
        <v>1859</v>
      </c>
      <c r="FQ38818" s="4" t="s">
        <v>11</v>
      </c>
      <c r="FR38818" s="4" t="s">
        <v>11</v>
      </c>
      <c r="FS38818" s="4" t="s">
        <v>15</v>
      </c>
      <c r="FT38818" s="4" t="s">
        <v>8</v>
      </c>
      <c r="FU38818" s="4" t="s">
        <v>1859</v>
      </c>
      <c r="FV38818" s="4" t="s">
        <v>11</v>
      </c>
      <c r="FW38818" s="4" t="s">
        <v>11</v>
      </c>
      <c r="FX38818" s="4" t="s">
        <v>15</v>
      </c>
      <c r="FY38818" s="4" t="s">
        <v>8</v>
      </c>
      <c r="FZ38818" s="4" t="s">
        <v>1859</v>
      </c>
      <c r="GA38818" s="4" t="s">
        <v>11</v>
      </c>
      <c r="GB38818" s="4" t="s">
        <v>11</v>
      </c>
      <c r="GC38818" s="4" t="s">
        <v>15</v>
      </c>
      <c r="GD38818" s="4" t="s">
        <v>8</v>
      </c>
      <c r="GE38818" s="4" t="s">
        <v>1859</v>
      </c>
      <c r="GF38818" s="4" t="s">
        <v>11</v>
      </c>
      <c r="GG38818" s="4" t="s">
        <v>11</v>
      </c>
      <c r="GH38818" s="4" t="s">
        <v>15</v>
      </c>
      <c r="GI38818" s="4" t="s">
        <v>8</v>
      </c>
      <c r="GJ38818" s="4" t="s">
        <v>1859</v>
      </c>
      <c r="GK38818" s="4" t="s">
        <v>11</v>
      </c>
      <c r="GL38818" s="4" t="s">
        <v>11</v>
      </c>
      <c r="GM38818" s="4" t="s">
        <v>15</v>
      </c>
      <c r="GN38818" s="4" t="s">
        <v>8</v>
      </c>
      <c r="GO38818" s="4" t="s">
        <v>1859</v>
      </c>
      <c r="GP38818" s="4" t="s">
        <v>11</v>
      </c>
      <c r="GQ38818" s="4" t="s">
        <v>11</v>
      </c>
      <c r="GR38818" s="4" t="s">
        <v>15</v>
      </c>
      <c r="GS38818" s="4" t="s">
        <v>8</v>
      </c>
      <c r="GT38818" s="4" t="s">
        <v>1859</v>
      </c>
      <c r="GU38818" s="4" t="s">
        <v>11</v>
      </c>
      <c r="GV38818" s="4" t="s">
        <v>11</v>
      </c>
      <c r="GW38818" s="4" t="s">
        <v>15</v>
      </c>
      <c r="GX38818" s="4" t="s">
        <v>8</v>
      </c>
      <c r="GY38818" s="4" t="s">
        <v>1859</v>
      </c>
      <c r="GZ38818" s="4" t="s">
        <v>11</v>
      </c>
      <c r="HA38818" s="4" t="s">
        <v>11</v>
      </c>
      <c r="HB38818" s="4" t="s">
        <v>15</v>
      </c>
      <c r="HC38818" s="4" t="s">
        <v>8</v>
      </c>
      <c r="HD38818" s="4" t="s">
        <v>1859</v>
      </c>
      <c r="HE38818" s="4" t="s">
        <v>11</v>
      </c>
      <c r="HF38818" s="4" t="s">
        <v>11</v>
      </c>
      <c r="HG38818" s="4" t="s">
        <v>15</v>
      </c>
      <c r="HH38818" s="4" t="s">
        <v>8</v>
      </c>
      <c r="HI38818" s="4" t="s">
        <v>1859</v>
      </c>
      <c r="HJ38818" s="4" t="s">
        <v>11</v>
      </c>
      <c r="HK38818" s="4" t="s">
        <v>11</v>
      </c>
      <c r="HL38818" s="4" t="s">
        <v>15</v>
      </c>
      <c r="HM38818" s="4" t="s">
        <v>8</v>
      </c>
      <c r="HN38818" s="4" t="s">
        <v>1859</v>
      </c>
      <c r="HO38818" s="4" t="s">
        <v>11</v>
      </c>
      <c r="HP38818" s="4" t="s">
        <v>11</v>
      </c>
      <c r="HQ38818" s="4" t="s">
        <v>15</v>
      </c>
      <c r="HR38818" s="4" t="s">
        <v>8</v>
      </c>
      <c r="HS38818" s="4" t="s">
        <v>1859</v>
      </c>
      <c r="HT38818" s="4" t="s">
        <v>11</v>
      </c>
      <c r="HU38818" s="4" t="s">
        <v>11</v>
      </c>
      <c r="HV38818" s="4" t="s">
        <v>15</v>
      </c>
      <c r="HW38818" s="4" t="s">
        <v>8</v>
      </c>
      <c r="HX38818" s="4" t="s">
        <v>1859</v>
      </c>
      <c r="HY38818" s="4" t="s">
        <v>11</v>
      </c>
      <c r="HZ38818" s="4" t="s">
        <v>11</v>
      </c>
      <c r="IA38818" s="4" t="s">
        <v>15</v>
      </c>
      <c r="IB38818" s="4" t="s">
        <v>8</v>
      </c>
      <c r="IC38818" s="4" t="s">
        <v>1859</v>
      </c>
      <c r="ID38818" s="4" t="s">
        <v>11</v>
      </c>
      <c r="IE38818" s="4" t="s">
        <v>11</v>
      </c>
      <c r="IF38818" s="4" t="s">
        <v>15</v>
      </c>
      <c r="IG38818" s="4" t="s">
        <v>8</v>
      </c>
      <c r="IH38818" s="4" t="s">
        <v>1859</v>
      </c>
      <c r="II38818" s="4" t="s">
        <v>11</v>
      </c>
      <c r="IJ38818" s="4" t="s">
        <v>11</v>
      </c>
      <c r="IK38818" s="4" t="s">
        <v>15</v>
      </c>
      <c r="IL38818" s="4" t="s">
        <v>8</v>
      </c>
      <c r="IM38818" s="4" t="s">
        <v>1859</v>
      </c>
      <c r="IN38818" s="4" t="s">
        <v>11</v>
      </c>
      <c r="IO38818" s="4" t="s">
        <v>11</v>
      </c>
      <c r="IP38818" s="4" t="s">
        <v>15</v>
      </c>
      <c r="IQ38818" s="4" t="s">
        <v>8</v>
      </c>
      <c r="IR38818" s="4" t="s">
        <v>1859</v>
      </c>
      <c r="IS38818" s="4" t="s">
        <v>11</v>
      </c>
      <c r="IT38818" s="4" t="s">
        <v>11</v>
      </c>
      <c r="IU38818" s="4" t="s">
        <v>15</v>
      </c>
      <c r="IV38818" s="4" t="s">
        <v>8</v>
      </c>
      <c r="IW38818" s="4" t="s">
        <v>1859</v>
      </c>
      <c r="IX38818" s="4" t="s">
        <v>11</v>
      </c>
      <c r="IY38818" s="4" t="s">
        <v>11</v>
      </c>
      <c r="IZ38818" s="4" t="s">
        <v>15</v>
      </c>
      <c r="JA38818" s="4" t="s">
        <v>8</v>
      </c>
      <c r="JB38818" s="4" t="s">
        <v>1859</v>
      </c>
      <c r="JC38818" s="4" t="s">
        <v>11</v>
      </c>
      <c r="JD38818" s="4" t="s">
        <v>11</v>
      </c>
      <c r="JE38818" s="4" t="s">
        <v>15</v>
      </c>
      <c r="JF38818" s="4" t="s">
        <v>8</v>
      </c>
      <c r="JG38818" s="4" t="s">
        <v>1859</v>
      </c>
      <c r="JH38818" s="4" t="s">
        <v>11</v>
      </c>
      <c r="JI38818" s="4" t="s">
        <v>11</v>
      </c>
      <c r="JJ38818" s="4" t="s">
        <v>15</v>
      </c>
      <c r="JK38818" s="4" t="s">
        <v>8</v>
      </c>
      <c r="JL38818" s="4" t="s">
        <v>1859</v>
      </c>
      <c r="JM38818" s="4" t="s">
        <v>11</v>
      </c>
      <c r="JN38818" s="4" t="s">
        <v>11</v>
      </c>
      <c r="JO38818" s="4" t="s">
        <v>15</v>
      </c>
      <c r="JP38818" s="4" t="s">
        <v>8</v>
      </c>
      <c r="JQ38818" s="4" t="s">
        <v>1859</v>
      </c>
      <c r="JR38818" s="4" t="s">
        <v>11</v>
      </c>
      <c r="JS38818" s="4" t="s">
        <v>11</v>
      </c>
      <c r="JT38818" s="4" t="s">
        <v>15</v>
      </c>
      <c r="JU38818" s="4" t="s">
        <v>8</v>
      </c>
      <c r="JV38818" s="4" t="s">
        <v>1859</v>
      </c>
      <c r="JW38818" s="4" t="s">
        <v>11</v>
      </c>
      <c r="JX38818" s="4" t="s">
        <v>11</v>
      </c>
      <c r="JY38818" s="4" t="s">
        <v>15</v>
      </c>
      <c r="JZ38818" s="4" t="s">
        <v>8</v>
      </c>
      <c r="KA38818" s="4" t="s">
        <v>1859</v>
      </c>
      <c r="KB38818" s="4" t="s">
        <v>11</v>
      </c>
      <c r="KC38818" s="4" t="s">
        <v>11</v>
      </c>
      <c r="KD38818" s="4" t="s">
        <v>15</v>
      </c>
      <c r="KE38818" s="4" t="s">
        <v>8</v>
      </c>
      <c r="KF38818" s="4" t="s">
        <v>1859</v>
      </c>
      <c r="KG38818" s="4" t="s">
        <v>11</v>
      </c>
      <c r="KH38818" s="4" t="s">
        <v>11</v>
      </c>
      <c r="KI38818" s="4" t="s">
        <v>15</v>
      </c>
      <c r="KJ38818" s="4" t="s">
        <v>8</v>
      </c>
      <c r="KK38818" s="4" t="s">
        <v>1859</v>
      </c>
      <c r="KL38818" s="4" t="s">
        <v>11</v>
      </c>
      <c r="KM38818" s="4" t="s">
        <v>11</v>
      </c>
      <c r="KN38818" s="4" t="s">
        <v>15</v>
      </c>
      <c r="KO38818" s="4" t="s">
        <v>8</v>
      </c>
      <c r="KP38818" s="4" t="s">
        <v>1859</v>
      </c>
      <c r="KQ38818" s="4" t="s">
        <v>11</v>
      </c>
      <c r="KR38818" s="4" t="s">
        <v>11</v>
      </c>
      <c r="KS38818" s="4" t="s">
        <v>15</v>
      </c>
      <c r="KT38818" s="4" t="s">
        <v>8</v>
      </c>
      <c r="KU38818" s="4" t="s">
        <v>1859</v>
      </c>
      <c r="KV38818" s="4" t="s">
        <v>11</v>
      </c>
      <c r="KW38818" s="4" t="s">
        <v>11</v>
      </c>
      <c r="KX38818" s="4" t="s">
        <v>15</v>
      </c>
      <c r="KY38818" s="4" t="s">
        <v>8</v>
      </c>
      <c r="KZ38818" s="4" t="s">
        <v>1859</v>
      </c>
      <c r="LA38818" s="4" t="s">
        <v>11</v>
      </c>
      <c r="LB38818" s="4" t="s">
        <v>11</v>
      </c>
      <c r="LC38818" s="4" t="s">
        <v>15</v>
      </c>
      <c r="LD38818" s="4" t="s">
        <v>8</v>
      </c>
      <c r="LE38818" s="4" t="s">
        <v>1859</v>
      </c>
      <c r="LF38818" s="4" t="s">
        <v>11</v>
      </c>
      <c r="LG38818" s="4" t="s">
        <v>11</v>
      </c>
      <c r="LH38818" s="4" t="s">
        <v>15</v>
      </c>
      <c r="LI38818" s="4" t="s">
        <v>8</v>
      </c>
      <c r="LJ38818" s="4" t="s">
        <v>1859</v>
      </c>
      <c r="LK38818" s="4" t="s">
        <v>11</v>
      </c>
      <c r="LL38818" s="4" t="s">
        <v>11</v>
      </c>
      <c r="LM38818" s="4" t="s">
        <v>15</v>
      </c>
      <c r="LN38818" s="4" t="s">
        <v>8</v>
      </c>
      <c r="LO38818" s="4" t="s">
        <v>1859</v>
      </c>
      <c r="LP38818" s="4" t="s">
        <v>11</v>
      </c>
      <c r="LQ38818" s="4" t="s">
        <v>11</v>
      </c>
      <c r="LR38818" s="4" t="s">
        <v>15</v>
      </c>
      <c r="LS38818" s="4" t="s">
        <v>8</v>
      </c>
      <c r="LT38818" s="4" t="s">
        <v>1859</v>
      </c>
      <c r="LU38818" s="4" t="s">
        <v>11</v>
      </c>
      <c r="LV38818" s="4" t="s">
        <v>11</v>
      </c>
      <c r="LW38818" s="4" t="s">
        <v>15</v>
      </c>
      <c r="LX38818" s="4" t="s">
        <v>8</v>
      </c>
      <c r="LY38818" s="4" t="s">
        <v>1859</v>
      </c>
      <c r="LZ38818" s="4" t="s">
        <v>11</v>
      </c>
      <c r="MA38818" s="4" t="s">
        <v>11</v>
      </c>
      <c r="MB38818" s="4" t="s">
        <v>15</v>
      </c>
      <c r="MC38818" s="4" t="s">
        <v>8</v>
      </c>
      <c r="MD38818" s="4" t="s">
        <v>1859</v>
      </c>
      <c r="ME38818" s="4" t="s">
        <v>11</v>
      </c>
      <c r="MF38818" s="4" t="s">
        <v>11</v>
      </c>
      <c r="MG38818" s="4" t="s">
        <v>15</v>
      </c>
      <c r="MH38818" s="4" t="s">
        <v>8</v>
      </c>
      <c r="MI38818" s="4" t="s">
        <v>1859</v>
      </c>
      <c r="MJ38818" s="4" t="s">
        <v>11</v>
      </c>
      <c r="MK38818" s="4" t="s">
        <v>11</v>
      </c>
      <c r="ML38818" s="4" t="s">
        <v>15</v>
      </c>
      <c r="MM38818" s="4" t="s">
        <v>8</v>
      </c>
      <c r="MN38818" s="4" t="s">
        <v>1859</v>
      </c>
      <c r="MO38818" s="4" t="s">
        <v>11</v>
      </c>
      <c r="MP38818" s="4" t="s">
        <v>11</v>
      </c>
      <c r="MQ38818" s="4" t="s">
        <v>15</v>
      </c>
      <c r="MR38818" s="4" t="s">
        <v>8</v>
      </c>
      <c r="MS38818" s="4" t="s">
        <v>1859</v>
      </c>
      <c r="MT38818" s="4" t="s">
        <v>11</v>
      </c>
      <c r="MU38818" s="4" t="s">
        <v>11</v>
      </c>
      <c r="MV38818" s="4" t="s">
        <v>15</v>
      </c>
      <c r="MW38818" s="4" t="s">
        <v>8</v>
      </c>
      <c r="MX38818" s="4" t="s">
        <v>1859</v>
      </c>
      <c r="MY38818" s="4" t="s">
        <v>11</v>
      </c>
      <c r="MZ38818" s="4" t="s">
        <v>11</v>
      </c>
      <c r="NA38818" s="4" t="s">
        <v>15</v>
      </c>
      <c r="NB38818" s="4" t="s">
        <v>8</v>
      </c>
      <c r="NC38818" s="4" t="s">
        <v>1859</v>
      </c>
    </row>
    <row r="38819" spans="1:317">
      <c r="A38819" t="n">
        <v>409616</v>
      </c>
      <c r="B38819" s="85" t="n">
        <v>257</v>
      </c>
      <c r="C38819" s="7" t="n">
        <v>7</v>
      </c>
      <c r="D38819" s="7" t="n">
        <v>65533</v>
      </c>
      <c r="E38819" s="7" t="n">
        <v>64131</v>
      </c>
      <c r="F38819" s="7" t="s">
        <v>16</v>
      </c>
      <c r="G38819" s="7" t="n">
        <f t="normal" ca="1">32-LENB(INDIRECT(ADDRESS(38819,6)))</f>
        <v>0</v>
      </c>
      <c r="H38819" s="7" t="n">
        <v>7</v>
      </c>
      <c r="I38819" s="7" t="n">
        <v>65533</v>
      </c>
      <c r="J38819" s="7" t="n">
        <v>64132</v>
      </c>
      <c r="K38819" s="7" t="s">
        <v>16</v>
      </c>
      <c r="L38819" s="7" t="n">
        <f t="normal" ca="1">32-LENB(INDIRECT(ADDRESS(38819,11)))</f>
        <v>0</v>
      </c>
      <c r="M38819" s="7" t="n">
        <v>7</v>
      </c>
      <c r="N38819" s="7" t="n">
        <v>65533</v>
      </c>
      <c r="O38819" s="7" t="n">
        <v>64133</v>
      </c>
      <c r="P38819" s="7" t="s">
        <v>16</v>
      </c>
      <c r="Q38819" s="7" t="n">
        <f t="normal" ca="1">32-LENB(INDIRECT(ADDRESS(38819,16)))</f>
        <v>0</v>
      </c>
      <c r="R38819" s="7" t="n">
        <v>7</v>
      </c>
      <c r="S38819" s="7" t="n">
        <v>65533</v>
      </c>
      <c r="T38819" s="7" t="n">
        <v>64134</v>
      </c>
      <c r="U38819" s="7" t="s">
        <v>16</v>
      </c>
      <c r="V38819" s="7" t="n">
        <f t="normal" ca="1">32-LENB(INDIRECT(ADDRESS(38819,21)))</f>
        <v>0</v>
      </c>
      <c r="W38819" s="7" t="n">
        <v>7</v>
      </c>
      <c r="X38819" s="7" t="n">
        <v>65533</v>
      </c>
      <c r="Y38819" s="7" t="n">
        <v>64135</v>
      </c>
      <c r="Z38819" s="7" t="s">
        <v>16</v>
      </c>
      <c r="AA38819" s="7" t="n">
        <f t="normal" ca="1">32-LENB(INDIRECT(ADDRESS(38819,26)))</f>
        <v>0</v>
      </c>
      <c r="AB38819" s="7" t="n">
        <v>7</v>
      </c>
      <c r="AC38819" s="7" t="n">
        <v>65533</v>
      </c>
      <c r="AD38819" s="7" t="n">
        <v>64136</v>
      </c>
      <c r="AE38819" s="7" t="s">
        <v>16</v>
      </c>
      <c r="AF38819" s="7" t="n">
        <f t="normal" ca="1">32-LENB(INDIRECT(ADDRESS(38819,31)))</f>
        <v>0</v>
      </c>
      <c r="AG38819" s="7" t="n">
        <v>7</v>
      </c>
      <c r="AH38819" s="7" t="n">
        <v>65533</v>
      </c>
      <c r="AI38819" s="7" t="n">
        <v>64137</v>
      </c>
      <c r="AJ38819" s="7" t="s">
        <v>16</v>
      </c>
      <c r="AK38819" s="7" t="n">
        <f t="normal" ca="1">32-LENB(INDIRECT(ADDRESS(38819,36)))</f>
        <v>0</v>
      </c>
      <c r="AL38819" s="7" t="n">
        <v>7</v>
      </c>
      <c r="AM38819" s="7" t="n">
        <v>65533</v>
      </c>
      <c r="AN38819" s="7" t="n">
        <v>64138</v>
      </c>
      <c r="AO38819" s="7" t="s">
        <v>16</v>
      </c>
      <c r="AP38819" s="7" t="n">
        <f t="normal" ca="1">32-LENB(INDIRECT(ADDRESS(38819,41)))</f>
        <v>0</v>
      </c>
      <c r="AQ38819" s="7" t="n">
        <v>7</v>
      </c>
      <c r="AR38819" s="7" t="n">
        <v>65533</v>
      </c>
      <c r="AS38819" s="7" t="n">
        <v>64139</v>
      </c>
      <c r="AT38819" s="7" t="s">
        <v>16</v>
      </c>
      <c r="AU38819" s="7" t="n">
        <f t="normal" ca="1">32-LENB(INDIRECT(ADDRESS(38819,46)))</f>
        <v>0</v>
      </c>
      <c r="AV38819" s="7" t="n">
        <v>7</v>
      </c>
      <c r="AW38819" s="7" t="n">
        <v>65533</v>
      </c>
      <c r="AX38819" s="7" t="n">
        <v>64140</v>
      </c>
      <c r="AY38819" s="7" t="s">
        <v>16</v>
      </c>
      <c r="AZ38819" s="7" t="n">
        <f t="normal" ca="1">32-LENB(INDIRECT(ADDRESS(38819,51)))</f>
        <v>0</v>
      </c>
      <c r="BA38819" s="7" t="n">
        <v>7</v>
      </c>
      <c r="BB38819" s="7" t="n">
        <v>65533</v>
      </c>
      <c r="BC38819" s="7" t="n">
        <v>64141</v>
      </c>
      <c r="BD38819" s="7" t="s">
        <v>16</v>
      </c>
      <c r="BE38819" s="7" t="n">
        <f t="normal" ca="1">32-LENB(INDIRECT(ADDRESS(38819,56)))</f>
        <v>0</v>
      </c>
      <c r="BF38819" s="7" t="n">
        <v>7</v>
      </c>
      <c r="BG38819" s="7" t="n">
        <v>65533</v>
      </c>
      <c r="BH38819" s="7" t="n">
        <v>64142</v>
      </c>
      <c r="BI38819" s="7" t="s">
        <v>16</v>
      </c>
      <c r="BJ38819" s="7" t="n">
        <f t="normal" ca="1">32-LENB(INDIRECT(ADDRESS(38819,61)))</f>
        <v>0</v>
      </c>
      <c r="BK38819" s="7" t="n">
        <v>7</v>
      </c>
      <c r="BL38819" s="7" t="n">
        <v>65533</v>
      </c>
      <c r="BM38819" s="7" t="n">
        <v>64143</v>
      </c>
      <c r="BN38819" s="7" t="s">
        <v>16</v>
      </c>
      <c r="BO38819" s="7" t="n">
        <f t="normal" ca="1">32-LENB(INDIRECT(ADDRESS(38819,66)))</f>
        <v>0</v>
      </c>
      <c r="BP38819" s="7" t="n">
        <v>7</v>
      </c>
      <c r="BQ38819" s="7" t="n">
        <v>65533</v>
      </c>
      <c r="BR38819" s="7" t="n">
        <v>64144</v>
      </c>
      <c r="BS38819" s="7" t="s">
        <v>16</v>
      </c>
      <c r="BT38819" s="7" t="n">
        <f t="normal" ca="1">32-LENB(INDIRECT(ADDRESS(38819,71)))</f>
        <v>0</v>
      </c>
      <c r="BU38819" s="7" t="n">
        <v>7</v>
      </c>
      <c r="BV38819" s="7" t="n">
        <v>65533</v>
      </c>
      <c r="BW38819" s="7" t="n">
        <v>64145</v>
      </c>
      <c r="BX38819" s="7" t="s">
        <v>16</v>
      </c>
      <c r="BY38819" s="7" t="n">
        <f t="normal" ca="1">32-LENB(INDIRECT(ADDRESS(38819,76)))</f>
        <v>0</v>
      </c>
      <c r="BZ38819" s="7" t="n">
        <v>7</v>
      </c>
      <c r="CA38819" s="7" t="n">
        <v>65533</v>
      </c>
      <c r="CB38819" s="7" t="n">
        <v>64146</v>
      </c>
      <c r="CC38819" s="7" t="s">
        <v>16</v>
      </c>
      <c r="CD38819" s="7" t="n">
        <f t="normal" ca="1">32-LENB(INDIRECT(ADDRESS(38819,81)))</f>
        <v>0</v>
      </c>
      <c r="CE38819" s="7" t="n">
        <v>7</v>
      </c>
      <c r="CF38819" s="7" t="n">
        <v>65533</v>
      </c>
      <c r="CG38819" s="7" t="n">
        <v>64147</v>
      </c>
      <c r="CH38819" s="7" t="s">
        <v>16</v>
      </c>
      <c r="CI38819" s="7" t="n">
        <f t="normal" ca="1">32-LENB(INDIRECT(ADDRESS(38819,86)))</f>
        <v>0</v>
      </c>
      <c r="CJ38819" s="7" t="n">
        <v>7</v>
      </c>
      <c r="CK38819" s="7" t="n">
        <v>65533</v>
      </c>
      <c r="CL38819" s="7" t="n">
        <v>64148</v>
      </c>
      <c r="CM38819" s="7" t="s">
        <v>16</v>
      </c>
      <c r="CN38819" s="7" t="n">
        <f t="normal" ca="1">32-LENB(INDIRECT(ADDRESS(38819,91)))</f>
        <v>0</v>
      </c>
      <c r="CO38819" s="7" t="n">
        <v>7</v>
      </c>
      <c r="CP38819" s="7" t="n">
        <v>65533</v>
      </c>
      <c r="CQ38819" s="7" t="n">
        <v>64149</v>
      </c>
      <c r="CR38819" s="7" t="s">
        <v>16</v>
      </c>
      <c r="CS38819" s="7" t="n">
        <f t="normal" ca="1">32-LENB(INDIRECT(ADDRESS(38819,96)))</f>
        <v>0</v>
      </c>
      <c r="CT38819" s="7" t="n">
        <v>7</v>
      </c>
      <c r="CU38819" s="7" t="n">
        <v>65533</v>
      </c>
      <c r="CV38819" s="7" t="n">
        <v>64150</v>
      </c>
      <c r="CW38819" s="7" t="s">
        <v>16</v>
      </c>
      <c r="CX38819" s="7" t="n">
        <f t="normal" ca="1">32-LENB(INDIRECT(ADDRESS(38819,101)))</f>
        <v>0</v>
      </c>
      <c r="CY38819" s="7" t="n">
        <v>7</v>
      </c>
      <c r="CZ38819" s="7" t="n">
        <v>65533</v>
      </c>
      <c r="DA38819" s="7" t="n">
        <v>64151</v>
      </c>
      <c r="DB38819" s="7" t="s">
        <v>16</v>
      </c>
      <c r="DC38819" s="7" t="n">
        <f t="normal" ca="1">32-LENB(INDIRECT(ADDRESS(38819,106)))</f>
        <v>0</v>
      </c>
      <c r="DD38819" s="7" t="n">
        <v>7</v>
      </c>
      <c r="DE38819" s="7" t="n">
        <v>65533</v>
      </c>
      <c r="DF38819" s="7" t="n">
        <v>7800</v>
      </c>
      <c r="DG38819" s="7" t="s">
        <v>16</v>
      </c>
      <c r="DH38819" s="7" t="n">
        <f t="normal" ca="1">32-LENB(INDIRECT(ADDRESS(38819,111)))</f>
        <v>0</v>
      </c>
      <c r="DI38819" s="7" t="n">
        <v>7</v>
      </c>
      <c r="DJ38819" s="7" t="n">
        <v>65533</v>
      </c>
      <c r="DK38819" s="7" t="n">
        <v>7801</v>
      </c>
      <c r="DL38819" s="7" t="s">
        <v>16</v>
      </c>
      <c r="DM38819" s="7" t="n">
        <f t="normal" ca="1">32-LENB(INDIRECT(ADDRESS(38819,116)))</f>
        <v>0</v>
      </c>
      <c r="DN38819" s="7" t="n">
        <v>7</v>
      </c>
      <c r="DO38819" s="7" t="n">
        <v>65533</v>
      </c>
      <c r="DP38819" s="7" t="n">
        <v>7802</v>
      </c>
      <c r="DQ38819" s="7" t="s">
        <v>16</v>
      </c>
      <c r="DR38819" s="7" t="n">
        <f t="normal" ca="1">32-LENB(INDIRECT(ADDRESS(38819,121)))</f>
        <v>0</v>
      </c>
      <c r="DS38819" s="7" t="n">
        <v>7</v>
      </c>
      <c r="DT38819" s="7" t="n">
        <v>65533</v>
      </c>
      <c r="DU38819" s="7" t="n">
        <v>64152</v>
      </c>
      <c r="DV38819" s="7" t="s">
        <v>16</v>
      </c>
      <c r="DW38819" s="7" t="n">
        <f t="normal" ca="1">32-LENB(INDIRECT(ADDRESS(38819,126)))</f>
        <v>0</v>
      </c>
      <c r="DX38819" s="7" t="n">
        <v>7</v>
      </c>
      <c r="DY38819" s="7" t="n">
        <v>65533</v>
      </c>
      <c r="DZ38819" s="7" t="n">
        <v>64153</v>
      </c>
      <c r="EA38819" s="7" t="s">
        <v>16</v>
      </c>
      <c r="EB38819" s="7" t="n">
        <f t="normal" ca="1">32-LENB(INDIRECT(ADDRESS(38819,131)))</f>
        <v>0</v>
      </c>
      <c r="EC38819" s="7" t="n">
        <v>7</v>
      </c>
      <c r="ED38819" s="7" t="n">
        <v>65533</v>
      </c>
      <c r="EE38819" s="7" t="n">
        <v>64154</v>
      </c>
      <c r="EF38819" s="7" t="s">
        <v>16</v>
      </c>
      <c r="EG38819" s="7" t="n">
        <f t="normal" ca="1">32-LENB(INDIRECT(ADDRESS(38819,136)))</f>
        <v>0</v>
      </c>
      <c r="EH38819" s="7" t="n">
        <v>7</v>
      </c>
      <c r="EI38819" s="7" t="n">
        <v>65533</v>
      </c>
      <c r="EJ38819" s="7" t="n">
        <v>7803</v>
      </c>
      <c r="EK38819" s="7" t="s">
        <v>16</v>
      </c>
      <c r="EL38819" s="7" t="n">
        <f t="normal" ca="1">32-LENB(INDIRECT(ADDRESS(38819,141)))</f>
        <v>0</v>
      </c>
      <c r="EM38819" s="7" t="n">
        <v>7</v>
      </c>
      <c r="EN38819" s="7" t="n">
        <v>65533</v>
      </c>
      <c r="EO38819" s="7" t="n">
        <v>7804</v>
      </c>
      <c r="EP38819" s="7" t="s">
        <v>16</v>
      </c>
      <c r="EQ38819" s="7" t="n">
        <f t="normal" ca="1">32-LENB(INDIRECT(ADDRESS(38819,146)))</f>
        <v>0</v>
      </c>
      <c r="ER38819" s="7" t="n">
        <v>7</v>
      </c>
      <c r="ES38819" s="7" t="n">
        <v>65533</v>
      </c>
      <c r="ET38819" s="7" t="n">
        <v>7805</v>
      </c>
      <c r="EU38819" s="7" t="s">
        <v>16</v>
      </c>
      <c r="EV38819" s="7" t="n">
        <f t="normal" ca="1">32-LENB(INDIRECT(ADDRESS(38819,151)))</f>
        <v>0</v>
      </c>
      <c r="EW38819" s="7" t="n">
        <v>7</v>
      </c>
      <c r="EX38819" s="7" t="n">
        <v>65533</v>
      </c>
      <c r="EY38819" s="7" t="n">
        <v>7806</v>
      </c>
      <c r="EZ38819" s="7" t="s">
        <v>16</v>
      </c>
      <c r="FA38819" s="7" t="n">
        <f t="normal" ca="1">32-LENB(INDIRECT(ADDRESS(38819,156)))</f>
        <v>0</v>
      </c>
      <c r="FB38819" s="7" t="n">
        <v>7</v>
      </c>
      <c r="FC38819" s="7" t="n">
        <v>65533</v>
      </c>
      <c r="FD38819" s="7" t="n">
        <v>7807</v>
      </c>
      <c r="FE38819" s="7" t="s">
        <v>16</v>
      </c>
      <c r="FF38819" s="7" t="n">
        <f t="normal" ca="1">32-LENB(INDIRECT(ADDRESS(38819,161)))</f>
        <v>0</v>
      </c>
      <c r="FG38819" s="7" t="n">
        <v>7</v>
      </c>
      <c r="FH38819" s="7" t="n">
        <v>65533</v>
      </c>
      <c r="FI38819" s="7" t="n">
        <v>64155</v>
      </c>
      <c r="FJ38819" s="7" t="s">
        <v>16</v>
      </c>
      <c r="FK38819" s="7" t="n">
        <f t="normal" ca="1">32-LENB(INDIRECT(ADDRESS(38819,166)))</f>
        <v>0</v>
      </c>
      <c r="FL38819" s="7" t="n">
        <v>7</v>
      </c>
      <c r="FM38819" s="7" t="n">
        <v>65533</v>
      </c>
      <c r="FN38819" s="7" t="n">
        <v>7808</v>
      </c>
      <c r="FO38819" s="7" t="s">
        <v>16</v>
      </c>
      <c r="FP38819" s="7" t="n">
        <f t="normal" ca="1">32-LENB(INDIRECT(ADDRESS(38819,171)))</f>
        <v>0</v>
      </c>
      <c r="FQ38819" s="7" t="n">
        <v>7</v>
      </c>
      <c r="FR38819" s="7" t="n">
        <v>65533</v>
      </c>
      <c r="FS38819" s="7" t="n">
        <v>7809</v>
      </c>
      <c r="FT38819" s="7" t="s">
        <v>16</v>
      </c>
      <c r="FU38819" s="7" t="n">
        <f t="normal" ca="1">32-LENB(INDIRECT(ADDRESS(38819,176)))</f>
        <v>0</v>
      </c>
      <c r="FV38819" s="7" t="n">
        <v>7</v>
      </c>
      <c r="FW38819" s="7" t="n">
        <v>65533</v>
      </c>
      <c r="FX38819" s="7" t="n">
        <v>7810</v>
      </c>
      <c r="FY38819" s="7" t="s">
        <v>16</v>
      </c>
      <c r="FZ38819" s="7" t="n">
        <f t="normal" ca="1">32-LENB(INDIRECT(ADDRESS(38819,181)))</f>
        <v>0</v>
      </c>
      <c r="GA38819" s="7" t="n">
        <v>7</v>
      </c>
      <c r="GB38819" s="7" t="n">
        <v>65533</v>
      </c>
      <c r="GC38819" s="7" t="n">
        <v>7811</v>
      </c>
      <c r="GD38819" s="7" t="s">
        <v>16</v>
      </c>
      <c r="GE38819" s="7" t="n">
        <f t="normal" ca="1">32-LENB(INDIRECT(ADDRESS(38819,186)))</f>
        <v>0</v>
      </c>
      <c r="GF38819" s="7" t="n">
        <v>7</v>
      </c>
      <c r="GG38819" s="7" t="n">
        <v>65533</v>
      </c>
      <c r="GH38819" s="7" t="n">
        <v>64268</v>
      </c>
      <c r="GI38819" s="7" t="s">
        <v>16</v>
      </c>
      <c r="GJ38819" s="7" t="n">
        <f t="normal" ca="1">32-LENB(INDIRECT(ADDRESS(38819,191)))</f>
        <v>0</v>
      </c>
      <c r="GK38819" s="7" t="n">
        <v>7</v>
      </c>
      <c r="GL38819" s="7" t="n">
        <v>65533</v>
      </c>
      <c r="GM38819" s="7" t="n">
        <v>7812</v>
      </c>
      <c r="GN38819" s="7" t="s">
        <v>16</v>
      </c>
      <c r="GO38819" s="7" t="n">
        <f t="normal" ca="1">32-LENB(INDIRECT(ADDRESS(38819,196)))</f>
        <v>0</v>
      </c>
      <c r="GP38819" s="7" t="n">
        <v>7</v>
      </c>
      <c r="GQ38819" s="7" t="n">
        <v>65533</v>
      </c>
      <c r="GR38819" s="7" t="n">
        <v>7813</v>
      </c>
      <c r="GS38819" s="7" t="s">
        <v>16</v>
      </c>
      <c r="GT38819" s="7" t="n">
        <f t="normal" ca="1">32-LENB(INDIRECT(ADDRESS(38819,201)))</f>
        <v>0</v>
      </c>
      <c r="GU38819" s="7" t="n">
        <v>7</v>
      </c>
      <c r="GV38819" s="7" t="n">
        <v>65533</v>
      </c>
      <c r="GW38819" s="7" t="n">
        <v>64156</v>
      </c>
      <c r="GX38819" s="7" t="s">
        <v>16</v>
      </c>
      <c r="GY38819" s="7" t="n">
        <f t="normal" ca="1">32-LENB(INDIRECT(ADDRESS(38819,206)))</f>
        <v>0</v>
      </c>
      <c r="GZ38819" s="7" t="n">
        <v>7</v>
      </c>
      <c r="HA38819" s="7" t="n">
        <v>65533</v>
      </c>
      <c r="HB38819" s="7" t="n">
        <v>7814</v>
      </c>
      <c r="HC38819" s="7" t="s">
        <v>16</v>
      </c>
      <c r="HD38819" s="7" t="n">
        <f t="normal" ca="1">32-LENB(INDIRECT(ADDRESS(38819,211)))</f>
        <v>0</v>
      </c>
      <c r="HE38819" s="7" t="n">
        <v>7</v>
      </c>
      <c r="HF38819" s="7" t="n">
        <v>65533</v>
      </c>
      <c r="HG38819" s="7" t="n">
        <v>7815</v>
      </c>
      <c r="HH38819" s="7" t="s">
        <v>16</v>
      </c>
      <c r="HI38819" s="7" t="n">
        <f t="normal" ca="1">32-LENB(INDIRECT(ADDRESS(38819,216)))</f>
        <v>0</v>
      </c>
      <c r="HJ38819" s="7" t="n">
        <v>7</v>
      </c>
      <c r="HK38819" s="7" t="n">
        <v>65533</v>
      </c>
      <c r="HL38819" s="7" t="n">
        <v>7816</v>
      </c>
      <c r="HM38819" s="7" t="s">
        <v>16</v>
      </c>
      <c r="HN38819" s="7" t="n">
        <f t="normal" ca="1">32-LENB(INDIRECT(ADDRESS(38819,221)))</f>
        <v>0</v>
      </c>
      <c r="HO38819" s="7" t="n">
        <v>7</v>
      </c>
      <c r="HP38819" s="7" t="n">
        <v>65533</v>
      </c>
      <c r="HQ38819" s="7" t="n">
        <v>65271</v>
      </c>
      <c r="HR38819" s="7" t="s">
        <v>16</v>
      </c>
      <c r="HS38819" s="7" t="n">
        <f t="normal" ca="1">32-LENB(INDIRECT(ADDRESS(38819,226)))</f>
        <v>0</v>
      </c>
      <c r="HT38819" s="7" t="n">
        <v>7</v>
      </c>
      <c r="HU38819" s="7" t="n">
        <v>65533</v>
      </c>
      <c r="HV38819" s="7" t="n">
        <v>7817</v>
      </c>
      <c r="HW38819" s="7" t="s">
        <v>16</v>
      </c>
      <c r="HX38819" s="7" t="n">
        <f t="normal" ca="1">32-LENB(INDIRECT(ADDRESS(38819,231)))</f>
        <v>0</v>
      </c>
      <c r="HY38819" s="7" t="n">
        <v>7</v>
      </c>
      <c r="HZ38819" s="7" t="n">
        <v>65533</v>
      </c>
      <c r="IA38819" s="7" t="n">
        <v>7818</v>
      </c>
      <c r="IB38819" s="7" t="s">
        <v>16</v>
      </c>
      <c r="IC38819" s="7" t="n">
        <f t="normal" ca="1">32-LENB(INDIRECT(ADDRESS(38819,236)))</f>
        <v>0</v>
      </c>
      <c r="ID38819" s="7" t="n">
        <v>7</v>
      </c>
      <c r="IE38819" s="7" t="n">
        <v>65533</v>
      </c>
      <c r="IF38819" s="7" t="n">
        <v>64157</v>
      </c>
      <c r="IG38819" s="7" t="s">
        <v>16</v>
      </c>
      <c r="IH38819" s="7" t="n">
        <f t="normal" ca="1">32-LENB(INDIRECT(ADDRESS(38819,241)))</f>
        <v>0</v>
      </c>
      <c r="II38819" s="7" t="n">
        <v>7</v>
      </c>
      <c r="IJ38819" s="7" t="n">
        <v>65533</v>
      </c>
      <c r="IK38819" s="7" t="n">
        <v>64158</v>
      </c>
      <c r="IL38819" s="7" t="s">
        <v>16</v>
      </c>
      <c r="IM38819" s="7" t="n">
        <f t="normal" ca="1">32-LENB(INDIRECT(ADDRESS(38819,246)))</f>
        <v>0</v>
      </c>
      <c r="IN38819" s="7" t="n">
        <v>7</v>
      </c>
      <c r="IO38819" s="7" t="n">
        <v>65533</v>
      </c>
      <c r="IP38819" s="7" t="n">
        <v>7819</v>
      </c>
      <c r="IQ38819" s="7" t="s">
        <v>16</v>
      </c>
      <c r="IR38819" s="7" t="n">
        <f t="normal" ca="1">32-LENB(INDIRECT(ADDRESS(38819,251)))</f>
        <v>0</v>
      </c>
      <c r="IS38819" s="7" t="n">
        <v>7</v>
      </c>
      <c r="IT38819" s="7" t="n">
        <v>65533</v>
      </c>
      <c r="IU38819" s="7" t="n">
        <v>64159</v>
      </c>
      <c r="IV38819" s="7" t="s">
        <v>16</v>
      </c>
      <c r="IW38819" s="7" t="n">
        <f t="normal" ca="1">32-LENB(INDIRECT(ADDRESS(38819,256)))</f>
        <v>0</v>
      </c>
      <c r="IX38819" s="7" t="n">
        <v>7</v>
      </c>
      <c r="IY38819" s="7" t="n">
        <v>65533</v>
      </c>
      <c r="IZ38819" s="7" t="n">
        <v>64160</v>
      </c>
      <c r="JA38819" s="7" t="s">
        <v>16</v>
      </c>
      <c r="JB38819" s="7" t="n">
        <f t="normal" ca="1">32-LENB(INDIRECT(ADDRESS(38819,261)))</f>
        <v>0</v>
      </c>
      <c r="JC38819" s="7" t="n">
        <v>7</v>
      </c>
      <c r="JD38819" s="7" t="n">
        <v>65533</v>
      </c>
      <c r="JE38819" s="7" t="n">
        <v>7820</v>
      </c>
      <c r="JF38819" s="7" t="s">
        <v>16</v>
      </c>
      <c r="JG38819" s="7" t="n">
        <f t="normal" ca="1">32-LENB(INDIRECT(ADDRESS(38819,266)))</f>
        <v>0</v>
      </c>
      <c r="JH38819" s="7" t="n">
        <v>7</v>
      </c>
      <c r="JI38819" s="7" t="n">
        <v>65533</v>
      </c>
      <c r="JJ38819" s="7" t="n">
        <v>64161</v>
      </c>
      <c r="JK38819" s="7" t="s">
        <v>16</v>
      </c>
      <c r="JL38819" s="7" t="n">
        <f t="normal" ca="1">32-LENB(INDIRECT(ADDRESS(38819,271)))</f>
        <v>0</v>
      </c>
      <c r="JM38819" s="7" t="n">
        <v>7</v>
      </c>
      <c r="JN38819" s="7" t="n">
        <v>65533</v>
      </c>
      <c r="JO38819" s="7" t="n">
        <v>64162</v>
      </c>
      <c r="JP38819" s="7" t="s">
        <v>16</v>
      </c>
      <c r="JQ38819" s="7" t="n">
        <f t="normal" ca="1">32-LENB(INDIRECT(ADDRESS(38819,276)))</f>
        <v>0</v>
      </c>
      <c r="JR38819" s="7" t="n">
        <v>7</v>
      </c>
      <c r="JS38819" s="7" t="n">
        <v>65533</v>
      </c>
      <c r="JT38819" s="7" t="n">
        <v>64163</v>
      </c>
      <c r="JU38819" s="7" t="s">
        <v>16</v>
      </c>
      <c r="JV38819" s="7" t="n">
        <f t="normal" ca="1">32-LENB(INDIRECT(ADDRESS(38819,281)))</f>
        <v>0</v>
      </c>
      <c r="JW38819" s="7" t="n">
        <v>7</v>
      </c>
      <c r="JX38819" s="7" t="n">
        <v>65533</v>
      </c>
      <c r="JY38819" s="7" t="n">
        <v>7821</v>
      </c>
      <c r="JZ38819" s="7" t="s">
        <v>16</v>
      </c>
      <c r="KA38819" s="7" t="n">
        <f t="normal" ca="1">32-LENB(INDIRECT(ADDRESS(38819,286)))</f>
        <v>0</v>
      </c>
      <c r="KB38819" s="7" t="n">
        <v>7</v>
      </c>
      <c r="KC38819" s="7" t="n">
        <v>65533</v>
      </c>
      <c r="KD38819" s="7" t="n">
        <v>64164</v>
      </c>
      <c r="KE38819" s="7" t="s">
        <v>16</v>
      </c>
      <c r="KF38819" s="7" t="n">
        <f t="normal" ca="1">32-LENB(INDIRECT(ADDRESS(38819,291)))</f>
        <v>0</v>
      </c>
      <c r="KG38819" s="7" t="n">
        <v>7</v>
      </c>
      <c r="KH38819" s="7" t="n">
        <v>65533</v>
      </c>
      <c r="KI38819" s="7" t="n">
        <v>64165</v>
      </c>
      <c r="KJ38819" s="7" t="s">
        <v>16</v>
      </c>
      <c r="KK38819" s="7" t="n">
        <f t="normal" ca="1">32-LENB(INDIRECT(ADDRESS(38819,296)))</f>
        <v>0</v>
      </c>
      <c r="KL38819" s="7" t="n">
        <v>7</v>
      </c>
      <c r="KM38819" s="7" t="n">
        <v>65533</v>
      </c>
      <c r="KN38819" s="7" t="n">
        <v>64166</v>
      </c>
      <c r="KO38819" s="7" t="s">
        <v>16</v>
      </c>
      <c r="KP38819" s="7" t="n">
        <f t="normal" ca="1">32-LENB(INDIRECT(ADDRESS(38819,301)))</f>
        <v>0</v>
      </c>
      <c r="KQ38819" s="7" t="n">
        <v>7</v>
      </c>
      <c r="KR38819" s="7" t="n">
        <v>65533</v>
      </c>
      <c r="KS38819" s="7" t="n">
        <v>7822</v>
      </c>
      <c r="KT38819" s="7" t="s">
        <v>16</v>
      </c>
      <c r="KU38819" s="7" t="n">
        <f t="normal" ca="1">32-LENB(INDIRECT(ADDRESS(38819,306)))</f>
        <v>0</v>
      </c>
      <c r="KV38819" s="7" t="n">
        <v>7</v>
      </c>
      <c r="KW38819" s="7" t="n">
        <v>65533</v>
      </c>
      <c r="KX38819" s="7" t="n">
        <v>7823</v>
      </c>
      <c r="KY38819" s="7" t="s">
        <v>16</v>
      </c>
      <c r="KZ38819" s="7" t="n">
        <f t="normal" ca="1">32-LENB(INDIRECT(ADDRESS(38819,311)))</f>
        <v>0</v>
      </c>
      <c r="LA38819" s="7" t="n">
        <v>7</v>
      </c>
      <c r="LB38819" s="7" t="n">
        <v>65533</v>
      </c>
      <c r="LC38819" s="7" t="n">
        <v>64167</v>
      </c>
      <c r="LD38819" s="7" t="s">
        <v>16</v>
      </c>
      <c r="LE38819" s="7" t="n">
        <f t="normal" ca="1">32-LENB(INDIRECT(ADDRESS(38819,316)))</f>
        <v>0</v>
      </c>
      <c r="LF38819" s="7" t="n">
        <v>7</v>
      </c>
      <c r="LG38819" s="7" t="n">
        <v>65533</v>
      </c>
      <c r="LH38819" s="7" t="n">
        <v>64168</v>
      </c>
      <c r="LI38819" s="7" t="s">
        <v>16</v>
      </c>
      <c r="LJ38819" s="7" t="n">
        <f t="normal" ca="1">32-LENB(INDIRECT(ADDRESS(38819,321)))</f>
        <v>0</v>
      </c>
      <c r="LK38819" s="7" t="n">
        <v>7</v>
      </c>
      <c r="LL38819" s="7" t="n">
        <v>65533</v>
      </c>
      <c r="LM38819" s="7" t="n">
        <v>64169</v>
      </c>
      <c r="LN38819" s="7" t="s">
        <v>16</v>
      </c>
      <c r="LO38819" s="7" t="n">
        <f t="normal" ca="1">32-LENB(INDIRECT(ADDRESS(38819,326)))</f>
        <v>0</v>
      </c>
      <c r="LP38819" s="7" t="n">
        <v>7</v>
      </c>
      <c r="LQ38819" s="7" t="n">
        <v>65533</v>
      </c>
      <c r="LR38819" s="7" t="n">
        <v>64170</v>
      </c>
      <c r="LS38819" s="7" t="s">
        <v>16</v>
      </c>
      <c r="LT38819" s="7" t="n">
        <f t="normal" ca="1">32-LENB(INDIRECT(ADDRESS(38819,331)))</f>
        <v>0</v>
      </c>
      <c r="LU38819" s="7" t="n">
        <v>7</v>
      </c>
      <c r="LV38819" s="7" t="n">
        <v>65533</v>
      </c>
      <c r="LW38819" s="7" t="n">
        <v>7824</v>
      </c>
      <c r="LX38819" s="7" t="s">
        <v>16</v>
      </c>
      <c r="LY38819" s="7" t="n">
        <f t="normal" ca="1">32-LENB(INDIRECT(ADDRESS(38819,336)))</f>
        <v>0</v>
      </c>
      <c r="LZ38819" s="7" t="n">
        <v>7</v>
      </c>
      <c r="MA38819" s="7" t="n">
        <v>65533</v>
      </c>
      <c r="MB38819" s="7" t="n">
        <v>7825</v>
      </c>
      <c r="MC38819" s="7" t="s">
        <v>16</v>
      </c>
      <c r="MD38819" s="7" t="n">
        <f t="normal" ca="1">32-LENB(INDIRECT(ADDRESS(38819,341)))</f>
        <v>0</v>
      </c>
      <c r="ME38819" s="7" t="n">
        <v>4</v>
      </c>
      <c r="MF38819" s="7" t="n">
        <v>65533</v>
      </c>
      <c r="MG38819" s="7" t="n">
        <v>2258</v>
      </c>
      <c r="MH38819" s="7" t="s">
        <v>16</v>
      </c>
      <c r="MI38819" s="7" t="n">
        <f t="normal" ca="1">32-LENB(INDIRECT(ADDRESS(38819,346)))</f>
        <v>0</v>
      </c>
      <c r="MJ38819" s="7" t="n">
        <v>7</v>
      </c>
      <c r="MK38819" s="7" t="n">
        <v>65533</v>
      </c>
      <c r="ML38819" s="7" t="n">
        <v>7826</v>
      </c>
      <c r="MM38819" s="7" t="s">
        <v>16</v>
      </c>
      <c r="MN38819" s="7" t="n">
        <f t="normal" ca="1">32-LENB(INDIRECT(ADDRESS(38819,351)))</f>
        <v>0</v>
      </c>
      <c r="MO38819" s="7" t="n">
        <v>7</v>
      </c>
      <c r="MP38819" s="7" t="n">
        <v>65533</v>
      </c>
      <c r="MQ38819" s="7" t="n">
        <v>7827</v>
      </c>
      <c r="MR38819" s="7" t="s">
        <v>16</v>
      </c>
      <c r="MS38819" s="7" t="n">
        <f t="normal" ca="1">32-LENB(INDIRECT(ADDRESS(38819,356)))</f>
        <v>0</v>
      </c>
      <c r="MT38819" s="7" t="n">
        <v>7</v>
      </c>
      <c r="MU38819" s="7" t="n">
        <v>65533</v>
      </c>
      <c r="MV38819" s="7" t="n">
        <v>64171</v>
      </c>
      <c r="MW38819" s="7" t="s">
        <v>16</v>
      </c>
      <c r="MX38819" s="7" t="n">
        <f t="normal" ca="1">32-LENB(INDIRECT(ADDRESS(38819,361)))</f>
        <v>0</v>
      </c>
      <c r="MY38819" s="7" t="n">
        <v>0</v>
      </c>
      <c r="MZ38819" s="7" t="n">
        <v>65533</v>
      </c>
      <c r="NA38819" s="7" t="n">
        <v>0</v>
      </c>
      <c r="NB38819" s="7" t="s">
        <v>16</v>
      </c>
      <c r="NC38819" s="7" t="n">
        <f t="normal" ca="1">32-LENB(INDIRECT(ADDRESS(38819,366)))</f>
        <v>0</v>
      </c>
    </row>
    <row r="38820" spans="1:317">
      <c r="A38820" t="s">
        <v>4</v>
      </c>
      <c r="B38820" s="4" t="s">
        <v>5</v>
      </c>
    </row>
    <row r="38821" spans="1:317">
      <c r="A38821" t="n">
        <v>412536</v>
      </c>
      <c r="B38821" s="5" t="n">
        <v>1</v>
      </c>
    </row>
    <row r="38822" spans="1:317" s="3" customFormat="1" customHeight="0">
      <c r="A38822" s="3" t="s">
        <v>2</v>
      </c>
      <c r="B38822" s="3" t="s">
        <v>1873</v>
      </c>
    </row>
    <row r="38823" spans="1:317">
      <c r="A38823" t="s">
        <v>4</v>
      </c>
      <c r="B38823" s="4" t="s">
        <v>5</v>
      </c>
      <c r="C38823" s="4" t="s">
        <v>11</v>
      </c>
      <c r="D38823" s="4" t="s">
        <v>11</v>
      </c>
      <c r="E38823" s="4" t="s">
        <v>15</v>
      </c>
      <c r="F38823" s="4" t="s">
        <v>8</v>
      </c>
      <c r="G38823" s="4" t="s">
        <v>1859</v>
      </c>
      <c r="H38823" s="4" t="s">
        <v>11</v>
      </c>
      <c r="I38823" s="4" t="s">
        <v>11</v>
      </c>
      <c r="J38823" s="4" t="s">
        <v>15</v>
      </c>
      <c r="K38823" s="4" t="s">
        <v>8</v>
      </c>
      <c r="L38823" s="4" t="s">
        <v>1859</v>
      </c>
      <c r="M38823" s="4" t="s">
        <v>11</v>
      </c>
      <c r="N38823" s="4" t="s">
        <v>11</v>
      </c>
      <c r="O38823" s="4" t="s">
        <v>15</v>
      </c>
      <c r="P38823" s="4" t="s">
        <v>8</v>
      </c>
      <c r="Q38823" s="4" t="s">
        <v>1859</v>
      </c>
      <c r="R38823" s="4" t="s">
        <v>11</v>
      </c>
      <c r="S38823" s="4" t="s">
        <v>11</v>
      </c>
      <c r="T38823" s="4" t="s">
        <v>15</v>
      </c>
      <c r="U38823" s="4" t="s">
        <v>8</v>
      </c>
      <c r="V38823" s="4" t="s">
        <v>1859</v>
      </c>
      <c r="W38823" s="4" t="s">
        <v>11</v>
      </c>
      <c r="X38823" s="4" t="s">
        <v>11</v>
      </c>
      <c r="Y38823" s="4" t="s">
        <v>15</v>
      </c>
      <c r="Z38823" s="4" t="s">
        <v>8</v>
      </c>
      <c r="AA38823" s="4" t="s">
        <v>1859</v>
      </c>
      <c r="AB38823" s="4" t="s">
        <v>11</v>
      </c>
      <c r="AC38823" s="4" t="s">
        <v>11</v>
      </c>
      <c r="AD38823" s="4" t="s">
        <v>15</v>
      </c>
      <c r="AE38823" s="4" t="s">
        <v>8</v>
      </c>
      <c r="AF38823" s="4" t="s">
        <v>1859</v>
      </c>
      <c r="AG38823" s="4" t="s">
        <v>11</v>
      </c>
      <c r="AH38823" s="4" t="s">
        <v>11</v>
      </c>
      <c r="AI38823" s="4" t="s">
        <v>15</v>
      </c>
      <c r="AJ38823" s="4" t="s">
        <v>8</v>
      </c>
      <c r="AK38823" s="4" t="s">
        <v>1859</v>
      </c>
      <c r="AL38823" s="4" t="s">
        <v>11</v>
      </c>
      <c r="AM38823" s="4" t="s">
        <v>11</v>
      </c>
      <c r="AN38823" s="4" t="s">
        <v>15</v>
      </c>
      <c r="AO38823" s="4" t="s">
        <v>8</v>
      </c>
      <c r="AP38823" s="4" t="s">
        <v>1859</v>
      </c>
      <c r="AQ38823" s="4" t="s">
        <v>11</v>
      </c>
      <c r="AR38823" s="4" t="s">
        <v>11</v>
      </c>
      <c r="AS38823" s="4" t="s">
        <v>15</v>
      </c>
      <c r="AT38823" s="4" t="s">
        <v>8</v>
      </c>
      <c r="AU38823" s="4" t="s">
        <v>1859</v>
      </c>
      <c r="AV38823" s="4" t="s">
        <v>11</v>
      </c>
      <c r="AW38823" s="4" t="s">
        <v>11</v>
      </c>
      <c r="AX38823" s="4" t="s">
        <v>15</v>
      </c>
      <c r="AY38823" s="4" t="s">
        <v>8</v>
      </c>
      <c r="AZ38823" s="4" t="s">
        <v>1859</v>
      </c>
      <c r="BA38823" s="4" t="s">
        <v>11</v>
      </c>
      <c r="BB38823" s="4" t="s">
        <v>11</v>
      </c>
      <c r="BC38823" s="4" t="s">
        <v>15</v>
      </c>
      <c r="BD38823" s="4" t="s">
        <v>8</v>
      </c>
      <c r="BE38823" s="4" t="s">
        <v>1859</v>
      </c>
      <c r="BF38823" s="4" t="s">
        <v>11</v>
      </c>
      <c r="BG38823" s="4" t="s">
        <v>11</v>
      </c>
      <c r="BH38823" s="4" t="s">
        <v>15</v>
      </c>
      <c r="BI38823" s="4" t="s">
        <v>8</v>
      </c>
      <c r="BJ38823" s="4" t="s">
        <v>1859</v>
      </c>
      <c r="BK38823" s="4" t="s">
        <v>11</v>
      </c>
      <c r="BL38823" s="4" t="s">
        <v>11</v>
      </c>
      <c r="BM38823" s="4" t="s">
        <v>15</v>
      </c>
      <c r="BN38823" s="4" t="s">
        <v>8</v>
      </c>
      <c r="BO38823" s="4" t="s">
        <v>1859</v>
      </c>
      <c r="BP38823" s="4" t="s">
        <v>11</v>
      </c>
      <c r="BQ38823" s="4" t="s">
        <v>11</v>
      </c>
      <c r="BR38823" s="4" t="s">
        <v>15</v>
      </c>
      <c r="BS38823" s="4" t="s">
        <v>8</v>
      </c>
      <c r="BT38823" s="4" t="s">
        <v>1859</v>
      </c>
      <c r="BU38823" s="4" t="s">
        <v>11</v>
      </c>
      <c r="BV38823" s="4" t="s">
        <v>11</v>
      </c>
      <c r="BW38823" s="4" t="s">
        <v>15</v>
      </c>
      <c r="BX38823" s="4" t="s">
        <v>8</v>
      </c>
      <c r="BY38823" s="4" t="s">
        <v>1859</v>
      </c>
      <c r="BZ38823" s="4" t="s">
        <v>11</v>
      </c>
      <c r="CA38823" s="4" t="s">
        <v>11</v>
      </c>
      <c r="CB38823" s="4" t="s">
        <v>15</v>
      </c>
      <c r="CC38823" s="4" t="s">
        <v>8</v>
      </c>
      <c r="CD38823" s="4" t="s">
        <v>1859</v>
      </c>
      <c r="CE38823" s="4" t="s">
        <v>11</v>
      </c>
      <c r="CF38823" s="4" t="s">
        <v>11</v>
      </c>
      <c r="CG38823" s="4" t="s">
        <v>15</v>
      </c>
      <c r="CH38823" s="4" t="s">
        <v>8</v>
      </c>
      <c r="CI38823" s="4" t="s">
        <v>1859</v>
      </c>
      <c r="CJ38823" s="4" t="s">
        <v>11</v>
      </c>
      <c r="CK38823" s="4" t="s">
        <v>11</v>
      </c>
      <c r="CL38823" s="4" t="s">
        <v>15</v>
      </c>
      <c r="CM38823" s="4" t="s">
        <v>8</v>
      </c>
      <c r="CN38823" s="4" t="s">
        <v>1859</v>
      </c>
      <c r="CO38823" s="4" t="s">
        <v>11</v>
      </c>
      <c r="CP38823" s="4" t="s">
        <v>11</v>
      </c>
      <c r="CQ38823" s="4" t="s">
        <v>15</v>
      </c>
      <c r="CR38823" s="4" t="s">
        <v>8</v>
      </c>
      <c r="CS38823" s="4" t="s">
        <v>1859</v>
      </c>
      <c r="CT38823" s="4" t="s">
        <v>11</v>
      </c>
      <c r="CU38823" s="4" t="s">
        <v>11</v>
      </c>
      <c r="CV38823" s="4" t="s">
        <v>15</v>
      </c>
      <c r="CW38823" s="4" t="s">
        <v>8</v>
      </c>
      <c r="CX38823" s="4" t="s">
        <v>1859</v>
      </c>
      <c r="CY38823" s="4" t="s">
        <v>11</v>
      </c>
      <c r="CZ38823" s="4" t="s">
        <v>11</v>
      </c>
      <c r="DA38823" s="4" t="s">
        <v>15</v>
      </c>
      <c r="DB38823" s="4" t="s">
        <v>8</v>
      </c>
      <c r="DC38823" s="4" t="s">
        <v>1859</v>
      </c>
      <c r="DD38823" s="4" t="s">
        <v>11</v>
      </c>
      <c r="DE38823" s="4" t="s">
        <v>11</v>
      </c>
      <c r="DF38823" s="4" t="s">
        <v>15</v>
      </c>
      <c r="DG38823" s="4" t="s">
        <v>8</v>
      </c>
      <c r="DH38823" s="4" t="s">
        <v>1859</v>
      </c>
      <c r="DI38823" s="4" t="s">
        <v>11</v>
      </c>
      <c r="DJ38823" s="4" t="s">
        <v>11</v>
      </c>
      <c r="DK38823" s="4" t="s">
        <v>15</v>
      </c>
      <c r="DL38823" s="4" t="s">
        <v>8</v>
      </c>
      <c r="DM38823" s="4" t="s">
        <v>1859</v>
      </c>
      <c r="DN38823" s="4" t="s">
        <v>11</v>
      </c>
      <c r="DO38823" s="4" t="s">
        <v>11</v>
      </c>
      <c r="DP38823" s="4" t="s">
        <v>15</v>
      </c>
      <c r="DQ38823" s="4" t="s">
        <v>8</v>
      </c>
      <c r="DR38823" s="4" t="s">
        <v>1859</v>
      </c>
      <c r="DS38823" s="4" t="s">
        <v>11</v>
      </c>
      <c r="DT38823" s="4" t="s">
        <v>11</v>
      </c>
      <c r="DU38823" s="4" t="s">
        <v>15</v>
      </c>
      <c r="DV38823" s="4" t="s">
        <v>8</v>
      </c>
      <c r="DW38823" s="4" t="s">
        <v>1859</v>
      </c>
      <c r="DX38823" s="4" t="s">
        <v>11</v>
      </c>
      <c r="DY38823" s="4" t="s">
        <v>11</v>
      </c>
      <c r="DZ38823" s="4" t="s">
        <v>15</v>
      </c>
      <c r="EA38823" s="4" t="s">
        <v>8</v>
      </c>
      <c r="EB38823" s="4" t="s">
        <v>1859</v>
      </c>
      <c r="EC38823" s="4" t="s">
        <v>11</v>
      </c>
      <c r="ED38823" s="4" t="s">
        <v>11</v>
      </c>
      <c r="EE38823" s="4" t="s">
        <v>15</v>
      </c>
      <c r="EF38823" s="4" t="s">
        <v>8</v>
      </c>
      <c r="EG38823" s="4" t="s">
        <v>1859</v>
      </c>
      <c r="EH38823" s="4" t="s">
        <v>11</v>
      </c>
      <c r="EI38823" s="4" t="s">
        <v>11</v>
      </c>
      <c r="EJ38823" s="4" t="s">
        <v>15</v>
      </c>
      <c r="EK38823" s="4" t="s">
        <v>8</v>
      </c>
      <c r="EL38823" s="4" t="s">
        <v>1859</v>
      </c>
      <c r="EM38823" s="4" t="s">
        <v>11</v>
      </c>
      <c r="EN38823" s="4" t="s">
        <v>11</v>
      </c>
      <c r="EO38823" s="4" t="s">
        <v>15</v>
      </c>
      <c r="EP38823" s="4" t="s">
        <v>8</v>
      </c>
      <c r="EQ38823" s="4" t="s">
        <v>1859</v>
      </c>
      <c r="ER38823" s="4" t="s">
        <v>11</v>
      </c>
      <c r="ES38823" s="4" t="s">
        <v>11</v>
      </c>
      <c r="ET38823" s="4" t="s">
        <v>15</v>
      </c>
      <c r="EU38823" s="4" t="s">
        <v>8</v>
      </c>
      <c r="EV38823" s="4" t="s">
        <v>1859</v>
      </c>
      <c r="EW38823" s="4" t="s">
        <v>11</v>
      </c>
      <c r="EX38823" s="4" t="s">
        <v>11</v>
      </c>
      <c r="EY38823" s="4" t="s">
        <v>15</v>
      </c>
      <c r="EZ38823" s="4" t="s">
        <v>8</v>
      </c>
      <c r="FA38823" s="4" t="s">
        <v>1859</v>
      </c>
      <c r="FB38823" s="4" t="s">
        <v>11</v>
      </c>
      <c r="FC38823" s="4" t="s">
        <v>11</v>
      </c>
      <c r="FD38823" s="4" t="s">
        <v>15</v>
      </c>
      <c r="FE38823" s="4" t="s">
        <v>8</v>
      </c>
      <c r="FF38823" s="4" t="s">
        <v>1859</v>
      </c>
      <c r="FG38823" s="4" t="s">
        <v>11</v>
      </c>
      <c r="FH38823" s="4" t="s">
        <v>11</v>
      </c>
      <c r="FI38823" s="4" t="s">
        <v>15</v>
      </c>
      <c r="FJ38823" s="4" t="s">
        <v>8</v>
      </c>
      <c r="FK38823" s="4" t="s">
        <v>1859</v>
      </c>
      <c r="FL38823" s="4" t="s">
        <v>11</v>
      </c>
      <c r="FM38823" s="4" t="s">
        <v>11</v>
      </c>
      <c r="FN38823" s="4" t="s">
        <v>15</v>
      </c>
      <c r="FO38823" s="4" t="s">
        <v>8</v>
      </c>
      <c r="FP38823" s="4" t="s">
        <v>1859</v>
      </c>
      <c r="FQ38823" s="4" t="s">
        <v>11</v>
      </c>
      <c r="FR38823" s="4" t="s">
        <v>11</v>
      </c>
      <c r="FS38823" s="4" t="s">
        <v>15</v>
      </c>
      <c r="FT38823" s="4" t="s">
        <v>8</v>
      </c>
      <c r="FU38823" s="4" t="s">
        <v>1859</v>
      </c>
      <c r="FV38823" s="4" t="s">
        <v>11</v>
      </c>
      <c r="FW38823" s="4" t="s">
        <v>11</v>
      </c>
      <c r="FX38823" s="4" t="s">
        <v>15</v>
      </c>
      <c r="FY38823" s="4" t="s">
        <v>8</v>
      </c>
      <c r="FZ38823" s="4" t="s">
        <v>1859</v>
      </c>
      <c r="GA38823" s="4" t="s">
        <v>11</v>
      </c>
      <c r="GB38823" s="4" t="s">
        <v>11</v>
      </c>
      <c r="GC38823" s="4" t="s">
        <v>15</v>
      </c>
      <c r="GD38823" s="4" t="s">
        <v>8</v>
      </c>
      <c r="GE38823" s="4" t="s">
        <v>1859</v>
      </c>
      <c r="GF38823" s="4" t="s">
        <v>11</v>
      </c>
      <c r="GG38823" s="4" t="s">
        <v>11</v>
      </c>
      <c r="GH38823" s="4" t="s">
        <v>15</v>
      </c>
      <c r="GI38823" s="4" t="s">
        <v>8</v>
      </c>
      <c r="GJ38823" s="4" t="s">
        <v>1859</v>
      </c>
      <c r="GK38823" s="4" t="s">
        <v>11</v>
      </c>
      <c r="GL38823" s="4" t="s">
        <v>11</v>
      </c>
      <c r="GM38823" s="4" t="s">
        <v>15</v>
      </c>
      <c r="GN38823" s="4" t="s">
        <v>8</v>
      </c>
      <c r="GO38823" s="4" t="s">
        <v>1859</v>
      </c>
      <c r="GP38823" s="4" t="s">
        <v>11</v>
      </c>
      <c r="GQ38823" s="4" t="s">
        <v>11</v>
      </c>
      <c r="GR38823" s="4" t="s">
        <v>15</v>
      </c>
      <c r="GS38823" s="4" t="s">
        <v>8</v>
      </c>
      <c r="GT38823" s="4" t="s">
        <v>1859</v>
      </c>
      <c r="GU38823" s="4" t="s">
        <v>11</v>
      </c>
      <c r="GV38823" s="4" t="s">
        <v>11</v>
      </c>
      <c r="GW38823" s="4" t="s">
        <v>15</v>
      </c>
      <c r="GX38823" s="4" t="s">
        <v>8</v>
      </c>
      <c r="GY38823" s="4" t="s">
        <v>1859</v>
      </c>
      <c r="GZ38823" s="4" t="s">
        <v>11</v>
      </c>
      <c r="HA38823" s="4" t="s">
        <v>11</v>
      </c>
      <c r="HB38823" s="4" t="s">
        <v>15</v>
      </c>
      <c r="HC38823" s="4" t="s">
        <v>8</v>
      </c>
      <c r="HD38823" s="4" t="s">
        <v>1859</v>
      </c>
      <c r="HE38823" s="4" t="s">
        <v>11</v>
      </c>
      <c r="HF38823" s="4" t="s">
        <v>11</v>
      </c>
      <c r="HG38823" s="4" t="s">
        <v>15</v>
      </c>
      <c r="HH38823" s="4" t="s">
        <v>8</v>
      </c>
      <c r="HI38823" s="4" t="s">
        <v>1859</v>
      </c>
      <c r="HJ38823" s="4" t="s">
        <v>11</v>
      </c>
      <c r="HK38823" s="4" t="s">
        <v>11</v>
      </c>
      <c r="HL38823" s="4" t="s">
        <v>15</v>
      </c>
      <c r="HM38823" s="4" t="s">
        <v>8</v>
      </c>
      <c r="HN38823" s="4" t="s">
        <v>1859</v>
      </c>
      <c r="HO38823" s="4" t="s">
        <v>11</v>
      </c>
      <c r="HP38823" s="4" t="s">
        <v>11</v>
      </c>
      <c r="HQ38823" s="4" t="s">
        <v>15</v>
      </c>
      <c r="HR38823" s="4" t="s">
        <v>8</v>
      </c>
      <c r="HS38823" s="4" t="s">
        <v>1859</v>
      </c>
      <c r="HT38823" s="4" t="s">
        <v>11</v>
      </c>
      <c r="HU38823" s="4" t="s">
        <v>11</v>
      </c>
      <c r="HV38823" s="4" t="s">
        <v>15</v>
      </c>
      <c r="HW38823" s="4" t="s">
        <v>8</v>
      </c>
      <c r="HX38823" s="4" t="s">
        <v>1859</v>
      </c>
      <c r="HY38823" s="4" t="s">
        <v>11</v>
      </c>
      <c r="HZ38823" s="4" t="s">
        <v>11</v>
      </c>
      <c r="IA38823" s="4" t="s">
        <v>15</v>
      </c>
      <c r="IB38823" s="4" t="s">
        <v>8</v>
      </c>
      <c r="IC38823" s="4" t="s">
        <v>1859</v>
      </c>
      <c r="ID38823" s="4" t="s">
        <v>11</v>
      </c>
      <c r="IE38823" s="4" t="s">
        <v>11</v>
      </c>
      <c r="IF38823" s="4" t="s">
        <v>15</v>
      </c>
      <c r="IG38823" s="4" t="s">
        <v>8</v>
      </c>
      <c r="IH38823" s="4" t="s">
        <v>1859</v>
      </c>
      <c r="II38823" s="4" t="s">
        <v>11</v>
      </c>
      <c r="IJ38823" s="4" t="s">
        <v>11</v>
      </c>
      <c r="IK38823" s="4" t="s">
        <v>15</v>
      </c>
      <c r="IL38823" s="4" t="s">
        <v>8</v>
      </c>
      <c r="IM38823" s="4" t="s">
        <v>1859</v>
      </c>
      <c r="IN38823" s="4" t="s">
        <v>11</v>
      </c>
      <c r="IO38823" s="4" t="s">
        <v>11</v>
      </c>
      <c r="IP38823" s="4" t="s">
        <v>15</v>
      </c>
      <c r="IQ38823" s="4" t="s">
        <v>8</v>
      </c>
      <c r="IR38823" s="4" t="s">
        <v>1859</v>
      </c>
      <c r="IS38823" s="4" t="s">
        <v>11</v>
      </c>
      <c r="IT38823" s="4" t="s">
        <v>11</v>
      </c>
      <c r="IU38823" s="4" t="s">
        <v>15</v>
      </c>
      <c r="IV38823" s="4" t="s">
        <v>8</v>
      </c>
      <c r="IW38823" s="4" t="s">
        <v>1859</v>
      </c>
      <c r="IX38823" s="4" t="s">
        <v>11</v>
      </c>
      <c r="IY38823" s="4" t="s">
        <v>11</v>
      </c>
      <c r="IZ38823" s="4" t="s">
        <v>15</v>
      </c>
      <c r="JA38823" s="4" t="s">
        <v>8</v>
      </c>
      <c r="JB38823" s="4" t="s">
        <v>1859</v>
      </c>
      <c r="JC38823" s="4" t="s">
        <v>11</v>
      </c>
      <c r="JD38823" s="4" t="s">
        <v>11</v>
      </c>
      <c r="JE38823" s="4" t="s">
        <v>15</v>
      </c>
      <c r="JF38823" s="4" t="s">
        <v>8</v>
      </c>
      <c r="JG38823" s="4" t="s">
        <v>1859</v>
      </c>
      <c r="JH38823" s="4" t="s">
        <v>11</v>
      </c>
      <c r="JI38823" s="4" t="s">
        <v>11</v>
      </c>
      <c r="JJ38823" s="4" t="s">
        <v>15</v>
      </c>
      <c r="JK38823" s="4" t="s">
        <v>8</v>
      </c>
      <c r="JL38823" s="4" t="s">
        <v>1859</v>
      </c>
      <c r="JM38823" s="4" t="s">
        <v>11</v>
      </c>
      <c r="JN38823" s="4" t="s">
        <v>11</v>
      </c>
      <c r="JO38823" s="4" t="s">
        <v>15</v>
      </c>
      <c r="JP38823" s="4" t="s">
        <v>8</v>
      </c>
      <c r="JQ38823" s="4" t="s">
        <v>1859</v>
      </c>
      <c r="JR38823" s="4" t="s">
        <v>11</v>
      </c>
      <c r="JS38823" s="4" t="s">
        <v>11</v>
      </c>
      <c r="JT38823" s="4" t="s">
        <v>15</v>
      </c>
      <c r="JU38823" s="4" t="s">
        <v>8</v>
      </c>
      <c r="JV38823" s="4" t="s">
        <v>1859</v>
      </c>
      <c r="JW38823" s="4" t="s">
        <v>11</v>
      </c>
      <c r="JX38823" s="4" t="s">
        <v>11</v>
      </c>
      <c r="JY38823" s="4" t="s">
        <v>15</v>
      </c>
      <c r="JZ38823" s="4" t="s">
        <v>8</v>
      </c>
      <c r="KA38823" s="4" t="s">
        <v>1859</v>
      </c>
      <c r="KB38823" s="4" t="s">
        <v>11</v>
      </c>
      <c r="KC38823" s="4" t="s">
        <v>11</v>
      </c>
      <c r="KD38823" s="4" t="s">
        <v>15</v>
      </c>
      <c r="KE38823" s="4" t="s">
        <v>8</v>
      </c>
      <c r="KF38823" s="4" t="s">
        <v>1859</v>
      </c>
      <c r="KG38823" s="4" t="s">
        <v>11</v>
      </c>
      <c r="KH38823" s="4" t="s">
        <v>11</v>
      </c>
      <c r="KI38823" s="4" t="s">
        <v>15</v>
      </c>
      <c r="KJ38823" s="4" t="s">
        <v>8</v>
      </c>
      <c r="KK38823" s="4" t="s">
        <v>1859</v>
      </c>
      <c r="KL38823" s="4" t="s">
        <v>11</v>
      </c>
      <c r="KM38823" s="4" t="s">
        <v>11</v>
      </c>
      <c r="KN38823" s="4" t="s">
        <v>15</v>
      </c>
      <c r="KO38823" s="4" t="s">
        <v>8</v>
      </c>
      <c r="KP38823" s="4" t="s">
        <v>1859</v>
      </c>
      <c r="KQ38823" s="4" t="s">
        <v>11</v>
      </c>
      <c r="KR38823" s="4" t="s">
        <v>11</v>
      </c>
      <c r="KS38823" s="4" t="s">
        <v>15</v>
      </c>
      <c r="KT38823" s="4" t="s">
        <v>8</v>
      </c>
      <c r="KU38823" s="4" t="s">
        <v>1859</v>
      </c>
      <c r="KV38823" s="4" t="s">
        <v>11</v>
      </c>
      <c r="KW38823" s="4" t="s">
        <v>11</v>
      </c>
      <c r="KX38823" s="4" t="s">
        <v>15</v>
      </c>
      <c r="KY38823" s="4" t="s">
        <v>8</v>
      </c>
      <c r="KZ38823" s="4" t="s">
        <v>1859</v>
      </c>
    </row>
    <row r="38824" spans="1:317">
      <c r="A38824" t="n">
        <v>412544</v>
      </c>
      <c r="B38824" s="85" t="n">
        <v>257</v>
      </c>
      <c r="C38824" s="7" t="n">
        <v>7</v>
      </c>
      <c r="D38824" s="7" t="n">
        <v>65533</v>
      </c>
      <c r="E38824" s="7" t="n">
        <v>64172</v>
      </c>
      <c r="F38824" s="7" t="s">
        <v>16</v>
      </c>
      <c r="G38824" s="7" t="n">
        <f t="normal" ca="1">32-LENB(INDIRECT(ADDRESS(38824,6)))</f>
        <v>0</v>
      </c>
      <c r="H38824" s="7" t="n">
        <v>7</v>
      </c>
      <c r="I38824" s="7" t="n">
        <v>65533</v>
      </c>
      <c r="J38824" s="7" t="n">
        <v>64173</v>
      </c>
      <c r="K38824" s="7" t="s">
        <v>16</v>
      </c>
      <c r="L38824" s="7" t="n">
        <f t="normal" ca="1">32-LENB(INDIRECT(ADDRESS(38824,11)))</f>
        <v>0</v>
      </c>
      <c r="M38824" s="7" t="n">
        <v>7</v>
      </c>
      <c r="N38824" s="7" t="n">
        <v>65533</v>
      </c>
      <c r="O38824" s="7" t="n">
        <v>64174</v>
      </c>
      <c r="P38824" s="7" t="s">
        <v>16</v>
      </c>
      <c r="Q38824" s="7" t="n">
        <f t="normal" ca="1">32-LENB(INDIRECT(ADDRESS(38824,16)))</f>
        <v>0</v>
      </c>
      <c r="R38824" s="7" t="n">
        <v>7</v>
      </c>
      <c r="S38824" s="7" t="n">
        <v>65533</v>
      </c>
      <c r="T38824" s="7" t="n">
        <v>64175</v>
      </c>
      <c r="U38824" s="7" t="s">
        <v>16</v>
      </c>
      <c r="V38824" s="7" t="n">
        <f t="normal" ca="1">32-LENB(INDIRECT(ADDRESS(38824,21)))</f>
        <v>0</v>
      </c>
      <c r="W38824" s="7" t="n">
        <v>7</v>
      </c>
      <c r="X38824" s="7" t="n">
        <v>65533</v>
      </c>
      <c r="Y38824" s="7" t="n">
        <v>64176</v>
      </c>
      <c r="Z38824" s="7" t="s">
        <v>16</v>
      </c>
      <c r="AA38824" s="7" t="n">
        <f t="normal" ca="1">32-LENB(INDIRECT(ADDRESS(38824,26)))</f>
        <v>0</v>
      </c>
      <c r="AB38824" s="7" t="n">
        <v>7</v>
      </c>
      <c r="AC38824" s="7" t="n">
        <v>65533</v>
      </c>
      <c r="AD38824" s="7" t="n">
        <v>64177</v>
      </c>
      <c r="AE38824" s="7" t="s">
        <v>16</v>
      </c>
      <c r="AF38824" s="7" t="n">
        <f t="normal" ca="1">32-LENB(INDIRECT(ADDRESS(38824,31)))</f>
        <v>0</v>
      </c>
      <c r="AG38824" s="7" t="n">
        <v>7</v>
      </c>
      <c r="AH38824" s="7" t="n">
        <v>65533</v>
      </c>
      <c r="AI38824" s="7" t="n">
        <v>64178</v>
      </c>
      <c r="AJ38824" s="7" t="s">
        <v>16</v>
      </c>
      <c r="AK38824" s="7" t="n">
        <f t="normal" ca="1">32-LENB(INDIRECT(ADDRESS(38824,36)))</f>
        <v>0</v>
      </c>
      <c r="AL38824" s="7" t="n">
        <v>7</v>
      </c>
      <c r="AM38824" s="7" t="n">
        <v>65533</v>
      </c>
      <c r="AN38824" s="7" t="n">
        <v>64179</v>
      </c>
      <c r="AO38824" s="7" t="s">
        <v>16</v>
      </c>
      <c r="AP38824" s="7" t="n">
        <f t="normal" ca="1">32-LENB(INDIRECT(ADDRESS(38824,41)))</f>
        <v>0</v>
      </c>
      <c r="AQ38824" s="7" t="n">
        <v>7</v>
      </c>
      <c r="AR38824" s="7" t="n">
        <v>65533</v>
      </c>
      <c r="AS38824" s="7" t="n">
        <v>64180</v>
      </c>
      <c r="AT38824" s="7" t="s">
        <v>16</v>
      </c>
      <c r="AU38824" s="7" t="n">
        <f t="normal" ca="1">32-LENB(INDIRECT(ADDRESS(38824,46)))</f>
        <v>0</v>
      </c>
      <c r="AV38824" s="7" t="n">
        <v>7</v>
      </c>
      <c r="AW38824" s="7" t="n">
        <v>65533</v>
      </c>
      <c r="AX38824" s="7" t="n">
        <v>64181</v>
      </c>
      <c r="AY38824" s="7" t="s">
        <v>16</v>
      </c>
      <c r="AZ38824" s="7" t="n">
        <f t="normal" ca="1">32-LENB(INDIRECT(ADDRESS(38824,51)))</f>
        <v>0</v>
      </c>
      <c r="BA38824" s="7" t="n">
        <v>7</v>
      </c>
      <c r="BB38824" s="7" t="n">
        <v>65533</v>
      </c>
      <c r="BC38824" s="7" t="n">
        <v>64182</v>
      </c>
      <c r="BD38824" s="7" t="s">
        <v>16</v>
      </c>
      <c r="BE38824" s="7" t="n">
        <f t="normal" ca="1">32-LENB(INDIRECT(ADDRESS(38824,56)))</f>
        <v>0</v>
      </c>
      <c r="BF38824" s="7" t="n">
        <v>7</v>
      </c>
      <c r="BG38824" s="7" t="n">
        <v>65533</v>
      </c>
      <c r="BH38824" s="7" t="n">
        <v>64183</v>
      </c>
      <c r="BI38824" s="7" t="s">
        <v>16</v>
      </c>
      <c r="BJ38824" s="7" t="n">
        <f t="normal" ca="1">32-LENB(INDIRECT(ADDRESS(38824,61)))</f>
        <v>0</v>
      </c>
      <c r="BK38824" s="7" t="n">
        <v>7</v>
      </c>
      <c r="BL38824" s="7" t="n">
        <v>65533</v>
      </c>
      <c r="BM38824" s="7" t="n">
        <v>64184</v>
      </c>
      <c r="BN38824" s="7" t="s">
        <v>16</v>
      </c>
      <c r="BO38824" s="7" t="n">
        <f t="normal" ca="1">32-LENB(INDIRECT(ADDRESS(38824,66)))</f>
        <v>0</v>
      </c>
      <c r="BP38824" s="7" t="n">
        <v>7</v>
      </c>
      <c r="BQ38824" s="7" t="n">
        <v>65533</v>
      </c>
      <c r="BR38824" s="7" t="n">
        <v>64185</v>
      </c>
      <c r="BS38824" s="7" t="s">
        <v>16</v>
      </c>
      <c r="BT38824" s="7" t="n">
        <f t="normal" ca="1">32-LENB(INDIRECT(ADDRESS(38824,71)))</f>
        <v>0</v>
      </c>
      <c r="BU38824" s="7" t="n">
        <v>7</v>
      </c>
      <c r="BV38824" s="7" t="n">
        <v>65533</v>
      </c>
      <c r="BW38824" s="7" t="n">
        <v>64186</v>
      </c>
      <c r="BX38824" s="7" t="s">
        <v>16</v>
      </c>
      <c r="BY38824" s="7" t="n">
        <f t="normal" ca="1">32-LENB(INDIRECT(ADDRESS(38824,76)))</f>
        <v>0</v>
      </c>
      <c r="BZ38824" s="7" t="n">
        <v>7</v>
      </c>
      <c r="CA38824" s="7" t="n">
        <v>65533</v>
      </c>
      <c r="CB38824" s="7" t="n">
        <v>64187</v>
      </c>
      <c r="CC38824" s="7" t="s">
        <v>16</v>
      </c>
      <c r="CD38824" s="7" t="n">
        <f t="normal" ca="1">32-LENB(INDIRECT(ADDRESS(38824,81)))</f>
        <v>0</v>
      </c>
      <c r="CE38824" s="7" t="n">
        <v>7</v>
      </c>
      <c r="CF38824" s="7" t="n">
        <v>65533</v>
      </c>
      <c r="CG38824" s="7" t="n">
        <v>64188</v>
      </c>
      <c r="CH38824" s="7" t="s">
        <v>16</v>
      </c>
      <c r="CI38824" s="7" t="n">
        <f t="normal" ca="1">32-LENB(INDIRECT(ADDRESS(38824,86)))</f>
        <v>0</v>
      </c>
      <c r="CJ38824" s="7" t="n">
        <v>7</v>
      </c>
      <c r="CK38824" s="7" t="n">
        <v>65533</v>
      </c>
      <c r="CL38824" s="7" t="n">
        <v>64189</v>
      </c>
      <c r="CM38824" s="7" t="s">
        <v>16</v>
      </c>
      <c r="CN38824" s="7" t="n">
        <f t="normal" ca="1">32-LENB(INDIRECT(ADDRESS(38824,91)))</f>
        <v>0</v>
      </c>
      <c r="CO38824" s="7" t="n">
        <v>7</v>
      </c>
      <c r="CP38824" s="7" t="n">
        <v>65533</v>
      </c>
      <c r="CQ38824" s="7" t="n">
        <v>64190</v>
      </c>
      <c r="CR38824" s="7" t="s">
        <v>16</v>
      </c>
      <c r="CS38824" s="7" t="n">
        <f t="normal" ca="1">32-LENB(INDIRECT(ADDRESS(38824,96)))</f>
        <v>0</v>
      </c>
      <c r="CT38824" s="7" t="n">
        <v>7</v>
      </c>
      <c r="CU38824" s="7" t="n">
        <v>65533</v>
      </c>
      <c r="CV38824" s="7" t="n">
        <v>64191</v>
      </c>
      <c r="CW38824" s="7" t="s">
        <v>16</v>
      </c>
      <c r="CX38824" s="7" t="n">
        <f t="normal" ca="1">32-LENB(INDIRECT(ADDRESS(38824,101)))</f>
        <v>0</v>
      </c>
      <c r="CY38824" s="7" t="n">
        <v>7</v>
      </c>
      <c r="CZ38824" s="7" t="n">
        <v>65533</v>
      </c>
      <c r="DA38824" s="7" t="n">
        <v>64192</v>
      </c>
      <c r="DB38824" s="7" t="s">
        <v>16</v>
      </c>
      <c r="DC38824" s="7" t="n">
        <f t="normal" ca="1">32-LENB(INDIRECT(ADDRESS(38824,106)))</f>
        <v>0</v>
      </c>
      <c r="DD38824" s="7" t="n">
        <v>7</v>
      </c>
      <c r="DE38824" s="7" t="n">
        <v>65533</v>
      </c>
      <c r="DF38824" s="7" t="n">
        <v>64193</v>
      </c>
      <c r="DG38824" s="7" t="s">
        <v>16</v>
      </c>
      <c r="DH38824" s="7" t="n">
        <f t="normal" ca="1">32-LENB(INDIRECT(ADDRESS(38824,111)))</f>
        <v>0</v>
      </c>
      <c r="DI38824" s="7" t="n">
        <v>7</v>
      </c>
      <c r="DJ38824" s="7" t="n">
        <v>65533</v>
      </c>
      <c r="DK38824" s="7" t="n">
        <v>64194</v>
      </c>
      <c r="DL38824" s="7" t="s">
        <v>16</v>
      </c>
      <c r="DM38824" s="7" t="n">
        <f t="normal" ca="1">32-LENB(INDIRECT(ADDRESS(38824,116)))</f>
        <v>0</v>
      </c>
      <c r="DN38824" s="7" t="n">
        <v>7</v>
      </c>
      <c r="DO38824" s="7" t="n">
        <v>65533</v>
      </c>
      <c r="DP38824" s="7" t="n">
        <v>64195</v>
      </c>
      <c r="DQ38824" s="7" t="s">
        <v>16</v>
      </c>
      <c r="DR38824" s="7" t="n">
        <f t="normal" ca="1">32-LENB(INDIRECT(ADDRESS(38824,121)))</f>
        <v>0</v>
      </c>
      <c r="DS38824" s="7" t="n">
        <v>7</v>
      </c>
      <c r="DT38824" s="7" t="n">
        <v>65533</v>
      </c>
      <c r="DU38824" s="7" t="n">
        <v>64196</v>
      </c>
      <c r="DV38824" s="7" t="s">
        <v>16</v>
      </c>
      <c r="DW38824" s="7" t="n">
        <f t="normal" ca="1">32-LENB(INDIRECT(ADDRESS(38824,126)))</f>
        <v>0</v>
      </c>
      <c r="DX38824" s="7" t="n">
        <v>7</v>
      </c>
      <c r="DY38824" s="7" t="n">
        <v>65533</v>
      </c>
      <c r="DZ38824" s="7" t="n">
        <v>64197</v>
      </c>
      <c r="EA38824" s="7" t="s">
        <v>16</v>
      </c>
      <c r="EB38824" s="7" t="n">
        <f t="normal" ca="1">32-LENB(INDIRECT(ADDRESS(38824,131)))</f>
        <v>0</v>
      </c>
      <c r="EC38824" s="7" t="n">
        <v>7</v>
      </c>
      <c r="ED38824" s="7" t="n">
        <v>65533</v>
      </c>
      <c r="EE38824" s="7" t="n">
        <v>64198</v>
      </c>
      <c r="EF38824" s="7" t="s">
        <v>16</v>
      </c>
      <c r="EG38824" s="7" t="n">
        <f t="normal" ca="1">32-LENB(INDIRECT(ADDRESS(38824,136)))</f>
        <v>0</v>
      </c>
      <c r="EH38824" s="7" t="n">
        <v>7</v>
      </c>
      <c r="EI38824" s="7" t="n">
        <v>65533</v>
      </c>
      <c r="EJ38824" s="7" t="n">
        <v>64199</v>
      </c>
      <c r="EK38824" s="7" t="s">
        <v>16</v>
      </c>
      <c r="EL38824" s="7" t="n">
        <f t="normal" ca="1">32-LENB(INDIRECT(ADDRESS(38824,141)))</f>
        <v>0</v>
      </c>
      <c r="EM38824" s="7" t="n">
        <v>7</v>
      </c>
      <c r="EN38824" s="7" t="n">
        <v>65533</v>
      </c>
      <c r="EO38824" s="7" t="n">
        <v>64200</v>
      </c>
      <c r="EP38824" s="7" t="s">
        <v>16</v>
      </c>
      <c r="EQ38824" s="7" t="n">
        <f t="normal" ca="1">32-LENB(INDIRECT(ADDRESS(38824,146)))</f>
        <v>0</v>
      </c>
      <c r="ER38824" s="7" t="n">
        <v>7</v>
      </c>
      <c r="ES38824" s="7" t="n">
        <v>65533</v>
      </c>
      <c r="ET38824" s="7" t="n">
        <v>64201</v>
      </c>
      <c r="EU38824" s="7" t="s">
        <v>16</v>
      </c>
      <c r="EV38824" s="7" t="n">
        <f t="normal" ca="1">32-LENB(INDIRECT(ADDRESS(38824,151)))</f>
        <v>0</v>
      </c>
      <c r="EW38824" s="7" t="n">
        <v>7</v>
      </c>
      <c r="EX38824" s="7" t="n">
        <v>65533</v>
      </c>
      <c r="EY38824" s="7" t="n">
        <v>64202</v>
      </c>
      <c r="EZ38824" s="7" t="s">
        <v>16</v>
      </c>
      <c r="FA38824" s="7" t="n">
        <f t="normal" ca="1">32-LENB(INDIRECT(ADDRESS(38824,156)))</f>
        <v>0</v>
      </c>
      <c r="FB38824" s="7" t="n">
        <v>7</v>
      </c>
      <c r="FC38824" s="7" t="n">
        <v>65533</v>
      </c>
      <c r="FD38824" s="7" t="n">
        <v>8800</v>
      </c>
      <c r="FE38824" s="7" t="s">
        <v>16</v>
      </c>
      <c r="FF38824" s="7" t="n">
        <f t="normal" ca="1">32-LENB(INDIRECT(ADDRESS(38824,161)))</f>
        <v>0</v>
      </c>
      <c r="FG38824" s="7" t="n">
        <v>7</v>
      </c>
      <c r="FH38824" s="7" t="n">
        <v>65533</v>
      </c>
      <c r="FI38824" s="7" t="n">
        <v>8801</v>
      </c>
      <c r="FJ38824" s="7" t="s">
        <v>16</v>
      </c>
      <c r="FK38824" s="7" t="n">
        <f t="normal" ca="1">32-LENB(INDIRECT(ADDRESS(38824,166)))</f>
        <v>0</v>
      </c>
      <c r="FL38824" s="7" t="n">
        <v>7</v>
      </c>
      <c r="FM38824" s="7" t="n">
        <v>65533</v>
      </c>
      <c r="FN38824" s="7" t="n">
        <v>8802</v>
      </c>
      <c r="FO38824" s="7" t="s">
        <v>16</v>
      </c>
      <c r="FP38824" s="7" t="n">
        <f t="normal" ca="1">32-LENB(INDIRECT(ADDRESS(38824,171)))</f>
        <v>0</v>
      </c>
      <c r="FQ38824" s="7" t="n">
        <v>7</v>
      </c>
      <c r="FR38824" s="7" t="n">
        <v>65533</v>
      </c>
      <c r="FS38824" s="7" t="n">
        <v>8803</v>
      </c>
      <c r="FT38824" s="7" t="s">
        <v>16</v>
      </c>
      <c r="FU38824" s="7" t="n">
        <f t="normal" ca="1">32-LENB(INDIRECT(ADDRESS(38824,176)))</f>
        <v>0</v>
      </c>
      <c r="FV38824" s="7" t="n">
        <v>7</v>
      </c>
      <c r="FW38824" s="7" t="n">
        <v>65533</v>
      </c>
      <c r="FX38824" s="7" t="n">
        <v>8804</v>
      </c>
      <c r="FY38824" s="7" t="s">
        <v>16</v>
      </c>
      <c r="FZ38824" s="7" t="n">
        <f t="normal" ca="1">32-LENB(INDIRECT(ADDRESS(38824,181)))</f>
        <v>0</v>
      </c>
      <c r="GA38824" s="7" t="n">
        <v>7</v>
      </c>
      <c r="GB38824" s="7" t="n">
        <v>65533</v>
      </c>
      <c r="GC38824" s="7" t="n">
        <v>8805</v>
      </c>
      <c r="GD38824" s="7" t="s">
        <v>16</v>
      </c>
      <c r="GE38824" s="7" t="n">
        <f t="normal" ca="1">32-LENB(INDIRECT(ADDRESS(38824,186)))</f>
        <v>0</v>
      </c>
      <c r="GF38824" s="7" t="n">
        <v>7</v>
      </c>
      <c r="GG38824" s="7" t="n">
        <v>65533</v>
      </c>
      <c r="GH38824" s="7" t="n">
        <v>64268</v>
      </c>
      <c r="GI38824" s="7" t="s">
        <v>16</v>
      </c>
      <c r="GJ38824" s="7" t="n">
        <f t="normal" ca="1">32-LENB(INDIRECT(ADDRESS(38824,191)))</f>
        <v>0</v>
      </c>
      <c r="GK38824" s="7" t="n">
        <v>7</v>
      </c>
      <c r="GL38824" s="7" t="n">
        <v>65533</v>
      </c>
      <c r="GM38824" s="7" t="n">
        <v>8806</v>
      </c>
      <c r="GN38824" s="7" t="s">
        <v>16</v>
      </c>
      <c r="GO38824" s="7" t="n">
        <f t="normal" ca="1">32-LENB(INDIRECT(ADDRESS(38824,196)))</f>
        <v>0</v>
      </c>
      <c r="GP38824" s="7" t="n">
        <v>7</v>
      </c>
      <c r="GQ38824" s="7" t="n">
        <v>65533</v>
      </c>
      <c r="GR38824" s="7" t="n">
        <v>8807</v>
      </c>
      <c r="GS38824" s="7" t="s">
        <v>16</v>
      </c>
      <c r="GT38824" s="7" t="n">
        <f t="normal" ca="1">32-LENB(INDIRECT(ADDRESS(38824,201)))</f>
        <v>0</v>
      </c>
      <c r="GU38824" s="7" t="n">
        <v>7</v>
      </c>
      <c r="GV38824" s="7" t="n">
        <v>65533</v>
      </c>
      <c r="GW38824" s="7" t="n">
        <v>8808</v>
      </c>
      <c r="GX38824" s="7" t="s">
        <v>16</v>
      </c>
      <c r="GY38824" s="7" t="n">
        <f t="normal" ca="1">32-LENB(INDIRECT(ADDRESS(38824,206)))</f>
        <v>0</v>
      </c>
      <c r="GZ38824" s="7" t="n">
        <v>7</v>
      </c>
      <c r="HA38824" s="7" t="n">
        <v>65533</v>
      </c>
      <c r="HB38824" s="7" t="n">
        <v>8809</v>
      </c>
      <c r="HC38824" s="7" t="s">
        <v>16</v>
      </c>
      <c r="HD38824" s="7" t="n">
        <f t="normal" ca="1">32-LENB(INDIRECT(ADDRESS(38824,211)))</f>
        <v>0</v>
      </c>
      <c r="HE38824" s="7" t="n">
        <v>7</v>
      </c>
      <c r="HF38824" s="7" t="n">
        <v>65533</v>
      </c>
      <c r="HG38824" s="7" t="n">
        <v>64203</v>
      </c>
      <c r="HH38824" s="7" t="s">
        <v>16</v>
      </c>
      <c r="HI38824" s="7" t="n">
        <f t="normal" ca="1">32-LENB(INDIRECT(ADDRESS(38824,216)))</f>
        <v>0</v>
      </c>
      <c r="HJ38824" s="7" t="n">
        <v>7</v>
      </c>
      <c r="HK38824" s="7" t="n">
        <v>65533</v>
      </c>
      <c r="HL38824" s="7" t="n">
        <v>8810</v>
      </c>
      <c r="HM38824" s="7" t="s">
        <v>16</v>
      </c>
      <c r="HN38824" s="7" t="n">
        <f t="normal" ca="1">32-LENB(INDIRECT(ADDRESS(38824,221)))</f>
        <v>0</v>
      </c>
      <c r="HO38824" s="7" t="n">
        <v>7</v>
      </c>
      <c r="HP38824" s="7" t="n">
        <v>65533</v>
      </c>
      <c r="HQ38824" s="7" t="n">
        <v>8811</v>
      </c>
      <c r="HR38824" s="7" t="s">
        <v>16</v>
      </c>
      <c r="HS38824" s="7" t="n">
        <f t="normal" ca="1">32-LENB(INDIRECT(ADDRESS(38824,226)))</f>
        <v>0</v>
      </c>
      <c r="HT38824" s="7" t="n">
        <v>7</v>
      </c>
      <c r="HU38824" s="7" t="n">
        <v>65533</v>
      </c>
      <c r="HV38824" s="7" t="n">
        <v>8812</v>
      </c>
      <c r="HW38824" s="7" t="s">
        <v>16</v>
      </c>
      <c r="HX38824" s="7" t="n">
        <f t="normal" ca="1">32-LENB(INDIRECT(ADDRESS(38824,231)))</f>
        <v>0</v>
      </c>
      <c r="HY38824" s="7" t="n">
        <v>7</v>
      </c>
      <c r="HZ38824" s="7" t="n">
        <v>65533</v>
      </c>
      <c r="IA38824" s="7" t="n">
        <v>8813</v>
      </c>
      <c r="IB38824" s="7" t="s">
        <v>16</v>
      </c>
      <c r="IC38824" s="7" t="n">
        <f t="normal" ca="1">32-LENB(INDIRECT(ADDRESS(38824,236)))</f>
        <v>0</v>
      </c>
      <c r="ID38824" s="7" t="n">
        <v>7</v>
      </c>
      <c r="IE38824" s="7" t="n">
        <v>65533</v>
      </c>
      <c r="IF38824" s="7" t="n">
        <v>64204</v>
      </c>
      <c r="IG38824" s="7" t="s">
        <v>16</v>
      </c>
      <c r="IH38824" s="7" t="n">
        <f t="normal" ca="1">32-LENB(INDIRECT(ADDRESS(38824,241)))</f>
        <v>0</v>
      </c>
      <c r="II38824" s="7" t="n">
        <v>7</v>
      </c>
      <c r="IJ38824" s="7" t="n">
        <v>65533</v>
      </c>
      <c r="IK38824" s="7" t="n">
        <v>64205</v>
      </c>
      <c r="IL38824" s="7" t="s">
        <v>16</v>
      </c>
      <c r="IM38824" s="7" t="n">
        <f t="normal" ca="1">32-LENB(INDIRECT(ADDRESS(38824,246)))</f>
        <v>0</v>
      </c>
      <c r="IN38824" s="7" t="n">
        <v>7</v>
      </c>
      <c r="IO38824" s="7" t="n">
        <v>65533</v>
      </c>
      <c r="IP38824" s="7" t="n">
        <v>64206</v>
      </c>
      <c r="IQ38824" s="7" t="s">
        <v>16</v>
      </c>
      <c r="IR38824" s="7" t="n">
        <f t="normal" ca="1">32-LENB(INDIRECT(ADDRESS(38824,251)))</f>
        <v>0</v>
      </c>
      <c r="IS38824" s="7" t="n">
        <v>7</v>
      </c>
      <c r="IT38824" s="7" t="n">
        <v>65533</v>
      </c>
      <c r="IU38824" s="7" t="n">
        <v>64207</v>
      </c>
      <c r="IV38824" s="7" t="s">
        <v>16</v>
      </c>
      <c r="IW38824" s="7" t="n">
        <f t="normal" ca="1">32-LENB(INDIRECT(ADDRESS(38824,256)))</f>
        <v>0</v>
      </c>
      <c r="IX38824" s="7" t="n">
        <v>7</v>
      </c>
      <c r="IY38824" s="7" t="n">
        <v>65533</v>
      </c>
      <c r="IZ38824" s="7" t="n">
        <v>8814</v>
      </c>
      <c r="JA38824" s="7" t="s">
        <v>16</v>
      </c>
      <c r="JB38824" s="7" t="n">
        <f t="normal" ca="1">32-LENB(INDIRECT(ADDRESS(38824,261)))</f>
        <v>0</v>
      </c>
      <c r="JC38824" s="7" t="n">
        <v>7</v>
      </c>
      <c r="JD38824" s="7" t="n">
        <v>65533</v>
      </c>
      <c r="JE38824" s="7" t="n">
        <v>8815</v>
      </c>
      <c r="JF38824" s="7" t="s">
        <v>16</v>
      </c>
      <c r="JG38824" s="7" t="n">
        <f t="normal" ca="1">32-LENB(INDIRECT(ADDRESS(38824,266)))</f>
        <v>0</v>
      </c>
      <c r="JH38824" s="7" t="n">
        <v>7</v>
      </c>
      <c r="JI38824" s="7" t="n">
        <v>65533</v>
      </c>
      <c r="JJ38824" s="7" t="n">
        <v>8816</v>
      </c>
      <c r="JK38824" s="7" t="s">
        <v>16</v>
      </c>
      <c r="JL38824" s="7" t="n">
        <f t="normal" ca="1">32-LENB(INDIRECT(ADDRESS(38824,271)))</f>
        <v>0</v>
      </c>
      <c r="JM38824" s="7" t="n">
        <v>7</v>
      </c>
      <c r="JN38824" s="7" t="n">
        <v>65533</v>
      </c>
      <c r="JO38824" s="7" t="n">
        <v>64208</v>
      </c>
      <c r="JP38824" s="7" t="s">
        <v>16</v>
      </c>
      <c r="JQ38824" s="7" t="n">
        <f t="normal" ca="1">32-LENB(INDIRECT(ADDRESS(38824,276)))</f>
        <v>0</v>
      </c>
      <c r="JR38824" s="7" t="n">
        <v>4</v>
      </c>
      <c r="JS38824" s="7" t="n">
        <v>65533</v>
      </c>
      <c r="JT38824" s="7" t="n">
        <v>2003</v>
      </c>
      <c r="JU38824" s="7" t="s">
        <v>16</v>
      </c>
      <c r="JV38824" s="7" t="n">
        <f t="normal" ca="1">32-LENB(INDIRECT(ADDRESS(38824,281)))</f>
        <v>0</v>
      </c>
      <c r="JW38824" s="7" t="n">
        <v>4</v>
      </c>
      <c r="JX38824" s="7" t="n">
        <v>65533</v>
      </c>
      <c r="JY38824" s="7" t="n">
        <v>4272</v>
      </c>
      <c r="JZ38824" s="7" t="s">
        <v>16</v>
      </c>
      <c r="KA38824" s="7" t="n">
        <f t="normal" ca="1">32-LENB(INDIRECT(ADDRESS(38824,286)))</f>
        <v>0</v>
      </c>
      <c r="KB38824" s="7" t="n">
        <v>7</v>
      </c>
      <c r="KC38824" s="7" t="n">
        <v>65533</v>
      </c>
      <c r="KD38824" s="7" t="n">
        <v>64209</v>
      </c>
      <c r="KE38824" s="7" t="s">
        <v>16</v>
      </c>
      <c r="KF38824" s="7" t="n">
        <f t="normal" ca="1">32-LENB(INDIRECT(ADDRESS(38824,291)))</f>
        <v>0</v>
      </c>
      <c r="KG38824" s="7" t="n">
        <v>7</v>
      </c>
      <c r="KH38824" s="7" t="n">
        <v>65533</v>
      </c>
      <c r="KI38824" s="7" t="n">
        <v>64210</v>
      </c>
      <c r="KJ38824" s="7" t="s">
        <v>16</v>
      </c>
      <c r="KK38824" s="7" t="n">
        <f t="normal" ca="1">32-LENB(INDIRECT(ADDRESS(38824,296)))</f>
        <v>0</v>
      </c>
      <c r="KL38824" s="7" t="n">
        <v>7</v>
      </c>
      <c r="KM38824" s="7" t="n">
        <v>65533</v>
      </c>
      <c r="KN38824" s="7" t="n">
        <v>8817</v>
      </c>
      <c r="KO38824" s="7" t="s">
        <v>16</v>
      </c>
      <c r="KP38824" s="7" t="n">
        <f t="normal" ca="1">32-LENB(INDIRECT(ADDRESS(38824,301)))</f>
        <v>0</v>
      </c>
      <c r="KQ38824" s="7" t="n">
        <v>7</v>
      </c>
      <c r="KR38824" s="7" t="n">
        <v>65533</v>
      </c>
      <c r="KS38824" s="7" t="n">
        <v>8818</v>
      </c>
      <c r="KT38824" s="7" t="s">
        <v>16</v>
      </c>
      <c r="KU38824" s="7" t="n">
        <f t="normal" ca="1">32-LENB(INDIRECT(ADDRESS(38824,306)))</f>
        <v>0</v>
      </c>
      <c r="KV38824" s="7" t="n">
        <v>0</v>
      </c>
      <c r="KW38824" s="7" t="n">
        <v>65533</v>
      </c>
      <c r="KX38824" s="7" t="n">
        <v>0</v>
      </c>
      <c r="KY38824" s="7" t="s">
        <v>16</v>
      </c>
      <c r="KZ38824" s="7" t="n">
        <f t="normal" ca="1">32-LENB(INDIRECT(ADDRESS(38824,311)))</f>
        <v>0</v>
      </c>
    </row>
    <row r="38825" spans="1:317">
      <c r="A38825" t="s">
        <v>4</v>
      </c>
      <c r="B38825" s="4" t="s">
        <v>5</v>
      </c>
    </row>
    <row r="38826" spans="1:317">
      <c r="A38826" t="n">
        <v>415024</v>
      </c>
      <c r="B38826" s="5" t="n">
        <v>1</v>
      </c>
    </row>
    <row r="38827" spans="1:317" s="3" customFormat="1" customHeight="0">
      <c r="A38827" s="3" t="s">
        <v>2</v>
      </c>
      <c r="B38827" s="3" t="s">
        <v>1874</v>
      </c>
    </row>
    <row r="38828" spans="1:317">
      <c r="A38828" t="s">
        <v>4</v>
      </c>
      <c r="B38828" s="4" t="s">
        <v>5</v>
      </c>
      <c r="C38828" s="4" t="s">
        <v>11</v>
      </c>
      <c r="D38828" s="4" t="s">
        <v>11</v>
      </c>
      <c r="E38828" s="4" t="s">
        <v>15</v>
      </c>
      <c r="F38828" s="4" t="s">
        <v>8</v>
      </c>
      <c r="G38828" s="4" t="s">
        <v>1859</v>
      </c>
      <c r="H38828" s="4" t="s">
        <v>11</v>
      </c>
      <c r="I38828" s="4" t="s">
        <v>11</v>
      </c>
      <c r="J38828" s="4" t="s">
        <v>15</v>
      </c>
      <c r="K38828" s="4" t="s">
        <v>8</v>
      </c>
      <c r="L38828" s="4" t="s">
        <v>1859</v>
      </c>
      <c r="M38828" s="4" t="s">
        <v>11</v>
      </c>
      <c r="N38828" s="4" t="s">
        <v>11</v>
      </c>
      <c r="O38828" s="4" t="s">
        <v>15</v>
      </c>
      <c r="P38828" s="4" t="s">
        <v>8</v>
      </c>
      <c r="Q38828" s="4" t="s">
        <v>1859</v>
      </c>
      <c r="R38828" s="4" t="s">
        <v>11</v>
      </c>
      <c r="S38828" s="4" t="s">
        <v>11</v>
      </c>
      <c r="T38828" s="4" t="s">
        <v>15</v>
      </c>
      <c r="U38828" s="4" t="s">
        <v>8</v>
      </c>
      <c r="V38828" s="4" t="s">
        <v>1859</v>
      </c>
      <c r="W38828" s="4" t="s">
        <v>11</v>
      </c>
      <c r="X38828" s="4" t="s">
        <v>11</v>
      </c>
      <c r="Y38828" s="4" t="s">
        <v>15</v>
      </c>
      <c r="Z38828" s="4" t="s">
        <v>8</v>
      </c>
      <c r="AA38828" s="4" t="s">
        <v>1859</v>
      </c>
      <c r="AB38828" s="4" t="s">
        <v>11</v>
      </c>
      <c r="AC38828" s="4" t="s">
        <v>11</v>
      </c>
      <c r="AD38828" s="4" t="s">
        <v>15</v>
      </c>
      <c r="AE38828" s="4" t="s">
        <v>8</v>
      </c>
      <c r="AF38828" s="4" t="s">
        <v>1859</v>
      </c>
      <c r="AG38828" s="4" t="s">
        <v>11</v>
      </c>
      <c r="AH38828" s="4" t="s">
        <v>11</v>
      </c>
      <c r="AI38828" s="4" t="s">
        <v>15</v>
      </c>
      <c r="AJ38828" s="4" t="s">
        <v>8</v>
      </c>
      <c r="AK38828" s="4" t="s">
        <v>1859</v>
      </c>
      <c r="AL38828" s="4" t="s">
        <v>11</v>
      </c>
      <c r="AM38828" s="4" t="s">
        <v>11</v>
      </c>
      <c r="AN38828" s="4" t="s">
        <v>15</v>
      </c>
      <c r="AO38828" s="4" t="s">
        <v>8</v>
      </c>
      <c r="AP38828" s="4" t="s">
        <v>1859</v>
      </c>
      <c r="AQ38828" s="4" t="s">
        <v>11</v>
      </c>
      <c r="AR38828" s="4" t="s">
        <v>11</v>
      </c>
      <c r="AS38828" s="4" t="s">
        <v>15</v>
      </c>
      <c r="AT38828" s="4" t="s">
        <v>8</v>
      </c>
      <c r="AU38828" s="4" t="s">
        <v>1859</v>
      </c>
      <c r="AV38828" s="4" t="s">
        <v>11</v>
      </c>
      <c r="AW38828" s="4" t="s">
        <v>11</v>
      </c>
      <c r="AX38828" s="4" t="s">
        <v>15</v>
      </c>
      <c r="AY38828" s="4" t="s">
        <v>8</v>
      </c>
      <c r="AZ38828" s="4" t="s">
        <v>1859</v>
      </c>
      <c r="BA38828" s="4" t="s">
        <v>11</v>
      </c>
      <c r="BB38828" s="4" t="s">
        <v>11</v>
      </c>
      <c r="BC38828" s="4" t="s">
        <v>15</v>
      </c>
      <c r="BD38828" s="4" t="s">
        <v>8</v>
      </c>
      <c r="BE38828" s="4" t="s">
        <v>1859</v>
      </c>
      <c r="BF38828" s="4" t="s">
        <v>11</v>
      </c>
      <c r="BG38828" s="4" t="s">
        <v>11</v>
      </c>
      <c r="BH38828" s="4" t="s">
        <v>15</v>
      </c>
      <c r="BI38828" s="4" t="s">
        <v>8</v>
      </c>
      <c r="BJ38828" s="4" t="s">
        <v>1859</v>
      </c>
      <c r="BK38828" s="4" t="s">
        <v>11</v>
      </c>
      <c r="BL38828" s="4" t="s">
        <v>11</v>
      </c>
      <c r="BM38828" s="4" t="s">
        <v>15</v>
      </c>
      <c r="BN38828" s="4" t="s">
        <v>8</v>
      </c>
      <c r="BO38828" s="4" t="s">
        <v>1859</v>
      </c>
      <c r="BP38828" s="4" t="s">
        <v>11</v>
      </c>
      <c r="BQ38828" s="4" t="s">
        <v>11</v>
      </c>
      <c r="BR38828" s="4" t="s">
        <v>15</v>
      </c>
      <c r="BS38828" s="4" t="s">
        <v>8</v>
      </c>
      <c r="BT38828" s="4" t="s">
        <v>1859</v>
      </c>
      <c r="BU38828" s="4" t="s">
        <v>11</v>
      </c>
      <c r="BV38828" s="4" t="s">
        <v>11</v>
      </c>
      <c r="BW38828" s="4" t="s">
        <v>15</v>
      </c>
      <c r="BX38828" s="4" t="s">
        <v>8</v>
      </c>
      <c r="BY38828" s="4" t="s">
        <v>1859</v>
      </c>
      <c r="BZ38828" s="4" t="s">
        <v>11</v>
      </c>
      <c r="CA38828" s="4" t="s">
        <v>11</v>
      </c>
      <c r="CB38828" s="4" t="s">
        <v>15</v>
      </c>
      <c r="CC38828" s="4" t="s">
        <v>8</v>
      </c>
      <c r="CD38828" s="4" t="s">
        <v>1859</v>
      </c>
      <c r="CE38828" s="4" t="s">
        <v>11</v>
      </c>
      <c r="CF38828" s="4" t="s">
        <v>11</v>
      </c>
      <c r="CG38828" s="4" t="s">
        <v>15</v>
      </c>
      <c r="CH38828" s="4" t="s">
        <v>8</v>
      </c>
      <c r="CI38828" s="4" t="s">
        <v>1859</v>
      </c>
      <c r="CJ38828" s="4" t="s">
        <v>11</v>
      </c>
      <c r="CK38828" s="4" t="s">
        <v>11</v>
      </c>
      <c r="CL38828" s="4" t="s">
        <v>15</v>
      </c>
      <c r="CM38828" s="4" t="s">
        <v>8</v>
      </c>
      <c r="CN38828" s="4" t="s">
        <v>1859</v>
      </c>
      <c r="CO38828" s="4" t="s">
        <v>11</v>
      </c>
      <c r="CP38828" s="4" t="s">
        <v>11</v>
      </c>
      <c r="CQ38828" s="4" t="s">
        <v>15</v>
      </c>
      <c r="CR38828" s="4" t="s">
        <v>8</v>
      </c>
      <c r="CS38828" s="4" t="s">
        <v>1859</v>
      </c>
      <c r="CT38828" s="4" t="s">
        <v>11</v>
      </c>
      <c r="CU38828" s="4" t="s">
        <v>11</v>
      </c>
      <c r="CV38828" s="4" t="s">
        <v>15</v>
      </c>
      <c r="CW38828" s="4" t="s">
        <v>8</v>
      </c>
      <c r="CX38828" s="4" t="s">
        <v>1859</v>
      </c>
      <c r="CY38828" s="4" t="s">
        <v>11</v>
      </c>
      <c r="CZ38828" s="4" t="s">
        <v>11</v>
      </c>
      <c r="DA38828" s="4" t="s">
        <v>15</v>
      </c>
      <c r="DB38828" s="4" t="s">
        <v>8</v>
      </c>
      <c r="DC38828" s="4" t="s">
        <v>1859</v>
      </c>
      <c r="DD38828" s="4" t="s">
        <v>11</v>
      </c>
      <c r="DE38828" s="4" t="s">
        <v>11</v>
      </c>
      <c r="DF38828" s="4" t="s">
        <v>15</v>
      </c>
      <c r="DG38828" s="4" t="s">
        <v>8</v>
      </c>
      <c r="DH38828" s="4" t="s">
        <v>1859</v>
      </c>
      <c r="DI38828" s="4" t="s">
        <v>11</v>
      </c>
      <c r="DJ38828" s="4" t="s">
        <v>11</v>
      </c>
      <c r="DK38828" s="4" t="s">
        <v>15</v>
      </c>
      <c r="DL38828" s="4" t="s">
        <v>8</v>
      </c>
      <c r="DM38828" s="4" t="s">
        <v>1859</v>
      </c>
      <c r="DN38828" s="4" t="s">
        <v>11</v>
      </c>
      <c r="DO38828" s="4" t="s">
        <v>11</v>
      </c>
      <c r="DP38828" s="4" t="s">
        <v>15</v>
      </c>
      <c r="DQ38828" s="4" t="s">
        <v>8</v>
      </c>
      <c r="DR38828" s="4" t="s">
        <v>1859</v>
      </c>
      <c r="DS38828" s="4" t="s">
        <v>11</v>
      </c>
      <c r="DT38828" s="4" t="s">
        <v>11</v>
      </c>
      <c r="DU38828" s="4" t="s">
        <v>15</v>
      </c>
      <c r="DV38828" s="4" t="s">
        <v>8</v>
      </c>
      <c r="DW38828" s="4" t="s">
        <v>1859</v>
      </c>
      <c r="DX38828" s="4" t="s">
        <v>11</v>
      </c>
      <c r="DY38828" s="4" t="s">
        <v>11</v>
      </c>
      <c r="DZ38828" s="4" t="s">
        <v>15</v>
      </c>
      <c r="EA38828" s="4" t="s">
        <v>8</v>
      </c>
      <c r="EB38828" s="4" t="s">
        <v>1859</v>
      </c>
      <c r="EC38828" s="4" t="s">
        <v>11</v>
      </c>
      <c r="ED38828" s="4" t="s">
        <v>11</v>
      </c>
      <c r="EE38828" s="4" t="s">
        <v>15</v>
      </c>
      <c r="EF38828" s="4" t="s">
        <v>8</v>
      </c>
      <c r="EG38828" s="4" t="s">
        <v>1859</v>
      </c>
      <c r="EH38828" s="4" t="s">
        <v>11</v>
      </c>
      <c r="EI38828" s="4" t="s">
        <v>11</v>
      </c>
      <c r="EJ38828" s="4" t="s">
        <v>15</v>
      </c>
      <c r="EK38828" s="4" t="s">
        <v>8</v>
      </c>
      <c r="EL38828" s="4" t="s">
        <v>1859</v>
      </c>
      <c r="EM38828" s="4" t="s">
        <v>11</v>
      </c>
      <c r="EN38828" s="4" t="s">
        <v>11</v>
      </c>
      <c r="EO38828" s="4" t="s">
        <v>15</v>
      </c>
      <c r="EP38828" s="4" t="s">
        <v>8</v>
      </c>
      <c r="EQ38828" s="4" t="s">
        <v>1859</v>
      </c>
      <c r="ER38828" s="4" t="s">
        <v>11</v>
      </c>
      <c r="ES38828" s="4" t="s">
        <v>11</v>
      </c>
      <c r="ET38828" s="4" t="s">
        <v>15</v>
      </c>
      <c r="EU38828" s="4" t="s">
        <v>8</v>
      </c>
      <c r="EV38828" s="4" t="s">
        <v>1859</v>
      </c>
      <c r="EW38828" s="4" t="s">
        <v>11</v>
      </c>
      <c r="EX38828" s="4" t="s">
        <v>11</v>
      </c>
      <c r="EY38828" s="4" t="s">
        <v>15</v>
      </c>
      <c r="EZ38828" s="4" t="s">
        <v>8</v>
      </c>
      <c r="FA38828" s="4" t="s">
        <v>1859</v>
      </c>
      <c r="FB38828" s="4" t="s">
        <v>11</v>
      </c>
      <c r="FC38828" s="4" t="s">
        <v>11</v>
      </c>
      <c r="FD38828" s="4" t="s">
        <v>15</v>
      </c>
      <c r="FE38828" s="4" t="s">
        <v>8</v>
      </c>
      <c r="FF38828" s="4" t="s">
        <v>1859</v>
      </c>
      <c r="FG38828" s="4" t="s">
        <v>11</v>
      </c>
      <c r="FH38828" s="4" t="s">
        <v>11</v>
      </c>
      <c r="FI38828" s="4" t="s">
        <v>15</v>
      </c>
      <c r="FJ38828" s="4" t="s">
        <v>8</v>
      </c>
      <c r="FK38828" s="4" t="s">
        <v>1859</v>
      </c>
      <c r="FL38828" s="4" t="s">
        <v>11</v>
      </c>
      <c r="FM38828" s="4" t="s">
        <v>11</v>
      </c>
      <c r="FN38828" s="4" t="s">
        <v>15</v>
      </c>
      <c r="FO38828" s="4" t="s">
        <v>8</v>
      </c>
      <c r="FP38828" s="4" t="s">
        <v>1859</v>
      </c>
      <c r="FQ38828" s="4" t="s">
        <v>11</v>
      </c>
      <c r="FR38828" s="4" t="s">
        <v>11</v>
      </c>
      <c r="FS38828" s="4" t="s">
        <v>15</v>
      </c>
      <c r="FT38828" s="4" t="s">
        <v>8</v>
      </c>
      <c r="FU38828" s="4" t="s">
        <v>1859</v>
      </c>
      <c r="FV38828" s="4" t="s">
        <v>11</v>
      </c>
      <c r="FW38828" s="4" t="s">
        <v>11</v>
      </c>
      <c r="FX38828" s="4" t="s">
        <v>15</v>
      </c>
      <c r="FY38828" s="4" t="s">
        <v>8</v>
      </c>
      <c r="FZ38828" s="4" t="s">
        <v>1859</v>
      </c>
      <c r="GA38828" s="4" t="s">
        <v>11</v>
      </c>
      <c r="GB38828" s="4" t="s">
        <v>11</v>
      </c>
      <c r="GC38828" s="4" t="s">
        <v>15</v>
      </c>
      <c r="GD38828" s="4" t="s">
        <v>8</v>
      </c>
      <c r="GE38828" s="4" t="s">
        <v>1859</v>
      </c>
      <c r="GF38828" s="4" t="s">
        <v>11</v>
      </c>
      <c r="GG38828" s="4" t="s">
        <v>11</v>
      </c>
      <c r="GH38828" s="4" t="s">
        <v>15</v>
      </c>
      <c r="GI38828" s="4" t="s">
        <v>8</v>
      </c>
      <c r="GJ38828" s="4" t="s">
        <v>1859</v>
      </c>
      <c r="GK38828" s="4" t="s">
        <v>11</v>
      </c>
      <c r="GL38828" s="4" t="s">
        <v>11</v>
      </c>
      <c r="GM38828" s="4" t="s">
        <v>15</v>
      </c>
      <c r="GN38828" s="4" t="s">
        <v>8</v>
      </c>
      <c r="GO38828" s="4" t="s">
        <v>1859</v>
      </c>
      <c r="GP38828" s="4" t="s">
        <v>11</v>
      </c>
      <c r="GQ38828" s="4" t="s">
        <v>11</v>
      </c>
      <c r="GR38828" s="4" t="s">
        <v>15</v>
      </c>
      <c r="GS38828" s="4" t="s">
        <v>8</v>
      </c>
      <c r="GT38828" s="4" t="s">
        <v>1859</v>
      </c>
      <c r="GU38828" s="4" t="s">
        <v>11</v>
      </c>
      <c r="GV38828" s="4" t="s">
        <v>11</v>
      </c>
      <c r="GW38828" s="4" t="s">
        <v>15</v>
      </c>
      <c r="GX38828" s="4" t="s">
        <v>8</v>
      </c>
      <c r="GY38828" s="4" t="s">
        <v>1859</v>
      </c>
      <c r="GZ38828" s="4" t="s">
        <v>11</v>
      </c>
      <c r="HA38828" s="4" t="s">
        <v>11</v>
      </c>
      <c r="HB38828" s="4" t="s">
        <v>15</v>
      </c>
      <c r="HC38828" s="4" t="s">
        <v>8</v>
      </c>
      <c r="HD38828" s="4" t="s">
        <v>1859</v>
      </c>
      <c r="HE38828" s="4" t="s">
        <v>11</v>
      </c>
      <c r="HF38828" s="4" t="s">
        <v>11</v>
      </c>
      <c r="HG38828" s="4" t="s">
        <v>15</v>
      </c>
      <c r="HH38828" s="4" t="s">
        <v>8</v>
      </c>
      <c r="HI38828" s="4" t="s">
        <v>1859</v>
      </c>
      <c r="HJ38828" s="4" t="s">
        <v>11</v>
      </c>
      <c r="HK38828" s="4" t="s">
        <v>11</v>
      </c>
      <c r="HL38828" s="4" t="s">
        <v>15</v>
      </c>
      <c r="HM38828" s="4" t="s">
        <v>8</v>
      </c>
      <c r="HN38828" s="4" t="s">
        <v>1859</v>
      </c>
      <c r="HO38828" s="4" t="s">
        <v>11</v>
      </c>
      <c r="HP38828" s="4" t="s">
        <v>11</v>
      </c>
      <c r="HQ38828" s="4" t="s">
        <v>15</v>
      </c>
      <c r="HR38828" s="4" t="s">
        <v>8</v>
      </c>
      <c r="HS38828" s="4" t="s">
        <v>1859</v>
      </c>
      <c r="HT38828" s="4" t="s">
        <v>11</v>
      </c>
      <c r="HU38828" s="4" t="s">
        <v>11</v>
      </c>
      <c r="HV38828" s="4" t="s">
        <v>15</v>
      </c>
      <c r="HW38828" s="4" t="s">
        <v>8</v>
      </c>
      <c r="HX38828" s="4" t="s">
        <v>1859</v>
      </c>
      <c r="HY38828" s="4" t="s">
        <v>11</v>
      </c>
      <c r="HZ38828" s="4" t="s">
        <v>11</v>
      </c>
      <c r="IA38828" s="4" t="s">
        <v>15</v>
      </c>
      <c r="IB38828" s="4" t="s">
        <v>8</v>
      </c>
      <c r="IC38828" s="4" t="s">
        <v>1859</v>
      </c>
      <c r="ID38828" s="4" t="s">
        <v>11</v>
      </c>
      <c r="IE38828" s="4" t="s">
        <v>11</v>
      </c>
      <c r="IF38828" s="4" t="s">
        <v>15</v>
      </c>
      <c r="IG38828" s="4" t="s">
        <v>8</v>
      </c>
      <c r="IH38828" s="4" t="s">
        <v>1859</v>
      </c>
      <c r="II38828" s="4" t="s">
        <v>11</v>
      </c>
      <c r="IJ38828" s="4" t="s">
        <v>11</v>
      </c>
      <c r="IK38828" s="4" t="s">
        <v>15</v>
      </c>
      <c r="IL38828" s="4" t="s">
        <v>8</v>
      </c>
      <c r="IM38828" s="4" t="s">
        <v>1859</v>
      </c>
    </row>
    <row r="38829" spans="1:317">
      <c r="A38829" t="n">
        <v>415040</v>
      </c>
      <c r="B38829" s="85" t="n">
        <v>257</v>
      </c>
      <c r="C38829" s="7" t="n">
        <v>7</v>
      </c>
      <c r="D38829" s="7" t="n">
        <v>65533</v>
      </c>
      <c r="E38829" s="7" t="n">
        <v>64211</v>
      </c>
      <c r="F38829" s="7" t="s">
        <v>16</v>
      </c>
      <c r="G38829" s="7" t="n">
        <f t="normal" ca="1">32-LENB(INDIRECT(ADDRESS(38829,6)))</f>
        <v>0</v>
      </c>
      <c r="H38829" s="7" t="n">
        <v>7</v>
      </c>
      <c r="I38829" s="7" t="n">
        <v>65533</v>
      </c>
      <c r="J38829" s="7" t="n">
        <v>64212</v>
      </c>
      <c r="K38829" s="7" t="s">
        <v>16</v>
      </c>
      <c r="L38829" s="7" t="n">
        <f t="normal" ca="1">32-LENB(INDIRECT(ADDRESS(38829,11)))</f>
        <v>0</v>
      </c>
      <c r="M38829" s="7" t="n">
        <v>7</v>
      </c>
      <c r="N38829" s="7" t="n">
        <v>65533</v>
      </c>
      <c r="O38829" s="7" t="n">
        <v>64213</v>
      </c>
      <c r="P38829" s="7" t="s">
        <v>16</v>
      </c>
      <c r="Q38829" s="7" t="n">
        <f t="normal" ca="1">32-LENB(INDIRECT(ADDRESS(38829,16)))</f>
        <v>0</v>
      </c>
      <c r="R38829" s="7" t="n">
        <v>7</v>
      </c>
      <c r="S38829" s="7" t="n">
        <v>65533</v>
      </c>
      <c r="T38829" s="7" t="n">
        <v>64214</v>
      </c>
      <c r="U38829" s="7" t="s">
        <v>16</v>
      </c>
      <c r="V38829" s="7" t="n">
        <f t="normal" ca="1">32-LENB(INDIRECT(ADDRESS(38829,21)))</f>
        <v>0</v>
      </c>
      <c r="W38829" s="7" t="n">
        <v>7</v>
      </c>
      <c r="X38829" s="7" t="n">
        <v>65533</v>
      </c>
      <c r="Y38829" s="7" t="n">
        <v>64215</v>
      </c>
      <c r="Z38829" s="7" t="s">
        <v>16</v>
      </c>
      <c r="AA38829" s="7" t="n">
        <f t="normal" ca="1">32-LENB(INDIRECT(ADDRESS(38829,26)))</f>
        <v>0</v>
      </c>
      <c r="AB38829" s="7" t="n">
        <v>7</v>
      </c>
      <c r="AC38829" s="7" t="n">
        <v>65533</v>
      </c>
      <c r="AD38829" s="7" t="n">
        <v>64216</v>
      </c>
      <c r="AE38829" s="7" t="s">
        <v>16</v>
      </c>
      <c r="AF38829" s="7" t="n">
        <f t="normal" ca="1">32-LENB(INDIRECT(ADDRESS(38829,31)))</f>
        <v>0</v>
      </c>
      <c r="AG38829" s="7" t="n">
        <v>7</v>
      </c>
      <c r="AH38829" s="7" t="n">
        <v>65533</v>
      </c>
      <c r="AI38829" s="7" t="n">
        <v>64217</v>
      </c>
      <c r="AJ38829" s="7" t="s">
        <v>16</v>
      </c>
      <c r="AK38829" s="7" t="n">
        <f t="normal" ca="1">32-LENB(INDIRECT(ADDRESS(38829,36)))</f>
        <v>0</v>
      </c>
      <c r="AL38829" s="7" t="n">
        <v>7</v>
      </c>
      <c r="AM38829" s="7" t="n">
        <v>65533</v>
      </c>
      <c r="AN38829" s="7" t="n">
        <v>63780</v>
      </c>
      <c r="AO38829" s="7" t="s">
        <v>16</v>
      </c>
      <c r="AP38829" s="7" t="n">
        <f t="normal" ca="1">32-LENB(INDIRECT(ADDRESS(38829,41)))</f>
        <v>0</v>
      </c>
      <c r="AQ38829" s="7" t="n">
        <v>7</v>
      </c>
      <c r="AR38829" s="7" t="n">
        <v>65533</v>
      </c>
      <c r="AS38829" s="7" t="n">
        <v>64218</v>
      </c>
      <c r="AT38829" s="7" t="s">
        <v>16</v>
      </c>
      <c r="AU38829" s="7" t="n">
        <f t="normal" ca="1">32-LENB(INDIRECT(ADDRESS(38829,46)))</f>
        <v>0</v>
      </c>
      <c r="AV38829" s="7" t="n">
        <v>7</v>
      </c>
      <c r="AW38829" s="7" t="n">
        <v>65533</v>
      </c>
      <c r="AX38829" s="7" t="n">
        <v>64219</v>
      </c>
      <c r="AY38829" s="7" t="s">
        <v>16</v>
      </c>
      <c r="AZ38829" s="7" t="n">
        <f t="normal" ca="1">32-LENB(INDIRECT(ADDRESS(38829,51)))</f>
        <v>0</v>
      </c>
      <c r="BA38829" s="7" t="n">
        <v>7</v>
      </c>
      <c r="BB38829" s="7" t="n">
        <v>65533</v>
      </c>
      <c r="BC38829" s="7" t="n">
        <v>64220</v>
      </c>
      <c r="BD38829" s="7" t="s">
        <v>16</v>
      </c>
      <c r="BE38829" s="7" t="n">
        <f t="normal" ca="1">32-LENB(INDIRECT(ADDRESS(38829,56)))</f>
        <v>0</v>
      </c>
      <c r="BF38829" s="7" t="n">
        <v>7</v>
      </c>
      <c r="BG38829" s="7" t="n">
        <v>65533</v>
      </c>
      <c r="BH38829" s="7" t="n">
        <v>64221</v>
      </c>
      <c r="BI38829" s="7" t="s">
        <v>16</v>
      </c>
      <c r="BJ38829" s="7" t="n">
        <f t="normal" ca="1">32-LENB(INDIRECT(ADDRESS(38829,61)))</f>
        <v>0</v>
      </c>
      <c r="BK38829" s="7" t="n">
        <v>7</v>
      </c>
      <c r="BL38829" s="7" t="n">
        <v>65533</v>
      </c>
      <c r="BM38829" s="7" t="n">
        <v>64222</v>
      </c>
      <c r="BN38829" s="7" t="s">
        <v>16</v>
      </c>
      <c r="BO38829" s="7" t="n">
        <f t="normal" ca="1">32-LENB(INDIRECT(ADDRESS(38829,66)))</f>
        <v>0</v>
      </c>
      <c r="BP38829" s="7" t="n">
        <v>7</v>
      </c>
      <c r="BQ38829" s="7" t="n">
        <v>65533</v>
      </c>
      <c r="BR38829" s="7" t="n">
        <v>64223</v>
      </c>
      <c r="BS38829" s="7" t="s">
        <v>16</v>
      </c>
      <c r="BT38829" s="7" t="n">
        <f t="normal" ca="1">32-LENB(INDIRECT(ADDRESS(38829,71)))</f>
        <v>0</v>
      </c>
      <c r="BU38829" s="7" t="n">
        <v>7</v>
      </c>
      <c r="BV38829" s="7" t="n">
        <v>65533</v>
      </c>
      <c r="BW38829" s="7" t="n">
        <v>64224</v>
      </c>
      <c r="BX38829" s="7" t="s">
        <v>16</v>
      </c>
      <c r="BY38829" s="7" t="n">
        <f t="normal" ca="1">32-LENB(INDIRECT(ADDRESS(38829,76)))</f>
        <v>0</v>
      </c>
      <c r="BZ38829" s="7" t="n">
        <v>7</v>
      </c>
      <c r="CA38829" s="7" t="n">
        <v>65533</v>
      </c>
      <c r="CB38829" s="7" t="n">
        <v>64225</v>
      </c>
      <c r="CC38829" s="7" t="s">
        <v>16</v>
      </c>
      <c r="CD38829" s="7" t="n">
        <f t="normal" ca="1">32-LENB(INDIRECT(ADDRESS(38829,81)))</f>
        <v>0</v>
      </c>
      <c r="CE38829" s="7" t="n">
        <v>7</v>
      </c>
      <c r="CF38829" s="7" t="n">
        <v>65533</v>
      </c>
      <c r="CG38829" s="7" t="n">
        <v>64226</v>
      </c>
      <c r="CH38829" s="7" t="s">
        <v>16</v>
      </c>
      <c r="CI38829" s="7" t="n">
        <f t="normal" ca="1">32-LENB(INDIRECT(ADDRESS(38829,86)))</f>
        <v>0</v>
      </c>
      <c r="CJ38829" s="7" t="n">
        <v>7</v>
      </c>
      <c r="CK38829" s="7" t="n">
        <v>65533</v>
      </c>
      <c r="CL38829" s="7" t="n">
        <v>64227</v>
      </c>
      <c r="CM38829" s="7" t="s">
        <v>16</v>
      </c>
      <c r="CN38829" s="7" t="n">
        <f t="normal" ca="1">32-LENB(INDIRECT(ADDRESS(38829,91)))</f>
        <v>0</v>
      </c>
      <c r="CO38829" s="7" t="n">
        <v>7</v>
      </c>
      <c r="CP38829" s="7" t="n">
        <v>65533</v>
      </c>
      <c r="CQ38829" s="7" t="n">
        <v>64228</v>
      </c>
      <c r="CR38829" s="7" t="s">
        <v>16</v>
      </c>
      <c r="CS38829" s="7" t="n">
        <f t="normal" ca="1">32-LENB(INDIRECT(ADDRESS(38829,96)))</f>
        <v>0</v>
      </c>
      <c r="CT38829" s="7" t="n">
        <v>7</v>
      </c>
      <c r="CU38829" s="7" t="n">
        <v>65533</v>
      </c>
      <c r="CV38829" s="7" t="n">
        <v>64229</v>
      </c>
      <c r="CW38829" s="7" t="s">
        <v>16</v>
      </c>
      <c r="CX38829" s="7" t="n">
        <f t="normal" ca="1">32-LENB(INDIRECT(ADDRESS(38829,101)))</f>
        <v>0</v>
      </c>
      <c r="CY38829" s="7" t="n">
        <v>7</v>
      </c>
      <c r="CZ38829" s="7" t="n">
        <v>65533</v>
      </c>
      <c r="DA38829" s="7" t="n">
        <v>9800</v>
      </c>
      <c r="DB38829" s="7" t="s">
        <v>16</v>
      </c>
      <c r="DC38829" s="7" t="n">
        <f t="normal" ca="1">32-LENB(INDIRECT(ADDRESS(38829,106)))</f>
        <v>0</v>
      </c>
      <c r="DD38829" s="7" t="n">
        <v>7</v>
      </c>
      <c r="DE38829" s="7" t="n">
        <v>65533</v>
      </c>
      <c r="DF38829" s="7" t="n">
        <v>9801</v>
      </c>
      <c r="DG38829" s="7" t="s">
        <v>16</v>
      </c>
      <c r="DH38829" s="7" t="n">
        <f t="normal" ca="1">32-LENB(INDIRECT(ADDRESS(38829,111)))</f>
        <v>0</v>
      </c>
      <c r="DI38829" s="7" t="n">
        <v>7</v>
      </c>
      <c r="DJ38829" s="7" t="n">
        <v>65533</v>
      </c>
      <c r="DK38829" s="7" t="n">
        <v>9802</v>
      </c>
      <c r="DL38829" s="7" t="s">
        <v>16</v>
      </c>
      <c r="DM38829" s="7" t="n">
        <f t="normal" ca="1">32-LENB(INDIRECT(ADDRESS(38829,116)))</f>
        <v>0</v>
      </c>
      <c r="DN38829" s="7" t="n">
        <v>7</v>
      </c>
      <c r="DO38829" s="7" t="n">
        <v>65533</v>
      </c>
      <c r="DP38829" s="7" t="n">
        <v>64230</v>
      </c>
      <c r="DQ38829" s="7" t="s">
        <v>16</v>
      </c>
      <c r="DR38829" s="7" t="n">
        <f t="normal" ca="1">32-LENB(INDIRECT(ADDRESS(38829,121)))</f>
        <v>0</v>
      </c>
      <c r="DS38829" s="7" t="n">
        <v>7</v>
      </c>
      <c r="DT38829" s="7" t="n">
        <v>65533</v>
      </c>
      <c r="DU38829" s="7" t="n">
        <v>9803</v>
      </c>
      <c r="DV38829" s="7" t="s">
        <v>16</v>
      </c>
      <c r="DW38829" s="7" t="n">
        <f t="normal" ca="1">32-LENB(INDIRECT(ADDRESS(38829,126)))</f>
        <v>0</v>
      </c>
      <c r="DX38829" s="7" t="n">
        <v>7</v>
      </c>
      <c r="DY38829" s="7" t="n">
        <v>65533</v>
      </c>
      <c r="DZ38829" s="7" t="n">
        <v>9804</v>
      </c>
      <c r="EA38829" s="7" t="s">
        <v>16</v>
      </c>
      <c r="EB38829" s="7" t="n">
        <f t="normal" ca="1">32-LENB(INDIRECT(ADDRESS(38829,131)))</f>
        <v>0</v>
      </c>
      <c r="EC38829" s="7" t="n">
        <v>7</v>
      </c>
      <c r="ED38829" s="7" t="n">
        <v>65533</v>
      </c>
      <c r="EE38829" s="7" t="n">
        <v>9805</v>
      </c>
      <c r="EF38829" s="7" t="s">
        <v>16</v>
      </c>
      <c r="EG38829" s="7" t="n">
        <f t="normal" ca="1">32-LENB(INDIRECT(ADDRESS(38829,136)))</f>
        <v>0</v>
      </c>
      <c r="EH38829" s="7" t="n">
        <v>7</v>
      </c>
      <c r="EI38829" s="7" t="n">
        <v>65533</v>
      </c>
      <c r="EJ38829" s="7" t="n">
        <v>9806</v>
      </c>
      <c r="EK38829" s="7" t="s">
        <v>16</v>
      </c>
      <c r="EL38829" s="7" t="n">
        <f t="normal" ca="1">32-LENB(INDIRECT(ADDRESS(38829,141)))</f>
        <v>0</v>
      </c>
      <c r="EM38829" s="7" t="n">
        <v>7</v>
      </c>
      <c r="EN38829" s="7" t="n">
        <v>65533</v>
      </c>
      <c r="EO38829" s="7" t="n">
        <v>64231</v>
      </c>
      <c r="EP38829" s="7" t="s">
        <v>16</v>
      </c>
      <c r="EQ38829" s="7" t="n">
        <f t="normal" ca="1">32-LENB(INDIRECT(ADDRESS(38829,146)))</f>
        <v>0</v>
      </c>
      <c r="ER38829" s="7" t="n">
        <v>7</v>
      </c>
      <c r="ES38829" s="7" t="n">
        <v>65533</v>
      </c>
      <c r="ET38829" s="7" t="n">
        <v>64232</v>
      </c>
      <c r="EU38829" s="7" t="s">
        <v>16</v>
      </c>
      <c r="EV38829" s="7" t="n">
        <f t="normal" ca="1">32-LENB(INDIRECT(ADDRESS(38829,151)))</f>
        <v>0</v>
      </c>
      <c r="EW38829" s="7" t="n">
        <v>7</v>
      </c>
      <c r="EX38829" s="7" t="n">
        <v>65533</v>
      </c>
      <c r="EY38829" s="7" t="n">
        <v>9807</v>
      </c>
      <c r="EZ38829" s="7" t="s">
        <v>16</v>
      </c>
      <c r="FA38829" s="7" t="n">
        <f t="normal" ca="1">32-LENB(INDIRECT(ADDRESS(38829,156)))</f>
        <v>0</v>
      </c>
      <c r="FB38829" s="7" t="n">
        <v>7</v>
      </c>
      <c r="FC38829" s="7" t="n">
        <v>65533</v>
      </c>
      <c r="FD38829" s="7" t="n">
        <v>64233</v>
      </c>
      <c r="FE38829" s="7" t="s">
        <v>16</v>
      </c>
      <c r="FF38829" s="7" t="n">
        <f t="normal" ca="1">32-LENB(INDIRECT(ADDRESS(38829,161)))</f>
        <v>0</v>
      </c>
      <c r="FG38829" s="7" t="n">
        <v>7</v>
      </c>
      <c r="FH38829" s="7" t="n">
        <v>65533</v>
      </c>
      <c r="FI38829" s="7" t="n">
        <v>64234</v>
      </c>
      <c r="FJ38829" s="7" t="s">
        <v>16</v>
      </c>
      <c r="FK38829" s="7" t="n">
        <f t="normal" ca="1">32-LENB(INDIRECT(ADDRESS(38829,166)))</f>
        <v>0</v>
      </c>
      <c r="FL38829" s="7" t="n">
        <v>7</v>
      </c>
      <c r="FM38829" s="7" t="n">
        <v>65533</v>
      </c>
      <c r="FN38829" s="7" t="n">
        <v>64235</v>
      </c>
      <c r="FO38829" s="7" t="s">
        <v>16</v>
      </c>
      <c r="FP38829" s="7" t="n">
        <f t="normal" ca="1">32-LENB(INDIRECT(ADDRESS(38829,171)))</f>
        <v>0</v>
      </c>
      <c r="FQ38829" s="7" t="n">
        <v>7</v>
      </c>
      <c r="FR38829" s="7" t="n">
        <v>65533</v>
      </c>
      <c r="FS38829" s="7" t="n">
        <v>9808</v>
      </c>
      <c r="FT38829" s="7" t="s">
        <v>16</v>
      </c>
      <c r="FU38829" s="7" t="n">
        <f t="normal" ca="1">32-LENB(INDIRECT(ADDRESS(38829,176)))</f>
        <v>0</v>
      </c>
      <c r="FV38829" s="7" t="n">
        <v>7</v>
      </c>
      <c r="FW38829" s="7" t="n">
        <v>65533</v>
      </c>
      <c r="FX38829" s="7" t="n">
        <v>9809</v>
      </c>
      <c r="FY38829" s="7" t="s">
        <v>16</v>
      </c>
      <c r="FZ38829" s="7" t="n">
        <f t="normal" ca="1">32-LENB(INDIRECT(ADDRESS(38829,181)))</f>
        <v>0</v>
      </c>
      <c r="GA38829" s="7" t="n">
        <v>7</v>
      </c>
      <c r="GB38829" s="7" t="n">
        <v>65533</v>
      </c>
      <c r="GC38829" s="7" t="n">
        <v>9810</v>
      </c>
      <c r="GD38829" s="7" t="s">
        <v>16</v>
      </c>
      <c r="GE38829" s="7" t="n">
        <f t="normal" ca="1">32-LENB(INDIRECT(ADDRESS(38829,186)))</f>
        <v>0</v>
      </c>
      <c r="GF38829" s="7" t="n">
        <v>7</v>
      </c>
      <c r="GG38829" s="7" t="n">
        <v>65533</v>
      </c>
      <c r="GH38829" s="7" t="n">
        <v>9811</v>
      </c>
      <c r="GI38829" s="7" t="s">
        <v>16</v>
      </c>
      <c r="GJ38829" s="7" t="n">
        <f t="normal" ca="1">32-LENB(INDIRECT(ADDRESS(38829,191)))</f>
        <v>0</v>
      </c>
      <c r="GK38829" s="7" t="n">
        <v>7</v>
      </c>
      <c r="GL38829" s="7" t="n">
        <v>65533</v>
      </c>
      <c r="GM38829" s="7" t="n">
        <v>9812</v>
      </c>
      <c r="GN38829" s="7" t="s">
        <v>16</v>
      </c>
      <c r="GO38829" s="7" t="n">
        <f t="normal" ca="1">32-LENB(INDIRECT(ADDRESS(38829,196)))</f>
        <v>0</v>
      </c>
      <c r="GP38829" s="7" t="n">
        <v>7</v>
      </c>
      <c r="GQ38829" s="7" t="n">
        <v>65533</v>
      </c>
      <c r="GR38829" s="7" t="n">
        <v>9813</v>
      </c>
      <c r="GS38829" s="7" t="s">
        <v>16</v>
      </c>
      <c r="GT38829" s="7" t="n">
        <f t="normal" ca="1">32-LENB(INDIRECT(ADDRESS(38829,201)))</f>
        <v>0</v>
      </c>
      <c r="GU38829" s="7" t="n">
        <v>7</v>
      </c>
      <c r="GV38829" s="7" t="n">
        <v>65533</v>
      </c>
      <c r="GW38829" s="7" t="n">
        <v>64236</v>
      </c>
      <c r="GX38829" s="7" t="s">
        <v>16</v>
      </c>
      <c r="GY38829" s="7" t="n">
        <f t="normal" ca="1">32-LENB(INDIRECT(ADDRESS(38829,206)))</f>
        <v>0</v>
      </c>
      <c r="GZ38829" s="7" t="n">
        <v>7</v>
      </c>
      <c r="HA38829" s="7" t="n">
        <v>65533</v>
      </c>
      <c r="HB38829" s="7" t="n">
        <v>64237</v>
      </c>
      <c r="HC38829" s="7" t="s">
        <v>16</v>
      </c>
      <c r="HD38829" s="7" t="n">
        <f t="normal" ca="1">32-LENB(INDIRECT(ADDRESS(38829,211)))</f>
        <v>0</v>
      </c>
      <c r="HE38829" s="7" t="n">
        <v>4</v>
      </c>
      <c r="HF38829" s="7" t="n">
        <v>65533</v>
      </c>
      <c r="HG38829" s="7" t="n">
        <v>2003</v>
      </c>
      <c r="HH38829" s="7" t="s">
        <v>16</v>
      </c>
      <c r="HI38829" s="7" t="n">
        <f t="normal" ca="1">32-LENB(INDIRECT(ADDRESS(38829,216)))</f>
        <v>0</v>
      </c>
      <c r="HJ38829" s="7" t="n">
        <v>4</v>
      </c>
      <c r="HK38829" s="7" t="n">
        <v>65533</v>
      </c>
      <c r="HL38829" s="7" t="n">
        <v>4272</v>
      </c>
      <c r="HM38829" s="7" t="s">
        <v>16</v>
      </c>
      <c r="HN38829" s="7" t="n">
        <f t="normal" ca="1">32-LENB(INDIRECT(ADDRESS(38829,221)))</f>
        <v>0</v>
      </c>
      <c r="HO38829" s="7" t="n">
        <v>7</v>
      </c>
      <c r="HP38829" s="7" t="n">
        <v>65533</v>
      </c>
      <c r="HQ38829" s="7" t="n">
        <v>64238</v>
      </c>
      <c r="HR38829" s="7" t="s">
        <v>16</v>
      </c>
      <c r="HS38829" s="7" t="n">
        <f t="normal" ca="1">32-LENB(INDIRECT(ADDRESS(38829,226)))</f>
        <v>0</v>
      </c>
      <c r="HT38829" s="7" t="n">
        <v>7</v>
      </c>
      <c r="HU38829" s="7" t="n">
        <v>65533</v>
      </c>
      <c r="HV38829" s="7" t="n">
        <v>64239</v>
      </c>
      <c r="HW38829" s="7" t="s">
        <v>16</v>
      </c>
      <c r="HX38829" s="7" t="n">
        <f t="normal" ca="1">32-LENB(INDIRECT(ADDRESS(38829,231)))</f>
        <v>0</v>
      </c>
      <c r="HY38829" s="7" t="n">
        <v>7</v>
      </c>
      <c r="HZ38829" s="7" t="n">
        <v>65533</v>
      </c>
      <c r="IA38829" s="7" t="n">
        <v>9814</v>
      </c>
      <c r="IB38829" s="7" t="s">
        <v>16</v>
      </c>
      <c r="IC38829" s="7" t="n">
        <f t="normal" ca="1">32-LENB(INDIRECT(ADDRESS(38829,236)))</f>
        <v>0</v>
      </c>
      <c r="ID38829" s="7" t="n">
        <v>7</v>
      </c>
      <c r="IE38829" s="7" t="n">
        <v>65533</v>
      </c>
      <c r="IF38829" s="7" t="n">
        <v>9815</v>
      </c>
      <c r="IG38829" s="7" t="s">
        <v>16</v>
      </c>
      <c r="IH38829" s="7" t="n">
        <f t="normal" ca="1">32-LENB(INDIRECT(ADDRESS(38829,241)))</f>
        <v>0</v>
      </c>
      <c r="II38829" s="7" t="n">
        <v>0</v>
      </c>
      <c r="IJ38829" s="7" t="n">
        <v>65533</v>
      </c>
      <c r="IK38829" s="7" t="n">
        <v>0</v>
      </c>
      <c r="IL38829" s="7" t="s">
        <v>16</v>
      </c>
      <c r="IM38829" s="7" t="n">
        <f t="normal" ca="1">32-LENB(INDIRECT(ADDRESS(38829,246)))</f>
        <v>0</v>
      </c>
    </row>
    <row r="38830" spans="1:317">
      <c r="A38830" t="s">
        <v>4</v>
      </c>
      <c r="B38830" s="4" t="s">
        <v>5</v>
      </c>
    </row>
    <row r="38831" spans="1:317">
      <c r="A38831" t="n">
        <v>417000</v>
      </c>
      <c r="B38831" s="5" t="n">
        <v>1</v>
      </c>
    </row>
    <row r="38832" spans="1:317" s="3" customFormat="1" customHeight="0">
      <c r="A38832" s="3" t="s">
        <v>2</v>
      </c>
      <c r="B38832" s="3" t="s">
        <v>1875</v>
      </c>
    </row>
    <row r="38833" spans="1:367">
      <c r="A38833" t="s">
        <v>4</v>
      </c>
      <c r="B38833" s="4" t="s">
        <v>5</v>
      </c>
      <c r="C38833" s="4" t="s">
        <v>11</v>
      </c>
      <c r="D38833" s="4" t="s">
        <v>11</v>
      </c>
      <c r="E38833" s="4" t="s">
        <v>15</v>
      </c>
      <c r="F38833" s="4" t="s">
        <v>8</v>
      </c>
      <c r="G38833" s="4" t="s">
        <v>1859</v>
      </c>
      <c r="H38833" s="4" t="s">
        <v>11</v>
      </c>
      <c r="I38833" s="4" t="s">
        <v>11</v>
      </c>
      <c r="J38833" s="4" t="s">
        <v>15</v>
      </c>
      <c r="K38833" s="4" t="s">
        <v>8</v>
      </c>
      <c r="L38833" s="4" t="s">
        <v>1859</v>
      </c>
      <c r="M38833" s="4" t="s">
        <v>11</v>
      </c>
      <c r="N38833" s="4" t="s">
        <v>11</v>
      </c>
      <c r="O38833" s="4" t="s">
        <v>15</v>
      </c>
      <c r="P38833" s="4" t="s">
        <v>8</v>
      </c>
      <c r="Q38833" s="4" t="s">
        <v>1859</v>
      </c>
      <c r="R38833" s="4" t="s">
        <v>11</v>
      </c>
      <c r="S38833" s="4" t="s">
        <v>11</v>
      </c>
      <c r="T38833" s="4" t="s">
        <v>15</v>
      </c>
      <c r="U38833" s="4" t="s">
        <v>8</v>
      </c>
      <c r="V38833" s="4" t="s">
        <v>1859</v>
      </c>
      <c r="W38833" s="4" t="s">
        <v>11</v>
      </c>
      <c r="X38833" s="4" t="s">
        <v>11</v>
      </c>
      <c r="Y38833" s="4" t="s">
        <v>15</v>
      </c>
      <c r="Z38833" s="4" t="s">
        <v>8</v>
      </c>
      <c r="AA38833" s="4" t="s">
        <v>1859</v>
      </c>
      <c r="AB38833" s="4" t="s">
        <v>11</v>
      </c>
      <c r="AC38833" s="4" t="s">
        <v>11</v>
      </c>
      <c r="AD38833" s="4" t="s">
        <v>15</v>
      </c>
      <c r="AE38833" s="4" t="s">
        <v>8</v>
      </c>
      <c r="AF38833" s="4" t="s">
        <v>1859</v>
      </c>
      <c r="AG38833" s="4" t="s">
        <v>11</v>
      </c>
      <c r="AH38833" s="4" t="s">
        <v>11</v>
      </c>
      <c r="AI38833" s="4" t="s">
        <v>15</v>
      </c>
      <c r="AJ38833" s="4" t="s">
        <v>8</v>
      </c>
      <c r="AK38833" s="4" t="s">
        <v>1859</v>
      </c>
      <c r="AL38833" s="4" t="s">
        <v>11</v>
      </c>
      <c r="AM38833" s="4" t="s">
        <v>11</v>
      </c>
      <c r="AN38833" s="4" t="s">
        <v>15</v>
      </c>
      <c r="AO38833" s="4" t="s">
        <v>8</v>
      </c>
      <c r="AP38833" s="4" t="s">
        <v>1859</v>
      </c>
      <c r="AQ38833" s="4" t="s">
        <v>11</v>
      </c>
      <c r="AR38833" s="4" t="s">
        <v>11</v>
      </c>
      <c r="AS38833" s="4" t="s">
        <v>15</v>
      </c>
      <c r="AT38833" s="4" t="s">
        <v>8</v>
      </c>
      <c r="AU38833" s="4" t="s">
        <v>1859</v>
      </c>
      <c r="AV38833" s="4" t="s">
        <v>11</v>
      </c>
      <c r="AW38833" s="4" t="s">
        <v>11</v>
      </c>
      <c r="AX38833" s="4" t="s">
        <v>15</v>
      </c>
      <c r="AY38833" s="4" t="s">
        <v>8</v>
      </c>
      <c r="AZ38833" s="4" t="s">
        <v>1859</v>
      </c>
      <c r="BA38833" s="4" t="s">
        <v>11</v>
      </c>
      <c r="BB38833" s="4" t="s">
        <v>11</v>
      </c>
      <c r="BC38833" s="4" t="s">
        <v>15</v>
      </c>
      <c r="BD38833" s="4" t="s">
        <v>8</v>
      </c>
      <c r="BE38833" s="4" t="s">
        <v>1859</v>
      </c>
      <c r="BF38833" s="4" t="s">
        <v>11</v>
      </c>
      <c r="BG38833" s="4" t="s">
        <v>11</v>
      </c>
      <c r="BH38833" s="4" t="s">
        <v>15</v>
      </c>
      <c r="BI38833" s="4" t="s">
        <v>8</v>
      </c>
      <c r="BJ38833" s="4" t="s">
        <v>1859</v>
      </c>
    </row>
    <row r="38834" spans="1:367">
      <c r="A38834" t="n">
        <v>417008</v>
      </c>
      <c r="B38834" s="85" t="n">
        <v>257</v>
      </c>
      <c r="C38834" s="7" t="n">
        <v>7</v>
      </c>
      <c r="D38834" s="7" t="n">
        <v>65533</v>
      </c>
      <c r="E38834" s="7" t="n">
        <v>64240</v>
      </c>
      <c r="F38834" s="7" t="s">
        <v>16</v>
      </c>
      <c r="G38834" s="7" t="n">
        <f t="normal" ca="1">32-LENB(INDIRECT(ADDRESS(38834,6)))</f>
        <v>0</v>
      </c>
      <c r="H38834" s="7" t="n">
        <v>7</v>
      </c>
      <c r="I38834" s="7" t="n">
        <v>65533</v>
      </c>
      <c r="J38834" s="7" t="n">
        <v>64241</v>
      </c>
      <c r="K38834" s="7" t="s">
        <v>16</v>
      </c>
      <c r="L38834" s="7" t="n">
        <f t="normal" ca="1">32-LENB(INDIRECT(ADDRESS(38834,11)))</f>
        <v>0</v>
      </c>
      <c r="M38834" s="7" t="n">
        <v>7</v>
      </c>
      <c r="N38834" s="7" t="n">
        <v>65533</v>
      </c>
      <c r="O38834" s="7" t="n">
        <v>64242</v>
      </c>
      <c r="P38834" s="7" t="s">
        <v>16</v>
      </c>
      <c r="Q38834" s="7" t="n">
        <f t="normal" ca="1">32-LENB(INDIRECT(ADDRESS(38834,16)))</f>
        <v>0</v>
      </c>
      <c r="R38834" s="7" t="n">
        <v>7</v>
      </c>
      <c r="S38834" s="7" t="n">
        <v>65533</v>
      </c>
      <c r="T38834" s="7" t="n">
        <v>64243</v>
      </c>
      <c r="U38834" s="7" t="s">
        <v>16</v>
      </c>
      <c r="V38834" s="7" t="n">
        <f t="normal" ca="1">32-LENB(INDIRECT(ADDRESS(38834,21)))</f>
        <v>0</v>
      </c>
      <c r="W38834" s="7" t="n">
        <v>7</v>
      </c>
      <c r="X38834" s="7" t="n">
        <v>65533</v>
      </c>
      <c r="Y38834" s="7" t="n">
        <v>64244</v>
      </c>
      <c r="Z38834" s="7" t="s">
        <v>16</v>
      </c>
      <c r="AA38834" s="7" t="n">
        <f t="normal" ca="1">32-LENB(INDIRECT(ADDRESS(38834,26)))</f>
        <v>0</v>
      </c>
      <c r="AB38834" s="7" t="n">
        <v>7</v>
      </c>
      <c r="AC38834" s="7" t="n">
        <v>65533</v>
      </c>
      <c r="AD38834" s="7" t="n">
        <v>64245</v>
      </c>
      <c r="AE38834" s="7" t="s">
        <v>16</v>
      </c>
      <c r="AF38834" s="7" t="n">
        <f t="normal" ca="1">32-LENB(INDIRECT(ADDRESS(38834,31)))</f>
        <v>0</v>
      </c>
      <c r="AG38834" s="7" t="n">
        <v>4</v>
      </c>
      <c r="AH38834" s="7" t="n">
        <v>65533</v>
      </c>
      <c r="AI38834" s="7" t="n">
        <v>2000</v>
      </c>
      <c r="AJ38834" s="7" t="s">
        <v>16</v>
      </c>
      <c r="AK38834" s="7" t="n">
        <f t="normal" ca="1">32-LENB(INDIRECT(ADDRESS(38834,36)))</f>
        <v>0</v>
      </c>
      <c r="AL38834" s="7" t="n">
        <v>7</v>
      </c>
      <c r="AM38834" s="7" t="n">
        <v>65533</v>
      </c>
      <c r="AN38834" s="7" t="n">
        <v>64246</v>
      </c>
      <c r="AO38834" s="7" t="s">
        <v>16</v>
      </c>
      <c r="AP38834" s="7" t="n">
        <f t="normal" ca="1">32-LENB(INDIRECT(ADDRESS(38834,41)))</f>
        <v>0</v>
      </c>
      <c r="AQ38834" s="7" t="n">
        <v>7</v>
      </c>
      <c r="AR38834" s="7" t="n">
        <v>65533</v>
      </c>
      <c r="AS38834" s="7" t="n">
        <v>64247</v>
      </c>
      <c r="AT38834" s="7" t="s">
        <v>16</v>
      </c>
      <c r="AU38834" s="7" t="n">
        <f t="normal" ca="1">32-LENB(INDIRECT(ADDRESS(38834,46)))</f>
        <v>0</v>
      </c>
      <c r="AV38834" s="7" t="n">
        <v>7</v>
      </c>
      <c r="AW38834" s="7" t="n">
        <v>65533</v>
      </c>
      <c r="AX38834" s="7" t="n">
        <v>64248</v>
      </c>
      <c r="AY38834" s="7" t="s">
        <v>16</v>
      </c>
      <c r="AZ38834" s="7" t="n">
        <f t="normal" ca="1">32-LENB(INDIRECT(ADDRESS(38834,51)))</f>
        <v>0</v>
      </c>
      <c r="BA38834" s="7" t="n">
        <v>7</v>
      </c>
      <c r="BB38834" s="7" t="n">
        <v>65533</v>
      </c>
      <c r="BC38834" s="7" t="n">
        <v>64249</v>
      </c>
      <c r="BD38834" s="7" t="s">
        <v>16</v>
      </c>
      <c r="BE38834" s="7" t="n">
        <f t="normal" ca="1">32-LENB(INDIRECT(ADDRESS(38834,56)))</f>
        <v>0</v>
      </c>
      <c r="BF38834" s="7" t="n">
        <v>0</v>
      </c>
      <c r="BG38834" s="7" t="n">
        <v>65533</v>
      </c>
      <c r="BH38834" s="7" t="n">
        <v>0</v>
      </c>
      <c r="BI38834" s="7" t="s">
        <v>16</v>
      </c>
      <c r="BJ38834" s="7" t="n">
        <f t="normal" ca="1">32-LENB(INDIRECT(ADDRESS(38834,61)))</f>
        <v>0</v>
      </c>
    </row>
    <row r="38835" spans="1:367">
      <c r="A38835" t="s">
        <v>4</v>
      </c>
      <c r="B38835" s="4" t="s">
        <v>5</v>
      </c>
    </row>
    <row r="38836" spans="1:367">
      <c r="A38836" t="n">
        <v>417488</v>
      </c>
      <c r="B38836" s="5" t="n">
        <v>1</v>
      </c>
    </row>
    <row r="38837" spans="1:367" s="3" customFormat="1" customHeight="0">
      <c r="A38837" s="3" t="s">
        <v>2</v>
      </c>
      <c r="B38837" s="3" t="s">
        <v>1876</v>
      </c>
    </row>
    <row r="38838" spans="1:367">
      <c r="A38838" t="s">
        <v>4</v>
      </c>
      <c r="B38838" s="4" t="s">
        <v>5</v>
      </c>
      <c r="C38838" s="4" t="s">
        <v>11</v>
      </c>
      <c r="D38838" s="4" t="s">
        <v>11</v>
      </c>
      <c r="E38838" s="4" t="s">
        <v>15</v>
      </c>
      <c r="F38838" s="4" t="s">
        <v>8</v>
      </c>
      <c r="G38838" s="4" t="s">
        <v>1859</v>
      </c>
      <c r="H38838" s="4" t="s">
        <v>11</v>
      </c>
      <c r="I38838" s="4" t="s">
        <v>11</v>
      </c>
      <c r="J38838" s="4" t="s">
        <v>15</v>
      </c>
      <c r="K38838" s="4" t="s">
        <v>8</v>
      </c>
      <c r="L38838" s="4" t="s">
        <v>1859</v>
      </c>
      <c r="M38838" s="4" t="s">
        <v>11</v>
      </c>
      <c r="N38838" s="4" t="s">
        <v>11</v>
      </c>
      <c r="O38838" s="4" t="s">
        <v>15</v>
      </c>
      <c r="P38838" s="4" t="s">
        <v>8</v>
      </c>
      <c r="Q38838" s="4" t="s">
        <v>1859</v>
      </c>
      <c r="R38838" s="4" t="s">
        <v>11</v>
      </c>
      <c r="S38838" s="4" t="s">
        <v>11</v>
      </c>
      <c r="T38838" s="4" t="s">
        <v>15</v>
      </c>
      <c r="U38838" s="4" t="s">
        <v>8</v>
      </c>
      <c r="V38838" s="4" t="s">
        <v>1859</v>
      </c>
      <c r="W38838" s="4" t="s">
        <v>11</v>
      </c>
      <c r="X38838" s="4" t="s">
        <v>11</v>
      </c>
      <c r="Y38838" s="4" t="s">
        <v>15</v>
      </c>
      <c r="Z38838" s="4" t="s">
        <v>8</v>
      </c>
      <c r="AA38838" s="4" t="s">
        <v>1859</v>
      </c>
      <c r="AB38838" s="4" t="s">
        <v>11</v>
      </c>
      <c r="AC38838" s="4" t="s">
        <v>11</v>
      </c>
      <c r="AD38838" s="4" t="s">
        <v>15</v>
      </c>
      <c r="AE38838" s="4" t="s">
        <v>8</v>
      </c>
      <c r="AF38838" s="4" t="s">
        <v>1859</v>
      </c>
      <c r="AG38838" s="4" t="s">
        <v>11</v>
      </c>
      <c r="AH38838" s="4" t="s">
        <v>11</v>
      </c>
      <c r="AI38838" s="4" t="s">
        <v>15</v>
      </c>
      <c r="AJ38838" s="4" t="s">
        <v>8</v>
      </c>
      <c r="AK38838" s="4" t="s">
        <v>1859</v>
      </c>
      <c r="AL38838" s="4" t="s">
        <v>11</v>
      </c>
      <c r="AM38838" s="4" t="s">
        <v>11</v>
      </c>
      <c r="AN38838" s="4" t="s">
        <v>15</v>
      </c>
      <c r="AO38838" s="4" t="s">
        <v>8</v>
      </c>
      <c r="AP38838" s="4" t="s">
        <v>1859</v>
      </c>
      <c r="AQ38838" s="4" t="s">
        <v>11</v>
      </c>
      <c r="AR38838" s="4" t="s">
        <v>11</v>
      </c>
      <c r="AS38838" s="4" t="s">
        <v>15</v>
      </c>
      <c r="AT38838" s="4" t="s">
        <v>8</v>
      </c>
      <c r="AU38838" s="4" t="s">
        <v>1859</v>
      </c>
      <c r="AV38838" s="4" t="s">
        <v>11</v>
      </c>
      <c r="AW38838" s="4" t="s">
        <v>11</v>
      </c>
      <c r="AX38838" s="4" t="s">
        <v>15</v>
      </c>
      <c r="AY38838" s="4" t="s">
        <v>8</v>
      </c>
      <c r="AZ38838" s="4" t="s">
        <v>1859</v>
      </c>
      <c r="BA38838" s="4" t="s">
        <v>11</v>
      </c>
      <c r="BB38838" s="4" t="s">
        <v>11</v>
      </c>
      <c r="BC38838" s="4" t="s">
        <v>15</v>
      </c>
      <c r="BD38838" s="4" t="s">
        <v>8</v>
      </c>
      <c r="BE38838" s="4" t="s">
        <v>1859</v>
      </c>
      <c r="BF38838" s="4" t="s">
        <v>11</v>
      </c>
      <c r="BG38838" s="4" t="s">
        <v>11</v>
      </c>
      <c r="BH38838" s="4" t="s">
        <v>15</v>
      </c>
      <c r="BI38838" s="4" t="s">
        <v>8</v>
      </c>
      <c r="BJ38838" s="4" t="s">
        <v>1859</v>
      </c>
      <c r="BK38838" s="4" t="s">
        <v>11</v>
      </c>
      <c r="BL38838" s="4" t="s">
        <v>11</v>
      </c>
      <c r="BM38838" s="4" t="s">
        <v>15</v>
      </c>
      <c r="BN38838" s="4" t="s">
        <v>8</v>
      </c>
      <c r="BO38838" s="4" t="s">
        <v>1859</v>
      </c>
      <c r="BP38838" s="4" t="s">
        <v>11</v>
      </c>
      <c r="BQ38838" s="4" t="s">
        <v>11</v>
      </c>
      <c r="BR38838" s="4" t="s">
        <v>15</v>
      </c>
      <c r="BS38838" s="4" t="s">
        <v>8</v>
      </c>
      <c r="BT38838" s="4" t="s">
        <v>1859</v>
      </c>
      <c r="BU38838" s="4" t="s">
        <v>11</v>
      </c>
      <c r="BV38838" s="4" t="s">
        <v>11</v>
      </c>
      <c r="BW38838" s="4" t="s">
        <v>15</v>
      </c>
      <c r="BX38838" s="4" t="s">
        <v>8</v>
      </c>
      <c r="BY38838" s="4" t="s">
        <v>1859</v>
      </c>
      <c r="BZ38838" s="4" t="s">
        <v>11</v>
      </c>
      <c r="CA38838" s="4" t="s">
        <v>11</v>
      </c>
      <c r="CB38838" s="4" t="s">
        <v>15</v>
      </c>
      <c r="CC38838" s="4" t="s">
        <v>8</v>
      </c>
      <c r="CD38838" s="4" t="s">
        <v>1859</v>
      </c>
      <c r="CE38838" s="4" t="s">
        <v>11</v>
      </c>
      <c r="CF38838" s="4" t="s">
        <v>11</v>
      </c>
      <c r="CG38838" s="4" t="s">
        <v>15</v>
      </c>
      <c r="CH38838" s="4" t="s">
        <v>8</v>
      </c>
      <c r="CI38838" s="4" t="s">
        <v>1859</v>
      </c>
      <c r="CJ38838" s="4" t="s">
        <v>11</v>
      </c>
      <c r="CK38838" s="4" t="s">
        <v>11</v>
      </c>
      <c r="CL38838" s="4" t="s">
        <v>15</v>
      </c>
      <c r="CM38838" s="4" t="s">
        <v>8</v>
      </c>
      <c r="CN38838" s="4" t="s">
        <v>1859</v>
      </c>
      <c r="CO38838" s="4" t="s">
        <v>11</v>
      </c>
      <c r="CP38838" s="4" t="s">
        <v>11</v>
      </c>
      <c r="CQ38838" s="4" t="s">
        <v>15</v>
      </c>
      <c r="CR38838" s="4" t="s">
        <v>8</v>
      </c>
      <c r="CS38838" s="4" t="s">
        <v>1859</v>
      </c>
      <c r="CT38838" s="4" t="s">
        <v>11</v>
      </c>
      <c r="CU38838" s="4" t="s">
        <v>11</v>
      </c>
      <c r="CV38838" s="4" t="s">
        <v>15</v>
      </c>
      <c r="CW38838" s="4" t="s">
        <v>8</v>
      </c>
      <c r="CX38838" s="4" t="s">
        <v>1859</v>
      </c>
      <c r="CY38838" s="4" t="s">
        <v>11</v>
      </c>
      <c r="CZ38838" s="4" t="s">
        <v>11</v>
      </c>
      <c r="DA38838" s="4" t="s">
        <v>15</v>
      </c>
      <c r="DB38838" s="4" t="s">
        <v>8</v>
      </c>
      <c r="DC38838" s="4" t="s">
        <v>1859</v>
      </c>
      <c r="DD38838" s="4" t="s">
        <v>11</v>
      </c>
      <c r="DE38838" s="4" t="s">
        <v>11</v>
      </c>
      <c r="DF38838" s="4" t="s">
        <v>15</v>
      </c>
      <c r="DG38838" s="4" t="s">
        <v>8</v>
      </c>
      <c r="DH38838" s="4" t="s">
        <v>1859</v>
      </c>
      <c r="DI38838" s="4" t="s">
        <v>11</v>
      </c>
      <c r="DJ38838" s="4" t="s">
        <v>11</v>
      </c>
      <c r="DK38838" s="4" t="s">
        <v>15</v>
      </c>
      <c r="DL38838" s="4" t="s">
        <v>8</v>
      </c>
      <c r="DM38838" s="4" t="s">
        <v>1859</v>
      </c>
      <c r="DN38838" s="4" t="s">
        <v>11</v>
      </c>
      <c r="DO38838" s="4" t="s">
        <v>11</v>
      </c>
      <c r="DP38838" s="4" t="s">
        <v>15</v>
      </c>
      <c r="DQ38838" s="4" t="s">
        <v>8</v>
      </c>
      <c r="DR38838" s="4" t="s">
        <v>1859</v>
      </c>
      <c r="DS38838" s="4" t="s">
        <v>11</v>
      </c>
      <c r="DT38838" s="4" t="s">
        <v>11</v>
      </c>
      <c r="DU38838" s="4" t="s">
        <v>15</v>
      </c>
      <c r="DV38838" s="4" t="s">
        <v>8</v>
      </c>
      <c r="DW38838" s="4" t="s">
        <v>1859</v>
      </c>
      <c r="DX38838" s="4" t="s">
        <v>11</v>
      </c>
      <c r="DY38838" s="4" t="s">
        <v>11</v>
      </c>
      <c r="DZ38838" s="4" t="s">
        <v>15</v>
      </c>
      <c r="EA38838" s="4" t="s">
        <v>8</v>
      </c>
      <c r="EB38838" s="4" t="s">
        <v>1859</v>
      </c>
      <c r="EC38838" s="4" t="s">
        <v>11</v>
      </c>
      <c r="ED38838" s="4" t="s">
        <v>11</v>
      </c>
      <c r="EE38838" s="4" t="s">
        <v>15</v>
      </c>
      <c r="EF38838" s="4" t="s">
        <v>8</v>
      </c>
      <c r="EG38838" s="4" t="s">
        <v>1859</v>
      </c>
      <c r="EH38838" s="4" t="s">
        <v>11</v>
      </c>
      <c r="EI38838" s="4" t="s">
        <v>11</v>
      </c>
      <c r="EJ38838" s="4" t="s">
        <v>15</v>
      </c>
      <c r="EK38838" s="4" t="s">
        <v>8</v>
      </c>
      <c r="EL38838" s="4" t="s">
        <v>1859</v>
      </c>
      <c r="EM38838" s="4" t="s">
        <v>11</v>
      </c>
      <c r="EN38838" s="4" t="s">
        <v>11</v>
      </c>
      <c r="EO38838" s="4" t="s">
        <v>15</v>
      </c>
      <c r="EP38838" s="4" t="s">
        <v>8</v>
      </c>
      <c r="EQ38838" s="4" t="s">
        <v>1859</v>
      </c>
      <c r="ER38838" s="4" t="s">
        <v>11</v>
      </c>
      <c r="ES38838" s="4" t="s">
        <v>11</v>
      </c>
      <c r="ET38838" s="4" t="s">
        <v>15</v>
      </c>
      <c r="EU38838" s="4" t="s">
        <v>8</v>
      </c>
      <c r="EV38838" s="4" t="s">
        <v>1859</v>
      </c>
      <c r="EW38838" s="4" t="s">
        <v>11</v>
      </c>
      <c r="EX38838" s="4" t="s">
        <v>11</v>
      </c>
      <c r="EY38838" s="4" t="s">
        <v>15</v>
      </c>
      <c r="EZ38838" s="4" t="s">
        <v>8</v>
      </c>
      <c r="FA38838" s="4" t="s">
        <v>1859</v>
      </c>
      <c r="FB38838" s="4" t="s">
        <v>11</v>
      </c>
      <c r="FC38838" s="4" t="s">
        <v>11</v>
      </c>
      <c r="FD38838" s="4" t="s">
        <v>15</v>
      </c>
      <c r="FE38838" s="4" t="s">
        <v>8</v>
      </c>
      <c r="FF38838" s="4" t="s">
        <v>1859</v>
      </c>
      <c r="FG38838" s="4" t="s">
        <v>11</v>
      </c>
      <c r="FH38838" s="4" t="s">
        <v>11</v>
      </c>
      <c r="FI38838" s="4" t="s">
        <v>15</v>
      </c>
      <c r="FJ38838" s="4" t="s">
        <v>8</v>
      </c>
      <c r="FK38838" s="4" t="s">
        <v>1859</v>
      </c>
    </row>
    <row r="38839" spans="1:367">
      <c r="A38839" t="n">
        <v>417504</v>
      </c>
      <c r="B38839" s="85" t="n">
        <v>257</v>
      </c>
      <c r="C38839" s="7" t="n">
        <v>7</v>
      </c>
      <c r="D38839" s="7" t="n">
        <v>65533</v>
      </c>
      <c r="E38839" s="7" t="n">
        <v>64254</v>
      </c>
      <c r="F38839" s="7" t="s">
        <v>16</v>
      </c>
      <c r="G38839" s="7" t="n">
        <f t="normal" ca="1">32-LENB(INDIRECT(ADDRESS(38839,6)))</f>
        <v>0</v>
      </c>
      <c r="H38839" s="7" t="n">
        <v>7</v>
      </c>
      <c r="I38839" s="7" t="n">
        <v>65533</v>
      </c>
      <c r="J38839" s="7" t="n">
        <v>64255</v>
      </c>
      <c r="K38839" s="7" t="s">
        <v>16</v>
      </c>
      <c r="L38839" s="7" t="n">
        <f t="normal" ca="1">32-LENB(INDIRECT(ADDRESS(38839,11)))</f>
        <v>0</v>
      </c>
      <c r="M38839" s="7" t="n">
        <v>7</v>
      </c>
      <c r="N38839" s="7" t="n">
        <v>65533</v>
      </c>
      <c r="O38839" s="7" t="n">
        <v>64256</v>
      </c>
      <c r="P38839" s="7" t="s">
        <v>16</v>
      </c>
      <c r="Q38839" s="7" t="n">
        <f t="normal" ca="1">32-LENB(INDIRECT(ADDRESS(38839,16)))</f>
        <v>0</v>
      </c>
      <c r="R38839" s="7" t="n">
        <v>7</v>
      </c>
      <c r="S38839" s="7" t="n">
        <v>65533</v>
      </c>
      <c r="T38839" s="7" t="n">
        <v>64257</v>
      </c>
      <c r="U38839" s="7" t="s">
        <v>16</v>
      </c>
      <c r="V38839" s="7" t="n">
        <f t="normal" ca="1">32-LENB(INDIRECT(ADDRESS(38839,21)))</f>
        <v>0</v>
      </c>
      <c r="W38839" s="7" t="n">
        <v>7</v>
      </c>
      <c r="X38839" s="7" t="n">
        <v>65533</v>
      </c>
      <c r="Y38839" s="7" t="n">
        <v>64258</v>
      </c>
      <c r="Z38839" s="7" t="s">
        <v>16</v>
      </c>
      <c r="AA38839" s="7" t="n">
        <f t="normal" ca="1">32-LENB(INDIRECT(ADDRESS(38839,26)))</f>
        <v>0</v>
      </c>
      <c r="AB38839" s="7" t="n">
        <v>7</v>
      </c>
      <c r="AC38839" s="7" t="n">
        <v>65533</v>
      </c>
      <c r="AD38839" s="7" t="n">
        <v>64259</v>
      </c>
      <c r="AE38839" s="7" t="s">
        <v>16</v>
      </c>
      <c r="AF38839" s="7" t="n">
        <f t="normal" ca="1">32-LENB(INDIRECT(ADDRESS(38839,31)))</f>
        <v>0</v>
      </c>
      <c r="AG38839" s="7" t="n">
        <v>7</v>
      </c>
      <c r="AH38839" s="7" t="n">
        <v>65533</v>
      </c>
      <c r="AI38839" s="7" t="n">
        <v>65282</v>
      </c>
      <c r="AJ38839" s="7" t="s">
        <v>16</v>
      </c>
      <c r="AK38839" s="7" t="n">
        <f t="normal" ca="1">32-LENB(INDIRECT(ADDRESS(38839,36)))</f>
        <v>0</v>
      </c>
      <c r="AL38839" s="7" t="n">
        <v>7</v>
      </c>
      <c r="AM38839" s="7" t="n">
        <v>65533</v>
      </c>
      <c r="AN38839" s="7" t="n">
        <v>64260</v>
      </c>
      <c r="AO38839" s="7" t="s">
        <v>16</v>
      </c>
      <c r="AP38839" s="7" t="n">
        <f t="normal" ca="1">32-LENB(INDIRECT(ADDRESS(38839,41)))</f>
        <v>0</v>
      </c>
      <c r="AQ38839" s="7" t="n">
        <v>7</v>
      </c>
      <c r="AR38839" s="7" t="n">
        <v>65533</v>
      </c>
      <c r="AS38839" s="7" t="n">
        <v>64261</v>
      </c>
      <c r="AT38839" s="7" t="s">
        <v>16</v>
      </c>
      <c r="AU38839" s="7" t="n">
        <f t="normal" ca="1">32-LENB(INDIRECT(ADDRESS(38839,46)))</f>
        <v>0</v>
      </c>
      <c r="AV38839" s="7" t="n">
        <v>7</v>
      </c>
      <c r="AW38839" s="7" t="n">
        <v>65533</v>
      </c>
      <c r="AX38839" s="7" t="n">
        <v>64262</v>
      </c>
      <c r="AY38839" s="7" t="s">
        <v>16</v>
      </c>
      <c r="AZ38839" s="7" t="n">
        <f t="normal" ca="1">32-LENB(INDIRECT(ADDRESS(38839,51)))</f>
        <v>0</v>
      </c>
      <c r="BA38839" s="7" t="n">
        <v>7</v>
      </c>
      <c r="BB38839" s="7" t="n">
        <v>65533</v>
      </c>
      <c r="BC38839" s="7" t="n">
        <v>64263</v>
      </c>
      <c r="BD38839" s="7" t="s">
        <v>16</v>
      </c>
      <c r="BE38839" s="7" t="n">
        <f t="normal" ca="1">32-LENB(INDIRECT(ADDRESS(38839,56)))</f>
        <v>0</v>
      </c>
      <c r="BF38839" s="7" t="n">
        <v>7</v>
      </c>
      <c r="BG38839" s="7" t="n">
        <v>65533</v>
      </c>
      <c r="BH38839" s="7" t="n">
        <v>64264</v>
      </c>
      <c r="BI38839" s="7" t="s">
        <v>16</v>
      </c>
      <c r="BJ38839" s="7" t="n">
        <f t="normal" ca="1">32-LENB(INDIRECT(ADDRESS(38839,61)))</f>
        <v>0</v>
      </c>
      <c r="BK38839" s="7" t="n">
        <v>7</v>
      </c>
      <c r="BL38839" s="7" t="n">
        <v>65533</v>
      </c>
      <c r="BM38839" s="7" t="n">
        <v>64265</v>
      </c>
      <c r="BN38839" s="7" t="s">
        <v>16</v>
      </c>
      <c r="BO38839" s="7" t="n">
        <f t="normal" ca="1">32-LENB(INDIRECT(ADDRESS(38839,66)))</f>
        <v>0</v>
      </c>
      <c r="BP38839" s="7" t="n">
        <v>7</v>
      </c>
      <c r="BQ38839" s="7" t="n">
        <v>65533</v>
      </c>
      <c r="BR38839" s="7" t="n">
        <v>64266</v>
      </c>
      <c r="BS38839" s="7" t="s">
        <v>16</v>
      </c>
      <c r="BT38839" s="7" t="n">
        <f t="normal" ca="1">32-LENB(INDIRECT(ADDRESS(38839,71)))</f>
        <v>0</v>
      </c>
      <c r="BU38839" s="7" t="n">
        <v>7</v>
      </c>
      <c r="BV38839" s="7" t="n">
        <v>65533</v>
      </c>
      <c r="BW38839" s="7" t="n">
        <v>64267</v>
      </c>
      <c r="BX38839" s="7" t="s">
        <v>16</v>
      </c>
      <c r="BY38839" s="7" t="n">
        <f t="normal" ca="1">32-LENB(INDIRECT(ADDRESS(38839,76)))</f>
        <v>0</v>
      </c>
      <c r="BZ38839" s="7" t="n">
        <v>7</v>
      </c>
      <c r="CA38839" s="7" t="n">
        <v>65533</v>
      </c>
      <c r="CB38839" s="7" t="n">
        <v>64268</v>
      </c>
      <c r="CC38839" s="7" t="s">
        <v>16</v>
      </c>
      <c r="CD38839" s="7" t="n">
        <f t="normal" ca="1">32-LENB(INDIRECT(ADDRESS(38839,81)))</f>
        <v>0</v>
      </c>
      <c r="CE38839" s="7" t="n">
        <v>7</v>
      </c>
      <c r="CF38839" s="7" t="n">
        <v>65533</v>
      </c>
      <c r="CG38839" s="7" t="n">
        <v>64269</v>
      </c>
      <c r="CH38839" s="7" t="s">
        <v>16</v>
      </c>
      <c r="CI38839" s="7" t="n">
        <f t="normal" ca="1">32-LENB(INDIRECT(ADDRESS(38839,86)))</f>
        <v>0</v>
      </c>
      <c r="CJ38839" s="7" t="n">
        <v>7</v>
      </c>
      <c r="CK38839" s="7" t="n">
        <v>65533</v>
      </c>
      <c r="CL38839" s="7" t="n">
        <v>64270</v>
      </c>
      <c r="CM38839" s="7" t="s">
        <v>16</v>
      </c>
      <c r="CN38839" s="7" t="n">
        <f t="normal" ca="1">32-LENB(INDIRECT(ADDRESS(38839,91)))</f>
        <v>0</v>
      </c>
      <c r="CO38839" s="7" t="n">
        <v>7</v>
      </c>
      <c r="CP38839" s="7" t="n">
        <v>65533</v>
      </c>
      <c r="CQ38839" s="7" t="n">
        <v>64271</v>
      </c>
      <c r="CR38839" s="7" t="s">
        <v>16</v>
      </c>
      <c r="CS38839" s="7" t="n">
        <f t="normal" ca="1">32-LENB(INDIRECT(ADDRESS(38839,96)))</f>
        <v>0</v>
      </c>
      <c r="CT38839" s="7" t="n">
        <v>7</v>
      </c>
      <c r="CU38839" s="7" t="n">
        <v>65533</v>
      </c>
      <c r="CV38839" s="7" t="n">
        <v>64272</v>
      </c>
      <c r="CW38839" s="7" t="s">
        <v>16</v>
      </c>
      <c r="CX38839" s="7" t="n">
        <f t="normal" ca="1">32-LENB(INDIRECT(ADDRESS(38839,101)))</f>
        <v>0</v>
      </c>
      <c r="CY38839" s="7" t="n">
        <v>7</v>
      </c>
      <c r="CZ38839" s="7" t="n">
        <v>65533</v>
      </c>
      <c r="DA38839" s="7" t="n">
        <v>65311</v>
      </c>
      <c r="DB38839" s="7" t="s">
        <v>16</v>
      </c>
      <c r="DC38839" s="7" t="n">
        <f t="normal" ca="1">32-LENB(INDIRECT(ADDRESS(38839,106)))</f>
        <v>0</v>
      </c>
      <c r="DD38839" s="7" t="n">
        <v>7</v>
      </c>
      <c r="DE38839" s="7" t="n">
        <v>65533</v>
      </c>
      <c r="DF38839" s="7" t="n">
        <v>64273</v>
      </c>
      <c r="DG38839" s="7" t="s">
        <v>16</v>
      </c>
      <c r="DH38839" s="7" t="n">
        <f t="normal" ca="1">32-LENB(INDIRECT(ADDRESS(38839,111)))</f>
        <v>0</v>
      </c>
      <c r="DI38839" s="7" t="n">
        <v>7</v>
      </c>
      <c r="DJ38839" s="7" t="n">
        <v>65533</v>
      </c>
      <c r="DK38839" s="7" t="n">
        <v>64274</v>
      </c>
      <c r="DL38839" s="7" t="s">
        <v>16</v>
      </c>
      <c r="DM38839" s="7" t="n">
        <f t="normal" ca="1">32-LENB(INDIRECT(ADDRESS(38839,116)))</f>
        <v>0</v>
      </c>
      <c r="DN38839" s="7" t="n">
        <v>7</v>
      </c>
      <c r="DO38839" s="7" t="n">
        <v>65533</v>
      </c>
      <c r="DP38839" s="7" t="n">
        <v>64275</v>
      </c>
      <c r="DQ38839" s="7" t="s">
        <v>16</v>
      </c>
      <c r="DR38839" s="7" t="n">
        <f t="normal" ca="1">32-LENB(INDIRECT(ADDRESS(38839,121)))</f>
        <v>0</v>
      </c>
      <c r="DS38839" s="7" t="n">
        <v>7</v>
      </c>
      <c r="DT38839" s="7" t="n">
        <v>65533</v>
      </c>
      <c r="DU38839" s="7" t="n">
        <v>64276</v>
      </c>
      <c r="DV38839" s="7" t="s">
        <v>16</v>
      </c>
      <c r="DW38839" s="7" t="n">
        <f t="normal" ca="1">32-LENB(INDIRECT(ADDRESS(38839,126)))</f>
        <v>0</v>
      </c>
      <c r="DX38839" s="7" t="n">
        <v>7</v>
      </c>
      <c r="DY38839" s="7" t="n">
        <v>65533</v>
      </c>
      <c r="DZ38839" s="7" t="n">
        <v>64277</v>
      </c>
      <c r="EA38839" s="7" t="s">
        <v>16</v>
      </c>
      <c r="EB38839" s="7" t="n">
        <f t="normal" ca="1">32-LENB(INDIRECT(ADDRESS(38839,131)))</f>
        <v>0</v>
      </c>
      <c r="EC38839" s="7" t="n">
        <v>7</v>
      </c>
      <c r="ED38839" s="7" t="n">
        <v>65533</v>
      </c>
      <c r="EE38839" s="7" t="n">
        <v>64275</v>
      </c>
      <c r="EF38839" s="7" t="s">
        <v>16</v>
      </c>
      <c r="EG38839" s="7" t="n">
        <f t="normal" ca="1">32-LENB(INDIRECT(ADDRESS(38839,136)))</f>
        <v>0</v>
      </c>
      <c r="EH38839" s="7" t="n">
        <v>7</v>
      </c>
      <c r="EI38839" s="7" t="n">
        <v>65533</v>
      </c>
      <c r="EJ38839" s="7" t="n">
        <v>64276</v>
      </c>
      <c r="EK38839" s="7" t="s">
        <v>16</v>
      </c>
      <c r="EL38839" s="7" t="n">
        <f t="normal" ca="1">32-LENB(INDIRECT(ADDRESS(38839,141)))</f>
        <v>0</v>
      </c>
      <c r="EM38839" s="7" t="n">
        <v>7</v>
      </c>
      <c r="EN38839" s="7" t="n">
        <v>65533</v>
      </c>
      <c r="EO38839" s="7" t="n">
        <v>64278</v>
      </c>
      <c r="EP38839" s="7" t="s">
        <v>16</v>
      </c>
      <c r="EQ38839" s="7" t="n">
        <f t="normal" ca="1">32-LENB(INDIRECT(ADDRESS(38839,146)))</f>
        <v>0</v>
      </c>
      <c r="ER38839" s="7" t="n">
        <v>7</v>
      </c>
      <c r="ES38839" s="7" t="n">
        <v>65533</v>
      </c>
      <c r="ET38839" s="7" t="n">
        <v>64279</v>
      </c>
      <c r="EU38839" s="7" t="s">
        <v>16</v>
      </c>
      <c r="EV38839" s="7" t="n">
        <f t="normal" ca="1">32-LENB(INDIRECT(ADDRESS(38839,151)))</f>
        <v>0</v>
      </c>
      <c r="EW38839" s="7" t="n">
        <v>7</v>
      </c>
      <c r="EX38839" s="7" t="n">
        <v>65533</v>
      </c>
      <c r="EY38839" s="7" t="n">
        <v>64280</v>
      </c>
      <c r="EZ38839" s="7" t="s">
        <v>16</v>
      </c>
      <c r="FA38839" s="7" t="n">
        <f t="normal" ca="1">32-LENB(INDIRECT(ADDRESS(38839,156)))</f>
        <v>0</v>
      </c>
      <c r="FB38839" s="7" t="n">
        <v>7</v>
      </c>
      <c r="FC38839" s="7" t="n">
        <v>65533</v>
      </c>
      <c r="FD38839" s="7" t="n">
        <v>64281</v>
      </c>
      <c r="FE38839" s="7" t="s">
        <v>16</v>
      </c>
      <c r="FF38839" s="7" t="n">
        <f t="normal" ca="1">32-LENB(INDIRECT(ADDRESS(38839,161)))</f>
        <v>0</v>
      </c>
      <c r="FG38839" s="7" t="n">
        <v>0</v>
      </c>
      <c r="FH38839" s="7" t="n">
        <v>65533</v>
      </c>
      <c r="FI38839" s="7" t="n">
        <v>0</v>
      </c>
      <c r="FJ38839" s="7" t="s">
        <v>16</v>
      </c>
      <c r="FK38839" s="7" t="n">
        <f t="normal" ca="1">32-LENB(INDIRECT(ADDRESS(38839,166)))</f>
        <v>0</v>
      </c>
    </row>
    <row r="38840" spans="1:367">
      <c r="A38840" t="s">
        <v>4</v>
      </c>
      <c r="B38840" s="4" t="s">
        <v>5</v>
      </c>
    </row>
    <row r="38841" spans="1:367">
      <c r="A38841" t="n">
        <v>418824</v>
      </c>
      <c r="B38841" s="5" t="n">
        <v>1</v>
      </c>
    </row>
    <row r="38842" spans="1:367" s="3" customFormat="1" customHeight="0">
      <c r="A38842" s="3" t="s">
        <v>2</v>
      </c>
      <c r="B38842" s="3" t="s">
        <v>1877</v>
      </c>
    </row>
    <row r="38843" spans="1:367">
      <c r="A38843" t="s">
        <v>4</v>
      </c>
      <c r="B38843" s="4" t="s">
        <v>5</v>
      </c>
      <c r="C38843" s="4" t="s">
        <v>11</v>
      </c>
      <c r="D38843" s="4" t="s">
        <v>11</v>
      </c>
      <c r="E38843" s="4" t="s">
        <v>15</v>
      </c>
      <c r="F38843" s="4" t="s">
        <v>8</v>
      </c>
      <c r="G38843" s="4" t="s">
        <v>1859</v>
      </c>
      <c r="H38843" s="4" t="s">
        <v>11</v>
      </c>
      <c r="I38843" s="4" t="s">
        <v>11</v>
      </c>
      <c r="J38843" s="4" t="s">
        <v>15</v>
      </c>
      <c r="K38843" s="4" t="s">
        <v>8</v>
      </c>
      <c r="L38843" s="4" t="s">
        <v>1859</v>
      </c>
      <c r="M38843" s="4" t="s">
        <v>11</v>
      </c>
      <c r="N38843" s="4" t="s">
        <v>11</v>
      </c>
      <c r="O38843" s="4" t="s">
        <v>15</v>
      </c>
      <c r="P38843" s="4" t="s">
        <v>8</v>
      </c>
      <c r="Q38843" s="4" t="s">
        <v>1859</v>
      </c>
      <c r="R38843" s="4" t="s">
        <v>11</v>
      </c>
      <c r="S38843" s="4" t="s">
        <v>11</v>
      </c>
      <c r="T38843" s="4" t="s">
        <v>15</v>
      </c>
      <c r="U38843" s="4" t="s">
        <v>8</v>
      </c>
      <c r="V38843" s="4" t="s">
        <v>1859</v>
      </c>
      <c r="W38843" s="4" t="s">
        <v>11</v>
      </c>
      <c r="X38843" s="4" t="s">
        <v>11</v>
      </c>
      <c r="Y38843" s="4" t="s">
        <v>15</v>
      </c>
      <c r="Z38843" s="4" t="s">
        <v>8</v>
      </c>
      <c r="AA38843" s="4" t="s">
        <v>1859</v>
      </c>
      <c r="AB38843" s="4" t="s">
        <v>11</v>
      </c>
      <c r="AC38843" s="4" t="s">
        <v>11</v>
      </c>
      <c r="AD38843" s="4" t="s">
        <v>15</v>
      </c>
      <c r="AE38843" s="4" t="s">
        <v>8</v>
      </c>
      <c r="AF38843" s="4" t="s">
        <v>1859</v>
      </c>
      <c r="AG38843" s="4" t="s">
        <v>11</v>
      </c>
      <c r="AH38843" s="4" t="s">
        <v>11</v>
      </c>
      <c r="AI38843" s="4" t="s">
        <v>15</v>
      </c>
      <c r="AJ38843" s="4" t="s">
        <v>8</v>
      </c>
      <c r="AK38843" s="4" t="s">
        <v>1859</v>
      </c>
      <c r="AL38843" s="4" t="s">
        <v>11</v>
      </c>
      <c r="AM38843" s="4" t="s">
        <v>11</v>
      </c>
      <c r="AN38843" s="4" t="s">
        <v>15</v>
      </c>
      <c r="AO38843" s="4" t="s">
        <v>8</v>
      </c>
      <c r="AP38843" s="4" t="s">
        <v>1859</v>
      </c>
      <c r="AQ38843" s="4" t="s">
        <v>11</v>
      </c>
      <c r="AR38843" s="4" t="s">
        <v>11</v>
      </c>
      <c r="AS38843" s="4" t="s">
        <v>15</v>
      </c>
      <c r="AT38843" s="4" t="s">
        <v>8</v>
      </c>
      <c r="AU38843" s="4" t="s">
        <v>1859</v>
      </c>
      <c r="AV38843" s="4" t="s">
        <v>11</v>
      </c>
      <c r="AW38843" s="4" t="s">
        <v>11</v>
      </c>
      <c r="AX38843" s="4" t="s">
        <v>15</v>
      </c>
      <c r="AY38843" s="4" t="s">
        <v>8</v>
      </c>
      <c r="AZ38843" s="4" t="s">
        <v>1859</v>
      </c>
      <c r="BA38843" s="4" t="s">
        <v>11</v>
      </c>
      <c r="BB38843" s="4" t="s">
        <v>11</v>
      </c>
      <c r="BC38843" s="4" t="s">
        <v>15</v>
      </c>
      <c r="BD38843" s="4" t="s">
        <v>8</v>
      </c>
      <c r="BE38843" s="4" t="s">
        <v>1859</v>
      </c>
      <c r="BF38843" s="4" t="s">
        <v>11</v>
      </c>
      <c r="BG38843" s="4" t="s">
        <v>11</v>
      </c>
      <c r="BH38843" s="4" t="s">
        <v>15</v>
      </c>
      <c r="BI38843" s="4" t="s">
        <v>8</v>
      </c>
      <c r="BJ38843" s="4" t="s">
        <v>1859</v>
      </c>
      <c r="BK38843" s="4" t="s">
        <v>11</v>
      </c>
      <c r="BL38843" s="4" t="s">
        <v>11</v>
      </c>
      <c r="BM38843" s="4" t="s">
        <v>15</v>
      </c>
      <c r="BN38843" s="4" t="s">
        <v>8</v>
      </c>
      <c r="BO38843" s="4" t="s">
        <v>1859</v>
      </c>
      <c r="BP38843" s="4" t="s">
        <v>11</v>
      </c>
      <c r="BQ38843" s="4" t="s">
        <v>11</v>
      </c>
      <c r="BR38843" s="4" t="s">
        <v>15</v>
      </c>
      <c r="BS38843" s="4" t="s">
        <v>8</v>
      </c>
      <c r="BT38843" s="4" t="s">
        <v>1859</v>
      </c>
      <c r="BU38843" s="4" t="s">
        <v>11</v>
      </c>
      <c r="BV38843" s="4" t="s">
        <v>11</v>
      </c>
      <c r="BW38843" s="4" t="s">
        <v>15</v>
      </c>
      <c r="BX38843" s="4" t="s">
        <v>8</v>
      </c>
      <c r="BY38843" s="4" t="s">
        <v>1859</v>
      </c>
      <c r="BZ38843" s="4" t="s">
        <v>11</v>
      </c>
      <c r="CA38843" s="4" t="s">
        <v>11</v>
      </c>
      <c r="CB38843" s="4" t="s">
        <v>15</v>
      </c>
      <c r="CC38843" s="4" t="s">
        <v>8</v>
      </c>
      <c r="CD38843" s="4" t="s">
        <v>1859</v>
      </c>
      <c r="CE38843" s="4" t="s">
        <v>11</v>
      </c>
      <c r="CF38843" s="4" t="s">
        <v>11</v>
      </c>
      <c r="CG38843" s="4" t="s">
        <v>15</v>
      </c>
      <c r="CH38843" s="4" t="s">
        <v>8</v>
      </c>
      <c r="CI38843" s="4" t="s">
        <v>1859</v>
      </c>
      <c r="CJ38843" s="4" t="s">
        <v>11</v>
      </c>
      <c r="CK38843" s="4" t="s">
        <v>11</v>
      </c>
      <c r="CL38843" s="4" t="s">
        <v>15</v>
      </c>
      <c r="CM38843" s="4" t="s">
        <v>8</v>
      </c>
      <c r="CN38843" s="4" t="s">
        <v>1859</v>
      </c>
      <c r="CO38843" s="4" t="s">
        <v>11</v>
      </c>
      <c r="CP38843" s="4" t="s">
        <v>11</v>
      </c>
      <c r="CQ38843" s="4" t="s">
        <v>15</v>
      </c>
      <c r="CR38843" s="4" t="s">
        <v>8</v>
      </c>
      <c r="CS38843" s="4" t="s">
        <v>1859</v>
      </c>
      <c r="CT38843" s="4" t="s">
        <v>11</v>
      </c>
      <c r="CU38843" s="4" t="s">
        <v>11</v>
      </c>
      <c r="CV38843" s="4" t="s">
        <v>15</v>
      </c>
      <c r="CW38843" s="4" t="s">
        <v>8</v>
      </c>
      <c r="CX38843" s="4" t="s">
        <v>1859</v>
      </c>
      <c r="CY38843" s="4" t="s">
        <v>11</v>
      </c>
      <c r="CZ38843" s="4" t="s">
        <v>11</v>
      </c>
      <c r="DA38843" s="4" t="s">
        <v>15</v>
      </c>
      <c r="DB38843" s="4" t="s">
        <v>8</v>
      </c>
      <c r="DC38843" s="4" t="s">
        <v>1859</v>
      </c>
      <c r="DD38843" s="4" t="s">
        <v>11</v>
      </c>
      <c r="DE38843" s="4" t="s">
        <v>11</v>
      </c>
      <c r="DF38843" s="4" t="s">
        <v>15</v>
      </c>
      <c r="DG38843" s="4" t="s">
        <v>8</v>
      </c>
      <c r="DH38843" s="4" t="s">
        <v>1859</v>
      </c>
      <c r="DI38843" s="4" t="s">
        <v>11</v>
      </c>
      <c r="DJ38843" s="4" t="s">
        <v>11</v>
      </c>
      <c r="DK38843" s="4" t="s">
        <v>15</v>
      </c>
      <c r="DL38843" s="4" t="s">
        <v>8</v>
      </c>
      <c r="DM38843" s="4" t="s">
        <v>1859</v>
      </c>
      <c r="DN38843" s="4" t="s">
        <v>11</v>
      </c>
      <c r="DO38843" s="4" t="s">
        <v>11</v>
      </c>
      <c r="DP38843" s="4" t="s">
        <v>15</v>
      </c>
      <c r="DQ38843" s="4" t="s">
        <v>8</v>
      </c>
      <c r="DR38843" s="4" t="s">
        <v>1859</v>
      </c>
      <c r="DS38843" s="4" t="s">
        <v>11</v>
      </c>
      <c r="DT38843" s="4" t="s">
        <v>11</v>
      </c>
      <c r="DU38843" s="4" t="s">
        <v>15</v>
      </c>
      <c r="DV38843" s="4" t="s">
        <v>8</v>
      </c>
      <c r="DW38843" s="4" t="s">
        <v>1859</v>
      </c>
      <c r="DX38843" s="4" t="s">
        <v>11</v>
      </c>
      <c r="DY38843" s="4" t="s">
        <v>11</v>
      </c>
      <c r="DZ38843" s="4" t="s">
        <v>15</v>
      </c>
      <c r="EA38843" s="4" t="s">
        <v>8</v>
      </c>
      <c r="EB38843" s="4" t="s">
        <v>1859</v>
      </c>
      <c r="EC38843" s="4" t="s">
        <v>11</v>
      </c>
      <c r="ED38843" s="4" t="s">
        <v>11</v>
      </c>
      <c r="EE38843" s="4" t="s">
        <v>15</v>
      </c>
      <c r="EF38843" s="4" t="s">
        <v>8</v>
      </c>
      <c r="EG38843" s="4" t="s">
        <v>1859</v>
      </c>
      <c r="EH38843" s="4" t="s">
        <v>11</v>
      </c>
      <c r="EI38843" s="4" t="s">
        <v>11</v>
      </c>
      <c r="EJ38843" s="4" t="s">
        <v>15</v>
      </c>
      <c r="EK38843" s="4" t="s">
        <v>8</v>
      </c>
      <c r="EL38843" s="4" t="s">
        <v>1859</v>
      </c>
      <c r="EM38843" s="4" t="s">
        <v>11</v>
      </c>
      <c r="EN38843" s="4" t="s">
        <v>11</v>
      </c>
      <c r="EO38843" s="4" t="s">
        <v>15</v>
      </c>
      <c r="EP38843" s="4" t="s">
        <v>8</v>
      </c>
      <c r="EQ38843" s="4" t="s">
        <v>1859</v>
      </c>
      <c r="ER38843" s="4" t="s">
        <v>11</v>
      </c>
      <c r="ES38843" s="4" t="s">
        <v>11</v>
      </c>
      <c r="ET38843" s="4" t="s">
        <v>15</v>
      </c>
      <c r="EU38843" s="4" t="s">
        <v>8</v>
      </c>
      <c r="EV38843" s="4" t="s">
        <v>1859</v>
      </c>
      <c r="EW38843" s="4" t="s">
        <v>11</v>
      </c>
      <c r="EX38843" s="4" t="s">
        <v>11</v>
      </c>
      <c r="EY38843" s="4" t="s">
        <v>15</v>
      </c>
      <c r="EZ38843" s="4" t="s">
        <v>8</v>
      </c>
      <c r="FA38843" s="4" t="s">
        <v>1859</v>
      </c>
      <c r="FB38843" s="4" t="s">
        <v>11</v>
      </c>
      <c r="FC38843" s="4" t="s">
        <v>11</v>
      </c>
      <c r="FD38843" s="4" t="s">
        <v>15</v>
      </c>
      <c r="FE38843" s="4" t="s">
        <v>8</v>
      </c>
      <c r="FF38843" s="4" t="s">
        <v>1859</v>
      </c>
      <c r="FG38843" s="4" t="s">
        <v>11</v>
      </c>
      <c r="FH38843" s="4" t="s">
        <v>11</v>
      </c>
      <c r="FI38843" s="4" t="s">
        <v>15</v>
      </c>
      <c r="FJ38843" s="4" t="s">
        <v>8</v>
      </c>
      <c r="FK38843" s="4" t="s">
        <v>1859</v>
      </c>
    </row>
    <row r="38844" spans="1:367">
      <c r="A38844" t="n">
        <v>418832</v>
      </c>
      <c r="B38844" s="85" t="n">
        <v>257</v>
      </c>
      <c r="C38844" s="7" t="n">
        <v>7</v>
      </c>
      <c r="D38844" s="7" t="n">
        <v>65533</v>
      </c>
      <c r="E38844" s="7" t="n">
        <v>64282</v>
      </c>
      <c r="F38844" s="7" t="s">
        <v>16</v>
      </c>
      <c r="G38844" s="7" t="n">
        <f t="normal" ca="1">32-LENB(INDIRECT(ADDRESS(38844,6)))</f>
        <v>0</v>
      </c>
      <c r="H38844" s="7" t="n">
        <v>7</v>
      </c>
      <c r="I38844" s="7" t="n">
        <v>65533</v>
      </c>
      <c r="J38844" s="7" t="n">
        <v>64283</v>
      </c>
      <c r="K38844" s="7" t="s">
        <v>16</v>
      </c>
      <c r="L38844" s="7" t="n">
        <f t="normal" ca="1">32-LENB(INDIRECT(ADDRESS(38844,11)))</f>
        <v>0</v>
      </c>
      <c r="M38844" s="7" t="n">
        <v>7</v>
      </c>
      <c r="N38844" s="7" t="n">
        <v>65533</v>
      </c>
      <c r="O38844" s="7" t="n">
        <v>64284</v>
      </c>
      <c r="P38844" s="7" t="s">
        <v>16</v>
      </c>
      <c r="Q38844" s="7" t="n">
        <f t="normal" ca="1">32-LENB(INDIRECT(ADDRESS(38844,16)))</f>
        <v>0</v>
      </c>
      <c r="R38844" s="7" t="n">
        <v>7</v>
      </c>
      <c r="S38844" s="7" t="n">
        <v>65533</v>
      </c>
      <c r="T38844" s="7" t="n">
        <v>64285</v>
      </c>
      <c r="U38844" s="7" t="s">
        <v>16</v>
      </c>
      <c r="V38844" s="7" t="n">
        <f t="normal" ca="1">32-LENB(INDIRECT(ADDRESS(38844,21)))</f>
        <v>0</v>
      </c>
      <c r="W38844" s="7" t="n">
        <v>7</v>
      </c>
      <c r="X38844" s="7" t="n">
        <v>65533</v>
      </c>
      <c r="Y38844" s="7" t="n">
        <v>64286</v>
      </c>
      <c r="Z38844" s="7" t="s">
        <v>16</v>
      </c>
      <c r="AA38844" s="7" t="n">
        <f t="normal" ca="1">32-LENB(INDIRECT(ADDRESS(38844,26)))</f>
        <v>0</v>
      </c>
      <c r="AB38844" s="7" t="n">
        <v>7</v>
      </c>
      <c r="AC38844" s="7" t="n">
        <v>65533</v>
      </c>
      <c r="AD38844" s="7" t="n">
        <v>64287</v>
      </c>
      <c r="AE38844" s="7" t="s">
        <v>16</v>
      </c>
      <c r="AF38844" s="7" t="n">
        <f t="normal" ca="1">32-LENB(INDIRECT(ADDRESS(38844,31)))</f>
        <v>0</v>
      </c>
      <c r="AG38844" s="7" t="n">
        <v>7</v>
      </c>
      <c r="AH38844" s="7" t="n">
        <v>65533</v>
      </c>
      <c r="AI38844" s="7" t="n">
        <v>64288</v>
      </c>
      <c r="AJ38844" s="7" t="s">
        <v>16</v>
      </c>
      <c r="AK38844" s="7" t="n">
        <f t="normal" ca="1">32-LENB(INDIRECT(ADDRESS(38844,36)))</f>
        <v>0</v>
      </c>
      <c r="AL38844" s="7" t="n">
        <v>7</v>
      </c>
      <c r="AM38844" s="7" t="n">
        <v>65533</v>
      </c>
      <c r="AN38844" s="7" t="n">
        <v>64289</v>
      </c>
      <c r="AO38844" s="7" t="s">
        <v>16</v>
      </c>
      <c r="AP38844" s="7" t="n">
        <f t="normal" ca="1">32-LENB(INDIRECT(ADDRESS(38844,41)))</f>
        <v>0</v>
      </c>
      <c r="AQ38844" s="7" t="n">
        <v>7</v>
      </c>
      <c r="AR38844" s="7" t="n">
        <v>65533</v>
      </c>
      <c r="AS38844" s="7" t="n">
        <v>64290</v>
      </c>
      <c r="AT38844" s="7" t="s">
        <v>16</v>
      </c>
      <c r="AU38844" s="7" t="n">
        <f t="normal" ca="1">32-LENB(INDIRECT(ADDRESS(38844,46)))</f>
        <v>0</v>
      </c>
      <c r="AV38844" s="7" t="n">
        <v>7</v>
      </c>
      <c r="AW38844" s="7" t="n">
        <v>65533</v>
      </c>
      <c r="AX38844" s="7" t="n">
        <v>64291</v>
      </c>
      <c r="AY38844" s="7" t="s">
        <v>16</v>
      </c>
      <c r="AZ38844" s="7" t="n">
        <f t="normal" ca="1">32-LENB(INDIRECT(ADDRESS(38844,51)))</f>
        <v>0</v>
      </c>
      <c r="BA38844" s="7" t="n">
        <v>7</v>
      </c>
      <c r="BB38844" s="7" t="n">
        <v>65533</v>
      </c>
      <c r="BC38844" s="7" t="n">
        <v>64292</v>
      </c>
      <c r="BD38844" s="7" t="s">
        <v>16</v>
      </c>
      <c r="BE38844" s="7" t="n">
        <f t="normal" ca="1">32-LENB(INDIRECT(ADDRESS(38844,56)))</f>
        <v>0</v>
      </c>
      <c r="BF38844" s="7" t="n">
        <v>7</v>
      </c>
      <c r="BG38844" s="7" t="n">
        <v>65533</v>
      </c>
      <c r="BH38844" s="7" t="n">
        <v>64293</v>
      </c>
      <c r="BI38844" s="7" t="s">
        <v>16</v>
      </c>
      <c r="BJ38844" s="7" t="n">
        <f t="normal" ca="1">32-LENB(INDIRECT(ADDRESS(38844,61)))</f>
        <v>0</v>
      </c>
      <c r="BK38844" s="7" t="n">
        <v>7</v>
      </c>
      <c r="BL38844" s="7" t="n">
        <v>65533</v>
      </c>
      <c r="BM38844" s="7" t="n">
        <v>64294</v>
      </c>
      <c r="BN38844" s="7" t="s">
        <v>16</v>
      </c>
      <c r="BO38844" s="7" t="n">
        <f t="normal" ca="1">32-LENB(INDIRECT(ADDRESS(38844,66)))</f>
        <v>0</v>
      </c>
      <c r="BP38844" s="7" t="n">
        <v>7</v>
      </c>
      <c r="BQ38844" s="7" t="n">
        <v>65533</v>
      </c>
      <c r="BR38844" s="7" t="n">
        <v>64295</v>
      </c>
      <c r="BS38844" s="7" t="s">
        <v>16</v>
      </c>
      <c r="BT38844" s="7" t="n">
        <f t="normal" ca="1">32-LENB(INDIRECT(ADDRESS(38844,71)))</f>
        <v>0</v>
      </c>
      <c r="BU38844" s="7" t="n">
        <v>7</v>
      </c>
      <c r="BV38844" s="7" t="n">
        <v>65533</v>
      </c>
      <c r="BW38844" s="7" t="n">
        <v>64296</v>
      </c>
      <c r="BX38844" s="7" t="s">
        <v>16</v>
      </c>
      <c r="BY38844" s="7" t="n">
        <f t="normal" ca="1">32-LENB(INDIRECT(ADDRESS(38844,76)))</f>
        <v>0</v>
      </c>
      <c r="BZ38844" s="7" t="n">
        <v>7</v>
      </c>
      <c r="CA38844" s="7" t="n">
        <v>65533</v>
      </c>
      <c r="CB38844" s="7" t="n">
        <v>64297</v>
      </c>
      <c r="CC38844" s="7" t="s">
        <v>16</v>
      </c>
      <c r="CD38844" s="7" t="n">
        <f t="normal" ca="1">32-LENB(INDIRECT(ADDRESS(38844,81)))</f>
        <v>0</v>
      </c>
      <c r="CE38844" s="7" t="n">
        <v>7</v>
      </c>
      <c r="CF38844" s="7" t="n">
        <v>65533</v>
      </c>
      <c r="CG38844" s="7" t="n">
        <v>64298</v>
      </c>
      <c r="CH38844" s="7" t="s">
        <v>16</v>
      </c>
      <c r="CI38844" s="7" t="n">
        <f t="normal" ca="1">32-LENB(INDIRECT(ADDRESS(38844,86)))</f>
        <v>0</v>
      </c>
      <c r="CJ38844" s="7" t="n">
        <v>7</v>
      </c>
      <c r="CK38844" s="7" t="n">
        <v>65533</v>
      </c>
      <c r="CL38844" s="7" t="n">
        <v>65312</v>
      </c>
      <c r="CM38844" s="7" t="s">
        <v>16</v>
      </c>
      <c r="CN38844" s="7" t="n">
        <f t="normal" ca="1">32-LENB(INDIRECT(ADDRESS(38844,91)))</f>
        <v>0</v>
      </c>
      <c r="CO38844" s="7" t="n">
        <v>7</v>
      </c>
      <c r="CP38844" s="7" t="n">
        <v>65533</v>
      </c>
      <c r="CQ38844" s="7" t="n">
        <v>64299</v>
      </c>
      <c r="CR38844" s="7" t="s">
        <v>16</v>
      </c>
      <c r="CS38844" s="7" t="n">
        <f t="normal" ca="1">32-LENB(INDIRECT(ADDRESS(38844,96)))</f>
        <v>0</v>
      </c>
      <c r="CT38844" s="7" t="n">
        <v>7</v>
      </c>
      <c r="CU38844" s="7" t="n">
        <v>65533</v>
      </c>
      <c r="CV38844" s="7" t="n">
        <v>64300</v>
      </c>
      <c r="CW38844" s="7" t="s">
        <v>16</v>
      </c>
      <c r="CX38844" s="7" t="n">
        <f t="normal" ca="1">32-LENB(INDIRECT(ADDRESS(38844,101)))</f>
        <v>0</v>
      </c>
      <c r="CY38844" s="7" t="n">
        <v>7</v>
      </c>
      <c r="CZ38844" s="7" t="n">
        <v>65533</v>
      </c>
      <c r="DA38844" s="7" t="n">
        <v>64301</v>
      </c>
      <c r="DB38844" s="7" t="s">
        <v>16</v>
      </c>
      <c r="DC38844" s="7" t="n">
        <f t="normal" ca="1">32-LENB(INDIRECT(ADDRESS(38844,106)))</f>
        <v>0</v>
      </c>
      <c r="DD38844" s="7" t="n">
        <v>7</v>
      </c>
      <c r="DE38844" s="7" t="n">
        <v>65533</v>
      </c>
      <c r="DF38844" s="7" t="n">
        <v>64302</v>
      </c>
      <c r="DG38844" s="7" t="s">
        <v>16</v>
      </c>
      <c r="DH38844" s="7" t="n">
        <f t="normal" ca="1">32-LENB(INDIRECT(ADDRESS(38844,111)))</f>
        <v>0</v>
      </c>
      <c r="DI38844" s="7" t="n">
        <v>7</v>
      </c>
      <c r="DJ38844" s="7" t="n">
        <v>65533</v>
      </c>
      <c r="DK38844" s="7" t="n">
        <v>64303</v>
      </c>
      <c r="DL38844" s="7" t="s">
        <v>16</v>
      </c>
      <c r="DM38844" s="7" t="n">
        <f t="normal" ca="1">32-LENB(INDIRECT(ADDRESS(38844,116)))</f>
        <v>0</v>
      </c>
      <c r="DN38844" s="7" t="n">
        <v>7</v>
      </c>
      <c r="DO38844" s="7" t="n">
        <v>65533</v>
      </c>
      <c r="DP38844" s="7" t="n">
        <v>64304</v>
      </c>
      <c r="DQ38844" s="7" t="s">
        <v>16</v>
      </c>
      <c r="DR38844" s="7" t="n">
        <f t="normal" ca="1">32-LENB(INDIRECT(ADDRESS(38844,121)))</f>
        <v>0</v>
      </c>
      <c r="DS38844" s="7" t="n">
        <v>7</v>
      </c>
      <c r="DT38844" s="7" t="n">
        <v>65533</v>
      </c>
      <c r="DU38844" s="7" t="n">
        <v>64305</v>
      </c>
      <c r="DV38844" s="7" t="s">
        <v>16</v>
      </c>
      <c r="DW38844" s="7" t="n">
        <f t="normal" ca="1">32-LENB(INDIRECT(ADDRESS(38844,126)))</f>
        <v>0</v>
      </c>
      <c r="DX38844" s="7" t="n">
        <v>7</v>
      </c>
      <c r="DY38844" s="7" t="n">
        <v>65533</v>
      </c>
      <c r="DZ38844" s="7" t="n">
        <v>64306</v>
      </c>
      <c r="EA38844" s="7" t="s">
        <v>16</v>
      </c>
      <c r="EB38844" s="7" t="n">
        <f t="normal" ca="1">32-LENB(INDIRECT(ADDRESS(38844,131)))</f>
        <v>0</v>
      </c>
      <c r="EC38844" s="7" t="n">
        <v>7</v>
      </c>
      <c r="ED38844" s="7" t="n">
        <v>65533</v>
      </c>
      <c r="EE38844" s="7" t="n">
        <v>64307</v>
      </c>
      <c r="EF38844" s="7" t="s">
        <v>16</v>
      </c>
      <c r="EG38844" s="7" t="n">
        <f t="normal" ca="1">32-LENB(INDIRECT(ADDRESS(38844,136)))</f>
        <v>0</v>
      </c>
      <c r="EH38844" s="7" t="n">
        <v>7</v>
      </c>
      <c r="EI38844" s="7" t="n">
        <v>65533</v>
      </c>
      <c r="EJ38844" s="7" t="n">
        <v>64308</v>
      </c>
      <c r="EK38844" s="7" t="s">
        <v>16</v>
      </c>
      <c r="EL38844" s="7" t="n">
        <f t="normal" ca="1">32-LENB(INDIRECT(ADDRESS(38844,141)))</f>
        <v>0</v>
      </c>
      <c r="EM38844" s="7" t="n">
        <v>7</v>
      </c>
      <c r="EN38844" s="7" t="n">
        <v>65533</v>
      </c>
      <c r="EO38844" s="7" t="n">
        <v>64309</v>
      </c>
      <c r="EP38844" s="7" t="s">
        <v>16</v>
      </c>
      <c r="EQ38844" s="7" t="n">
        <f t="normal" ca="1">32-LENB(INDIRECT(ADDRESS(38844,146)))</f>
        <v>0</v>
      </c>
      <c r="ER38844" s="7" t="n">
        <v>7</v>
      </c>
      <c r="ES38844" s="7" t="n">
        <v>65533</v>
      </c>
      <c r="ET38844" s="7" t="n">
        <v>64310</v>
      </c>
      <c r="EU38844" s="7" t="s">
        <v>16</v>
      </c>
      <c r="EV38844" s="7" t="n">
        <f t="normal" ca="1">32-LENB(INDIRECT(ADDRESS(38844,151)))</f>
        <v>0</v>
      </c>
      <c r="EW38844" s="7" t="n">
        <v>7</v>
      </c>
      <c r="EX38844" s="7" t="n">
        <v>65533</v>
      </c>
      <c r="EY38844" s="7" t="n">
        <v>64311</v>
      </c>
      <c r="EZ38844" s="7" t="s">
        <v>16</v>
      </c>
      <c r="FA38844" s="7" t="n">
        <f t="normal" ca="1">32-LENB(INDIRECT(ADDRESS(38844,156)))</f>
        <v>0</v>
      </c>
      <c r="FB38844" s="7" t="n">
        <v>7</v>
      </c>
      <c r="FC38844" s="7" t="n">
        <v>65533</v>
      </c>
      <c r="FD38844" s="7" t="n">
        <v>64312</v>
      </c>
      <c r="FE38844" s="7" t="s">
        <v>16</v>
      </c>
      <c r="FF38844" s="7" t="n">
        <f t="normal" ca="1">32-LENB(INDIRECT(ADDRESS(38844,161)))</f>
        <v>0</v>
      </c>
      <c r="FG38844" s="7" t="n">
        <v>0</v>
      </c>
      <c r="FH38844" s="7" t="n">
        <v>65533</v>
      </c>
      <c r="FI38844" s="7" t="n">
        <v>0</v>
      </c>
      <c r="FJ38844" s="7" t="s">
        <v>16</v>
      </c>
      <c r="FK38844" s="7" t="n">
        <f t="normal" ca="1">32-LENB(INDIRECT(ADDRESS(38844,166)))</f>
        <v>0</v>
      </c>
    </row>
    <row r="38845" spans="1:367">
      <c r="A38845" t="s">
        <v>4</v>
      </c>
      <c r="B38845" s="4" t="s">
        <v>5</v>
      </c>
    </row>
    <row r="38846" spans="1:367">
      <c r="A38846" t="n">
        <v>420152</v>
      </c>
      <c r="B38846" s="5" t="n">
        <v>1</v>
      </c>
    </row>
    <row r="38847" spans="1:367" s="3" customFormat="1" customHeight="0">
      <c r="A38847" s="3" t="s">
        <v>2</v>
      </c>
      <c r="B38847" s="3" t="s">
        <v>1878</v>
      </c>
    </row>
    <row r="38848" spans="1:367">
      <c r="A38848" t="s">
        <v>4</v>
      </c>
      <c r="B38848" s="4" t="s">
        <v>5</v>
      </c>
      <c r="C38848" s="4" t="s">
        <v>11</v>
      </c>
      <c r="D38848" s="4" t="s">
        <v>11</v>
      </c>
      <c r="E38848" s="4" t="s">
        <v>15</v>
      </c>
      <c r="F38848" s="4" t="s">
        <v>8</v>
      </c>
      <c r="G38848" s="4" t="s">
        <v>1859</v>
      </c>
      <c r="H38848" s="4" t="s">
        <v>11</v>
      </c>
      <c r="I38848" s="4" t="s">
        <v>11</v>
      </c>
      <c r="J38848" s="4" t="s">
        <v>15</v>
      </c>
      <c r="K38848" s="4" t="s">
        <v>8</v>
      </c>
      <c r="L38848" s="4" t="s">
        <v>1859</v>
      </c>
      <c r="M38848" s="4" t="s">
        <v>11</v>
      </c>
      <c r="N38848" s="4" t="s">
        <v>11</v>
      </c>
      <c r="O38848" s="4" t="s">
        <v>15</v>
      </c>
      <c r="P38848" s="4" t="s">
        <v>8</v>
      </c>
      <c r="Q38848" s="4" t="s">
        <v>1859</v>
      </c>
      <c r="R38848" s="4" t="s">
        <v>11</v>
      </c>
      <c r="S38848" s="4" t="s">
        <v>11</v>
      </c>
      <c r="T38848" s="4" t="s">
        <v>15</v>
      </c>
      <c r="U38848" s="4" t="s">
        <v>8</v>
      </c>
      <c r="V38848" s="4" t="s">
        <v>1859</v>
      </c>
      <c r="W38848" s="4" t="s">
        <v>11</v>
      </c>
      <c r="X38848" s="4" t="s">
        <v>11</v>
      </c>
      <c r="Y38848" s="4" t="s">
        <v>15</v>
      </c>
      <c r="Z38848" s="4" t="s">
        <v>8</v>
      </c>
      <c r="AA38848" s="4" t="s">
        <v>1859</v>
      </c>
      <c r="AB38848" s="4" t="s">
        <v>11</v>
      </c>
      <c r="AC38848" s="4" t="s">
        <v>11</v>
      </c>
      <c r="AD38848" s="4" t="s">
        <v>15</v>
      </c>
      <c r="AE38848" s="4" t="s">
        <v>8</v>
      </c>
      <c r="AF38848" s="4" t="s">
        <v>1859</v>
      </c>
      <c r="AG38848" s="4" t="s">
        <v>11</v>
      </c>
      <c r="AH38848" s="4" t="s">
        <v>11</v>
      </c>
      <c r="AI38848" s="4" t="s">
        <v>15</v>
      </c>
      <c r="AJ38848" s="4" t="s">
        <v>8</v>
      </c>
      <c r="AK38848" s="4" t="s">
        <v>1859</v>
      </c>
      <c r="AL38848" s="4" t="s">
        <v>11</v>
      </c>
      <c r="AM38848" s="4" t="s">
        <v>11</v>
      </c>
      <c r="AN38848" s="4" t="s">
        <v>15</v>
      </c>
      <c r="AO38848" s="4" t="s">
        <v>8</v>
      </c>
      <c r="AP38848" s="4" t="s">
        <v>1859</v>
      </c>
      <c r="AQ38848" s="4" t="s">
        <v>11</v>
      </c>
      <c r="AR38848" s="4" t="s">
        <v>11</v>
      </c>
      <c r="AS38848" s="4" t="s">
        <v>15</v>
      </c>
      <c r="AT38848" s="4" t="s">
        <v>8</v>
      </c>
      <c r="AU38848" s="4" t="s">
        <v>1859</v>
      </c>
      <c r="AV38848" s="4" t="s">
        <v>11</v>
      </c>
      <c r="AW38848" s="4" t="s">
        <v>11</v>
      </c>
      <c r="AX38848" s="4" t="s">
        <v>15</v>
      </c>
      <c r="AY38848" s="4" t="s">
        <v>8</v>
      </c>
      <c r="AZ38848" s="4" t="s">
        <v>1859</v>
      </c>
      <c r="BA38848" s="4" t="s">
        <v>11</v>
      </c>
      <c r="BB38848" s="4" t="s">
        <v>11</v>
      </c>
      <c r="BC38848" s="4" t="s">
        <v>15</v>
      </c>
      <c r="BD38848" s="4" t="s">
        <v>8</v>
      </c>
      <c r="BE38848" s="4" t="s">
        <v>1859</v>
      </c>
      <c r="BF38848" s="4" t="s">
        <v>11</v>
      </c>
      <c r="BG38848" s="4" t="s">
        <v>11</v>
      </c>
      <c r="BH38848" s="4" t="s">
        <v>15</v>
      </c>
      <c r="BI38848" s="4" t="s">
        <v>8</v>
      </c>
      <c r="BJ38848" s="4" t="s">
        <v>1859</v>
      </c>
      <c r="BK38848" s="4" t="s">
        <v>11</v>
      </c>
      <c r="BL38848" s="4" t="s">
        <v>11</v>
      </c>
      <c r="BM38848" s="4" t="s">
        <v>15</v>
      </c>
      <c r="BN38848" s="4" t="s">
        <v>8</v>
      </c>
      <c r="BO38848" s="4" t="s">
        <v>1859</v>
      </c>
      <c r="BP38848" s="4" t="s">
        <v>11</v>
      </c>
      <c r="BQ38848" s="4" t="s">
        <v>11</v>
      </c>
      <c r="BR38848" s="4" t="s">
        <v>15</v>
      </c>
      <c r="BS38848" s="4" t="s">
        <v>8</v>
      </c>
      <c r="BT38848" s="4" t="s">
        <v>1859</v>
      </c>
      <c r="BU38848" s="4" t="s">
        <v>11</v>
      </c>
      <c r="BV38848" s="4" t="s">
        <v>11</v>
      </c>
      <c r="BW38848" s="4" t="s">
        <v>15</v>
      </c>
      <c r="BX38848" s="4" t="s">
        <v>8</v>
      </c>
      <c r="BY38848" s="4" t="s">
        <v>1859</v>
      </c>
      <c r="BZ38848" s="4" t="s">
        <v>11</v>
      </c>
      <c r="CA38848" s="4" t="s">
        <v>11</v>
      </c>
      <c r="CB38848" s="4" t="s">
        <v>15</v>
      </c>
      <c r="CC38848" s="4" t="s">
        <v>8</v>
      </c>
      <c r="CD38848" s="4" t="s">
        <v>1859</v>
      </c>
      <c r="CE38848" s="4" t="s">
        <v>11</v>
      </c>
      <c r="CF38848" s="4" t="s">
        <v>11</v>
      </c>
      <c r="CG38848" s="4" t="s">
        <v>15</v>
      </c>
      <c r="CH38848" s="4" t="s">
        <v>8</v>
      </c>
      <c r="CI38848" s="4" t="s">
        <v>1859</v>
      </c>
      <c r="CJ38848" s="4" t="s">
        <v>11</v>
      </c>
      <c r="CK38848" s="4" t="s">
        <v>11</v>
      </c>
      <c r="CL38848" s="4" t="s">
        <v>15</v>
      </c>
      <c r="CM38848" s="4" t="s">
        <v>8</v>
      </c>
      <c r="CN38848" s="4" t="s">
        <v>1859</v>
      </c>
      <c r="CO38848" s="4" t="s">
        <v>11</v>
      </c>
      <c r="CP38848" s="4" t="s">
        <v>11</v>
      </c>
      <c r="CQ38848" s="4" t="s">
        <v>15</v>
      </c>
      <c r="CR38848" s="4" t="s">
        <v>8</v>
      </c>
      <c r="CS38848" s="4" t="s">
        <v>1859</v>
      </c>
      <c r="CT38848" s="4" t="s">
        <v>11</v>
      </c>
      <c r="CU38848" s="4" t="s">
        <v>11</v>
      </c>
      <c r="CV38848" s="4" t="s">
        <v>15</v>
      </c>
      <c r="CW38848" s="4" t="s">
        <v>8</v>
      </c>
      <c r="CX38848" s="4" t="s">
        <v>1859</v>
      </c>
      <c r="CY38848" s="4" t="s">
        <v>11</v>
      </c>
      <c r="CZ38848" s="4" t="s">
        <v>11</v>
      </c>
      <c r="DA38848" s="4" t="s">
        <v>15</v>
      </c>
      <c r="DB38848" s="4" t="s">
        <v>8</v>
      </c>
      <c r="DC38848" s="4" t="s">
        <v>1859</v>
      </c>
      <c r="DD38848" s="4" t="s">
        <v>11</v>
      </c>
      <c r="DE38848" s="4" t="s">
        <v>11</v>
      </c>
      <c r="DF38848" s="4" t="s">
        <v>15</v>
      </c>
      <c r="DG38848" s="4" t="s">
        <v>8</v>
      </c>
      <c r="DH38848" s="4" t="s">
        <v>1859</v>
      </c>
      <c r="DI38848" s="4" t="s">
        <v>11</v>
      </c>
      <c r="DJ38848" s="4" t="s">
        <v>11</v>
      </c>
      <c r="DK38848" s="4" t="s">
        <v>15</v>
      </c>
      <c r="DL38848" s="4" t="s">
        <v>8</v>
      </c>
      <c r="DM38848" s="4" t="s">
        <v>1859</v>
      </c>
      <c r="DN38848" s="4" t="s">
        <v>11</v>
      </c>
      <c r="DO38848" s="4" t="s">
        <v>11</v>
      </c>
      <c r="DP38848" s="4" t="s">
        <v>15</v>
      </c>
      <c r="DQ38848" s="4" t="s">
        <v>8</v>
      </c>
      <c r="DR38848" s="4" t="s">
        <v>1859</v>
      </c>
      <c r="DS38848" s="4" t="s">
        <v>11</v>
      </c>
      <c r="DT38848" s="4" t="s">
        <v>11</v>
      </c>
      <c r="DU38848" s="4" t="s">
        <v>15</v>
      </c>
      <c r="DV38848" s="4" t="s">
        <v>8</v>
      </c>
      <c r="DW38848" s="4" t="s">
        <v>1859</v>
      </c>
      <c r="DX38848" s="4" t="s">
        <v>11</v>
      </c>
      <c r="DY38848" s="4" t="s">
        <v>11</v>
      </c>
      <c r="DZ38848" s="4" t="s">
        <v>15</v>
      </c>
      <c r="EA38848" s="4" t="s">
        <v>8</v>
      </c>
      <c r="EB38848" s="4" t="s">
        <v>1859</v>
      </c>
      <c r="EC38848" s="4" t="s">
        <v>11</v>
      </c>
      <c r="ED38848" s="4" t="s">
        <v>11</v>
      </c>
      <c r="EE38848" s="4" t="s">
        <v>15</v>
      </c>
      <c r="EF38848" s="4" t="s">
        <v>8</v>
      </c>
      <c r="EG38848" s="4" t="s">
        <v>1859</v>
      </c>
      <c r="EH38848" s="4" t="s">
        <v>11</v>
      </c>
      <c r="EI38848" s="4" t="s">
        <v>11</v>
      </c>
      <c r="EJ38848" s="4" t="s">
        <v>15</v>
      </c>
      <c r="EK38848" s="4" t="s">
        <v>8</v>
      </c>
      <c r="EL38848" s="4" t="s">
        <v>1859</v>
      </c>
      <c r="EM38848" s="4" t="s">
        <v>11</v>
      </c>
      <c r="EN38848" s="4" t="s">
        <v>11</v>
      </c>
      <c r="EO38848" s="4" t="s">
        <v>15</v>
      </c>
      <c r="EP38848" s="4" t="s">
        <v>8</v>
      </c>
      <c r="EQ38848" s="4" t="s">
        <v>1859</v>
      </c>
      <c r="ER38848" s="4" t="s">
        <v>11</v>
      </c>
      <c r="ES38848" s="4" t="s">
        <v>11</v>
      </c>
      <c r="ET38848" s="4" t="s">
        <v>15</v>
      </c>
      <c r="EU38848" s="4" t="s">
        <v>8</v>
      </c>
      <c r="EV38848" s="4" t="s">
        <v>1859</v>
      </c>
      <c r="EW38848" s="4" t="s">
        <v>11</v>
      </c>
      <c r="EX38848" s="4" t="s">
        <v>11</v>
      </c>
      <c r="EY38848" s="4" t="s">
        <v>15</v>
      </c>
      <c r="EZ38848" s="4" t="s">
        <v>8</v>
      </c>
      <c r="FA38848" s="4" t="s">
        <v>1859</v>
      </c>
      <c r="FB38848" s="4" t="s">
        <v>11</v>
      </c>
      <c r="FC38848" s="4" t="s">
        <v>11</v>
      </c>
      <c r="FD38848" s="4" t="s">
        <v>15</v>
      </c>
      <c r="FE38848" s="4" t="s">
        <v>8</v>
      </c>
      <c r="FF38848" s="4" t="s">
        <v>1859</v>
      </c>
      <c r="FG38848" s="4" t="s">
        <v>11</v>
      </c>
      <c r="FH38848" s="4" t="s">
        <v>11</v>
      </c>
      <c r="FI38848" s="4" t="s">
        <v>15</v>
      </c>
      <c r="FJ38848" s="4" t="s">
        <v>8</v>
      </c>
      <c r="FK38848" s="4" t="s">
        <v>1859</v>
      </c>
      <c r="FL38848" s="4" t="s">
        <v>11</v>
      </c>
      <c r="FM38848" s="4" t="s">
        <v>11</v>
      </c>
      <c r="FN38848" s="4" t="s">
        <v>15</v>
      </c>
      <c r="FO38848" s="4" t="s">
        <v>8</v>
      </c>
      <c r="FP38848" s="4" t="s">
        <v>1859</v>
      </c>
      <c r="FQ38848" s="4" t="s">
        <v>11</v>
      </c>
      <c r="FR38848" s="4" t="s">
        <v>11</v>
      </c>
      <c r="FS38848" s="4" t="s">
        <v>15</v>
      </c>
      <c r="FT38848" s="4" t="s">
        <v>8</v>
      </c>
      <c r="FU38848" s="4" t="s">
        <v>1859</v>
      </c>
      <c r="FV38848" s="4" t="s">
        <v>11</v>
      </c>
      <c r="FW38848" s="4" t="s">
        <v>11</v>
      </c>
      <c r="FX38848" s="4" t="s">
        <v>15</v>
      </c>
      <c r="FY38848" s="4" t="s">
        <v>8</v>
      </c>
      <c r="FZ38848" s="4" t="s">
        <v>1859</v>
      </c>
      <c r="GA38848" s="4" t="s">
        <v>11</v>
      </c>
      <c r="GB38848" s="4" t="s">
        <v>11</v>
      </c>
      <c r="GC38848" s="4" t="s">
        <v>15</v>
      </c>
      <c r="GD38848" s="4" t="s">
        <v>8</v>
      </c>
      <c r="GE38848" s="4" t="s">
        <v>1859</v>
      </c>
      <c r="GF38848" s="4" t="s">
        <v>11</v>
      </c>
      <c r="GG38848" s="4" t="s">
        <v>11</v>
      </c>
      <c r="GH38848" s="4" t="s">
        <v>15</v>
      </c>
      <c r="GI38848" s="4" t="s">
        <v>8</v>
      </c>
      <c r="GJ38848" s="4" t="s">
        <v>1859</v>
      </c>
      <c r="GK38848" s="4" t="s">
        <v>11</v>
      </c>
      <c r="GL38848" s="4" t="s">
        <v>11</v>
      </c>
      <c r="GM38848" s="4" t="s">
        <v>15</v>
      </c>
      <c r="GN38848" s="4" t="s">
        <v>8</v>
      </c>
      <c r="GO38848" s="4" t="s">
        <v>1859</v>
      </c>
      <c r="GP38848" s="4" t="s">
        <v>11</v>
      </c>
      <c r="GQ38848" s="4" t="s">
        <v>11</v>
      </c>
      <c r="GR38848" s="4" t="s">
        <v>15</v>
      </c>
      <c r="GS38848" s="4" t="s">
        <v>8</v>
      </c>
      <c r="GT38848" s="4" t="s">
        <v>1859</v>
      </c>
      <c r="GU38848" s="4" t="s">
        <v>11</v>
      </c>
      <c r="GV38848" s="4" t="s">
        <v>11</v>
      </c>
      <c r="GW38848" s="4" t="s">
        <v>15</v>
      </c>
      <c r="GX38848" s="4" t="s">
        <v>8</v>
      </c>
      <c r="GY38848" s="4" t="s">
        <v>1859</v>
      </c>
      <c r="GZ38848" s="4" t="s">
        <v>11</v>
      </c>
      <c r="HA38848" s="4" t="s">
        <v>11</v>
      </c>
      <c r="HB38848" s="4" t="s">
        <v>15</v>
      </c>
      <c r="HC38848" s="4" t="s">
        <v>8</v>
      </c>
      <c r="HD38848" s="4" t="s">
        <v>1859</v>
      </c>
    </row>
    <row r="38849" spans="1:212">
      <c r="A38849" t="n">
        <v>420160</v>
      </c>
      <c r="B38849" s="85" t="n">
        <v>257</v>
      </c>
      <c r="C38849" s="7" t="n">
        <v>7</v>
      </c>
      <c r="D38849" s="7" t="n">
        <v>65533</v>
      </c>
      <c r="E38849" s="7" t="n">
        <v>64313</v>
      </c>
      <c r="F38849" s="7" t="s">
        <v>16</v>
      </c>
      <c r="G38849" s="7" t="n">
        <f t="normal" ca="1">32-LENB(INDIRECT(ADDRESS(38849,6)))</f>
        <v>0</v>
      </c>
      <c r="H38849" s="7" t="n">
        <v>7</v>
      </c>
      <c r="I38849" s="7" t="n">
        <v>65533</v>
      </c>
      <c r="J38849" s="7" t="n">
        <v>64314</v>
      </c>
      <c r="K38849" s="7" t="s">
        <v>16</v>
      </c>
      <c r="L38849" s="7" t="n">
        <f t="normal" ca="1">32-LENB(INDIRECT(ADDRESS(38849,11)))</f>
        <v>0</v>
      </c>
      <c r="M38849" s="7" t="n">
        <v>7</v>
      </c>
      <c r="N38849" s="7" t="n">
        <v>65533</v>
      </c>
      <c r="O38849" s="7" t="n">
        <v>64315</v>
      </c>
      <c r="P38849" s="7" t="s">
        <v>16</v>
      </c>
      <c r="Q38849" s="7" t="n">
        <f t="normal" ca="1">32-LENB(INDIRECT(ADDRESS(38849,16)))</f>
        <v>0</v>
      </c>
      <c r="R38849" s="7" t="n">
        <v>7</v>
      </c>
      <c r="S38849" s="7" t="n">
        <v>65533</v>
      </c>
      <c r="T38849" s="7" t="n">
        <v>64316</v>
      </c>
      <c r="U38849" s="7" t="s">
        <v>16</v>
      </c>
      <c r="V38849" s="7" t="n">
        <f t="normal" ca="1">32-LENB(INDIRECT(ADDRESS(38849,21)))</f>
        <v>0</v>
      </c>
      <c r="W38849" s="7" t="n">
        <v>7</v>
      </c>
      <c r="X38849" s="7" t="n">
        <v>65533</v>
      </c>
      <c r="Y38849" s="7" t="n">
        <v>64317</v>
      </c>
      <c r="Z38849" s="7" t="s">
        <v>16</v>
      </c>
      <c r="AA38849" s="7" t="n">
        <f t="normal" ca="1">32-LENB(INDIRECT(ADDRESS(38849,26)))</f>
        <v>0</v>
      </c>
      <c r="AB38849" s="7" t="n">
        <v>7</v>
      </c>
      <c r="AC38849" s="7" t="n">
        <v>65533</v>
      </c>
      <c r="AD38849" s="7" t="n">
        <v>64318</v>
      </c>
      <c r="AE38849" s="7" t="s">
        <v>16</v>
      </c>
      <c r="AF38849" s="7" t="n">
        <f t="normal" ca="1">32-LENB(INDIRECT(ADDRESS(38849,31)))</f>
        <v>0</v>
      </c>
      <c r="AG38849" s="7" t="n">
        <v>7</v>
      </c>
      <c r="AH38849" s="7" t="n">
        <v>65533</v>
      </c>
      <c r="AI38849" s="7" t="n">
        <v>64319</v>
      </c>
      <c r="AJ38849" s="7" t="s">
        <v>16</v>
      </c>
      <c r="AK38849" s="7" t="n">
        <f t="normal" ca="1">32-LENB(INDIRECT(ADDRESS(38849,36)))</f>
        <v>0</v>
      </c>
      <c r="AL38849" s="7" t="n">
        <v>7</v>
      </c>
      <c r="AM38849" s="7" t="n">
        <v>65533</v>
      </c>
      <c r="AN38849" s="7" t="n">
        <v>64320</v>
      </c>
      <c r="AO38849" s="7" t="s">
        <v>16</v>
      </c>
      <c r="AP38849" s="7" t="n">
        <f t="normal" ca="1">32-LENB(INDIRECT(ADDRESS(38849,41)))</f>
        <v>0</v>
      </c>
      <c r="AQ38849" s="7" t="n">
        <v>7</v>
      </c>
      <c r="AR38849" s="7" t="n">
        <v>65533</v>
      </c>
      <c r="AS38849" s="7" t="n">
        <v>64321</v>
      </c>
      <c r="AT38849" s="7" t="s">
        <v>16</v>
      </c>
      <c r="AU38849" s="7" t="n">
        <f t="normal" ca="1">32-LENB(INDIRECT(ADDRESS(38849,46)))</f>
        <v>0</v>
      </c>
      <c r="AV38849" s="7" t="n">
        <v>7</v>
      </c>
      <c r="AW38849" s="7" t="n">
        <v>65533</v>
      </c>
      <c r="AX38849" s="7" t="n">
        <v>64322</v>
      </c>
      <c r="AY38849" s="7" t="s">
        <v>16</v>
      </c>
      <c r="AZ38849" s="7" t="n">
        <f t="normal" ca="1">32-LENB(INDIRECT(ADDRESS(38849,51)))</f>
        <v>0</v>
      </c>
      <c r="BA38849" s="7" t="n">
        <v>7</v>
      </c>
      <c r="BB38849" s="7" t="n">
        <v>65533</v>
      </c>
      <c r="BC38849" s="7" t="n">
        <v>64323</v>
      </c>
      <c r="BD38849" s="7" t="s">
        <v>16</v>
      </c>
      <c r="BE38849" s="7" t="n">
        <f t="normal" ca="1">32-LENB(INDIRECT(ADDRESS(38849,56)))</f>
        <v>0</v>
      </c>
      <c r="BF38849" s="7" t="n">
        <v>7</v>
      </c>
      <c r="BG38849" s="7" t="n">
        <v>65533</v>
      </c>
      <c r="BH38849" s="7" t="n">
        <v>64324</v>
      </c>
      <c r="BI38849" s="7" t="s">
        <v>16</v>
      </c>
      <c r="BJ38849" s="7" t="n">
        <f t="normal" ca="1">32-LENB(INDIRECT(ADDRESS(38849,61)))</f>
        <v>0</v>
      </c>
      <c r="BK38849" s="7" t="n">
        <v>7</v>
      </c>
      <c r="BL38849" s="7" t="n">
        <v>65533</v>
      </c>
      <c r="BM38849" s="7" t="n">
        <v>64325</v>
      </c>
      <c r="BN38849" s="7" t="s">
        <v>16</v>
      </c>
      <c r="BO38849" s="7" t="n">
        <f t="normal" ca="1">32-LENB(INDIRECT(ADDRESS(38849,66)))</f>
        <v>0</v>
      </c>
      <c r="BP38849" s="7" t="n">
        <v>7</v>
      </c>
      <c r="BQ38849" s="7" t="n">
        <v>65533</v>
      </c>
      <c r="BR38849" s="7" t="n">
        <v>64326</v>
      </c>
      <c r="BS38849" s="7" t="s">
        <v>16</v>
      </c>
      <c r="BT38849" s="7" t="n">
        <f t="normal" ca="1">32-LENB(INDIRECT(ADDRESS(38849,71)))</f>
        <v>0</v>
      </c>
      <c r="BU38849" s="7" t="n">
        <v>7</v>
      </c>
      <c r="BV38849" s="7" t="n">
        <v>65533</v>
      </c>
      <c r="BW38849" s="7" t="n">
        <v>64327</v>
      </c>
      <c r="BX38849" s="7" t="s">
        <v>16</v>
      </c>
      <c r="BY38849" s="7" t="n">
        <f t="normal" ca="1">32-LENB(INDIRECT(ADDRESS(38849,76)))</f>
        <v>0</v>
      </c>
      <c r="BZ38849" s="7" t="n">
        <v>7</v>
      </c>
      <c r="CA38849" s="7" t="n">
        <v>65533</v>
      </c>
      <c r="CB38849" s="7" t="n">
        <v>64328</v>
      </c>
      <c r="CC38849" s="7" t="s">
        <v>16</v>
      </c>
      <c r="CD38849" s="7" t="n">
        <f t="normal" ca="1">32-LENB(INDIRECT(ADDRESS(38849,81)))</f>
        <v>0</v>
      </c>
      <c r="CE38849" s="7" t="n">
        <v>7</v>
      </c>
      <c r="CF38849" s="7" t="n">
        <v>65533</v>
      </c>
      <c r="CG38849" s="7" t="n">
        <v>64329</v>
      </c>
      <c r="CH38849" s="7" t="s">
        <v>16</v>
      </c>
      <c r="CI38849" s="7" t="n">
        <f t="normal" ca="1">32-LENB(INDIRECT(ADDRESS(38849,86)))</f>
        <v>0</v>
      </c>
      <c r="CJ38849" s="7" t="n">
        <v>7</v>
      </c>
      <c r="CK38849" s="7" t="n">
        <v>65533</v>
      </c>
      <c r="CL38849" s="7" t="n">
        <v>64330</v>
      </c>
      <c r="CM38849" s="7" t="s">
        <v>16</v>
      </c>
      <c r="CN38849" s="7" t="n">
        <f t="normal" ca="1">32-LENB(INDIRECT(ADDRESS(38849,91)))</f>
        <v>0</v>
      </c>
      <c r="CO38849" s="7" t="n">
        <v>7</v>
      </c>
      <c r="CP38849" s="7" t="n">
        <v>65533</v>
      </c>
      <c r="CQ38849" s="7" t="n">
        <v>64331</v>
      </c>
      <c r="CR38849" s="7" t="s">
        <v>16</v>
      </c>
      <c r="CS38849" s="7" t="n">
        <f t="normal" ca="1">32-LENB(INDIRECT(ADDRESS(38849,96)))</f>
        <v>0</v>
      </c>
      <c r="CT38849" s="7" t="n">
        <v>7</v>
      </c>
      <c r="CU38849" s="7" t="n">
        <v>65533</v>
      </c>
      <c r="CV38849" s="7" t="n">
        <v>64332</v>
      </c>
      <c r="CW38849" s="7" t="s">
        <v>16</v>
      </c>
      <c r="CX38849" s="7" t="n">
        <f t="normal" ca="1">32-LENB(INDIRECT(ADDRESS(38849,101)))</f>
        <v>0</v>
      </c>
      <c r="CY38849" s="7" t="n">
        <v>7</v>
      </c>
      <c r="CZ38849" s="7" t="n">
        <v>65533</v>
      </c>
      <c r="DA38849" s="7" t="n">
        <v>64333</v>
      </c>
      <c r="DB38849" s="7" t="s">
        <v>16</v>
      </c>
      <c r="DC38849" s="7" t="n">
        <f t="normal" ca="1">32-LENB(INDIRECT(ADDRESS(38849,106)))</f>
        <v>0</v>
      </c>
      <c r="DD38849" s="7" t="n">
        <v>7</v>
      </c>
      <c r="DE38849" s="7" t="n">
        <v>65533</v>
      </c>
      <c r="DF38849" s="7" t="n">
        <v>64334</v>
      </c>
      <c r="DG38849" s="7" t="s">
        <v>16</v>
      </c>
      <c r="DH38849" s="7" t="n">
        <f t="normal" ca="1">32-LENB(INDIRECT(ADDRESS(38849,111)))</f>
        <v>0</v>
      </c>
      <c r="DI38849" s="7" t="n">
        <v>7</v>
      </c>
      <c r="DJ38849" s="7" t="n">
        <v>65533</v>
      </c>
      <c r="DK38849" s="7" t="n">
        <v>64335</v>
      </c>
      <c r="DL38849" s="7" t="s">
        <v>16</v>
      </c>
      <c r="DM38849" s="7" t="n">
        <f t="normal" ca="1">32-LENB(INDIRECT(ADDRESS(38849,116)))</f>
        <v>0</v>
      </c>
      <c r="DN38849" s="7" t="n">
        <v>7</v>
      </c>
      <c r="DO38849" s="7" t="n">
        <v>65533</v>
      </c>
      <c r="DP38849" s="7" t="n">
        <v>64336</v>
      </c>
      <c r="DQ38849" s="7" t="s">
        <v>16</v>
      </c>
      <c r="DR38849" s="7" t="n">
        <f t="normal" ca="1">32-LENB(INDIRECT(ADDRESS(38849,121)))</f>
        <v>0</v>
      </c>
      <c r="DS38849" s="7" t="n">
        <v>7</v>
      </c>
      <c r="DT38849" s="7" t="n">
        <v>65533</v>
      </c>
      <c r="DU38849" s="7" t="n">
        <v>64337</v>
      </c>
      <c r="DV38849" s="7" t="s">
        <v>16</v>
      </c>
      <c r="DW38849" s="7" t="n">
        <f t="normal" ca="1">32-LENB(INDIRECT(ADDRESS(38849,126)))</f>
        <v>0</v>
      </c>
      <c r="DX38849" s="7" t="n">
        <v>7</v>
      </c>
      <c r="DY38849" s="7" t="n">
        <v>65533</v>
      </c>
      <c r="DZ38849" s="7" t="n">
        <v>64338</v>
      </c>
      <c r="EA38849" s="7" t="s">
        <v>16</v>
      </c>
      <c r="EB38849" s="7" t="n">
        <f t="normal" ca="1">32-LENB(INDIRECT(ADDRESS(38849,131)))</f>
        <v>0</v>
      </c>
      <c r="EC38849" s="7" t="n">
        <v>7</v>
      </c>
      <c r="ED38849" s="7" t="n">
        <v>65533</v>
      </c>
      <c r="EE38849" s="7" t="n">
        <v>64339</v>
      </c>
      <c r="EF38849" s="7" t="s">
        <v>16</v>
      </c>
      <c r="EG38849" s="7" t="n">
        <f t="normal" ca="1">32-LENB(INDIRECT(ADDRESS(38849,136)))</f>
        <v>0</v>
      </c>
      <c r="EH38849" s="7" t="n">
        <v>7</v>
      </c>
      <c r="EI38849" s="7" t="n">
        <v>65533</v>
      </c>
      <c r="EJ38849" s="7" t="n">
        <v>64340</v>
      </c>
      <c r="EK38849" s="7" t="s">
        <v>16</v>
      </c>
      <c r="EL38849" s="7" t="n">
        <f t="normal" ca="1">32-LENB(INDIRECT(ADDRESS(38849,141)))</f>
        <v>0</v>
      </c>
      <c r="EM38849" s="7" t="n">
        <v>7</v>
      </c>
      <c r="EN38849" s="7" t="n">
        <v>65533</v>
      </c>
      <c r="EO38849" s="7" t="n">
        <v>64341</v>
      </c>
      <c r="EP38849" s="7" t="s">
        <v>16</v>
      </c>
      <c r="EQ38849" s="7" t="n">
        <f t="normal" ca="1">32-LENB(INDIRECT(ADDRESS(38849,146)))</f>
        <v>0</v>
      </c>
      <c r="ER38849" s="7" t="n">
        <v>7</v>
      </c>
      <c r="ES38849" s="7" t="n">
        <v>65533</v>
      </c>
      <c r="ET38849" s="7" t="n">
        <v>64342</v>
      </c>
      <c r="EU38849" s="7" t="s">
        <v>16</v>
      </c>
      <c r="EV38849" s="7" t="n">
        <f t="normal" ca="1">32-LENB(INDIRECT(ADDRESS(38849,151)))</f>
        <v>0</v>
      </c>
      <c r="EW38849" s="7" t="n">
        <v>7</v>
      </c>
      <c r="EX38849" s="7" t="n">
        <v>65533</v>
      </c>
      <c r="EY38849" s="7" t="n">
        <v>64343</v>
      </c>
      <c r="EZ38849" s="7" t="s">
        <v>16</v>
      </c>
      <c r="FA38849" s="7" t="n">
        <f t="normal" ca="1">32-LENB(INDIRECT(ADDRESS(38849,156)))</f>
        <v>0</v>
      </c>
      <c r="FB38849" s="7" t="n">
        <v>7</v>
      </c>
      <c r="FC38849" s="7" t="n">
        <v>65533</v>
      </c>
      <c r="FD38849" s="7" t="n">
        <v>64344</v>
      </c>
      <c r="FE38849" s="7" t="s">
        <v>16</v>
      </c>
      <c r="FF38849" s="7" t="n">
        <f t="normal" ca="1">32-LENB(INDIRECT(ADDRESS(38849,161)))</f>
        <v>0</v>
      </c>
      <c r="FG38849" s="7" t="n">
        <v>7</v>
      </c>
      <c r="FH38849" s="7" t="n">
        <v>65533</v>
      </c>
      <c r="FI38849" s="7" t="n">
        <v>64345</v>
      </c>
      <c r="FJ38849" s="7" t="s">
        <v>16</v>
      </c>
      <c r="FK38849" s="7" t="n">
        <f t="normal" ca="1">32-LENB(INDIRECT(ADDRESS(38849,166)))</f>
        <v>0</v>
      </c>
      <c r="FL38849" s="7" t="n">
        <v>7</v>
      </c>
      <c r="FM38849" s="7" t="n">
        <v>65533</v>
      </c>
      <c r="FN38849" s="7" t="n">
        <v>64346</v>
      </c>
      <c r="FO38849" s="7" t="s">
        <v>16</v>
      </c>
      <c r="FP38849" s="7" t="n">
        <f t="normal" ca="1">32-LENB(INDIRECT(ADDRESS(38849,171)))</f>
        <v>0</v>
      </c>
      <c r="FQ38849" s="7" t="n">
        <v>7</v>
      </c>
      <c r="FR38849" s="7" t="n">
        <v>65533</v>
      </c>
      <c r="FS38849" s="7" t="n">
        <v>64347</v>
      </c>
      <c r="FT38849" s="7" t="s">
        <v>16</v>
      </c>
      <c r="FU38849" s="7" t="n">
        <f t="normal" ca="1">32-LENB(INDIRECT(ADDRESS(38849,176)))</f>
        <v>0</v>
      </c>
      <c r="FV38849" s="7" t="n">
        <v>7</v>
      </c>
      <c r="FW38849" s="7" t="n">
        <v>65533</v>
      </c>
      <c r="FX38849" s="7" t="n">
        <v>64348</v>
      </c>
      <c r="FY38849" s="7" t="s">
        <v>16</v>
      </c>
      <c r="FZ38849" s="7" t="n">
        <f t="normal" ca="1">32-LENB(INDIRECT(ADDRESS(38849,181)))</f>
        <v>0</v>
      </c>
      <c r="GA38849" s="7" t="n">
        <v>7</v>
      </c>
      <c r="GB38849" s="7" t="n">
        <v>65533</v>
      </c>
      <c r="GC38849" s="7" t="n">
        <v>64349</v>
      </c>
      <c r="GD38849" s="7" t="s">
        <v>16</v>
      </c>
      <c r="GE38849" s="7" t="n">
        <f t="normal" ca="1">32-LENB(INDIRECT(ADDRESS(38849,186)))</f>
        <v>0</v>
      </c>
      <c r="GF38849" s="7" t="n">
        <v>7</v>
      </c>
      <c r="GG38849" s="7" t="n">
        <v>65533</v>
      </c>
      <c r="GH38849" s="7" t="n">
        <v>64350</v>
      </c>
      <c r="GI38849" s="7" t="s">
        <v>16</v>
      </c>
      <c r="GJ38849" s="7" t="n">
        <f t="normal" ca="1">32-LENB(INDIRECT(ADDRESS(38849,191)))</f>
        <v>0</v>
      </c>
      <c r="GK38849" s="7" t="n">
        <v>7</v>
      </c>
      <c r="GL38849" s="7" t="n">
        <v>65533</v>
      </c>
      <c r="GM38849" s="7" t="n">
        <v>64351</v>
      </c>
      <c r="GN38849" s="7" t="s">
        <v>16</v>
      </c>
      <c r="GO38849" s="7" t="n">
        <f t="normal" ca="1">32-LENB(INDIRECT(ADDRESS(38849,196)))</f>
        <v>0</v>
      </c>
      <c r="GP38849" s="7" t="n">
        <v>7</v>
      </c>
      <c r="GQ38849" s="7" t="n">
        <v>65533</v>
      </c>
      <c r="GR38849" s="7" t="n">
        <v>64352</v>
      </c>
      <c r="GS38849" s="7" t="s">
        <v>16</v>
      </c>
      <c r="GT38849" s="7" t="n">
        <f t="normal" ca="1">32-LENB(INDIRECT(ADDRESS(38849,201)))</f>
        <v>0</v>
      </c>
      <c r="GU38849" s="7" t="n">
        <v>7</v>
      </c>
      <c r="GV38849" s="7" t="n">
        <v>65533</v>
      </c>
      <c r="GW38849" s="7" t="n">
        <v>64353</v>
      </c>
      <c r="GX38849" s="7" t="s">
        <v>16</v>
      </c>
      <c r="GY38849" s="7" t="n">
        <f t="normal" ca="1">32-LENB(INDIRECT(ADDRESS(38849,206)))</f>
        <v>0</v>
      </c>
      <c r="GZ38849" s="7" t="n">
        <v>0</v>
      </c>
      <c r="HA38849" s="7" t="n">
        <v>65533</v>
      </c>
      <c r="HB38849" s="7" t="n">
        <v>0</v>
      </c>
      <c r="HC38849" s="7" t="s">
        <v>16</v>
      </c>
      <c r="HD38849" s="7" t="n">
        <f t="normal" ca="1">32-LENB(INDIRECT(ADDRESS(38849,211)))</f>
        <v>0</v>
      </c>
    </row>
    <row r="38850" spans="1:212">
      <c r="A38850" t="s">
        <v>4</v>
      </c>
      <c r="B38850" s="4" t="s">
        <v>5</v>
      </c>
    </row>
    <row r="38851" spans="1:212">
      <c r="A38851" t="n">
        <v>421840</v>
      </c>
      <c r="B38851" s="5" t="n">
        <v>1</v>
      </c>
    </row>
    <row r="38852" spans="1:212" s="3" customFormat="1" customHeight="0">
      <c r="A38852" s="3" t="s">
        <v>2</v>
      </c>
      <c r="B38852" s="3" t="s">
        <v>1879</v>
      </c>
    </row>
    <row r="38853" spans="1:212">
      <c r="A38853" t="s">
        <v>4</v>
      </c>
      <c r="B38853" s="4" t="s">
        <v>5</v>
      </c>
      <c r="C38853" s="4" t="s">
        <v>11</v>
      </c>
      <c r="D38853" s="4" t="s">
        <v>11</v>
      </c>
      <c r="E38853" s="4" t="s">
        <v>15</v>
      </c>
      <c r="F38853" s="4" t="s">
        <v>8</v>
      </c>
      <c r="G38853" s="4" t="s">
        <v>1859</v>
      </c>
      <c r="H38853" s="4" t="s">
        <v>11</v>
      </c>
      <c r="I38853" s="4" t="s">
        <v>11</v>
      </c>
      <c r="J38853" s="4" t="s">
        <v>15</v>
      </c>
      <c r="K38853" s="4" t="s">
        <v>8</v>
      </c>
      <c r="L38853" s="4" t="s">
        <v>1859</v>
      </c>
      <c r="M38853" s="4" t="s">
        <v>11</v>
      </c>
      <c r="N38853" s="4" t="s">
        <v>11</v>
      </c>
      <c r="O38853" s="4" t="s">
        <v>15</v>
      </c>
      <c r="P38853" s="4" t="s">
        <v>8</v>
      </c>
      <c r="Q38853" s="4" t="s">
        <v>1859</v>
      </c>
      <c r="R38853" s="4" t="s">
        <v>11</v>
      </c>
      <c r="S38853" s="4" t="s">
        <v>11</v>
      </c>
      <c r="T38853" s="4" t="s">
        <v>15</v>
      </c>
      <c r="U38853" s="4" t="s">
        <v>8</v>
      </c>
      <c r="V38853" s="4" t="s">
        <v>1859</v>
      </c>
      <c r="W38853" s="4" t="s">
        <v>11</v>
      </c>
      <c r="X38853" s="4" t="s">
        <v>11</v>
      </c>
      <c r="Y38853" s="4" t="s">
        <v>15</v>
      </c>
      <c r="Z38853" s="4" t="s">
        <v>8</v>
      </c>
      <c r="AA38853" s="4" t="s">
        <v>1859</v>
      </c>
      <c r="AB38853" s="4" t="s">
        <v>11</v>
      </c>
      <c r="AC38853" s="4" t="s">
        <v>11</v>
      </c>
      <c r="AD38853" s="4" t="s">
        <v>15</v>
      </c>
      <c r="AE38853" s="4" t="s">
        <v>8</v>
      </c>
      <c r="AF38853" s="4" t="s">
        <v>1859</v>
      </c>
      <c r="AG38853" s="4" t="s">
        <v>11</v>
      </c>
      <c r="AH38853" s="4" t="s">
        <v>11</v>
      </c>
      <c r="AI38853" s="4" t="s">
        <v>15</v>
      </c>
      <c r="AJ38853" s="4" t="s">
        <v>8</v>
      </c>
      <c r="AK38853" s="4" t="s">
        <v>1859</v>
      </c>
      <c r="AL38853" s="4" t="s">
        <v>11</v>
      </c>
      <c r="AM38853" s="4" t="s">
        <v>11</v>
      </c>
      <c r="AN38853" s="4" t="s">
        <v>15</v>
      </c>
      <c r="AO38853" s="4" t="s">
        <v>8</v>
      </c>
      <c r="AP38853" s="4" t="s">
        <v>1859</v>
      </c>
      <c r="AQ38853" s="4" t="s">
        <v>11</v>
      </c>
      <c r="AR38853" s="4" t="s">
        <v>11</v>
      </c>
      <c r="AS38853" s="4" t="s">
        <v>15</v>
      </c>
      <c r="AT38853" s="4" t="s">
        <v>8</v>
      </c>
      <c r="AU38853" s="4" t="s">
        <v>1859</v>
      </c>
      <c r="AV38853" s="4" t="s">
        <v>11</v>
      </c>
      <c r="AW38853" s="4" t="s">
        <v>11</v>
      </c>
      <c r="AX38853" s="4" t="s">
        <v>15</v>
      </c>
      <c r="AY38853" s="4" t="s">
        <v>8</v>
      </c>
      <c r="AZ38853" s="4" t="s">
        <v>1859</v>
      </c>
      <c r="BA38853" s="4" t="s">
        <v>11</v>
      </c>
      <c r="BB38853" s="4" t="s">
        <v>11</v>
      </c>
      <c r="BC38853" s="4" t="s">
        <v>15</v>
      </c>
      <c r="BD38853" s="4" t="s">
        <v>8</v>
      </c>
      <c r="BE38853" s="4" t="s">
        <v>1859</v>
      </c>
      <c r="BF38853" s="4" t="s">
        <v>11</v>
      </c>
      <c r="BG38853" s="4" t="s">
        <v>11</v>
      </c>
      <c r="BH38853" s="4" t="s">
        <v>15</v>
      </c>
      <c r="BI38853" s="4" t="s">
        <v>8</v>
      </c>
      <c r="BJ38853" s="4" t="s">
        <v>1859</v>
      </c>
      <c r="BK38853" s="4" t="s">
        <v>11</v>
      </c>
      <c r="BL38853" s="4" t="s">
        <v>11</v>
      </c>
      <c r="BM38853" s="4" t="s">
        <v>15</v>
      </c>
      <c r="BN38853" s="4" t="s">
        <v>8</v>
      </c>
      <c r="BO38853" s="4" t="s">
        <v>1859</v>
      </c>
      <c r="BP38853" s="4" t="s">
        <v>11</v>
      </c>
      <c r="BQ38853" s="4" t="s">
        <v>11</v>
      </c>
      <c r="BR38853" s="4" t="s">
        <v>15</v>
      </c>
      <c r="BS38853" s="4" t="s">
        <v>8</v>
      </c>
      <c r="BT38853" s="4" t="s">
        <v>1859</v>
      </c>
      <c r="BU38853" s="4" t="s">
        <v>11</v>
      </c>
      <c r="BV38853" s="4" t="s">
        <v>11</v>
      </c>
      <c r="BW38853" s="4" t="s">
        <v>15</v>
      </c>
      <c r="BX38853" s="4" t="s">
        <v>8</v>
      </c>
      <c r="BY38853" s="4" t="s">
        <v>1859</v>
      </c>
      <c r="BZ38853" s="4" t="s">
        <v>11</v>
      </c>
      <c r="CA38853" s="4" t="s">
        <v>11</v>
      </c>
      <c r="CB38853" s="4" t="s">
        <v>15</v>
      </c>
      <c r="CC38853" s="4" t="s">
        <v>8</v>
      </c>
      <c r="CD38853" s="4" t="s">
        <v>1859</v>
      </c>
      <c r="CE38853" s="4" t="s">
        <v>11</v>
      </c>
      <c r="CF38853" s="4" t="s">
        <v>11</v>
      </c>
      <c r="CG38853" s="4" t="s">
        <v>15</v>
      </c>
      <c r="CH38853" s="4" t="s">
        <v>8</v>
      </c>
      <c r="CI38853" s="4" t="s">
        <v>1859</v>
      </c>
      <c r="CJ38853" s="4" t="s">
        <v>11</v>
      </c>
      <c r="CK38853" s="4" t="s">
        <v>11</v>
      </c>
      <c r="CL38853" s="4" t="s">
        <v>15</v>
      </c>
      <c r="CM38853" s="4" t="s">
        <v>8</v>
      </c>
      <c r="CN38853" s="4" t="s">
        <v>1859</v>
      </c>
      <c r="CO38853" s="4" t="s">
        <v>11</v>
      </c>
      <c r="CP38853" s="4" t="s">
        <v>11</v>
      </c>
      <c r="CQ38853" s="4" t="s">
        <v>15</v>
      </c>
      <c r="CR38853" s="4" t="s">
        <v>8</v>
      </c>
      <c r="CS38853" s="4" t="s">
        <v>1859</v>
      </c>
      <c r="CT38853" s="4" t="s">
        <v>11</v>
      </c>
      <c r="CU38853" s="4" t="s">
        <v>11</v>
      </c>
      <c r="CV38853" s="4" t="s">
        <v>15</v>
      </c>
      <c r="CW38853" s="4" t="s">
        <v>8</v>
      </c>
      <c r="CX38853" s="4" t="s">
        <v>1859</v>
      </c>
      <c r="CY38853" s="4" t="s">
        <v>11</v>
      </c>
      <c r="CZ38853" s="4" t="s">
        <v>11</v>
      </c>
      <c r="DA38853" s="4" t="s">
        <v>15</v>
      </c>
      <c r="DB38853" s="4" t="s">
        <v>8</v>
      </c>
      <c r="DC38853" s="4" t="s">
        <v>1859</v>
      </c>
      <c r="DD38853" s="4" t="s">
        <v>11</v>
      </c>
      <c r="DE38853" s="4" t="s">
        <v>11</v>
      </c>
      <c r="DF38853" s="4" t="s">
        <v>15</v>
      </c>
      <c r="DG38853" s="4" t="s">
        <v>8</v>
      </c>
      <c r="DH38853" s="4" t="s">
        <v>1859</v>
      </c>
      <c r="DI38853" s="4" t="s">
        <v>11</v>
      </c>
      <c r="DJ38853" s="4" t="s">
        <v>11</v>
      </c>
      <c r="DK38853" s="4" t="s">
        <v>15</v>
      </c>
      <c r="DL38853" s="4" t="s">
        <v>8</v>
      </c>
      <c r="DM38853" s="4" t="s">
        <v>1859</v>
      </c>
      <c r="DN38853" s="4" t="s">
        <v>11</v>
      </c>
      <c r="DO38853" s="4" t="s">
        <v>11</v>
      </c>
      <c r="DP38853" s="4" t="s">
        <v>15</v>
      </c>
      <c r="DQ38853" s="4" t="s">
        <v>8</v>
      </c>
      <c r="DR38853" s="4" t="s">
        <v>1859</v>
      </c>
      <c r="DS38853" s="4" t="s">
        <v>11</v>
      </c>
      <c r="DT38853" s="4" t="s">
        <v>11</v>
      </c>
      <c r="DU38853" s="4" t="s">
        <v>15</v>
      </c>
      <c r="DV38853" s="4" t="s">
        <v>8</v>
      </c>
      <c r="DW38853" s="4" t="s">
        <v>1859</v>
      </c>
      <c r="DX38853" s="4" t="s">
        <v>11</v>
      </c>
      <c r="DY38853" s="4" t="s">
        <v>11</v>
      </c>
      <c r="DZ38853" s="4" t="s">
        <v>15</v>
      </c>
      <c r="EA38853" s="4" t="s">
        <v>8</v>
      </c>
      <c r="EB38853" s="4" t="s">
        <v>1859</v>
      </c>
      <c r="EC38853" s="4" t="s">
        <v>11</v>
      </c>
      <c r="ED38853" s="4" t="s">
        <v>11</v>
      </c>
      <c r="EE38853" s="4" t="s">
        <v>15</v>
      </c>
      <c r="EF38853" s="4" t="s">
        <v>8</v>
      </c>
      <c r="EG38853" s="4" t="s">
        <v>1859</v>
      </c>
      <c r="EH38853" s="4" t="s">
        <v>11</v>
      </c>
      <c r="EI38853" s="4" t="s">
        <v>11</v>
      </c>
      <c r="EJ38853" s="4" t="s">
        <v>15</v>
      </c>
      <c r="EK38853" s="4" t="s">
        <v>8</v>
      </c>
      <c r="EL38853" s="4" t="s">
        <v>1859</v>
      </c>
      <c r="EM38853" s="4" t="s">
        <v>11</v>
      </c>
      <c r="EN38853" s="4" t="s">
        <v>11</v>
      </c>
      <c r="EO38853" s="4" t="s">
        <v>15</v>
      </c>
      <c r="EP38853" s="4" t="s">
        <v>8</v>
      </c>
      <c r="EQ38853" s="4" t="s">
        <v>1859</v>
      </c>
      <c r="ER38853" s="4" t="s">
        <v>11</v>
      </c>
      <c r="ES38853" s="4" t="s">
        <v>11</v>
      </c>
      <c r="ET38853" s="4" t="s">
        <v>15</v>
      </c>
      <c r="EU38853" s="4" t="s">
        <v>8</v>
      </c>
      <c r="EV38853" s="4" t="s">
        <v>1859</v>
      </c>
      <c r="EW38853" s="4" t="s">
        <v>11</v>
      </c>
      <c r="EX38853" s="4" t="s">
        <v>11</v>
      </c>
      <c r="EY38853" s="4" t="s">
        <v>15</v>
      </c>
      <c r="EZ38853" s="4" t="s">
        <v>8</v>
      </c>
      <c r="FA38853" s="4" t="s">
        <v>1859</v>
      </c>
      <c r="FB38853" s="4" t="s">
        <v>11</v>
      </c>
      <c r="FC38853" s="4" t="s">
        <v>11</v>
      </c>
      <c r="FD38853" s="4" t="s">
        <v>15</v>
      </c>
      <c r="FE38853" s="4" t="s">
        <v>8</v>
      </c>
      <c r="FF38853" s="4" t="s">
        <v>1859</v>
      </c>
      <c r="FG38853" s="4" t="s">
        <v>11</v>
      </c>
      <c r="FH38853" s="4" t="s">
        <v>11</v>
      </c>
      <c r="FI38853" s="4" t="s">
        <v>15</v>
      </c>
      <c r="FJ38853" s="4" t="s">
        <v>8</v>
      </c>
      <c r="FK38853" s="4" t="s">
        <v>1859</v>
      </c>
      <c r="FL38853" s="4" t="s">
        <v>11</v>
      </c>
      <c r="FM38853" s="4" t="s">
        <v>11</v>
      </c>
      <c r="FN38853" s="4" t="s">
        <v>15</v>
      </c>
      <c r="FO38853" s="4" t="s">
        <v>8</v>
      </c>
      <c r="FP38853" s="4" t="s">
        <v>1859</v>
      </c>
      <c r="FQ38853" s="4" t="s">
        <v>11</v>
      </c>
      <c r="FR38853" s="4" t="s">
        <v>11</v>
      </c>
      <c r="FS38853" s="4" t="s">
        <v>15</v>
      </c>
      <c r="FT38853" s="4" t="s">
        <v>8</v>
      </c>
      <c r="FU38853" s="4" t="s">
        <v>1859</v>
      </c>
      <c r="FV38853" s="4" t="s">
        <v>11</v>
      </c>
      <c r="FW38853" s="4" t="s">
        <v>11</v>
      </c>
      <c r="FX38853" s="4" t="s">
        <v>15</v>
      </c>
      <c r="FY38853" s="4" t="s">
        <v>8</v>
      </c>
      <c r="FZ38853" s="4" t="s">
        <v>1859</v>
      </c>
      <c r="GA38853" s="4" t="s">
        <v>11</v>
      </c>
      <c r="GB38853" s="4" t="s">
        <v>11</v>
      </c>
      <c r="GC38853" s="4" t="s">
        <v>15</v>
      </c>
      <c r="GD38853" s="4" t="s">
        <v>8</v>
      </c>
      <c r="GE38853" s="4" t="s">
        <v>1859</v>
      </c>
      <c r="GF38853" s="4" t="s">
        <v>11</v>
      </c>
      <c r="GG38853" s="4" t="s">
        <v>11</v>
      </c>
      <c r="GH38853" s="4" t="s">
        <v>15</v>
      </c>
      <c r="GI38853" s="4" t="s">
        <v>8</v>
      </c>
      <c r="GJ38853" s="4" t="s">
        <v>1859</v>
      </c>
      <c r="GK38853" s="4" t="s">
        <v>11</v>
      </c>
      <c r="GL38853" s="4" t="s">
        <v>11</v>
      </c>
      <c r="GM38853" s="4" t="s">
        <v>15</v>
      </c>
      <c r="GN38853" s="4" t="s">
        <v>8</v>
      </c>
      <c r="GO38853" s="4" t="s">
        <v>1859</v>
      </c>
      <c r="GP38853" s="4" t="s">
        <v>11</v>
      </c>
      <c r="GQ38853" s="4" t="s">
        <v>11</v>
      </c>
      <c r="GR38853" s="4" t="s">
        <v>15</v>
      </c>
      <c r="GS38853" s="4" t="s">
        <v>8</v>
      </c>
      <c r="GT38853" s="4" t="s">
        <v>1859</v>
      </c>
      <c r="GU38853" s="4" t="s">
        <v>11</v>
      </c>
      <c r="GV38853" s="4" t="s">
        <v>11</v>
      </c>
      <c r="GW38853" s="4" t="s">
        <v>15</v>
      </c>
      <c r="GX38853" s="4" t="s">
        <v>8</v>
      </c>
      <c r="GY38853" s="4" t="s">
        <v>1859</v>
      </c>
      <c r="GZ38853" s="4" t="s">
        <v>11</v>
      </c>
      <c r="HA38853" s="4" t="s">
        <v>11</v>
      </c>
      <c r="HB38853" s="4" t="s">
        <v>15</v>
      </c>
      <c r="HC38853" s="4" t="s">
        <v>8</v>
      </c>
      <c r="HD38853" s="4" t="s">
        <v>1859</v>
      </c>
      <c r="HE38853" s="4" t="s">
        <v>11</v>
      </c>
      <c r="HF38853" s="4" t="s">
        <v>11</v>
      </c>
      <c r="HG38853" s="4" t="s">
        <v>15</v>
      </c>
      <c r="HH38853" s="4" t="s">
        <v>8</v>
      </c>
      <c r="HI38853" s="4" t="s">
        <v>1859</v>
      </c>
    </row>
    <row r="38854" spans="1:212">
      <c r="A38854" t="n">
        <v>421856</v>
      </c>
      <c r="B38854" s="85" t="n">
        <v>257</v>
      </c>
      <c r="C38854" s="7" t="n">
        <v>7</v>
      </c>
      <c r="D38854" s="7" t="n">
        <v>65533</v>
      </c>
      <c r="E38854" s="7" t="n">
        <v>64354</v>
      </c>
      <c r="F38854" s="7" t="s">
        <v>16</v>
      </c>
      <c r="G38854" s="7" t="n">
        <f t="normal" ca="1">32-LENB(INDIRECT(ADDRESS(38854,6)))</f>
        <v>0</v>
      </c>
      <c r="H38854" s="7" t="n">
        <v>7</v>
      </c>
      <c r="I38854" s="7" t="n">
        <v>65533</v>
      </c>
      <c r="J38854" s="7" t="n">
        <v>64355</v>
      </c>
      <c r="K38854" s="7" t="s">
        <v>16</v>
      </c>
      <c r="L38854" s="7" t="n">
        <f t="normal" ca="1">32-LENB(INDIRECT(ADDRESS(38854,11)))</f>
        <v>0</v>
      </c>
      <c r="M38854" s="7" t="n">
        <v>7</v>
      </c>
      <c r="N38854" s="7" t="n">
        <v>65533</v>
      </c>
      <c r="O38854" s="7" t="n">
        <v>64356</v>
      </c>
      <c r="P38854" s="7" t="s">
        <v>16</v>
      </c>
      <c r="Q38854" s="7" t="n">
        <f t="normal" ca="1">32-LENB(INDIRECT(ADDRESS(38854,16)))</f>
        <v>0</v>
      </c>
      <c r="R38854" s="7" t="n">
        <v>7</v>
      </c>
      <c r="S38854" s="7" t="n">
        <v>65533</v>
      </c>
      <c r="T38854" s="7" t="n">
        <v>64357</v>
      </c>
      <c r="U38854" s="7" t="s">
        <v>16</v>
      </c>
      <c r="V38854" s="7" t="n">
        <f t="normal" ca="1">32-LENB(INDIRECT(ADDRESS(38854,21)))</f>
        <v>0</v>
      </c>
      <c r="W38854" s="7" t="n">
        <v>7</v>
      </c>
      <c r="X38854" s="7" t="n">
        <v>65533</v>
      </c>
      <c r="Y38854" s="7" t="n">
        <v>64358</v>
      </c>
      <c r="Z38854" s="7" t="s">
        <v>16</v>
      </c>
      <c r="AA38854" s="7" t="n">
        <f t="normal" ca="1">32-LENB(INDIRECT(ADDRESS(38854,26)))</f>
        <v>0</v>
      </c>
      <c r="AB38854" s="7" t="n">
        <v>7</v>
      </c>
      <c r="AC38854" s="7" t="n">
        <v>65533</v>
      </c>
      <c r="AD38854" s="7" t="n">
        <v>64359</v>
      </c>
      <c r="AE38854" s="7" t="s">
        <v>16</v>
      </c>
      <c r="AF38854" s="7" t="n">
        <f t="normal" ca="1">32-LENB(INDIRECT(ADDRESS(38854,31)))</f>
        <v>0</v>
      </c>
      <c r="AG38854" s="7" t="n">
        <v>7</v>
      </c>
      <c r="AH38854" s="7" t="n">
        <v>65533</v>
      </c>
      <c r="AI38854" s="7" t="n">
        <v>64360</v>
      </c>
      <c r="AJ38854" s="7" t="s">
        <v>16</v>
      </c>
      <c r="AK38854" s="7" t="n">
        <f t="normal" ca="1">32-LENB(INDIRECT(ADDRESS(38854,36)))</f>
        <v>0</v>
      </c>
      <c r="AL38854" s="7" t="n">
        <v>7</v>
      </c>
      <c r="AM38854" s="7" t="n">
        <v>65533</v>
      </c>
      <c r="AN38854" s="7" t="n">
        <v>64361</v>
      </c>
      <c r="AO38854" s="7" t="s">
        <v>16</v>
      </c>
      <c r="AP38854" s="7" t="n">
        <f t="normal" ca="1">32-LENB(INDIRECT(ADDRESS(38854,41)))</f>
        <v>0</v>
      </c>
      <c r="AQ38854" s="7" t="n">
        <v>7</v>
      </c>
      <c r="AR38854" s="7" t="n">
        <v>65533</v>
      </c>
      <c r="AS38854" s="7" t="n">
        <v>64362</v>
      </c>
      <c r="AT38854" s="7" t="s">
        <v>16</v>
      </c>
      <c r="AU38854" s="7" t="n">
        <f t="normal" ca="1">32-LENB(INDIRECT(ADDRESS(38854,46)))</f>
        <v>0</v>
      </c>
      <c r="AV38854" s="7" t="n">
        <v>7</v>
      </c>
      <c r="AW38854" s="7" t="n">
        <v>65533</v>
      </c>
      <c r="AX38854" s="7" t="n">
        <v>64363</v>
      </c>
      <c r="AY38854" s="7" t="s">
        <v>16</v>
      </c>
      <c r="AZ38854" s="7" t="n">
        <f t="normal" ca="1">32-LENB(INDIRECT(ADDRESS(38854,51)))</f>
        <v>0</v>
      </c>
      <c r="BA38854" s="7" t="n">
        <v>7</v>
      </c>
      <c r="BB38854" s="7" t="n">
        <v>65533</v>
      </c>
      <c r="BC38854" s="7" t="n">
        <v>64364</v>
      </c>
      <c r="BD38854" s="7" t="s">
        <v>16</v>
      </c>
      <c r="BE38854" s="7" t="n">
        <f t="normal" ca="1">32-LENB(INDIRECT(ADDRESS(38854,56)))</f>
        <v>0</v>
      </c>
      <c r="BF38854" s="7" t="n">
        <v>7</v>
      </c>
      <c r="BG38854" s="7" t="n">
        <v>65533</v>
      </c>
      <c r="BH38854" s="7" t="n">
        <v>64365</v>
      </c>
      <c r="BI38854" s="7" t="s">
        <v>16</v>
      </c>
      <c r="BJ38854" s="7" t="n">
        <f t="normal" ca="1">32-LENB(INDIRECT(ADDRESS(38854,61)))</f>
        <v>0</v>
      </c>
      <c r="BK38854" s="7" t="n">
        <v>7</v>
      </c>
      <c r="BL38854" s="7" t="n">
        <v>65533</v>
      </c>
      <c r="BM38854" s="7" t="n">
        <v>64366</v>
      </c>
      <c r="BN38854" s="7" t="s">
        <v>16</v>
      </c>
      <c r="BO38854" s="7" t="n">
        <f t="normal" ca="1">32-LENB(INDIRECT(ADDRESS(38854,66)))</f>
        <v>0</v>
      </c>
      <c r="BP38854" s="7" t="n">
        <v>7</v>
      </c>
      <c r="BQ38854" s="7" t="n">
        <v>65533</v>
      </c>
      <c r="BR38854" s="7" t="n">
        <v>64367</v>
      </c>
      <c r="BS38854" s="7" t="s">
        <v>16</v>
      </c>
      <c r="BT38854" s="7" t="n">
        <f t="normal" ca="1">32-LENB(INDIRECT(ADDRESS(38854,71)))</f>
        <v>0</v>
      </c>
      <c r="BU38854" s="7" t="n">
        <v>7</v>
      </c>
      <c r="BV38854" s="7" t="n">
        <v>65533</v>
      </c>
      <c r="BW38854" s="7" t="n">
        <v>64368</v>
      </c>
      <c r="BX38854" s="7" t="s">
        <v>16</v>
      </c>
      <c r="BY38854" s="7" t="n">
        <f t="normal" ca="1">32-LENB(INDIRECT(ADDRESS(38854,76)))</f>
        <v>0</v>
      </c>
      <c r="BZ38854" s="7" t="n">
        <v>7</v>
      </c>
      <c r="CA38854" s="7" t="n">
        <v>65533</v>
      </c>
      <c r="CB38854" s="7" t="n">
        <v>64369</v>
      </c>
      <c r="CC38854" s="7" t="s">
        <v>16</v>
      </c>
      <c r="CD38854" s="7" t="n">
        <f t="normal" ca="1">32-LENB(INDIRECT(ADDRESS(38854,81)))</f>
        <v>0</v>
      </c>
      <c r="CE38854" s="7" t="n">
        <v>7</v>
      </c>
      <c r="CF38854" s="7" t="n">
        <v>65533</v>
      </c>
      <c r="CG38854" s="7" t="n">
        <v>64370</v>
      </c>
      <c r="CH38854" s="7" t="s">
        <v>16</v>
      </c>
      <c r="CI38854" s="7" t="n">
        <f t="normal" ca="1">32-LENB(INDIRECT(ADDRESS(38854,86)))</f>
        <v>0</v>
      </c>
      <c r="CJ38854" s="7" t="n">
        <v>7</v>
      </c>
      <c r="CK38854" s="7" t="n">
        <v>65533</v>
      </c>
      <c r="CL38854" s="7" t="n">
        <v>64371</v>
      </c>
      <c r="CM38854" s="7" t="s">
        <v>16</v>
      </c>
      <c r="CN38854" s="7" t="n">
        <f t="normal" ca="1">32-LENB(INDIRECT(ADDRESS(38854,91)))</f>
        <v>0</v>
      </c>
      <c r="CO38854" s="7" t="n">
        <v>7</v>
      </c>
      <c r="CP38854" s="7" t="n">
        <v>65533</v>
      </c>
      <c r="CQ38854" s="7" t="n">
        <v>64372</v>
      </c>
      <c r="CR38854" s="7" t="s">
        <v>16</v>
      </c>
      <c r="CS38854" s="7" t="n">
        <f t="normal" ca="1">32-LENB(INDIRECT(ADDRESS(38854,96)))</f>
        <v>0</v>
      </c>
      <c r="CT38854" s="7" t="n">
        <v>7</v>
      </c>
      <c r="CU38854" s="7" t="n">
        <v>65533</v>
      </c>
      <c r="CV38854" s="7" t="n">
        <v>64373</v>
      </c>
      <c r="CW38854" s="7" t="s">
        <v>16</v>
      </c>
      <c r="CX38854" s="7" t="n">
        <f t="normal" ca="1">32-LENB(INDIRECT(ADDRESS(38854,101)))</f>
        <v>0</v>
      </c>
      <c r="CY38854" s="7" t="n">
        <v>7</v>
      </c>
      <c r="CZ38854" s="7" t="n">
        <v>65533</v>
      </c>
      <c r="DA38854" s="7" t="n">
        <v>64374</v>
      </c>
      <c r="DB38854" s="7" t="s">
        <v>16</v>
      </c>
      <c r="DC38854" s="7" t="n">
        <f t="normal" ca="1">32-LENB(INDIRECT(ADDRESS(38854,106)))</f>
        <v>0</v>
      </c>
      <c r="DD38854" s="7" t="n">
        <v>7</v>
      </c>
      <c r="DE38854" s="7" t="n">
        <v>65533</v>
      </c>
      <c r="DF38854" s="7" t="n">
        <v>64375</v>
      </c>
      <c r="DG38854" s="7" t="s">
        <v>16</v>
      </c>
      <c r="DH38854" s="7" t="n">
        <f t="normal" ca="1">32-LENB(INDIRECT(ADDRESS(38854,111)))</f>
        <v>0</v>
      </c>
      <c r="DI38854" s="7" t="n">
        <v>7</v>
      </c>
      <c r="DJ38854" s="7" t="n">
        <v>65533</v>
      </c>
      <c r="DK38854" s="7" t="n">
        <v>64376</v>
      </c>
      <c r="DL38854" s="7" t="s">
        <v>16</v>
      </c>
      <c r="DM38854" s="7" t="n">
        <f t="normal" ca="1">32-LENB(INDIRECT(ADDRESS(38854,116)))</f>
        <v>0</v>
      </c>
      <c r="DN38854" s="7" t="n">
        <v>7</v>
      </c>
      <c r="DO38854" s="7" t="n">
        <v>65533</v>
      </c>
      <c r="DP38854" s="7" t="n">
        <v>64377</v>
      </c>
      <c r="DQ38854" s="7" t="s">
        <v>16</v>
      </c>
      <c r="DR38854" s="7" t="n">
        <f t="normal" ca="1">32-LENB(INDIRECT(ADDRESS(38854,121)))</f>
        <v>0</v>
      </c>
      <c r="DS38854" s="7" t="n">
        <v>7</v>
      </c>
      <c r="DT38854" s="7" t="n">
        <v>65533</v>
      </c>
      <c r="DU38854" s="7" t="n">
        <v>64378</v>
      </c>
      <c r="DV38854" s="7" t="s">
        <v>16</v>
      </c>
      <c r="DW38854" s="7" t="n">
        <f t="normal" ca="1">32-LENB(INDIRECT(ADDRESS(38854,126)))</f>
        <v>0</v>
      </c>
      <c r="DX38854" s="7" t="n">
        <v>7</v>
      </c>
      <c r="DY38854" s="7" t="n">
        <v>65533</v>
      </c>
      <c r="DZ38854" s="7" t="n">
        <v>64379</v>
      </c>
      <c r="EA38854" s="7" t="s">
        <v>16</v>
      </c>
      <c r="EB38854" s="7" t="n">
        <f t="normal" ca="1">32-LENB(INDIRECT(ADDRESS(38854,131)))</f>
        <v>0</v>
      </c>
      <c r="EC38854" s="7" t="n">
        <v>7</v>
      </c>
      <c r="ED38854" s="7" t="n">
        <v>65533</v>
      </c>
      <c r="EE38854" s="7" t="n">
        <v>64380</v>
      </c>
      <c r="EF38854" s="7" t="s">
        <v>16</v>
      </c>
      <c r="EG38854" s="7" t="n">
        <f t="normal" ca="1">32-LENB(INDIRECT(ADDRESS(38854,136)))</f>
        <v>0</v>
      </c>
      <c r="EH38854" s="7" t="n">
        <v>7</v>
      </c>
      <c r="EI38854" s="7" t="n">
        <v>65533</v>
      </c>
      <c r="EJ38854" s="7" t="n">
        <v>64381</v>
      </c>
      <c r="EK38854" s="7" t="s">
        <v>16</v>
      </c>
      <c r="EL38854" s="7" t="n">
        <f t="normal" ca="1">32-LENB(INDIRECT(ADDRESS(38854,141)))</f>
        <v>0</v>
      </c>
      <c r="EM38854" s="7" t="n">
        <v>7</v>
      </c>
      <c r="EN38854" s="7" t="n">
        <v>65533</v>
      </c>
      <c r="EO38854" s="7" t="n">
        <v>65313</v>
      </c>
      <c r="EP38854" s="7" t="s">
        <v>16</v>
      </c>
      <c r="EQ38854" s="7" t="n">
        <f t="normal" ca="1">32-LENB(INDIRECT(ADDRESS(38854,146)))</f>
        <v>0</v>
      </c>
      <c r="ER38854" s="7" t="n">
        <v>7</v>
      </c>
      <c r="ES38854" s="7" t="n">
        <v>65533</v>
      </c>
      <c r="ET38854" s="7" t="n">
        <v>64382</v>
      </c>
      <c r="EU38854" s="7" t="s">
        <v>16</v>
      </c>
      <c r="EV38854" s="7" t="n">
        <f t="normal" ca="1">32-LENB(INDIRECT(ADDRESS(38854,151)))</f>
        <v>0</v>
      </c>
      <c r="EW38854" s="7" t="n">
        <v>7</v>
      </c>
      <c r="EX38854" s="7" t="n">
        <v>65533</v>
      </c>
      <c r="EY38854" s="7" t="n">
        <v>64383</v>
      </c>
      <c r="EZ38854" s="7" t="s">
        <v>16</v>
      </c>
      <c r="FA38854" s="7" t="n">
        <f t="normal" ca="1">32-LENB(INDIRECT(ADDRESS(38854,156)))</f>
        <v>0</v>
      </c>
      <c r="FB38854" s="7" t="n">
        <v>7</v>
      </c>
      <c r="FC38854" s="7" t="n">
        <v>65533</v>
      </c>
      <c r="FD38854" s="7" t="n">
        <v>64336</v>
      </c>
      <c r="FE38854" s="7" t="s">
        <v>16</v>
      </c>
      <c r="FF38854" s="7" t="n">
        <f t="normal" ca="1">32-LENB(INDIRECT(ADDRESS(38854,161)))</f>
        <v>0</v>
      </c>
      <c r="FG38854" s="7" t="n">
        <v>7</v>
      </c>
      <c r="FH38854" s="7" t="n">
        <v>65533</v>
      </c>
      <c r="FI38854" s="7" t="n">
        <v>64384</v>
      </c>
      <c r="FJ38854" s="7" t="s">
        <v>16</v>
      </c>
      <c r="FK38854" s="7" t="n">
        <f t="normal" ca="1">32-LENB(INDIRECT(ADDRESS(38854,166)))</f>
        <v>0</v>
      </c>
      <c r="FL38854" s="7" t="n">
        <v>7</v>
      </c>
      <c r="FM38854" s="7" t="n">
        <v>65533</v>
      </c>
      <c r="FN38854" s="7" t="n">
        <v>64385</v>
      </c>
      <c r="FO38854" s="7" t="s">
        <v>16</v>
      </c>
      <c r="FP38854" s="7" t="n">
        <f t="normal" ca="1">32-LENB(INDIRECT(ADDRESS(38854,171)))</f>
        <v>0</v>
      </c>
      <c r="FQ38854" s="7" t="n">
        <v>7</v>
      </c>
      <c r="FR38854" s="7" t="n">
        <v>65533</v>
      </c>
      <c r="FS38854" s="7" t="n">
        <v>64386</v>
      </c>
      <c r="FT38854" s="7" t="s">
        <v>16</v>
      </c>
      <c r="FU38854" s="7" t="n">
        <f t="normal" ca="1">32-LENB(INDIRECT(ADDRESS(38854,176)))</f>
        <v>0</v>
      </c>
      <c r="FV38854" s="7" t="n">
        <v>7</v>
      </c>
      <c r="FW38854" s="7" t="n">
        <v>65533</v>
      </c>
      <c r="FX38854" s="7" t="n">
        <v>64387</v>
      </c>
      <c r="FY38854" s="7" t="s">
        <v>16</v>
      </c>
      <c r="FZ38854" s="7" t="n">
        <f t="normal" ca="1">32-LENB(INDIRECT(ADDRESS(38854,181)))</f>
        <v>0</v>
      </c>
      <c r="GA38854" s="7" t="n">
        <v>7</v>
      </c>
      <c r="GB38854" s="7" t="n">
        <v>65533</v>
      </c>
      <c r="GC38854" s="7" t="n">
        <v>64388</v>
      </c>
      <c r="GD38854" s="7" t="s">
        <v>16</v>
      </c>
      <c r="GE38854" s="7" t="n">
        <f t="normal" ca="1">32-LENB(INDIRECT(ADDRESS(38854,186)))</f>
        <v>0</v>
      </c>
      <c r="GF38854" s="7" t="n">
        <v>7</v>
      </c>
      <c r="GG38854" s="7" t="n">
        <v>65533</v>
      </c>
      <c r="GH38854" s="7" t="n">
        <v>64389</v>
      </c>
      <c r="GI38854" s="7" t="s">
        <v>16</v>
      </c>
      <c r="GJ38854" s="7" t="n">
        <f t="normal" ca="1">32-LENB(INDIRECT(ADDRESS(38854,191)))</f>
        <v>0</v>
      </c>
      <c r="GK38854" s="7" t="n">
        <v>7</v>
      </c>
      <c r="GL38854" s="7" t="n">
        <v>65533</v>
      </c>
      <c r="GM38854" s="7" t="n">
        <v>64390</v>
      </c>
      <c r="GN38854" s="7" t="s">
        <v>16</v>
      </c>
      <c r="GO38854" s="7" t="n">
        <f t="normal" ca="1">32-LENB(INDIRECT(ADDRESS(38854,196)))</f>
        <v>0</v>
      </c>
      <c r="GP38854" s="7" t="n">
        <v>7</v>
      </c>
      <c r="GQ38854" s="7" t="n">
        <v>65533</v>
      </c>
      <c r="GR38854" s="7" t="n">
        <v>64391</v>
      </c>
      <c r="GS38854" s="7" t="s">
        <v>16</v>
      </c>
      <c r="GT38854" s="7" t="n">
        <f t="normal" ca="1">32-LENB(INDIRECT(ADDRESS(38854,201)))</f>
        <v>0</v>
      </c>
      <c r="GU38854" s="7" t="n">
        <v>7</v>
      </c>
      <c r="GV38854" s="7" t="n">
        <v>65533</v>
      </c>
      <c r="GW38854" s="7" t="n">
        <v>64392</v>
      </c>
      <c r="GX38854" s="7" t="s">
        <v>16</v>
      </c>
      <c r="GY38854" s="7" t="n">
        <f t="normal" ca="1">32-LENB(INDIRECT(ADDRESS(38854,206)))</f>
        <v>0</v>
      </c>
      <c r="GZ38854" s="7" t="n">
        <v>7</v>
      </c>
      <c r="HA38854" s="7" t="n">
        <v>65533</v>
      </c>
      <c r="HB38854" s="7" t="n">
        <v>64393</v>
      </c>
      <c r="HC38854" s="7" t="s">
        <v>16</v>
      </c>
      <c r="HD38854" s="7" t="n">
        <f t="normal" ca="1">32-LENB(INDIRECT(ADDRESS(38854,211)))</f>
        <v>0</v>
      </c>
      <c r="HE38854" s="7" t="n">
        <v>0</v>
      </c>
      <c r="HF38854" s="7" t="n">
        <v>65533</v>
      </c>
      <c r="HG38854" s="7" t="n">
        <v>0</v>
      </c>
      <c r="HH38854" s="7" t="s">
        <v>16</v>
      </c>
      <c r="HI38854" s="7" t="n">
        <f t="normal" ca="1">32-LENB(INDIRECT(ADDRESS(38854,216)))</f>
        <v>0</v>
      </c>
    </row>
    <row r="38855" spans="1:212">
      <c r="A38855" t="s">
        <v>4</v>
      </c>
      <c r="B38855" s="4" t="s">
        <v>5</v>
      </c>
    </row>
    <row r="38856" spans="1:212">
      <c r="A38856" t="n">
        <v>423576</v>
      </c>
      <c r="B38856" s="5" t="n">
        <v>1</v>
      </c>
    </row>
    <row r="38857" spans="1:212" s="3" customFormat="1" customHeight="0">
      <c r="A38857" s="3" t="s">
        <v>2</v>
      </c>
      <c r="B38857" s="3" t="s">
        <v>1880</v>
      </c>
    </row>
    <row r="38858" spans="1:212">
      <c r="A38858" t="s">
        <v>4</v>
      </c>
      <c r="B38858" s="4" t="s">
        <v>5</v>
      </c>
      <c r="C38858" s="4" t="s">
        <v>11</v>
      </c>
      <c r="D38858" s="4" t="s">
        <v>11</v>
      </c>
      <c r="E38858" s="4" t="s">
        <v>15</v>
      </c>
      <c r="F38858" s="4" t="s">
        <v>8</v>
      </c>
      <c r="G38858" s="4" t="s">
        <v>1859</v>
      </c>
      <c r="H38858" s="4" t="s">
        <v>11</v>
      </c>
      <c r="I38858" s="4" t="s">
        <v>11</v>
      </c>
      <c r="J38858" s="4" t="s">
        <v>15</v>
      </c>
      <c r="K38858" s="4" t="s">
        <v>8</v>
      </c>
      <c r="L38858" s="4" t="s">
        <v>1859</v>
      </c>
      <c r="M38858" s="4" t="s">
        <v>11</v>
      </c>
      <c r="N38858" s="4" t="s">
        <v>11</v>
      </c>
      <c r="O38858" s="4" t="s">
        <v>15</v>
      </c>
      <c r="P38858" s="4" t="s">
        <v>8</v>
      </c>
      <c r="Q38858" s="4" t="s">
        <v>1859</v>
      </c>
      <c r="R38858" s="4" t="s">
        <v>11</v>
      </c>
      <c r="S38858" s="4" t="s">
        <v>11</v>
      </c>
      <c r="T38858" s="4" t="s">
        <v>15</v>
      </c>
      <c r="U38858" s="4" t="s">
        <v>8</v>
      </c>
      <c r="V38858" s="4" t="s">
        <v>1859</v>
      </c>
      <c r="W38858" s="4" t="s">
        <v>11</v>
      </c>
      <c r="X38858" s="4" t="s">
        <v>11</v>
      </c>
      <c r="Y38858" s="4" t="s">
        <v>15</v>
      </c>
      <c r="Z38858" s="4" t="s">
        <v>8</v>
      </c>
      <c r="AA38858" s="4" t="s">
        <v>1859</v>
      </c>
      <c r="AB38858" s="4" t="s">
        <v>11</v>
      </c>
      <c r="AC38858" s="4" t="s">
        <v>11</v>
      </c>
      <c r="AD38858" s="4" t="s">
        <v>15</v>
      </c>
      <c r="AE38858" s="4" t="s">
        <v>8</v>
      </c>
      <c r="AF38858" s="4" t="s">
        <v>1859</v>
      </c>
      <c r="AG38858" s="4" t="s">
        <v>11</v>
      </c>
      <c r="AH38858" s="4" t="s">
        <v>11</v>
      </c>
      <c r="AI38858" s="4" t="s">
        <v>15</v>
      </c>
      <c r="AJ38858" s="4" t="s">
        <v>8</v>
      </c>
      <c r="AK38858" s="4" t="s">
        <v>1859</v>
      </c>
      <c r="AL38858" s="4" t="s">
        <v>11</v>
      </c>
      <c r="AM38858" s="4" t="s">
        <v>11</v>
      </c>
      <c r="AN38858" s="4" t="s">
        <v>15</v>
      </c>
      <c r="AO38858" s="4" t="s">
        <v>8</v>
      </c>
      <c r="AP38858" s="4" t="s">
        <v>1859</v>
      </c>
      <c r="AQ38858" s="4" t="s">
        <v>11</v>
      </c>
      <c r="AR38858" s="4" t="s">
        <v>11</v>
      </c>
      <c r="AS38858" s="4" t="s">
        <v>15</v>
      </c>
      <c r="AT38858" s="4" t="s">
        <v>8</v>
      </c>
      <c r="AU38858" s="4" t="s">
        <v>1859</v>
      </c>
      <c r="AV38858" s="4" t="s">
        <v>11</v>
      </c>
      <c r="AW38858" s="4" t="s">
        <v>11</v>
      </c>
      <c r="AX38858" s="4" t="s">
        <v>15</v>
      </c>
      <c r="AY38858" s="4" t="s">
        <v>8</v>
      </c>
      <c r="AZ38858" s="4" t="s">
        <v>1859</v>
      </c>
      <c r="BA38858" s="4" t="s">
        <v>11</v>
      </c>
      <c r="BB38858" s="4" t="s">
        <v>11</v>
      </c>
      <c r="BC38858" s="4" t="s">
        <v>15</v>
      </c>
      <c r="BD38858" s="4" t="s">
        <v>8</v>
      </c>
      <c r="BE38858" s="4" t="s">
        <v>1859</v>
      </c>
      <c r="BF38858" s="4" t="s">
        <v>11</v>
      </c>
      <c r="BG38858" s="4" t="s">
        <v>11</v>
      </c>
      <c r="BH38858" s="4" t="s">
        <v>15</v>
      </c>
      <c r="BI38858" s="4" t="s">
        <v>8</v>
      </c>
      <c r="BJ38858" s="4" t="s">
        <v>1859</v>
      </c>
      <c r="BK38858" s="4" t="s">
        <v>11</v>
      </c>
      <c r="BL38858" s="4" t="s">
        <v>11</v>
      </c>
      <c r="BM38858" s="4" t="s">
        <v>15</v>
      </c>
      <c r="BN38858" s="4" t="s">
        <v>8</v>
      </c>
      <c r="BO38858" s="4" t="s">
        <v>1859</v>
      </c>
      <c r="BP38858" s="4" t="s">
        <v>11</v>
      </c>
      <c r="BQ38858" s="4" t="s">
        <v>11</v>
      </c>
      <c r="BR38858" s="4" t="s">
        <v>15</v>
      </c>
      <c r="BS38858" s="4" t="s">
        <v>8</v>
      </c>
      <c r="BT38858" s="4" t="s">
        <v>1859</v>
      </c>
      <c r="BU38858" s="4" t="s">
        <v>11</v>
      </c>
      <c r="BV38858" s="4" t="s">
        <v>11</v>
      </c>
      <c r="BW38858" s="4" t="s">
        <v>15</v>
      </c>
      <c r="BX38858" s="4" t="s">
        <v>8</v>
      </c>
      <c r="BY38858" s="4" t="s">
        <v>1859</v>
      </c>
      <c r="BZ38858" s="4" t="s">
        <v>11</v>
      </c>
      <c r="CA38858" s="4" t="s">
        <v>11</v>
      </c>
      <c r="CB38858" s="4" t="s">
        <v>15</v>
      </c>
      <c r="CC38858" s="4" t="s">
        <v>8</v>
      </c>
      <c r="CD38858" s="4" t="s">
        <v>1859</v>
      </c>
      <c r="CE38858" s="4" t="s">
        <v>11</v>
      </c>
      <c r="CF38858" s="4" t="s">
        <v>11</v>
      </c>
      <c r="CG38858" s="4" t="s">
        <v>15</v>
      </c>
      <c r="CH38858" s="4" t="s">
        <v>8</v>
      </c>
      <c r="CI38858" s="4" t="s">
        <v>1859</v>
      </c>
      <c r="CJ38858" s="4" t="s">
        <v>11</v>
      </c>
      <c r="CK38858" s="4" t="s">
        <v>11</v>
      </c>
      <c r="CL38858" s="4" t="s">
        <v>15</v>
      </c>
      <c r="CM38858" s="4" t="s">
        <v>8</v>
      </c>
      <c r="CN38858" s="4" t="s">
        <v>1859</v>
      </c>
      <c r="CO38858" s="4" t="s">
        <v>11</v>
      </c>
      <c r="CP38858" s="4" t="s">
        <v>11</v>
      </c>
      <c r="CQ38858" s="4" t="s">
        <v>15</v>
      </c>
      <c r="CR38858" s="4" t="s">
        <v>8</v>
      </c>
      <c r="CS38858" s="4" t="s">
        <v>1859</v>
      </c>
      <c r="CT38858" s="4" t="s">
        <v>11</v>
      </c>
      <c r="CU38858" s="4" t="s">
        <v>11</v>
      </c>
      <c r="CV38858" s="4" t="s">
        <v>15</v>
      </c>
      <c r="CW38858" s="4" t="s">
        <v>8</v>
      </c>
      <c r="CX38858" s="4" t="s">
        <v>1859</v>
      </c>
      <c r="CY38858" s="4" t="s">
        <v>11</v>
      </c>
      <c r="CZ38858" s="4" t="s">
        <v>11</v>
      </c>
      <c r="DA38858" s="4" t="s">
        <v>15</v>
      </c>
      <c r="DB38858" s="4" t="s">
        <v>8</v>
      </c>
      <c r="DC38858" s="4" t="s">
        <v>1859</v>
      </c>
      <c r="DD38858" s="4" t="s">
        <v>11</v>
      </c>
      <c r="DE38858" s="4" t="s">
        <v>11</v>
      </c>
      <c r="DF38858" s="4" t="s">
        <v>15</v>
      </c>
      <c r="DG38858" s="4" t="s">
        <v>8</v>
      </c>
      <c r="DH38858" s="4" t="s">
        <v>1859</v>
      </c>
      <c r="DI38858" s="4" t="s">
        <v>11</v>
      </c>
      <c r="DJ38858" s="4" t="s">
        <v>11</v>
      </c>
      <c r="DK38858" s="4" t="s">
        <v>15</v>
      </c>
      <c r="DL38858" s="4" t="s">
        <v>8</v>
      </c>
      <c r="DM38858" s="4" t="s">
        <v>1859</v>
      </c>
      <c r="DN38858" s="4" t="s">
        <v>11</v>
      </c>
      <c r="DO38858" s="4" t="s">
        <v>11</v>
      </c>
      <c r="DP38858" s="4" t="s">
        <v>15</v>
      </c>
      <c r="DQ38858" s="4" t="s">
        <v>8</v>
      </c>
      <c r="DR38858" s="4" t="s">
        <v>1859</v>
      </c>
      <c r="DS38858" s="4" t="s">
        <v>11</v>
      </c>
      <c r="DT38858" s="4" t="s">
        <v>11</v>
      </c>
      <c r="DU38858" s="4" t="s">
        <v>15</v>
      </c>
      <c r="DV38858" s="4" t="s">
        <v>8</v>
      </c>
      <c r="DW38858" s="4" t="s">
        <v>1859</v>
      </c>
      <c r="DX38858" s="4" t="s">
        <v>11</v>
      </c>
      <c r="DY38858" s="4" t="s">
        <v>11</v>
      </c>
      <c r="DZ38858" s="4" t="s">
        <v>15</v>
      </c>
      <c r="EA38858" s="4" t="s">
        <v>8</v>
      </c>
      <c r="EB38858" s="4" t="s">
        <v>1859</v>
      </c>
      <c r="EC38858" s="4" t="s">
        <v>11</v>
      </c>
      <c r="ED38858" s="4" t="s">
        <v>11</v>
      </c>
      <c r="EE38858" s="4" t="s">
        <v>15</v>
      </c>
      <c r="EF38858" s="4" t="s">
        <v>8</v>
      </c>
      <c r="EG38858" s="4" t="s">
        <v>1859</v>
      </c>
      <c r="EH38858" s="4" t="s">
        <v>11</v>
      </c>
      <c r="EI38858" s="4" t="s">
        <v>11</v>
      </c>
      <c r="EJ38858" s="4" t="s">
        <v>15</v>
      </c>
      <c r="EK38858" s="4" t="s">
        <v>8</v>
      </c>
      <c r="EL38858" s="4" t="s">
        <v>1859</v>
      </c>
      <c r="EM38858" s="4" t="s">
        <v>11</v>
      </c>
      <c r="EN38858" s="4" t="s">
        <v>11</v>
      </c>
      <c r="EO38858" s="4" t="s">
        <v>15</v>
      </c>
      <c r="EP38858" s="4" t="s">
        <v>8</v>
      </c>
      <c r="EQ38858" s="4" t="s">
        <v>1859</v>
      </c>
      <c r="ER38858" s="4" t="s">
        <v>11</v>
      </c>
      <c r="ES38858" s="4" t="s">
        <v>11</v>
      </c>
      <c r="ET38858" s="4" t="s">
        <v>15</v>
      </c>
      <c r="EU38858" s="4" t="s">
        <v>8</v>
      </c>
      <c r="EV38858" s="4" t="s">
        <v>1859</v>
      </c>
      <c r="EW38858" s="4" t="s">
        <v>11</v>
      </c>
      <c r="EX38858" s="4" t="s">
        <v>11</v>
      </c>
      <c r="EY38858" s="4" t="s">
        <v>15</v>
      </c>
      <c r="EZ38858" s="4" t="s">
        <v>8</v>
      </c>
      <c r="FA38858" s="4" t="s">
        <v>1859</v>
      </c>
      <c r="FB38858" s="4" t="s">
        <v>11</v>
      </c>
      <c r="FC38858" s="4" t="s">
        <v>11</v>
      </c>
      <c r="FD38858" s="4" t="s">
        <v>15</v>
      </c>
      <c r="FE38858" s="4" t="s">
        <v>8</v>
      </c>
      <c r="FF38858" s="4" t="s">
        <v>1859</v>
      </c>
      <c r="FG38858" s="4" t="s">
        <v>11</v>
      </c>
      <c r="FH38858" s="4" t="s">
        <v>11</v>
      </c>
      <c r="FI38858" s="4" t="s">
        <v>15</v>
      </c>
      <c r="FJ38858" s="4" t="s">
        <v>8</v>
      </c>
      <c r="FK38858" s="4" t="s">
        <v>1859</v>
      </c>
      <c r="FL38858" s="4" t="s">
        <v>11</v>
      </c>
      <c r="FM38858" s="4" t="s">
        <v>11</v>
      </c>
      <c r="FN38858" s="4" t="s">
        <v>15</v>
      </c>
      <c r="FO38858" s="4" t="s">
        <v>8</v>
      </c>
      <c r="FP38858" s="4" t="s">
        <v>1859</v>
      </c>
      <c r="FQ38858" s="4" t="s">
        <v>11</v>
      </c>
      <c r="FR38858" s="4" t="s">
        <v>11</v>
      </c>
      <c r="FS38858" s="4" t="s">
        <v>15</v>
      </c>
      <c r="FT38858" s="4" t="s">
        <v>8</v>
      </c>
      <c r="FU38858" s="4" t="s">
        <v>1859</v>
      </c>
      <c r="FV38858" s="4" t="s">
        <v>11</v>
      </c>
      <c r="FW38858" s="4" t="s">
        <v>11</v>
      </c>
      <c r="FX38858" s="4" t="s">
        <v>15</v>
      </c>
      <c r="FY38858" s="4" t="s">
        <v>8</v>
      </c>
      <c r="FZ38858" s="4" t="s">
        <v>1859</v>
      </c>
      <c r="GA38858" s="4" t="s">
        <v>11</v>
      </c>
      <c r="GB38858" s="4" t="s">
        <v>11</v>
      </c>
      <c r="GC38858" s="4" t="s">
        <v>15</v>
      </c>
      <c r="GD38858" s="4" t="s">
        <v>8</v>
      </c>
      <c r="GE38858" s="4" t="s">
        <v>1859</v>
      </c>
      <c r="GF38858" s="4" t="s">
        <v>11</v>
      </c>
      <c r="GG38858" s="4" t="s">
        <v>11</v>
      </c>
      <c r="GH38858" s="4" t="s">
        <v>15</v>
      </c>
      <c r="GI38858" s="4" t="s">
        <v>8</v>
      </c>
      <c r="GJ38858" s="4" t="s">
        <v>1859</v>
      </c>
      <c r="GK38858" s="4" t="s">
        <v>11</v>
      </c>
      <c r="GL38858" s="4" t="s">
        <v>11</v>
      </c>
      <c r="GM38858" s="4" t="s">
        <v>15</v>
      </c>
      <c r="GN38858" s="4" t="s">
        <v>8</v>
      </c>
      <c r="GO38858" s="4" t="s">
        <v>1859</v>
      </c>
      <c r="GP38858" s="4" t="s">
        <v>11</v>
      </c>
      <c r="GQ38858" s="4" t="s">
        <v>11</v>
      </c>
      <c r="GR38858" s="4" t="s">
        <v>15</v>
      </c>
      <c r="GS38858" s="4" t="s">
        <v>8</v>
      </c>
      <c r="GT38858" s="4" t="s">
        <v>1859</v>
      </c>
      <c r="GU38858" s="4" t="s">
        <v>11</v>
      </c>
      <c r="GV38858" s="4" t="s">
        <v>11</v>
      </c>
      <c r="GW38858" s="4" t="s">
        <v>15</v>
      </c>
      <c r="GX38858" s="4" t="s">
        <v>8</v>
      </c>
      <c r="GY38858" s="4" t="s">
        <v>1859</v>
      </c>
      <c r="GZ38858" s="4" t="s">
        <v>11</v>
      </c>
      <c r="HA38858" s="4" t="s">
        <v>11</v>
      </c>
      <c r="HB38858" s="4" t="s">
        <v>15</v>
      </c>
      <c r="HC38858" s="4" t="s">
        <v>8</v>
      </c>
      <c r="HD38858" s="4" t="s">
        <v>1859</v>
      </c>
    </row>
    <row r="38859" spans="1:212">
      <c r="A38859" t="n">
        <v>423584</v>
      </c>
      <c r="B38859" s="85" t="n">
        <v>257</v>
      </c>
      <c r="C38859" s="7" t="n">
        <v>9</v>
      </c>
      <c r="D38859" s="7" t="n">
        <v>8</v>
      </c>
      <c r="E38859" s="7" t="n">
        <v>0</v>
      </c>
      <c r="F38859" s="7" t="s">
        <v>1349</v>
      </c>
      <c r="G38859" s="7" t="n">
        <f t="normal" ca="1">32-LENB(INDIRECT(ADDRESS(38859,6)))</f>
        <v>0</v>
      </c>
      <c r="H38859" s="7" t="n">
        <v>9</v>
      </c>
      <c r="I38859" s="7" t="n">
        <v>8</v>
      </c>
      <c r="J38859" s="7" t="n">
        <v>0</v>
      </c>
      <c r="K38859" s="7" t="s">
        <v>1350</v>
      </c>
      <c r="L38859" s="7" t="n">
        <f t="normal" ca="1">32-LENB(INDIRECT(ADDRESS(38859,11)))</f>
        <v>0</v>
      </c>
      <c r="M38859" s="7" t="n">
        <v>7</v>
      </c>
      <c r="N38859" s="7" t="n">
        <v>65533</v>
      </c>
      <c r="O38859" s="7" t="n">
        <v>64394</v>
      </c>
      <c r="P38859" s="7" t="s">
        <v>16</v>
      </c>
      <c r="Q38859" s="7" t="n">
        <f t="normal" ca="1">32-LENB(INDIRECT(ADDRESS(38859,16)))</f>
        <v>0</v>
      </c>
      <c r="R38859" s="7" t="n">
        <v>7</v>
      </c>
      <c r="S38859" s="7" t="n">
        <v>65533</v>
      </c>
      <c r="T38859" s="7" t="n">
        <v>64395</v>
      </c>
      <c r="U38859" s="7" t="s">
        <v>16</v>
      </c>
      <c r="V38859" s="7" t="n">
        <f t="normal" ca="1">32-LENB(INDIRECT(ADDRESS(38859,21)))</f>
        <v>0</v>
      </c>
      <c r="W38859" s="7" t="n">
        <v>7</v>
      </c>
      <c r="X38859" s="7" t="n">
        <v>65533</v>
      </c>
      <c r="Y38859" s="7" t="n">
        <v>64396</v>
      </c>
      <c r="Z38859" s="7" t="s">
        <v>16</v>
      </c>
      <c r="AA38859" s="7" t="n">
        <f t="normal" ca="1">32-LENB(INDIRECT(ADDRESS(38859,26)))</f>
        <v>0</v>
      </c>
      <c r="AB38859" s="7" t="n">
        <v>7</v>
      </c>
      <c r="AC38859" s="7" t="n">
        <v>65533</v>
      </c>
      <c r="AD38859" s="7" t="n">
        <v>64397</v>
      </c>
      <c r="AE38859" s="7" t="s">
        <v>16</v>
      </c>
      <c r="AF38859" s="7" t="n">
        <f t="normal" ca="1">32-LENB(INDIRECT(ADDRESS(38859,31)))</f>
        <v>0</v>
      </c>
      <c r="AG38859" s="7" t="n">
        <v>7</v>
      </c>
      <c r="AH38859" s="7" t="n">
        <v>65533</v>
      </c>
      <c r="AI38859" s="7" t="n">
        <v>64398</v>
      </c>
      <c r="AJ38859" s="7" t="s">
        <v>16</v>
      </c>
      <c r="AK38859" s="7" t="n">
        <f t="normal" ca="1">32-LENB(INDIRECT(ADDRESS(38859,36)))</f>
        <v>0</v>
      </c>
      <c r="AL38859" s="7" t="n">
        <v>7</v>
      </c>
      <c r="AM38859" s="7" t="n">
        <v>65533</v>
      </c>
      <c r="AN38859" s="7" t="n">
        <v>64399</v>
      </c>
      <c r="AO38859" s="7" t="s">
        <v>16</v>
      </c>
      <c r="AP38859" s="7" t="n">
        <f t="normal" ca="1">32-LENB(INDIRECT(ADDRESS(38859,41)))</f>
        <v>0</v>
      </c>
      <c r="AQ38859" s="7" t="n">
        <v>7</v>
      </c>
      <c r="AR38859" s="7" t="n">
        <v>65533</v>
      </c>
      <c r="AS38859" s="7" t="n">
        <v>64400</v>
      </c>
      <c r="AT38859" s="7" t="s">
        <v>16</v>
      </c>
      <c r="AU38859" s="7" t="n">
        <f t="normal" ca="1">32-LENB(INDIRECT(ADDRESS(38859,46)))</f>
        <v>0</v>
      </c>
      <c r="AV38859" s="7" t="n">
        <v>7</v>
      </c>
      <c r="AW38859" s="7" t="n">
        <v>65533</v>
      </c>
      <c r="AX38859" s="7" t="n">
        <v>64401</v>
      </c>
      <c r="AY38859" s="7" t="s">
        <v>16</v>
      </c>
      <c r="AZ38859" s="7" t="n">
        <f t="normal" ca="1">32-LENB(INDIRECT(ADDRESS(38859,51)))</f>
        <v>0</v>
      </c>
      <c r="BA38859" s="7" t="n">
        <v>7</v>
      </c>
      <c r="BB38859" s="7" t="n">
        <v>65533</v>
      </c>
      <c r="BC38859" s="7" t="n">
        <v>64402</v>
      </c>
      <c r="BD38859" s="7" t="s">
        <v>16</v>
      </c>
      <c r="BE38859" s="7" t="n">
        <f t="normal" ca="1">32-LENB(INDIRECT(ADDRESS(38859,56)))</f>
        <v>0</v>
      </c>
      <c r="BF38859" s="7" t="n">
        <v>7</v>
      </c>
      <c r="BG38859" s="7" t="n">
        <v>65533</v>
      </c>
      <c r="BH38859" s="7" t="n">
        <v>64403</v>
      </c>
      <c r="BI38859" s="7" t="s">
        <v>16</v>
      </c>
      <c r="BJ38859" s="7" t="n">
        <f t="normal" ca="1">32-LENB(INDIRECT(ADDRESS(38859,61)))</f>
        <v>0</v>
      </c>
      <c r="BK38859" s="7" t="n">
        <v>7</v>
      </c>
      <c r="BL38859" s="7" t="n">
        <v>65533</v>
      </c>
      <c r="BM38859" s="7" t="n">
        <v>64404</v>
      </c>
      <c r="BN38859" s="7" t="s">
        <v>16</v>
      </c>
      <c r="BO38859" s="7" t="n">
        <f t="normal" ca="1">32-LENB(INDIRECT(ADDRESS(38859,66)))</f>
        <v>0</v>
      </c>
      <c r="BP38859" s="7" t="n">
        <v>7</v>
      </c>
      <c r="BQ38859" s="7" t="n">
        <v>65533</v>
      </c>
      <c r="BR38859" s="7" t="n">
        <v>64405</v>
      </c>
      <c r="BS38859" s="7" t="s">
        <v>16</v>
      </c>
      <c r="BT38859" s="7" t="n">
        <f t="normal" ca="1">32-LENB(INDIRECT(ADDRESS(38859,71)))</f>
        <v>0</v>
      </c>
      <c r="BU38859" s="7" t="n">
        <v>7</v>
      </c>
      <c r="BV38859" s="7" t="n">
        <v>65533</v>
      </c>
      <c r="BW38859" s="7" t="n">
        <v>64406</v>
      </c>
      <c r="BX38859" s="7" t="s">
        <v>16</v>
      </c>
      <c r="BY38859" s="7" t="n">
        <f t="normal" ca="1">32-LENB(INDIRECT(ADDRESS(38859,76)))</f>
        <v>0</v>
      </c>
      <c r="BZ38859" s="7" t="n">
        <v>7</v>
      </c>
      <c r="CA38859" s="7" t="n">
        <v>65533</v>
      </c>
      <c r="CB38859" s="7" t="n">
        <v>64407</v>
      </c>
      <c r="CC38859" s="7" t="s">
        <v>16</v>
      </c>
      <c r="CD38859" s="7" t="n">
        <f t="normal" ca="1">32-LENB(INDIRECT(ADDRESS(38859,81)))</f>
        <v>0</v>
      </c>
      <c r="CE38859" s="7" t="n">
        <v>7</v>
      </c>
      <c r="CF38859" s="7" t="n">
        <v>65533</v>
      </c>
      <c r="CG38859" s="7" t="n">
        <v>64408</v>
      </c>
      <c r="CH38859" s="7" t="s">
        <v>16</v>
      </c>
      <c r="CI38859" s="7" t="n">
        <f t="normal" ca="1">32-LENB(INDIRECT(ADDRESS(38859,86)))</f>
        <v>0</v>
      </c>
      <c r="CJ38859" s="7" t="n">
        <v>7</v>
      </c>
      <c r="CK38859" s="7" t="n">
        <v>65533</v>
      </c>
      <c r="CL38859" s="7" t="n">
        <v>64409</v>
      </c>
      <c r="CM38859" s="7" t="s">
        <v>16</v>
      </c>
      <c r="CN38859" s="7" t="n">
        <f t="normal" ca="1">32-LENB(INDIRECT(ADDRESS(38859,91)))</f>
        <v>0</v>
      </c>
      <c r="CO38859" s="7" t="n">
        <v>7</v>
      </c>
      <c r="CP38859" s="7" t="n">
        <v>65533</v>
      </c>
      <c r="CQ38859" s="7" t="n">
        <v>64410</v>
      </c>
      <c r="CR38859" s="7" t="s">
        <v>16</v>
      </c>
      <c r="CS38859" s="7" t="n">
        <f t="normal" ca="1">32-LENB(INDIRECT(ADDRESS(38859,96)))</f>
        <v>0</v>
      </c>
      <c r="CT38859" s="7" t="n">
        <v>7</v>
      </c>
      <c r="CU38859" s="7" t="n">
        <v>65533</v>
      </c>
      <c r="CV38859" s="7" t="n">
        <v>64411</v>
      </c>
      <c r="CW38859" s="7" t="s">
        <v>16</v>
      </c>
      <c r="CX38859" s="7" t="n">
        <f t="normal" ca="1">32-LENB(INDIRECT(ADDRESS(38859,101)))</f>
        <v>0</v>
      </c>
      <c r="CY38859" s="7" t="n">
        <v>7</v>
      </c>
      <c r="CZ38859" s="7" t="n">
        <v>65533</v>
      </c>
      <c r="DA38859" s="7" t="n">
        <v>64412</v>
      </c>
      <c r="DB38859" s="7" t="s">
        <v>16</v>
      </c>
      <c r="DC38859" s="7" t="n">
        <f t="normal" ca="1">32-LENB(INDIRECT(ADDRESS(38859,106)))</f>
        <v>0</v>
      </c>
      <c r="DD38859" s="7" t="n">
        <v>7</v>
      </c>
      <c r="DE38859" s="7" t="n">
        <v>65533</v>
      </c>
      <c r="DF38859" s="7" t="n">
        <v>64413</v>
      </c>
      <c r="DG38859" s="7" t="s">
        <v>16</v>
      </c>
      <c r="DH38859" s="7" t="n">
        <f t="normal" ca="1">32-LENB(INDIRECT(ADDRESS(38859,111)))</f>
        <v>0</v>
      </c>
      <c r="DI38859" s="7" t="n">
        <v>7</v>
      </c>
      <c r="DJ38859" s="7" t="n">
        <v>65533</v>
      </c>
      <c r="DK38859" s="7" t="n">
        <v>64414</v>
      </c>
      <c r="DL38859" s="7" t="s">
        <v>16</v>
      </c>
      <c r="DM38859" s="7" t="n">
        <f t="normal" ca="1">32-LENB(INDIRECT(ADDRESS(38859,116)))</f>
        <v>0</v>
      </c>
      <c r="DN38859" s="7" t="n">
        <v>7</v>
      </c>
      <c r="DO38859" s="7" t="n">
        <v>65533</v>
      </c>
      <c r="DP38859" s="7" t="n">
        <v>64415</v>
      </c>
      <c r="DQ38859" s="7" t="s">
        <v>16</v>
      </c>
      <c r="DR38859" s="7" t="n">
        <f t="normal" ca="1">32-LENB(INDIRECT(ADDRESS(38859,121)))</f>
        <v>0</v>
      </c>
      <c r="DS38859" s="7" t="n">
        <v>7</v>
      </c>
      <c r="DT38859" s="7" t="n">
        <v>65533</v>
      </c>
      <c r="DU38859" s="7" t="n">
        <v>64416</v>
      </c>
      <c r="DV38859" s="7" t="s">
        <v>16</v>
      </c>
      <c r="DW38859" s="7" t="n">
        <f t="normal" ca="1">32-LENB(INDIRECT(ADDRESS(38859,126)))</f>
        <v>0</v>
      </c>
      <c r="DX38859" s="7" t="n">
        <v>7</v>
      </c>
      <c r="DY38859" s="7" t="n">
        <v>65533</v>
      </c>
      <c r="DZ38859" s="7" t="n">
        <v>64417</v>
      </c>
      <c r="EA38859" s="7" t="s">
        <v>16</v>
      </c>
      <c r="EB38859" s="7" t="n">
        <f t="normal" ca="1">32-LENB(INDIRECT(ADDRESS(38859,131)))</f>
        <v>0</v>
      </c>
      <c r="EC38859" s="7" t="n">
        <v>7</v>
      </c>
      <c r="ED38859" s="7" t="n">
        <v>65533</v>
      </c>
      <c r="EE38859" s="7" t="n">
        <v>64418</v>
      </c>
      <c r="EF38859" s="7" t="s">
        <v>16</v>
      </c>
      <c r="EG38859" s="7" t="n">
        <f t="normal" ca="1">32-LENB(INDIRECT(ADDRESS(38859,136)))</f>
        <v>0</v>
      </c>
      <c r="EH38859" s="7" t="n">
        <v>7</v>
      </c>
      <c r="EI38859" s="7" t="n">
        <v>65533</v>
      </c>
      <c r="EJ38859" s="7" t="n">
        <v>64419</v>
      </c>
      <c r="EK38859" s="7" t="s">
        <v>16</v>
      </c>
      <c r="EL38859" s="7" t="n">
        <f t="normal" ca="1">32-LENB(INDIRECT(ADDRESS(38859,141)))</f>
        <v>0</v>
      </c>
      <c r="EM38859" s="7" t="n">
        <v>7</v>
      </c>
      <c r="EN38859" s="7" t="n">
        <v>65533</v>
      </c>
      <c r="EO38859" s="7" t="n">
        <v>64420</v>
      </c>
      <c r="EP38859" s="7" t="s">
        <v>16</v>
      </c>
      <c r="EQ38859" s="7" t="n">
        <f t="normal" ca="1">32-LENB(INDIRECT(ADDRESS(38859,146)))</f>
        <v>0</v>
      </c>
      <c r="ER38859" s="7" t="n">
        <v>7</v>
      </c>
      <c r="ES38859" s="7" t="n">
        <v>65533</v>
      </c>
      <c r="ET38859" s="7" t="n">
        <v>64421</v>
      </c>
      <c r="EU38859" s="7" t="s">
        <v>16</v>
      </c>
      <c r="EV38859" s="7" t="n">
        <f t="normal" ca="1">32-LENB(INDIRECT(ADDRESS(38859,151)))</f>
        <v>0</v>
      </c>
      <c r="EW38859" s="7" t="n">
        <v>7</v>
      </c>
      <c r="EX38859" s="7" t="n">
        <v>65533</v>
      </c>
      <c r="EY38859" s="7" t="n">
        <v>64422</v>
      </c>
      <c r="EZ38859" s="7" t="s">
        <v>16</v>
      </c>
      <c r="FA38859" s="7" t="n">
        <f t="normal" ca="1">32-LENB(INDIRECT(ADDRESS(38859,156)))</f>
        <v>0</v>
      </c>
      <c r="FB38859" s="7" t="n">
        <v>7</v>
      </c>
      <c r="FC38859" s="7" t="n">
        <v>65533</v>
      </c>
      <c r="FD38859" s="7" t="n">
        <v>64423</v>
      </c>
      <c r="FE38859" s="7" t="s">
        <v>16</v>
      </c>
      <c r="FF38859" s="7" t="n">
        <f t="normal" ca="1">32-LENB(INDIRECT(ADDRESS(38859,161)))</f>
        <v>0</v>
      </c>
      <c r="FG38859" s="7" t="n">
        <v>7</v>
      </c>
      <c r="FH38859" s="7" t="n">
        <v>65533</v>
      </c>
      <c r="FI38859" s="7" t="n">
        <v>64424</v>
      </c>
      <c r="FJ38859" s="7" t="s">
        <v>16</v>
      </c>
      <c r="FK38859" s="7" t="n">
        <f t="normal" ca="1">32-LENB(INDIRECT(ADDRESS(38859,166)))</f>
        <v>0</v>
      </c>
      <c r="FL38859" s="7" t="n">
        <v>7</v>
      </c>
      <c r="FM38859" s="7" t="n">
        <v>65533</v>
      </c>
      <c r="FN38859" s="7" t="n">
        <v>64425</v>
      </c>
      <c r="FO38859" s="7" t="s">
        <v>16</v>
      </c>
      <c r="FP38859" s="7" t="n">
        <f t="normal" ca="1">32-LENB(INDIRECT(ADDRESS(38859,171)))</f>
        <v>0</v>
      </c>
      <c r="FQ38859" s="7" t="n">
        <v>7</v>
      </c>
      <c r="FR38859" s="7" t="n">
        <v>65533</v>
      </c>
      <c r="FS38859" s="7" t="n">
        <v>64426</v>
      </c>
      <c r="FT38859" s="7" t="s">
        <v>16</v>
      </c>
      <c r="FU38859" s="7" t="n">
        <f t="normal" ca="1">32-LENB(INDIRECT(ADDRESS(38859,176)))</f>
        <v>0</v>
      </c>
      <c r="FV38859" s="7" t="n">
        <v>7</v>
      </c>
      <c r="FW38859" s="7" t="n">
        <v>65533</v>
      </c>
      <c r="FX38859" s="7" t="n">
        <v>64427</v>
      </c>
      <c r="FY38859" s="7" t="s">
        <v>16</v>
      </c>
      <c r="FZ38859" s="7" t="n">
        <f t="normal" ca="1">32-LENB(INDIRECT(ADDRESS(38859,181)))</f>
        <v>0</v>
      </c>
      <c r="GA38859" s="7" t="n">
        <v>7</v>
      </c>
      <c r="GB38859" s="7" t="n">
        <v>65533</v>
      </c>
      <c r="GC38859" s="7" t="n">
        <v>64428</v>
      </c>
      <c r="GD38859" s="7" t="s">
        <v>16</v>
      </c>
      <c r="GE38859" s="7" t="n">
        <f t="normal" ca="1">32-LENB(INDIRECT(ADDRESS(38859,186)))</f>
        <v>0</v>
      </c>
      <c r="GF38859" s="7" t="n">
        <v>7</v>
      </c>
      <c r="GG38859" s="7" t="n">
        <v>65533</v>
      </c>
      <c r="GH38859" s="7" t="n">
        <v>64429</v>
      </c>
      <c r="GI38859" s="7" t="s">
        <v>16</v>
      </c>
      <c r="GJ38859" s="7" t="n">
        <f t="normal" ca="1">32-LENB(INDIRECT(ADDRESS(38859,191)))</f>
        <v>0</v>
      </c>
      <c r="GK38859" s="7" t="n">
        <v>7</v>
      </c>
      <c r="GL38859" s="7" t="n">
        <v>65533</v>
      </c>
      <c r="GM38859" s="7" t="n">
        <v>64430</v>
      </c>
      <c r="GN38859" s="7" t="s">
        <v>16</v>
      </c>
      <c r="GO38859" s="7" t="n">
        <f t="normal" ca="1">32-LENB(INDIRECT(ADDRESS(38859,196)))</f>
        <v>0</v>
      </c>
      <c r="GP38859" s="7" t="n">
        <v>7</v>
      </c>
      <c r="GQ38859" s="7" t="n">
        <v>65533</v>
      </c>
      <c r="GR38859" s="7" t="n">
        <v>64431</v>
      </c>
      <c r="GS38859" s="7" t="s">
        <v>16</v>
      </c>
      <c r="GT38859" s="7" t="n">
        <f t="normal" ca="1">32-LENB(INDIRECT(ADDRESS(38859,201)))</f>
        <v>0</v>
      </c>
      <c r="GU38859" s="7" t="n">
        <v>7</v>
      </c>
      <c r="GV38859" s="7" t="n">
        <v>65533</v>
      </c>
      <c r="GW38859" s="7" t="n">
        <v>64432</v>
      </c>
      <c r="GX38859" s="7" t="s">
        <v>16</v>
      </c>
      <c r="GY38859" s="7" t="n">
        <f t="normal" ca="1">32-LENB(INDIRECT(ADDRESS(38859,206)))</f>
        <v>0</v>
      </c>
      <c r="GZ38859" s="7" t="n">
        <v>0</v>
      </c>
      <c r="HA38859" s="7" t="n">
        <v>65533</v>
      </c>
      <c r="HB38859" s="7" t="n">
        <v>0</v>
      </c>
      <c r="HC38859" s="7" t="s">
        <v>16</v>
      </c>
      <c r="HD38859" s="7" t="n">
        <f t="normal" ca="1">32-LENB(INDIRECT(ADDRESS(38859,211)))</f>
        <v>0</v>
      </c>
    </row>
    <row r="38860" spans="1:212">
      <c r="A38860" t="s">
        <v>4</v>
      </c>
      <c r="B38860" s="4" t="s">
        <v>5</v>
      </c>
    </row>
    <row r="38861" spans="1:212">
      <c r="A38861" t="n">
        <v>425264</v>
      </c>
      <c r="B38861" s="5" t="n">
        <v>1</v>
      </c>
    </row>
    <row r="38862" spans="1:212" s="3" customFormat="1" customHeight="0">
      <c r="A38862" s="3" t="s">
        <v>2</v>
      </c>
      <c r="B38862" s="3" t="s">
        <v>1881</v>
      </c>
    </row>
    <row r="38863" spans="1:212">
      <c r="A38863" t="s">
        <v>4</v>
      </c>
      <c r="B38863" s="4" t="s">
        <v>5</v>
      </c>
      <c r="C38863" s="4" t="s">
        <v>11</v>
      </c>
      <c r="D38863" s="4" t="s">
        <v>11</v>
      </c>
      <c r="E38863" s="4" t="s">
        <v>15</v>
      </c>
      <c r="F38863" s="4" t="s">
        <v>8</v>
      </c>
      <c r="G38863" s="4" t="s">
        <v>1859</v>
      </c>
      <c r="H38863" s="4" t="s">
        <v>11</v>
      </c>
      <c r="I38863" s="4" t="s">
        <v>11</v>
      </c>
      <c r="J38863" s="4" t="s">
        <v>15</v>
      </c>
      <c r="K38863" s="4" t="s">
        <v>8</v>
      </c>
      <c r="L38863" s="4" t="s">
        <v>1859</v>
      </c>
      <c r="M38863" s="4" t="s">
        <v>11</v>
      </c>
      <c r="N38863" s="4" t="s">
        <v>11</v>
      </c>
      <c r="O38863" s="4" t="s">
        <v>15</v>
      </c>
      <c r="P38863" s="4" t="s">
        <v>8</v>
      </c>
      <c r="Q38863" s="4" t="s">
        <v>1859</v>
      </c>
      <c r="R38863" s="4" t="s">
        <v>11</v>
      </c>
      <c r="S38863" s="4" t="s">
        <v>11</v>
      </c>
      <c r="T38863" s="4" t="s">
        <v>15</v>
      </c>
      <c r="U38863" s="4" t="s">
        <v>8</v>
      </c>
      <c r="V38863" s="4" t="s">
        <v>1859</v>
      </c>
      <c r="W38863" s="4" t="s">
        <v>11</v>
      </c>
      <c r="X38863" s="4" t="s">
        <v>11</v>
      </c>
      <c r="Y38863" s="4" t="s">
        <v>15</v>
      </c>
      <c r="Z38863" s="4" t="s">
        <v>8</v>
      </c>
      <c r="AA38863" s="4" t="s">
        <v>1859</v>
      </c>
      <c r="AB38863" s="4" t="s">
        <v>11</v>
      </c>
      <c r="AC38863" s="4" t="s">
        <v>11</v>
      </c>
      <c r="AD38863" s="4" t="s">
        <v>15</v>
      </c>
      <c r="AE38863" s="4" t="s">
        <v>8</v>
      </c>
      <c r="AF38863" s="4" t="s">
        <v>1859</v>
      </c>
      <c r="AG38863" s="4" t="s">
        <v>11</v>
      </c>
      <c r="AH38863" s="4" t="s">
        <v>11</v>
      </c>
      <c r="AI38863" s="4" t="s">
        <v>15</v>
      </c>
      <c r="AJ38863" s="4" t="s">
        <v>8</v>
      </c>
      <c r="AK38863" s="4" t="s">
        <v>1859</v>
      </c>
      <c r="AL38863" s="4" t="s">
        <v>11</v>
      </c>
      <c r="AM38863" s="4" t="s">
        <v>11</v>
      </c>
      <c r="AN38863" s="4" t="s">
        <v>15</v>
      </c>
      <c r="AO38863" s="4" t="s">
        <v>8</v>
      </c>
      <c r="AP38863" s="4" t="s">
        <v>1859</v>
      </c>
      <c r="AQ38863" s="4" t="s">
        <v>11</v>
      </c>
      <c r="AR38863" s="4" t="s">
        <v>11</v>
      </c>
      <c r="AS38863" s="4" t="s">
        <v>15</v>
      </c>
      <c r="AT38863" s="4" t="s">
        <v>8</v>
      </c>
      <c r="AU38863" s="4" t="s">
        <v>1859</v>
      </c>
      <c r="AV38863" s="4" t="s">
        <v>11</v>
      </c>
      <c r="AW38863" s="4" t="s">
        <v>11</v>
      </c>
      <c r="AX38863" s="4" t="s">
        <v>15</v>
      </c>
      <c r="AY38863" s="4" t="s">
        <v>8</v>
      </c>
      <c r="AZ38863" s="4" t="s">
        <v>1859</v>
      </c>
      <c r="BA38863" s="4" t="s">
        <v>11</v>
      </c>
      <c r="BB38863" s="4" t="s">
        <v>11</v>
      </c>
      <c r="BC38863" s="4" t="s">
        <v>15</v>
      </c>
      <c r="BD38863" s="4" t="s">
        <v>8</v>
      </c>
      <c r="BE38863" s="4" t="s">
        <v>1859</v>
      </c>
      <c r="BF38863" s="4" t="s">
        <v>11</v>
      </c>
      <c r="BG38863" s="4" t="s">
        <v>11</v>
      </c>
      <c r="BH38863" s="4" t="s">
        <v>15</v>
      </c>
      <c r="BI38863" s="4" t="s">
        <v>8</v>
      </c>
      <c r="BJ38863" s="4" t="s">
        <v>1859</v>
      </c>
      <c r="BK38863" s="4" t="s">
        <v>11</v>
      </c>
      <c r="BL38863" s="4" t="s">
        <v>11</v>
      </c>
      <c r="BM38863" s="4" t="s">
        <v>15</v>
      </c>
      <c r="BN38863" s="4" t="s">
        <v>8</v>
      </c>
      <c r="BO38863" s="4" t="s">
        <v>1859</v>
      </c>
      <c r="BP38863" s="4" t="s">
        <v>11</v>
      </c>
      <c r="BQ38863" s="4" t="s">
        <v>11</v>
      </c>
      <c r="BR38863" s="4" t="s">
        <v>15</v>
      </c>
      <c r="BS38863" s="4" t="s">
        <v>8</v>
      </c>
      <c r="BT38863" s="4" t="s">
        <v>1859</v>
      </c>
      <c r="BU38863" s="4" t="s">
        <v>11</v>
      </c>
      <c r="BV38863" s="4" t="s">
        <v>11</v>
      </c>
      <c r="BW38863" s="4" t="s">
        <v>15</v>
      </c>
      <c r="BX38863" s="4" t="s">
        <v>8</v>
      </c>
      <c r="BY38863" s="4" t="s">
        <v>1859</v>
      </c>
      <c r="BZ38863" s="4" t="s">
        <v>11</v>
      </c>
      <c r="CA38863" s="4" t="s">
        <v>11</v>
      </c>
      <c r="CB38863" s="4" t="s">
        <v>15</v>
      </c>
      <c r="CC38863" s="4" t="s">
        <v>8</v>
      </c>
      <c r="CD38863" s="4" t="s">
        <v>1859</v>
      </c>
      <c r="CE38863" s="4" t="s">
        <v>11</v>
      </c>
      <c r="CF38863" s="4" t="s">
        <v>11</v>
      </c>
      <c r="CG38863" s="4" t="s">
        <v>15</v>
      </c>
      <c r="CH38863" s="4" t="s">
        <v>8</v>
      </c>
      <c r="CI38863" s="4" t="s">
        <v>1859</v>
      </c>
      <c r="CJ38863" s="4" t="s">
        <v>11</v>
      </c>
      <c r="CK38863" s="4" t="s">
        <v>11</v>
      </c>
      <c r="CL38863" s="4" t="s">
        <v>15</v>
      </c>
      <c r="CM38863" s="4" t="s">
        <v>8</v>
      </c>
      <c r="CN38863" s="4" t="s">
        <v>1859</v>
      </c>
      <c r="CO38863" s="4" t="s">
        <v>11</v>
      </c>
      <c r="CP38863" s="4" t="s">
        <v>11</v>
      </c>
      <c r="CQ38863" s="4" t="s">
        <v>15</v>
      </c>
      <c r="CR38863" s="4" t="s">
        <v>8</v>
      </c>
      <c r="CS38863" s="4" t="s">
        <v>1859</v>
      </c>
      <c r="CT38863" s="4" t="s">
        <v>11</v>
      </c>
      <c r="CU38863" s="4" t="s">
        <v>11</v>
      </c>
      <c r="CV38863" s="4" t="s">
        <v>15</v>
      </c>
      <c r="CW38863" s="4" t="s">
        <v>8</v>
      </c>
      <c r="CX38863" s="4" t="s">
        <v>1859</v>
      </c>
      <c r="CY38863" s="4" t="s">
        <v>11</v>
      </c>
      <c r="CZ38863" s="4" t="s">
        <v>11</v>
      </c>
      <c r="DA38863" s="4" t="s">
        <v>15</v>
      </c>
      <c r="DB38863" s="4" t="s">
        <v>8</v>
      </c>
      <c r="DC38863" s="4" t="s">
        <v>1859</v>
      </c>
      <c r="DD38863" s="4" t="s">
        <v>11</v>
      </c>
      <c r="DE38863" s="4" t="s">
        <v>11</v>
      </c>
      <c r="DF38863" s="4" t="s">
        <v>15</v>
      </c>
      <c r="DG38863" s="4" t="s">
        <v>8</v>
      </c>
      <c r="DH38863" s="4" t="s">
        <v>1859</v>
      </c>
      <c r="DI38863" s="4" t="s">
        <v>11</v>
      </c>
      <c r="DJ38863" s="4" t="s">
        <v>11</v>
      </c>
      <c r="DK38863" s="4" t="s">
        <v>15</v>
      </c>
      <c r="DL38863" s="4" t="s">
        <v>8</v>
      </c>
      <c r="DM38863" s="4" t="s">
        <v>1859</v>
      </c>
      <c r="DN38863" s="4" t="s">
        <v>11</v>
      </c>
      <c r="DO38863" s="4" t="s">
        <v>11</v>
      </c>
      <c r="DP38863" s="4" t="s">
        <v>15</v>
      </c>
      <c r="DQ38863" s="4" t="s">
        <v>8</v>
      </c>
      <c r="DR38863" s="4" t="s">
        <v>1859</v>
      </c>
      <c r="DS38863" s="4" t="s">
        <v>11</v>
      </c>
      <c r="DT38863" s="4" t="s">
        <v>11</v>
      </c>
      <c r="DU38863" s="4" t="s">
        <v>15</v>
      </c>
      <c r="DV38863" s="4" t="s">
        <v>8</v>
      </c>
      <c r="DW38863" s="4" t="s">
        <v>1859</v>
      </c>
      <c r="DX38863" s="4" t="s">
        <v>11</v>
      </c>
      <c r="DY38863" s="4" t="s">
        <v>11</v>
      </c>
      <c r="DZ38863" s="4" t="s">
        <v>15</v>
      </c>
      <c r="EA38863" s="4" t="s">
        <v>8</v>
      </c>
      <c r="EB38863" s="4" t="s">
        <v>1859</v>
      </c>
      <c r="EC38863" s="4" t="s">
        <v>11</v>
      </c>
      <c r="ED38863" s="4" t="s">
        <v>11</v>
      </c>
      <c r="EE38863" s="4" t="s">
        <v>15</v>
      </c>
      <c r="EF38863" s="4" t="s">
        <v>8</v>
      </c>
      <c r="EG38863" s="4" t="s">
        <v>1859</v>
      </c>
      <c r="EH38863" s="4" t="s">
        <v>11</v>
      </c>
      <c r="EI38863" s="4" t="s">
        <v>11</v>
      </c>
      <c r="EJ38863" s="4" t="s">
        <v>15</v>
      </c>
      <c r="EK38863" s="4" t="s">
        <v>8</v>
      </c>
      <c r="EL38863" s="4" t="s">
        <v>1859</v>
      </c>
      <c r="EM38863" s="4" t="s">
        <v>11</v>
      </c>
      <c r="EN38863" s="4" t="s">
        <v>11</v>
      </c>
      <c r="EO38863" s="4" t="s">
        <v>15</v>
      </c>
      <c r="EP38863" s="4" t="s">
        <v>8</v>
      </c>
      <c r="EQ38863" s="4" t="s">
        <v>1859</v>
      </c>
      <c r="ER38863" s="4" t="s">
        <v>11</v>
      </c>
      <c r="ES38863" s="4" t="s">
        <v>11</v>
      </c>
      <c r="ET38863" s="4" t="s">
        <v>15</v>
      </c>
      <c r="EU38863" s="4" t="s">
        <v>8</v>
      </c>
      <c r="EV38863" s="4" t="s">
        <v>1859</v>
      </c>
      <c r="EW38863" s="4" t="s">
        <v>11</v>
      </c>
      <c r="EX38863" s="4" t="s">
        <v>11</v>
      </c>
      <c r="EY38863" s="4" t="s">
        <v>15</v>
      </c>
      <c r="EZ38863" s="4" t="s">
        <v>8</v>
      </c>
      <c r="FA38863" s="4" t="s">
        <v>1859</v>
      </c>
      <c r="FB38863" s="4" t="s">
        <v>11</v>
      </c>
      <c r="FC38863" s="4" t="s">
        <v>11</v>
      </c>
      <c r="FD38863" s="4" t="s">
        <v>15</v>
      </c>
      <c r="FE38863" s="4" t="s">
        <v>8</v>
      </c>
      <c r="FF38863" s="4" t="s">
        <v>1859</v>
      </c>
      <c r="FG38863" s="4" t="s">
        <v>11</v>
      </c>
      <c r="FH38863" s="4" t="s">
        <v>11</v>
      </c>
      <c r="FI38863" s="4" t="s">
        <v>15</v>
      </c>
      <c r="FJ38863" s="4" t="s">
        <v>8</v>
      </c>
      <c r="FK38863" s="4" t="s">
        <v>1859</v>
      </c>
      <c r="FL38863" s="4" t="s">
        <v>11</v>
      </c>
      <c r="FM38863" s="4" t="s">
        <v>11</v>
      </c>
      <c r="FN38863" s="4" t="s">
        <v>15</v>
      </c>
      <c r="FO38863" s="4" t="s">
        <v>8</v>
      </c>
      <c r="FP38863" s="4" t="s">
        <v>1859</v>
      </c>
      <c r="FQ38863" s="4" t="s">
        <v>11</v>
      </c>
      <c r="FR38863" s="4" t="s">
        <v>11</v>
      </c>
      <c r="FS38863" s="4" t="s">
        <v>15</v>
      </c>
      <c r="FT38863" s="4" t="s">
        <v>8</v>
      </c>
      <c r="FU38863" s="4" t="s">
        <v>1859</v>
      </c>
      <c r="FV38863" s="4" t="s">
        <v>11</v>
      </c>
      <c r="FW38863" s="4" t="s">
        <v>11</v>
      </c>
      <c r="FX38863" s="4" t="s">
        <v>15</v>
      </c>
      <c r="FY38863" s="4" t="s">
        <v>8</v>
      </c>
      <c r="FZ38863" s="4" t="s">
        <v>1859</v>
      </c>
      <c r="GA38863" s="4" t="s">
        <v>11</v>
      </c>
      <c r="GB38863" s="4" t="s">
        <v>11</v>
      </c>
      <c r="GC38863" s="4" t="s">
        <v>15</v>
      </c>
      <c r="GD38863" s="4" t="s">
        <v>8</v>
      </c>
      <c r="GE38863" s="4" t="s">
        <v>1859</v>
      </c>
      <c r="GF38863" s="4" t="s">
        <v>11</v>
      </c>
      <c r="GG38863" s="4" t="s">
        <v>11</v>
      </c>
      <c r="GH38863" s="4" t="s">
        <v>15</v>
      </c>
      <c r="GI38863" s="4" t="s">
        <v>8</v>
      </c>
      <c r="GJ38863" s="4" t="s">
        <v>1859</v>
      </c>
      <c r="GK38863" s="4" t="s">
        <v>11</v>
      </c>
      <c r="GL38863" s="4" t="s">
        <v>11</v>
      </c>
      <c r="GM38863" s="4" t="s">
        <v>15</v>
      </c>
      <c r="GN38863" s="4" t="s">
        <v>8</v>
      </c>
      <c r="GO38863" s="4" t="s">
        <v>1859</v>
      </c>
      <c r="GP38863" s="4" t="s">
        <v>11</v>
      </c>
      <c r="GQ38863" s="4" t="s">
        <v>11</v>
      </c>
      <c r="GR38863" s="4" t="s">
        <v>15</v>
      </c>
      <c r="GS38863" s="4" t="s">
        <v>8</v>
      </c>
      <c r="GT38863" s="4" t="s">
        <v>1859</v>
      </c>
      <c r="GU38863" s="4" t="s">
        <v>11</v>
      </c>
      <c r="GV38863" s="4" t="s">
        <v>11</v>
      </c>
      <c r="GW38863" s="4" t="s">
        <v>15</v>
      </c>
      <c r="GX38863" s="4" t="s">
        <v>8</v>
      </c>
      <c r="GY38863" s="4" t="s">
        <v>1859</v>
      </c>
      <c r="GZ38863" s="4" t="s">
        <v>11</v>
      </c>
      <c r="HA38863" s="4" t="s">
        <v>11</v>
      </c>
      <c r="HB38863" s="4" t="s">
        <v>15</v>
      </c>
      <c r="HC38863" s="4" t="s">
        <v>8</v>
      </c>
      <c r="HD38863" s="4" t="s">
        <v>1859</v>
      </c>
      <c r="HE38863" s="4" t="s">
        <v>11</v>
      </c>
      <c r="HF38863" s="4" t="s">
        <v>11</v>
      </c>
      <c r="HG38863" s="4" t="s">
        <v>15</v>
      </c>
      <c r="HH38863" s="4" t="s">
        <v>8</v>
      </c>
      <c r="HI38863" s="4" t="s">
        <v>1859</v>
      </c>
      <c r="HJ38863" s="4" t="s">
        <v>11</v>
      </c>
      <c r="HK38863" s="4" t="s">
        <v>11</v>
      </c>
      <c r="HL38863" s="4" t="s">
        <v>15</v>
      </c>
      <c r="HM38863" s="4" t="s">
        <v>8</v>
      </c>
      <c r="HN38863" s="4" t="s">
        <v>1859</v>
      </c>
    </row>
    <row r="38864" spans="1:212">
      <c r="A38864" t="n">
        <v>425280</v>
      </c>
      <c r="B38864" s="85" t="n">
        <v>257</v>
      </c>
      <c r="C38864" s="7" t="n">
        <v>7</v>
      </c>
      <c r="D38864" s="7" t="n">
        <v>65533</v>
      </c>
      <c r="E38864" s="7" t="n">
        <v>64433</v>
      </c>
      <c r="F38864" s="7" t="s">
        <v>16</v>
      </c>
      <c r="G38864" s="7" t="n">
        <f t="normal" ca="1">32-LENB(INDIRECT(ADDRESS(38864,6)))</f>
        <v>0</v>
      </c>
      <c r="H38864" s="7" t="n">
        <v>7</v>
      </c>
      <c r="I38864" s="7" t="n">
        <v>65533</v>
      </c>
      <c r="J38864" s="7" t="n">
        <v>64434</v>
      </c>
      <c r="K38864" s="7" t="s">
        <v>16</v>
      </c>
      <c r="L38864" s="7" t="n">
        <f t="normal" ca="1">32-LENB(INDIRECT(ADDRESS(38864,11)))</f>
        <v>0</v>
      </c>
      <c r="M38864" s="7" t="n">
        <v>7</v>
      </c>
      <c r="N38864" s="7" t="n">
        <v>65533</v>
      </c>
      <c r="O38864" s="7" t="n">
        <v>64435</v>
      </c>
      <c r="P38864" s="7" t="s">
        <v>16</v>
      </c>
      <c r="Q38864" s="7" t="n">
        <f t="normal" ca="1">32-LENB(INDIRECT(ADDRESS(38864,16)))</f>
        <v>0</v>
      </c>
      <c r="R38864" s="7" t="n">
        <v>7</v>
      </c>
      <c r="S38864" s="7" t="n">
        <v>65533</v>
      </c>
      <c r="T38864" s="7" t="n">
        <v>64436</v>
      </c>
      <c r="U38864" s="7" t="s">
        <v>16</v>
      </c>
      <c r="V38864" s="7" t="n">
        <f t="normal" ca="1">32-LENB(INDIRECT(ADDRESS(38864,21)))</f>
        <v>0</v>
      </c>
      <c r="W38864" s="7" t="n">
        <v>7</v>
      </c>
      <c r="X38864" s="7" t="n">
        <v>65533</v>
      </c>
      <c r="Y38864" s="7" t="n">
        <v>64437</v>
      </c>
      <c r="Z38864" s="7" t="s">
        <v>16</v>
      </c>
      <c r="AA38864" s="7" t="n">
        <f t="normal" ca="1">32-LENB(INDIRECT(ADDRESS(38864,26)))</f>
        <v>0</v>
      </c>
      <c r="AB38864" s="7" t="n">
        <v>7</v>
      </c>
      <c r="AC38864" s="7" t="n">
        <v>65533</v>
      </c>
      <c r="AD38864" s="7" t="n">
        <v>64438</v>
      </c>
      <c r="AE38864" s="7" t="s">
        <v>16</v>
      </c>
      <c r="AF38864" s="7" t="n">
        <f t="normal" ca="1">32-LENB(INDIRECT(ADDRESS(38864,31)))</f>
        <v>0</v>
      </c>
      <c r="AG38864" s="7" t="n">
        <v>7</v>
      </c>
      <c r="AH38864" s="7" t="n">
        <v>65533</v>
      </c>
      <c r="AI38864" s="7" t="n">
        <v>64439</v>
      </c>
      <c r="AJ38864" s="7" t="s">
        <v>16</v>
      </c>
      <c r="AK38864" s="7" t="n">
        <f t="normal" ca="1">32-LENB(INDIRECT(ADDRESS(38864,36)))</f>
        <v>0</v>
      </c>
      <c r="AL38864" s="7" t="n">
        <v>7</v>
      </c>
      <c r="AM38864" s="7" t="n">
        <v>65533</v>
      </c>
      <c r="AN38864" s="7" t="n">
        <v>64440</v>
      </c>
      <c r="AO38864" s="7" t="s">
        <v>16</v>
      </c>
      <c r="AP38864" s="7" t="n">
        <f t="normal" ca="1">32-LENB(INDIRECT(ADDRESS(38864,41)))</f>
        <v>0</v>
      </c>
      <c r="AQ38864" s="7" t="n">
        <v>7</v>
      </c>
      <c r="AR38864" s="7" t="n">
        <v>65533</v>
      </c>
      <c r="AS38864" s="7" t="n">
        <v>64441</v>
      </c>
      <c r="AT38864" s="7" t="s">
        <v>16</v>
      </c>
      <c r="AU38864" s="7" t="n">
        <f t="normal" ca="1">32-LENB(INDIRECT(ADDRESS(38864,46)))</f>
        <v>0</v>
      </c>
      <c r="AV38864" s="7" t="n">
        <v>7</v>
      </c>
      <c r="AW38864" s="7" t="n">
        <v>65533</v>
      </c>
      <c r="AX38864" s="7" t="n">
        <v>64442</v>
      </c>
      <c r="AY38864" s="7" t="s">
        <v>16</v>
      </c>
      <c r="AZ38864" s="7" t="n">
        <f t="normal" ca="1">32-LENB(INDIRECT(ADDRESS(38864,51)))</f>
        <v>0</v>
      </c>
      <c r="BA38864" s="7" t="n">
        <v>7</v>
      </c>
      <c r="BB38864" s="7" t="n">
        <v>65533</v>
      </c>
      <c r="BC38864" s="7" t="n">
        <v>64443</v>
      </c>
      <c r="BD38864" s="7" t="s">
        <v>16</v>
      </c>
      <c r="BE38864" s="7" t="n">
        <f t="normal" ca="1">32-LENB(INDIRECT(ADDRESS(38864,56)))</f>
        <v>0</v>
      </c>
      <c r="BF38864" s="7" t="n">
        <v>7</v>
      </c>
      <c r="BG38864" s="7" t="n">
        <v>65533</v>
      </c>
      <c r="BH38864" s="7" t="n">
        <v>64444</v>
      </c>
      <c r="BI38864" s="7" t="s">
        <v>16</v>
      </c>
      <c r="BJ38864" s="7" t="n">
        <f t="normal" ca="1">32-LENB(INDIRECT(ADDRESS(38864,61)))</f>
        <v>0</v>
      </c>
      <c r="BK38864" s="7" t="n">
        <v>7</v>
      </c>
      <c r="BL38864" s="7" t="n">
        <v>65533</v>
      </c>
      <c r="BM38864" s="7" t="n">
        <v>64445</v>
      </c>
      <c r="BN38864" s="7" t="s">
        <v>16</v>
      </c>
      <c r="BO38864" s="7" t="n">
        <f t="normal" ca="1">32-LENB(INDIRECT(ADDRESS(38864,66)))</f>
        <v>0</v>
      </c>
      <c r="BP38864" s="7" t="n">
        <v>7</v>
      </c>
      <c r="BQ38864" s="7" t="n">
        <v>65533</v>
      </c>
      <c r="BR38864" s="7" t="n">
        <v>64446</v>
      </c>
      <c r="BS38864" s="7" t="s">
        <v>16</v>
      </c>
      <c r="BT38864" s="7" t="n">
        <f t="normal" ca="1">32-LENB(INDIRECT(ADDRESS(38864,71)))</f>
        <v>0</v>
      </c>
      <c r="BU38864" s="7" t="n">
        <v>7</v>
      </c>
      <c r="BV38864" s="7" t="n">
        <v>65533</v>
      </c>
      <c r="BW38864" s="7" t="n">
        <v>64447</v>
      </c>
      <c r="BX38864" s="7" t="s">
        <v>16</v>
      </c>
      <c r="BY38864" s="7" t="n">
        <f t="normal" ca="1">32-LENB(INDIRECT(ADDRESS(38864,76)))</f>
        <v>0</v>
      </c>
      <c r="BZ38864" s="7" t="n">
        <v>7</v>
      </c>
      <c r="CA38864" s="7" t="n">
        <v>65533</v>
      </c>
      <c r="CB38864" s="7" t="n">
        <v>64448</v>
      </c>
      <c r="CC38864" s="7" t="s">
        <v>16</v>
      </c>
      <c r="CD38864" s="7" t="n">
        <f t="normal" ca="1">32-LENB(INDIRECT(ADDRESS(38864,81)))</f>
        <v>0</v>
      </c>
      <c r="CE38864" s="7" t="n">
        <v>7</v>
      </c>
      <c r="CF38864" s="7" t="n">
        <v>65533</v>
      </c>
      <c r="CG38864" s="7" t="n">
        <v>64449</v>
      </c>
      <c r="CH38864" s="7" t="s">
        <v>16</v>
      </c>
      <c r="CI38864" s="7" t="n">
        <f t="normal" ca="1">32-LENB(INDIRECT(ADDRESS(38864,86)))</f>
        <v>0</v>
      </c>
      <c r="CJ38864" s="7" t="n">
        <v>7</v>
      </c>
      <c r="CK38864" s="7" t="n">
        <v>65533</v>
      </c>
      <c r="CL38864" s="7" t="n">
        <v>64450</v>
      </c>
      <c r="CM38864" s="7" t="s">
        <v>16</v>
      </c>
      <c r="CN38864" s="7" t="n">
        <f t="normal" ca="1">32-LENB(INDIRECT(ADDRESS(38864,91)))</f>
        <v>0</v>
      </c>
      <c r="CO38864" s="7" t="n">
        <v>7</v>
      </c>
      <c r="CP38864" s="7" t="n">
        <v>65533</v>
      </c>
      <c r="CQ38864" s="7" t="n">
        <v>64451</v>
      </c>
      <c r="CR38864" s="7" t="s">
        <v>16</v>
      </c>
      <c r="CS38864" s="7" t="n">
        <f t="normal" ca="1">32-LENB(INDIRECT(ADDRESS(38864,96)))</f>
        <v>0</v>
      </c>
      <c r="CT38864" s="7" t="n">
        <v>7</v>
      </c>
      <c r="CU38864" s="7" t="n">
        <v>65533</v>
      </c>
      <c r="CV38864" s="7" t="n">
        <v>64452</v>
      </c>
      <c r="CW38864" s="7" t="s">
        <v>16</v>
      </c>
      <c r="CX38864" s="7" t="n">
        <f t="normal" ca="1">32-LENB(INDIRECT(ADDRESS(38864,101)))</f>
        <v>0</v>
      </c>
      <c r="CY38864" s="7" t="n">
        <v>7</v>
      </c>
      <c r="CZ38864" s="7" t="n">
        <v>65533</v>
      </c>
      <c r="DA38864" s="7" t="n">
        <v>64453</v>
      </c>
      <c r="DB38864" s="7" t="s">
        <v>16</v>
      </c>
      <c r="DC38864" s="7" t="n">
        <f t="normal" ca="1">32-LENB(INDIRECT(ADDRESS(38864,106)))</f>
        <v>0</v>
      </c>
      <c r="DD38864" s="7" t="n">
        <v>7</v>
      </c>
      <c r="DE38864" s="7" t="n">
        <v>65533</v>
      </c>
      <c r="DF38864" s="7" t="n">
        <v>64454</v>
      </c>
      <c r="DG38864" s="7" t="s">
        <v>16</v>
      </c>
      <c r="DH38864" s="7" t="n">
        <f t="normal" ca="1">32-LENB(INDIRECT(ADDRESS(38864,111)))</f>
        <v>0</v>
      </c>
      <c r="DI38864" s="7" t="n">
        <v>7</v>
      </c>
      <c r="DJ38864" s="7" t="n">
        <v>65533</v>
      </c>
      <c r="DK38864" s="7" t="n">
        <v>64455</v>
      </c>
      <c r="DL38864" s="7" t="s">
        <v>16</v>
      </c>
      <c r="DM38864" s="7" t="n">
        <f t="normal" ca="1">32-LENB(INDIRECT(ADDRESS(38864,116)))</f>
        <v>0</v>
      </c>
      <c r="DN38864" s="7" t="n">
        <v>7</v>
      </c>
      <c r="DO38864" s="7" t="n">
        <v>65533</v>
      </c>
      <c r="DP38864" s="7" t="n">
        <v>64456</v>
      </c>
      <c r="DQ38864" s="7" t="s">
        <v>16</v>
      </c>
      <c r="DR38864" s="7" t="n">
        <f t="normal" ca="1">32-LENB(INDIRECT(ADDRESS(38864,121)))</f>
        <v>0</v>
      </c>
      <c r="DS38864" s="7" t="n">
        <v>7</v>
      </c>
      <c r="DT38864" s="7" t="n">
        <v>65533</v>
      </c>
      <c r="DU38864" s="7" t="n">
        <v>64457</v>
      </c>
      <c r="DV38864" s="7" t="s">
        <v>16</v>
      </c>
      <c r="DW38864" s="7" t="n">
        <f t="normal" ca="1">32-LENB(INDIRECT(ADDRESS(38864,126)))</f>
        <v>0</v>
      </c>
      <c r="DX38864" s="7" t="n">
        <v>7</v>
      </c>
      <c r="DY38864" s="7" t="n">
        <v>65533</v>
      </c>
      <c r="DZ38864" s="7" t="n">
        <v>64458</v>
      </c>
      <c r="EA38864" s="7" t="s">
        <v>16</v>
      </c>
      <c r="EB38864" s="7" t="n">
        <f t="normal" ca="1">32-LENB(INDIRECT(ADDRESS(38864,131)))</f>
        <v>0</v>
      </c>
      <c r="EC38864" s="7" t="n">
        <v>7</v>
      </c>
      <c r="ED38864" s="7" t="n">
        <v>65533</v>
      </c>
      <c r="EE38864" s="7" t="n">
        <v>64459</v>
      </c>
      <c r="EF38864" s="7" t="s">
        <v>16</v>
      </c>
      <c r="EG38864" s="7" t="n">
        <f t="normal" ca="1">32-LENB(INDIRECT(ADDRESS(38864,136)))</f>
        <v>0</v>
      </c>
      <c r="EH38864" s="7" t="n">
        <v>7</v>
      </c>
      <c r="EI38864" s="7" t="n">
        <v>65533</v>
      </c>
      <c r="EJ38864" s="7" t="n">
        <v>64460</v>
      </c>
      <c r="EK38864" s="7" t="s">
        <v>16</v>
      </c>
      <c r="EL38864" s="7" t="n">
        <f t="normal" ca="1">32-LENB(INDIRECT(ADDRESS(38864,141)))</f>
        <v>0</v>
      </c>
      <c r="EM38864" s="7" t="n">
        <v>7</v>
      </c>
      <c r="EN38864" s="7" t="n">
        <v>65533</v>
      </c>
      <c r="EO38864" s="7" t="n">
        <v>64461</v>
      </c>
      <c r="EP38864" s="7" t="s">
        <v>16</v>
      </c>
      <c r="EQ38864" s="7" t="n">
        <f t="normal" ca="1">32-LENB(INDIRECT(ADDRESS(38864,146)))</f>
        <v>0</v>
      </c>
      <c r="ER38864" s="7" t="n">
        <v>7</v>
      </c>
      <c r="ES38864" s="7" t="n">
        <v>65533</v>
      </c>
      <c r="ET38864" s="7" t="n">
        <v>64462</v>
      </c>
      <c r="EU38864" s="7" t="s">
        <v>16</v>
      </c>
      <c r="EV38864" s="7" t="n">
        <f t="normal" ca="1">32-LENB(INDIRECT(ADDRESS(38864,151)))</f>
        <v>0</v>
      </c>
      <c r="EW38864" s="7" t="n">
        <v>7</v>
      </c>
      <c r="EX38864" s="7" t="n">
        <v>65533</v>
      </c>
      <c r="EY38864" s="7" t="n">
        <v>64463</v>
      </c>
      <c r="EZ38864" s="7" t="s">
        <v>16</v>
      </c>
      <c r="FA38864" s="7" t="n">
        <f t="normal" ca="1">32-LENB(INDIRECT(ADDRESS(38864,156)))</f>
        <v>0</v>
      </c>
      <c r="FB38864" s="7" t="n">
        <v>7</v>
      </c>
      <c r="FC38864" s="7" t="n">
        <v>65533</v>
      </c>
      <c r="FD38864" s="7" t="n">
        <v>64464</v>
      </c>
      <c r="FE38864" s="7" t="s">
        <v>16</v>
      </c>
      <c r="FF38864" s="7" t="n">
        <f t="normal" ca="1">32-LENB(INDIRECT(ADDRESS(38864,161)))</f>
        <v>0</v>
      </c>
      <c r="FG38864" s="7" t="n">
        <v>7</v>
      </c>
      <c r="FH38864" s="7" t="n">
        <v>65533</v>
      </c>
      <c r="FI38864" s="7" t="n">
        <v>64465</v>
      </c>
      <c r="FJ38864" s="7" t="s">
        <v>16</v>
      </c>
      <c r="FK38864" s="7" t="n">
        <f t="normal" ca="1">32-LENB(INDIRECT(ADDRESS(38864,166)))</f>
        <v>0</v>
      </c>
      <c r="FL38864" s="7" t="n">
        <v>7</v>
      </c>
      <c r="FM38864" s="7" t="n">
        <v>65533</v>
      </c>
      <c r="FN38864" s="7" t="n">
        <v>64466</v>
      </c>
      <c r="FO38864" s="7" t="s">
        <v>16</v>
      </c>
      <c r="FP38864" s="7" t="n">
        <f t="normal" ca="1">32-LENB(INDIRECT(ADDRESS(38864,171)))</f>
        <v>0</v>
      </c>
      <c r="FQ38864" s="7" t="n">
        <v>7</v>
      </c>
      <c r="FR38864" s="7" t="n">
        <v>65533</v>
      </c>
      <c r="FS38864" s="7" t="n">
        <v>64467</v>
      </c>
      <c r="FT38864" s="7" t="s">
        <v>16</v>
      </c>
      <c r="FU38864" s="7" t="n">
        <f t="normal" ca="1">32-LENB(INDIRECT(ADDRESS(38864,176)))</f>
        <v>0</v>
      </c>
      <c r="FV38864" s="7" t="n">
        <v>7</v>
      </c>
      <c r="FW38864" s="7" t="n">
        <v>65533</v>
      </c>
      <c r="FX38864" s="7" t="n">
        <v>64468</v>
      </c>
      <c r="FY38864" s="7" t="s">
        <v>16</v>
      </c>
      <c r="FZ38864" s="7" t="n">
        <f t="normal" ca="1">32-LENB(INDIRECT(ADDRESS(38864,181)))</f>
        <v>0</v>
      </c>
      <c r="GA38864" s="7" t="n">
        <v>7</v>
      </c>
      <c r="GB38864" s="7" t="n">
        <v>65533</v>
      </c>
      <c r="GC38864" s="7" t="n">
        <v>64469</v>
      </c>
      <c r="GD38864" s="7" t="s">
        <v>16</v>
      </c>
      <c r="GE38864" s="7" t="n">
        <f t="normal" ca="1">32-LENB(INDIRECT(ADDRESS(38864,186)))</f>
        <v>0</v>
      </c>
      <c r="GF38864" s="7" t="n">
        <v>7</v>
      </c>
      <c r="GG38864" s="7" t="n">
        <v>65533</v>
      </c>
      <c r="GH38864" s="7" t="n">
        <v>64470</v>
      </c>
      <c r="GI38864" s="7" t="s">
        <v>16</v>
      </c>
      <c r="GJ38864" s="7" t="n">
        <f t="normal" ca="1">32-LENB(INDIRECT(ADDRESS(38864,191)))</f>
        <v>0</v>
      </c>
      <c r="GK38864" s="7" t="n">
        <v>7</v>
      </c>
      <c r="GL38864" s="7" t="n">
        <v>65533</v>
      </c>
      <c r="GM38864" s="7" t="n">
        <v>64471</v>
      </c>
      <c r="GN38864" s="7" t="s">
        <v>16</v>
      </c>
      <c r="GO38864" s="7" t="n">
        <f t="normal" ca="1">32-LENB(INDIRECT(ADDRESS(38864,196)))</f>
        <v>0</v>
      </c>
      <c r="GP38864" s="7" t="n">
        <v>7</v>
      </c>
      <c r="GQ38864" s="7" t="n">
        <v>65533</v>
      </c>
      <c r="GR38864" s="7" t="n">
        <v>64472</v>
      </c>
      <c r="GS38864" s="7" t="s">
        <v>16</v>
      </c>
      <c r="GT38864" s="7" t="n">
        <f t="normal" ca="1">32-LENB(INDIRECT(ADDRESS(38864,201)))</f>
        <v>0</v>
      </c>
      <c r="GU38864" s="7" t="n">
        <v>7</v>
      </c>
      <c r="GV38864" s="7" t="n">
        <v>65533</v>
      </c>
      <c r="GW38864" s="7" t="n">
        <v>64473</v>
      </c>
      <c r="GX38864" s="7" t="s">
        <v>16</v>
      </c>
      <c r="GY38864" s="7" t="n">
        <f t="normal" ca="1">32-LENB(INDIRECT(ADDRESS(38864,206)))</f>
        <v>0</v>
      </c>
      <c r="GZ38864" s="7" t="n">
        <v>7</v>
      </c>
      <c r="HA38864" s="7" t="n">
        <v>65533</v>
      </c>
      <c r="HB38864" s="7" t="n">
        <v>64474</v>
      </c>
      <c r="HC38864" s="7" t="s">
        <v>16</v>
      </c>
      <c r="HD38864" s="7" t="n">
        <f t="normal" ca="1">32-LENB(INDIRECT(ADDRESS(38864,211)))</f>
        <v>0</v>
      </c>
      <c r="HE38864" s="7" t="n">
        <v>7</v>
      </c>
      <c r="HF38864" s="7" t="n">
        <v>65533</v>
      </c>
      <c r="HG38864" s="7" t="n">
        <v>64475</v>
      </c>
      <c r="HH38864" s="7" t="s">
        <v>16</v>
      </c>
      <c r="HI38864" s="7" t="n">
        <f t="normal" ca="1">32-LENB(INDIRECT(ADDRESS(38864,216)))</f>
        <v>0</v>
      </c>
      <c r="HJ38864" s="7" t="n">
        <v>0</v>
      </c>
      <c r="HK38864" s="7" t="n">
        <v>65533</v>
      </c>
      <c r="HL38864" s="7" t="n">
        <v>0</v>
      </c>
      <c r="HM38864" s="7" t="s">
        <v>16</v>
      </c>
      <c r="HN38864" s="7" t="n">
        <f t="normal" ca="1">32-LENB(INDIRECT(ADDRESS(38864,221)))</f>
        <v>0</v>
      </c>
    </row>
    <row r="38865" spans="1:222">
      <c r="A38865" t="s">
        <v>4</v>
      </c>
      <c r="B38865" s="4" t="s">
        <v>5</v>
      </c>
    </row>
    <row r="38866" spans="1:222">
      <c r="A38866" t="n">
        <v>427040</v>
      </c>
      <c r="B38866" s="5" t="n">
        <v>1</v>
      </c>
    </row>
    <row r="38867" spans="1:222" s="3" customFormat="1" customHeight="0">
      <c r="A38867" s="3" t="s">
        <v>2</v>
      </c>
      <c r="B38867" s="3" t="s">
        <v>1882</v>
      </c>
    </row>
    <row r="38868" spans="1:222">
      <c r="A38868" t="s">
        <v>4</v>
      </c>
      <c r="B38868" s="4" t="s">
        <v>5</v>
      </c>
      <c r="C38868" s="4" t="s">
        <v>11</v>
      </c>
      <c r="D38868" s="4" t="s">
        <v>11</v>
      </c>
      <c r="E38868" s="4" t="s">
        <v>15</v>
      </c>
      <c r="F38868" s="4" t="s">
        <v>8</v>
      </c>
      <c r="G38868" s="4" t="s">
        <v>1859</v>
      </c>
      <c r="H38868" s="4" t="s">
        <v>11</v>
      </c>
      <c r="I38868" s="4" t="s">
        <v>11</v>
      </c>
      <c r="J38868" s="4" t="s">
        <v>15</v>
      </c>
      <c r="K38868" s="4" t="s">
        <v>8</v>
      </c>
      <c r="L38868" s="4" t="s">
        <v>1859</v>
      </c>
      <c r="M38868" s="4" t="s">
        <v>11</v>
      </c>
      <c r="N38868" s="4" t="s">
        <v>11</v>
      </c>
      <c r="O38868" s="4" t="s">
        <v>15</v>
      </c>
      <c r="P38868" s="4" t="s">
        <v>8</v>
      </c>
      <c r="Q38868" s="4" t="s">
        <v>1859</v>
      </c>
      <c r="R38868" s="4" t="s">
        <v>11</v>
      </c>
      <c r="S38868" s="4" t="s">
        <v>11</v>
      </c>
      <c r="T38868" s="4" t="s">
        <v>15</v>
      </c>
      <c r="U38868" s="4" t="s">
        <v>8</v>
      </c>
      <c r="V38868" s="4" t="s">
        <v>1859</v>
      </c>
      <c r="W38868" s="4" t="s">
        <v>11</v>
      </c>
      <c r="X38868" s="4" t="s">
        <v>11</v>
      </c>
      <c r="Y38868" s="4" t="s">
        <v>15</v>
      </c>
      <c r="Z38868" s="4" t="s">
        <v>8</v>
      </c>
      <c r="AA38868" s="4" t="s">
        <v>1859</v>
      </c>
      <c r="AB38868" s="4" t="s">
        <v>11</v>
      </c>
      <c r="AC38868" s="4" t="s">
        <v>11</v>
      </c>
      <c r="AD38868" s="4" t="s">
        <v>15</v>
      </c>
      <c r="AE38868" s="4" t="s">
        <v>8</v>
      </c>
      <c r="AF38868" s="4" t="s">
        <v>1859</v>
      </c>
      <c r="AG38868" s="4" t="s">
        <v>11</v>
      </c>
      <c r="AH38868" s="4" t="s">
        <v>11</v>
      </c>
      <c r="AI38868" s="4" t="s">
        <v>15</v>
      </c>
      <c r="AJ38868" s="4" t="s">
        <v>8</v>
      </c>
      <c r="AK38868" s="4" t="s">
        <v>1859</v>
      </c>
      <c r="AL38868" s="4" t="s">
        <v>11</v>
      </c>
      <c r="AM38868" s="4" t="s">
        <v>11</v>
      </c>
      <c r="AN38868" s="4" t="s">
        <v>15</v>
      </c>
      <c r="AO38868" s="4" t="s">
        <v>8</v>
      </c>
      <c r="AP38868" s="4" t="s">
        <v>1859</v>
      </c>
      <c r="AQ38868" s="4" t="s">
        <v>11</v>
      </c>
      <c r="AR38868" s="4" t="s">
        <v>11</v>
      </c>
      <c r="AS38868" s="4" t="s">
        <v>15</v>
      </c>
      <c r="AT38868" s="4" t="s">
        <v>8</v>
      </c>
      <c r="AU38868" s="4" t="s">
        <v>1859</v>
      </c>
      <c r="AV38868" s="4" t="s">
        <v>11</v>
      </c>
      <c r="AW38868" s="4" t="s">
        <v>11</v>
      </c>
      <c r="AX38868" s="4" t="s">
        <v>15</v>
      </c>
      <c r="AY38868" s="4" t="s">
        <v>8</v>
      </c>
      <c r="AZ38868" s="4" t="s">
        <v>1859</v>
      </c>
      <c r="BA38868" s="4" t="s">
        <v>11</v>
      </c>
      <c r="BB38868" s="4" t="s">
        <v>11</v>
      </c>
      <c r="BC38868" s="4" t="s">
        <v>15</v>
      </c>
      <c r="BD38868" s="4" t="s">
        <v>8</v>
      </c>
      <c r="BE38868" s="4" t="s">
        <v>1859</v>
      </c>
      <c r="BF38868" s="4" t="s">
        <v>11</v>
      </c>
      <c r="BG38868" s="4" t="s">
        <v>11</v>
      </c>
      <c r="BH38868" s="4" t="s">
        <v>15</v>
      </c>
      <c r="BI38868" s="4" t="s">
        <v>8</v>
      </c>
      <c r="BJ38868" s="4" t="s">
        <v>1859</v>
      </c>
      <c r="BK38868" s="4" t="s">
        <v>11</v>
      </c>
      <c r="BL38868" s="4" t="s">
        <v>11</v>
      </c>
      <c r="BM38868" s="4" t="s">
        <v>15</v>
      </c>
      <c r="BN38868" s="4" t="s">
        <v>8</v>
      </c>
      <c r="BO38868" s="4" t="s">
        <v>1859</v>
      </c>
      <c r="BP38868" s="4" t="s">
        <v>11</v>
      </c>
      <c r="BQ38868" s="4" t="s">
        <v>11</v>
      </c>
      <c r="BR38868" s="4" t="s">
        <v>15</v>
      </c>
      <c r="BS38868" s="4" t="s">
        <v>8</v>
      </c>
      <c r="BT38868" s="4" t="s">
        <v>1859</v>
      </c>
      <c r="BU38868" s="4" t="s">
        <v>11</v>
      </c>
      <c r="BV38868" s="4" t="s">
        <v>11</v>
      </c>
      <c r="BW38868" s="4" t="s">
        <v>15</v>
      </c>
      <c r="BX38868" s="4" t="s">
        <v>8</v>
      </c>
      <c r="BY38868" s="4" t="s">
        <v>1859</v>
      </c>
      <c r="BZ38868" s="4" t="s">
        <v>11</v>
      </c>
      <c r="CA38868" s="4" t="s">
        <v>11</v>
      </c>
      <c r="CB38868" s="4" t="s">
        <v>15</v>
      </c>
      <c r="CC38868" s="4" t="s">
        <v>8</v>
      </c>
      <c r="CD38868" s="4" t="s">
        <v>1859</v>
      </c>
      <c r="CE38868" s="4" t="s">
        <v>11</v>
      </c>
      <c r="CF38868" s="4" t="s">
        <v>11</v>
      </c>
      <c r="CG38868" s="4" t="s">
        <v>15</v>
      </c>
      <c r="CH38868" s="4" t="s">
        <v>8</v>
      </c>
      <c r="CI38868" s="4" t="s">
        <v>1859</v>
      </c>
      <c r="CJ38868" s="4" t="s">
        <v>11</v>
      </c>
      <c r="CK38868" s="4" t="s">
        <v>11</v>
      </c>
      <c r="CL38868" s="4" t="s">
        <v>15</v>
      </c>
      <c r="CM38868" s="4" t="s">
        <v>8</v>
      </c>
      <c r="CN38868" s="4" t="s">
        <v>1859</v>
      </c>
      <c r="CO38868" s="4" t="s">
        <v>11</v>
      </c>
      <c r="CP38868" s="4" t="s">
        <v>11</v>
      </c>
      <c r="CQ38868" s="4" t="s">
        <v>15</v>
      </c>
      <c r="CR38868" s="4" t="s">
        <v>8</v>
      </c>
      <c r="CS38868" s="4" t="s">
        <v>1859</v>
      </c>
      <c r="CT38868" s="4" t="s">
        <v>11</v>
      </c>
      <c r="CU38868" s="4" t="s">
        <v>11</v>
      </c>
      <c r="CV38868" s="4" t="s">
        <v>15</v>
      </c>
      <c r="CW38868" s="4" t="s">
        <v>8</v>
      </c>
      <c r="CX38868" s="4" t="s">
        <v>1859</v>
      </c>
      <c r="CY38868" s="4" t="s">
        <v>11</v>
      </c>
      <c r="CZ38868" s="4" t="s">
        <v>11</v>
      </c>
      <c r="DA38868" s="4" t="s">
        <v>15</v>
      </c>
      <c r="DB38868" s="4" t="s">
        <v>8</v>
      </c>
      <c r="DC38868" s="4" t="s">
        <v>1859</v>
      </c>
      <c r="DD38868" s="4" t="s">
        <v>11</v>
      </c>
      <c r="DE38868" s="4" t="s">
        <v>11</v>
      </c>
      <c r="DF38868" s="4" t="s">
        <v>15</v>
      </c>
      <c r="DG38868" s="4" t="s">
        <v>8</v>
      </c>
      <c r="DH38868" s="4" t="s">
        <v>1859</v>
      </c>
      <c r="DI38868" s="4" t="s">
        <v>11</v>
      </c>
      <c r="DJ38868" s="4" t="s">
        <v>11</v>
      </c>
      <c r="DK38868" s="4" t="s">
        <v>15</v>
      </c>
      <c r="DL38868" s="4" t="s">
        <v>8</v>
      </c>
      <c r="DM38868" s="4" t="s">
        <v>1859</v>
      </c>
      <c r="DN38868" s="4" t="s">
        <v>11</v>
      </c>
      <c r="DO38868" s="4" t="s">
        <v>11</v>
      </c>
      <c r="DP38868" s="4" t="s">
        <v>15</v>
      </c>
      <c r="DQ38868" s="4" t="s">
        <v>8</v>
      </c>
      <c r="DR38868" s="4" t="s">
        <v>1859</v>
      </c>
      <c r="DS38868" s="4" t="s">
        <v>11</v>
      </c>
      <c r="DT38868" s="4" t="s">
        <v>11</v>
      </c>
      <c r="DU38868" s="4" t="s">
        <v>15</v>
      </c>
      <c r="DV38868" s="4" t="s">
        <v>8</v>
      </c>
      <c r="DW38868" s="4" t="s">
        <v>1859</v>
      </c>
      <c r="DX38868" s="4" t="s">
        <v>11</v>
      </c>
      <c r="DY38868" s="4" t="s">
        <v>11</v>
      </c>
      <c r="DZ38868" s="4" t="s">
        <v>15</v>
      </c>
      <c r="EA38868" s="4" t="s">
        <v>8</v>
      </c>
      <c r="EB38868" s="4" t="s">
        <v>1859</v>
      </c>
      <c r="EC38868" s="4" t="s">
        <v>11</v>
      </c>
      <c r="ED38868" s="4" t="s">
        <v>11</v>
      </c>
      <c r="EE38868" s="4" t="s">
        <v>15</v>
      </c>
      <c r="EF38868" s="4" t="s">
        <v>8</v>
      </c>
      <c r="EG38868" s="4" t="s">
        <v>1859</v>
      </c>
      <c r="EH38868" s="4" t="s">
        <v>11</v>
      </c>
      <c r="EI38868" s="4" t="s">
        <v>11</v>
      </c>
      <c r="EJ38868" s="4" t="s">
        <v>15</v>
      </c>
      <c r="EK38868" s="4" t="s">
        <v>8</v>
      </c>
      <c r="EL38868" s="4" t="s">
        <v>1859</v>
      </c>
      <c r="EM38868" s="4" t="s">
        <v>11</v>
      </c>
      <c r="EN38868" s="4" t="s">
        <v>11</v>
      </c>
      <c r="EO38868" s="4" t="s">
        <v>15</v>
      </c>
      <c r="EP38868" s="4" t="s">
        <v>8</v>
      </c>
      <c r="EQ38868" s="4" t="s">
        <v>1859</v>
      </c>
      <c r="ER38868" s="4" t="s">
        <v>11</v>
      </c>
      <c r="ES38868" s="4" t="s">
        <v>11</v>
      </c>
      <c r="ET38868" s="4" t="s">
        <v>15</v>
      </c>
      <c r="EU38868" s="4" t="s">
        <v>8</v>
      </c>
      <c r="EV38868" s="4" t="s">
        <v>1859</v>
      </c>
      <c r="EW38868" s="4" t="s">
        <v>11</v>
      </c>
      <c r="EX38868" s="4" t="s">
        <v>11</v>
      </c>
      <c r="EY38868" s="4" t="s">
        <v>15</v>
      </c>
      <c r="EZ38868" s="4" t="s">
        <v>8</v>
      </c>
      <c r="FA38868" s="4" t="s">
        <v>1859</v>
      </c>
      <c r="FB38868" s="4" t="s">
        <v>11</v>
      </c>
      <c r="FC38868" s="4" t="s">
        <v>11</v>
      </c>
      <c r="FD38868" s="4" t="s">
        <v>15</v>
      </c>
      <c r="FE38868" s="4" t="s">
        <v>8</v>
      </c>
      <c r="FF38868" s="4" t="s">
        <v>1859</v>
      </c>
      <c r="FG38868" s="4" t="s">
        <v>11</v>
      </c>
      <c r="FH38868" s="4" t="s">
        <v>11</v>
      </c>
      <c r="FI38868" s="4" t="s">
        <v>15</v>
      </c>
      <c r="FJ38868" s="4" t="s">
        <v>8</v>
      </c>
      <c r="FK38868" s="4" t="s">
        <v>1859</v>
      </c>
      <c r="FL38868" s="4" t="s">
        <v>11</v>
      </c>
      <c r="FM38868" s="4" t="s">
        <v>11</v>
      </c>
      <c r="FN38868" s="4" t="s">
        <v>15</v>
      </c>
      <c r="FO38868" s="4" t="s">
        <v>8</v>
      </c>
      <c r="FP38868" s="4" t="s">
        <v>1859</v>
      </c>
      <c r="FQ38868" s="4" t="s">
        <v>11</v>
      </c>
      <c r="FR38868" s="4" t="s">
        <v>11</v>
      </c>
      <c r="FS38868" s="4" t="s">
        <v>15</v>
      </c>
      <c r="FT38868" s="4" t="s">
        <v>8</v>
      </c>
      <c r="FU38868" s="4" t="s">
        <v>1859</v>
      </c>
      <c r="FV38868" s="4" t="s">
        <v>11</v>
      </c>
      <c r="FW38868" s="4" t="s">
        <v>11</v>
      </c>
      <c r="FX38868" s="4" t="s">
        <v>15</v>
      </c>
      <c r="FY38868" s="4" t="s">
        <v>8</v>
      </c>
      <c r="FZ38868" s="4" t="s">
        <v>1859</v>
      </c>
      <c r="GA38868" s="4" t="s">
        <v>11</v>
      </c>
      <c r="GB38868" s="4" t="s">
        <v>11</v>
      </c>
      <c r="GC38868" s="4" t="s">
        <v>15</v>
      </c>
      <c r="GD38868" s="4" t="s">
        <v>8</v>
      </c>
      <c r="GE38868" s="4" t="s">
        <v>1859</v>
      </c>
      <c r="GF38868" s="4" t="s">
        <v>11</v>
      </c>
      <c r="GG38868" s="4" t="s">
        <v>11</v>
      </c>
      <c r="GH38868" s="4" t="s">
        <v>15</v>
      </c>
      <c r="GI38868" s="4" t="s">
        <v>8</v>
      </c>
      <c r="GJ38868" s="4" t="s">
        <v>1859</v>
      </c>
      <c r="GK38868" s="4" t="s">
        <v>11</v>
      </c>
      <c r="GL38868" s="4" t="s">
        <v>11</v>
      </c>
      <c r="GM38868" s="4" t="s">
        <v>15</v>
      </c>
      <c r="GN38868" s="4" t="s">
        <v>8</v>
      </c>
      <c r="GO38868" s="4" t="s">
        <v>1859</v>
      </c>
      <c r="GP38868" s="4" t="s">
        <v>11</v>
      </c>
      <c r="GQ38868" s="4" t="s">
        <v>11</v>
      </c>
      <c r="GR38868" s="4" t="s">
        <v>15</v>
      </c>
      <c r="GS38868" s="4" t="s">
        <v>8</v>
      </c>
      <c r="GT38868" s="4" t="s">
        <v>1859</v>
      </c>
      <c r="GU38868" s="4" t="s">
        <v>11</v>
      </c>
      <c r="GV38868" s="4" t="s">
        <v>11</v>
      </c>
      <c r="GW38868" s="4" t="s">
        <v>15</v>
      </c>
      <c r="GX38868" s="4" t="s">
        <v>8</v>
      </c>
      <c r="GY38868" s="4" t="s">
        <v>1859</v>
      </c>
      <c r="GZ38868" s="4" t="s">
        <v>11</v>
      </c>
      <c r="HA38868" s="4" t="s">
        <v>11</v>
      </c>
      <c r="HB38868" s="4" t="s">
        <v>15</v>
      </c>
      <c r="HC38868" s="4" t="s">
        <v>8</v>
      </c>
      <c r="HD38868" s="4" t="s">
        <v>1859</v>
      </c>
      <c r="HE38868" s="4" t="s">
        <v>11</v>
      </c>
      <c r="HF38868" s="4" t="s">
        <v>11</v>
      </c>
      <c r="HG38868" s="4" t="s">
        <v>15</v>
      </c>
      <c r="HH38868" s="4" t="s">
        <v>8</v>
      </c>
      <c r="HI38868" s="4" t="s">
        <v>1859</v>
      </c>
      <c r="HJ38868" s="4" t="s">
        <v>11</v>
      </c>
      <c r="HK38868" s="4" t="s">
        <v>11</v>
      </c>
      <c r="HL38868" s="4" t="s">
        <v>15</v>
      </c>
      <c r="HM38868" s="4" t="s">
        <v>8</v>
      </c>
      <c r="HN38868" s="4" t="s">
        <v>1859</v>
      </c>
      <c r="HO38868" s="4" t="s">
        <v>11</v>
      </c>
      <c r="HP38868" s="4" t="s">
        <v>11</v>
      </c>
      <c r="HQ38868" s="4" t="s">
        <v>15</v>
      </c>
      <c r="HR38868" s="4" t="s">
        <v>8</v>
      </c>
      <c r="HS38868" s="4" t="s">
        <v>1859</v>
      </c>
      <c r="HT38868" s="4" t="s">
        <v>11</v>
      </c>
      <c r="HU38868" s="4" t="s">
        <v>11</v>
      </c>
      <c r="HV38868" s="4" t="s">
        <v>15</v>
      </c>
      <c r="HW38868" s="4" t="s">
        <v>8</v>
      </c>
      <c r="HX38868" s="4" t="s">
        <v>1859</v>
      </c>
      <c r="HY38868" s="4" t="s">
        <v>11</v>
      </c>
      <c r="HZ38868" s="4" t="s">
        <v>11</v>
      </c>
      <c r="IA38868" s="4" t="s">
        <v>15</v>
      </c>
      <c r="IB38868" s="4" t="s">
        <v>8</v>
      </c>
      <c r="IC38868" s="4" t="s">
        <v>1859</v>
      </c>
      <c r="ID38868" s="4" t="s">
        <v>11</v>
      </c>
      <c r="IE38868" s="4" t="s">
        <v>11</v>
      </c>
      <c r="IF38868" s="4" t="s">
        <v>15</v>
      </c>
      <c r="IG38868" s="4" t="s">
        <v>8</v>
      </c>
      <c r="IH38868" s="4" t="s">
        <v>1859</v>
      </c>
      <c r="II38868" s="4" t="s">
        <v>11</v>
      </c>
      <c r="IJ38868" s="4" t="s">
        <v>11</v>
      </c>
      <c r="IK38868" s="4" t="s">
        <v>15</v>
      </c>
      <c r="IL38868" s="4" t="s">
        <v>8</v>
      </c>
      <c r="IM38868" s="4" t="s">
        <v>1859</v>
      </c>
      <c r="IN38868" s="4" t="s">
        <v>11</v>
      </c>
      <c r="IO38868" s="4" t="s">
        <v>11</v>
      </c>
      <c r="IP38868" s="4" t="s">
        <v>15</v>
      </c>
      <c r="IQ38868" s="4" t="s">
        <v>8</v>
      </c>
      <c r="IR38868" s="4" t="s">
        <v>1859</v>
      </c>
      <c r="IS38868" s="4" t="s">
        <v>11</v>
      </c>
      <c r="IT38868" s="4" t="s">
        <v>11</v>
      </c>
      <c r="IU38868" s="4" t="s">
        <v>15</v>
      </c>
      <c r="IV38868" s="4" t="s">
        <v>8</v>
      </c>
      <c r="IW38868" s="4" t="s">
        <v>1859</v>
      </c>
      <c r="IX38868" s="4" t="s">
        <v>11</v>
      </c>
      <c r="IY38868" s="4" t="s">
        <v>11</v>
      </c>
      <c r="IZ38868" s="4" t="s">
        <v>15</v>
      </c>
      <c r="JA38868" s="4" t="s">
        <v>8</v>
      </c>
      <c r="JB38868" s="4" t="s">
        <v>1859</v>
      </c>
      <c r="JC38868" s="4" t="s">
        <v>11</v>
      </c>
      <c r="JD38868" s="4" t="s">
        <v>11</v>
      </c>
      <c r="JE38868" s="4" t="s">
        <v>15</v>
      </c>
      <c r="JF38868" s="4" t="s">
        <v>8</v>
      </c>
      <c r="JG38868" s="4" t="s">
        <v>1859</v>
      </c>
      <c r="JH38868" s="4" t="s">
        <v>11</v>
      </c>
      <c r="JI38868" s="4" t="s">
        <v>11</v>
      </c>
      <c r="JJ38868" s="4" t="s">
        <v>15</v>
      </c>
      <c r="JK38868" s="4" t="s">
        <v>8</v>
      </c>
      <c r="JL38868" s="4" t="s">
        <v>1859</v>
      </c>
      <c r="JM38868" s="4" t="s">
        <v>11</v>
      </c>
      <c r="JN38868" s="4" t="s">
        <v>11</v>
      </c>
      <c r="JO38868" s="4" t="s">
        <v>15</v>
      </c>
      <c r="JP38868" s="4" t="s">
        <v>8</v>
      </c>
      <c r="JQ38868" s="4" t="s">
        <v>1859</v>
      </c>
      <c r="JR38868" s="4" t="s">
        <v>11</v>
      </c>
      <c r="JS38868" s="4" t="s">
        <v>11</v>
      </c>
      <c r="JT38868" s="4" t="s">
        <v>15</v>
      </c>
      <c r="JU38868" s="4" t="s">
        <v>8</v>
      </c>
      <c r="JV38868" s="4" t="s">
        <v>1859</v>
      </c>
      <c r="JW38868" s="4" t="s">
        <v>11</v>
      </c>
      <c r="JX38868" s="4" t="s">
        <v>11</v>
      </c>
      <c r="JY38868" s="4" t="s">
        <v>15</v>
      </c>
      <c r="JZ38868" s="4" t="s">
        <v>8</v>
      </c>
      <c r="KA38868" s="4" t="s">
        <v>1859</v>
      </c>
      <c r="KB38868" s="4" t="s">
        <v>11</v>
      </c>
      <c r="KC38868" s="4" t="s">
        <v>11</v>
      </c>
      <c r="KD38868" s="4" t="s">
        <v>15</v>
      </c>
      <c r="KE38868" s="4" t="s">
        <v>8</v>
      </c>
      <c r="KF38868" s="4" t="s">
        <v>1859</v>
      </c>
      <c r="KG38868" s="4" t="s">
        <v>11</v>
      </c>
      <c r="KH38868" s="4" t="s">
        <v>11</v>
      </c>
      <c r="KI38868" s="4" t="s">
        <v>15</v>
      </c>
      <c r="KJ38868" s="4" t="s">
        <v>8</v>
      </c>
      <c r="KK38868" s="4" t="s">
        <v>1859</v>
      </c>
      <c r="KL38868" s="4" t="s">
        <v>11</v>
      </c>
      <c r="KM38868" s="4" t="s">
        <v>11</v>
      </c>
      <c r="KN38868" s="4" t="s">
        <v>15</v>
      </c>
      <c r="KO38868" s="4" t="s">
        <v>8</v>
      </c>
      <c r="KP38868" s="4" t="s">
        <v>1859</v>
      </c>
      <c r="KQ38868" s="4" t="s">
        <v>11</v>
      </c>
      <c r="KR38868" s="4" t="s">
        <v>11</v>
      </c>
      <c r="KS38868" s="4" t="s">
        <v>15</v>
      </c>
      <c r="KT38868" s="4" t="s">
        <v>8</v>
      </c>
      <c r="KU38868" s="4" t="s">
        <v>1859</v>
      </c>
      <c r="KV38868" s="4" t="s">
        <v>11</v>
      </c>
      <c r="KW38868" s="4" t="s">
        <v>11</v>
      </c>
      <c r="KX38868" s="4" t="s">
        <v>15</v>
      </c>
      <c r="KY38868" s="4" t="s">
        <v>8</v>
      </c>
      <c r="KZ38868" s="4" t="s">
        <v>1859</v>
      </c>
      <c r="LA38868" s="4" t="s">
        <v>11</v>
      </c>
      <c r="LB38868" s="4" t="s">
        <v>11</v>
      </c>
      <c r="LC38868" s="4" t="s">
        <v>15</v>
      </c>
      <c r="LD38868" s="4" t="s">
        <v>8</v>
      </c>
      <c r="LE38868" s="4" t="s">
        <v>1859</v>
      </c>
      <c r="LF38868" s="4" t="s">
        <v>11</v>
      </c>
      <c r="LG38868" s="4" t="s">
        <v>11</v>
      </c>
      <c r="LH38868" s="4" t="s">
        <v>15</v>
      </c>
      <c r="LI38868" s="4" t="s">
        <v>8</v>
      </c>
      <c r="LJ38868" s="4" t="s">
        <v>1859</v>
      </c>
      <c r="LK38868" s="4" t="s">
        <v>11</v>
      </c>
      <c r="LL38868" s="4" t="s">
        <v>11</v>
      </c>
      <c r="LM38868" s="4" t="s">
        <v>15</v>
      </c>
      <c r="LN38868" s="4" t="s">
        <v>8</v>
      </c>
      <c r="LO38868" s="4" t="s">
        <v>1859</v>
      </c>
      <c r="LP38868" s="4" t="s">
        <v>11</v>
      </c>
      <c r="LQ38868" s="4" t="s">
        <v>11</v>
      </c>
      <c r="LR38868" s="4" t="s">
        <v>15</v>
      </c>
      <c r="LS38868" s="4" t="s">
        <v>8</v>
      </c>
      <c r="LT38868" s="4" t="s">
        <v>1859</v>
      </c>
      <c r="LU38868" s="4" t="s">
        <v>11</v>
      </c>
      <c r="LV38868" s="4" t="s">
        <v>11</v>
      </c>
      <c r="LW38868" s="4" t="s">
        <v>15</v>
      </c>
      <c r="LX38868" s="4" t="s">
        <v>8</v>
      </c>
      <c r="LY38868" s="4" t="s">
        <v>1859</v>
      </c>
      <c r="LZ38868" s="4" t="s">
        <v>11</v>
      </c>
      <c r="MA38868" s="4" t="s">
        <v>11</v>
      </c>
      <c r="MB38868" s="4" t="s">
        <v>15</v>
      </c>
      <c r="MC38868" s="4" t="s">
        <v>8</v>
      </c>
      <c r="MD38868" s="4" t="s">
        <v>1859</v>
      </c>
      <c r="ME38868" s="4" t="s">
        <v>11</v>
      </c>
      <c r="MF38868" s="4" t="s">
        <v>11</v>
      </c>
      <c r="MG38868" s="4" t="s">
        <v>15</v>
      </c>
      <c r="MH38868" s="4" t="s">
        <v>8</v>
      </c>
      <c r="MI38868" s="4" t="s">
        <v>1859</v>
      </c>
      <c r="MJ38868" s="4" t="s">
        <v>11</v>
      </c>
      <c r="MK38868" s="4" t="s">
        <v>11</v>
      </c>
      <c r="ML38868" s="4" t="s">
        <v>15</v>
      </c>
      <c r="MM38868" s="4" t="s">
        <v>8</v>
      </c>
      <c r="MN38868" s="4" t="s">
        <v>1859</v>
      </c>
    </row>
    <row r="38869" spans="1:222">
      <c r="A38869" t="n">
        <v>427056</v>
      </c>
      <c r="B38869" s="85" t="n">
        <v>257</v>
      </c>
      <c r="C38869" s="7" t="n">
        <v>3</v>
      </c>
      <c r="D38869" s="7" t="n">
        <v>65533</v>
      </c>
      <c r="E38869" s="7" t="n">
        <v>0</v>
      </c>
      <c r="F38869" s="7" t="s">
        <v>1435</v>
      </c>
      <c r="G38869" s="7" t="n">
        <f t="normal" ca="1">32-LENB(INDIRECT(ADDRESS(38869,6)))</f>
        <v>0</v>
      </c>
      <c r="H38869" s="7" t="n">
        <v>3</v>
      </c>
      <c r="I38869" s="7" t="n">
        <v>65533</v>
      </c>
      <c r="J38869" s="7" t="n">
        <v>0</v>
      </c>
      <c r="K38869" s="7" t="s">
        <v>1436</v>
      </c>
      <c r="L38869" s="7" t="n">
        <f t="normal" ca="1">32-LENB(INDIRECT(ADDRESS(38869,11)))</f>
        <v>0</v>
      </c>
      <c r="M38869" s="7" t="n">
        <v>7</v>
      </c>
      <c r="N38869" s="7" t="n">
        <v>65533</v>
      </c>
      <c r="O38869" s="7" t="n">
        <v>64476</v>
      </c>
      <c r="P38869" s="7" t="s">
        <v>16</v>
      </c>
      <c r="Q38869" s="7" t="n">
        <f t="normal" ca="1">32-LENB(INDIRECT(ADDRESS(38869,16)))</f>
        <v>0</v>
      </c>
      <c r="R38869" s="7" t="n">
        <v>7</v>
      </c>
      <c r="S38869" s="7" t="n">
        <v>65533</v>
      </c>
      <c r="T38869" s="7" t="n">
        <v>64477</v>
      </c>
      <c r="U38869" s="7" t="s">
        <v>16</v>
      </c>
      <c r="V38869" s="7" t="n">
        <f t="normal" ca="1">32-LENB(INDIRECT(ADDRESS(38869,21)))</f>
        <v>0</v>
      </c>
      <c r="W38869" s="7" t="n">
        <v>7</v>
      </c>
      <c r="X38869" s="7" t="n">
        <v>65533</v>
      </c>
      <c r="Y38869" s="7" t="n">
        <v>64478</v>
      </c>
      <c r="Z38869" s="7" t="s">
        <v>16</v>
      </c>
      <c r="AA38869" s="7" t="n">
        <f t="normal" ca="1">32-LENB(INDIRECT(ADDRESS(38869,26)))</f>
        <v>0</v>
      </c>
      <c r="AB38869" s="7" t="n">
        <v>7</v>
      </c>
      <c r="AC38869" s="7" t="n">
        <v>65533</v>
      </c>
      <c r="AD38869" s="7" t="n">
        <v>64479</v>
      </c>
      <c r="AE38869" s="7" t="s">
        <v>16</v>
      </c>
      <c r="AF38869" s="7" t="n">
        <f t="normal" ca="1">32-LENB(INDIRECT(ADDRESS(38869,31)))</f>
        <v>0</v>
      </c>
      <c r="AG38869" s="7" t="n">
        <v>7</v>
      </c>
      <c r="AH38869" s="7" t="n">
        <v>65533</v>
      </c>
      <c r="AI38869" s="7" t="n">
        <v>64480</v>
      </c>
      <c r="AJ38869" s="7" t="s">
        <v>16</v>
      </c>
      <c r="AK38869" s="7" t="n">
        <f t="normal" ca="1">32-LENB(INDIRECT(ADDRESS(38869,36)))</f>
        <v>0</v>
      </c>
      <c r="AL38869" s="7" t="n">
        <v>7</v>
      </c>
      <c r="AM38869" s="7" t="n">
        <v>65533</v>
      </c>
      <c r="AN38869" s="7" t="n">
        <v>64481</v>
      </c>
      <c r="AO38869" s="7" t="s">
        <v>16</v>
      </c>
      <c r="AP38869" s="7" t="n">
        <f t="normal" ca="1">32-LENB(INDIRECT(ADDRESS(38869,41)))</f>
        <v>0</v>
      </c>
      <c r="AQ38869" s="7" t="n">
        <v>7</v>
      </c>
      <c r="AR38869" s="7" t="n">
        <v>65533</v>
      </c>
      <c r="AS38869" s="7" t="n">
        <v>64482</v>
      </c>
      <c r="AT38869" s="7" t="s">
        <v>16</v>
      </c>
      <c r="AU38869" s="7" t="n">
        <f t="normal" ca="1">32-LENB(INDIRECT(ADDRESS(38869,46)))</f>
        <v>0</v>
      </c>
      <c r="AV38869" s="7" t="n">
        <v>7</v>
      </c>
      <c r="AW38869" s="7" t="n">
        <v>65533</v>
      </c>
      <c r="AX38869" s="7" t="n">
        <v>64483</v>
      </c>
      <c r="AY38869" s="7" t="s">
        <v>16</v>
      </c>
      <c r="AZ38869" s="7" t="n">
        <f t="normal" ca="1">32-LENB(INDIRECT(ADDRESS(38869,51)))</f>
        <v>0</v>
      </c>
      <c r="BA38869" s="7" t="n">
        <v>7</v>
      </c>
      <c r="BB38869" s="7" t="n">
        <v>65533</v>
      </c>
      <c r="BC38869" s="7" t="n">
        <v>64484</v>
      </c>
      <c r="BD38869" s="7" t="s">
        <v>16</v>
      </c>
      <c r="BE38869" s="7" t="n">
        <f t="normal" ca="1">32-LENB(INDIRECT(ADDRESS(38869,56)))</f>
        <v>0</v>
      </c>
      <c r="BF38869" s="7" t="n">
        <v>7</v>
      </c>
      <c r="BG38869" s="7" t="n">
        <v>65533</v>
      </c>
      <c r="BH38869" s="7" t="n">
        <v>64485</v>
      </c>
      <c r="BI38869" s="7" t="s">
        <v>16</v>
      </c>
      <c r="BJ38869" s="7" t="n">
        <f t="normal" ca="1">32-LENB(INDIRECT(ADDRESS(38869,61)))</f>
        <v>0</v>
      </c>
      <c r="BK38869" s="7" t="n">
        <v>7</v>
      </c>
      <c r="BL38869" s="7" t="n">
        <v>65533</v>
      </c>
      <c r="BM38869" s="7" t="n">
        <v>64486</v>
      </c>
      <c r="BN38869" s="7" t="s">
        <v>16</v>
      </c>
      <c r="BO38869" s="7" t="n">
        <f t="normal" ca="1">32-LENB(INDIRECT(ADDRESS(38869,66)))</f>
        <v>0</v>
      </c>
      <c r="BP38869" s="7" t="n">
        <v>7</v>
      </c>
      <c r="BQ38869" s="7" t="n">
        <v>65533</v>
      </c>
      <c r="BR38869" s="7" t="n">
        <v>64487</v>
      </c>
      <c r="BS38869" s="7" t="s">
        <v>16</v>
      </c>
      <c r="BT38869" s="7" t="n">
        <f t="normal" ca="1">32-LENB(INDIRECT(ADDRESS(38869,71)))</f>
        <v>0</v>
      </c>
      <c r="BU38869" s="7" t="n">
        <v>7</v>
      </c>
      <c r="BV38869" s="7" t="n">
        <v>65533</v>
      </c>
      <c r="BW38869" s="7" t="n">
        <v>64488</v>
      </c>
      <c r="BX38869" s="7" t="s">
        <v>16</v>
      </c>
      <c r="BY38869" s="7" t="n">
        <f t="normal" ca="1">32-LENB(INDIRECT(ADDRESS(38869,76)))</f>
        <v>0</v>
      </c>
      <c r="BZ38869" s="7" t="n">
        <v>7</v>
      </c>
      <c r="CA38869" s="7" t="n">
        <v>65533</v>
      </c>
      <c r="CB38869" s="7" t="n">
        <v>64489</v>
      </c>
      <c r="CC38869" s="7" t="s">
        <v>16</v>
      </c>
      <c r="CD38869" s="7" t="n">
        <f t="normal" ca="1">32-LENB(INDIRECT(ADDRESS(38869,81)))</f>
        <v>0</v>
      </c>
      <c r="CE38869" s="7" t="n">
        <v>7</v>
      </c>
      <c r="CF38869" s="7" t="n">
        <v>65533</v>
      </c>
      <c r="CG38869" s="7" t="n">
        <v>64490</v>
      </c>
      <c r="CH38869" s="7" t="s">
        <v>16</v>
      </c>
      <c r="CI38869" s="7" t="n">
        <f t="normal" ca="1">32-LENB(INDIRECT(ADDRESS(38869,86)))</f>
        <v>0</v>
      </c>
      <c r="CJ38869" s="7" t="n">
        <v>7</v>
      </c>
      <c r="CK38869" s="7" t="n">
        <v>65533</v>
      </c>
      <c r="CL38869" s="7" t="n">
        <v>64491</v>
      </c>
      <c r="CM38869" s="7" t="s">
        <v>16</v>
      </c>
      <c r="CN38869" s="7" t="n">
        <f t="normal" ca="1">32-LENB(INDIRECT(ADDRESS(38869,91)))</f>
        <v>0</v>
      </c>
      <c r="CO38869" s="7" t="n">
        <v>7</v>
      </c>
      <c r="CP38869" s="7" t="n">
        <v>65533</v>
      </c>
      <c r="CQ38869" s="7" t="n">
        <v>64492</v>
      </c>
      <c r="CR38869" s="7" t="s">
        <v>16</v>
      </c>
      <c r="CS38869" s="7" t="n">
        <f t="normal" ca="1">32-LENB(INDIRECT(ADDRESS(38869,96)))</f>
        <v>0</v>
      </c>
      <c r="CT38869" s="7" t="n">
        <v>7</v>
      </c>
      <c r="CU38869" s="7" t="n">
        <v>65533</v>
      </c>
      <c r="CV38869" s="7" t="n">
        <v>65277</v>
      </c>
      <c r="CW38869" s="7" t="s">
        <v>16</v>
      </c>
      <c r="CX38869" s="7" t="n">
        <f t="normal" ca="1">32-LENB(INDIRECT(ADDRESS(38869,101)))</f>
        <v>0</v>
      </c>
      <c r="CY38869" s="7" t="n">
        <v>7</v>
      </c>
      <c r="CZ38869" s="7" t="n">
        <v>65533</v>
      </c>
      <c r="DA38869" s="7" t="n">
        <v>64493</v>
      </c>
      <c r="DB38869" s="7" t="s">
        <v>16</v>
      </c>
      <c r="DC38869" s="7" t="n">
        <f t="normal" ca="1">32-LENB(INDIRECT(ADDRESS(38869,106)))</f>
        <v>0</v>
      </c>
      <c r="DD38869" s="7" t="n">
        <v>7</v>
      </c>
      <c r="DE38869" s="7" t="n">
        <v>65533</v>
      </c>
      <c r="DF38869" s="7" t="n">
        <v>64494</v>
      </c>
      <c r="DG38869" s="7" t="s">
        <v>16</v>
      </c>
      <c r="DH38869" s="7" t="n">
        <f t="normal" ca="1">32-LENB(INDIRECT(ADDRESS(38869,111)))</f>
        <v>0</v>
      </c>
      <c r="DI38869" s="7" t="n">
        <v>7</v>
      </c>
      <c r="DJ38869" s="7" t="n">
        <v>65533</v>
      </c>
      <c r="DK38869" s="7" t="n">
        <v>64495</v>
      </c>
      <c r="DL38869" s="7" t="s">
        <v>16</v>
      </c>
      <c r="DM38869" s="7" t="n">
        <f t="normal" ca="1">32-LENB(INDIRECT(ADDRESS(38869,116)))</f>
        <v>0</v>
      </c>
      <c r="DN38869" s="7" t="n">
        <v>7</v>
      </c>
      <c r="DO38869" s="7" t="n">
        <v>65533</v>
      </c>
      <c r="DP38869" s="7" t="n">
        <v>64496</v>
      </c>
      <c r="DQ38869" s="7" t="s">
        <v>16</v>
      </c>
      <c r="DR38869" s="7" t="n">
        <f t="normal" ca="1">32-LENB(INDIRECT(ADDRESS(38869,121)))</f>
        <v>0</v>
      </c>
      <c r="DS38869" s="7" t="n">
        <v>7</v>
      </c>
      <c r="DT38869" s="7" t="n">
        <v>65533</v>
      </c>
      <c r="DU38869" s="7" t="n">
        <v>64497</v>
      </c>
      <c r="DV38869" s="7" t="s">
        <v>16</v>
      </c>
      <c r="DW38869" s="7" t="n">
        <f t="normal" ca="1">32-LENB(INDIRECT(ADDRESS(38869,126)))</f>
        <v>0</v>
      </c>
      <c r="DX38869" s="7" t="n">
        <v>7</v>
      </c>
      <c r="DY38869" s="7" t="n">
        <v>65533</v>
      </c>
      <c r="DZ38869" s="7" t="n">
        <v>64498</v>
      </c>
      <c r="EA38869" s="7" t="s">
        <v>16</v>
      </c>
      <c r="EB38869" s="7" t="n">
        <f t="normal" ca="1">32-LENB(INDIRECT(ADDRESS(38869,131)))</f>
        <v>0</v>
      </c>
      <c r="EC38869" s="7" t="n">
        <v>7</v>
      </c>
      <c r="ED38869" s="7" t="n">
        <v>65533</v>
      </c>
      <c r="EE38869" s="7" t="n">
        <v>64499</v>
      </c>
      <c r="EF38869" s="7" t="s">
        <v>16</v>
      </c>
      <c r="EG38869" s="7" t="n">
        <f t="normal" ca="1">32-LENB(INDIRECT(ADDRESS(38869,136)))</f>
        <v>0</v>
      </c>
      <c r="EH38869" s="7" t="n">
        <v>7</v>
      </c>
      <c r="EI38869" s="7" t="n">
        <v>65533</v>
      </c>
      <c r="EJ38869" s="7" t="n">
        <v>64500</v>
      </c>
      <c r="EK38869" s="7" t="s">
        <v>16</v>
      </c>
      <c r="EL38869" s="7" t="n">
        <f t="normal" ca="1">32-LENB(INDIRECT(ADDRESS(38869,141)))</f>
        <v>0</v>
      </c>
      <c r="EM38869" s="7" t="n">
        <v>7</v>
      </c>
      <c r="EN38869" s="7" t="n">
        <v>65533</v>
      </c>
      <c r="EO38869" s="7" t="n">
        <v>64501</v>
      </c>
      <c r="EP38869" s="7" t="s">
        <v>16</v>
      </c>
      <c r="EQ38869" s="7" t="n">
        <f t="normal" ca="1">32-LENB(INDIRECT(ADDRESS(38869,146)))</f>
        <v>0</v>
      </c>
      <c r="ER38869" s="7" t="n">
        <v>7</v>
      </c>
      <c r="ES38869" s="7" t="n">
        <v>65533</v>
      </c>
      <c r="ET38869" s="7" t="n">
        <v>64502</v>
      </c>
      <c r="EU38869" s="7" t="s">
        <v>16</v>
      </c>
      <c r="EV38869" s="7" t="n">
        <f t="normal" ca="1">32-LENB(INDIRECT(ADDRESS(38869,151)))</f>
        <v>0</v>
      </c>
      <c r="EW38869" s="7" t="n">
        <v>7</v>
      </c>
      <c r="EX38869" s="7" t="n">
        <v>65533</v>
      </c>
      <c r="EY38869" s="7" t="n">
        <v>64503</v>
      </c>
      <c r="EZ38869" s="7" t="s">
        <v>16</v>
      </c>
      <c r="FA38869" s="7" t="n">
        <f t="normal" ca="1">32-LENB(INDIRECT(ADDRESS(38869,156)))</f>
        <v>0</v>
      </c>
      <c r="FB38869" s="7" t="n">
        <v>7</v>
      </c>
      <c r="FC38869" s="7" t="n">
        <v>65533</v>
      </c>
      <c r="FD38869" s="7" t="n">
        <v>64504</v>
      </c>
      <c r="FE38869" s="7" t="s">
        <v>16</v>
      </c>
      <c r="FF38869" s="7" t="n">
        <f t="normal" ca="1">32-LENB(INDIRECT(ADDRESS(38869,161)))</f>
        <v>0</v>
      </c>
      <c r="FG38869" s="7" t="n">
        <v>7</v>
      </c>
      <c r="FH38869" s="7" t="n">
        <v>65533</v>
      </c>
      <c r="FI38869" s="7" t="n">
        <v>64505</v>
      </c>
      <c r="FJ38869" s="7" t="s">
        <v>16</v>
      </c>
      <c r="FK38869" s="7" t="n">
        <f t="normal" ca="1">32-LENB(INDIRECT(ADDRESS(38869,166)))</f>
        <v>0</v>
      </c>
      <c r="FL38869" s="7" t="n">
        <v>7</v>
      </c>
      <c r="FM38869" s="7" t="n">
        <v>65533</v>
      </c>
      <c r="FN38869" s="7" t="n">
        <v>64506</v>
      </c>
      <c r="FO38869" s="7" t="s">
        <v>16</v>
      </c>
      <c r="FP38869" s="7" t="n">
        <f t="normal" ca="1">32-LENB(INDIRECT(ADDRESS(38869,171)))</f>
        <v>0</v>
      </c>
      <c r="FQ38869" s="7" t="n">
        <v>7</v>
      </c>
      <c r="FR38869" s="7" t="n">
        <v>65533</v>
      </c>
      <c r="FS38869" s="7" t="n">
        <v>64507</v>
      </c>
      <c r="FT38869" s="7" t="s">
        <v>16</v>
      </c>
      <c r="FU38869" s="7" t="n">
        <f t="normal" ca="1">32-LENB(INDIRECT(ADDRESS(38869,176)))</f>
        <v>0</v>
      </c>
      <c r="FV38869" s="7" t="n">
        <v>7</v>
      </c>
      <c r="FW38869" s="7" t="n">
        <v>65533</v>
      </c>
      <c r="FX38869" s="7" t="n">
        <v>64508</v>
      </c>
      <c r="FY38869" s="7" t="s">
        <v>16</v>
      </c>
      <c r="FZ38869" s="7" t="n">
        <f t="normal" ca="1">32-LENB(INDIRECT(ADDRESS(38869,181)))</f>
        <v>0</v>
      </c>
      <c r="GA38869" s="7" t="n">
        <v>7</v>
      </c>
      <c r="GB38869" s="7" t="n">
        <v>65533</v>
      </c>
      <c r="GC38869" s="7" t="n">
        <v>64509</v>
      </c>
      <c r="GD38869" s="7" t="s">
        <v>16</v>
      </c>
      <c r="GE38869" s="7" t="n">
        <f t="normal" ca="1">32-LENB(INDIRECT(ADDRESS(38869,186)))</f>
        <v>0</v>
      </c>
      <c r="GF38869" s="7" t="n">
        <v>4</v>
      </c>
      <c r="GG38869" s="7" t="n">
        <v>65533</v>
      </c>
      <c r="GH38869" s="7" t="n">
        <v>2004</v>
      </c>
      <c r="GI38869" s="7" t="s">
        <v>16</v>
      </c>
      <c r="GJ38869" s="7" t="n">
        <f t="normal" ca="1">32-LENB(INDIRECT(ADDRESS(38869,191)))</f>
        <v>0</v>
      </c>
      <c r="GK38869" s="7" t="n">
        <v>7</v>
      </c>
      <c r="GL38869" s="7" t="n">
        <v>65533</v>
      </c>
      <c r="GM38869" s="7" t="n">
        <v>64510</v>
      </c>
      <c r="GN38869" s="7" t="s">
        <v>16</v>
      </c>
      <c r="GO38869" s="7" t="n">
        <f t="normal" ca="1">32-LENB(INDIRECT(ADDRESS(38869,196)))</f>
        <v>0</v>
      </c>
      <c r="GP38869" s="7" t="n">
        <v>7</v>
      </c>
      <c r="GQ38869" s="7" t="n">
        <v>65533</v>
      </c>
      <c r="GR38869" s="7" t="n">
        <v>64511</v>
      </c>
      <c r="GS38869" s="7" t="s">
        <v>16</v>
      </c>
      <c r="GT38869" s="7" t="n">
        <f t="normal" ca="1">32-LENB(INDIRECT(ADDRESS(38869,201)))</f>
        <v>0</v>
      </c>
      <c r="GU38869" s="7" t="n">
        <v>7</v>
      </c>
      <c r="GV38869" s="7" t="n">
        <v>65533</v>
      </c>
      <c r="GW38869" s="7" t="n">
        <v>64512</v>
      </c>
      <c r="GX38869" s="7" t="s">
        <v>16</v>
      </c>
      <c r="GY38869" s="7" t="n">
        <f t="normal" ca="1">32-LENB(INDIRECT(ADDRESS(38869,206)))</f>
        <v>0</v>
      </c>
      <c r="GZ38869" s="7" t="n">
        <v>7</v>
      </c>
      <c r="HA38869" s="7" t="n">
        <v>65533</v>
      </c>
      <c r="HB38869" s="7" t="n">
        <v>64513</v>
      </c>
      <c r="HC38869" s="7" t="s">
        <v>16</v>
      </c>
      <c r="HD38869" s="7" t="n">
        <f t="normal" ca="1">32-LENB(INDIRECT(ADDRESS(38869,211)))</f>
        <v>0</v>
      </c>
      <c r="HE38869" s="7" t="n">
        <v>4</v>
      </c>
      <c r="HF38869" s="7" t="n">
        <v>65533</v>
      </c>
      <c r="HG38869" s="7" t="n">
        <v>2000</v>
      </c>
      <c r="HH38869" s="7" t="s">
        <v>16</v>
      </c>
      <c r="HI38869" s="7" t="n">
        <f t="normal" ca="1">32-LENB(INDIRECT(ADDRESS(38869,216)))</f>
        <v>0</v>
      </c>
      <c r="HJ38869" s="7" t="n">
        <v>7</v>
      </c>
      <c r="HK38869" s="7" t="n">
        <v>65533</v>
      </c>
      <c r="HL38869" s="7" t="n">
        <v>64514</v>
      </c>
      <c r="HM38869" s="7" t="s">
        <v>16</v>
      </c>
      <c r="HN38869" s="7" t="n">
        <f t="normal" ca="1">32-LENB(INDIRECT(ADDRESS(38869,221)))</f>
        <v>0</v>
      </c>
      <c r="HO38869" s="7" t="n">
        <v>7</v>
      </c>
      <c r="HP38869" s="7" t="n">
        <v>65533</v>
      </c>
      <c r="HQ38869" s="7" t="n">
        <v>64515</v>
      </c>
      <c r="HR38869" s="7" t="s">
        <v>16</v>
      </c>
      <c r="HS38869" s="7" t="n">
        <f t="normal" ca="1">32-LENB(INDIRECT(ADDRESS(38869,226)))</f>
        <v>0</v>
      </c>
      <c r="HT38869" s="7" t="n">
        <v>7</v>
      </c>
      <c r="HU38869" s="7" t="n">
        <v>65533</v>
      </c>
      <c r="HV38869" s="7" t="n">
        <v>64516</v>
      </c>
      <c r="HW38869" s="7" t="s">
        <v>16</v>
      </c>
      <c r="HX38869" s="7" t="n">
        <f t="normal" ca="1">32-LENB(INDIRECT(ADDRESS(38869,231)))</f>
        <v>0</v>
      </c>
      <c r="HY38869" s="7" t="n">
        <v>7</v>
      </c>
      <c r="HZ38869" s="7" t="n">
        <v>65533</v>
      </c>
      <c r="IA38869" s="7" t="n">
        <v>64517</v>
      </c>
      <c r="IB38869" s="7" t="s">
        <v>16</v>
      </c>
      <c r="IC38869" s="7" t="n">
        <f t="normal" ca="1">32-LENB(INDIRECT(ADDRESS(38869,236)))</f>
        <v>0</v>
      </c>
      <c r="ID38869" s="7" t="n">
        <v>7</v>
      </c>
      <c r="IE38869" s="7" t="n">
        <v>65533</v>
      </c>
      <c r="IF38869" s="7" t="n">
        <v>64518</v>
      </c>
      <c r="IG38869" s="7" t="s">
        <v>16</v>
      </c>
      <c r="IH38869" s="7" t="n">
        <f t="normal" ca="1">32-LENB(INDIRECT(ADDRESS(38869,241)))</f>
        <v>0</v>
      </c>
      <c r="II38869" s="7" t="n">
        <v>7</v>
      </c>
      <c r="IJ38869" s="7" t="n">
        <v>65533</v>
      </c>
      <c r="IK38869" s="7" t="n">
        <v>64519</v>
      </c>
      <c r="IL38869" s="7" t="s">
        <v>16</v>
      </c>
      <c r="IM38869" s="7" t="n">
        <f t="normal" ca="1">32-LENB(INDIRECT(ADDRESS(38869,246)))</f>
        <v>0</v>
      </c>
      <c r="IN38869" s="7" t="n">
        <v>7</v>
      </c>
      <c r="IO38869" s="7" t="n">
        <v>65533</v>
      </c>
      <c r="IP38869" s="7" t="n">
        <v>64520</v>
      </c>
      <c r="IQ38869" s="7" t="s">
        <v>16</v>
      </c>
      <c r="IR38869" s="7" t="n">
        <f t="normal" ca="1">32-LENB(INDIRECT(ADDRESS(38869,251)))</f>
        <v>0</v>
      </c>
      <c r="IS38869" s="7" t="n">
        <v>7</v>
      </c>
      <c r="IT38869" s="7" t="n">
        <v>65533</v>
      </c>
      <c r="IU38869" s="7" t="n">
        <v>64521</v>
      </c>
      <c r="IV38869" s="7" t="s">
        <v>16</v>
      </c>
      <c r="IW38869" s="7" t="n">
        <f t="normal" ca="1">32-LENB(INDIRECT(ADDRESS(38869,256)))</f>
        <v>0</v>
      </c>
      <c r="IX38869" s="7" t="n">
        <v>7</v>
      </c>
      <c r="IY38869" s="7" t="n">
        <v>65533</v>
      </c>
      <c r="IZ38869" s="7" t="n">
        <v>64522</v>
      </c>
      <c r="JA38869" s="7" t="s">
        <v>16</v>
      </c>
      <c r="JB38869" s="7" t="n">
        <f t="normal" ca="1">32-LENB(INDIRECT(ADDRESS(38869,261)))</f>
        <v>0</v>
      </c>
      <c r="JC38869" s="7" t="n">
        <v>7</v>
      </c>
      <c r="JD38869" s="7" t="n">
        <v>65533</v>
      </c>
      <c r="JE38869" s="7" t="n">
        <v>64523</v>
      </c>
      <c r="JF38869" s="7" t="s">
        <v>16</v>
      </c>
      <c r="JG38869" s="7" t="n">
        <f t="normal" ca="1">32-LENB(INDIRECT(ADDRESS(38869,266)))</f>
        <v>0</v>
      </c>
      <c r="JH38869" s="7" t="n">
        <v>7</v>
      </c>
      <c r="JI38869" s="7" t="n">
        <v>65533</v>
      </c>
      <c r="JJ38869" s="7" t="n">
        <v>64524</v>
      </c>
      <c r="JK38869" s="7" t="s">
        <v>16</v>
      </c>
      <c r="JL38869" s="7" t="n">
        <f t="normal" ca="1">32-LENB(INDIRECT(ADDRESS(38869,271)))</f>
        <v>0</v>
      </c>
      <c r="JM38869" s="7" t="n">
        <v>7</v>
      </c>
      <c r="JN38869" s="7" t="n">
        <v>65533</v>
      </c>
      <c r="JO38869" s="7" t="n">
        <v>64525</v>
      </c>
      <c r="JP38869" s="7" t="s">
        <v>16</v>
      </c>
      <c r="JQ38869" s="7" t="n">
        <f t="normal" ca="1">32-LENB(INDIRECT(ADDRESS(38869,276)))</f>
        <v>0</v>
      </c>
      <c r="JR38869" s="7" t="n">
        <v>7</v>
      </c>
      <c r="JS38869" s="7" t="n">
        <v>65533</v>
      </c>
      <c r="JT38869" s="7" t="n">
        <v>64526</v>
      </c>
      <c r="JU38869" s="7" t="s">
        <v>16</v>
      </c>
      <c r="JV38869" s="7" t="n">
        <f t="normal" ca="1">32-LENB(INDIRECT(ADDRESS(38869,281)))</f>
        <v>0</v>
      </c>
      <c r="JW38869" s="7" t="n">
        <v>7</v>
      </c>
      <c r="JX38869" s="7" t="n">
        <v>65533</v>
      </c>
      <c r="JY38869" s="7" t="n">
        <v>64527</v>
      </c>
      <c r="JZ38869" s="7" t="s">
        <v>16</v>
      </c>
      <c r="KA38869" s="7" t="n">
        <f t="normal" ca="1">32-LENB(INDIRECT(ADDRESS(38869,286)))</f>
        <v>0</v>
      </c>
      <c r="KB38869" s="7" t="n">
        <v>7</v>
      </c>
      <c r="KC38869" s="7" t="n">
        <v>65533</v>
      </c>
      <c r="KD38869" s="7" t="n">
        <v>64528</v>
      </c>
      <c r="KE38869" s="7" t="s">
        <v>16</v>
      </c>
      <c r="KF38869" s="7" t="n">
        <f t="normal" ca="1">32-LENB(INDIRECT(ADDRESS(38869,291)))</f>
        <v>0</v>
      </c>
      <c r="KG38869" s="7" t="n">
        <v>9</v>
      </c>
      <c r="KH38869" s="7" t="n">
        <v>1</v>
      </c>
      <c r="KI38869" s="7" t="n">
        <v>0</v>
      </c>
      <c r="KJ38869" s="7" t="s">
        <v>1505</v>
      </c>
      <c r="KK38869" s="7" t="n">
        <f t="normal" ca="1">32-LENB(INDIRECT(ADDRESS(38869,296)))</f>
        <v>0</v>
      </c>
      <c r="KL38869" s="7" t="n">
        <v>9</v>
      </c>
      <c r="KM38869" s="7" t="n">
        <v>0</v>
      </c>
      <c r="KN38869" s="7" t="n">
        <v>0</v>
      </c>
      <c r="KO38869" s="7" t="s">
        <v>1505</v>
      </c>
      <c r="KP38869" s="7" t="n">
        <f t="normal" ca="1">32-LENB(INDIRECT(ADDRESS(38869,301)))</f>
        <v>0</v>
      </c>
      <c r="KQ38869" s="7" t="n">
        <v>7</v>
      </c>
      <c r="KR38869" s="7" t="n">
        <v>65533</v>
      </c>
      <c r="KS38869" s="7" t="n">
        <v>64529</v>
      </c>
      <c r="KT38869" s="7" t="s">
        <v>16</v>
      </c>
      <c r="KU38869" s="7" t="n">
        <f t="normal" ca="1">32-LENB(INDIRECT(ADDRESS(38869,306)))</f>
        <v>0</v>
      </c>
      <c r="KV38869" s="7" t="n">
        <v>7</v>
      </c>
      <c r="KW38869" s="7" t="n">
        <v>65533</v>
      </c>
      <c r="KX38869" s="7" t="n">
        <v>64530</v>
      </c>
      <c r="KY38869" s="7" t="s">
        <v>16</v>
      </c>
      <c r="KZ38869" s="7" t="n">
        <f t="normal" ca="1">32-LENB(INDIRECT(ADDRESS(38869,311)))</f>
        <v>0</v>
      </c>
      <c r="LA38869" s="7" t="n">
        <v>7</v>
      </c>
      <c r="LB38869" s="7" t="n">
        <v>65533</v>
      </c>
      <c r="LC38869" s="7" t="n">
        <v>64531</v>
      </c>
      <c r="LD38869" s="7" t="s">
        <v>16</v>
      </c>
      <c r="LE38869" s="7" t="n">
        <f t="normal" ca="1">32-LENB(INDIRECT(ADDRESS(38869,316)))</f>
        <v>0</v>
      </c>
      <c r="LF38869" s="7" t="n">
        <v>7</v>
      </c>
      <c r="LG38869" s="7" t="n">
        <v>65533</v>
      </c>
      <c r="LH38869" s="7" t="n">
        <v>64532</v>
      </c>
      <c r="LI38869" s="7" t="s">
        <v>16</v>
      </c>
      <c r="LJ38869" s="7" t="n">
        <f t="normal" ca="1">32-LENB(INDIRECT(ADDRESS(38869,321)))</f>
        <v>0</v>
      </c>
      <c r="LK38869" s="7" t="n">
        <v>7</v>
      </c>
      <c r="LL38869" s="7" t="n">
        <v>65533</v>
      </c>
      <c r="LM38869" s="7" t="n">
        <v>64533</v>
      </c>
      <c r="LN38869" s="7" t="s">
        <v>16</v>
      </c>
      <c r="LO38869" s="7" t="n">
        <f t="normal" ca="1">32-LENB(INDIRECT(ADDRESS(38869,326)))</f>
        <v>0</v>
      </c>
      <c r="LP38869" s="7" t="n">
        <v>7</v>
      </c>
      <c r="LQ38869" s="7" t="n">
        <v>65533</v>
      </c>
      <c r="LR38869" s="7" t="n">
        <v>64534</v>
      </c>
      <c r="LS38869" s="7" t="s">
        <v>16</v>
      </c>
      <c r="LT38869" s="7" t="n">
        <f t="normal" ca="1">32-LENB(INDIRECT(ADDRESS(38869,331)))</f>
        <v>0</v>
      </c>
      <c r="LU38869" s="7" t="n">
        <v>7</v>
      </c>
      <c r="LV38869" s="7" t="n">
        <v>65533</v>
      </c>
      <c r="LW38869" s="7" t="n">
        <v>64535</v>
      </c>
      <c r="LX38869" s="7" t="s">
        <v>16</v>
      </c>
      <c r="LY38869" s="7" t="n">
        <f t="normal" ca="1">32-LENB(INDIRECT(ADDRESS(38869,336)))</f>
        <v>0</v>
      </c>
      <c r="LZ38869" s="7" t="n">
        <v>7</v>
      </c>
      <c r="MA38869" s="7" t="n">
        <v>65533</v>
      </c>
      <c r="MB38869" s="7" t="n">
        <v>64536</v>
      </c>
      <c r="MC38869" s="7" t="s">
        <v>16</v>
      </c>
      <c r="MD38869" s="7" t="n">
        <f t="normal" ca="1">32-LENB(INDIRECT(ADDRESS(38869,341)))</f>
        <v>0</v>
      </c>
      <c r="ME38869" s="7" t="n">
        <v>7</v>
      </c>
      <c r="MF38869" s="7" t="n">
        <v>65533</v>
      </c>
      <c r="MG38869" s="7" t="n">
        <v>64537</v>
      </c>
      <c r="MH38869" s="7" t="s">
        <v>16</v>
      </c>
      <c r="MI38869" s="7" t="n">
        <f t="normal" ca="1">32-LENB(INDIRECT(ADDRESS(38869,346)))</f>
        <v>0</v>
      </c>
      <c r="MJ38869" s="7" t="n">
        <v>0</v>
      </c>
      <c r="MK38869" s="7" t="n">
        <v>65533</v>
      </c>
      <c r="ML38869" s="7" t="n">
        <v>0</v>
      </c>
      <c r="MM38869" s="7" t="s">
        <v>16</v>
      </c>
      <c r="MN38869" s="7" t="n">
        <f t="normal" ca="1">32-LENB(INDIRECT(ADDRESS(38869,351)))</f>
        <v>0</v>
      </c>
    </row>
    <row r="38870" spans="1:222">
      <c r="A38870" t="s">
        <v>4</v>
      </c>
      <c r="B38870" s="4" t="s">
        <v>5</v>
      </c>
    </row>
    <row r="38871" spans="1:222">
      <c r="A38871" t="n">
        <v>429856</v>
      </c>
      <c r="B38871" s="5" t="n">
        <v>1</v>
      </c>
    </row>
    <row r="38872" spans="1:222" s="3" customFormat="1" customHeight="0">
      <c r="A38872" s="3" t="s">
        <v>2</v>
      </c>
      <c r="B38872" s="3" t="s">
        <v>1883</v>
      </c>
    </row>
    <row r="38873" spans="1:222">
      <c r="A38873" t="s">
        <v>4</v>
      </c>
      <c r="B38873" s="4" t="s">
        <v>5</v>
      </c>
      <c r="C38873" s="4" t="s">
        <v>11</v>
      </c>
      <c r="D38873" s="4" t="s">
        <v>11</v>
      </c>
      <c r="E38873" s="4" t="s">
        <v>15</v>
      </c>
      <c r="F38873" s="4" t="s">
        <v>8</v>
      </c>
      <c r="G38873" s="4" t="s">
        <v>1859</v>
      </c>
      <c r="H38873" s="4" t="s">
        <v>11</v>
      </c>
      <c r="I38873" s="4" t="s">
        <v>11</v>
      </c>
      <c r="J38873" s="4" t="s">
        <v>15</v>
      </c>
      <c r="K38873" s="4" t="s">
        <v>8</v>
      </c>
      <c r="L38873" s="4" t="s">
        <v>1859</v>
      </c>
      <c r="M38873" s="4" t="s">
        <v>11</v>
      </c>
      <c r="N38873" s="4" t="s">
        <v>11</v>
      </c>
      <c r="O38873" s="4" t="s">
        <v>15</v>
      </c>
      <c r="P38873" s="4" t="s">
        <v>8</v>
      </c>
      <c r="Q38873" s="4" t="s">
        <v>1859</v>
      </c>
      <c r="R38873" s="4" t="s">
        <v>11</v>
      </c>
      <c r="S38873" s="4" t="s">
        <v>11</v>
      </c>
      <c r="T38873" s="4" t="s">
        <v>15</v>
      </c>
      <c r="U38873" s="4" t="s">
        <v>8</v>
      </c>
      <c r="V38873" s="4" t="s">
        <v>1859</v>
      </c>
      <c r="W38873" s="4" t="s">
        <v>11</v>
      </c>
      <c r="X38873" s="4" t="s">
        <v>11</v>
      </c>
      <c r="Y38873" s="4" t="s">
        <v>15</v>
      </c>
      <c r="Z38873" s="4" t="s">
        <v>8</v>
      </c>
      <c r="AA38873" s="4" t="s">
        <v>1859</v>
      </c>
      <c r="AB38873" s="4" t="s">
        <v>11</v>
      </c>
      <c r="AC38873" s="4" t="s">
        <v>11</v>
      </c>
      <c r="AD38873" s="4" t="s">
        <v>15</v>
      </c>
      <c r="AE38873" s="4" t="s">
        <v>8</v>
      </c>
      <c r="AF38873" s="4" t="s">
        <v>1859</v>
      </c>
      <c r="AG38873" s="4" t="s">
        <v>11</v>
      </c>
      <c r="AH38873" s="4" t="s">
        <v>11</v>
      </c>
      <c r="AI38873" s="4" t="s">
        <v>15</v>
      </c>
      <c r="AJ38873" s="4" t="s">
        <v>8</v>
      </c>
      <c r="AK38873" s="4" t="s">
        <v>1859</v>
      </c>
      <c r="AL38873" s="4" t="s">
        <v>11</v>
      </c>
      <c r="AM38873" s="4" t="s">
        <v>11</v>
      </c>
      <c r="AN38873" s="4" t="s">
        <v>15</v>
      </c>
      <c r="AO38873" s="4" t="s">
        <v>8</v>
      </c>
      <c r="AP38873" s="4" t="s">
        <v>1859</v>
      </c>
      <c r="AQ38873" s="4" t="s">
        <v>11</v>
      </c>
      <c r="AR38873" s="4" t="s">
        <v>11</v>
      </c>
      <c r="AS38873" s="4" t="s">
        <v>15</v>
      </c>
      <c r="AT38873" s="4" t="s">
        <v>8</v>
      </c>
      <c r="AU38873" s="4" t="s">
        <v>1859</v>
      </c>
      <c r="AV38873" s="4" t="s">
        <v>11</v>
      </c>
      <c r="AW38873" s="4" t="s">
        <v>11</v>
      </c>
      <c r="AX38873" s="4" t="s">
        <v>15</v>
      </c>
      <c r="AY38873" s="4" t="s">
        <v>8</v>
      </c>
      <c r="AZ38873" s="4" t="s">
        <v>1859</v>
      </c>
      <c r="BA38873" s="4" t="s">
        <v>11</v>
      </c>
      <c r="BB38873" s="4" t="s">
        <v>11</v>
      </c>
      <c r="BC38873" s="4" t="s">
        <v>15</v>
      </c>
      <c r="BD38873" s="4" t="s">
        <v>8</v>
      </c>
      <c r="BE38873" s="4" t="s">
        <v>1859</v>
      </c>
      <c r="BF38873" s="4" t="s">
        <v>11</v>
      </c>
      <c r="BG38873" s="4" t="s">
        <v>11</v>
      </c>
      <c r="BH38873" s="4" t="s">
        <v>15</v>
      </c>
      <c r="BI38873" s="4" t="s">
        <v>8</v>
      </c>
      <c r="BJ38873" s="4" t="s">
        <v>1859</v>
      </c>
      <c r="BK38873" s="4" t="s">
        <v>11</v>
      </c>
      <c r="BL38873" s="4" t="s">
        <v>11</v>
      </c>
      <c r="BM38873" s="4" t="s">
        <v>15</v>
      </c>
      <c r="BN38873" s="4" t="s">
        <v>8</v>
      </c>
      <c r="BO38873" s="4" t="s">
        <v>1859</v>
      </c>
      <c r="BP38873" s="4" t="s">
        <v>11</v>
      </c>
      <c r="BQ38873" s="4" t="s">
        <v>11</v>
      </c>
      <c r="BR38873" s="4" t="s">
        <v>15</v>
      </c>
      <c r="BS38873" s="4" t="s">
        <v>8</v>
      </c>
      <c r="BT38873" s="4" t="s">
        <v>1859</v>
      </c>
      <c r="BU38873" s="4" t="s">
        <v>11</v>
      </c>
      <c r="BV38873" s="4" t="s">
        <v>11</v>
      </c>
      <c r="BW38873" s="4" t="s">
        <v>15</v>
      </c>
      <c r="BX38873" s="4" t="s">
        <v>8</v>
      </c>
      <c r="BY38873" s="4" t="s">
        <v>1859</v>
      </c>
      <c r="BZ38873" s="4" t="s">
        <v>11</v>
      </c>
      <c r="CA38873" s="4" t="s">
        <v>11</v>
      </c>
      <c r="CB38873" s="4" t="s">
        <v>15</v>
      </c>
      <c r="CC38873" s="4" t="s">
        <v>8</v>
      </c>
      <c r="CD38873" s="4" t="s">
        <v>1859</v>
      </c>
      <c r="CE38873" s="4" t="s">
        <v>11</v>
      </c>
      <c r="CF38873" s="4" t="s">
        <v>11</v>
      </c>
      <c r="CG38873" s="4" t="s">
        <v>15</v>
      </c>
      <c r="CH38873" s="4" t="s">
        <v>8</v>
      </c>
      <c r="CI38873" s="4" t="s">
        <v>1859</v>
      </c>
      <c r="CJ38873" s="4" t="s">
        <v>11</v>
      </c>
      <c r="CK38873" s="4" t="s">
        <v>11</v>
      </c>
      <c r="CL38873" s="4" t="s">
        <v>15</v>
      </c>
      <c r="CM38873" s="4" t="s">
        <v>8</v>
      </c>
      <c r="CN38873" s="4" t="s">
        <v>1859</v>
      </c>
      <c r="CO38873" s="4" t="s">
        <v>11</v>
      </c>
      <c r="CP38873" s="4" t="s">
        <v>11</v>
      </c>
      <c r="CQ38873" s="4" t="s">
        <v>15</v>
      </c>
      <c r="CR38873" s="4" t="s">
        <v>8</v>
      </c>
      <c r="CS38873" s="4" t="s">
        <v>1859</v>
      </c>
      <c r="CT38873" s="4" t="s">
        <v>11</v>
      </c>
      <c r="CU38873" s="4" t="s">
        <v>11</v>
      </c>
      <c r="CV38873" s="4" t="s">
        <v>15</v>
      </c>
      <c r="CW38873" s="4" t="s">
        <v>8</v>
      </c>
      <c r="CX38873" s="4" t="s">
        <v>1859</v>
      </c>
      <c r="CY38873" s="4" t="s">
        <v>11</v>
      </c>
      <c r="CZ38873" s="4" t="s">
        <v>11</v>
      </c>
      <c r="DA38873" s="4" t="s">
        <v>15</v>
      </c>
      <c r="DB38873" s="4" t="s">
        <v>8</v>
      </c>
      <c r="DC38873" s="4" t="s">
        <v>1859</v>
      </c>
      <c r="DD38873" s="4" t="s">
        <v>11</v>
      </c>
      <c r="DE38873" s="4" t="s">
        <v>11</v>
      </c>
      <c r="DF38873" s="4" t="s">
        <v>15</v>
      </c>
      <c r="DG38873" s="4" t="s">
        <v>8</v>
      </c>
      <c r="DH38873" s="4" t="s">
        <v>1859</v>
      </c>
      <c r="DI38873" s="4" t="s">
        <v>11</v>
      </c>
      <c r="DJ38873" s="4" t="s">
        <v>11</v>
      </c>
      <c r="DK38873" s="4" t="s">
        <v>15</v>
      </c>
      <c r="DL38873" s="4" t="s">
        <v>8</v>
      </c>
      <c r="DM38873" s="4" t="s">
        <v>1859</v>
      </c>
      <c r="DN38873" s="4" t="s">
        <v>11</v>
      </c>
      <c r="DO38873" s="4" t="s">
        <v>11</v>
      </c>
      <c r="DP38873" s="4" t="s">
        <v>15</v>
      </c>
      <c r="DQ38873" s="4" t="s">
        <v>8</v>
      </c>
      <c r="DR38873" s="4" t="s">
        <v>1859</v>
      </c>
      <c r="DS38873" s="4" t="s">
        <v>11</v>
      </c>
      <c r="DT38873" s="4" t="s">
        <v>11</v>
      </c>
      <c r="DU38873" s="4" t="s">
        <v>15</v>
      </c>
      <c r="DV38873" s="4" t="s">
        <v>8</v>
      </c>
      <c r="DW38873" s="4" t="s">
        <v>1859</v>
      </c>
      <c r="DX38873" s="4" t="s">
        <v>11</v>
      </c>
      <c r="DY38873" s="4" t="s">
        <v>11</v>
      </c>
      <c r="DZ38873" s="4" t="s">
        <v>15</v>
      </c>
      <c r="EA38873" s="4" t="s">
        <v>8</v>
      </c>
      <c r="EB38873" s="4" t="s">
        <v>1859</v>
      </c>
      <c r="EC38873" s="4" t="s">
        <v>11</v>
      </c>
      <c r="ED38873" s="4" t="s">
        <v>11</v>
      </c>
      <c r="EE38873" s="4" t="s">
        <v>15</v>
      </c>
      <c r="EF38873" s="4" t="s">
        <v>8</v>
      </c>
      <c r="EG38873" s="4" t="s">
        <v>1859</v>
      </c>
      <c r="EH38873" s="4" t="s">
        <v>11</v>
      </c>
      <c r="EI38873" s="4" t="s">
        <v>11</v>
      </c>
      <c r="EJ38873" s="4" t="s">
        <v>15</v>
      </c>
      <c r="EK38873" s="4" t="s">
        <v>8</v>
      </c>
      <c r="EL38873" s="4" t="s">
        <v>1859</v>
      </c>
      <c r="EM38873" s="4" t="s">
        <v>11</v>
      </c>
      <c r="EN38873" s="4" t="s">
        <v>11</v>
      </c>
      <c r="EO38873" s="4" t="s">
        <v>15</v>
      </c>
      <c r="EP38873" s="4" t="s">
        <v>8</v>
      </c>
      <c r="EQ38873" s="4" t="s">
        <v>1859</v>
      </c>
      <c r="ER38873" s="4" t="s">
        <v>11</v>
      </c>
      <c r="ES38873" s="4" t="s">
        <v>11</v>
      </c>
      <c r="ET38873" s="4" t="s">
        <v>15</v>
      </c>
      <c r="EU38873" s="4" t="s">
        <v>8</v>
      </c>
      <c r="EV38873" s="4" t="s">
        <v>1859</v>
      </c>
      <c r="EW38873" s="4" t="s">
        <v>11</v>
      </c>
      <c r="EX38873" s="4" t="s">
        <v>11</v>
      </c>
      <c r="EY38873" s="4" t="s">
        <v>15</v>
      </c>
      <c r="EZ38873" s="4" t="s">
        <v>8</v>
      </c>
      <c r="FA38873" s="4" t="s">
        <v>1859</v>
      </c>
      <c r="FB38873" s="4" t="s">
        <v>11</v>
      </c>
      <c r="FC38873" s="4" t="s">
        <v>11</v>
      </c>
      <c r="FD38873" s="4" t="s">
        <v>15</v>
      </c>
      <c r="FE38873" s="4" t="s">
        <v>8</v>
      </c>
      <c r="FF38873" s="4" t="s">
        <v>1859</v>
      </c>
      <c r="FG38873" s="4" t="s">
        <v>11</v>
      </c>
      <c r="FH38873" s="4" t="s">
        <v>11</v>
      </c>
      <c r="FI38873" s="4" t="s">
        <v>15</v>
      </c>
      <c r="FJ38873" s="4" t="s">
        <v>8</v>
      </c>
      <c r="FK38873" s="4" t="s">
        <v>1859</v>
      </c>
      <c r="FL38873" s="4" t="s">
        <v>11</v>
      </c>
      <c r="FM38873" s="4" t="s">
        <v>11</v>
      </c>
      <c r="FN38873" s="4" t="s">
        <v>15</v>
      </c>
      <c r="FO38873" s="4" t="s">
        <v>8</v>
      </c>
      <c r="FP38873" s="4" t="s">
        <v>1859</v>
      </c>
      <c r="FQ38873" s="4" t="s">
        <v>11</v>
      </c>
      <c r="FR38873" s="4" t="s">
        <v>11</v>
      </c>
      <c r="FS38873" s="4" t="s">
        <v>15</v>
      </c>
      <c r="FT38873" s="4" t="s">
        <v>8</v>
      </c>
      <c r="FU38873" s="4" t="s">
        <v>1859</v>
      </c>
      <c r="FV38873" s="4" t="s">
        <v>11</v>
      </c>
      <c r="FW38873" s="4" t="s">
        <v>11</v>
      </c>
      <c r="FX38873" s="4" t="s">
        <v>15</v>
      </c>
      <c r="FY38873" s="4" t="s">
        <v>8</v>
      </c>
      <c r="FZ38873" s="4" t="s">
        <v>1859</v>
      </c>
      <c r="GA38873" s="4" t="s">
        <v>11</v>
      </c>
      <c r="GB38873" s="4" t="s">
        <v>11</v>
      </c>
      <c r="GC38873" s="4" t="s">
        <v>15</v>
      </c>
      <c r="GD38873" s="4" t="s">
        <v>8</v>
      </c>
      <c r="GE38873" s="4" t="s">
        <v>1859</v>
      </c>
      <c r="GF38873" s="4" t="s">
        <v>11</v>
      </c>
      <c r="GG38873" s="4" t="s">
        <v>11</v>
      </c>
      <c r="GH38873" s="4" t="s">
        <v>15</v>
      </c>
      <c r="GI38873" s="4" t="s">
        <v>8</v>
      </c>
      <c r="GJ38873" s="4" t="s">
        <v>1859</v>
      </c>
      <c r="GK38873" s="4" t="s">
        <v>11</v>
      </c>
      <c r="GL38873" s="4" t="s">
        <v>11</v>
      </c>
      <c r="GM38873" s="4" t="s">
        <v>15</v>
      </c>
      <c r="GN38873" s="4" t="s">
        <v>8</v>
      </c>
      <c r="GO38873" s="4" t="s">
        <v>1859</v>
      </c>
      <c r="GP38873" s="4" t="s">
        <v>11</v>
      </c>
      <c r="GQ38873" s="4" t="s">
        <v>11</v>
      </c>
      <c r="GR38873" s="4" t="s">
        <v>15</v>
      </c>
      <c r="GS38873" s="4" t="s">
        <v>8</v>
      </c>
      <c r="GT38873" s="4" t="s">
        <v>1859</v>
      </c>
      <c r="GU38873" s="4" t="s">
        <v>11</v>
      </c>
      <c r="GV38873" s="4" t="s">
        <v>11</v>
      </c>
      <c r="GW38873" s="4" t="s">
        <v>15</v>
      </c>
      <c r="GX38873" s="4" t="s">
        <v>8</v>
      </c>
      <c r="GY38873" s="4" t="s">
        <v>1859</v>
      </c>
      <c r="GZ38873" s="4" t="s">
        <v>11</v>
      </c>
      <c r="HA38873" s="4" t="s">
        <v>11</v>
      </c>
      <c r="HB38873" s="4" t="s">
        <v>15</v>
      </c>
      <c r="HC38873" s="4" t="s">
        <v>8</v>
      </c>
      <c r="HD38873" s="4" t="s">
        <v>1859</v>
      </c>
      <c r="HE38873" s="4" t="s">
        <v>11</v>
      </c>
      <c r="HF38873" s="4" t="s">
        <v>11</v>
      </c>
      <c r="HG38873" s="4" t="s">
        <v>15</v>
      </c>
      <c r="HH38873" s="4" t="s">
        <v>8</v>
      </c>
      <c r="HI38873" s="4" t="s">
        <v>1859</v>
      </c>
      <c r="HJ38873" s="4" t="s">
        <v>11</v>
      </c>
      <c r="HK38873" s="4" t="s">
        <v>11</v>
      </c>
      <c r="HL38873" s="4" t="s">
        <v>15</v>
      </c>
      <c r="HM38873" s="4" t="s">
        <v>8</v>
      </c>
      <c r="HN38873" s="4" t="s">
        <v>1859</v>
      </c>
      <c r="HO38873" s="4" t="s">
        <v>11</v>
      </c>
      <c r="HP38873" s="4" t="s">
        <v>11</v>
      </c>
      <c r="HQ38873" s="4" t="s">
        <v>15</v>
      </c>
      <c r="HR38873" s="4" t="s">
        <v>8</v>
      </c>
      <c r="HS38873" s="4" t="s">
        <v>1859</v>
      </c>
      <c r="HT38873" s="4" t="s">
        <v>11</v>
      </c>
      <c r="HU38873" s="4" t="s">
        <v>11</v>
      </c>
      <c r="HV38873" s="4" t="s">
        <v>15</v>
      </c>
      <c r="HW38873" s="4" t="s">
        <v>8</v>
      </c>
      <c r="HX38873" s="4" t="s">
        <v>1859</v>
      </c>
      <c r="HY38873" s="4" t="s">
        <v>11</v>
      </c>
      <c r="HZ38873" s="4" t="s">
        <v>11</v>
      </c>
      <c r="IA38873" s="4" t="s">
        <v>15</v>
      </c>
      <c r="IB38873" s="4" t="s">
        <v>8</v>
      </c>
      <c r="IC38873" s="4" t="s">
        <v>1859</v>
      </c>
      <c r="ID38873" s="4" t="s">
        <v>11</v>
      </c>
      <c r="IE38873" s="4" t="s">
        <v>11</v>
      </c>
      <c r="IF38873" s="4" t="s">
        <v>15</v>
      </c>
      <c r="IG38873" s="4" t="s">
        <v>8</v>
      </c>
      <c r="IH38873" s="4" t="s">
        <v>1859</v>
      </c>
      <c r="II38873" s="4" t="s">
        <v>11</v>
      </c>
      <c r="IJ38873" s="4" t="s">
        <v>11</v>
      </c>
      <c r="IK38873" s="4" t="s">
        <v>15</v>
      </c>
      <c r="IL38873" s="4" t="s">
        <v>8</v>
      </c>
      <c r="IM38873" s="4" t="s">
        <v>1859</v>
      </c>
      <c r="IN38873" s="4" t="s">
        <v>11</v>
      </c>
      <c r="IO38873" s="4" t="s">
        <v>11</v>
      </c>
      <c r="IP38873" s="4" t="s">
        <v>15</v>
      </c>
      <c r="IQ38873" s="4" t="s">
        <v>8</v>
      </c>
      <c r="IR38873" s="4" t="s">
        <v>1859</v>
      </c>
      <c r="IS38873" s="4" t="s">
        <v>11</v>
      </c>
      <c r="IT38873" s="4" t="s">
        <v>11</v>
      </c>
      <c r="IU38873" s="4" t="s">
        <v>15</v>
      </c>
      <c r="IV38873" s="4" t="s">
        <v>8</v>
      </c>
      <c r="IW38873" s="4" t="s">
        <v>1859</v>
      </c>
      <c r="IX38873" s="4" t="s">
        <v>11</v>
      </c>
      <c r="IY38873" s="4" t="s">
        <v>11</v>
      </c>
      <c r="IZ38873" s="4" t="s">
        <v>15</v>
      </c>
      <c r="JA38873" s="4" t="s">
        <v>8</v>
      </c>
      <c r="JB38873" s="4" t="s">
        <v>1859</v>
      </c>
      <c r="JC38873" s="4" t="s">
        <v>11</v>
      </c>
      <c r="JD38873" s="4" t="s">
        <v>11</v>
      </c>
      <c r="JE38873" s="4" t="s">
        <v>15</v>
      </c>
      <c r="JF38873" s="4" t="s">
        <v>8</v>
      </c>
      <c r="JG38873" s="4" t="s">
        <v>1859</v>
      </c>
      <c r="JH38873" s="4" t="s">
        <v>11</v>
      </c>
      <c r="JI38873" s="4" t="s">
        <v>11</v>
      </c>
      <c r="JJ38873" s="4" t="s">
        <v>15</v>
      </c>
      <c r="JK38873" s="4" t="s">
        <v>8</v>
      </c>
      <c r="JL38873" s="4" t="s">
        <v>1859</v>
      </c>
      <c r="JM38873" s="4" t="s">
        <v>11</v>
      </c>
      <c r="JN38873" s="4" t="s">
        <v>11</v>
      </c>
      <c r="JO38873" s="4" t="s">
        <v>15</v>
      </c>
      <c r="JP38873" s="4" t="s">
        <v>8</v>
      </c>
      <c r="JQ38873" s="4" t="s">
        <v>1859</v>
      </c>
      <c r="JR38873" s="4" t="s">
        <v>11</v>
      </c>
      <c r="JS38873" s="4" t="s">
        <v>11</v>
      </c>
      <c r="JT38873" s="4" t="s">
        <v>15</v>
      </c>
      <c r="JU38873" s="4" t="s">
        <v>8</v>
      </c>
      <c r="JV38873" s="4" t="s">
        <v>1859</v>
      </c>
      <c r="JW38873" s="4" t="s">
        <v>11</v>
      </c>
      <c r="JX38873" s="4" t="s">
        <v>11</v>
      </c>
      <c r="JY38873" s="4" t="s">
        <v>15</v>
      </c>
      <c r="JZ38873" s="4" t="s">
        <v>8</v>
      </c>
      <c r="KA38873" s="4" t="s">
        <v>1859</v>
      </c>
    </row>
    <row r="38874" spans="1:222">
      <c r="A38874" t="n">
        <v>429872</v>
      </c>
      <c r="B38874" s="85" t="n">
        <v>257</v>
      </c>
      <c r="C38874" s="7" t="n">
        <v>7</v>
      </c>
      <c r="D38874" s="7" t="n">
        <v>65533</v>
      </c>
      <c r="E38874" s="7" t="n">
        <v>64538</v>
      </c>
      <c r="F38874" s="7" t="s">
        <v>16</v>
      </c>
      <c r="G38874" s="7" t="n">
        <f t="normal" ca="1">32-LENB(INDIRECT(ADDRESS(38874,6)))</f>
        <v>0</v>
      </c>
      <c r="H38874" s="7" t="n">
        <v>7</v>
      </c>
      <c r="I38874" s="7" t="n">
        <v>65533</v>
      </c>
      <c r="J38874" s="7" t="n">
        <v>64539</v>
      </c>
      <c r="K38874" s="7" t="s">
        <v>16</v>
      </c>
      <c r="L38874" s="7" t="n">
        <f t="normal" ca="1">32-LENB(INDIRECT(ADDRESS(38874,11)))</f>
        <v>0</v>
      </c>
      <c r="M38874" s="7" t="n">
        <v>7</v>
      </c>
      <c r="N38874" s="7" t="n">
        <v>65533</v>
      </c>
      <c r="O38874" s="7" t="n">
        <v>64540</v>
      </c>
      <c r="P38874" s="7" t="s">
        <v>16</v>
      </c>
      <c r="Q38874" s="7" t="n">
        <f t="normal" ca="1">32-LENB(INDIRECT(ADDRESS(38874,16)))</f>
        <v>0</v>
      </c>
      <c r="R38874" s="7" t="n">
        <v>7</v>
      </c>
      <c r="S38874" s="7" t="n">
        <v>65533</v>
      </c>
      <c r="T38874" s="7" t="n">
        <v>64541</v>
      </c>
      <c r="U38874" s="7" t="s">
        <v>16</v>
      </c>
      <c r="V38874" s="7" t="n">
        <f t="normal" ca="1">32-LENB(INDIRECT(ADDRESS(38874,21)))</f>
        <v>0</v>
      </c>
      <c r="W38874" s="7" t="n">
        <v>7</v>
      </c>
      <c r="X38874" s="7" t="n">
        <v>65533</v>
      </c>
      <c r="Y38874" s="7" t="n">
        <v>64542</v>
      </c>
      <c r="Z38874" s="7" t="s">
        <v>16</v>
      </c>
      <c r="AA38874" s="7" t="n">
        <f t="normal" ca="1">32-LENB(INDIRECT(ADDRESS(38874,26)))</f>
        <v>0</v>
      </c>
      <c r="AB38874" s="7" t="n">
        <v>7</v>
      </c>
      <c r="AC38874" s="7" t="n">
        <v>65533</v>
      </c>
      <c r="AD38874" s="7" t="n">
        <v>64543</v>
      </c>
      <c r="AE38874" s="7" t="s">
        <v>16</v>
      </c>
      <c r="AF38874" s="7" t="n">
        <f t="normal" ca="1">32-LENB(INDIRECT(ADDRESS(38874,31)))</f>
        <v>0</v>
      </c>
      <c r="AG38874" s="7" t="n">
        <v>7</v>
      </c>
      <c r="AH38874" s="7" t="n">
        <v>65533</v>
      </c>
      <c r="AI38874" s="7" t="n">
        <v>64544</v>
      </c>
      <c r="AJ38874" s="7" t="s">
        <v>16</v>
      </c>
      <c r="AK38874" s="7" t="n">
        <f t="normal" ca="1">32-LENB(INDIRECT(ADDRESS(38874,36)))</f>
        <v>0</v>
      </c>
      <c r="AL38874" s="7" t="n">
        <v>7</v>
      </c>
      <c r="AM38874" s="7" t="n">
        <v>65533</v>
      </c>
      <c r="AN38874" s="7" t="n">
        <v>64545</v>
      </c>
      <c r="AO38874" s="7" t="s">
        <v>16</v>
      </c>
      <c r="AP38874" s="7" t="n">
        <f t="normal" ca="1">32-LENB(INDIRECT(ADDRESS(38874,41)))</f>
        <v>0</v>
      </c>
      <c r="AQ38874" s="7" t="n">
        <v>7</v>
      </c>
      <c r="AR38874" s="7" t="n">
        <v>65533</v>
      </c>
      <c r="AS38874" s="7" t="n">
        <v>64546</v>
      </c>
      <c r="AT38874" s="7" t="s">
        <v>16</v>
      </c>
      <c r="AU38874" s="7" t="n">
        <f t="normal" ca="1">32-LENB(INDIRECT(ADDRESS(38874,46)))</f>
        <v>0</v>
      </c>
      <c r="AV38874" s="7" t="n">
        <v>7</v>
      </c>
      <c r="AW38874" s="7" t="n">
        <v>65533</v>
      </c>
      <c r="AX38874" s="7" t="n">
        <v>64547</v>
      </c>
      <c r="AY38874" s="7" t="s">
        <v>16</v>
      </c>
      <c r="AZ38874" s="7" t="n">
        <f t="normal" ca="1">32-LENB(INDIRECT(ADDRESS(38874,51)))</f>
        <v>0</v>
      </c>
      <c r="BA38874" s="7" t="n">
        <v>7</v>
      </c>
      <c r="BB38874" s="7" t="n">
        <v>65533</v>
      </c>
      <c r="BC38874" s="7" t="n">
        <v>64548</v>
      </c>
      <c r="BD38874" s="7" t="s">
        <v>16</v>
      </c>
      <c r="BE38874" s="7" t="n">
        <f t="normal" ca="1">32-LENB(INDIRECT(ADDRESS(38874,56)))</f>
        <v>0</v>
      </c>
      <c r="BF38874" s="7" t="n">
        <v>7</v>
      </c>
      <c r="BG38874" s="7" t="n">
        <v>65533</v>
      </c>
      <c r="BH38874" s="7" t="n">
        <v>64549</v>
      </c>
      <c r="BI38874" s="7" t="s">
        <v>16</v>
      </c>
      <c r="BJ38874" s="7" t="n">
        <f t="normal" ca="1">32-LENB(INDIRECT(ADDRESS(38874,61)))</f>
        <v>0</v>
      </c>
      <c r="BK38874" s="7" t="n">
        <v>7</v>
      </c>
      <c r="BL38874" s="7" t="n">
        <v>65533</v>
      </c>
      <c r="BM38874" s="7" t="n">
        <v>64550</v>
      </c>
      <c r="BN38874" s="7" t="s">
        <v>16</v>
      </c>
      <c r="BO38874" s="7" t="n">
        <f t="normal" ca="1">32-LENB(INDIRECT(ADDRESS(38874,66)))</f>
        <v>0</v>
      </c>
      <c r="BP38874" s="7" t="n">
        <v>7</v>
      </c>
      <c r="BQ38874" s="7" t="n">
        <v>65533</v>
      </c>
      <c r="BR38874" s="7" t="n">
        <v>64551</v>
      </c>
      <c r="BS38874" s="7" t="s">
        <v>16</v>
      </c>
      <c r="BT38874" s="7" t="n">
        <f t="normal" ca="1">32-LENB(INDIRECT(ADDRESS(38874,71)))</f>
        <v>0</v>
      </c>
      <c r="BU38874" s="7" t="n">
        <v>7</v>
      </c>
      <c r="BV38874" s="7" t="n">
        <v>65533</v>
      </c>
      <c r="BW38874" s="7" t="n">
        <v>64552</v>
      </c>
      <c r="BX38874" s="7" t="s">
        <v>16</v>
      </c>
      <c r="BY38874" s="7" t="n">
        <f t="normal" ca="1">32-LENB(INDIRECT(ADDRESS(38874,76)))</f>
        <v>0</v>
      </c>
      <c r="BZ38874" s="7" t="n">
        <v>7</v>
      </c>
      <c r="CA38874" s="7" t="n">
        <v>65533</v>
      </c>
      <c r="CB38874" s="7" t="n">
        <v>64553</v>
      </c>
      <c r="CC38874" s="7" t="s">
        <v>16</v>
      </c>
      <c r="CD38874" s="7" t="n">
        <f t="normal" ca="1">32-LENB(INDIRECT(ADDRESS(38874,81)))</f>
        <v>0</v>
      </c>
      <c r="CE38874" s="7" t="n">
        <v>7</v>
      </c>
      <c r="CF38874" s="7" t="n">
        <v>65533</v>
      </c>
      <c r="CG38874" s="7" t="n">
        <v>64554</v>
      </c>
      <c r="CH38874" s="7" t="s">
        <v>16</v>
      </c>
      <c r="CI38874" s="7" t="n">
        <f t="normal" ca="1">32-LENB(INDIRECT(ADDRESS(38874,86)))</f>
        <v>0</v>
      </c>
      <c r="CJ38874" s="7" t="n">
        <v>7</v>
      </c>
      <c r="CK38874" s="7" t="n">
        <v>65533</v>
      </c>
      <c r="CL38874" s="7" t="n">
        <v>64555</v>
      </c>
      <c r="CM38874" s="7" t="s">
        <v>16</v>
      </c>
      <c r="CN38874" s="7" t="n">
        <f t="normal" ca="1">32-LENB(INDIRECT(ADDRESS(38874,91)))</f>
        <v>0</v>
      </c>
      <c r="CO38874" s="7" t="n">
        <v>7</v>
      </c>
      <c r="CP38874" s="7" t="n">
        <v>65533</v>
      </c>
      <c r="CQ38874" s="7" t="n">
        <v>64556</v>
      </c>
      <c r="CR38874" s="7" t="s">
        <v>16</v>
      </c>
      <c r="CS38874" s="7" t="n">
        <f t="normal" ca="1">32-LENB(INDIRECT(ADDRESS(38874,96)))</f>
        <v>0</v>
      </c>
      <c r="CT38874" s="7" t="n">
        <v>7</v>
      </c>
      <c r="CU38874" s="7" t="n">
        <v>65533</v>
      </c>
      <c r="CV38874" s="7" t="n">
        <v>64557</v>
      </c>
      <c r="CW38874" s="7" t="s">
        <v>16</v>
      </c>
      <c r="CX38874" s="7" t="n">
        <f t="normal" ca="1">32-LENB(INDIRECT(ADDRESS(38874,101)))</f>
        <v>0</v>
      </c>
      <c r="CY38874" s="7" t="n">
        <v>7</v>
      </c>
      <c r="CZ38874" s="7" t="n">
        <v>65533</v>
      </c>
      <c r="DA38874" s="7" t="n">
        <v>64558</v>
      </c>
      <c r="DB38874" s="7" t="s">
        <v>16</v>
      </c>
      <c r="DC38874" s="7" t="n">
        <f t="normal" ca="1">32-LENB(INDIRECT(ADDRESS(38874,106)))</f>
        <v>0</v>
      </c>
      <c r="DD38874" s="7" t="n">
        <v>7</v>
      </c>
      <c r="DE38874" s="7" t="n">
        <v>65533</v>
      </c>
      <c r="DF38874" s="7" t="n">
        <v>64559</v>
      </c>
      <c r="DG38874" s="7" t="s">
        <v>16</v>
      </c>
      <c r="DH38874" s="7" t="n">
        <f t="normal" ca="1">32-LENB(INDIRECT(ADDRESS(38874,111)))</f>
        <v>0</v>
      </c>
      <c r="DI38874" s="7" t="n">
        <v>7</v>
      </c>
      <c r="DJ38874" s="7" t="n">
        <v>65533</v>
      </c>
      <c r="DK38874" s="7" t="n">
        <v>64560</v>
      </c>
      <c r="DL38874" s="7" t="s">
        <v>16</v>
      </c>
      <c r="DM38874" s="7" t="n">
        <f t="normal" ca="1">32-LENB(INDIRECT(ADDRESS(38874,116)))</f>
        <v>0</v>
      </c>
      <c r="DN38874" s="7" t="n">
        <v>7</v>
      </c>
      <c r="DO38874" s="7" t="n">
        <v>65533</v>
      </c>
      <c r="DP38874" s="7" t="n">
        <v>64561</v>
      </c>
      <c r="DQ38874" s="7" t="s">
        <v>16</v>
      </c>
      <c r="DR38874" s="7" t="n">
        <f t="normal" ca="1">32-LENB(INDIRECT(ADDRESS(38874,121)))</f>
        <v>0</v>
      </c>
      <c r="DS38874" s="7" t="n">
        <v>7</v>
      </c>
      <c r="DT38874" s="7" t="n">
        <v>65533</v>
      </c>
      <c r="DU38874" s="7" t="n">
        <v>64562</v>
      </c>
      <c r="DV38874" s="7" t="s">
        <v>16</v>
      </c>
      <c r="DW38874" s="7" t="n">
        <f t="normal" ca="1">32-LENB(INDIRECT(ADDRESS(38874,126)))</f>
        <v>0</v>
      </c>
      <c r="DX38874" s="7" t="n">
        <v>7</v>
      </c>
      <c r="DY38874" s="7" t="n">
        <v>65533</v>
      </c>
      <c r="DZ38874" s="7" t="n">
        <v>64563</v>
      </c>
      <c r="EA38874" s="7" t="s">
        <v>16</v>
      </c>
      <c r="EB38874" s="7" t="n">
        <f t="normal" ca="1">32-LENB(INDIRECT(ADDRESS(38874,131)))</f>
        <v>0</v>
      </c>
      <c r="EC38874" s="7" t="n">
        <v>7</v>
      </c>
      <c r="ED38874" s="7" t="n">
        <v>65533</v>
      </c>
      <c r="EE38874" s="7" t="n">
        <v>64564</v>
      </c>
      <c r="EF38874" s="7" t="s">
        <v>16</v>
      </c>
      <c r="EG38874" s="7" t="n">
        <f t="normal" ca="1">32-LENB(INDIRECT(ADDRESS(38874,136)))</f>
        <v>0</v>
      </c>
      <c r="EH38874" s="7" t="n">
        <v>7</v>
      </c>
      <c r="EI38874" s="7" t="n">
        <v>65533</v>
      </c>
      <c r="EJ38874" s="7" t="n">
        <v>64565</v>
      </c>
      <c r="EK38874" s="7" t="s">
        <v>16</v>
      </c>
      <c r="EL38874" s="7" t="n">
        <f t="normal" ca="1">32-LENB(INDIRECT(ADDRESS(38874,141)))</f>
        <v>0</v>
      </c>
      <c r="EM38874" s="7" t="n">
        <v>7</v>
      </c>
      <c r="EN38874" s="7" t="n">
        <v>65533</v>
      </c>
      <c r="EO38874" s="7" t="n">
        <v>65278</v>
      </c>
      <c r="EP38874" s="7" t="s">
        <v>16</v>
      </c>
      <c r="EQ38874" s="7" t="n">
        <f t="normal" ca="1">32-LENB(INDIRECT(ADDRESS(38874,146)))</f>
        <v>0</v>
      </c>
      <c r="ER38874" s="7" t="n">
        <v>7</v>
      </c>
      <c r="ES38874" s="7" t="n">
        <v>65533</v>
      </c>
      <c r="ET38874" s="7" t="n">
        <v>64566</v>
      </c>
      <c r="EU38874" s="7" t="s">
        <v>16</v>
      </c>
      <c r="EV38874" s="7" t="n">
        <f t="normal" ca="1">32-LENB(INDIRECT(ADDRESS(38874,151)))</f>
        <v>0</v>
      </c>
      <c r="EW38874" s="7" t="n">
        <v>7</v>
      </c>
      <c r="EX38874" s="7" t="n">
        <v>65533</v>
      </c>
      <c r="EY38874" s="7" t="n">
        <v>64567</v>
      </c>
      <c r="EZ38874" s="7" t="s">
        <v>16</v>
      </c>
      <c r="FA38874" s="7" t="n">
        <f t="normal" ca="1">32-LENB(INDIRECT(ADDRESS(38874,156)))</f>
        <v>0</v>
      </c>
      <c r="FB38874" s="7" t="n">
        <v>7</v>
      </c>
      <c r="FC38874" s="7" t="n">
        <v>65533</v>
      </c>
      <c r="FD38874" s="7" t="n">
        <v>64568</v>
      </c>
      <c r="FE38874" s="7" t="s">
        <v>16</v>
      </c>
      <c r="FF38874" s="7" t="n">
        <f t="normal" ca="1">32-LENB(INDIRECT(ADDRESS(38874,161)))</f>
        <v>0</v>
      </c>
      <c r="FG38874" s="7" t="n">
        <v>7</v>
      </c>
      <c r="FH38874" s="7" t="n">
        <v>65533</v>
      </c>
      <c r="FI38874" s="7" t="n">
        <v>64569</v>
      </c>
      <c r="FJ38874" s="7" t="s">
        <v>16</v>
      </c>
      <c r="FK38874" s="7" t="n">
        <f t="normal" ca="1">32-LENB(INDIRECT(ADDRESS(38874,166)))</f>
        <v>0</v>
      </c>
      <c r="FL38874" s="7" t="n">
        <v>7</v>
      </c>
      <c r="FM38874" s="7" t="n">
        <v>65533</v>
      </c>
      <c r="FN38874" s="7" t="n">
        <v>64570</v>
      </c>
      <c r="FO38874" s="7" t="s">
        <v>16</v>
      </c>
      <c r="FP38874" s="7" t="n">
        <f t="normal" ca="1">32-LENB(INDIRECT(ADDRESS(38874,171)))</f>
        <v>0</v>
      </c>
      <c r="FQ38874" s="7" t="n">
        <v>7</v>
      </c>
      <c r="FR38874" s="7" t="n">
        <v>65533</v>
      </c>
      <c r="FS38874" s="7" t="n">
        <v>64571</v>
      </c>
      <c r="FT38874" s="7" t="s">
        <v>16</v>
      </c>
      <c r="FU38874" s="7" t="n">
        <f t="normal" ca="1">32-LENB(INDIRECT(ADDRESS(38874,176)))</f>
        <v>0</v>
      </c>
      <c r="FV38874" s="7" t="n">
        <v>7</v>
      </c>
      <c r="FW38874" s="7" t="n">
        <v>65533</v>
      </c>
      <c r="FX38874" s="7" t="n">
        <v>64572</v>
      </c>
      <c r="FY38874" s="7" t="s">
        <v>16</v>
      </c>
      <c r="FZ38874" s="7" t="n">
        <f t="normal" ca="1">32-LENB(INDIRECT(ADDRESS(38874,181)))</f>
        <v>0</v>
      </c>
      <c r="GA38874" s="7" t="n">
        <v>7</v>
      </c>
      <c r="GB38874" s="7" t="n">
        <v>65533</v>
      </c>
      <c r="GC38874" s="7" t="n">
        <v>64573</v>
      </c>
      <c r="GD38874" s="7" t="s">
        <v>16</v>
      </c>
      <c r="GE38874" s="7" t="n">
        <f t="normal" ca="1">32-LENB(INDIRECT(ADDRESS(38874,186)))</f>
        <v>0</v>
      </c>
      <c r="GF38874" s="7" t="n">
        <v>7</v>
      </c>
      <c r="GG38874" s="7" t="n">
        <v>65533</v>
      </c>
      <c r="GH38874" s="7" t="n">
        <v>64574</v>
      </c>
      <c r="GI38874" s="7" t="s">
        <v>16</v>
      </c>
      <c r="GJ38874" s="7" t="n">
        <f t="normal" ca="1">32-LENB(INDIRECT(ADDRESS(38874,191)))</f>
        <v>0</v>
      </c>
      <c r="GK38874" s="7" t="n">
        <v>7</v>
      </c>
      <c r="GL38874" s="7" t="n">
        <v>65533</v>
      </c>
      <c r="GM38874" s="7" t="n">
        <v>64575</v>
      </c>
      <c r="GN38874" s="7" t="s">
        <v>16</v>
      </c>
      <c r="GO38874" s="7" t="n">
        <f t="normal" ca="1">32-LENB(INDIRECT(ADDRESS(38874,196)))</f>
        <v>0</v>
      </c>
      <c r="GP38874" s="7" t="n">
        <v>7</v>
      </c>
      <c r="GQ38874" s="7" t="n">
        <v>65533</v>
      </c>
      <c r="GR38874" s="7" t="n">
        <v>64418</v>
      </c>
      <c r="GS38874" s="7" t="s">
        <v>16</v>
      </c>
      <c r="GT38874" s="7" t="n">
        <f t="normal" ca="1">32-LENB(INDIRECT(ADDRESS(38874,201)))</f>
        <v>0</v>
      </c>
      <c r="GU38874" s="7" t="n">
        <v>7</v>
      </c>
      <c r="GV38874" s="7" t="n">
        <v>65533</v>
      </c>
      <c r="GW38874" s="7" t="n">
        <v>65280</v>
      </c>
      <c r="GX38874" s="7" t="s">
        <v>16</v>
      </c>
      <c r="GY38874" s="7" t="n">
        <f t="normal" ca="1">32-LENB(INDIRECT(ADDRESS(38874,206)))</f>
        <v>0</v>
      </c>
      <c r="GZ38874" s="7" t="n">
        <v>7</v>
      </c>
      <c r="HA38874" s="7" t="n">
        <v>65533</v>
      </c>
      <c r="HB38874" s="7" t="n">
        <v>64576</v>
      </c>
      <c r="HC38874" s="7" t="s">
        <v>16</v>
      </c>
      <c r="HD38874" s="7" t="n">
        <f t="normal" ca="1">32-LENB(INDIRECT(ADDRESS(38874,211)))</f>
        <v>0</v>
      </c>
      <c r="HE38874" s="7" t="n">
        <v>7</v>
      </c>
      <c r="HF38874" s="7" t="n">
        <v>65533</v>
      </c>
      <c r="HG38874" s="7" t="n">
        <v>64577</v>
      </c>
      <c r="HH38874" s="7" t="s">
        <v>16</v>
      </c>
      <c r="HI38874" s="7" t="n">
        <f t="normal" ca="1">32-LENB(INDIRECT(ADDRESS(38874,216)))</f>
        <v>0</v>
      </c>
      <c r="HJ38874" s="7" t="n">
        <v>7</v>
      </c>
      <c r="HK38874" s="7" t="n">
        <v>65533</v>
      </c>
      <c r="HL38874" s="7" t="n">
        <v>64578</v>
      </c>
      <c r="HM38874" s="7" t="s">
        <v>16</v>
      </c>
      <c r="HN38874" s="7" t="n">
        <f t="normal" ca="1">32-LENB(INDIRECT(ADDRESS(38874,221)))</f>
        <v>0</v>
      </c>
      <c r="HO38874" s="7" t="n">
        <v>7</v>
      </c>
      <c r="HP38874" s="7" t="n">
        <v>65533</v>
      </c>
      <c r="HQ38874" s="7" t="n">
        <v>64579</v>
      </c>
      <c r="HR38874" s="7" t="s">
        <v>16</v>
      </c>
      <c r="HS38874" s="7" t="n">
        <f t="normal" ca="1">32-LENB(INDIRECT(ADDRESS(38874,226)))</f>
        <v>0</v>
      </c>
      <c r="HT38874" s="7" t="n">
        <v>7</v>
      </c>
      <c r="HU38874" s="7" t="n">
        <v>65533</v>
      </c>
      <c r="HV38874" s="7" t="n">
        <v>64580</v>
      </c>
      <c r="HW38874" s="7" t="s">
        <v>16</v>
      </c>
      <c r="HX38874" s="7" t="n">
        <f t="normal" ca="1">32-LENB(INDIRECT(ADDRESS(38874,231)))</f>
        <v>0</v>
      </c>
      <c r="HY38874" s="7" t="n">
        <v>7</v>
      </c>
      <c r="HZ38874" s="7" t="n">
        <v>65533</v>
      </c>
      <c r="IA38874" s="7" t="n">
        <v>64581</v>
      </c>
      <c r="IB38874" s="7" t="s">
        <v>16</v>
      </c>
      <c r="IC38874" s="7" t="n">
        <f t="normal" ca="1">32-LENB(INDIRECT(ADDRESS(38874,236)))</f>
        <v>0</v>
      </c>
      <c r="ID38874" s="7" t="n">
        <v>7</v>
      </c>
      <c r="IE38874" s="7" t="n">
        <v>65533</v>
      </c>
      <c r="IF38874" s="7" t="n">
        <v>64582</v>
      </c>
      <c r="IG38874" s="7" t="s">
        <v>16</v>
      </c>
      <c r="IH38874" s="7" t="n">
        <f t="normal" ca="1">32-LENB(INDIRECT(ADDRESS(38874,241)))</f>
        <v>0</v>
      </c>
      <c r="II38874" s="7" t="n">
        <v>4</v>
      </c>
      <c r="IJ38874" s="7" t="n">
        <v>65533</v>
      </c>
      <c r="IK38874" s="7" t="n">
        <v>2000</v>
      </c>
      <c r="IL38874" s="7" t="s">
        <v>16</v>
      </c>
      <c r="IM38874" s="7" t="n">
        <f t="normal" ca="1">32-LENB(INDIRECT(ADDRESS(38874,246)))</f>
        <v>0</v>
      </c>
      <c r="IN38874" s="7" t="n">
        <v>7</v>
      </c>
      <c r="IO38874" s="7" t="n">
        <v>65533</v>
      </c>
      <c r="IP38874" s="7" t="n">
        <v>64583</v>
      </c>
      <c r="IQ38874" s="7" t="s">
        <v>16</v>
      </c>
      <c r="IR38874" s="7" t="n">
        <f t="normal" ca="1">32-LENB(INDIRECT(ADDRESS(38874,251)))</f>
        <v>0</v>
      </c>
      <c r="IS38874" s="7" t="n">
        <v>7</v>
      </c>
      <c r="IT38874" s="7" t="n">
        <v>65533</v>
      </c>
      <c r="IU38874" s="7" t="n">
        <v>64268</v>
      </c>
      <c r="IV38874" s="7" t="s">
        <v>16</v>
      </c>
      <c r="IW38874" s="7" t="n">
        <f t="normal" ca="1">32-LENB(INDIRECT(ADDRESS(38874,256)))</f>
        <v>0</v>
      </c>
      <c r="IX38874" s="7" t="n">
        <v>4</v>
      </c>
      <c r="IY38874" s="7" t="n">
        <v>65533</v>
      </c>
      <c r="IZ38874" s="7" t="n">
        <v>2000</v>
      </c>
      <c r="JA38874" s="7" t="s">
        <v>16</v>
      </c>
      <c r="JB38874" s="7" t="n">
        <f t="normal" ca="1">32-LENB(INDIRECT(ADDRESS(38874,261)))</f>
        <v>0</v>
      </c>
      <c r="JC38874" s="7" t="n">
        <v>7</v>
      </c>
      <c r="JD38874" s="7" t="n">
        <v>65533</v>
      </c>
      <c r="JE38874" s="7" t="n">
        <v>64584</v>
      </c>
      <c r="JF38874" s="7" t="s">
        <v>16</v>
      </c>
      <c r="JG38874" s="7" t="n">
        <f t="normal" ca="1">32-LENB(INDIRECT(ADDRESS(38874,266)))</f>
        <v>0</v>
      </c>
      <c r="JH38874" s="7" t="n">
        <v>7</v>
      </c>
      <c r="JI38874" s="7" t="n">
        <v>65533</v>
      </c>
      <c r="JJ38874" s="7" t="n">
        <v>64585</v>
      </c>
      <c r="JK38874" s="7" t="s">
        <v>16</v>
      </c>
      <c r="JL38874" s="7" t="n">
        <f t="normal" ca="1">32-LENB(INDIRECT(ADDRESS(38874,271)))</f>
        <v>0</v>
      </c>
      <c r="JM38874" s="7" t="n">
        <v>7</v>
      </c>
      <c r="JN38874" s="7" t="n">
        <v>65533</v>
      </c>
      <c r="JO38874" s="7" t="n">
        <v>64586</v>
      </c>
      <c r="JP38874" s="7" t="s">
        <v>16</v>
      </c>
      <c r="JQ38874" s="7" t="n">
        <f t="normal" ca="1">32-LENB(INDIRECT(ADDRESS(38874,276)))</f>
        <v>0</v>
      </c>
      <c r="JR38874" s="7" t="n">
        <v>7</v>
      </c>
      <c r="JS38874" s="7" t="n">
        <v>65533</v>
      </c>
      <c r="JT38874" s="7" t="n">
        <v>64587</v>
      </c>
      <c r="JU38874" s="7" t="s">
        <v>16</v>
      </c>
      <c r="JV38874" s="7" t="n">
        <f t="normal" ca="1">32-LENB(INDIRECT(ADDRESS(38874,281)))</f>
        <v>0</v>
      </c>
      <c r="JW38874" s="7" t="n">
        <v>0</v>
      </c>
      <c r="JX38874" s="7" t="n">
        <v>65533</v>
      </c>
      <c r="JY38874" s="7" t="n">
        <v>0</v>
      </c>
      <c r="JZ38874" s="7" t="s">
        <v>16</v>
      </c>
      <c r="KA38874" s="7" t="n">
        <f t="normal" ca="1">32-LENB(INDIRECT(ADDRESS(38874,286)))</f>
        <v>0</v>
      </c>
    </row>
    <row r="38875" spans="1:222">
      <c r="A38875" t="s">
        <v>4</v>
      </c>
      <c r="B38875" s="4" t="s">
        <v>5</v>
      </c>
    </row>
    <row r="38876" spans="1:222">
      <c r="A38876" t="n">
        <v>432152</v>
      </c>
      <c r="B38876" s="5" t="n">
        <v>1</v>
      </c>
    </row>
    <row r="38877" spans="1:222" s="3" customFormat="1" customHeight="0">
      <c r="A38877" s="3" t="s">
        <v>2</v>
      </c>
      <c r="B38877" s="3" t="s">
        <v>1884</v>
      </c>
    </row>
    <row r="38878" spans="1:222">
      <c r="A38878" t="s">
        <v>4</v>
      </c>
      <c r="B38878" s="4" t="s">
        <v>5</v>
      </c>
      <c r="C38878" s="4" t="s">
        <v>11</v>
      </c>
      <c r="D38878" s="4" t="s">
        <v>11</v>
      </c>
      <c r="E38878" s="4" t="s">
        <v>15</v>
      </c>
      <c r="F38878" s="4" t="s">
        <v>8</v>
      </c>
      <c r="G38878" s="4" t="s">
        <v>1859</v>
      </c>
      <c r="H38878" s="4" t="s">
        <v>11</v>
      </c>
      <c r="I38878" s="4" t="s">
        <v>11</v>
      </c>
      <c r="J38878" s="4" t="s">
        <v>15</v>
      </c>
      <c r="K38878" s="4" t="s">
        <v>8</v>
      </c>
      <c r="L38878" s="4" t="s">
        <v>1859</v>
      </c>
      <c r="M38878" s="4" t="s">
        <v>11</v>
      </c>
      <c r="N38878" s="4" t="s">
        <v>11</v>
      </c>
      <c r="O38878" s="4" t="s">
        <v>15</v>
      </c>
      <c r="P38878" s="4" t="s">
        <v>8</v>
      </c>
      <c r="Q38878" s="4" t="s">
        <v>1859</v>
      </c>
      <c r="R38878" s="4" t="s">
        <v>11</v>
      </c>
      <c r="S38878" s="4" t="s">
        <v>11</v>
      </c>
      <c r="T38878" s="4" t="s">
        <v>15</v>
      </c>
      <c r="U38878" s="4" t="s">
        <v>8</v>
      </c>
      <c r="V38878" s="4" t="s">
        <v>1859</v>
      </c>
      <c r="W38878" s="4" t="s">
        <v>11</v>
      </c>
      <c r="X38878" s="4" t="s">
        <v>11</v>
      </c>
      <c r="Y38878" s="4" t="s">
        <v>15</v>
      </c>
      <c r="Z38878" s="4" t="s">
        <v>8</v>
      </c>
      <c r="AA38878" s="4" t="s">
        <v>1859</v>
      </c>
      <c r="AB38878" s="4" t="s">
        <v>11</v>
      </c>
      <c r="AC38878" s="4" t="s">
        <v>11</v>
      </c>
      <c r="AD38878" s="4" t="s">
        <v>15</v>
      </c>
      <c r="AE38878" s="4" t="s">
        <v>8</v>
      </c>
      <c r="AF38878" s="4" t="s">
        <v>1859</v>
      </c>
      <c r="AG38878" s="4" t="s">
        <v>11</v>
      </c>
      <c r="AH38878" s="4" t="s">
        <v>11</v>
      </c>
      <c r="AI38878" s="4" t="s">
        <v>15</v>
      </c>
      <c r="AJ38878" s="4" t="s">
        <v>8</v>
      </c>
      <c r="AK38878" s="4" t="s">
        <v>1859</v>
      </c>
      <c r="AL38878" s="4" t="s">
        <v>11</v>
      </c>
      <c r="AM38878" s="4" t="s">
        <v>11</v>
      </c>
      <c r="AN38878" s="4" t="s">
        <v>15</v>
      </c>
      <c r="AO38878" s="4" t="s">
        <v>8</v>
      </c>
      <c r="AP38878" s="4" t="s">
        <v>1859</v>
      </c>
      <c r="AQ38878" s="4" t="s">
        <v>11</v>
      </c>
      <c r="AR38878" s="4" t="s">
        <v>11</v>
      </c>
      <c r="AS38878" s="4" t="s">
        <v>15</v>
      </c>
      <c r="AT38878" s="4" t="s">
        <v>8</v>
      </c>
      <c r="AU38878" s="4" t="s">
        <v>1859</v>
      </c>
      <c r="AV38878" s="4" t="s">
        <v>11</v>
      </c>
      <c r="AW38878" s="4" t="s">
        <v>11</v>
      </c>
      <c r="AX38878" s="4" t="s">
        <v>15</v>
      </c>
      <c r="AY38878" s="4" t="s">
        <v>8</v>
      </c>
      <c r="AZ38878" s="4" t="s">
        <v>1859</v>
      </c>
      <c r="BA38878" s="4" t="s">
        <v>11</v>
      </c>
      <c r="BB38878" s="4" t="s">
        <v>11</v>
      </c>
      <c r="BC38878" s="4" t="s">
        <v>15</v>
      </c>
      <c r="BD38878" s="4" t="s">
        <v>8</v>
      </c>
      <c r="BE38878" s="4" t="s">
        <v>1859</v>
      </c>
      <c r="BF38878" s="4" t="s">
        <v>11</v>
      </c>
      <c r="BG38878" s="4" t="s">
        <v>11</v>
      </c>
      <c r="BH38878" s="4" t="s">
        <v>15</v>
      </c>
      <c r="BI38878" s="4" t="s">
        <v>8</v>
      </c>
      <c r="BJ38878" s="4" t="s">
        <v>1859</v>
      </c>
      <c r="BK38878" s="4" t="s">
        <v>11</v>
      </c>
      <c r="BL38878" s="4" t="s">
        <v>11</v>
      </c>
      <c r="BM38878" s="4" t="s">
        <v>15</v>
      </c>
      <c r="BN38878" s="4" t="s">
        <v>8</v>
      </c>
      <c r="BO38878" s="4" t="s">
        <v>1859</v>
      </c>
      <c r="BP38878" s="4" t="s">
        <v>11</v>
      </c>
      <c r="BQ38878" s="4" t="s">
        <v>11</v>
      </c>
      <c r="BR38878" s="4" t="s">
        <v>15</v>
      </c>
      <c r="BS38878" s="4" t="s">
        <v>8</v>
      </c>
      <c r="BT38878" s="4" t="s">
        <v>1859</v>
      </c>
      <c r="BU38878" s="4" t="s">
        <v>11</v>
      </c>
      <c r="BV38878" s="4" t="s">
        <v>11</v>
      </c>
      <c r="BW38878" s="4" t="s">
        <v>15</v>
      </c>
      <c r="BX38878" s="4" t="s">
        <v>8</v>
      </c>
      <c r="BY38878" s="4" t="s">
        <v>1859</v>
      </c>
      <c r="BZ38878" s="4" t="s">
        <v>11</v>
      </c>
      <c r="CA38878" s="4" t="s">
        <v>11</v>
      </c>
      <c r="CB38878" s="4" t="s">
        <v>15</v>
      </c>
      <c r="CC38878" s="4" t="s">
        <v>8</v>
      </c>
      <c r="CD38878" s="4" t="s">
        <v>1859</v>
      </c>
      <c r="CE38878" s="4" t="s">
        <v>11</v>
      </c>
      <c r="CF38878" s="4" t="s">
        <v>11</v>
      </c>
      <c r="CG38878" s="4" t="s">
        <v>15</v>
      </c>
      <c r="CH38878" s="4" t="s">
        <v>8</v>
      </c>
      <c r="CI38878" s="4" t="s">
        <v>1859</v>
      </c>
      <c r="CJ38878" s="4" t="s">
        <v>11</v>
      </c>
      <c r="CK38878" s="4" t="s">
        <v>11</v>
      </c>
      <c r="CL38878" s="4" t="s">
        <v>15</v>
      </c>
      <c r="CM38878" s="4" t="s">
        <v>8</v>
      </c>
      <c r="CN38878" s="4" t="s">
        <v>1859</v>
      </c>
      <c r="CO38878" s="4" t="s">
        <v>11</v>
      </c>
      <c r="CP38878" s="4" t="s">
        <v>11</v>
      </c>
      <c r="CQ38878" s="4" t="s">
        <v>15</v>
      </c>
      <c r="CR38878" s="4" t="s">
        <v>8</v>
      </c>
      <c r="CS38878" s="4" t="s">
        <v>1859</v>
      </c>
      <c r="CT38878" s="4" t="s">
        <v>11</v>
      </c>
      <c r="CU38878" s="4" t="s">
        <v>11</v>
      </c>
      <c r="CV38878" s="4" t="s">
        <v>15</v>
      </c>
      <c r="CW38878" s="4" t="s">
        <v>8</v>
      </c>
      <c r="CX38878" s="4" t="s">
        <v>1859</v>
      </c>
      <c r="CY38878" s="4" t="s">
        <v>11</v>
      </c>
      <c r="CZ38878" s="4" t="s">
        <v>11</v>
      </c>
      <c r="DA38878" s="4" t="s">
        <v>15</v>
      </c>
      <c r="DB38878" s="4" t="s">
        <v>8</v>
      </c>
      <c r="DC38878" s="4" t="s">
        <v>1859</v>
      </c>
      <c r="DD38878" s="4" t="s">
        <v>11</v>
      </c>
      <c r="DE38878" s="4" t="s">
        <v>11</v>
      </c>
      <c r="DF38878" s="4" t="s">
        <v>15</v>
      </c>
      <c r="DG38878" s="4" t="s">
        <v>8</v>
      </c>
      <c r="DH38878" s="4" t="s">
        <v>1859</v>
      </c>
      <c r="DI38878" s="4" t="s">
        <v>11</v>
      </c>
      <c r="DJ38878" s="4" t="s">
        <v>11</v>
      </c>
      <c r="DK38878" s="4" t="s">
        <v>15</v>
      </c>
      <c r="DL38878" s="4" t="s">
        <v>8</v>
      </c>
      <c r="DM38878" s="4" t="s">
        <v>1859</v>
      </c>
      <c r="DN38878" s="4" t="s">
        <v>11</v>
      </c>
      <c r="DO38878" s="4" t="s">
        <v>11</v>
      </c>
      <c r="DP38878" s="4" t="s">
        <v>15</v>
      </c>
      <c r="DQ38878" s="4" t="s">
        <v>8</v>
      </c>
      <c r="DR38878" s="4" t="s">
        <v>1859</v>
      </c>
      <c r="DS38878" s="4" t="s">
        <v>11</v>
      </c>
      <c r="DT38878" s="4" t="s">
        <v>11</v>
      </c>
      <c r="DU38878" s="4" t="s">
        <v>15</v>
      </c>
      <c r="DV38878" s="4" t="s">
        <v>8</v>
      </c>
      <c r="DW38878" s="4" t="s">
        <v>1859</v>
      </c>
      <c r="DX38878" s="4" t="s">
        <v>11</v>
      </c>
      <c r="DY38878" s="4" t="s">
        <v>11</v>
      </c>
      <c r="DZ38878" s="4" t="s">
        <v>15</v>
      </c>
      <c r="EA38878" s="4" t="s">
        <v>8</v>
      </c>
      <c r="EB38878" s="4" t="s">
        <v>1859</v>
      </c>
      <c r="EC38878" s="4" t="s">
        <v>11</v>
      </c>
      <c r="ED38878" s="4" t="s">
        <v>11</v>
      </c>
      <c r="EE38878" s="4" t="s">
        <v>15</v>
      </c>
      <c r="EF38878" s="4" t="s">
        <v>8</v>
      </c>
      <c r="EG38878" s="4" t="s">
        <v>1859</v>
      </c>
      <c r="EH38878" s="4" t="s">
        <v>11</v>
      </c>
      <c r="EI38878" s="4" t="s">
        <v>11</v>
      </c>
      <c r="EJ38878" s="4" t="s">
        <v>15</v>
      </c>
      <c r="EK38878" s="4" t="s">
        <v>8</v>
      </c>
      <c r="EL38878" s="4" t="s">
        <v>1859</v>
      </c>
      <c r="EM38878" s="4" t="s">
        <v>11</v>
      </c>
      <c r="EN38878" s="4" t="s">
        <v>11</v>
      </c>
      <c r="EO38878" s="4" t="s">
        <v>15</v>
      </c>
      <c r="EP38878" s="4" t="s">
        <v>8</v>
      </c>
      <c r="EQ38878" s="4" t="s">
        <v>1859</v>
      </c>
      <c r="ER38878" s="4" t="s">
        <v>11</v>
      </c>
      <c r="ES38878" s="4" t="s">
        <v>11</v>
      </c>
      <c r="ET38878" s="4" t="s">
        <v>15</v>
      </c>
      <c r="EU38878" s="4" t="s">
        <v>8</v>
      </c>
      <c r="EV38878" s="4" t="s">
        <v>1859</v>
      </c>
      <c r="EW38878" s="4" t="s">
        <v>11</v>
      </c>
      <c r="EX38878" s="4" t="s">
        <v>11</v>
      </c>
      <c r="EY38878" s="4" t="s">
        <v>15</v>
      </c>
      <c r="EZ38878" s="4" t="s">
        <v>8</v>
      </c>
      <c r="FA38878" s="4" t="s">
        <v>1859</v>
      </c>
      <c r="FB38878" s="4" t="s">
        <v>11</v>
      </c>
      <c r="FC38878" s="4" t="s">
        <v>11</v>
      </c>
      <c r="FD38878" s="4" t="s">
        <v>15</v>
      </c>
      <c r="FE38878" s="4" t="s">
        <v>8</v>
      </c>
      <c r="FF38878" s="4" t="s">
        <v>1859</v>
      </c>
      <c r="FG38878" s="4" t="s">
        <v>11</v>
      </c>
      <c r="FH38878" s="4" t="s">
        <v>11</v>
      </c>
      <c r="FI38878" s="4" t="s">
        <v>15</v>
      </c>
      <c r="FJ38878" s="4" t="s">
        <v>8</v>
      </c>
      <c r="FK38878" s="4" t="s">
        <v>1859</v>
      </c>
      <c r="FL38878" s="4" t="s">
        <v>11</v>
      </c>
      <c r="FM38878" s="4" t="s">
        <v>11</v>
      </c>
      <c r="FN38878" s="4" t="s">
        <v>15</v>
      </c>
      <c r="FO38878" s="4" t="s">
        <v>8</v>
      </c>
      <c r="FP38878" s="4" t="s">
        <v>1859</v>
      </c>
      <c r="FQ38878" s="4" t="s">
        <v>11</v>
      </c>
      <c r="FR38878" s="4" t="s">
        <v>11</v>
      </c>
      <c r="FS38878" s="4" t="s">
        <v>15</v>
      </c>
      <c r="FT38878" s="4" t="s">
        <v>8</v>
      </c>
      <c r="FU38878" s="4" t="s">
        <v>1859</v>
      </c>
      <c r="FV38878" s="4" t="s">
        <v>11</v>
      </c>
      <c r="FW38878" s="4" t="s">
        <v>11</v>
      </c>
      <c r="FX38878" s="4" t="s">
        <v>15</v>
      </c>
      <c r="FY38878" s="4" t="s">
        <v>8</v>
      </c>
      <c r="FZ38878" s="4" t="s">
        <v>1859</v>
      </c>
      <c r="GA38878" s="4" t="s">
        <v>11</v>
      </c>
      <c r="GB38878" s="4" t="s">
        <v>11</v>
      </c>
      <c r="GC38878" s="4" t="s">
        <v>15</v>
      </c>
      <c r="GD38878" s="4" t="s">
        <v>8</v>
      </c>
      <c r="GE38878" s="4" t="s">
        <v>1859</v>
      </c>
      <c r="GF38878" s="4" t="s">
        <v>11</v>
      </c>
      <c r="GG38878" s="4" t="s">
        <v>11</v>
      </c>
      <c r="GH38878" s="4" t="s">
        <v>15</v>
      </c>
      <c r="GI38878" s="4" t="s">
        <v>8</v>
      </c>
      <c r="GJ38878" s="4" t="s">
        <v>1859</v>
      </c>
      <c r="GK38878" s="4" t="s">
        <v>11</v>
      </c>
      <c r="GL38878" s="4" t="s">
        <v>11</v>
      </c>
      <c r="GM38878" s="4" t="s">
        <v>15</v>
      </c>
      <c r="GN38878" s="4" t="s">
        <v>8</v>
      </c>
      <c r="GO38878" s="4" t="s">
        <v>1859</v>
      </c>
      <c r="GP38878" s="4" t="s">
        <v>11</v>
      </c>
      <c r="GQ38878" s="4" t="s">
        <v>11</v>
      </c>
      <c r="GR38878" s="4" t="s">
        <v>15</v>
      </c>
      <c r="GS38878" s="4" t="s">
        <v>8</v>
      </c>
      <c r="GT38878" s="4" t="s">
        <v>1859</v>
      </c>
      <c r="GU38878" s="4" t="s">
        <v>11</v>
      </c>
      <c r="GV38878" s="4" t="s">
        <v>11</v>
      </c>
      <c r="GW38878" s="4" t="s">
        <v>15</v>
      </c>
      <c r="GX38878" s="4" t="s">
        <v>8</v>
      </c>
      <c r="GY38878" s="4" t="s">
        <v>1859</v>
      </c>
      <c r="GZ38878" s="4" t="s">
        <v>11</v>
      </c>
      <c r="HA38878" s="4" t="s">
        <v>11</v>
      </c>
      <c r="HB38878" s="4" t="s">
        <v>15</v>
      </c>
      <c r="HC38878" s="4" t="s">
        <v>8</v>
      </c>
      <c r="HD38878" s="4" t="s">
        <v>1859</v>
      </c>
      <c r="HE38878" s="4" t="s">
        <v>11</v>
      </c>
      <c r="HF38878" s="4" t="s">
        <v>11</v>
      </c>
      <c r="HG38878" s="4" t="s">
        <v>15</v>
      </c>
      <c r="HH38878" s="4" t="s">
        <v>8</v>
      </c>
      <c r="HI38878" s="4" t="s">
        <v>1859</v>
      </c>
      <c r="HJ38878" s="4" t="s">
        <v>11</v>
      </c>
      <c r="HK38878" s="4" t="s">
        <v>11</v>
      </c>
      <c r="HL38878" s="4" t="s">
        <v>15</v>
      </c>
      <c r="HM38878" s="4" t="s">
        <v>8</v>
      </c>
      <c r="HN38878" s="4" t="s">
        <v>1859</v>
      </c>
      <c r="HO38878" s="4" t="s">
        <v>11</v>
      </c>
      <c r="HP38878" s="4" t="s">
        <v>11</v>
      </c>
      <c r="HQ38878" s="4" t="s">
        <v>15</v>
      </c>
      <c r="HR38878" s="4" t="s">
        <v>8</v>
      </c>
      <c r="HS38878" s="4" t="s">
        <v>1859</v>
      </c>
      <c r="HT38878" s="4" t="s">
        <v>11</v>
      </c>
      <c r="HU38878" s="4" t="s">
        <v>11</v>
      </c>
      <c r="HV38878" s="4" t="s">
        <v>15</v>
      </c>
      <c r="HW38878" s="4" t="s">
        <v>8</v>
      </c>
      <c r="HX38878" s="4" t="s">
        <v>1859</v>
      </c>
      <c r="HY38878" s="4" t="s">
        <v>11</v>
      </c>
      <c r="HZ38878" s="4" t="s">
        <v>11</v>
      </c>
      <c r="IA38878" s="4" t="s">
        <v>15</v>
      </c>
      <c r="IB38878" s="4" t="s">
        <v>8</v>
      </c>
      <c r="IC38878" s="4" t="s">
        <v>1859</v>
      </c>
      <c r="ID38878" s="4" t="s">
        <v>11</v>
      </c>
      <c r="IE38878" s="4" t="s">
        <v>11</v>
      </c>
      <c r="IF38878" s="4" t="s">
        <v>15</v>
      </c>
      <c r="IG38878" s="4" t="s">
        <v>8</v>
      </c>
      <c r="IH38878" s="4" t="s">
        <v>1859</v>
      </c>
      <c r="II38878" s="4" t="s">
        <v>11</v>
      </c>
      <c r="IJ38878" s="4" t="s">
        <v>11</v>
      </c>
      <c r="IK38878" s="4" t="s">
        <v>15</v>
      </c>
      <c r="IL38878" s="4" t="s">
        <v>8</v>
      </c>
      <c r="IM38878" s="4" t="s">
        <v>1859</v>
      </c>
      <c r="IN38878" s="4" t="s">
        <v>11</v>
      </c>
      <c r="IO38878" s="4" t="s">
        <v>11</v>
      </c>
      <c r="IP38878" s="4" t="s">
        <v>15</v>
      </c>
      <c r="IQ38878" s="4" t="s">
        <v>8</v>
      </c>
      <c r="IR38878" s="4" t="s">
        <v>1859</v>
      </c>
      <c r="IS38878" s="4" t="s">
        <v>11</v>
      </c>
      <c r="IT38878" s="4" t="s">
        <v>11</v>
      </c>
      <c r="IU38878" s="4" t="s">
        <v>15</v>
      </c>
      <c r="IV38878" s="4" t="s">
        <v>8</v>
      </c>
      <c r="IW38878" s="4" t="s">
        <v>1859</v>
      </c>
      <c r="IX38878" s="4" t="s">
        <v>11</v>
      </c>
      <c r="IY38878" s="4" t="s">
        <v>11</v>
      </c>
      <c r="IZ38878" s="4" t="s">
        <v>15</v>
      </c>
      <c r="JA38878" s="4" t="s">
        <v>8</v>
      </c>
      <c r="JB38878" s="4" t="s">
        <v>1859</v>
      </c>
      <c r="JC38878" s="4" t="s">
        <v>11</v>
      </c>
      <c r="JD38878" s="4" t="s">
        <v>11</v>
      </c>
      <c r="JE38878" s="4" t="s">
        <v>15</v>
      </c>
      <c r="JF38878" s="4" t="s">
        <v>8</v>
      </c>
      <c r="JG38878" s="4" t="s">
        <v>1859</v>
      </c>
      <c r="JH38878" s="4" t="s">
        <v>11</v>
      </c>
      <c r="JI38878" s="4" t="s">
        <v>11</v>
      </c>
      <c r="JJ38878" s="4" t="s">
        <v>15</v>
      </c>
      <c r="JK38878" s="4" t="s">
        <v>8</v>
      </c>
      <c r="JL38878" s="4" t="s">
        <v>1859</v>
      </c>
      <c r="JM38878" s="4" t="s">
        <v>11</v>
      </c>
      <c r="JN38878" s="4" t="s">
        <v>11</v>
      </c>
      <c r="JO38878" s="4" t="s">
        <v>15</v>
      </c>
      <c r="JP38878" s="4" t="s">
        <v>8</v>
      </c>
      <c r="JQ38878" s="4" t="s">
        <v>1859</v>
      </c>
      <c r="JR38878" s="4" t="s">
        <v>11</v>
      </c>
      <c r="JS38878" s="4" t="s">
        <v>11</v>
      </c>
      <c r="JT38878" s="4" t="s">
        <v>15</v>
      </c>
      <c r="JU38878" s="4" t="s">
        <v>8</v>
      </c>
      <c r="JV38878" s="4" t="s">
        <v>1859</v>
      </c>
      <c r="JW38878" s="4" t="s">
        <v>11</v>
      </c>
      <c r="JX38878" s="4" t="s">
        <v>11</v>
      </c>
      <c r="JY38878" s="4" t="s">
        <v>15</v>
      </c>
      <c r="JZ38878" s="4" t="s">
        <v>8</v>
      </c>
      <c r="KA38878" s="4" t="s">
        <v>1859</v>
      </c>
      <c r="KB38878" s="4" t="s">
        <v>11</v>
      </c>
      <c r="KC38878" s="4" t="s">
        <v>11</v>
      </c>
      <c r="KD38878" s="4" t="s">
        <v>15</v>
      </c>
      <c r="KE38878" s="4" t="s">
        <v>8</v>
      </c>
      <c r="KF38878" s="4" t="s">
        <v>1859</v>
      </c>
      <c r="KG38878" s="4" t="s">
        <v>11</v>
      </c>
      <c r="KH38878" s="4" t="s">
        <v>11</v>
      </c>
      <c r="KI38878" s="4" t="s">
        <v>15</v>
      </c>
      <c r="KJ38878" s="4" t="s">
        <v>8</v>
      </c>
      <c r="KK38878" s="4" t="s">
        <v>1859</v>
      </c>
      <c r="KL38878" s="4" t="s">
        <v>11</v>
      </c>
      <c r="KM38878" s="4" t="s">
        <v>11</v>
      </c>
      <c r="KN38878" s="4" t="s">
        <v>15</v>
      </c>
      <c r="KO38878" s="4" t="s">
        <v>8</v>
      </c>
      <c r="KP38878" s="4" t="s">
        <v>1859</v>
      </c>
      <c r="KQ38878" s="4" t="s">
        <v>11</v>
      </c>
      <c r="KR38878" s="4" t="s">
        <v>11</v>
      </c>
      <c r="KS38878" s="4" t="s">
        <v>15</v>
      </c>
      <c r="KT38878" s="4" t="s">
        <v>8</v>
      </c>
      <c r="KU38878" s="4" t="s">
        <v>1859</v>
      </c>
    </row>
    <row r="38879" spans="1:222">
      <c r="A38879" t="n">
        <v>432160</v>
      </c>
      <c r="B38879" s="85" t="n">
        <v>257</v>
      </c>
      <c r="C38879" s="7" t="n">
        <v>7</v>
      </c>
      <c r="D38879" s="7" t="n">
        <v>65533</v>
      </c>
      <c r="E38879" s="7" t="n">
        <v>64588</v>
      </c>
      <c r="F38879" s="7" t="s">
        <v>16</v>
      </c>
      <c r="G38879" s="7" t="n">
        <f t="normal" ca="1">32-LENB(INDIRECT(ADDRESS(38879,6)))</f>
        <v>0</v>
      </c>
      <c r="H38879" s="7" t="n">
        <v>7</v>
      </c>
      <c r="I38879" s="7" t="n">
        <v>65533</v>
      </c>
      <c r="J38879" s="7" t="n">
        <v>64588</v>
      </c>
      <c r="K38879" s="7" t="s">
        <v>16</v>
      </c>
      <c r="L38879" s="7" t="n">
        <f t="normal" ca="1">32-LENB(INDIRECT(ADDRESS(38879,11)))</f>
        <v>0</v>
      </c>
      <c r="M38879" s="7" t="n">
        <v>4</v>
      </c>
      <c r="N38879" s="7" t="n">
        <v>65533</v>
      </c>
      <c r="O38879" s="7" t="n">
        <v>2000</v>
      </c>
      <c r="P38879" s="7" t="s">
        <v>16</v>
      </c>
      <c r="Q38879" s="7" t="n">
        <f t="normal" ca="1">32-LENB(INDIRECT(ADDRESS(38879,16)))</f>
        <v>0</v>
      </c>
      <c r="R38879" s="7" t="n">
        <v>7</v>
      </c>
      <c r="S38879" s="7" t="n">
        <v>65533</v>
      </c>
      <c r="T38879" s="7" t="n">
        <v>64589</v>
      </c>
      <c r="U38879" s="7" t="s">
        <v>16</v>
      </c>
      <c r="V38879" s="7" t="n">
        <f t="normal" ca="1">32-LENB(INDIRECT(ADDRESS(38879,21)))</f>
        <v>0</v>
      </c>
      <c r="W38879" s="7" t="n">
        <v>7</v>
      </c>
      <c r="X38879" s="7" t="n">
        <v>65533</v>
      </c>
      <c r="Y38879" s="7" t="n">
        <v>64590</v>
      </c>
      <c r="Z38879" s="7" t="s">
        <v>16</v>
      </c>
      <c r="AA38879" s="7" t="n">
        <f t="normal" ca="1">32-LENB(INDIRECT(ADDRESS(38879,26)))</f>
        <v>0</v>
      </c>
      <c r="AB38879" s="7" t="n">
        <v>7</v>
      </c>
      <c r="AC38879" s="7" t="n">
        <v>65533</v>
      </c>
      <c r="AD38879" s="7" t="n">
        <v>64591</v>
      </c>
      <c r="AE38879" s="7" t="s">
        <v>16</v>
      </c>
      <c r="AF38879" s="7" t="n">
        <f t="normal" ca="1">32-LENB(INDIRECT(ADDRESS(38879,31)))</f>
        <v>0</v>
      </c>
      <c r="AG38879" s="7" t="n">
        <v>7</v>
      </c>
      <c r="AH38879" s="7" t="n">
        <v>65533</v>
      </c>
      <c r="AI38879" s="7" t="n">
        <v>64592</v>
      </c>
      <c r="AJ38879" s="7" t="s">
        <v>16</v>
      </c>
      <c r="AK38879" s="7" t="n">
        <f t="normal" ca="1">32-LENB(INDIRECT(ADDRESS(38879,36)))</f>
        <v>0</v>
      </c>
      <c r="AL38879" s="7" t="n">
        <v>7</v>
      </c>
      <c r="AM38879" s="7" t="n">
        <v>65533</v>
      </c>
      <c r="AN38879" s="7" t="n">
        <v>64593</v>
      </c>
      <c r="AO38879" s="7" t="s">
        <v>16</v>
      </c>
      <c r="AP38879" s="7" t="n">
        <f t="normal" ca="1">32-LENB(INDIRECT(ADDRESS(38879,41)))</f>
        <v>0</v>
      </c>
      <c r="AQ38879" s="7" t="n">
        <v>7</v>
      </c>
      <c r="AR38879" s="7" t="n">
        <v>65533</v>
      </c>
      <c r="AS38879" s="7" t="n">
        <v>64594</v>
      </c>
      <c r="AT38879" s="7" t="s">
        <v>16</v>
      </c>
      <c r="AU38879" s="7" t="n">
        <f t="normal" ca="1">32-LENB(INDIRECT(ADDRESS(38879,46)))</f>
        <v>0</v>
      </c>
      <c r="AV38879" s="7" t="n">
        <v>7</v>
      </c>
      <c r="AW38879" s="7" t="n">
        <v>65533</v>
      </c>
      <c r="AX38879" s="7" t="n">
        <v>64595</v>
      </c>
      <c r="AY38879" s="7" t="s">
        <v>16</v>
      </c>
      <c r="AZ38879" s="7" t="n">
        <f t="normal" ca="1">32-LENB(INDIRECT(ADDRESS(38879,51)))</f>
        <v>0</v>
      </c>
      <c r="BA38879" s="7" t="n">
        <v>7</v>
      </c>
      <c r="BB38879" s="7" t="n">
        <v>65533</v>
      </c>
      <c r="BC38879" s="7" t="n">
        <v>64596</v>
      </c>
      <c r="BD38879" s="7" t="s">
        <v>16</v>
      </c>
      <c r="BE38879" s="7" t="n">
        <f t="normal" ca="1">32-LENB(INDIRECT(ADDRESS(38879,56)))</f>
        <v>0</v>
      </c>
      <c r="BF38879" s="7" t="n">
        <v>7</v>
      </c>
      <c r="BG38879" s="7" t="n">
        <v>65533</v>
      </c>
      <c r="BH38879" s="7" t="n">
        <v>64597</v>
      </c>
      <c r="BI38879" s="7" t="s">
        <v>16</v>
      </c>
      <c r="BJ38879" s="7" t="n">
        <f t="normal" ca="1">32-LENB(INDIRECT(ADDRESS(38879,61)))</f>
        <v>0</v>
      </c>
      <c r="BK38879" s="7" t="n">
        <v>7</v>
      </c>
      <c r="BL38879" s="7" t="n">
        <v>65533</v>
      </c>
      <c r="BM38879" s="7" t="n">
        <v>64598</v>
      </c>
      <c r="BN38879" s="7" t="s">
        <v>16</v>
      </c>
      <c r="BO38879" s="7" t="n">
        <f t="normal" ca="1">32-LENB(INDIRECT(ADDRESS(38879,66)))</f>
        <v>0</v>
      </c>
      <c r="BP38879" s="7" t="n">
        <v>7</v>
      </c>
      <c r="BQ38879" s="7" t="n">
        <v>65533</v>
      </c>
      <c r="BR38879" s="7" t="n">
        <v>64599</v>
      </c>
      <c r="BS38879" s="7" t="s">
        <v>16</v>
      </c>
      <c r="BT38879" s="7" t="n">
        <f t="normal" ca="1">32-LENB(INDIRECT(ADDRESS(38879,71)))</f>
        <v>0</v>
      </c>
      <c r="BU38879" s="7" t="n">
        <v>7</v>
      </c>
      <c r="BV38879" s="7" t="n">
        <v>65533</v>
      </c>
      <c r="BW38879" s="7" t="n">
        <v>64600</v>
      </c>
      <c r="BX38879" s="7" t="s">
        <v>16</v>
      </c>
      <c r="BY38879" s="7" t="n">
        <f t="normal" ca="1">32-LENB(INDIRECT(ADDRESS(38879,76)))</f>
        <v>0</v>
      </c>
      <c r="BZ38879" s="7" t="n">
        <v>7</v>
      </c>
      <c r="CA38879" s="7" t="n">
        <v>65533</v>
      </c>
      <c r="CB38879" s="7" t="n">
        <v>64601</v>
      </c>
      <c r="CC38879" s="7" t="s">
        <v>16</v>
      </c>
      <c r="CD38879" s="7" t="n">
        <f t="normal" ca="1">32-LENB(INDIRECT(ADDRESS(38879,81)))</f>
        <v>0</v>
      </c>
      <c r="CE38879" s="7" t="n">
        <v>7</v>
      </c>
      <c r="CF38879" s="7" t="n">
        <v>65533</v>
      </c>
      <c r="CG38879" s="7" t="n">
        <v>64602</v>
      </c>
      <c r="CH38879" s="7" t="s">
        <v>16</v>
      </c>
      <c r="CI38879" s="7" t="n">
        <f t="normal" ca="1">32-LENB(INDIRECT(ADDRESS(38879,86)))</f>
        <v>0</v>
      </c>
      <c r="CJ38879" s="7" t="n">
        <v>7</v>
      </c>
      <c r="CK38879" s="7" t="n">
        <v>65533</v>
      </c>
      <c r="CL38879" s="7" t="n">
        <v>64603</v>
      </c>
      <c r="CM38879" s="7" t="s">
        <v>16</v>
      </c>
      <c r="CN38879" s="7" t="n">
        <f t="normal" ca="1">32-LENB(INDIRECT(ADDRESS(38879,91)))</f>
        <v>0</v>
      </c>
      <c r="CO38879" s="7" t="n">
        <v>7</v>
      </c>
      <c r="CP38879" s="7" t="n">
        <v>65533</v>
      </c>
      <c r="CQ38879" s="7" t="n">
        <v>64604</v>
      </c>
      <c r="CR38879" s="7" t="s">
        <v>16</v>
      </c>
      <c r="CS38879" s="7" t="n">
        <f t="normal" ca="1">32-LENB(INDIRECT(ADDRESS(38879,96)))</f>
        <v>0</v>
      </c>
      <c r="CT38879" s="7" t="n">
        <v>7</v>
      </c>
      <c r="CU38879" s="7" t="n">
        <v>65533</v>
      </c>
      <c r="CV38879" s="7" t="n">
        <v>64605</v>
      </c>
      <c r="CW38879" s="7" t="s">
        <v>16</v>
      </c>
      <c r="CX38879" s="7" t="n">
        <f t="normal" ca="1">32-LENB(INDIRECT(ADDRESS(38879,101)))</f>
        <v>0</v>
      </c>
      <c r="CY38879" s="7" t="n">
        <v>7</v>
      </c>
      <c r="CZ38879" s="7" t="n">
        <v>65533</v>
      </c>
      <c r="DA38879" s="7" t="n">
        <v>64606</v>
      </c>
      <c r="DB38879" s="7" t="s">
        <v>16</v>
      </c>
      <c r="DC38879" s="7" t="n">
        <f t="normal" ca="1">32-LENB(INDIRECT(ADDRESS(38879,106)))</f>
        <v>0</v>
      </c>
      <c r="DD38879" s="7" t="n">
        <v>7</v>
      </c>
      <c r="DE38879" s="7" t="n">
        <v>65533</v>
      </c>
      <c r="DF38879" s="7" t="n">
        <v>64607</v>
      </c>
      <c r="DG38879" s="7" t="s">
        <v>16</v>
      </c>
      <c r="DH38879" s="7" t="n">
        <f t="normal" ca="1">32-LENB(INDIRECT(ADDRESS(38879,111)))</f>
        <v>0</v>
      </c>
      <c r="DI38879" s="7" t="n">
        <v>7</v>
      </c>
      <c r="DJ38879" s="7" t="n">
        <v>65533</v>
      </c>
      <c r="DK38879" s="7" t="n">
        <v>64608</v>
      </c>
      <c r="DL38879" s="7" t="s">
        <v>16</v>
      </c>
      <c r="DM38879" s="7" t="n">
        <f t="normal" ca="1">32-LENB(INDIRECT(ADDRESS(38879,116)))</f>
        <v>0</v>
      </c>
      <c r="DN38879" s="7" t="n">
        <v>7</v>
      </c>
      <c r="DO38879" s="7" t="n">
        <v>65533</v>
      </c>
      <c r="DP38879" s="7" t="n">
        <v>64609</v>
      </c>
      <c r="DQ38879" s="7" t="s">
        <v>16</v>
      </c>
      <c r="DR38879" s="7" t="n">
        <f t="normal" ca="1">32-LENB(INDIRECT(ADDRESS(38879,121)))</f>
        <v>0</v>
      </c>
      <c r="DS38879" s="7" t="n">
        <v>7</v>
      </c>
      <c r="DT38879" s="7" t="n">
        <v>65533</v>
      </c>
      <c r="DU38879" s="7" t="n">
        <v>64610</v>
      </c>
      <c r="DV38879" s="7" t="s">
        <v>16</v>
      </c>
      <c r="DW38879" s="7" t="n">
        <f t="normal" ca="1">32-LENB(INDIRECT(ADDRESS(38879,126)))</f>
        <v>0</v>
      </c>
      <c r="DX38879" s="7" t="n">
        <v>7</v>
      </c>
      <c r="DY38879" s="7" t="n">
        <v>65533</v>
      </c>
      <c r="DZ38879" s="7" t="n">
        <v>64611</v>
      </c>
      <c r="EA38879" s="7" t="s">
        <v>16</v>
      </c>
      <c r="EB38879" s="7" t="n">
        <f t="normal" ca="1">32-LENB(INDIRECT(ADDRESS(38879,131)))</f>
        <v>0</v>
      </c>
      <c r="EC38879" s="7" t="n">
        <v>7</v>
      </c>
      <c r="ED38879" s="7" t="n">
        <v>65533</v>
      </c>
      <c r="EE38879" s="7" t="n">
        <v>64612</v>
      </c>
      <c r="EF38879" s="7" t="s">
        <v>16</v>
      </c>
      <c r="EG38879" s="7" t="n">
        <f t="normal" ca="1">32-LENB(INDIRECT(ADDRESS(38879,136)))</f>
        <v>0</v>
      </c>
      <c r="EH38879" s="7" t="n">
        <v>7</v>
      </c>
      <c r="EI38879" s="7" t="n">
        <v>65533</v>
      </c>
      <c r="EJ38879" s="7" t="n">
        <v>64613</v>
      </c>
      <c r="EK38879" s="7" t="s">
        <v>16</v>
      </c>
      <c r="EL38879" s="7" t="n">
        <f t="normal" ca="1">32-LENB(INDIRECT(ADDRESS(38879,141)))</f>
        <v>0</v>
      </c>
      <c r="EM38879" s="7" t="n">
        <v>7</v>
      </c>
      <c r="EN38879" s="7" t="n">
        <v>65533</v>
      </c>
      <c r="EO38879" s="7" t="n">
        <v>64614</v>
      </c>
      <c r="EP38879" s="7" t="s">
        <v>16</v>
      </c>
      <c r="EQ38879" s="7" t="n">
        <f t="normal" ca="1">32-LENB(INDIRECT(ADDRESS(38879,146)))</f>
        <v>0</v>
      </c>
      <c r="ER38879" s="7" t="n">
        <v>7</v>
      </c>
      <c r="ES38879" s="7" t="n">
        <v>65533</v>
      </c>
      <c r="ET38879" s="7" t="n">
        <v>64615</v>
      </c>
      <c r="EU38879" s="7" t="s">
        <v>16</v>
      </c>
      <c r="EV38879" s="7" t="n">
        <f t="normal" ca="1">32-LENB(INDIRECT(ADDRESS(38879,151)))</f>
        <v>0</v>
      </c>
      <c r="EW38879" s="7" t="n">
        <v>7</v>
      </c>
      <c r="EX38879" s="7" t="n">
        <v>65533</v>
      </c>
      <c r="EY38879" s="7" t="n">
        <v>64616</v>
      </c>
      <c r="EZ38879" s="7" t="s">
        <v>16</v>
      </c>
      <c r="FA38879" s="7" t="n">
        <f t="normal" ca="1">32-LENB(INDIRECT(ADDRESS(38879,156)))</f>
        <v>0</v>
      </c>
      <c r="FB38879" s="7" t="n">
        <v>7</v>
      </c>
      <c r="FC38879" s="7" t="n">
        <v>65533</v>
      </c>
      <c r="FD38879" s="7" t="n">
        <v>64617</v>
      </c>
      <c r="FE38879" s="7" t="s">
        <v>16</v>
      </c>
      <c r="FF38879" s="7" t="n">
        <f t="normal" ca="1">32-LENB(INDIRECT(ADDRESS(38879,161)))</f>
        <v>0</v>
      </c>
      <c r="FG38879" s="7" t="n">
        <v>7</v>
      </c>
      <c r="FH38879" s="7" t="n">
        <v>65533</v>
      </c>
      <c r="FI38879" s="7" t="n">
        <v>64618</v>
      </c>
      <c r="FJ38879" s="7" t="s">
        <v>16</v>
      </c>
      <c r="FK38879" s="7" t="n">
        <f t="normal" ca="1">32-LENB(INDIRECT(ADDRESS(38879,166)))</f>
        <v>0</v>
      </c>
      <c r="FL38879" s="7" t="n">
        <v>7</v>
      </c>
      <c r="FM38879" s="7" t="n">
        <v>65533</v>
      </c>
      <c r="FN38879" s="7" t="n">
        <v>64619</v>
      </c>
      <c r="FO38879" s="7" t="s">
        <v>16</v>
      </c>
      <c r="FP38879" s="7" t="n">
        <f t="normal" ca="1">32-LENB(INDIRECT(ADDRESS(38879,171)))</f>
        <v>0</v>
      </c>
      <c r="FQ38879" s="7" t="n">
        <v>7</v>
      </c>
      <c r="FR38879" s="7" t="n">
        <v>65533</v>
      </c>
      <c r="FS38879" s="7" t="n">
        <v>64620</v>
      </c>
      <c r="FT38879" s="7" t="s">
        <v>16</v>
      </c>
      <c r="FU38879" s="7" t="n">
        <f t="normal" ca="1">32-LENB(INDIRECT(ADDRESS(38879,176)))</f>
        <v>0</v>
      </c>
      <c r="FV38879" s="7" t="n">
        <v>7</v>
      </c>
      <c r="FW38879" s="7" t="n">
        <v>65533</v>
      </c>
      <c r="FX38879" s="7" t="n">
        <v>64621</v>
      </c>
      <c r="FY38879" s="7" t="s">
        <v>16</v>
      </c>
      <c r="FZ38879" s="7" t="n">
        <f t="normal" ca="1">32-LENB(INDIRECT(ADDRESS(38879,181)))</f>
        <v>0</v>
      </c>
      <c r="GA38879" s="7" t="n">
        <v>7</v>
      </c>
      <c r="GB38879" s="7" t="n">
        <v>65533</v>
      </c>
      <c r="GC38879" s="7" t="n">
        <v>64622</v>
      </c>
      <c r="GD38879" s="7" t="s">
        <v>16</v>
      </c>
      <c r="GE38879" s="7" t="n">
        <f t="normal" ca="1">32-LENB(INDIRECT(ADDRESS(38879,186)))</f>
        <v>0</v>
      </c>
      <c r="GF38879" s="7" t="n">
        <v>7</v>
      </c>
      <c r="GG38879" s="7" t="n">
        <v>65533</v>
      </c>
      <c r="GH38879" s="7" t="n">
        <v>64623</v>
      </c>
      <c r="GI38879" s="7" t="s">
        <v>16</v>
      </c>
      <c r="GJ38879" s="7" t="n">
        <f t="normal" ca="1">32-LENB(INDIRECT(ADDRESS(38879,191)))</f>
        <v>0</v>
      </c>
      <c r="GK38879" s="7" t="n">
        <v>7</v>
      </c>
      <c r="GL38879" s="7" t="n">
        <v>65533</v>
      </c>
      <c r="GM38879" s="7" t="n">
        <v>64624</v>
      </c>
      <c r="GN38879" s="7" t="s">
        <v>16</v>
      </c>
      <c r="GO38879" s="7" t="n">
        <f t="normal" ca="1">32-LENB(INDIRECT(ADDRESS(38879,196)))</f>
        <v>0</v>
      </c>
      <c r="GP38879" s="7" t="n">
        <v>7</v>
      </c>
      <c r="GQ38879" s="7" t="n">
        <v>65533</v>
      </c>
      <c r="GR38879" s="7" t="n">
        <v>64418</v>
      </c>
      <c r="GS38879" s="7" t="s">
        <v>16</v>
      </c>
      <c r="GT38879" s="7" t="n">
        <f t="normal" ca="1">32-LENB(INDIRECT(ADDRESS(38879,201)))</f>
        <v>0</v>
      </c>
      <c r="GU38879" s="7" t="n">
        <v>7</v>
      </c>
      <c r="GV38879" s="7" t="n">
        <v>65533</v>
      </c>
      <c r="GW38879" s="7" t="n">
        <v>65314</v>
      </c>
      <c r="GX38879" s="7" t="s">
        <v>16</v>
      </c>
      <c r="GY38879" s="7" t="n">
        <f t="normal" ca="1">32-LENB(INDIRECT(ADDRESS(38879,206)))</f>
        <v>0</v>
      </c>
      <c r="GZ38879" s="7" t="n">
        <v>7</v>
      </c>
      <c r="HA38879" s="7" t="n">
        <v>65533</v>
      </c>
      <c r="HB38879" s="7" t="n">
        <v>64625</v>
      </c>
      <c r="HC38879" s="7" t="s">
        <v>16</v>
      </c>
      <c r="HD38879" s="7" t="n">
        <f t="normal" ca="1">32-LENB(INDIRECT(ADDRESS(38879,211)))</f>
        <v>0</v>
      </c>
      <c r="HE38879" s="7" t="n">
        <v>7</v>
      </c>
      <c r="HF38879" s="7" t="n">
        <v>65533</v>
      </c>
      <c r="HG38879" s="7" t="n">
        <v>64626</v>
      </c>
      <c r="HH38879" s="7" t="s">
        <v>16</v>
      </c>
      <c r="HI38879" s="7" t="n">
        <f t="normal" ca="1">32-LENB(INDIRECT(ADDRESS(38879,216)))</f>
        <v>0</v>
      </c>
      <c r="HJ38879" s="7" t="n">
        <v>7</v>
      </c>
      <c r="HK38879" s="7" t="n">
        <v>65533</v>
      </c>
      <c r="HL38879" s="7" t="n">
        <v>64627</v>
      </c>
      <c r="HM38879" s="7" t="s">
        <v>16</v>
      </c>
      <c r="HN38879" s="7" t="n">
        <f t="normal" ca="1">32-LENB(INDIRECT(ADDRESS(38879,221)))</f>
        <v>0</v>
      </c>
      <c r="HO38879" s="7" t="n">
        <v>7</v>
      </c>
      <c r="HP38879" s="7" t="n">
        <v>65533</v>
      </c>
      <c r="HQ38879" s="7" t="n">
        <v>64628</v>
      </c>
      <c r="HR38879" s="7" t="s">
        <v>16</v>
      </c>
      <c r="HS38879" s="7" t="n">
        <f t="normal" ca="1">32-LENB(INDIRECT(ADDRESS(38879,226)))</f>
        <v>0</v>
      </c>
      <c r="HT38879" s="7" t="n">
        <v>7</v>
      </c>
      <c r="HU38879" s="7" t="n">
        <v>65533</v>
      </c>
      <c r="HV38879" s="7" t="n">
        <v>64629</v>
      </c>
      <c r="HW38879" s="7" t="s">
        <v>16</v>
      </c>
      <c r="HX38879" s="7" t="n">
        <f t="normal" ca="1">32-LENB(INDIRECT(ADDRESS(38879,231)))</f>
        <v>0</v>
      </c>
      <c r="HY38879" s="7" t="n">
        <v>7</v>
      </c>
      <c r="HZ38879" s="7" t="n">
        <v>65533</v>
      </c>
      <c r="IA38879" s="7" t="n">
        <v>64630</v>
      </c>
      <c r="IB38879" s="7" t="s">
        <v>16</v>
      </c>
      <c r="IC38879" s="7" t="n">
        <f t="normal" ca="1">32-LENB(INDIRECT(ADDRESS(38879,236)))</f>
        <v>0</v>
      </c>
      <c r="ID38879" s="7" t="n">
        <v>7</v>
      </c>
      <c r="IE38879" s="7" t="n">
        <v>65533</v>
      </c>
      <c r="IF38879" s="7" t="n">
        <v>64631</v>
      </c>
      <c r="IG38879" s="7" t="s">
        <v>16</v>
      </c>
      <c r="IH38879" s="7" t="n">
        <f t="normal" ca="1">32-LENB(INDIRECT(ADDRESS(38879,241)))</f>
        <v>0</v>
      </c>
      <c r="II38879" s="7" t="n">
        <v>7</v>
      </c>
      <c r="IJ38879" s="7" t="n">
        <v>65533</v>
      </c>
      <c r="IK38879" s="7" t="n">
        <v>64632</v>
      </c>
      <c r="IL38879" s="7" t="s">
        <v>16</v>
      </c>
      <c r="IM38879" s="7" t="n">
        <f t="normal" ca="1">32-LENB(INDIRECT(ADDRESS(38879,246)))</f>
        <v>0</v>
      </c>
      <c r="IN38879" s="7" t="n">
        <v>7</v>
      </c>
      <c r="IO38879" s="7" t="n">
        <v>65533</v>
      </c>
      <c r="IP38879" s="7" t="n">
        <v>64633</v>
      </c>
      <c r="IQ38879" s="7" t="s">
        <v>16</v>
      </c>
      <c r="IR38879" s="7" t="n">
        <f t="normal" ca="1">32-LENB(INDIRECT(ADDRESS(38879,251)))</f>
        <v>0</v>
      </c>
      <c r="IS38879" s="7" t="n">
        <v>4</v>
      </c>
      <c r="IT38879" s="7" t="n">
        <v>65533</v>
      </c>
      <c r="IU38879" s="7" t="n">
        <v>2004</v>
      </c>
      <c r="IV38879" s="7" t="s">
        <v>16</v>
      </c>
      <c r="IW38879" s="7" t="n">
        <f t="normal" ca="1">32-LENB(INDIRECT(ADDRESS(38879,256)))</f>
        <v>0</v>
      </c>
      <c r="IX38879" s="7" t="n">
        <v>7</v>
      </c>
      <c r="IY38879" s="7" t="n">
        <v>65533</v>
      </c>
      <c r="IZ38879" s="7" t="n">
        <v>64268</v>
      </c>
      <c r="JA38879" s="7" t="s">
        <v>16</v>
      </c>
      <c r="JB38879" s="7" t="n">
        <f t="normal" ca="1">32-LENB(INDIRECT(ADDRESS(38879,261)))</f>
        <v>0</v>
      </c>
      <c r="JC38879" s="7" t="n">
        <v>7</v>
      </c>
      <c r="JD38879" s="7" t="n">
        <v>65533</v>
      </c>
      <c r="JE38879" s="7" t="n">
        <v>64634</v>
      </c>
      <c r="JF38879" s="7" t="s">
        <v>16</v>
      </c>
      <c r="JG38879" s="7" t="n">
        <f t="normal" ca="1">32-LENB(INDIRECT(ADDRESS(38879,266)))</f>
        <v>0</v>
      </c>
      <c r="JH38879" s="7" t="n">
        <v>7</v>
      </c>
      <c r="JI38879" s="7" t="n">
        <v>65533</v>
      </c>
      <c r="JJ38879" s="7" t="n">
        <v>64635</v>
      </c>
      <c r="JK38879" s="7" t="s">
        <v>16</v>
      </c>
      <c r="JL38879" s="7" t="n">
        <f t="normal" ca="1">32-LENB(INDIRECT(ADDRESS(38879,271)))</f>
        <v>0</v>
      </c>
      <c r="JM38879" s="7" t="n">
        <v>7</v>
      </c>
      <c r="JN38879" s="7" t="n">
        <v>65533</v>
      </c>
      <c r="JO38879" s="7" t="n">
        <v>64636</v>
      </c>
      <c r="JP38879" s="7" t="s">
        <v>16</v>
      </c>
      <c r="JQ38879" s="7" t="n">
        <f t="normal" ca="1">32-LENB(INDIRECT(ADDRESS(38879,276)))</f>
        <v>0</v>
      </c>
      <c r="JR38879" s="7" t="n">
        <v>7</v>
      </c>
      <c r="JS38879" s="7" t="n">
        <v>65533</v>
      </c>
      <c r="JT38879" s="7" t="n">
        <v>64637</v>
      </c>
      <c r="JU38879" s="7" t="s">
        <v>16</v>
      </c>
      <c r="JV38879" s="7" t="n">
        <f t="normal" ca="1">32-LENB(INDIRECT(ADDRESS(38879,281)))</f>
        <v>0</v>
      </c>
      <c r="JW38879" s="7" t="n">
        <v>7</v>
      </c>
      <c r="JX38879" s="7" t="n">
        <v>65533</v>
      </c>
      <c r="JY38879" s="7" t="n">
        <v>64638</v>
      </c>
      <c r="JZ38879" s="7" t="s">
        <v>16</v>
      </c>
      <c r="KA38879" s="7" t="n">
        <f t="normal" ca="1">32-LENB(INDIRECT(ADDRESS(38879,286)))</f>
        <v>0</v>
      </c>
      <c r="KB38879" s="7" t="n">
        <v>7</v>
      </c>
      <c r="KC38879" s="7" t="n">
        <v>65533</v>
      </c>
      <c r="KD38879" s="7" t="n">
        <v>64639</v>
      </c>
      <c r="KE38879" s="7" t="s">
        <v>16</v>
      </c>
      <c r="KF38879" s="7" t="n">
        <f t="normal" ca="1">32-LENB(INDIRECT(ADDRESS(38879,291)))</f>
        <v>0</v>
      </c>
      <c r="KG38879" s="7" t="n">
        <v>7</v>
      </c>
      <c r="KH38879" s="7" t="n">
        <v>65533</v>
      </c>
      <c r="KI38879" s="7" t="n">
        <v>64640</v>
      </c>
      <c r="KJ38879" s="7" t="s">
        <v>16</v>
      </c>
      <c r="KK38879" s="7" t="n">
        <f t="normal" ca="1">32-LENB(INDIRECT(ADDRESS(38879,296)))</f>
        <v>0</v>
      </c>
      <c r="KL38879" s="7" t="n">
        <v>7</v>
      </c>
      <c r="KM38879" s="7" t="n">
        <v>65533</v>
      </c>
      <c r="KN38879" s="7" t="n">
        <v>64641</v>
      </c>
      <c r="KO38879" s="7" t="s">
        <v>16</v>
      </c>
      <c r="KP38879" s="7" t="n">
        <f t="normal" ca="1">32-LENB(INDIRECT(ADDRESS(38879,301)))</f>
        <v>0</v>
      </c>
      <c r="KQ38879" s="7" t="n">
        <v>0</v>
      </c>
      <c r="KR38879" s="7" t="n">
        <v>65533</v>
      </c>
      <c r="KS38879" s="7" t="n">
        <v>0</v>
      </c>
      <c r="KT38879" s="7" t="s">
        <v>16</v>
      </c>
      <c r="KU38879" s="7" t="n">
        <f t="normal" ca="1">32-LENB(INDIRECT(ADDRESS(38879,306)))</f>
        <v>0</v>
      </c>
    </row>
    <row r="38880" spans="1:222">
      <c r="A38880" t="s">
        <v>4</v>
      </c>
      <c r="B38880" s="4" t="s">
        <v>5</v>
      </c>
    </row>
    <row r="38881" spans="1:352">
      <c r="A38881" t="n">
        <v>434600</v>
      </c>
      <c r="B38881" s="5" t="n">
        <v>1</v>
      </c>
    </row>
    <row r="38882" spans="1:352" s="3" customFormat="1" customHeight="0">
      <c r="A38882" s="3" t="s">
        <v>2</v>
      </c>
      <c r="B38882" s="3" t="s">
        <v>1885</v>
      </c>
    </row>
    <row r="38883" spans="1:352">
      <c r="A38883" t="s">
        <v>4</v>
      </c>
      <c r="B38883" s="4" t="s">
        <v>5</v>
      </c>
      <c r="C38883" s="4" t="s">
        <v>11</v>
      </c>
      <c r="D38883" s="4" t="s">
        <v>11</v>
      </c>
      <c r="E38883" s="4" t="s">
        <v>15</v>
      </c>
      <c r="F38883" s="4" t="s">
        <v>8</v>
      </c>
      <c r="G38883" s="4" t="s">
        <v>1859</v>
      </c>
      <c r="H38883" s="4" t="s">
        <v>11</v>
      </c>
      <c r="I38883" s="4" t="s">
        <v>11</v>
      </c>
      <c r="J38883" s="4" t="s">
        <v>15</v>
      </c>
      <c r="K38883" s="4" t="s">
        <v>8</v>
      </c>
      <c r="L38883" s="4" t="s">
        <v>1859</v>
      </c>
      <c r="M38883" s="4" t="s">
        <v>11</v>
      </c>
      <c r="N38883" s="4" t="s">
        <v>11</v>
      </c>
      <c r="O38883" s="4" t="s">
        <v>15</v>
      </c>
      <c r="P38883" s="4" t="s">
        <v>8</v>
      </c>
      <c r="Q38883" s="4" t="s">
        <v>1859</v>
      </c>
      <c r="R38883" s="4" t="s">
        <v>11</v>
      </c>
      <c r="S38883" s="4" t="s">
        <v>11</v>
      </c>
      <c r="T38883" s="4" t="s">
        <v>15</v>
      </c>
      <c r="U38883" s="4" t="s">
        <v>8</v>
      </c>
      <c r="V38883" s="4" t="s">
        <v>1859</v>
      </c>
      <c r="W38883" s="4" t="s">
        <v>11</v>
      </c>
      <c r="X38883" s="4" t="s">
        <v>11</v>
      </c>
      <c r="Y38883" s="4" t="s">
        <v>15</v>
      </c>
      <c r="Z38883" s="4" t="s">
        <v>8</v>
      </c>
      <c r="AA38883" s="4" t="s">
        <v>1859</v>
      </c>
      <c r="AB38883" s="4" t="s">
        <v>11</v>
      </c>
      <c r="AC38883" s="4" t="s">
        <v>11</v>
      </c>
      <c r="AD38883" s="4" t="s">
        <v>15</v>
      </c>
      <c r="AE38883" s="4" t="s">
        <v>8</v>
      </c>
      <c r="AF38883" s="4" t="s">
        <v>1859</v>
      </c>
      <c r="AG38883" s="4" t="s">
        <v>11</v>
      </c>
      <c r="AH38883" s="4" t="s">
        <v>11</v>
      </c>
      <c r="AI38883" s="4" t="s">
        <v>15</v>
      </c>
      <c r="AJ38883" s="4" t="s">
        <v>8</v>
      </c>
      <c r="AK38883" s="4" t="s">
        <v>1859</v>
      </c>
      <c r="AL38883" s="4" t="s">
        <v>11</v>
      </c>
      <c r="AM38883" s="4" t="s">
        <v>11</v>
      </c>
      <c r="AN38883" s="4" t="s">
        <v>15</v>
      </c>
      <c r="AO38883" s="4" t="s">
        <v>8</v>
      </c>
      <c r="AP38883" s="4" t="s">
        <v>1859</v>
      </c>
      <c r="AQ38883" s="4" t="s">
        <v>11</v>
      </c>
      <c r="AR38883" s="4" t="s">
        <v>11</v>
      </c>
      <c r="AS38883" s="4" t="s">
        <v>15</v>
      </c>
      <c r="AT38883" s="4" t="s">
        <v>8</v>
      </c>
      <c r="AU38883" s="4" t="s">
        <v>1859</v>
      </c>
      <c r="AV38883" s="4" t="s">
        <v>11</v>
      </c>
      <c r="AW38883" s="4" t="s">
        <v>11</v>
      </c>
      <c r="AX38883" s="4" t="s">
        <v>15</v>
      </c>
      <c r="AY38883" s="4" t="s">
        <v>8</v>
      </c>
      <c r="AZ38883" s="4" t="s">
        <v>1859</v>
      </c>
      <c r="BA38883" s="4" t="s">
        <v>11</v>
      </c>
      <c r="BB38883" s="4" t="s">
        <v>11</v>
      </c>
      <c r="BC38883" s="4" t="s">
        <v>15</v>
      </c>
      <c r="BD38883" s="4" t="s">
        <v>8</v>
      </c>
      <c r="BE38883" s="4" t="s">
        <v>1859</v>
      </c>
      <c r="BF38883" s="4" t="s">
        <v>11</v>
      </c>
      <c r="BG38883" s="4" t="s">
        <v>11</v>
      </c>
      <c r="BH38883" s="4" t="s">
        <v>15</v>
      </c>
      <c r="BI38883" s="4" t="s">
        <v>8</v>
      </c>
      <c r="BJ38883" s="4" t="s">
        <v>1859</v>
      </c>
      <c r="BK38883" s="4" t="s">
        <v>11</v>
      </c>
      <c r="BL38883" s="4" t="s">
        <v>11</v>
      </c>
      <c r="BM38883" s="4" t="s">
        <v>15</v>
      </c>
      <c r="BN38883" s="4" t="s">
        <v>8</v>
      </c>
      <c r="BO38883" s="4" t="s">
        <v>1859</v>
      </c>
      <c r="BP38883" s="4" t="s">
        <v>11</v>
      </c>
      <c r="BQ38883" s="4" t="s">
        <v>11</v>
      </c>
      <c r="BR38883" s="4" t="s">
        <v>15</v>
      </c>
      <c r="BS38883" s="4" t="s">
        <v>8</v>
      </c>
      <c r="BT38883" s="4" t="s">
        <v>1859</v>
      </c>
      <c r="BU38883" s="4" t="s">
        <v>11</v>
      </c>
      <c r="BV38883" s="4" t="s">
        <v>11</v>
      </c>
      <c r="BW38883" s="4" t="s">
        <v>15</v>
      </c>
      <c r="BX38883" s="4" t="s">
        <v>8</v>
      </c>
      <c r="BY38883" s="4" t="s">
        <v>1859</v>
      </c>
      <c r="BZ38883" s="4" t="s">
        <v>11</v>
      </c>
      <c r="CA38883" s="4" t="s">
        <v>11</v>
      </c>
      <c r="CB38883" s="4" t="s">
        <v>15</v>
      </c>
      <c r="CC38883" s="4" t="s">
        <v>8</v>
      </c>
      <c r="CD38883" s="4" t="s">
        <v>1859</v>
      </c>
      <c r="CE38883" s="4" t="s">
        <v>11</v>
      </c>
      <c r="CF38883" s="4" t="s">
        <v>11</v>
      </c>
      <c r="CG38883" s="4" t="s">
        <v>15</v>
      </c>
      <c r="CH38883" s="4" t="s">
        <v>8</v>
      </c>
      <c r="CI38883" s="4" t="s">
        <v>1859</v>
      </c>
      <c r="CJ38883" s="4" t="s">
        <v>11</v>
      </c>
      <c r="CK38883" s="4" t="s">
        <v>11</v>
      </c>
      <c r="CL38883" s="4" t="s">
        <v>15</v>
      </c>
      <c r="CM38883" s="4" t="s">
        <v>8</v>
      </c>
      <c r="CN38883" s="4" t="s">
        <v>1859</v>
      </c>
      <c r="CO38883" s="4" t="s">
        <v>11</v>
      </c>
      <c r="CP38883" s="4" t="s">
        <v>11</v>
      </c>
      <c r="CQ38883" s="4" t="s">
        <v>15</v>
      </c>
      <c r="CR38883" s="4" t="s">
        <v>8</v>
      </c>
      <c r="CS38883" s="4" t="s">
        <v>1859</v>
      </c>
      <c r="CT38883" s="4" t="s">
        <v>11</v>
      </c>
      <c r="CU38883" s="4" t="s">
        <v>11</v>
      </c>
      <c r="CV38883" s="4" t="s">
        <v>15</v>
      </c>
      <c r="CW38883" s="4" t="s">
        <v>8</v>
      </c>
      <c r="CX38883" s="4" t="s">
        <v>1859</v>
      </c>
      <c r="CY38883" s="4" t="s">
        <v>11</v>
      </c>
      <c r="CZ38883" s="4" t="s">
        <v>11</v>
      </c>
      <c r="DA38883" s="4" t="s">
        <v>15</v>
      </c>
      <c r="DB38883" s="4" t="s">
        <v>8</v>
      </c>
      <c r="DC38883" s="4" t="s">
        <v>1859</v>
      </c>
      <c r="DD38883" s="4" t="s">
        <v>11</v>
      </c>
      <c r="DE38883" s="4" t="s">
        <v>11</v>
      </c>
      <c r="DF38883" s="4" t="s">
        <v>15</v>
      </c>
      <c r="DG38883" s="4" t="s">
        <v>8</v>
      </c>
      <c r="DH38883" s="4" t="s">
        <v>1859</v>
      </c>
      <c r="DI38883" s="4" t="s">
        <v>11</v>
      </c>
      <c r="DJ38883" s="4" t="s">
        <v>11</v>
      </c>
      <c r="DK38883" s="4" t="s">
        <v>15</v>
      </c>
      <c r="DL38883" s="4" t="s">
        <v>8</v>
      </c>
      <c r="DM38883" s="4" t="s">
        <v>1859</v>
      </c>
      <c r="DN38883" s="4" t="s">
        <v>11</v>
      </c>
      <c r="DO38883" s="4" t="s">
        <v>11</v>
      </c>
      <c r="DP38883" s="4" t="s">
        <v>15</v>
      </c>
      <c r="DQ38883" s="4" t="s">
        <v>8</v>
      </c>
      <c r="DR38883" s="4" t="s">
        <v>1859</v>
      </c>
      <c r="DS38883" s="4" t="s">
        <v>11</v>
      </c>
      <c r="DT38883" s="4" t="s">
        <v>11</v>
      </c>
      <c r="DU38883" s="4" t="s">
        <v>15</v>
      </c>
      <c r="DV38883" s="4" t="s">
        <v>8</v>
      </c>
      <c r="DW38883" s="4" t="s">
        <v>1859</v>
      </c>
      <c r="DX38883" s="4" t="s">
        <v>11</v>
      </c>
      <c r="DY38883" s="4" t="s">
        <v>11</v>
      </c>
      <c r="DZ38883" s="4" t="s">
        <v>15</v>
      </c>
      <c r="EA38883" s="4" t="s">
        <v>8</v>
      </c>
      <c r="EB38883" s="4" t="s">
        <v>1859</v>
      </c>
      <c r="EC38883" s="4" t="s">
        <v>11</v>
      </c>
      <c r="ED38883" s="4" t="s">
        <v>11</v>
      </c>
      <c r="EE38883" s="4" t="s">
        <v>15</v>
      </c>
      <c r="EF38883" s="4" t="s">
        <v>8</v>
      </c>
      <c r="EG38883" s="4" t="s">
        <v>1859</v>
      </c>
      <c r="EH38883" s="4" t="s">
        <v>11</v>
      </c>
      <c r="EI38883" s="4" t="s">
        <v>11</v>
      </c>
      <c r="EJ38883" s="4" t="s">
        <v>15</v>
      </c>
      <c r="EK38883" s="4" t="s">
        <v>8</v>
      </c>
      <c r="EL38883" s="4" t="s">
        <v>1859</v>
      </c>
      <c r="EM38883" s="4" t="s">
        <v>11</v>
      </c>
      <c r="EN38883" s="4" t="s">
        <v>11</v>
      </c>
      <c r="EO38883" s="4" t="s">
        <v>15</v>
      </c>
      <c r="EP38883" s="4" t="s">
        <v>8</v>
      </c>
      <c r="EQ38883" s="4" t="s">
        <v>1859</v>
      </c>
      <c r="ER38883" s="4" t="s">
        <v>11</v>
      </c>
      <c r="ES38883" s="4" t="s">
        <v>11</v>
      </c>
      <c r="ET38883" s="4" t="s">
        <v>15</v>
      </c>
      <c r="EU38883" s="4" t="s">
        <v>8</v>
      </c>
      <c r="EV38883" s="4" t="s">
        <v>1859</v>
      </c>
      <c r="EW38883" s="4" t="s">
        <v>11</v>
      </c>
      <c r="EX38883" s="4" t="s">
        <v>11</v>
      </c>
      <c r="EY38883" s="4" t="s">
        <v>15</v>
      </c>
      <c r="EZ38883" s="4" t="s">
        <v>8</v>
      </c>
      <c r="FA38883" s="4" t="s">
        <v>1859</v>
      </c>
      <c r="FB38883" s="4" t="s">
        <v>11</v>
      </c>
      <c r="FC38883" s="4" t="s">
        <v>11</v>
      </c>
      <c r="FD38883" s="4" t="s">
        <v>15</v>
      </c>
      <c r="FE38883" s="4" t="s">
        <v>8</v>
      </c>
      <c r="FF38883" s="4" t="s">
        <v>1859</v>
      </c>
      <c r="FG38883" s="4" t="s">
        <v>11</v>
      </c>
      <c r="FH38883" s="4" t="s">
        <v>11</v>
      </c>
      <c r="FI38883" s="4" t="s">
        <v>15</v>
      </c>
      <c r="FJ38883" s="4" t="s">
        <v>8</v>
      </c>
      <c r="FK38883" s="4" t="s">
        <v>1859</v>
      </c>
      <c r="FL38883" s="4" t="s">
        <v>11</v>
      </c>
      <c r="FM38883" s="4" t="s">
        <v>11</v>
      </c>
      <c r="FN38883" s="4" t="s">
        <v>15</v>
      </c>
      <c r="FO38883" s="4" t="s">
        <v>8</v>
      </c>
      <c r="FP38883" s="4" t="s">
        <v>1859</v>
      </c>
      <c r="FQ38883" s="4" t="s">
        <v>11</v>
      </c>
      <c r="FR38883" s="4" t="s">
        <v>11</v>
      </c>
      <c r="FS38883" s="4" t="s">
        <v>15</v>
      </c>
      <c r="FT38883" s="4" t="s">
        <v>8</v>
      </c>
      <c r="FU38883" s="4" t="s">
        <v>1859</v>
      </c>
      <c r="FV38883" s="4" t="s">
        <v>11</v>
      </c>
      <c r="FW38883" s="4" t="s">
        <v>11</v>
      </c>
      <c r="FX38883" s="4" t="s">
        <v>15</v>
      </c>
      <c r="FY38883" s="4" t="s">
        <v>8</v>
      </c>
      <c r="FZ38883" s="4" t="s">
        <v>1859</v>
      </c>
      <c r="GA38883" s="4" t="s">
        <v>11</v>
      </c>
      <c r="GB38883" s="4" t="s">
        <v>11</v>
      </c>
      <c r="GC38883" s="4" t="s">
        <v>15</v>
      </c>
      <c r="GD38883" s="4" t="s">
        <v>8</v>
      </c>
      <c r="GE38883" s="4" t="s">
        <v>1859</v>
      </c>
      <c r="GF38883" s="4" t="s">
        <v>11</v>
      </c>
      <c r="GG38883" s="4" t="s">
        <v>11</v>
      </c>
      <c r="GH38883" s="4" t="s">
        <v>15</v>
      </c>
      <c r="GI38883" s="4" t="s">
        <v>8</v>
      </c>
      <c r="GJ38883" s="4" t="s">
        <v>1859</v>
      </c>
      <c r="GK38883" s="4" t="s">
        <v>11</v>
      </c>
      <c r="GL38883" s="4" t="s">
        <v>11</v>
      </c>
      <c r="GM38883" s="4" t="s">
        <v>15</v>
      </c>
      <c r="GN38883" s="4" t="s">
        <v>8</v>
      </c>
      <c r="GO38883" s="4" t="s">
        <v>1859</v>
      </c>
      <c r="GP38883" s="4" t="s">
        <v>11</v>
      </c>
      <c r="GQ38883" s="4" t="s">
        <v>11</v>
      </c>
      <c r="GR38883" s="4" t="s">
        <v>15</v>
      </c>
      <c r="GS38883" s="4" t="s">
        <v>8</v>
      </c>
      <c r="GT38883" s="4" t="s">
        <v>1859</v>
      </c>
      <c r="GU38883" s="4" t="s">
        <v>11</v>
      </c>
      <c r="GV38883" s="4" t="s">
        <v>11</v>
      </c>
      <c r="GW38883" s="4" t="s">
        <v>15</v>
      </c>
      <c r="GX38883" s="4" t="s">
        <v>8</v>
      </c>
      <c r="GY38883" s="4" t="s">
        <v>1859</v>
      </c>
      <c r="GZ38883" s="4" t="s">
        <v>11</v>
      </c>
      <c r="HA38883" s="4" t="s">
        <v>11</v>
      </c>
      <c r="HB38883" s="4" t="s">
        <v>15</v>
      </c>
      <c r="HC38883" s="4" t="s">
        <v>8</v>
      </c>
      <c r="HD38883" s="4" t="s">
        <v>1859</v>
      </c>
      <c r="HE38883" s="4" t="s">
        <v>11</v>
      </c>
      <c r="HF38883" s="4" t="s">
        <v>11</v>
      </c>
      <c r="HG38883" s="4" t="s">
        <v>15</v>
      </c>
      <c r="HH38883" s="4" t="s">
        <v>8</v>
      </c>
      <c r="HI38883" s="4" t="s">
        <v>1859</v>
      </c>
      <c r="HJ38883" s="4" t="s">
        <v>11</v>
      </c>
      <c r="HK38883" s="4" t="s">
        <v>11</v>
      </c>
      <c r="HL38883" s="4" t="s">
        <v>15</v>
      </c>
      <c r="HM38883" s="4" t="s">
        <v>8</v>
      </c>
      <c r="HN38883" s="4" t="s">
        <v>1859</v>
      </c>
      <c r="HO38883" s="4" t="s">
        <v>11</v>
      </c>
      <c r="HP38883" s="4" t="s">
        <v>11</v>
      </c>
      <c r="HQ38883" s="4" t="s">
        <v>15</v>
      </c>
      <c r="HR38883" s="4" t="s">
        <v>8</v>
      </c>
      <c r="HS38883" s="4" t="s">
        <v>1859</v>
      </c>
      <c r="HT38883" s="4" t="s">
        <v>11</v>
      </c>
      <c r="HU38883" s="4" t="s">
        <v>11</v>
      </c>
      <c r="HV38883" s="4" t="s">
        <v>15</v>
      </c>
      <c r="HW38883" s="4" t="s">
        <v>8</v>
      </c>
      <c r="HX38883" s="4" t="s">
        <v>1859</v>
      </c>
      <c r="HY38883" s="4" t="s">
        <v>11</v>
      </c>
      <c r="HZ38883" s="4" t="s">
        <v>11</v>
      </c>
      <c r="IA38883" s="4" t="s">
        <v>15</v>
      </c>
      <c r="IB38883" s="4" t="s">
        <v>8</v>
      </c>
      <c r="IC38883" s="4" t="s">
        <v>1859</v>
      </c>
      <c r="ID38883" s="4" t="s">
        <v>11</v>
      </c>
      <c r="IE38883" s="4" t="s">
        <v>11</v>
      </c>
      <c r="IF38883" s="4" t="s">
        <v>15</v>
      </c>
      <c r="IG38883" s="4" t="s">
        <v>8</v>
      </c>
      <c r="IH38883" s="4" t="s">
        <v>1859</v>
      </c>
      <c r="II38883" s="4" t="s">
        <v>11</v>
      </c>
      <c r="IJ38883" s="4" t="s">
        <v>11</v>
      </c>
      <c r="IK38883" s="4" t="s">
        <v>15</v>
      </c>
      <c r="IL38883" s="4" t="s">
        <v>8</v>
      </c>
      <c r="IM38883" s="4" t="s">
        <v>1859</v>
      </c>
      <c r="IN38883" s="4" t="s">
        <v>11</v>
      </c>
      <c r="IO38883" s="4" t="s">
        <v>11</v>
      </c>
      <c r="IP38883" s="4" t="s">
        <v>15</v>
      </c>
      <c r="IQ38883" s="4" t="s">
        <v>8</v>
      </c>
      <c r="IR38883" s="4" t="s">
        <v>1859</v>
      </c>
      <c r="IS38883" s="4" t="s">
        <v>11</v>
      </c>
      <c r="IT38883" s="4" t="s">
        <v>11</v>
      </c>
      <c r="IU38883" s="4" t="s">
        <v>15</v>
      </c>
      <c r="IV38883" s="4" t="s">
        <v>8</v>
      </c>
      <c r="IW38883" s="4" t="s">
        <v>1859</v>
      </c>
      <c r="IX38883" s="4" t="s">
        <v>11</v>
      </c>
      <c r="IY38883" s="4" t="s">
        <v>11</v>
      </c>
      <c r="IZ38883" s="4" t="s">
        <v>15</v>
      </c>
      <c r="JA38883" s="4" t="s">
        <v>8</v>
      </c>
      <c r="JB38883" s="4" t="s">
        <v>1859</v>
      </c>
      <c r="JC38883" s="4" t="s">
        <v>11</v>
      </c>
      <c r="JD38883" s="4" t="s">
        <v>11</v>
      </c>
      <c r="JE38883" s="4" t="s">
        <v>15</v>
      </c>
      <c r="JF38883" s="4" t="s">
        <v>8</v>
      </c>
      <c r="JG38883" s="4" t="s">
        <v>1859</v>
      </c>
      <c r="JH38883" s="4" t="s">
        <v>11</v>
      </c>
      <c r="JI38883" s="4" t="s">
        <v>11</v>
      </c>
      <c r="JJ38883" s="4" t="s">
        <v>15</v>
      </c>
      <c r="JK38883" s="4" t="s">
        <v>8</v>
      </c>
      <c r="JL38883" s="4" t="s">
        <v>1859</v>
      </c>
      <c r="JM38883" s="4" t="s">
        <v>11</v>
      </c>
      <c r="JN38883" s="4" t="s">
        <v>11</v>
      </c>
      <c r="JO38883" s="4" t="s">
        <v>15</v>
      </c>
      <c r="JP38883" s="4" t="s">
        <v>8</v>
      </c>
      <c r="JQ38883" s="4" t="s">
        <v>1859</v>
      </c>
      <c r="JR38883" s="4" t="s">
        <v>11</v>
      </c>
      <c r="JS38883" s="4" t="s">
        <v>11</v>
      </c>
      <c r="JT38883" s="4" t="s">
        <v>15</v>
      </c>
      <c r="JU38883" s="4" t="s">
        <v>8</v>
      </c>
      <c r="JV38883" s="4" t="s">
        <v>1859</v>
      </c>
      <c r="JW38883" s="4" t="s">
        <v>11</v>
      </c>
      <c r="JX38883" s="4" t="s">
        <v>11</v>
      </c>
      <c r="JY38883" s="4" t="s">
        <v>15</v>
      </c>
      <c r="JZ38883" s="4" t="s">
        <v>8</v>
      </c>
      <c r="KA38883" s="4" t="s">
        <v>1859</v>
      </c>
      <c r="KB38883" s="4" t="s">
        <v>11</v>
      </c>
      <c r="KC38883" s="4" t="s">
        <v>11</v>
      </c>
      <c r="KD38883" s="4" t="s">
        <v>15</v>
      </c>
      <c r="KE38883" s="4" t="s">
        <v>8</v>
      </c>
      <c r="KF38883" s="4" t="s">
        <v>1859</v>
      </c>
      <c r="KG38883" s="4" t="s">
        <v>11</v>
      </c>
      <c r="KH38883" s="4" t="s">
        <v>11</v>
      </c>
      <c r="KI38883" s="4" t="s">
        <v>15</v>
      </c>
      <c r="KJ38883" s="4" t="s">
        <v>8</v>
      </c>
      <c r="KK38883" s="4" t="s">
        <v>1859</v>
      </c>
      <c r="KL38883" s="4" t="s">
        <v>11</v>
      </c>
      <c r="KM38883" s="4" t="s">
        <v>11</v>
      </c>
      <c r="KN38883" s="4" t="s">
        <v>15</v>
      </c>
      <c r="KO38883" s="4" t="s">
        <v>8</v>
      </c>
      <c r="KP38883" s="4" t="s">
        <v>1859</v>
      </c>
      <c r="KQ38883" s="4" t="s">
        <v>11</v>
      </c>
      <c r="KR38883" s="4" t="s">
        <v>11</v>
      </c>
      <c r="KS38883" s="4" t="s">
        <v>15</v>
      </c>
      <c r="KT38883" s="4" t="s">
        <v>8</v>
      </c>
      <c r="KU38883" s="4" t="s">
        <v>1859</v>
      </c>
    </row>
    <row r="38884" spans="1:352">
      <c r="A38884" t="n">
        <v>434608</v>
      </c>
      <c r="B38884" s="85" t="n">
        <v>257</v>
      </c>
      <c r="C38884" s="7" t="n">
        <v>7</v>
      </c>
      <c r="D38884" s="7" t="n">
        <v>65533</v>
      </c>
      <c r="E38884" s="7" t="n">
        <v>64642</v>
      </c>
      <c r="F38884" s="7" t="s">
        <v>16</v>
      </c>
      <c r="G38884" s="7" t="n">
        <f t="normal" ca="1">32-LENB(INDIRECT(ADDRESS(38884,6)))</f>
        <v>0</v>
      </c>
      <c r="H38884" s="7" t="n">
        <v>7</v>
      </c>
      <c r="I38884" s="7" t="n">
        <v>65533</v>
      </c>
      <c r="J38884" s="7" t="n">
        <v>64643</v>
      </c>
      <c r="K38884" s="7" t="s">
        <v>16</v>
      </c>
      <c r="L38884" s="7" t="n">
        <f t="normal" ca="1">32-LENB(INDIRECT(ADDRESS(38884,11)))</f>
        <v>0</v>
      </c>
      <c r="M38884" s="7" t="n">
        <v>7</v>
      </c>
      <c r="N38884" s="7" t="n">
        <v>65533</v>
      </c>
      <c r="O38884" s="7" t="n">
        <v>64644</v>
      </c>
      <c r="P38884" s="7" t="s">
        <v>16</v>
      </c>
      <c r="Q38884" s="7" t="n">
        <f t="normal" ca="1">32-LENB(INDIRECT(ADDRESS(38884,16)))</f>
        <v>0</v>
      </c>
      <c r="R38884" s="7" t="n">
        <v>7</v>
      </c>
      <c r="S38884" s="7" t="n">
        <v>65533</v>
      </c>
      <c r="T38884" s="7" t="n">
        <v>64645</v>
      </c>
      <c r="U38884" s="7" t="s">
        <v>16</v>
      </c>
      <c r="V38884" s="7" t="n">
        <f t="normal" ca="1">32-LENB(INDIRECT(ADDRESS(38884,21)))</f>
        <v>0</v>
      </c>
      <c r="W38884" s="7" t="n">
        <v>7</v>
      </c>
      <c r="X38884" s="7" t="n">
        <v>65533</v>
      </c>
      <c r="Y38884" s="7" t="n">
        <v>64646</v>
      </c>
      <c r="Z38884" s="7" t="s">
        <v>16</v>
      </c>
      <c r="AA38884" s="7" t="n">
        <f t="normal" ca="1">32-LENB(INDIRECT(ADDRESS(38884,26)))</f>
        <v>0</v>
      </c>
      <c r="AB38884" s="7" t="n">
        <v>7</v>
      </c>
      <c r="AC38884" s="7" t="n">
        <v>65533</v>
      </c>
      <c r="AD38884" s="7" t="n">
        <v>64647</v>
      </c>
      <c r="AE38884" s="7" t="s">
        <v>16</v>
      </c>
      <c r="AF38884" s="7" t="n">
        <f t="normal" ca="1">32-LENB(INDIRECT(ADDRESS(38884,31)))</f>
        <v>0</v>
      </c>
      <c r="AG38884" s="7" t="n">
        <v>7</v>
      </c>
      <c r="AH38884" s="7" t="n">
        <v>65533</v>
      </c>
      <c r="AI38884" s="7" t="n">
        <v>64648</v>
      </c>
      <c r="AJ38884" s="7" t="s">
        <v>16</v>
      </c>
      <c r="AK38884" s="7" t="n">
        <f t="normal" ca="1">32-LENB(INDIRECT(ADDRESS(38884,36)))</f>
        <v>0</v>
      </c>
      <c r="AL38884" s="7" t="n">
        <v>7</v>
      </c>
      <c r="AM38884" s="7" t="n">
        <v>65533</v>
      </c>
      <c r="AN38884" s="7" t="n">
        <v>64649</v>
      </c>
      <c r="AO38884" s="7" t="s">
        <v>16</v>
      </c>
      <c r="AP38884" s="7" t="n">
        <f t="normal" ca="1">32-LENB(INDIRECT(ADDRESS(38884,41)))</f>
        <v>0</v>
      </c>
      <c r="AQ38884" s="7" t="n">
        <v>7</v>
      </c>
      <c r="AR38884" s="7" t="n">
        <v>65533</v>
      </c>
      <c r="AS38884" s="7" t="n">
        <v>64650</v>
      </c>
      <c r="AT38884" s="7" t="s">
        <v>16</v>
      </c>
      <c r="AU38884" s="7" t="n">
        <f t="normal" ca="1">32-LENB(INDIRECT(ADDRESS(38884,46)))</f>
        <v>0</v>
      </c>
      <c r="AV38884" s="7" t="n">
        <v>7</v>
      </c>
      <c r="AW38884" s="7" t="n">
        <v>65533</v>
      </c>
      <c r="AX38884" s="7" t="n">
        <v>65282</v>
      </c>
      <c r="AY38884" s="7" t="s">
        <v>16</v>
      </c>
      <c r="AZ38884" s="7" t="n">
        <f t="normal" ca="1">32-LENB(INDIRECT(ADDRESS(38884,51)))</f>
        <v>0</v>
      </c>
      <c r="BA38884" s="7" t="n">
        <v>4</v>
      </c>
      <c r="BB38884" s="7" t="n">
        <v>65533</v>
      </c>
      <c r="BC38884" s="7" t="n">
        <v>2000</v>
      </c>
      <c r="BD38884" s="7" t="s">
        <v>16</v>
      </c>
      <c r="BE38884" s="7" t="n">
        <f t="normal" ca="1">32-LENB(INDIRECT(ADDRESS(38884,56)))</f>
        <v>0</v>
      </c>
      <c r="BF38884" s="7" t="n">
        <v>4</v>
      </c>
      <c r="BG38884" s="7" t="n">
        <v>65533</v>
      </c>
      <c r="BH38884" s="7" t="n">
        <v>2000</v>
      </c>
      <c r="BI38884" s="7" t="s">
        <v>16</v>
      </c>
      <c r="BJ38884" s="7" t="n">
        <f t="normal" ca="1">32-LENB(INDIRECT(ADDRESS(38884,61)))</f>
        <v>0</v>
      </c>
      <c r="BK38884" s="7" t="n">
        <v>7</v>
      </c>
      <c r="BL38884" s="7" t="n">
        <v>65533</v>
      </c>
      <c r="BM38884" s="7" t="n">
        <v>64651</v>
      </c>
      <c r="BN38884" s="7" t="s">
        <v>16</v>
      </c>
      <c r="BO38884" s="7" t="n">
        <f t="normal" ca="1">32-LENB(INDIRECT(ADDRESS(38884,66)))</f>
        <v>0</v>
      </c>
      <c r="BP38884" s="7" t="n">
        <v>7</v>
      </c>
      <c r="BQ38884" s="7" t="n">
        <v>65533</v>
      </c>
      <c r="BR38884" s="7" t="n">
        <v>64652</v>
      </c>
      <c r="BS38884" s="7" t="s">
        <v>16</v>
      </c>
      <c r="BT38884" s="7" t="n">
        <f t="normal" ca="1">32-LENB(INDIRECT(ADDRESS(38884,71)))</f>
        <v>0</v>
      </c>
      <c r="BU38884" s="7" t="n">
        <v>7</v>
      </c>
      <c r="BV38884" s="7" t="n">
        <v>65533</v>
      </c>
      <c r="BW38884" s="7" t="n">
        <v>64653</v>
      </c>
      <c r="BX38884" s="7" t="s">
        <v>16</v>
      </c>
      <c r="BY38884" s="7" t="n">
        <f t="normal" ca="1">32-LENB(INDIRECT(ADDRESS(38884,76)))</f>
        <v>0</v>
      </c>
      <c r="BZ38884" s="7" t="n">
        <v>7</v>
      </c>
      <c r="CA38884" s="7" t="n">
        <v>65533</v>
      </c>
      <c r="CB38884" s="7" t="n">
        <v>64654</v>
      </c>
      <c r="CC38884" s="7" t="s">
        <v>16</v>
      </c>
      <c r="CD38884" s="7" t="n">
        <f t="normal" ca="1">32-LENB(INDIRECT(ADDRESS(38884,81)))</f>
        <v>0</v>
      </c>
      <c r="CE38884" s="7" t="n">
        <v>7</v>
      </c>
      <c r="CF38884" s="7" t="n">
        <v>65533</v>
      </c>
      <c r="CG38884" s="7" t="n">
        <v>64655</v>
      </c>
      <c r="CH38884" s="7" t="s">
        <v>16</v>
      </c>
      <c r="CI38884" s="7" t="n">
        <f t="normal" ca="1">32-LENB(INDIRECT(ADDRESS(38884,86)))</f>
        <v>0</v>
      </c>
      <c r="CJ38884" s="7" t="n">
        <v>7</v>
      </c>
      <c r="CK38884" s="7" t="n">
        <v>65533</v>
      </c>
      <c r="CL38884" s="7" t="n">
        <v>64656</v>
      </c>
      <c r="CM38884" s="7" t="s">
        <v>16</v>
      </c>
      <c r="CN38884" s="7" t="n">
        <f t="normal" ca="1">32-LENB(INDIRECT(ADDRESS(38884,91)))</f>
        <v>0</v>
      </c>
      <c r="CO38884" s="7" t="n">
        <v>7</v>
      </c>
      <c r="CP38884" s="7" t="n">
        <v>65533</v>
      </c>
      <c r="CQ38884" s="7" t="n">
        <v>65283</v>
      </c>
      <c r="CR38884" s="7" t="s">
        <v>16</v>
      </c>
      <c r="CS38884" s="7" t="n">
        <f t="normal" ca="1">32-LENB(INDIRECT(ADDRESS(38884,96)))</f>
        <v>0</v>
      </c>
      <c r="CT38884" s="7" t="n">
        <v>7</v>
      </c>
      <c r="CU38884" s="7" t="n">
        <v>65533</v>
      </c>
      <c r="CV38884" s="7" t="n">
        <v>65284</v>
      </c>
      <c r="CW38884" s="7" t="s">
        <v>16</v>
      </c>
      <c r="CX38884" s="7" t="n">
        <f t="normal" ca="1">32-LENB(INDIRECT(ADDRESS(38884,101)))</f>
        <v>0</v>
      </c>
      <c r="CY38884" s="7" t="n">
        <v>7</v>
      </c>
      <c r="CZ38884" s="7" t="n">
        <v>65533</v>
      </c>
      <c r="DA38884" s="7" t="n">
        <v>64566</v>
      </c>
      <c r="DB38884" s="7" t="s">
        <v>16</v>
      </c>
      <c r="DC38884" s="7" t="n">
        <f t="normal" ca="1">32-LENB(INDIRECT(ADDRESS(38884,106)))</f>
        <v>0</v>
      </c>
      <c r="DD38884" s="7" t="n">
        <v>7</v>
      </c>
      <c r="DE38884" s="7" t="n">
        <v>65533</v>
      </c>
      <c r="DF38884" s="7" t="n">
        <v>64657</v>
      </c>
      <c r="DG38884" s="7" t="s">
        <v>16</v>
      </c>
      <c r="DH38884" s="7" t="n">
        <f t="normal" ca="1">32-LENB(INDIRECT(ADDRESS(38884,111)))</f>
        <v>0</v>
      </c>
      <c r="DI38884" s="7" t="n">
        <v>7</v>
      </c>
      <c r="DJ38884" s="7" t="n">
        <v>65533</v>
      </c>
      <c r="DK38884" s="7" t="n">
        <v>64658</v>
      </c>
      <c r="DL38884" s="7" t="s">
        <v>16</v>
      </c>
      <c r="DM38884" s="7" t="n">
        <f t="normal" ca="1">32-LENB(INDIRECT(ADDRESS(38884,116)))</f>
        <v>0</v>
      </c>
      <c r="DN38884" s="7" t="n">
        <v>4</v>
      </c>
      <c r="DO38884" s="7" t="n">
        <v>65533</v>
      </c>
      <c r="DP38884" s="7" t="n">
        <v>12010</v>
      </c>
      <c r="DQ38884" s="7" t="s">
        <v>16</v>
      </c>
      <c r="DR38884" s="7" t="n">
        <f t="normal" ca="1">32-LENB(INDIRECT(ADDRESS(38884,121)))</f>
        <v>0</v>
      </c>
      <c r="DS38884" s="7" t="n">
        <v>7</v>
      </c>
      <c r="DT38884" s="7" t="n">
        <v>65533</v>
      </c>
      <c r="DU38884" s="7" t="n">
        <v>64659</v>
      </c>
      <c r="DV38884" s="7" t="s">
        <v>16</v>
      </c>
      <c r="DW38884" s="7" t="n">
        <f t="normal" ca="1">32-LENB(INDIRECT(ADDRESS(38884,126)))</f>
        <v>0</v>
      </c>
      <c r="DX38884" s="7" t="n">
        <v>7</v>
      </c>
      <c r="DY38884" s="7" t="n">
        <v>65533</v>
      </c>
      <c r="DZ38884" s="7" t="n">
        <v>64660</v>
      </c>
      <c r="EA38884" s="7" t="s">
        <v>16</v>
      </c>
      <c r="EB38884" s="7" t="n">
        <f t="normal" ca="1">32-LENB(INDIRECT(ADDRESS(38884,131)))</f>
        <v>0</v>
      </c>
      <c r="EC38884" s="7" t="n">
        <v>7</v>
      </c>
      <c r="ED38884" s="7" t="n">
        <v>65533</v>
      </c>
      <c r="EE38884" s="7" t="n">
        <v>64661</v>
      </c>
      <c r="EF38884" s="7" t="s">
        <v>16</v>
      </c>
      <c r="EG38884" s="7" t="n">
        <f t="normal" ca="1">32-LENB(INDIRECT(ADDRESS(38884,136)))</f>
        <v>0</v>
      </c>
      <c r="EH38884" s="7" t="n">
        <v>7</v>
      </c>
      <c r="EI38884" s="7" t="n">
        <v>65533</v>
      </c>
      <c r="EJ38884" s="7" t="n">
        <v>64662</v>
      </c>
      <c r="EK38884" s="7" t="s">
        <v>16</v>
      </c>
      <c r="EL38884" s="7" t="n">
        <f t="normal" ca="1">32-LENB(INDIRECT(ADDRESS(38884,141)))</f>
        <v>0</v>
      </c>
      <c r="EM38884" s="7" t="n">
        <v>7</v>
      </c>
      <c r="EN38884" s="7" t="n">
        <v>65533</v>
      </c>
      <c r="EO38884" s="7" t="n">
        <v>64663</v>
      </c>
      <c r="EP38884" s="7" t="s">
        <v>16</v>
      </c>
      <c r="EQ38884" s="7" t="n">
        <f t="normal" ca="1">32-LENB(INDIRECT(ADDRESS(38884,146)))</f>
        <v>0</v>
      </c>
      <c r="ER38884" s="7" t="n">
        <v>7</v>
      </c>
      <c r="ES38884" s="7" t="n">
        <v>65533</v>
      </c>
      <c r="ET38884" s="7" t="n">
        <v>64664</v>
      </c>
      <c r="EU38884" s="7" t="s">
        <v>16</v>
      </c>
      <c r="EV38884" s="7" t="n">
        <f t="normal" ca="1">32-LENB(INDIRECT(ADDRESS(38884,151)))</f>
        <v>0</v>
      </c>
      <c r="EW38884" s="7" t="n">
        <v>7</v>
      </c>
      <c r="EX38884" s="7" t="n">
        <v>65533</v>
      </c>
      <c r="EY38884" s="7" t="n">
        <v>64665</v>
      </c>
      <c r="EZ38884" s="7" t="s">
        <v>16</v>
      </c>
      <c r="FA38884" s="7" t="n">
        <f t="normal" ca="1">32-LENB(INDIRECT(ADDRESS(38884,156)))</f>
        <v>0</v>
      </c>
      <c r="FB38884" s="7" t="n">
        <v>4</v>
      </c>
      <c r="FC38884" s="7" t="n">
        <v>65533</v>
      </c>
      <c r="FD38884" s="7" t="n">
        <v>2004</v>
      </c>
      <c r="FE38884" s="7" t="s">
        <v>16</v>
      </c>
      <c r="FF38884" s="7" t="n">
        <f t="normal" ca="1">32-LENB(INDIRECT(ADDRESS(38884,161)))</f>
        <v>0</v>
      </c>
      <c r="FG38884" s="7" t="n">
        <v>7</v>
      </c>
      <c r="FH38884" s="7" t="n">
        <v>65533</v>
      </c>
      <c r="FI38884" s="7" t="n">
        <v>64666</v>
      </c>
      <c r="FJ38884" s="7" t="s">
        <v>16</v>
      </c>
      <c r="FK38884" s="7" t="n">
        <f t="normal" ca="1">32-LENB(INDIRECT(ADDRESS(38884,166)))</f>
        <v>0</v>
      </c>
      <c r="FL38884" s="7" t="n">
        <v>7</v>
      </c>
      <c r="FM38884" s="7" t="n">
        <v>65533</v>
      </c>
      <c r="FN38884" s="7" t="n">
        <v>64667</v>
      </c>
      <c r="FO38884" s="7" t="s">
        <v>16</v>
      </c>
      <c r="FP38884" s="7" t="n">
        <f t="normal" ca="1">32-LENB(INDIRECT(ADDRESS(38884,171)))</f>
        <v>0</v>
      </c>
      <c r="FQ38884" s="7" t="n">
        <v>7</v>
      </c>
      <c r="FR38884" s="7" t="n">
        <v>65533</v>
      </c>
      <c r="FS38884" s="7" t="n">
        <v>64668</v>
      </c>
      <c r="FT38884" s="7" t="s">
        <v>16</v>
      </c>
      <c r="FU38884" s="7" t="n">
        <f t="normal" ca="1">32-LENB(INDIRECT(ADDRESS(38884,176)))</f>
        <v>0</v>
      </c>
      <c r="FV38884" s="7" t="n">
        <v>7</v>
      </c>
      <c r="FW38884" s="7" t="n">
        <v>65533</v>
      </c>
      <c r="FX38884" s="7" t="n">
        <v>65286</v>
      </c>
      <c r="FY38884" s="7" t="s">
        <v>16</v>
      </c>
      <c r="FZ38884" s="7" t="n">
        <f t="normal" ca="1">32-LENB(INDIRECT(ADDRESS(38884,181)))</f>
        <v>0</v>
      </c>
      <c r="GA38884" s="7" t="n">
        <v>7</v>
      </c>
      <c r="GB38884" s="7" t="n">
        <v>65533</v>
      </c>
      <c r="GC38884" s="7" t="n">
        <v>64669</v>
      </c>
      <c r="GD38884" s="7" t="s">
        <v>16</v>
      </c>
      <c r="GE38884" s="7" t="n">
        <f t="normal" ca="1">32-LENB(INDIRECT(ADDRESS(38884,186)))</f>
        <v>0</v>
      </c>
      <c r="GF38884" s="7" t="n">
        <v>7</v>
      </c>
      <c r="GG38884" s="7" t="n">
        <v>65533</v>
      </c>
      <c r="GH38884" s="7" t="n">
        <v>64670</v>
      </c>
      <c r="GI38884" s="7" t="s">
        <v>16</v>
      </c>
      <c r="GJ38884" s="7" t="n">
        <f t="normal" ca="1">32-LENB(INDIRECT(ADDRESS(38884,191)))</f>
        <v>0</v>
      </c>
      <c r="GK38884" s="7" t="n">
        <v>7</v>
      </c>
      <c r="GL38884" s="7" t="n">
        <v>65533</v>
      </c>
      <c r="GM38884" s="7" t="n">
        <v>64671</v>
      </c>
      <c r="GN38884" s="7" t="s">
        <v>16</v>
      </c>
      <c r="GO38884" s="7" t="n">
        <f t="normal" ca="1">32-LENB(INDIRECT(ADDRESS(38884,196)))</f>
        <v>0</v>
      </c>
      <c r="GP38884" s="7" t="n">
        <v>7</v>
      </c>
      <c r="GQ38884" s="7" t="n">
        <v>65533</v>
      </c>
      <c r="GR38884" s="7" t="n">
        <v>64672</v>
      </c>
      <c r="GS38884" s="7" t="s">
        <v>16</v>
      </c>
      <c r="GT38884" s="7" t="n">
        <f t="normal" ca="1">32-LENB(INDIRECT(ADDRESS(38884,201)))</f>
        <v>0</v>
      </c>
      <c r="GU38884" s="7" t="n">
        <v>7</v>
      </c>
      <c r="GV38884" s="7" t="n">
        <v>65533</v>
      </c>
      <c r="GW38884" s="7" t="n">
        <v>64418</v>
      </c>
      <c r="GX38884" s="7" t="s">
        <v>16</v>
      </c>
      <c r="GY38884" s="7" t="n">
        <f t="normal" ca="1">32-LENB(INDIRECT(ADDRESS(38884,206)))</f>
        <v>0</v>
      </c>
      <c r="GZ38884" s="7" t="n">
        <v>7</v>
      </c>
      <c r="HA38884" s="7" t="n">
        <v>65533</v>
      </c>
      <c r="HB38884" s="7" t="n">
        <v>65288</v>
      </c>
      <c r="HC38884" s="7" t="s">
        <v>16</v>
      </c>
      <c r="HD38884" s="7" t="n">
        <f t="normal" ca="1">32-LENB(INDIRECT(ADDRESS(38884,211)))</f>
        <v>0</v>
      </c>
      <c r="HE38884" s="7" t="n">
        <v>7</v>
      </c>
      <c r="HF38884" s="7" t="n">
        <v>65533</v>
      </c>
      <c r="HG38884" s="7" t="n">
        <v>64673</v>
      </c>
      <c r="HH38884" s="7" t="s">
        <v>16</v>
      </c>
      <c r="HI38884" s="7" t="n">
        <f t="normal" ca="1">32-LENB(INDIRECT(ADDRESS(38884,216)))</f>
        <v>0</v>
      </c>
      <c r="HJ38884" s="7" t="n">
        <v>7</v>
      </c>
      <c r="HK38884" s="7" t="n">
        <v>65533</v>
      </c>
      <c r="HL38884" s="7" t="n">
        <v>64674</v>
      </c>
      <c r="HM38884" s="7" t="s">
        <v>16</v>
      </c>
      <c r="HN38884" s="7" t="n">
        <f t="normal" ca="1">32-LENB(INDIRECT(ADDRESS(38884,221)))</f>
        <v>0</v>
      </c>
      <c r="HO38884" s="7" t="n">
        <v>7</v>
      </c>
      <c r="HP38884" s="7" t="n">
        <v>65533</v>
      </c>
      <c r="HQ38884" s="7" t="n">
        <v>64336</v>
      </c>
      <c r="HR38884" s="7" t="s">
        <v>16</v>
      </c>
      <c r="HS38884" s="7" t="n">
        <f t="normal" ca="1">32-LENB(INDIRECT(ADDRESS(38884,226)))</f>
        <v>0</v>
      </c>
      <c r="HT38884" s="7" t="n">
        <v>7</v>
      </c>
      <c r="HU38884" s="7" t="n">
        <v>65533</v>
      </c>
      <c r="HV38884" s="7" t="n">
        <v>64675</v>
      </c>
      <c r="HW38884" s="7" t="s">
        <v>16</v>
      </c>
      <c r="HX38884" s="7" t="n">
        <f t="normal" ca="1">32-LENB(INDIRECT(ADDRESS(38884,231)))</f>
        <v>0</v>
      </c>
      <c r="HY38884" s="7" t="n">
        <v>7</v>
      </c>
      <c r="HZ38884" s="7" t="n">
        <v>65533</v>
      </c>
      <c r="IA38884" s="7" t="n">
        <v>64676</v>
      </c>
      <c r="IB38884" s="7" t="s">
        <v>16</v>
      </c>
      <c r="IC38884" s="7" t="n">
        <f t="normal" ca="1">32-LENB(INDIRECT(ADDRESS(38884,236)))</f>
        <v>0</v>
      </c>
      <c r="ID38884" s="7" t="n">
        <v>7</v>
      </c>
      <c r="IE38884" s="7" t="n">
        <v>65533</v>
      </c>
      <c r="IF38884" s="7" t="n">
        <v>64677</v>
      </c>
      <c r="IG38884" s="7" t="s">
        <v>16</v>
      </c>
      <c r="IH38884" s="7" t="n">
        <f t="normal" ca="1">32-LENB(INDIRECT(ADDRESS(38884,241)))</f>
        <v>0</v>
      </c>
      <c r="II38884" s="7" t="n">
        <v>7</v>
      </c>
      <c r="IJ38884" s="7" t="n">
        <v>65533</v>
      </c>
      <c r="IK38884" s="7" t="n">
        <v>64678</v>
      </c>
      <c r="IL38884" s="7" t="s">
        <v>16</v>
      </c>
      <c r="IM38884" s="7" t="n">
        <f t="normal" ca="1">32-LENB(INDIRECT(ADDRESS(38884,246)))</f>
        <v>0</v>
      </c>
      <c r="IN38884" s="7" t="n">
        <v>7</v>
      </c>
      <c r="IO38884" s="7" t="n">
        <v>65533</v>
      </c>
      <c r="IP38884" s="7" t="n">
        <v>64679</v>
      </c>
      <c r="IQ38884" s="7" t="s">
        <v>16</v>
      </c>
      <c r="IR38884" s="7" t="n">
        <f t="normal" ca="1">32-LENB(INDIRECT(ADDRESS(38884,251)))</f>
        <v>0</v>
      </c>
      <c r="IS38884" s="7" t="n">
        <v>4</v>
      </c>
      <c r="IT38884" s="7" t="n">
        <v>65533</v>
      </c>
      <c r="IU38884" s="7" t="n">
        <v>2004</v>
      </c>
      <c r="IV38884" s="7" t="s">
        <v>16</v>
      </c>
      <c r="IW38884" s="7" t="n">
        <f t="normal" ca="1">32-LENB(INDIRECT(ADDRESS(38884,256)))</f>
        <v>0</v>
      </c>
      <c r="IX38884" s="7" t="n">
        <v>7</v>
      </c>
      <c r="IY38884" s="7" t="n">
        <v>65533</v>
      </c>
      <c r="IZ38884" s="7" t="n">
        <v>64680</v>
      </c>
      <c r="JA38884" s="7" t="s">
        <v>16</v>
      </c>
      <c r="JB38884" s="7" t="n">
        <f t="normal" ca="1">32-LENB(INDIRECT(ADDRESS(38884,261)))</f>
        <v>0</v>
      </c>
      <c r="JC38884" s="7" t="n">
        <v>7</v>
      </c>
      <c r="JD38884" s="7" t="n">
        <v>65533</v>
      </c>
      <c r="JE38884" s="7" t="n">
        <v>64681</v>
      </c>
      <c r="JF38884" s="7" t="s">
        <v>16</v>
      </c>
      <c r="JG38884" s="7" t="n">
        <f t="normal" ca="1">32-LENB(INDIRECT(ADDRESS(38884,266)))</f>
        <v>0</v>
      </c>
      <c r="JH38884" s="7" t="n">
        <v>7</v>
      </c>
      <c r="JI38884" s="7" t="n">
        <v>65533</v>
      </c>
      <c r="JJ38884" s="7" t="n">
        <v>64682</v>
      </c>
      <c r="JK38884" s="7" t="s">
        <v>16</v>
      </c>
      <c r="JL38884" s="7" t="n">
        <f t="normal" ca="1">32-LENB(INDIRECT(ADDRESS(38884,271)))</f>
        <v>0</v>
      </c>
      <c r="JM38884" s="7" t="n">
        <v>7</v>
      </c>
      <c r="JN38884" s="7" t="n">
        <v>65533</v>
      </c>
      <c r="JO38884" s="7" t="n">
        <v>64683</v>
      </c>
      <c r="JP38884" s="7" t="s">
        <v>16</v>
      </c>
      <c r="JQ38884" s="7" t="n">
        <f t="normal" ca="1">32-LENB(INDIRECT(ADDRESS(38884,276)))</f>
        <v>0</v>
      </c>
      <c r="JR38884" s="7" t="n">
        <v>7</v>
      </c>
      <c r="JS38884" s="7" t="n">
        <v>65533</v>
      </c>
      <c r="JT38884" s="7" t="n">
        <v>64684</v>
      </c>
      <c r="JU38884" s="7" t="s">
        <v>16</v>
      </c>
      <c r="JV38884" s="7" t="n">
        <f t="normal" ca="1">32-LENB(INDIRECT(ADDRESS(38884,281)))</f>
        <v>0</v>
      </c>
      <c r="JW38884" s="7" t="n">
        <v>7</v>
      </c>
      <c r="JX38884" s="7" t="n">
        <v>65533</v>
      </c>
      <c r="JY38884" s="7" t="n">
        <v>64685</v>
      </c>
      <c r="JZ38884" s="7" t="s">
        <v>16</v>
      </c>
      <c r="KA38884" s="7" t="n">
        <f t="normal" ca="1">32-LENB(INDIRECT(ADDRESS(38884,286)))</f>
        <v>0</v>
      </c>
      <c r="KB38884" s="7" t="n">
        <v>7</v>
      </c>
      <c r="KC38884" s="7" t="n">
        <v>65533</v>
      </c>
      <c r="KD38884" s="7" t="n">
        <v>64686</v>
      </c>
      <c r="KE38884" s="7" t="s">
        <v>16</v>
      </c>
      <c r="KF38884" s="7" t="n">
        <f t="normal" ca="1">32-LENB(INDIRECT(ADDRESS(38884,291)))</f>
        <v>0</v>
      </c>
      <c r="KG38884" s="7" t="n">
        <v>7</v>
      </c>
      <c r="KH38884" s="7" t="n">
        <v>65533</v>
      </c>
      <c r="KI38884" s="7" t="n">
        <v>64687</v>
      </c>
      <c r="KJ38884" s="7" t="s">
        <v>16</v>
      </c>
      <c r="KK38884" s="7" t="n">
        <f t="normal" ca="1">32-LENB(INDIRECT(ADDRESS(38884,296)))</f>
        <v>0</v>
      </c>
      <c r="KL38884" s="7" t="n">
        <v>7</v>
      </c>
      <c r="KM38884" s="7" t="n">
        <v>65533</v>
      </c>
      <c r="KN38884" s="7" t="n">
        <v>64688</v>
      </c>
      <c r="KO38884" s="7" t="s">
        <v>16</v>
      </c>
      <c r="KP38884" s="7" t="n">
        <f t="normal" ca="1">32-LENB(INDIRECT(ADDRESS(38884,301)))</f>
        <v>0</v>
      </c>
      <c r="KQ38884" s="7" t="n">
        <v>0</v>
      </c>
      <c r="KR38884" s="7" t="n">
        <v>65533</v>
      </c>
      <c r="KS38884" s="7" t="n">
        <v>0</v>
      </c>
      <c r="KT38884" s="7" t="s">
        <v>16</v>
      </c>
      <c r="KU38884" s="7" t="n">
        <f t="normal" ca="1">32-LENB(INDIRECT(ADDRESS(38884,306)))</f>
        <v>0</v>
      </c>
    </row>
    <row r="38885" spans="1:352">
      <c r="A38885" t="s">
        <v>4</v>
      </c>
      <c r="B38885" s="4" t="s">
        <v>5</v>
      </c>
    </row>
    <row r="38886" spans="1:352">
      <c r="A38886" t="n">
        <v>437048</v>
      </c>
      <c r="B38886" s="5" t="n">
        <v>1</v>
      </c>
    </row>
    <row r="38887" spans="1:352" s="3" customFormat="1" customHeight="0">
      <c r="A38887" s="3" t="s">
        <v>2</v>
      </c>
      <c r="B38887" s="3" t="s">
        <v>1886</v>
      </c>
    </row>
    <row r="38888" spans="1:352">
      <c r="A38888" t="s">
        <v>4</v>
      </c>
      <c r="B38888" s="4" t="s">
        <v>5</v>
      </c>
      <c r="C38888" s="4" t="s">
        <v>11</v>
      </c>
      <c r="D38888" s="4" t="s">
        <v>11</v>
      </c>
      <c r="E38888" s="4" t="s">
        <v>15</v>
      </c>
      <c r="F38888" s="4" t="s">
        <v>8</v>
      </c>
      <c r="G38888" s="4" t="s">
        <v>1859</v>
      </c>
      <c r="H38888" s="4" t="s">
        <v>11</v>
      </c>
      <c r="I38888" s="4" t="s">
        <v>11</v>
      </c>
      <c r="J38888" s="4" t="s">
        <v>15</v>
      </c>
      <c r="K38888" s="4" t="s">
        <v>8</v>
      </c>
      <c r="L38888" s="4" t="s">
        <v>1859</v>
      </c>
      <c r="M38888" s="4" t="s">
        <v>11</v>
      </c>
      <c r="N38888" s="4" t="s">
        <v>11</v>
      </c>
      <c r="O38888" s="4" t="s">
        <v>15</v>
      </c>
      <c r="P38888" s="4" t="s">
        <v>8</v>
      </c>
      <c r="Q38888" s="4" t="s">
        <v>1859</v>
      </c>
      <c r="R38888" s="4" t="s">
        <v>11</v>
      </c>
      <c r="S38888" s="4" t="s">
        <v>11</v>
      </c>
      <c r="T38888" s="4" t="s">
        <v>15</v>
      </c>
      <c r="U38888" s="4" t="s">
        <v>8</v>
      </c>
      <c r="V38888" s="4" t="s">
        <v>1859</v>
      </c>
      <c r="W38888" s="4" t="s">
        <v>11</v>
      </c>
      <c r="X38888" s="4" t="s">
        <v>11</v>
      </c>
      <c r="Y38888" s="4" t="s">
        <v>15</v>
      </c>
      <c r="Z38888" s="4" t="s">
        <v>8</v>
      </c>
      <c r="AA38888" s="4" t="s">
        <v>1859</v>
      </c>
      <c r="AB38888" s="4" t="s">
        <v>11</v>
      </c>
      <c r="AC38888" s="4" t="s">
        <v>11</v>
      </c>
      <c r="AD38888" s="4" t="s">
        <v>15</v>
      </c>
      <c r="AE38888" s="4" t="s">
        <v>8</v>
      </c>
      <c r="AF38888" s="4" t="s">
        <v>1859</v>
      </c>
      <c r="AG38888" s="4" t="s">
        <v>11</v>
      </c>
      <c r="AH38888" s="4" t="s">
        <v>11</v>
      </c>
      <c r="AI38888" s="4" t="s">
        <v>15</v>
      </c>
      <c r="AJ38888" s="4" t="s">
        <v>8</v>
      </c>
      <c r="AK38888" s="4" t="s">
        <v>1859</v>
      </c>
      <c r="AL38888" s="4" t="s">
        <v>11</v>
      </c>
      <c r="AM38888" s="4" t="s">
        <v>11</v>
      </c>
      <c r="AN38888" s="4" t="s">
        <v>15</v>
      </c>
      <c r="AO38888" s="4" t="s">
        <v>8</v>
      </c>
      <c r="AP38888" s="4" t="s">
        <v>1859</v>
      </c>
      <c r="AQ38888" s="4" t="s">
        <v>11</v>
      </c>
      <c r="AR38888" s="4" t="s">
        <v>11</v>
      </c>
      <c r="AS38888" s="4" t="s">
        <v>15</v>
      </c>
      <c r="AT38888" s="4" t="s">
        <v>8</v>
      </c>
      <c r="AU38888" s="4" t="s">
        <v>1859</v>
      </c>
      <c r="AV38888" s="4" t="s">
        <v>11</v>
      </c>
      <c r="AW38888" s="4" t="s">
        <v>11</v>
      </c>
      <c r="AX38888" s="4" t="s">
        <v>15</v>
      </c>
      <c r="AY38888" s="4" t="s">
        <v>8</v>
      </c>
      <c r="AZ38888" s="4" t="s">
        <v>1859</v>
      </c>
      <c r="BA38888" s="4" t="s">
        <v>11</v>
      </c>
      <c r="BB38888" s="4" t="s">
        <v>11</v>
      </c>
      <c r="BC38888" s="4" t="s">
        <v>15</v>
      </c>
      <c r="BD38888" s="4" t="s">
        <v>8</v>
      </c>
      <c r="BE38888" s="4" t="s">
        <v>1859</v>
      </c>
      <c r="BF38888" s="4" t="s">
        <v>11</v>
      </c>
      <c r="BG38888" s="4" t="s">
        <v>11</v>
      </c>
      <c r="BH38888" s="4" t="s">
        <v>15</v>
      </c>
      <c r="BI38888" s="4" t="s">
        <v>8</v>
      </c>
      <c r="BJ38888" s="4" t="s">
        <v>1859</v>
      </c>
      <c r="BK38888" s="4" t="s">
        <v>11</v>
      </c>
      <c r="BL38888" s="4" t="s">
        <v>11</v>
      </c>
      <c r="BM38888" s="4" t="s">
        <v>15</v>
      </c>
      <c r="BN38888" s="4" t="s">
        <v>8</v>
      </c>
      <c r="BO38888" s="4" t="s">
        <v>1859</v>
      </c>
      <c r="BP38888" s="4" t="s">
        <v>11</v>
      </c>
      <c r="BQ38888" s="4" t="s">
        <v>11</v>
      </c>
      <c r="BR38888" s="4" t="s">
        <v>15</v>
      </c>
      <c r="BS38888" s="4" t="s">
        <v>8</v>
      </c>
      <c r="BT38888" s="4" t="s">
        <v>1859</v>
      </c>
      <c r="BU38888" s="4" t="s">
        <v>11</v>
      </c>
      <c r="BV38888" s="4" t="s">
        <v>11</v>
      </c>
      <c r="BW38888" s="4" t="s">
        <v>15</v>
      </c>
      <c r="BX38888" s="4" t="s">
        <v>8</v>
      </c>
      <c r="BY38888" s="4" t="s">
        <v>1859</v>
      </c>
      <c r="BZ38888" s="4" t="s">
        <v>11</v>
      </c>
      <c r="CA38888" s="4" t="s">
        <v>11</v>
      </c>
      <c r="CB38888" s="4" t="s">
        <v>15</v>
      </c>
      <c r="CC38888" s="4" t="s">
        <v>8</v>
      </c>
      <c r="CD38888" s="4" t="s">
        <v>1859</v>
      </c>
      <c r="CE38888" s="4" t="s">
        <v>11</v>
      </c>
      <c r="CF38888" s="4" t="s">
        <v>11</v>
      </c>
      <c r="CG38888" s="4" t="s">
        <v>15</v>
      </c>
      <c r="CH38888" s="4" t="s">
        <v>8</v>
      </c>
      <c r="CI38888" s="4" t="s">
        <v>1859</v>
      </c>
      <c r="CJ38888" s="4" t="s">
        <v>11</v>
      </c>
      <c r="CK38888" s="4" t="s">
        <v>11</v>
      </c>
      <c r="CL38888" s="4" t="s">
        <v>15</v>
      </c>
      <c r="CM38888" s="4" t="s">
        <v>8</v>
      </c>
      <c r="CN38888" s="4" t="s">
        <v>1859</v>
      </c>
      <c r="CO38888" s="4" t="s">
        <v>11</v>
      </c>
      <c r="CP38888" s="4" t="s">
        <v>11</v>
      </c>
      <c r="CQ38888" s="4" t="s">
        <v>15</v>
      </c>
      <c r="CR38888" s="4" t="s">
        <v>8</v>
      </c>
      <c r="CS38888" s="4" t="s">
        <v>1859</v>
      </c>
      <c r="CT38888" s="4" t="s">
        <v>11</v>
      </c>
      <c r="CU38888" s="4" t="s">
        <v>11</v>
      </c>
      <c r="CV38888" s="4" t="s">
        <v>15</v>
      </c>
      <c r="CW38888" s="4" t="s">
        <v>8</v>
      </c>
      <c r="CX38888" s="4" t="s">
        <v>1859</v>
      </c>
      <c r="CY38888" s="4" t="s">
        <v>11</v>
      </c>
      <c r="CZ38888" s="4" t="s">
        <v>11</v>
      </c>
      <c r="DA38888" s="4" t="s">
        <v>15</v>
      </c>
      <c r="DB38888" s="4" t="s">
        <v>8</v>
      </c>
      <c r="DC38888" s="4" t="s">
        <v>1859</v>
      </c>
      <c r="DD38888" s="4" t="s">
        <v>11</v>
      </c>
      <c r="DE38888" s="4" t="s">
        <v>11</v>
      </c>
      <c r="DF38888" s="4" t="s">
        <v>15</v>
      </c>
      <c r="DG38888" s="4" t="s">
        <v>8</v>
      </c>
      <c r="DH38888" s="4" t="s">
        <v>1859</v>
      </c>
      <c r="DI38888" s="4" t="s">
        <v>11</v>
      </c>
      <c r="DJ38888" s="4" t="s">
        <v>11</v>
      </c>
      <c r="DK38888" s="4" t="s">
        <v>15</v>
      </c>
      <c r="DL38888" s="4" t="s">
        <v>8</v>
      </c>
      <c r="DM38888" s="4" t="s">
        <v>1859</v>
      </c>
      <c r="DN38888" s="4" t="s">
        <v>11</v>
      </c>
      <c r="DO38888" s="4" t="s">
        <v>11</v>
      </c>
      <c r="DP38888" s="4" t="s">
        <v>15</v>
      </c>
      <c r="DQ38888" s="4" t="s">
        <v>8</v>
      </c>
      <c r="DR38888" s="4" t="s">
        <v>1859</v>
      </c>
      <c r="DS38888" s="4" t="s">
        <v>11</v>
      </c>
      <c r="DT38888" s="4" t="s">
        <v>11</v>
      </c>
      <c r="DU38888" s="4" t="s">
        <v>15</v>
      </c>
      <c r="DV38888" s="4" t="s">
        <v>8</v>
      </c>
      <c r="DW38888" s="4" t="s">
        <v>1859</v>
      </c>
      <c r="DX38888" s="4" t="s">
        <v>11</v>
      </c>
      <c r="DY38888" s="4" t="s">
        <v>11</v>
      </c>
      <c r="DZ38888" s="4" t="s">
        <v>15</v>
      </c>
      <c r="EA38888" s="4" t="s">
        <v>8</v>
      </c>
      <c r="EB38888" s="4" t="s">
        <v>1859</v>
      </c>
      <c r="EC38888" s="4" t="s">
        <v>11</v>
      </c>
      <c r="ED38888" s="4" t="s">
        <v>11</v>
      </c>
      <c r="EE38888" s="4" t="s">
        <v>15</v>
      </c>
      <c r="EF38888" s="4" t="s">
        <v>8</v>
      </c>
      <c r="EG38888" s="4" t="s">
        <v>1859</v>
      </c>
      <c r="EH38888" s="4" t="s">
        <v>11</v>
      </c>
      <c r="EI38888" s="4" t="s">
        <v>11</v>
      </c>
      <c r="EJ38888" s="4" t="s">
        <v>15</v>
      </c>
      <c r="EK38888" s="4" t="s">
        <v>8</v>
      </c>
      <c r="EL38888" s="4" t="s">
        <v>1859</v>
      </c>
      <c r="EM38888" s="4" t="s">
        <v>11</v>
      </c>
      <c r="EN38888" s="4" t="s">
        <v>11</v>
      </c>
      <c r="EO38888" s="4" t="s">
        <v>15</v>
      </c>
      <c r="EP38888" s="4" t="s">
        <v>8</v>
      </c>
      <c r="EQ38888" s="4" t="s">
        <v>1859</v>
      </c>
      <c r="ER38888" s="4" t="s">
        <v>11</v>
      </c>
      <c r="ES38888" s="4" t="s">
        <v>11</v>
      </c>
      <c r="ET38888" s="4" t="s">
        <v>15</v>
      </c>
      <c r="EU38888" s="4" t="s">
        <v>8</v>
      </c>
      <c r="EV38888" s="4" t="s">
        <v>1859</v>
      </c>
      <c r="EW38888" s="4" t="s">
        <v>11</v>
      </c>
      <c r="EX38888" s="4" t="s">
        <v>11</v>
      </c>
      <c r="EY38888" s="4" t="s">
        <v>15</v>
      </c>
      <c r="EZ38888" s="4" t="s">
        <v>8</v>
      </c>
      <c r="FA38888" s="4" t="s">
        <v>1859</v>
      </c>
      <c r="FB38888" s="4" t="s">
        <v>11</v>
      </c>
      <c r="FC38888" s="4" t="s">
        <v>11</v>
      </c>
      <c r="FD38888" s="4" t="s">
        <v>15</v>
      </c>
      <c r="FE38888" s="4" t="s">
        <v>8</v>
      </c>
      <c r="FF38888" s="4" t="s">
        <v>1859</v>
      </c>
      <c r="FG38888" s="4" t="s">
        <v>11</v>
      </c>
      <c r="FH38888" s="4" t="s">
        <v>11</v>
      </c>
      <c r="FI38888" s="4" t="s">
        <v>15</v>
      </c>
      <c r="FJ38888" s="4" t="s">
        <v>8</v>
      </c>
      <c r="FK38888" s="4" t="s">
        <v>1859</v>
      </c>
      <c r="FL38888" s="4" t="s">
        <v>11</v>
      </c>
      <c r="FM38888" s="4" t="s">
        <v>11</v>
      </c>
      <c r="FN38888" s="4" t="s">
        <v>15</v>
      </c>
      <c r="FO38888" s="4" t="s">
        <v>8</v>
      </c>
      <c r="FP38888" s="4" t="s">
        <v>1859</v>
      </c>
      <c r="FQ38888" s="4" t="s">
        <v>11</v>
      </c>
      <c r="FR38888" s="4" t="s">
        <v>11</v>
      </c>
      <c r="FS38888" s="4" t="s">
        <v>15</v>
      </c>
      <c r="FT38888" s="4" t="s">
        <v>8</v>
      </c>
      <c r="FU38888" s="4" t="s">
        <v>1859</v>
      </c>
      <c r="FV38888" s="4" t="s">
        <v>11</v>
      </c>
      <c r="FW38888" s="4" t="s">
        <v>11</v>
      </c>
      <c r="FX38888" s="4" t="s">
        <v>15</v>
      </c>
      <c r="FY38888" s="4" t="s">
        <v>8</v>
      </c>
      <c r="FZ38888" s="4" t="s">
        <v>1859</v>
      </c>
      <c r="GA38888" s="4" t="s">
        <v>11</v>
      </c>
      <c r="GB38888" s="4" t="s">
        <v>11</v>
      </c>
      <c r="GC38888" s="4" t="s">
        <v>15</v>
      </c>
      <c r="GD38888" s="4" t="s">
        <v>8</v>
      </c>
      <c r="GE38888" s="4" t="s">
        <v>1859</v>
      </c>
      <c r="GF38888" s="4" t="s">
        <v>11</v>
      </c>
      <c r="GG38888" s="4" t="s">
        <v>11</v>
      </c>
      <c r="GH38888" s="4" t="s">
        <v>15</v>
      </c>
      <c r="GI38888" s="4" t="s">
        <v>8</v>
      </c>
      <c r="GJ38888" s="4" t="s">
        <v>1859</v>
      </c>
      <c r="GK38888" s="4" t="s">
        <v>11</v>
      </c>
      <c r="GL38888" s="4" t="s">
        <v>11</v>
      </c>
      <c r="GM38888" s="4" t="s">
        <v>15</v>
      </c>
      <c r="GN38888" s="4" t="s">
        <v>8</v>
      </c>
      <c r="GO38888" s="4" t="s">
        <v>1859</v>
      </c>
      <c r="GP38888" s="4" t="s">
        <v>11</v>
      </c>
      <c r="GQ38888" s="4" t="s">
        <v>11</v>
      </c>
      <c r="GR38888" s="4" t="s">
        <v>15</v>
      </c>
      <c r="GS38888" s="4" t="s">
        <v>8</v>
      </c>
      <c r="GT38888" s="4" t="s">
        <v>1859</v>
      </c>
      <c r="GU38888" s="4" t="s">
        <v>11</v>
      </c>
      <c r="GV38888" s="4" t="s">
        <v>11</v>
      </c>
      <c r="GW38888" s="4" t="s">
        <v>15</v>
      </c>
      <c r="GX38888" s="4" t="s">
        <v>8</v>
      </c>
      <c r="GY38888" s="4" t="s">
        <v>1859</v>
      </c>
      <c r="GZ38888" s="4" t="s">
        <v>11</v>
      </c>
      <c r="HA38888" s="4" t="s">
        <v>11</v>
      </c>
      <c r="HB38888" s="4" t="s">
        <v>15</v>
      </c>
      <c r="HC38888" s="4" t="s">
        <v>8</v>
      </c>
      <c r="HD38888" s="4" t="s">
        <v>1859</v>
      </c>
      <c r="HE38888" s="4" t="s">
        <v>11</v>
      </c>
      <c r="HF38888" s="4" t="s">
        <v>11</v>
      </c>
      <c r="HG38888" s="4" t="s">
        <v>15</v>
      </c>
      <c r="HH38888" s="4" t="s">
        <v>8</v>
      </c>
      <c r="HI38888" s="4" t="s">
        <v>1859</v>
      </c>
      <c r="HJ38888" s="4" t="s">
        <v>11</v>
      </c>
      <c r="HK38888" s="4" t="s">
        <v>11</v>
      </c>
      <c r="HL38888" s="4" t="s">
        <v>15</v>
      </c>
      <c r="HM38888" s="4" t="s">
        <v>8</v>
      </c>
      <c r="HN38888" s="4" t="s">
        <v>1859</v>
      </c>
      <c r="HO38888" s="4" t="s">
        <v>11</v>
      </c>
      <c r="HP38888" s="4" t="s">
        <v>11</v>
      </c>
      <c r="HQ38888" s="4" t="s">
        <v>15</v>
      </c>
      <c r="HR38888" s="4" t="s">
        <v>8</v>
      </c>
      <c r="HS38888" s="4" t="s">
        <v>1859</v>
      </c>
      <c r="HT38888" s="4" t="s">
        <v>11</v>
      </c>
      <c r="HU38888" s="4" t="s">
        <v>11</v>
      </c>
      <c r="HV38888" s="4" t="s">
        <v>15</v>
      </c>
      <c r="HW38888" s="4" t="s">
        <v>8</v>
      </c>
      <c r="HX38888" s="4" t="s">
        <v>1859</v>
      </c>
      <c r="HY38888" s="4" t="s">
        <v>11</v>
      </c>
      <c r="HZ38888" s="4" t="s">
        <v>11</v>
      </c>
      <c r="IA38888" s="4" t="s">
        <v>15</v>
      </c>
      <c r="IB38888" s="4" t="s">
        <v>8</v>
      </c>
      <c r="IC38888" s="4" t="s">
        <v>1859</v>
      </c>
      <c r="ID38888" s="4" t="s">
        <v>11</v>
      </c>
      <c r="IE38888" s="4" t="s">
        <v>11</v>
      </c>
      <c r="IF38888" s="4" t="s">
        <v>15</v>
      </c>
      <c r="IG38888" s="4" t="s">
        <v>8</v>
      </c>
      <c r="IH38888" s="4" t="s">
        <v>1859</v>
      </c>
      <c r="II38888" s="4" t="s">
        <v>11</v>
      </c>
      <c r="IJ38888" s="4" t="s">
        <v>11</v>
      </c>
      <c r="IK38888" s="4" t="s">
        <v>15</v>
      </c>
      <c r="IL38888" s="4" t="s">
        <v>8</v>
      </c>
      <c r="IM38888" s="4" t="s">
        <v>1859</v>
      </c>
      <c r="IN38888" s="4" t="s">
        <v>11</v>
      </c>
      <c r="IO38888" s="4" t="s">
        <v>11</v>
      </c>
      <c r="IP38888" s="4" t="s">
        <v>15</v>
      </c>
      <c r="IQ38888" s="4" t="s">
        <v>8</v>
      </c>
      <c r="IR38888" s="4" t="s">
        <v>1859</v>
      </c>
      <c r="IS38888" s="4" t="s">
        <v>11</v>
      </c>
      <c r="IT38888" s="4" t="s">
        <v>11</v>
      </c>
      <c r="IU38888" s="4" t="s">
        <v>15</v>
      </c>
      <c r="IV38888" s="4" t="s">
        <v>8</v>
      </c>
      <c r="IW38888" s="4" t="s">
        <v>1859</v>
      </c>
      <c r="IX38888" s="4" t="s">
        <v>11</v>
      </c>
      <c r="IY38888" s="4" t="s">
        <v>11</v>
      </c>
      <c r="IZ38888" s="4" t="s">
        <v>15</v>
      </c>
      <c r="JA38888" s="4" t="s">
        <v>8</v>
      </c>
      <c r="JB38888" s="4" t="s">
        <v>1859</v>
      </c>
      <c r="JC38888" s="4" t="s">
        <v>11</v>
      </c>
      <c r="JD38888" s="4" t="s">
        <v>11</v>
      </c>
      <c r="JE38888" s="4" t="s">
        <v>15</v>
      </c>
      <c r="JF38888" s="4" t="s">
        <v>8</v>
      </c>
      <c r="JG38888" s="4" t="s">
        <v>1859</v>
      </c>
      <c r="JH38888" s="4" t="s">
        <v>11</v>
      </c>
      <c r="JI38888" s="4" t="s">
        <v>11</v>
      </c>
      <c r="JJ38888" s="4" t="s">
        <v>15</v>
      </c>
      <c r="JK38888" s="4" t="s">
        <v>8</v>
      </c>
      <c r="JL38888" s="4" t="s">
        <v>1859</v>
      </c>
      <c r="JM38888" s="4" t="s">
        <v>11</v>
      </c>
      <c r="JN38888" s="4" t="s">
        <v>11</v>
      </c>
      <c r="JO38888" s="4" t="s">
        <v>15</v>
      </c>
      <c r="JP38888" s="4" t="s">
        <v>8</v>
      </c>
      <c r="JQ38888" s="4" t="s">
        <v>1859</v>
      </c>
      <c r="JR38888" s="4" t="s">
        <v>11</v>
      </c>
      <c r="JS38888" s="4" t="s">
        <v>11</v>
      </c>
      <c r="JT38888" s="4" t="s">
        <v>15</v>
      </c>
      <c r="JU38888" s="4" t="s">
        <v>8</v>
      </c>
      <c r="JV38888" s="4" t="s">
        <v>1859</v>
      </c>
      <c r="JW38888" s="4" t="s">
        <v>11</v>
      </c>
      <c r="JX38888" s="4" t="s">
        <v>11</v>
      </c>
      <c r="JY38888" s="4" t="s">
        <v>15</v>
      </c>
      <c r="JZ38888" s="4" t="s">
        <v>8</v>
      </c>
      <c r="KA38888" s="4" t="s">
        <v>1859</v>
      </c>
      <c r="KB38888" s="4" t="s">
        <v>11</v>
      </c>
      <c r="KC38888" s="4" t="s">
        <v>11</v>
      </c>
      <c r="KD38888" s="4" t="s">
        <v>15</v>
      </c>
      <c r="KE38888" s="4" t="s">
        <v>8</v>
      </c>
      <c r="KF38888" s="4" t="s">
        <v>1859</v>
      </c>
      <c r="KG38888" s="4" t="s">
        <v>11</v>
      </c>
      <c r="KH38888" s="4" t="s">
        <v>11</v>
      </c>
      <c r="KI38888" s="4" t="s">
        <v>15</v>
      </c>
      <c r="KJ38888" s="4" t="s">
        <v>8</v>
      </c>
      <c r="KK38888" s="4" t="s">
        <v>1859</v>
      </c>
      <c r="KL38888" s="4" t="s">
        <v>11</v>
      </c>
      <c r="KM38888" s="4" t="s">
        <v>11</v>
      </c>
      <c r="KN38888" s="4" t="s">
        <v>15</v>
      </c>
      <c r="KO38888" s="4" t="s">
        <v>8</v>
      </c>
      <c r="KP38888" s="4" t="s">
        <v>1859</v>
      </c>
      <c r="KQ38888" s="4" t="s">
        <v>11</v>
      </c>
      <c r="KR38888" s="4" t="s">
        <v>11</v>
      </c>
      <c r="KS38888" s="4" t="s">
        <v>15</v>
      </c>
      <c r="KT38888" s="4" t="s">
        <v>8</v>
      </c>
      <c r="KU38888" s="4" t="s">
        <v>1859</v>
      </c>
      <c r="KV38888" s="4" t="s">
        <v>11</v>
      </c>
      <c r="KW38888" s="4" t="s">
        <v>11</v>
      </c>
      <c r="KX38888" s="4" t="s">
        <v>15</v>
      </c>
      <c r="KY38888" s="4" t="s">
        <v>8</v>
      </c>
      <c r="KZ38888" s="4" t="s">
        <v>1859</v>
      </c>
      <c r="LA38888" s="4" t="s">
        <v>11</v>
      </c>
      <c r="LB38888" s="4" t="s">
        <v>11</v>
      </c>
      <c r="LC38888" s="4" t="s">
        <v>15</v>
      </c>
      <c r="LD38888" s="4" t="s">
        <v>8</v>
      </c>
      <c r="LE38888" s="4" t="s">
        <v>1859</v>
      </c>
      <c r="LF38888" s="4" t="s">
        <v>11</v>
      </c>
      <c r="LG38888" s="4" t="s">
        <v>11</v>
      </c>
      <c r="LH38888" s="4" t="s">
        <v>15</v>
      </c>
      <c r="LI38888" s="4" t="s">
        <v>8</v>
      </c>
      <c r="LJ38888" s="4" t="s">
        <v>1859</v>
      </c>
      <c r="LK38888" s="4" t="s">
        <v>11</v>
      </c>
      <c r="LL38888" s="4" t="s">
        <v>11</v>
      </c>
      <c r="LM38888" s="4" t="s">
        <v>15</v>
      </c>
      <c r="LN38888" s="4" t="s">
        <v>8</v>
      </c>
      <c r="LO38888" s="4" t="s">
        <v>1859</v>
      </c>
      <c r="LP38888" s="4" t="s">
        <v>11</v>
      </c>
      <c r="LQ38888" s="4" t="s">
        <v>11</v>
      </c>
      <c r="LR38888" s="4" t="s">
        <v>15</v>
      </c>
      <c r="LS38888" s="4" t="s">
        <v>8</v>
      </c>
      <c r="LT38888" s="4" t="s">
        <v>1859</v>
      </c>
      <c r="LU38888" s="4" t="s">
        <v>11</v>
      </c>
      <c r="LV38888" s="4" t="s">
        <v>11</v>
      </c>
      <c r="LW38888" s="4" t="s">
        <v>15</v>
      </c>
      <c r="LX38888" s="4" t="s">
        <v>8</v>
      </c>
      <c r="LY38888" s="4" t="s">
        <v>1859</v>
      </c>
    </row>
    <row r="38889" spans="1:352">
      <c r="A38889" t="n">
        <v>437056</v>
      </c>
      <c r="B38889" s="85" t="n">
        <v>257</v>
      </c>
      <c r="C38889" s="7" t="n">
        <v>7</v>
      </c>
      <c r="D38889" s="7" t="n">
        <v>65533</v>
      </c>
      <c r="E38889" s="7" t="n">
        <v>64689</v>
      </c>
      <c r="F38889" s="7" t="s">
        <v>16</v>
      </c>
      <c r="G38889" s="7" t="n">
        <f t="normal" ca="1">32-LENB(INDIRECT(ADDRESS(38889,6)))</f>
        <v>0</v>
      </c>
      <c r="H38889" s="7" t="n">
        <v>7</v>
      </c>
      <c r="I38889" s="7" t="n">
        <v>65533</v>
      </c>
      <c r="J38889" s="7" t="n">
        <v>64690</v>
      </c>
      <c r="K38889" s="7" t="s">
        <v>16</v>
      </c>
      <c r="L38889" s="7" t="n">
        <f t="normal" ca="1">32-LENB(INDIRECT(ADDRESS(38889,11)))</f>
        <v>0</v>
      </c>
      <c r="M38889" s="7" t="n">
        <v>9</v>
      </c>
      <c r="N38889" s="7" t="n">
        <v>9</v>
      </c>
      <c r="O38889" s="7" t="n">
        <v>0</v>
      </c>
      <c r="P38889" s="7" t="s">
        <v>1688</v>
      </c>
      <c r="Q38889" s="7" t="n">
        <f t="normal" ca="1">32-LENB(INDIRECT(ADDRESS(38889,16)))</f>
        <v>0</v>
      </c>
      <c r="R38889" s="7" t="n">
        <v>7</v>
      </c>
      <c r="S38889" s="7" t="n">
        <v>65533</v>
      </c>
      <c r="T38889" s="7" t="n">
        <v>64691</v>
      </c>
      <c r="U38889" s="7" t="s">
        <v>16</v>
      </c>
      <c r="V38889" s="7" t="n">
        <f t="normal" ca="1">32-LENB(INDIRECT(ADDRESS(38889,21)))</f>
        <v>0</v>
      </c>
      <c r="W38889" s="7" t="n">
        <v>7</v>
      </c>
      <c r="X38889" s="7" t="n">
        <v>65533</v>
      </c>
      <c r="Y38889" s="7" t="n">
        <v>64692</v>
      </c>
      <c r="Z38889" s="7" t="s">
        <v>16</v>
      </c>
      <c r="AA38889" s="7" t="n">
        <f t="normal" ca="1">32-LENB(INDIRECT(ADDRESS(38889,26)))</f>
        <v>0</v>
      </c>
      <c r="AB38889" s="7" t="n">
        <v>7</v>
      </c>
      <c r="AC38889" s="7" t="n">
        <v>65533</v>
      </c>
      <c r="AD38889" s="7" t="n">
        <v>64693</v>
      </c>
      <c r="AE38889" s="7" t="s">
        <v>16</v>
      </c>
      <c r="AF38889" s="7" t="n">
        <f t="normal" ca="1">32-LENB(INDIRECT(ADDRESS(38889,31)))</f>
        <v>0</v>
      </c>
      <c r="AG38889" s="7" t="n">
        <v>7</v>
      </c>
      <c r="AH38889" s="7" t="n">
        <v>65533</v>
      </c>
      <c r="AI38889" s="7" t="n">
        <v>64694</v>
      </c>
      <c r="AJ38889" s="7" t="s">
        <v>16</v>
      </c>
      <c r="AK38889" s="7" t="n">
        <f t="normal" ca="1">32-LENB(INDIRECT(ADDRESS(38889,36)))</f>
        <v>0</v>
      </c>
      <c r="AL38889" s="7" t="n">
        <v>7</v>
      </c>
      <c r="AM38889" s="7" t="n">
        <v>65533</v>
      </c>
      <c r="AN38889" s="7" t="n">
        <v>64695</v>
      </c>
      <c r="AO38889" s="7" t="s">
        <v>16</v>
      </c>
      <c r="AP38889" s="7" t="n">
        <f t="normal" ca="1">32-LENB(INDIRECT(ADDRESS(38889,41)))</f>
        <v>0</v>
      </c>
      <c r="AQ38889" s="7" t="n">
        <v>7</v>
      </c>
      <c r="AR38889" s="7" t="n">
        <v>65533</v>
      </c>
      <c r="AS38889" s="7" t="n">
        <v>64696</v>
      </c>
      <c r="AT38889" s="7" t="s">
        <v>16</v>
      </c>
      <c r="AU38889" s="7" t="n">
        <f t="normal" ca="1">32-LENB(INDIRECT(ADDRESS(38889,46)))</f>
        <v>0</v>
      </c>
      <c r="AV38889" s="7" t="n">
        <v>7</v>
      </c>
      <c r="AW38889" s="7" t="n">
        <v>65533</v>
      </c>
      <c r="AX38889" s="7" t="n">
        <v>64697</v>
      </c>
      <c r="AY38889" s="7" t="s">
        <v>16</v>
      </c>
      <c r="AZ38889" s="7" t="n">
        <f t="normal" ca="1">32-LENB(INDIRECT(ADDRESS(38889,51)))</f>
        <v>0</v>
      </c>
      <c r="BA38889" s="7" t="n">
        <v>7</v>
      </c>
      <c r="BB38889" s="7" t="n">
        <v>65533</v>
      </c>
      <c r="BC38889" s="7" t="n">
        <v>64698</v>
      </c>
      <c r="BD38889" s="7" t="s">
        <v>16</v>
      </c>
      <c r="BE38889" s="7" t="n">
        <f t="normal" ca="1">32-LENB(INDIRECT(ADDRESS(38889,56)))</f>
        <v>0</v>
      </c>
      <c r="BF38889" s="7" t="n">
        <v>7</v>
      </c>
      <c r="BG38889" s="7" t="n">
        <v>65533</v>
      </c>
      <c r="BH38889" s="7" t="n">
        <v>64699</v>
      </c>
      <c r="BI38889" s="7" t="s">
        <v>16</v>
      </c>
      <c r="BJ38889" s="7" t="n">
        <f t="normal" ca="1">32-LENB(INDIRECT(ADDRESS(38889,61)))</f>
        <v>0</v>
      </c>
      <c r="BK38889" s="7" t="n">
        <v>7</v>
      </c>
      <c r="BL38889" s="7" t="n">
        <v>65533</v>
      </c>
      <c r="BM38889" s="7" t="n">
        <v>64700</v>
      </c>
      <c r="BN38889" s="7" t="s">
        <v>16</v>
      </c>
      <c r="BO38889" s="7" t="n">
        <f t="normal" ca="1">32-LENB(INDIRECT(ADDRESS(38889,66)))</f>
        <v>0</v>
      </c>
      <c r="BP38889" s="7" t="n">
        <v>7</v>
      </c>
      <c r="BQ38889" s="7" t="n">
        <v>65533</v>
      </c>
      <c r="BR38889" s="7" t="n">
        <v>64701</v>
      </c>
      <c r="BS38889" s="7" t="s">
        <v>16</v>
      </c>
      <c r="BT38889" s="7" t="n">
        <f t="normal" ca="1">32-LENB(INDIRECT(ADDRESS(38889,71)))</f>
        <v>0</v>
      </c>
      <c r="BU38889" s="7" t="n">
        <v>7</v>
      </c>
      <c r="BV38889" s="7" t="n">
        <v>65533</v>
      </c>
      <c r="BW38889" s="7" t="n">
        <v>64702</v>
      </c>
      <c r="BX38889" s="7" t="s">
        <v>16</v>
      </c>
      <c r="BY38889" s="7" t="n">
        <f t="normal" ca="1">32-LENB(INDIRECT(ADDRESS(38889,76)))</f>
        <v>0</v>
      </c>
      <c r="BZ38889" s="7" t="n">
        <v>7</v>
      </c>
      <c r="CA38889" s="7" t="n">
        <v>65533</v>
      </c>
      <c r="CB38889" s="7" t="n">
        <v>65322</v>
      </c>
      <c r="CC38889" s="7" t="s">
        <v>16</v>
      </c>
      <c r="CD38889" s="7" t="n">
        <f t="normal" ca="1">32-LENB(INDIRECT(ADDRESS(38889,81)))</f>
        <v>0</v>
      </c>
      <c r="CE38889" s="7" t="n">
        <v>7</v>
      </c>
      <c r="CF38889" s="7" t="n">
        <v>65533</v>
      </c>
      <c r="CG38889" s="7" t="n">
        <v>64703</v>
      </c>
      <c r="CH38889" s="7" t="s">
        <v>16</v>
      </c>
      <c r="CI38889" s="7" t="n">
        <f t="normal" ca="1">32-LENB(INDIRECT(ADDRESS(38889,86)))</f>
        <v>0</v>
      </c>
      <c r="CJ38889" s="7" t="n">
        <v>7</v>
      </c>
      <c r="CK38889" s="7" t="n">
        <v>65533</v>
      </c>
      <c r="CL38889" s="7" t="n">
        <v>64704</v>
      </c>
      <c r="CM38889" s="7" t="s">
        <v>16</v>
      </c>
      <c r="CN38889" s="7" t="n">
        <f t="normal" ca="1">32-LENB(INDIRECT(ADDRESS(38889,91)))</f>
        <v>0</v>
      </c>
      <c r="CO38889" s="7" t="n">
        <v>7</v>
      </c>
      <c r="CP38889" s="7" t="n">
        <v>65533</v>
      </c>
      <c r="CQ38889" s="7" t="n">
        <v>64705</v>
      </c>
      <c r="CR38889" s="7" t="s">
        <v>16</v>
      </c>
      <c r="CS38889" s="7" t="n">
        <f t="normal" ca="1">32-LENB(INDIRECT(ADDRESS(38889,96)))</f>
        <v>0</v>
      </c>
      <c r="CT38889" s="7" t="n">
        <v>7</v>
      </c>
      <c r="CU38889" s="7" t="n">
        <v>65533</v>
      </c>
      <c r="CV38889" s="7" t="n">
        <v>64706</v>
      </c>
      <c r="CW38889" s="7" t="s">
        <v>16</v>
      </c>
      <c r="CX38889" s="7" t="n">
        <f t="normal" ca="1">32-LENB(INDIRECT(ADDRESS(38889,101)))</f>
        <v>0</v>
      </c>
      <c r="CY38889" s="7" t="n">
        <v>7</v>
      </c>
      <c r="CZ38889" s="7" t="n">
        <v>65533</v>
      </c>
      <c r="DA38889" s="7" t="n">
        <v>64707</v>
      </c>
      <c r="DB38889" s="7" t="s">
        <v>16</v>
      </c>
      <c r="DC38889" s="7" t="n">
        <f t="normal" ca="1">32-LENB(INDIRECT(ADDRESS(38889,106)))</f>
        <v>0</v>
      </c>
      <c r="DD38889" s="7" t="n">
        <v>7</v>
      </c>
      <c r="DE38889" s="7" t="n">
        <v>65533</v>
      </c>
      <c r="DF38889" s="7" t="n">
        <v>64708</v>
      </c>
      <c r="DG38889" s="7" t="s">
        <v>16</v>
      </c>
      <c r="DH38889" s="7" t="n">
        <f t="normal" ca="1">32-LENB(INDIRECT(ADDRESS(38889,111)))</f>
        <v>0</v>
      </c>
      <c r="DI38889" s="7" t="n">
        <v>7</v>
      </c>
      <c r="DJ38889" s="7" t="n">
        <v>65533</v>
      </c>
      <c r="DK38889" s="7" t="n">
        <v>64709</v>
      </c>
      <c r="DL38889" s="7" t="s">
        <v>16</v>
      </c>
      <c r="DM38889" s="7" t="n">
        <f t="normal" ca="1">32-LENB(INDIRECT(ADDRESS(38889,116)))</f>
        <v>0</v>
      </c>
      <c r="DN38889" s="7" t="n">
        <v>7</v>
      </c>
      <c r="DO38889" s="7" t="n">
        <v>65533</v>
      </c>
      <c r="DP38889" s="7" t="n">
        <v>64710</v>
      </c>
      <c r="DQ38889" s="7" t="s">
        <v>16</v>
      </c>
      <c r="DR38889" s="7" t="n">
        <f t="normal" ca="1">32-LENB(INDIRECT(ADDRESS(38889,121)))</f>
        <v>0</v>
      </c>
      <c r="DS38889" s="7" t="n">
        <v>7</v>
      </c>
      <c r="DT38889" s="7" t="n">
        <v>65533</v>
      </c>
      <c r="DU38889" s="7" t="n">
        <v>64711</v>
      </c>
      <c r="DV38889" s="7" t="s">
        <v>16</v>
      </c>
      <c r="DW38889" s="7" t="n">
        <f t="normal" ca="1">32-LENB(INDIRECT(ADDRESS(38889,126)))</f>
        <v>0</v>
      </c>
      <c r="DX38889" s="7" t="n">
        <v>7</v>
      </c>
      <c r="DY38889" s="7" t="n">
        <v>65533</v>
      </c>
      <c r="DZ38889" s="7" t="n">
        <v>64712</v>
      </c>
      <c r="EA38889" s="7" t="s">
        <v>16</v>
      </c>
      <c r="EB38889" s="7" t="n">
        <f t="normal" ca="1">32-LENB(INDIRECT(ADDRESS(38889,131)))</f>
        <v>0</v>
      </c>
      <c r="EC38889" s="7" t="n">
        <v>7</v>
      </c>
      <c r="ED38889" s="7" t="n">
        <v>65533</v>
      </c>
      <c r="EE38889" s="7" t="n">
        <v>64713</v>
      </c>
      <c r="EF38889" s="7" t="s">
        <v>16</v>
      </c>
      <c r="EG38889" s="7" t="n">
        <f t="normal" ca="1">32-LENB(INDIRECT(ADDRESS(38889,136)))</f>
        <v>0</v>
      </c>
      <c r="EH38889" s="7" t="n">
        <v>7</v>
      </c>
      <c r="EI38889" s="7" t="n">
        <v>65533</v>
      </c>
      <c r="EJ38889" s="7" t="n">
        <v>64714</v>
      </c>
      <c r="EK38889" s="7" t="s">
        <v>16</v>
      </c>
      <c r="EL38889" s="7" t="n">
        <f t="normal" ca="1">32-LENB(INDIRECT(ADDRESS(38889,141)))</f>
        <v>0</v>
      </c>
      <c r="EM38889" s="7" t="n">
        <v>7</v>
      </c>
      <c r="EN38889" s="7" t="n">
        <v>65533</v>
      </c>
      <c r="EO38889" s="7" t="n">
        <v>64715</v>
      </c>
      <c r="EP38889" s="7" t="s">
        <v>16</v>
      </c>
      <c r="EQ38889" s="7" t="n">
        <f t="normal" ca="1">32-LENB(INDIRECT(ADDRESS(38889,146)))</f>
        <v>0</v>
      </c>
      <c r="ER38889" s="7" t="n">
        <v>7</v>
      </c>
      <c r="ES38889" s="7" t="n">
        <v>65533</v>
      </c>
      <c r="ET38889" s="7" t="n">
        <v>64716</v>
      </c>
      <c r="EU38889" s="7" t="s">
        <v>16</v>
      </c>
      <c r="EV38889" s="7" t="n">
        <f t="normal" ca="1">32-LENB(INDIRECT(ADDRESS(38889,151)))</f>
        <v>0</v>
      </c>
      <c r="EW38889" s="7" t="n">
        <v>7</v>
      </c>
      <c r="EX38889" s="7" t="n">
        <v>65533</v>
      </c>
      <c r="EY38889" s="7" t="n">
        <v>64717</v>
      </c>
      <c r="EZ38889" s="7" t="s">
        <v>16</v>
      </c>
      <c r="FA38889" s="7" t="n">
        <f t="normal" ca="1">32-LENB(INDIRECT(ADDRESS(38889,156)))</f>
        <v>0</v>
      </c>
      <c r="FB38889" s="7" t="n">
        <v>7</v>
      </c>
      <c r="FC38889" s="7" t="n">
        <v>65533</v>
      </c>
      <c r="FD38889" s="7" t="n">
        <v>64718</v>
      </c>
      <c r="FE38889" s="7" t="s">
        <v>16</v>
      </c>
      <c r="FF38889" s="7" t="n">
        <f t="normal" ca="1">32-LENB(INDIRECT(ADDRESS(38889,161)))</f>
        <v>0</v>
      </c>
      <c r="FG38889" s="7" t="n">
        <v>7</v>
      </c>
      <c r="FH38889" s="7" t="n">
        <v>65533</v>
      </c>
      <c r="FI38889" s="7" t="n">
        <v>64719</v>
      </c>
      <c r="FJ38889" s="7" t="s">
        <v>16</v>
      </c>
      <c r="FK38889" s="7" t="n">
        <f t="normal" ca="1">32-LENB(INDIRECT(ADDRESS(38889,166)))</f>
        <v>0</v>
      </c>
      <c r="FL38889" s="7" t="n">
        <v>7</v>
      </c>
      <c r="FM38889" s="7" t="n">
        <v>65533</v>
      </c>
      <c r="FN38889" s="7" t="n">
        <v>64720</v>
      </c>
      <c r="FO38889" s="7" t="s">
        <v>16</v>
      </c>
      <c r="FP38889" s="7" t="n">
        <f t="normal" ca="1">32-LENB(INDIRECT(ADDRESS(38889,171)))</f>
        <v>0</v>
      </c>
      <c r="FQ38889" s="7" t="n">
        <v>7</v>
      </c>
      <c r="FR38889" s="7" t="n">
        <v>65533</v>
      </c>
      <c r="FS38889" s="7" t="n">
        <v>64721</v>
      </c>
      <c r="FT38889" s="7" t="s">
        <v>16</v>
      </c>
      <c r="FU38889" s="7" t="n">
        <f t="normal" ca="1">32-LENB(INDIRECT(ADDRESS(38889,176)))</f>
        <v>0</v>
      </c>
      <c r="FV38889" s="7" t="n">
        <v>7</v>
      </c>
      <c r="FW38889" s="7" t="n">
        <v>65533</v>
      </c>
      <c r="FX38889" s="7" t="n">
        <v>64722</v>
      </c>
      <c r="FY38889" s="7" t="s">
        <v>16</v>
      </c>
      <c r="FZ38889" s="7" t="n">
        <f t="normal" ca="1">32-LENB(INDIRECT(ADDRESS(38889,181)))</f>
        <v>0</v>
      </c>
      <c r="GA38889" s="7" t="n">
        <v>7</v>
      </c>
      <c r="GB38889" s="7" t="n">
        <v>65533</v>
      </c>
      <c r="GC38889" s="7" t="n">
        <v>64723</v>
      </c>
      <c r="GD38889" s="7" t="s">
        <v>16</v>
      </c>
      <c r="GE38889" s="7" t="n">
        <f t="normal" ca="1">32-LENB(INDIRECT(ADDRESS(38889,186)))</f>
        <v>0</v>
      </c>
      <c r="GF38889" s="7" t="n">
        <v>7</v>
      </c>
      <c r="GG38889" s="7" t="n">
        <v>65533</v>
      </c>
      <c r="GH38889" s="7" t="n">
        <v>64724</v>
      </c>
      <c r="GI38889" s="7" t="s">
        <v>16</v>
      </c>
      <c r="GJ38889" s="7" t="n">
        <f t="normal" ca="1">32-LENB(INDIRECT(ADDRESS(38889,191)))</f>
        <v>0</v>
      </c>
      <c r="GK38889" s="7" t="n">
        <v>7</v>
      </c>
      <c r="GL38889" s="7" t="n">
        <v>65533</v>
      </c>
      <c r="GM38889" s="7" t="n">
        <v>64725</v>
      </c>
      <c r="GN38889" s="7" t="s">
        <v>16</v>
      </c>
      <c r="GO38889" s="7" t="n">
        <f t="normal" ca="1">32-LENB(INDIRECT(ADDRESS(38889,196)))</f>
        <v>0</v>
      </c>
      <c r="GP38889" s="7" t="n">
        <v>7</v>
      </c>
      <c r="GQ38889" s="7" t="n">
        <v>65533</v>
      </c>
      <c r="GR38889" s="7" t="n">
        <v>64726</v>
      </c>
      <c r="GS38889" s="7" t="s">
        <v>16</v>
      </c>
      <c r="GT38889" s="7" t="n">
        <f t="normal" ca="1">32-LENB(INDIRECT(ADDRESS(38889,201)))</f>
        <v>0</v>
      </c>
      <c r="GU38889" s="7" t="n">
        <v>7</v>
      </c>
      <c r="GV38889" s="7" t="n">
        <v>65533</v>
      </c>
      <c r="GW38889" s="7" t="n">
        <v>64727</v>
      </c>
      <c r="GX38889" s="7" t="s">
        <v>16</v>
      </c>
      <c r="GY38889" s="7" t="n">
        <f t="normal" ca="1">32-LENB(INDIRECT(ADDRESS(38889,206)))</f>
        <v>0</v>
      </c>
      <c r="GZ38889" s="7" t="n">
        <v>7</v>
      </c>
      <c r="HA38889" s="7" t="n">
        <v>65533</v>
      </c>
      <c r="HB38889" s="7" t="n">
        <v>64728</v>
      </c>
      <c r="HC38889" s="7" t="s">
        <v>16</v>
      </c>
      <c r="HD38889" s="7" t="n">
        <f t="normal" ca="1">32-LENB(INDIRECT(ADDRESS(38889,211)))</f>
        <v>0</v>
      </c>
      <c r="HE38889" s="7" t="n">
        <v>4</v>
      </c>
      <c r="HF38889" s="7" t="n">
        <v>65533</v>
      </c>
      <c r="HG38889" s="7" t="n">
        <v>2000</v>
      </c>
      <c r="HH38889" s="7" t="s">
        <v>16</v>
      </c>
      <c r="HI38889" s="7" t="n">
        <f t="normal" ca="1">32-LENB(INDIRECT(ADDRESS(38889,216)))</f>
        <v>0</v>
      </c>
      <c r="HJ38889" s="7" t="n">
        <v>7</v>
      </c>
      <c r="HK38889" s="7" t="n">
        <v>65533</v>
      </c>
      <c r="HL38889" s="7" t="n">
        <v>64729</v>
      </c>
      <c r="HM38889" s="7" t="s">
        <v>16</v>
      </c>
      <c r="HN38889" s="7" t="n">
        <f t="normal" ca="1">32-LENB(INDIRECT(ADDRESS(38889,221)))</f>
        <v>0</v>
      </c>
      <c r="HO38889" s="7" t="n">
        <v>4</v>
      </c>
      <c r="HP38889" s="7" t="n">
        <v>65533</v>
      </c>
      <c r="HQ38889" s="7" t="n">
        <v>2003</v>
      </c>
      <c r="HR38889" s="7" t="s">
        <v>16</v>
      </c>
      <c r="HS38889" s="7" t="n">
        <f t="normal" ca="1">32-LENB(INDIRECT(ADDRESS(38889,226)))</f>
        <v>0</v>
      </c>
      <c r="HT38889" s="7" t="n">
        <v>7</v>
      </c>
      <c r="HU38889" s="7" t="n">
        <v>65533</v>
      </c>
      <c r="HV38889" s="7" t="n">
        <v>64730</v>
      </c>
      <c r="HW38889" s="7" t="s">
        <v>16</v>
      </c>
      <c r="HX38889" s="7" t="n">
        <f t="normal" ca="1">32-LENB(INDIRECT(ADDRESS(38889,231)))</f>
        <v>0</v>
      </c>
      <c r="HY38889" s="7" t="n">
        <v>7</v>
      </c>
      <c r="HZ38889" s="7" t="n">
        <v>65533</v>
      </c>
      <c r="IA38889" s="7" t="n">
        <v>64731</v>
      </c>
      <c r="IB38889" s="7" t="s">
        <v>16</v>
      </c>
      <c r="IC38889" s="7" t="n">
        <f t="normal" ca="1">32-LENB(INDIRECT(ADDRESS(38889,236)))</f>
        <v>0</v>
      </c>
      <c r="ID38889" s="7" t="n">
        <v>7</v>
      </c>
      <c r="IE38889" s="7" t="n">
        <v>65533</v>
      </c>
      <c r="IF38889" s="7" t="n">
        <v>64732</v>
      </c>
      <c r="IG38889" s="7" t="s">
        <v>16</v>
      </c>
      <c r="IH38889" s="7" t="n">
        <f t="normal" ca="1">32-LENB(INDIRECT(ADDRESS(38889,241)))</f>
        <v>0</v>
      </c>
      <c r="II38889" s="7" t="n">
        <v>7</v>
      </c>
      <c r="IJ38889" s="7" t="n">
        <v>65533</v>
      </c>
      <c r="IK38889" s="7" t="n">
        <v>64733</v>
      </c>
      <c r="IL38889" s="7" t="s">
        <v>16</v>
      </c>
      <c r="IM38889" s="7" t="n">
        <f t="normal" ca="1">32-LENB(INDIRECT(ADDRESS(38889,246)))</f>
        <v>0</v>
      </c>
      <c r="IN38889" s="7" t="n">
        <v>7</v>
      </c>
      <c r="IO38889" s="7" t="n">
        <v>65533</v>
      </c>
      <c r="IP38889" s="7" t="n">
        <v>64734</v>
      </c>
      <c r="IQ38889" s="7" t="s">
        <v>16</v>
      </c>
      <c r="IR38889" s="7" t="n">
        <f t="normal" ca="1">32-LENB(INDIRECT(ADDRESS(38889,251)))</f>
        <v>0</v>
      </c>
      <c r="IS38889" s="7" t="n">
        <v>7</v>
      </c>
      <c r="IT38889" s="7" t="n">
        <v>65533</v>
      </c>
      <c r="IU38889" s="7" t="n">
        <v>64735</v>
      </c>
      <c r="IV38889" s="7" t="s">
        <v>16</v>
      </c>
      <c r="IW38889" s="7" t="n">
        <f t="normal" ca="1">32-LENB(INDIRECT(ADDRESS(38889,256)))</f>
        <v>0</v>
      </c>
      <c r="IX38889" s="7" t="n">
        <v>7</v>
      </c>
      <c r="IY38889" s="7" t="n">
        <v>65533</v>
      </c>
      <c r="IZ38889" s="7" t="n">
        <v>64736</v>
      </c>
      <c r="JA38889" s="7" t="s">
        <v>16</v>
      </c>
      <c r="JB38889" s="7" t="n">
        <f t="normal" ca="1">32-LENB(INDIRECT(ADDRESS(38889,261)))</f>
        <v>0</v>
      </c>
      <c r="JC38889" s="7" t="n">
        <v>7</v>
      </c>
      <c r="JD38889" s="7" t="n">
        <v>65533</v>
      </c>
      <c r="JE38889" s="7" t="n">
        <v>64737</v>
      </c>
      <c r="JF38889" s="7" t="s">
        <v>16</v>
      </c>
      <c r="JG38889" s="7" t="n">
        <f t="normal" ca="1">32-LENB(INDIRECT(ADDRESS(38889,266)))</f>
        <v>0</v>
      </c>
      <c r="JH38889" s="7" t="n">
        <v>7</v>
      </c>
      <c r="JI38889" s="7" t="n">
        <v>65533</v>
      </c>
      <c r="JJ38889" s="7" t="n">
        <v>64738</v>
      </c>
      <c r="JK38889" s="7" t="s">
        <v>16</v>
      </c>
      <c r="JL38889" s="7" t="n">
        <f t="normal" ca="1">32-LENB(INDIRECT(ADDRESS(38889,271)))</f>
        <v>0</v>
      </c>
      <c r="JM38889" s="7" t="n">
        <v>7</v>
      </c>
      <c r="JN38889" s="7" t="n">
        <v>65533</v>
      </c>
      <c r="JO38889" s="7" t="n">
        <v>64739</v>
      </c>
      <c r="JP38889" s="7" t="s">
        <v>16</v>
      </c>
      <c r="JQ38889" s="7" t="n">
        <f t="normal" ca="1">32-LENB(INDIRECT(ADDRESS(38889,276)))</f>
        <v>0</v>
      </c>
      <c r="JR38889" s="7" t="n">
        <v>7</v>
      </c>
      <c r="JS38889" s="7" t="n">
        <v>65533</v>
      </c>
      <c r="JT38889" s="7" t="n">
        <v>64740</v>
      </c>
      <c r="JU38889" s="7" t="s">
        <v>16</v>
      </c>
      <c r="JV38889" s="7" t="n">
        <f t="normal" ca="1">32-LENB(INDIRECT(ADDRESS(38889,281)))</f>
        <v>0</v>
      </c>
      <c r="JW38889" s="7" t="n">
        <v>4</v>
      </c>
      <c r="JX38889" s="7" t="n">
        <v>65533</v>
      </c>
      <c r="JY38889" s="7" t="n">
        <v>2000</v>
      </c>
      <c r="JZ38889" s="7" t="s">
        <v>16</v>
      </c>
      <c r="KA38889" s="7" t="n">
        <f t="normal" ca="1">32-LENB(INDIRECT(ADDRESS(38889,286)))</f>
        <v>0</v>
      </c>
      <c r="KB38889" s="7" t="n">
        <v>7</v>
      </c>
      <c r="KC38889" s="7" t="n">
        <v>65533</v>
      </c>
      <c r="KD38889" s="7" t="n">
        <v>64741</v>
      </c>
      <c r="KE38889" s="7" t="s">
        <v>16</v>
      </c>
      <c r="KF38889" s="7" t="n">
        <f t="normal" ca="1">32-LENB(INDIRECT(ADDRESS(38889,291)))</f>
        <v>0</v>
      </c>
      <c r="KG38889" s="7" t="n">
        <v>7</v>
      </c>
      <c r="KH38889" s="7" t="n">
        <v>65533</v>
      </c>
      <c r="KI38889" s="7" t="n">
        <v>64742</v>
      </c>
      <c r="KJ38889" s="7" t="s">
        <v>16</v>
      </c>
      <c r="KK38889" s="7" t="n">
        <f t="normal" ca="1">32-LENB(INDIRECT(ADDRESS(38889,296)))</f>
        <v>0</v>
      </c>
      <c r="KL38889" s="7" t="n">
        <v>7</v>
      </c>
      <c r="KM38889" s="7" t="n">
        <v>65533</v>
      </c>
      <c r="KN38889" s="7" t="n">
        <v>64743</v>
      </c>
      <c r="KO38889" s="7" t="s">
        <v>16</v>
      </c>
      <c r="KP38889" s="7" t="n">
        <f t="normal" ca="1">32-LENB(INDIRECT(ADDRESS(38889,301)))</f>
        <v>0</v>
      </c>
      <c r="KQ38889" s="7" t="n">
        <v>7</v>
      </c>
      <c r="KR38889" s="7" t="n">
        <v>65533</v>
      </c>
      <c r="KS38889" s="7" t="n">
        <v>64744</v>
      </c>
      <c r="KT38889" s="7" t="s">
        <v>16</v>
      </c>
      <c r="KU38889" s="7" t="n">
        <f t="normal" ca="1">32-LENB(INDIRECT(ADDRESS(38889,306)))</f>
        <v>0</v>
      </c>
      <c r="KV38889" s="7" t="n">
        <v>7</v>
      </c>
      <c r="KW38889" s="7" t="n">
        <v>65533</v>
      </c>
      <c r="KX38889" s="7" t="n">
        <v>64745</v>
      </c>
      <c r="KY38889" s="7" t="s">
        <v>16</v>
      </c>
      <c r="KZ38889" s="7" t="n">
        <f t="normal" ca="1">32-LENB(INDIRECT(ADDRESS(38889,311)))</f>
        <v>0</v>
      </c>
      <c r="LA38889" s="7" t="n">
        <v>7</v>
      </c>
      <c r="LB38889" s="7" t="n">
        <v>65533</v>
      </c>
      <c r="LC38889" s="7" t="n">
        <v>64746</v>
      </c>
      <c r="LD38889" s="7" t="s">
        <v>16</v>
      </c>
      <c r="LE38889" s="7" t="n">
        <f t="normal" ca="1">32-LENB(INDIRECT(ADDRESS(38889,316)))</f>
        <v>0</v>
      </c>
      <c r="LF38889" s="7" t="n">
        <v>7</v>
      </c>
      <c r="LG38889" s="7" t="n">
        <v>65533</v>
      </c>
      <c r="LH38889" s="7" t="n">
        <v>64747</v>
      </c>
      <c r="LI38889" s="7" t="s">
        <v>16</v>
      </c>
      <c r="LJ38889" s="7" t="n">
        <f t="normal" ca="1">32-LENB(INDIRECT(ADDRESS(38889,321)))</f>
        <v>0</v>
      </c>
      <c r="LK38889" s="7" t="n">
        <v>7</v>
      </c>
      <c r="LL38889" s="7" t="n">
        <v>65533</v>
      </c>
      <c r="LM38889" s="7" t="n">
        <v>64712</v>
      </c>
      <c r="LN38889" s="7" t="s">
        <v>16</v>
      </c>
      <c r="LO38889" s="7" t="n">
        <f t="normal" ca="1">32-LENB(INDIRECT(ADDRESS(38889,326)))</f>
        <v>0</v>
      </c>
      <c r="LP38889" s="7" t="n">
        <v>7</v>
      </c>
      <c r="LQ38889" s="7" t="n">
        <v>65533</v>
      </c>
      <c r="LR38889" s="7" t="n">
        <v>64713</v>
      </c>
      <c r="LS38889" s="7" t="s">
        <v>16</v>
      </c>
      <c r="LT38889" s="7" t="n">
        <f t="normal" ca="1">32-LENB(INDIRECT(ADDRESS(38889,331)))</f>
        <v>0</v>
      </c>
      <c r="LU38889" s="7" t="n">
        <v>0</v>
      </c>
      <c r="LV38889" s="7" t="n">
        <v>65533</v>
      </c>
      <c r="LW38889" s="7" t="n">
        <v>0</v>
      </c>
      <c r="LX38889" s="7" t="s">
        <v>16</v>
      </c>
      <c r="LY38889" s="7" t="n">
        <f t="normal" ca="1">32-LENB(INDIRECT(ADDRESS(38889,336)))</f>
        <v>0</v>
      </c>
    </row>
    <row r="38890" spans="1:352">
      <c r="A38890" t="s">
        <v>4</v>
      </c>
      <c r="B38890" s="4" t="s">
        <v>5</v>
      </c>
    </row>
    <row r="38891" spans="1:352">
      <c r="A38891" t="n">
        <v>439736</v>
      </c>
      <c r="B38891" s="5" t="n">
        <v>1</v>
      </c>
    </row>
    <row r="38892" spans="1:352" s="3" customFormat="1" customHeight="0">
      <c r="A38892" s="3" t="s">
        <v>2</v>
      </c>
      <c r="B38892" s="3" t="s">
        <v>1887</v>
      </c>
    </row>
    <row r="38893" spans="1:352">
      <c r="A38893" t="s">
        <v>4</v>
      </c>
      <c r="B38893" s="4" t="s">
        <v>5</v>
      </c>
      <c r="C38893" s="4" t="s">
        <v>11</v>
      </c>
      <c r="D38893" s="4" t="s">
        <v>11</v>
      </c>
      <c r="E38893" s="4" t="s">
        <v>15</v>
      </c>
      <c r="F38893" s="4" t="s">
        <v>8</v>
      </c>
      <c r="G38893" s="4" t="s">
        <v>1859</v>
      </c>
      <c r="H38893" s="4" t="s">
        <v>11</v>
      </c>
      <c r="I38893" s="4" t="s">
        <v>11</v>
      </c>
      <c r="J38893" s="4" t="s">
        <v>15</v>
      </c>
      <c r="K38893" s="4" t="s">
        <v>8</v>
      </c>
      <c r="L38893" s="4" t="s">
        <v>1859</v>
      </c>
      <c r="M38893" s="4" t="s">
        <v>11</v>
      </c>
      <c r="N38893" s="4" t="s">
        <v>11</v>
      </c>
      <c r="O38893" s="4" t="s">
        <v>15</v>
      </c>
      <c r="P38893" s="4" t="s">
        <v>8</v>
      </c>
      <c r="Q38893" s="4" t="s">
        <v>1859</v>
      </c>
      <c r="R38893" s="4" t="s">
        <v>11</v>
      </c>
      <c r="S38893" s="4" t="s">
        <v>11</v>
      </c>
      <c r="T38893" s="4" t="s">
        <v>15</v>
      </c>
      <c r="U38893" s="4" t="s">
        <v>8</v>
      </c>
      <c r="V38893" s="4" t="s">
        <v>1859</v>
      </c>
      <c r="W38893" s="4" t="s">
        <v>11</v>
      </c>
      <c r="X38893" s="4" t="s">
        <v>11</v>
      </c>
      <c r="Y38893" s="4" t="s">
        <v>15</v>
      </c>
      <c r="Z38893" s="4" t="s">
        <v>8</v>
      </c>
      <c r="AA38893" s="4" t="s">
        <v>1859</v>
      </c>
      <c r="AB38893" s="4" t="s">
        <v>11</v>
      </c>
      <c r="AC38893" s="4" t="s">
        <v>11</v>
      </c>
      <c r="AD38893" s="4" t="s">
        <v>15</v>
      </c>
      <c r="AE38893" s="4" t="s">
        <v>8</v>
      </c>
      <c r="AF38893" s="4" t="s">
        <v>1859</v>
      </c>
      <c r="AG38893" s="4" t="s">
        <v>11</v>
      </c>
      <c r="AH38893" s="4" t="s">
        <v>11</v>
      </c>
      <c r="AI38893" s="4" t="s">
        <v>15</v>
      </c>
      <c r="AJ38893" s="4" t="s">
        <v>8</v>
      </c>
      <c r="AK38893" s="4" t="s">
        <v>1859</v>
      </c>
      <c r="AL38893" s="4" t="s">
        <v>11</v>
      </c>
      <c r="AM38893" s="4" t="s">
        <v>11</v>
      </c>
      <c r="AN38893" s="4" t="s">
        <v>15</v>
      </c>
      <c r="AO38893" s="4" t="s">
        <v>8</v>
      </c>
      <c r="AP38893" s="4" t="s">
        <v>1859</v>
      </c>
      <c r="AQ38893" s="4" t="s">
        <v>11</v>
      </c>
      <c r="AR38893" s="4" t="s">
        <v>11</v>
      </c>
      <c r="AS38893" s="4" t="s">
        <v>15</v>
      </c>
      <c r="AT38893" s="4" t="s">
        <v>8</v>
      </c>
      <c r="AU38893" s="4" t="s">
        <v>1859</v>
      </c>
      <c r="AV38893" s="4" t="s">
        <v>11</v>
      </c>
      <c r="AW38893" s="4" t="s">
        <v>11</v>
      </c>
      <c r="AX38893" s="4" t="s">
        <v>15</v>
      </c>
      <c r="AY38893" s="4" t="s">
        <v>8</v>
      </c>
      <c r="AZ38893" s="4" t="s">
        <v>1859</v>
      </c>
      <c r="BA38893" s="4" t="s">
        <v>11</v>
      </c>
      <c r="BB38893" s="4" t="s">
        <v>11</v>
      </c>
      <c r="BC38893" s="4" t="s">
        <v>15</v>
      </c>
      <c r="BD38893" s="4" t="s">
        <v>8</v>
      </c>
      <c r="BE38893" s="4" t="s">
        <v>1859</v>
      </c>
      <c r="BF38893" s="4" t="s">
        <v>11</v>
      </c>
      <c r="BG38893" s="4" t="s">
        <v>11</v>
      </c>
      <c r="BH38893" s="4" t="s">
        <v>15</v>
      </c>
      <c r="BI38893" s="4" t="s">
        <v>8</v>
      </c>
      <c r="BJ38893" s="4" t="s">
        <v>1859</v>
      </c>
      <c r="BK38893" s="4" t="s">
        <v>11</v>
      </c>
      <c r="BL38893" s="4" t="s">
        <v>11</v>
      </c>
      <c r="BM38893" s="4" t="s">
        <v>15</v>
      </c>
      <c r="BN38893" s="4" t="s">
        <v>8</v>
      </c>
      <c r="BO38893" s="4" t="s">
        <v>1859</v>
      </c>
      <c r="BP38893" s="4" t="s">
        <v>11</v>
      </c>
      <c r="BQ38893" s="4" t="s">
        <v>11</v>
      </c>
      <c r="BR38893" s="4" t="s">
        <v>15</v>
      </c>
      <c r="BS38893" s="4" t="s">
        <v>8</v>
      </c>
      <c r="BT38893" s="4" t="s">
        <v>1859</v>
      </c>
      <c r="BU38893" s="4" t="s">
        <v>11</v>
      </c>
      <c r="BV38893" s="4" t="s">
        <v>11</v>
      </c>
      <c r="BW38893" s="4" t="s">
        <v>15</v>
      </c>
      <c r="BX38893" s="4" t="s">
        <v>8</v>
      </c>
      <c r="BY38893" s="4" t="s">
        <v>1859</v>
      </c>
      <c r="BZ38893" s="4" t="s">
        <v>11</v>
      </c>
      <c r="CA38893" s="4" t="s">
        <v>11</v>
      </c>
      <c r="CB38893" s="4" t="s">
        <v>15</v>
      </c>
      <c r="CC38893" s="4" t="s">
        <v>8</v>
      </c>
      <c r="CD38893" s="4" t="s">
        <v>1859</v>
      </c>
      <c r="CE38893" s="4" t="s">
        <v>11</v>
      </c>
      <c r="CF38893" s="4" t="s">
        <v>11</v>
      </c>
      <c r="CG38893" s="4" t="s">
        <v>15</v>
      </c>
      <c r="CH38893" s="4" t="s">
        <v>8</v>
      </c>
      <c r="CI38893" s="4" t="s">
        <v>1859</v>
      </c>
      <c r="CJ38893" s="4" t="s">
        <v>11</v>
      </c>
      <c r="CK38893" s="4" t="s">
        <v>11</v>
      </c>
      <c r="CL38893" s="4" t="s">
        <v>15</v>
      </c>
      <c r="CM38893" s="4" t="s">
        <v>8</v>
      </c>
      <c r="CN38893" s="4" t="s">
        <v>1859</v>
      </c>
      <c r="CO38893" s="4" t="s">
        <v>11</v>
      </c>
      <c r="CP38893" s="4" t="s">
        <v>11</v>
      </c>
      <c r="CQ38893" s="4" t="s">
        <v>15</v>
      </c>
      <c r="CR38893" s="4" t="s">
        <v>8</v>
      </c>
      <c r="CS38893" s="4" t="s">
        <v>1859</v>
      </c>
      <c r="CT38893" s="4" t="s">
        <v>11</v>
      </c>
      <c r="CU38893" s="4" t="s">
        <v>11</v>
      </c>
      <c r="CV38893" s="4" t="s">
        <v>15</v>
      </c>
      <c r="CW38893" s="4" t="s">
        <v>8</v>
      </c>
      <c r="CX38893" s="4" t="s">
        <v>1859</v>
      </c>
      <c r="CY38893" s="4" t="s">
        <v>11</v>
      </c>
      <c r="CZ38893" s="4" t="s">
        <v>11</v>
      </c>
      <c r="DA38893" s="4" t="s">
        <v>15</v>
      </c>
      <c r="DB38893" s="4" t="s">
        <v>8</v>
      </c>
      <c r="DC38893" s="4" t="s">
        <v>1859</v>
      </c>
      <c r="DD38893" s="4" t="s">
        <v>11</v>
      </c>
      <c r="DE38893" s="4" t="s">
        <v>11</v>
      </c>
      <c r="DF38893" s="4" t="s">
        <v>15</v>
      </c>
      <c r="DG38893" s="4" t="s">
        <v>8</v>
      </c>
      <c r="DH38893" s="4" t="s">
        <v>1859</v>
      </c>
      <c r="DI38893" s="4" t="s">
        <v>11</v>
      </c>
      <c r="DJ38893" s="4" t="s">
        <v>11</v>
      </c>
      <c r="DK38893" s="4" t="s">
        <v>15</v>
      </c>
      <c r="DL38893" s="4" t="s">
        <v>8</v>
      </c>
      <c r="DM38893" s="4" t="s">
        <v>1859</v>
      </c>
      <c r="DN38893" s="4" t="s">
        <v>11</v>
      </c>
      <c r="DO38893" s="4" t="s">
        <v>11</v>
      </c>
      <c r="DP38893" s="4" t="s">
        <v>15</v>
      </c>
      <c r="DQ38893" s="4" t="s">
        <v>8</v>
      </c>
      <c r="DR38893" s="4" t="s">
        <v>1859</v>
      </c>
      <c r="DS38893" s="4" t="s">
        <v>11</v>
      </c>
      <c r="DT38893" s="4" t="s">
        <v>11</v>
      </c>
      <c r="DU38893" s="4" t="s">
        <v>15</v>
      </c>
      <c r="DV38893" s="4" t="s">
        <v>8</v>
      </c>
      <c r="DW38893" s="4" t="s">
        <v>1859</v>
      </c>
      <c r="DX38893" s="4" t="s">
        <v>11</v>
      </c>
      <c r="DY38893" s="4" t="s">
        <v>11</v>
      </c>
      <c r="DZ38893" s="4" t="s">
        <v>15</v>
      </c>
      <c r="EA38893" s="4" t="s">
        <v>8</v>
      </c>
      <c r="EB38893" s="4" t="s">
        <v>1859</v>
      </c>
      <c r="EC38893" s="4" t="s">
        <v>11</v>
      </c>
      <c r="ED38893" s="4" t="s">
        <v>11</v>
      </c>
      <c r="EE38893" s="4" t="s">
        <v>15</v>
      </c>
      <c r="EF38893" s="4" t="s">
        <v>8</v>
      </c>
      <c r="EG38893" s="4" t="s">
        <v>1859</v>
      </c>
      <c r="EH38893" s="4" t="s">
        <v>11</v>
      </c>
      <c r="EI38893" s="4" t="s">
        <v>11</v>
      </c>
      <c r="EJ38893" s="4" t="s">
        <v>15</v>
      </c>
      <c r="EK38893" s="4" t="s">
        <v>8</v>
      </c>
      <c r="EL38893" s="4" t="s">
        <v>1859</v>
      </c>
      <c r="EM38893" s="4" t="s">
        <v>11</v>
      </c>
      <c r="EN38893" s="4" t="s">
        <v>11</v>
      </c>
      <c r="EO38893" s="4" t="s">
        <v>15</v>
      </c>
      <c r="EP38893" s="4" t="s">
        <v>8</v>
      </c>
      <c r="EQ38893" s="4" t="s">
        <v>1859</v>
      </c>
      <c r="ER38893" s="4" t="s">
        <v>11</v>
      </c>
      <c r="ES38893" s="4" t="s">
        <v>11</v>
      </c>
      <c r="ET38893" s="4" t="s">
        <v>15</v>
      </c>
      <c r="EU38893" s="4" t="s">
        <v>8</v>
      </c>
      <c r="EV38893" s="4" t="s">
        <v>1859</v>
      </c>
      <c r="EW38893" s="4" t="s">
        <v>11</v>
      </c>
      <c r="EX38893" s="4" t="s">
        <v>11</v>
      </c>
      <c r="EY38893" s="4" t="s">
        <v>15</v>
      </c>
      <c r="EZ38893" s="4" t="s">
        <v>8</v>
      </c>
      <c r="FA38893" s="4" t="s">
        <v>1859</v>
      </c>
      <c r="FB38893" s="4" t="s">
        <v>11</v>
      </c>
      <c r="FC38893" s="4" t="s">
        <v>11</v>
      </c>
      <c r="FD38893" s="4" t="s">
        <v>15</v>
      </c>
      <c r="FE38893" s="4" t="s">
        <v>8</v>
      </c>
      <c r="FF38893" s="4" t="s">
        <v>1859</v>
      </c>
      <c r="FG38893" s="4" t="s">
        <v>11</v>
      </c>
      <c r="FH38893" s="4" t="s">
        <v>11</v>
      </c>
      <c r="FI38893" s="4" t="s">
        <v>15</v>
      </c>
      <c r="FJ38893" s="4" t="s">
        <v>8</v>
      </c>
      <c r="FK38893" s="4" t="s">
        <v>1859</v>
      </c>
      <c r="FL38893" s="4" t="s">
        <v>11</v>
      </c>
      <c r="FM38893" s="4" t="s">
        <v>11</v>
      </c>
      <c r="FN38893" s="4" t="s">
        <v>15</v>
      </c>
      <c r="FO38893" s="4" t="s">
        <v>8</v>
      </c>
      <c r="FP38893" s="4" t="s">
        <v>1859</v>
      </c>
      <c r="FQ38893" s="4" t="s">
        <v>11</v>
      </c>
      <c r="FR38893" s="4" t="s">
        <v>11</v>
      </c>
      <c r="FS38893" s="4" t="s">
        <v>15</v>
      </c>
      <c r="FT38893" s="4" t="s">
        <v>8</v>
      </c>
      <c r="FU38893" s="4" t="s">
        <v>1859</v>
      </c>
      <c r="FV38893" s="4" t="s">
        <v>11</v>
      </c>
      <c r="FW38893" s="4" t="s">
        <v>11</v>
      </c>
      <c r="FX38893" s="4" t="s">
        <v>15</v>
      </c>
      <c r="FY38893" s="4" t="s">
        <v>8</v>
      </c>
      <c r="FZ38893" s="4" t="s">
        <v>1859</v>
      </c>
      <c r="GA38893" s="4" t="s">
        <v>11</v>
      </c>
      <c r="GB38893" s="4" t="s">
        <v>11</v>
      </c>
      <c r="GC38893" s="4" t="s">
        <v>15</v>
      </c>
      <c r="GD38893" s="4" t="s">
        <v>8</v>
      </c>
      <c r="GE38893" s="4" t="s">
        <v>1859</v>
      </c>
      <c r="GF38893" s="4" t="s">
        <v>11</v>
      </c>
      <c r="GG38893" s="4" t="s">
        <v>11</v>
      </c>
      <c r="GH38893" s="4" t="s">
        <v>15</v>
      </c>
      <c r="GI38893" s="4" t="s">
        <v>8</v>
      </c>
      <c r="GJ38893" s="4" t="s">
        <v>1859</v>
      </c>
      <c r="GK38893" s="4" t="s">
        <v>11</v>
      </c>
      <c r="GL38893" s="4" t="s">
        <v>11</v>
      </c>
      <c r="GM38893" s="4" t="s">
        <v>15</v>
      </c>
      <c r="GN38893" s="4" t="s">
        <v>8</v>
      </c>
      <c r="GO38893" s="4" t="s">
        <v>1859</v>
      </c>
      <c r="GP38893" s="4" t="s">
        <v>11</v>
      </c>
      <c r="GQ38893" s="4" t="s">
        <v>11</v>
      </c>
      <c r="GR38893" s="4" t="s">
        <v>15</v>
      </c>
      <c r="GS38893" s="4" t="s">
        <v>8</v>
      </c>
      <c r="GT38893" s="4" t="s">
        <v>1859</v>
      </c>
      <c r="GU38893" s="4" t="s">
        <v>11</v>
      </c>
      <c r="GV38893" s="4" t="s">
        <v>11</v>
      </c>
      <c r="GW38893" s="4" t="s">
        <v>15</v>
      </c>
      <c r="GX38893" s="4" t="s">
        <v>8</v>
      </c>
      <c r="GY38893" s="4" t="s">
        <v>1859</v>
      </c>
      <c r="GZ38893" s="4" t="s">
        <v>11</v>
      </c>
      <c r="HA38893" s="4" t="s">
        <v>11</v>
      </c>
      <c r="HB38893" s="4" t="s">
        <v>15</v>
      </c>
      <c r="HC38893" s="4" t="s">
        <v>8</v>
      </c>
      <c r="HD38893" s="4" t="s">
        <v>1859</v>
      </c>
      <c r="HE38893" s="4" t="s">
        <v>11</v>
      </c>
      <c r="HF38893" s="4" t="s">
        <v>11</v>
      </c>
      <c r="HG38893" s="4" t="s">
        <v>15</v>
      </c>
      <c r="HH38893" s="4" t="s">
        <v>8</v>
      </c>
      <c r="HI38893" s="4" t="s">
        <v>1859</v>
      </c>
    </row>
    <row r="38894" spans="1:352">
      <c r="A38894" t="n">
        <v>439744</v>
      </c>
      <c r="B38894" s="85" t="n">
        <v>257</v>
      </c>
      <c r="C38894" s="7" t="n">
        <v>7</v>
      </c>
      <c r="D38894" s="7" t="n">
        <v>65533</v>
      </c>
      <c r="E38894" s="7" t="n">
        <v>64748</v>
      </c>
      <c r="F38894" s="7" t="s">
        <v>16</v>
      </c>
      <c r="G38894" s="7" t="n">
        <f t="normal" ca="1">32-LENB(INDIRECT(ADDRESS(38894,6)))</f>
        <v>0</v>
      </c>
      <c r="H38894" s="7" t="n">
        <v>7</v>
      </c>
      <c r="I38894" s="7" t="n">
        <v>65533</v>
      </c>
      <c r="J38894" s="7" t="n">
        <v>64749</v>
      </c>
      <c r="K38894" s="7" t="s">
        <v>16</v>
      </c>
      <c r="L38894" s="7" t="n">
        <f t="normal" ca="1">32-LENB(INDIRECT(ADDRESS(38894,11)))</f>
        <v>0</v>
      </c>
      <c r="M38894" s="7" t="n">
        <v>7</v>
      </c>
      <c r="N38894" s="7" t="n">
        <v>65533</v>
      </c>
      <c r="O38894" s="7" t="n">
        <v>64750</v>
      </c>
      <c r="P38894" s="7" t="s">
        <v>16</v>
      </c>
      <c r="Q38894" s="7" t="n">
        <f t="normal" ca="1">32-LENB(INDIRECT(ADDRESS(38894,16)))</f>
        <v>0</v>
      </c>
      <c r="R38894" s="7" t="n">
        <v>7</v>
      </c>
      <c r="S38894" s="7" t="n">
        <v>65533</v>
      </c>
      <c r="T38894" s="7" t="n">
        <v>64751</v>
      </c>
      <c r="U38894" s="7" t="s">
        <v>16</v>
      </c>
      <c r="V38894" s="7" t="n">
        <f t="normal" ca="1">32-LENB(INDIRECT(ADDRESS(38894,21)))</f>
        <v>0</v>
      </c>
      <c r="W38894" s="7" t="n">
        <v>7</v>
      </c>
      <c r="X38894" s="7" t="n">
        <v>65533</v>
      </c>
      <c r="Y38894" s="7" t="n">
        <v>64752</v>
      </c>
      <c r="Z38894" s="7" t="s">
        <v>16</v>
      </c>
      <c r="AA38894" s="7" t="n">
        <f t="normal" ca="1">32-LENB(INDIRECT(ADDRESS(38894,26)))</f>
        <v>0</v>
      </c>
      <c r="AB38894" s="7" t="n">
        <v>7</v>
      </c>
      <c r="AC38894" s="7" t="n">
        <v>65533</v>
      </c>
      <c r="AD38894" s="7" t="n">
        <v>64753</v>
      </c>
      <c r="AE38894" s="7" t="s">
        <v>16</v>
      </c>
      <c r="AF38894" s="7" t="n">
        <f t="normal" ca="1">32-LENB(INDIRECT(ADDRESS(38894,31)))</f>
        <v>0</v>
      </c>
      <c r="AG38894" s="7" t="n">
        <v>7</v>
      </c>
      <c r="AH38894" s="7" t="n">
        <v>65533</v>
      </c>
      <c r="AI38894" s="7" t="n">
        <v>64754</v>
      </c>
      <c r="AJ38894" s="7" t="s">
        <v>16</v>
      </c>
      <c r="AK38894" s="7" t="n">
        <f t="normal" ca="1">32-LENB(INDIRECT(ADDRESS(38894,36)))</f>
        <v>0</v>
      </c>
      <c r="AL38894" s="7" t="n">
        <v>7</v>
      </c>
      <c r="AM38894" s="7" t="n">
        <v>65533</v>
      </c>
      <c r="AN38894" s="7" t="n">
        <v>64755</v>
      </c>
      <c r="AO38894" s="7" t="s">
        <v>16</v>
      </c>
      <c r="AP38894" s="7" t="n">
        <f t="normal" ca="1">32-LENB(INDIRECT(ADDRESS(38894,41)))</f>
        <v>0</v>
      </c>
      <c r="AQ38894" s="7" t="n">
        <v>7</v>
      </c>
      <c r="AR38894" s="7" t="n">
        <v>65533</v>
      </c>
      <c r="AS38894" s="7" t="n">
        <v>64756</v>
      </c>
      <c r="AT38894" s="7" t="s">
        <v>16</v>
      </c>
      <c r="AU38894" s="7" t="n">
        <f t="normal" ca="1">32-LENB(INDIRECT(ADDRESS(38894,46)))</f>
        <v>0</v>
      </c>
      <c r="AV38894" s="7" t="n">
        <v>7</v>
      </c>
      <c r="AW38894" s="7" t="n">
        <v>65533</v>
      </c>
      <c r="AX38894" s="7" t="n">
        <v>64757</v>
      </c>
      <c r="AY38894" s="7" t="s">
        <v>16</v>
      </c>
      <c r="AZ38894" s="7" t="n">
        <f t="normal" ca="1">32-LENB(INDIRECT(ADDRESS(38894,51)))</f>
        <v>0</v>
      </c>
      <c r="BA38894" s="7" t="n">
        <v>7</v>
      </c>
      <c r="BB38894" s="7" t="n">
        <v>65533</v>
      </c>
      <c r="BC38894" s="7" t="n">
        <v>64268</v>
      </c>
      <c r="BD38894" s="7" t="s">
        <v>16</v>
      </c>
      <c r="BE38894" s="7" t="n">
        <f t="normal" ca="1">32-LENB(INDIRECT(ADDRESS(38894,56)))</f>
        <v>0</v>
      </c>
      <c r="BF38894" s="7" t="n">
        <v>7</v>
      </c>
      <c r="BG38894" s="7" t="n">
        <v>65533</v>
      </c>
      <c r="BH38894" s="7" t="n">
        <v>64758</v>
      </c>
      <c r="BI38894" s="7" t="s">
        <v>16</v>
      </c>
      <c r="BJ38894" s="7" t="n">
        <f t="normal" ca="1">32-LENB(INDIRECT(ADDRESS(38894,61)))</f>
        <v>0</v>
      </c>
      <c r="BK38894" s="7" t="n">
        <v>7</v>
      </c>
      <c r="BL38894" s="7" t="n">
        <v>65533</v>
      </c>
      <c r="BM38894" s="7" t="n">
        <v>64759</v>
      </c>
      <c r="BN38894" s="7" t="s">
        <v>16</v>
      </c>
      <c r="BO38894" s="7" t="n">
        <f t="normal" ca="1">32-LENB(INDIRECT(ADDRESS(38894,66)))</f>
        <v>0</v>
      </c>
      <c r="BP38894" s="7" t="n">
        <v>7</v>
      </c>
      <c r="BQ38894" s="7" t="n">
        <v>65533</v>
      </c>
      <c r="BR38894" s="7" t="n">
        <v>64760</v>
      </c>
      <c r="BS38894" s="7" t="s">
        <v>16</v>
      </c>
      <c r="BT38894" s="7" t="n">
        <f t="normal" ca="1">32-LENB(INDIRECT(ADDRESS(38894,71)))</f>
        <v>0</v>
      </c>
      <c r="BU38894" s="7" t="n">
        <v>7</v>
      </c>
      <c r="BV38894" s="7" t="n">
        <v>65533</v>
      </c>
      <c r="BW38894" s="7" t="n">
        <v>64761</v>
      </c>
      <c r="BX38894" s="7" t="s">
        <v>16</v>
      </c>
      <c r="BY38894" s="7" t="n">
        <f t="normal" ca="1">32-LENB(INDIRECT(ADDRESS(38894,76)))</f>
        <v>0</v>
      </c>
      <c r="BZ38894" s="7" t="n">
        <v>7</v>
      </c>
      <c r="CA38894" s="7" t="n">
        <v>65533</v>
      </c>
      <c r="CB38894" s="7" t="n">
        <v>64762</v>
      </c>
      <c r="CC38894" s="7" t="s">
        <v>16</v>
      </c>
      <c r="CD38894" s="7" t="n">
        <f t="normal" ca="1">32-LENB(INDIRECT(ADDRESS(38894,81)))</f>
        <v>0</v>
      </c>
      <c r="CE38894" s="7" t="n">
        <v>7</v>
      </c>
      <c r="CF38894" s="7" t="n">
        <v>65533</v>
      </c>
      <c r="CG38894" s="7" t="n">
        <v>64763</v>
      </c>
      <c r="CH38894" s="7" t="s">
        <v>16</v>
      </c>
      <c r="CI38894" s="7" t="n">
        <f t="normal" ca="1">32-LENB(INDIRECT(ADDRESS(38894,86)))</f>
        <v>0</v>
      </c>
      <c r="CJ38894" s="7" t="n">
        <v>7</v>
      </c>
      <c r="CK38894" s="7" t="n">
        <v>65533</v>
      </c>
      <c r="CL38894" s="7" t="n">
        <v>64764</v>
      </c>
      <c r="CM38894" s="7" t="s">
        <v>16</v>
      </c>
      <c r="CN38894" s="7" t="n">
        <f t="normal" ca="1">32-LENB(INDIRECT(ADDRESS(38894,91)))</f>
        <v>0</v>
      </c>
      <c r="CO38894" s="7" t="n">
        <v>7</v>
      </c>
      <c r="CP38894" s="7" t="n">
        <v>65533</v>
      </c>
      <c r="CQ38894" s="7" t="n">
        <v>64765</v>
      </c>
      <c r="CR38894" s="7" t="s">
        <v>16</v>
      </c>
      <c r="CS38894" s="7" t="n">
        <f t="normal" ca="1">32-LENB(INDIRECT(ADDRESS(38894,96)))</f>
        <v>0</v>
      </c>
      <c r="CT38894" s="7" t="n">
        <v>7</v>
      </c>
      <c r="CU38894" s="7" t="n">
        <v>65533</v>
      </c>
      <c r="CV38894" s="7" t="n">
        <v>64766</v>
      </c>
      <c r="CW38894" s="7" t="s">
        <v>16</v>
      </c>
      <c r="CX38894" s="7" t="n">
        <f t="normal" ca="1">32-LENB(INDIRECT(ADDRESS(38894,101)))</f>
        <v>0</v>
      </c>
      <c r="CY38894" s="7" t="n">
        <v>7</v>
      </c>
      <c r="CZ38894" s="7" t="n">
        <v>65533</v>
      </c>
      <c r="DA38894" s="7" t="n">
        <v>64767</v>
      </c>
      <c r="DB38894" s="7" t="s">
        <v>16</v>
      </c>
      <c r="DC38894" s="7" t="n">
        <f t="normal" ca="1">32-LENB(INDIRECT(ADDRESS(38894,106)))</f>
        <v>0</v>
      </c>
      <c r="DD38894" s="7" t="n">
        <v>7</v>
      </c>
      <c r="DE38894" s="7" t="n">
        <v>65533</v>
      </c>
      <c r="DF38894" s="7" t="n">
        <v>64768</v>
      </c>
      <c r="DG38894" s="7" t="s">
        <v>16</v>
      </c>
      <c r="DH38894" s="7" t="n">
        <f t="normal" ca="1">32-LENB(INDIRECT(ADDRESS(38894,111)))</f>
        <v>0</v>
      </c>
      <c r="DI38894" s="7" t="n">
        <v>7</v>
      </c>
      <c r="DJ38894" s="7" t="n">
        <v>65533</v>
      </c>
      <c r="DK38894" s="7" t="n">
        <v>64769</v>
      </c>
      <c r="DL38894" s="7" t="s">
        <v>16</v>
      </c>
      <c r="DM38894" s="7" t="n">
        <f t="normal" ca="1">32-LENB(INDIRECT(ADDRESS(38894,116)))</f>
        <v>0</v>
      </c>
      <c r="DN38894" s="7" t="n">
        <v>7</v>
      </c>
      <c r="DO38894" s="7" t="n">
        <v>65533</v>
      </c>
      <c r="DP38894" s="7" t="n">
        <v>64770</v>
      </c>
      <c r="DQ38894" s="7" t="s">
        <v>16</v>
      </c>
      <c r="DR38894" s="7" t="n">
        <f t="normal" ca="1">32-LENB(INDIRECT(ADDRESS(38894,121)))</f>
        <v>0</v>
      </c>
      <c r="DS38894" s="7" t="n">
        <v>7</v>
      </c>
      <c r="DT38894" s="7" t="n">
        <v>65533</v>
      </c>
      <c r="DU38894" s="7" t="n">
        <v>64771</v>
      </c>
      <c r="DV38894" s="7" t="s">
        <v>16</v>
      </c>
      <c r="DW38894" s="7" t="n">
        <f t="normal" ca="1">32-LENB(INDIRECT(ADDRESS(38894,126)))</f>
        <v>0</v>
      </c>
      <c r="DX38894" s="7" t="n">
        <v>7</v>
      </c>
      <c r="DY38894" s="7" t="n">
        <v>65533</v>
      </c>
      <c r="DZ38894" s="7" t="n">
        <v>64772</v>
      </c>
      <c r="EA38894" s="7" t="s">
        <v>16</v>
      </c>
      <c r="EB38894" s="7" t="n">
        <f t="normal" ca="1">32-LENB(INDIRECT(ADDRESS(38894,131)))</f>
        <v>0</v>
      </c>
      <c r="EC38894" s="7" t="n">
        <v>7</v>
      </c>
      <c r="ED38894" s="7" t="n">
        <v>65533</v>
      </c>
      <c r="EE38894" s="7" t="n">
        <v>64773</v>
      </c>
      <c r="EF38894" s="7" t="s">
        <v>16</v>
      </c>
      <c r="EG38894" s="7" t="n">
        <f t="normal" ca="1">32-LENB(INDIRECT(ADDRESS(38894,136)))</f>
        <v>0</v>
      </c>
      <c r="EH38894" s="7" t="n">
        <v>4</v>
      </c>
      <c r="EI38894" s="7" t="n">
        <v>65533</v>
      </c>
      <c r="EJ38894" s="7" t="n">
        <v>2004</v>
      </c>
      <c r="EK38894" s="7" t="s">
        <v>16</v>
      </c>
      <c r="EL38894" s="7" t="n">
        <f t="normal" ca="1">32-LENB(INDIRECT(ADDRESS(38894,141)))</f>
        <v>0</v>
      </c>
      <c r="EM38894" s="7" t="n">
        <v>7</v>
      </c>
      <c r="EN38894" s="7" t="n">
        <v>65533</v>
      </c>
      <c r="EO38894" s="7" t="n">
        <v>64774</v>
      </c>
      <c r="EP38894" s="7" t="s">
        <v>16</v>
      </c>
      <c r="EQ38894" s="7" t="n">
        <f t="normal" ca="1">32-LENB(INDIRECT(ADDRESS(38894,146)))</f>
        <v>0</v>
      </c>
      <c r="ER38894" s="7" t="n">
        <v>7</v>
      </c>
      <c r="ES38894" s="7" t="n">
        <v>65533</v>
      </c>
      <c r="ET38894" s="7" t="n">
        <v>64775</v>
      </c>
      <c r="EU38894" s="7" t="s">
        <v>16</v>
      </c>
      <c r="EV38894" s="7" t="n">
        <f t="normal" ca="1">32-LENB(INDIRECT(ADDRESS(38894,151)))</f>
        <v>0</v>
      </c>
      <c r="EW38894" s="7" t="n">
        <v>7</v>
      </c>
      <c r="EX38894" s="7" t="n">
        <v>65533</v>
      </c>
      <c r="EY38894" s="7" t="n">
        <v>64776</v>
      </c>
      <c r="EZ38894" s="7" t="s">
        <v>16</v>
      </c>
      <c r="FA38894" s="7" t="n">
        <f t="normal" ca="1">32-LENB(INDIRECT(ADDRESS(38894,156)))</f>
        <v>0</v>
      </c>
      <c r="FB38894" s="7" t="n">
        <v>7</v>
      </c>
      <c r="FC38894" s="7" t="n">
        <v>65533</v>
      </c>
      <c r="FD38894" s="7" t="n">
        <v>64777</v>
      </c>
      <c r="FE38894" s="7" t="s">
        <v>16</v>
      </c>
      <c r="FF38894" s="7" t="n">
        <f t="normal" ca="1">32-LENB(INDIRECT(ADDRESS(38894,161)))</f>
        <v>0</v>
      </c>
      <c r="FG38894" s="7" t="n">
        <v>7</v>
      </c>
      <c r="FH38894" s="7" t="n">
        <v>65533</v>
      </c>
      <c r="FI38894" s="7" t="n">
        <v>64778</v>
      </c>
      <c r="FJ38894" s="7" t="s">
        <v>16</v>
      </c>
      <c r="FK38894" s="7" t="n">
        <f t="normal" ca="1">32-LENB(INDIRECT(ADDRESS(38894,166)))</f>
        <v>0</v>
      </c>
      <c r="FL38894" s="7" t="n">
        <v>7</v>
      </c>
      <c r="FM38894" s="7" t="n">
        <v>65533</v>
      </c>
      <c r="FN38894" s="7" t="n">
        <v>64779</v>
      </c>
      <c r="FO38894" s="7" t="s">
        <v>16</v>
      </c>
      <c r="FP38894" s="7" t="n">
        <f t="normal" ca="1">32-LENB(INDIRECT(ADDRESS(38894,171)))</f>
        <v>0</v>
      </c>
      <c r="FQ38894" s="7" t="n">
        <v>4</v>
      </c>
      <c r="FR38894" s="7" t="n">
        <v>65533</v>
      </c>
      <c r="FS38894" s="7" t="n">
        <v>2004</v>
      </c>
      <c r="FT38894" s="7" t="s">
        <v>16</v>
      </c>
      <c r="FU38894" s="7" t="n">
        <f t="normal" ca="1">32-LENB(INDIRECT(ADDRESS(38894,176)))</f>
        <v>0</v>
      </c>
      <c r="FV38894" s="7" t="n">
        <v>7</v>
      </c>
      <c r="FW38894" s="7" t="n">
        <v>65533</v>
      </c>
      <c r="FX38894" s="7" t="n">
        <v>64780</v>
      </c>
      <c r="FY38894" s="7" t="s">
        <v>16</v>
      </c>
      <c r="FZ38894" s="7" t="n">
        <f t="normal" ca="1">32-LENB(INDIRECT(ADDRESS(38894,181)))</f>
        <v>0</v>
      </c>
      <c r="GA38894" s="7" t="n">
        <v>7</v>
      </c>
      <c r="GB38894" s="7" t="n">
        <v>65533</v>
      </c>
      <c r="GC38894" s="7" t="n">
        <v>64781</v>
      </c>
      <c r="GD38894" s="7" t="s">
        <v>16</v>
      </c>
      <c r="GE38894" s="7" t="n">
        <f t="normal" ca="1">32-LENB(INDIRECT(ADDRESS(38894,186)))</f>
        <v>0</v>
      </c>
      <c r="GF38894" s="7" t="n">
        <v>7</v>
      </c>
      <c r="GG38894" s="7" t="n">
        <v>65533</v>
      </c>
      <c r="GH38894" s="7" t="n">
        <v>64782</v>
      </c>
      <c r="GI38894" s="7" t="s">
        <v>16</v>
      </c>
      <c r="GJ38894" s="7" t="n">
        <f t="normal" ca="1">32-LENB(INDIRECT(ADDRESS(38894,191)))</f>
        <v>0</v>
      </c>
      <c r="GK38894" s="7" t="n">
        <v>7</v>
      </c>
      <c r="GL38894" s="7" t="n">
        <v>65533</v>
      </c>
      <c r="GM38894" s="7" t="n">
        <v>64783</v>
      </c>
      <c r="GN38894" s="7" t="s">
        <v>16</v>
      </c>
      <c r="GO38894" s="7" t="n">
        <f t="normal" ca="1">32-LENB(INDIRECT(ADDRESS(38894,196)))</f>
        <v>0</v>
      </c>
      <c r="GP38894" s="7" t="n">
        <v>7</v>
      </c>
      <c r="GQ38894" s="7" t="n">
        <v>65533</v>
      </c>
      <c r="GR38894" s="7" t="n">
        <v>64784</v>
      </c>
      <c r="GS38894" s="7" t="s">
        <v>16</v>
      </c>
      <c r="GT38894" s="7" t="n">
        <f t="normal" ca="1">32-LENB(INDIRECT(ADDRESS(38894,201)))</f>
        <v>0</v>
      </c>
      <c r="GU38894" s="7" t="n">
        <v>7</v>
      </c>
      <c r="GV38894" s="7" t="n">
        <v>65533</v>
      </c>
      <c r="GW38894" s="7" t="n">
        <v>64785</v>
      </c>
      <c r="GX38894" s="7" t="s">
        <v>16</v>
      </c>
      <c r="GY38894" s="7" t="n">
        <f t="normal" ca="1">32-LENB(INDIRECT(ADDRESS(38894,206)))</f>
        <v>0</v>
      </c>
      <c r="GZ38894" s="7" t="n">
        <v>7</v>
      </c>
      <c r="HA38894" s="7" t="n">
        <v>65533</v>
      </c>
      <c r="HB38894" s="7" t="n">
        <v>64786</v>
      </c>
      <c r="HC38894" s="7" t="s">
        <v>16</v>
      </c>
      <c r="HD38894" s="7" t="n">
        <f t="normal" ca="1">32-LENB(INDIRECT(ADDRESS(38894,211)))</f>
        <v>0</v>
      </c>
      <c r="HE38894" s="7" t="n">
        <v>0</v>
      </c>
      <c r="HF38894" s="7" t="n">
        <v>65533</v>
      </c>
      <c r="HG38894" s="7" t="n">
        <v>0</v>
      </c>
      <c r="HH38894" s="7" t="s">
        <v>16</v>
      </c>
      <c r="HI38894" s="7" t="n">
        <f t="normal" ca="1">32-LENB(INDIRECT(ADDRESS(38894,216)))</f>
        <v>0</v>
      </c>
    </row>
    <row r="38895" spans="1:352">
      <c r="A38895" t="s">
        <v>4</v>
      </c>
      <c r="B38895" s="4" t="s">
        <v>5</v>
      </c>
    </row>
    <row r="38896" spans="1:352">
      <c r="A38896" t="n">
        <v>441464</v>
      </c>
      <c r="B38896" s="5" t="n">
        <v>1</v>
      </c>
    </row>
    <row r="38897" spans="1:337" s="3" customFormat="1" customHeight="0">
      <c r="A38897" s="3" t="s">
        <v>2</v>
      </c>
      <c r="B38897" s="3" t="s">
        <v>1888</v>
      </c>
    </row>
    <row r="38898" spans="1:337">
      <c r="A38898" t="s">
        <v>4</v>
      </c>
      <c r="B38898" s="4" t="s">
        <v>5</v>
      </c>
      <c r="C38898" s="4" t="s">
        <v>11</v>
      </c>
      <c r="D38898" s="4" t="s">
        <v>11</v>
      </c>
      <c r="E38898" s="4" t="s">
        <v>15</v>
      </c>
      <c r="F38898" s="4" t="s">
        <v>8</v>
      </c>
      <c r="G38898" s="4" t="s">
        <v>1859</v>
      </c>
      <c r="H38898" s="4" t="s">
        <v>11</v>
      </c>
      <c r="I38898" s="4" t="s">
        <v>11</v>
      </c>
      <c r="J38898" s="4" t="s">
        <v>15</v>
      </c>
      <c r="K38898" s="4" t="s">
        <v>8</v>
      </c>
      <c r="L38898" s="4" t="s">
        <v>1859</v>
      </c>
      <c r="M38898" s="4" t="s">
        <v>11</v>
      </c>
      <c r="N38898" s="4" t="s">
        <v>11</v>
      </c>
      <c r="O38898" s="4" t="s">
        <v>15</v>
      </c>
      <c r="P38898" s="4" t="s">
        <v>8</v>
      </c>
      <c r="Q38898" s="4" t="s">
        <v>1859</v>
      </c>
    </row>
    <row r="38899" spans="1:337">
      <c r="A38899" t="n">
        <v>441472</v>
      </c>
      <c r="B38899" s="85" t="n">
        <v>257</v>
      </c>
      <c r="C38899" s="7" t="n">
        <v>4</v>
      </c>
      <c r="D38899" s="7" t="n">
        <v>65533</v>
      </c>
      <c r="E38899" s="7" t="n">
        <v>12105</v>
      </c>
      <c r="F38899" s="7" t="s">
        <v>16</v>
      </c>
      <c r="G38899" s="7" t="n">
        <f t="normal" ca="1">32-LENB(INDIRECT(ADDRESS(38899,6)))</f>
        <v>0</v>
      </c>
      <c r="H38899" s="7" t="n">
        <v>4</v>
      </c>
      <c r="I38899" s="7" t="n">
        <v>65533</v>
      </c>
      <c r="J38899" s="7" t="n">
        <v>12105</v>
      </c>
      <c r="K38899" s="7" t="s">
        <v>16</v>
      </c>
      <c r="L38899" s="7" t="n">
        <f t="normal" ca="1">32-LENB(INDIRECT(ADDRESS(38899,11)))</f>
        <v>0</v>
      </c>
      <c r="M38899" s="7" t="n">
        <v>0</v>
      </c>
      <c r="N38899" s="7" t="n">
        <v>65533</v>
      </c>
      <c r="O38899" s="7" t="n">
        <v>0</v>
      </c>
      <c r="P38899" s="7" t="s">
        <v>16</v>
      </c>
      <c r="Q38899" s="7" t="n">
        <f t="normal" ca="1">32-LENB(INDIRECT(ADDRESS(38899,16)))</f>
        <v>0</v>
      </c>
    </row>
    <row r="38900" spans="1:337">
      <c r="A38900" t="s">
        <v>4</v>
      </c>
      <c r="B38900" s="4" t="s">
        <v>5</v>
      </c>
    </row>
    <row r="38901" spans="1:337">
      <c r="A38901" t="n">
        <v>441592</v>
      </c>
      <c r="B38901" s="5" t="n">
        <v>1</v>
      </c>
    </row>
    <row r="38902" spans="1:337" s="3" customFormat="1" customHeight="0">
      <c r="A38902" s="3" t="s">
        <v>2</v>
      </c>
      <c r="B38902" s="3" t="s">
        <v>1889</v>
      </c>
    </row>
    <row r="38903" spans="1:337">
      <c r="A38903" t="s">
        <v>4</v>
      </c>
      <c r="B38903" s="4" t="s">
        <v>5</v>
      </c>
      <c r="C38903" s="4" t="s">
        <v>11</v>
      </c>
      <c r="D38903" s="4" t="s">
        <v>11</v>
      </c>
      <c r="E38903" s="4" t="s">
        <v>15</v>
      </c>
      <c r="F38903" s="4" t="s">
        <v>8</v>
      </c>
      <c r="G38903" s="4" t="s">
        <v>1859</v>
      </c>
      <c r="H38903" s="4" t="s">
        <v>11</v>
      </c>
      <c r="I38903" s="4" t="s">
        <v>11</v>
      </c>
      <c r="J38903" s="4" t="s">
        <v>15</v>
      </c>
      <c r="K38903" s="4" t="s">
        <v>8</v>
      </c>
      <c r="L38903" s="4" t="s">
        <v>1859</v>
      </c>
      <c r="M38903" s="4" t="s">
        <v>11</v>
      </c>
      <c r="N38903" s="4" t="s">
        <v>11</v>
      </c>
      <c r="O38903" s="4" t="s">
        <v>15</v>
      </c>
      <c r="P38903" s="4" t="s">
        <v>8</v>
      </c>
      <c r="Q38903" s="4" t="s">
        <v>1859</v>
      </c>
      <c r="R38903" s="4" t="s">
        <v>11</v>
      </c>
      <c r="S38903" s="4" t="s">
        <v>11</v>
      </c>
      <c r="T38903" s="4" t="s">
        <v>15</v>
      </c>
      <c r="U38903" s="4" t="s">
        <v>8</v>
      </c>
      <c r="V38903" s="4" t="s">
        <v>1859</v>
      </c>
    </row>
    <row r="38904" spans="1:337">
      <c r="A38904" t="n">
        <v>441600</v>
      </c>
      <c r="B38904" s="85" t="n">
        <v>257</v>
      </c>
      <c r="C38904" s="7" t="n">
        <v>7</v>
      </c>
      <c r="D38904" s="7" t="n">
        <v>65533</v>
      </c>
      <c r="E38904" s="7" t="n">
        <v>64787</v>
      </c>
      <c r="F38904" s="7" t="s">
        <v>16</v>
      </c>
      <c r="G38904" s="7" t="n">
        <f t="normal" ca="1">32-LENB(INDIRECT(ADDRESS(38904,6)))</f>
        <v>0</v>
      </c>
      <c r="H38904" s="7" t="n">
        <v>7</v>
      </c>
      <c r="I38904" s="7" t="n">
        <v>65533</v>
      </c>
      <c r="J38904" s="7" t="n">
        <v>64788</v>
      </c>
      <c r="K38904" s="7" t="s">
        <v>16</v>
      </c>
      <c r="L38904" s="7" t="n">
        <f t="normal" ca="1">32-LENB(INDIRECT(ADDRESS(38904,11)))</f>
        <v>0</v>
      </c>
      <c r="M38904" s="7" t="n">
        <v>7</v>
      </c>
      <c r="N38904" s="7" t="n">
        <v>65533</v>
      </c>
      <c r="O38904" s="7" t="n">
        <v>64789</v>
      </c>
      <c r="P38904" s="7" t="s">
        <v>16</v>
      </c>
      <c r="Q38904" s="7" t="n">
        <f t="normal" ca="1">32-LENB(INDIRECT(ADDRESS(38904,16)))</f>
        <v>0</v>
      </c>
      <c r="R38904" s="7" t="n">
        <v>0</v>
      </c>
      <c r="S38904" s="7" t="n">
        <v>65533</v>
      </c>
      <c r="T38904" s="7" t="n">
        <v>0</v>
      </c>
      <c r="U38904" s="7" t="s">
        <v>16</v>
      </c>
      <c r="V38904" s="7" t="n">
        <f t="normal" ca="1">32-LENB(INDIRECT(ADDRESS(38904,21)))</f>
        <v>0</v>
      </c>
    </row>
    <row r="38905" spans="1:337">
      <c r="A38905" t="s">
        <v>4</v>
      </c>
      <c r="B38905" s="4" t="s">
        <v>5</v>
      </c>
    </row>
    <row r="38906" spans="1:337">
      <c r="A38906" t="n">
        <v>441760</v>
      </c>
      <c r="B38906" s="5" t="n">
        <v>1</v>
      </c>
    </row>
    <row r="38907" spans="1:337" s="3" customFormat="1" customHeight="0">
      <c r="A38907" s="3" t="s">
        <v>2</v>
      </c>
      <c r="B38907" s="3" t="s">
        <v>1890</v>
      </c>
    </row>
    <row r="38908" spans="1:337">
      <c r="A38908" t="s">
        <v>4</v>
      </c>
      <c r="B38908" s="4" t="s">
        <v>5</v>
      </c>
      <c r="C38908" s="4" t="s">
        <v>11</v>
      </c>
      <c r="D38908" s="4" t="s">
        <v>11</v>
      </c>
      <c r="E38908" s="4" t="s">
        <v>15</v>
      </c>
      <c r="F38908" s="4" t="s">
        <v>8</v>
      </c>
      <c r="G38908" s="4" t="s">
        <v>1859</v>
      </c>
      <c r="H38908" s="4" t="s">
        <v>11</v>
      </c>
      <c r="I38908" s="4" t="s">
        <v>11</v>
      </c>
      <c r="J38908" s="4" t="s">
        <v>15</v>
      </c>
      <c r="K38908" s="4" t="s">
        <v>8</v>
      </c>
      <c r="L38908" s="4" t="s">
        <v>1859</v>
      </c>
      <c r="M38908" s="4" t="s">
        <v>11</v>
      </c>
      <c r="N38908" s="4" t="s">
        <v>11</v>
      </c>
      <c r="O38908" s="4" t="s">
        <v>15</v>
      </c>
      <c r="P38908" s="4" t="s">
        <v>8</v>
      </c>
      <c r="Q38908" s="4" t="s">
        <v>1859</v>
      </c>
      <c r="R38908" s="4" t="s">
        <v>11</v>
      </c>
      <c r="S38908" s="4" t="s">
        <v>11</v>
      </c>
      <c r="T38908" s="4" t="s">
        <v>15</v>
      </c>
      <c r="U38908" s="4" t="s">
        <v>8</v>
      </c>
      <c r="V38908" s="4" t="s">
        <v>1859</v>
      </c>
      <c r="W38908" s="4" t="s">
        <v>11</v>
      </c>
      <c r="X38908" s="4" t="s">
        <v>11</v>
      </c>
      <c r="Y38908" s="4" t="s">
        <v>15</v>
      </c>
      <c r="Z38908" s="4" t="s">
        <v>8</v>
      </c>
      <c r="AA38908" s="4" t="s">
        <v>1859</v>
      </c>
      <c r="AB38908" s="4" t="s">
        <v>11</v>
      </c>
      <c r="AC38908" s="4" t="s">
        <v>11</v>
      </c>
      <c r="AD38908" s="4" t="s">
        <v>15</v>
      </c>
      <c r="AE38908" s="4" t="s">
        <v>8</v>
      </c>
      <c r="AF38908" s="4" t="s">
        <v>1859</v>
      </c>
      <c r="AG38908" s="4" t="s">
        <v>11</v>
      </c>
      <c r="AH38908" s="4" t="s">
        <v>11</v>
      </c>
      <c r="AI38908" s="4" t="s">
        <v>15</v>
      </c>
      <c r="AJ38908" s="4" t="s">
        <v>8</v>
      </c>
      <c r="AK38908" s="4" t="s">
        <v>1859</v>
      </c>
      <c r="AL38908" s="4" t="s">
        <v>11</v>
      </c>
      <c r="AM38908" s="4" t="s">
        <v>11</v>
      </c>
      <c r="AN38908" s="4" t="s">
        <v>15</v>
      </c>
      <c r="AO38908" s="4" t="s">
        <v>8</v>
      </c>
      <c r="AP38908" s="4" t="s">
        <v>1859</v>
      </c>
      <c r="AQ38908" s="4" t="s">
        <v>11</v>
      </c>
      <c r="AR38908" s="4" t="s">
        <v>11</v>
      </c>
      <c r="AS38908" s="4" t="s">
        <v>15</v>
      </c>
      <c r="AT38908" s="4" t="s">
        <v>8</v>
      </c>
      <c r="AU38908" s="4" t="s">
        <v>1859</v>
      </c>
      <c r="AV38908" s="4" t="s">
        <v>11</v>
      </c>
      <c r="AW38908" s="4" t="s">
        <v>11</v>
      </c>
      <c r="AX38908" s="4" t="s">
        <v>15</v>
      </c>
      <c r="AY38908" s="4" t="s">
        <v>8</v>
      </c>
      <c r="AZ38908" s="4" t="s">
        <v>1859</v>
      </c>
      <c r="BA38908" s="4" t="s">
        <v>11</v>
      </c>
      <c r="BB38908" s="4" t="s">
        <v>11</v>
      </c>
      <c r="BC38908" s="4" t="s">
        <v>15</v>
      </c>
      <c r="BD38908" s="4" t="s">
        <v>8</v>
      </c>
      <c r="BE38908" s="4" t="s">
        <v>1859</v>
      </c>
      <c r="BF38908" s="4" t="s">
        <v>11</v>
      </c>
      <c r="BG38908" s="4" t="s">
        <v>11</v>
      </c>
      <c r="BH38908" s="4" t="s">
        <v>15</v>
      </c>
      <c r="BI38908" s="4" t="s">
        <v>8</v>
      </c>
      <c r="BJ38908" s="4" t="s">
        <v>1859</v>
      </c>
    </row>
    <row r="38909" spans="1:337">
      <c r="A38909" t="n">
        <v>441776</v>
      </c>
      <c r="B38909" s="85" t="n">
        <v>257</v>
      </c>
      <c r="C38909" s="7" t="n">
        <v>7</v>
      </c>
      <c r="D38909" s="7" t="n">
        <v>65533</v>
      </c>
      <c r="E38909" s="7" t="n">
        <v>64268</v>
      </c>
      <c r="F38909" s="7" t="s">
        <v>16</v>
      </c>
      <c r="G38909" s="7" t="n">
        <f t="normal" ca="1">32-LENB(INDIRECT(ADDRESS(38909,6)))</f>
        <v>0</v>
      </c>
      <c r="H38909" s="7" t="n">
        <v>7</v>
      </c>
      <c r="I38909" s="7" t="n">
        <v>65533</v>
      </c>
      <c r="J38909" s="7" t="n">
        <v>28610</v>
      </c>
      <c r="K38909" s="7" t="s">
        <v>16</v>
      </c>
      <c r="L38909" s="7" t="n">
        <f t="normal" ca="1">32-LENB(INDIRECT(ADDRESS(38909,11)))</f>
        <v>0</v>
      </c>
      <c r="M38909" s="7" t="n">
        <v>7</v>
      </c>
      <c r="N38909" s="7" t="n">
        <v>65533</v>
      </c>
      <c r="O38909" s="7" t="n">
        <v>28611</v>
      </c>
      <c r="P38909" s="7" t="s">
        <v>16</v>
      </c>
      <c r="Q38909" s="7" t="n">
        <f t="normal" ca="1">32-LENB(INDIRECT(ADDRESS(38909,16)))</f>
        <v>0</v>
      </c>
      <c r="R38909" s="7" t="n">
        <v>7</v>
      </c>
      <c r="S38909" s="7" t="n">
        <v>65533</v>
      </c>
      <c r="T38909" s="7" t="n">
        <v>28612</v>
      </c>
      <c r="U38909" s="7" t="s">
        <v>16</v>
      </c>
      <c r="V38909" s="7" t="n">
        <f t="normal" ca="1">32-LENB(INDIRECT(ADDRESS(38909,21)))</f>
        <v>0</v>
      </c>
      <c r="W38909" s="7" t="n">
        <v>7</v>
      </c>
      <c r="X38909" s="7" t="n">
        <v>65533</v>
      </c>
      <c r="Y38909" s="7" t="n">
        <v>64790</v>
      </c>
      <c r="Z38909" s="7" t="s">
        <v>16</v>
      </c>
      <c r="AA38909" s="7" t="n">
        <f t="normal" ca="1">32-LENB(INDIRECT(ADDRESS(38909,26)))</f>
        <v>0</v>
      </c>
      <c r="AB38909" s="7" t="n">
        <v>7</v>
      </c>
      <c r="AC38909" s="7" t="n">
        <v>65533</v>
      </c>
      <c r="AD38909" s="7" t="n">
        <v>64791</v>
      </c>
      <c r="AE38909" s="7" t="s">
        <v>16</v>
      </c>
      <c r="AF38909" s="7" t="n">
        <f t="normal" ca="1">32-LENB(INDIRECT(ADDRESS(38909,31)))</f>
        <v>0</v>
      </c>
      <c r="AG38909" s="7" t="n">
        <v>7</v>
      </c>
      <c r="AH38909" s="7" t="n">
        <v>65533</v>
      </c>
      <c r="AI38909" s="7" t="n">
        <v>64792</v>
      </c>
      <c r="AJ38909" s="7" t="s">
        <v>16</v>
      </c>
      <c r="AK38909" s="7" t="n">
        <f t="normal" ca="1">32-LENB(INDIRECT(ADDRESS(38909,36)))</f>
        <v>0</v>
      </c>
      <c r="AL38909" s="7" t="n">
        <v>7</v>
      </c>
      <c r="AM38909" s="7" t="n">
        <v>65533</v>
      </c>
      <c r="AN38909" s="7" t="n">
        <v>64793</v>
      </c>
      <c r="AO38909" s="7" t="s">
        <v>16</v>
      </c>
      <c r="AP38909" s="7" t="n">
        <f t="normal" ca="1">32-LENB(INDIRECT(ADDRESS(38909,41)))</f>
        <v>0</v>
      </c>
      <c r="AQ38909" s="7" t="n">
        <v>7</v>
      </c>
      <c r="AR38909" s="7" t="n">
        <v>65533</v>
      </c>
      <c r="AS38909" s="7" t="n">
        <v>64794</v>
      </c>
      <c r="AT38909" s="7" t="s">
        <v>16</v>
      </c>
      <c r="AU38909" s="7" t="n">
        <f t="normal" ca="1">32-LENB(INDIRECT(ADDRESS(38909,46)))</f>
        <v>0</v>
      </c>
      <c r="AV38909" s="7" t="n">
        <v>7</v>
      </c>
      <c r="AW38909" s="7" t="n">
        <v>65533</v>
      </c>
      <c r="AX38909" s="7" t="n">
        <v>64795</v>
      </c>
      <c r="AY38909" s="7" t="s">
        <v>16</v>
      </c>
      <c r="AZ38909" s="7" t="n">
        <f t="normal" ca="1">32-LENB(INDIRECT(ADDRESS(38909,51)))</f>
        <v>0</v>
      </c>
      <c r="BA38909" s="7" t="n">
        <v>7</v>
      </c>
      <c r="BB38909" s="7" t="n">
        <v>65533</v>
      </c>
      <c r="BC38909" s="7" t="n">
        <v>64796</v>
      </c>
      <c r="BD38909" s="7" t="s">
        <v>16</v>
      </c>
      <c r="BE38909" s="7" t="n">
        <f t="normal" ca="1">32-LENB(INDIRECT(ADDRESS(38909,56)))</f>
        <v>0</v>
      </c>
      <c r="BF38909" s="7" t="n">
        <v>0</v>
      </c>
      <c r="BG38909" s="7" t="n">
        <v>65533</v>
      </c>
      <c r="BH38909" s="7" t="n">
        <v>0</v>
      </c>
      <c r="BI38909" s="7" t="s">
        <v>16</v>
      </c>
      <c r="BJ38909" s="7" t="n">
        <f t="normal" ca="1">32-LENB(INDIRECT(ADDRESS(38909,61)))</f>
        <v>0</v>
      </c>
    </row>
    <row r="38910" spans="1:337">
      <c r="A38910" t="s">
        <v>4</v>
      </c>
      <c r="B38910" s="4" t="s">
        <v>5</v>
      </c>
    </row>
    <row r="38911" spans="1:337">
      <c r="A38911" t="n">
        <v>442256</v>
      </c>
      <c r="B38911" s="5" t="n">
        <v>1</v>
      </c>
    </row>
    <row r="38912" spans="1:337" s="3" customFormat="1" customHeight="0">
      <c r="A38912" s="3" t="s">
        <v>2</v>
      </c>
      <c r="B38912" s="3" t="s">
        <v>1891</v>
      </c>
    </row>
    <row r="38913" spans="1:62">
      <c r="A38913" t="s">
        <v>4</v>
      </c>
      <c r="B38913" s="4" t="s">
        <v>5</v>
      </c>
      <c r="C38913" s="4" t="s">
        <v>11</v>
      </c>
      <c r="D38913" s="4" t="s">
        <v>11</v>
      </c>
      <c r="E38913" s="4" t="s">
        <v>15</v>
      </c>
      <c r="F38913" s="4" t="s">
        <v>8</v>
      </c>
      <c r="G38913" s="4" t="s">
        <v>1859</v>
      </c>
      <c r="H38913" s="4" t="s">
        <v>11</v>
      </c>
      <c r="I38913" s="4" t="s">
        <v>11</v>
      </c>
      <c r="J38913" s="4" t="s">
        <v>15</v>
      </c>
      <c r="K38913" s="4" t="s">
        <v>8</v>
      </c>
      <c r="L38913" s="4" t="s">
        <v>1859</v>
      </c>
      <c r="M38913" s="4" t="s">
        <v>11</v>
      </c>
      <c r="N38913" s="4" t="s">
        <v>11</v>
      </c>
      <c r="O38913" s="4" t="s">
        <v>15</v>
      </c>
      <c r="P38913" s="4" t="s">
        <v>8</v>
      </c>
      <c r="Q38913" s="4" t="s">
        <v>1859</v>
      </c>
      <c r="R38913" s="4" t="s">
        <v>11</v>
      </c>
      <c r="S38913" s="4" t="s">
        <v>11</v>
      </c>
      <c r="T38913" s="4" t="s">
        <v>15</v>
      </c>
      <c r="U38913" s="4" t="s">
        <v>8</v>
      </c>
      <c r="V38913" s="4" t="s">
        <v>1859</v>
      </c>
      <c r="W38913" s="4" t="s">
        <v>11</v>
      </c>
      <c r="X38913" s="4" t="s">
        <v>11</v>
      </c>
      <c r="Y38913" s="4" t="s">
        <v>15</v>
      </c>
      <c r="Z38913" s="4" t="s">
        <v>8</v>
      </c>
      <c r="AA38913" s="4" t="s">
        <v>1859</v>
      </c>
    </row>
    <row r="38914" spans="1:62">
      <c r="A38914" t="n">
        <v>442272</v>
      </c>
      <c r="B38914" s="85" t="n">
        <v>257</v>
      </c>
      <c r="C38914" s="7" t="n">
        <v>7</v>
      </c>
      <c r="D38914" s="7" t="n">
        <v>65533</v>
      </c>
      <c r="E38914" s="7" t="n">
        <v>64797</v>
      </c>
      <c r="F38914" s="7" t="s">
        <v>16</v>
      </c>
      <c r="G38914" s="7" t="n">
        <f t="normal" ca="1">32-LENB(INDIRECT(ADDRESS(38914,6)))</f>
        <v>0</v>
      </c>
      <c r="H38914" s="7" t="n">
        <v>7</v>
      </c>
      <c r="I38914" s="7" t="n">
        <v>65533</v>
      </c>
      <c r="J38914" s="7" t="n">
        <v>64798</v>
      </c>
      <c r="K38914" s="7" t="s">
        <v>16</v>
      </c>
      <c r="L38914" s="7" t="n">
        <f t="normal" ca="1">32-LENB(INDIRECT(ADDRESS(38914,11)))</f>
        <v>0</v>
      </c>
      <c r="M38914" s="7" t="n">
        <v>7</v>
      </c>
      <c r="N38914" s="7" t="n">
        <v>65533</v>
      </c>
      <c r="O38914" s="7" t="n">
        <v>64799</v>
      </c>
      <c r="P38914" s="7" t="s">
        <v>16</v>
      </c>
      <c r="Q38914" s="7" t="n">
        <f t="normal" ca="1">32-LENB(INDIRECT(ADDRESS(38914,16)))</f>
        <v>0</v>
      </c>
      <c r="R38914" s="7" t="n">
        <v>7</v>
      </c>
      <c r="S38914" s="7" t="n">
        <v>65533</v>
      </c>
      <c r="T38914" s="7" t="n">
        <v>64800</v>
      </c>
      <c r="U38914" s="7" t="s">
        <v>16</v>
      </c>
      <c r="V38914" s="7" t="n">
        <f t="normal" ca="1">32-LENB(INDIRECT(ADDRESS(38914,21)))</f>
        <v>0</v>
      </c>
      <c r="W38914" s="7" t="n">
        <v>0</v>
      </c>
      <c r="X38914" s="7" t="n">
        <v>65533</v>
      </c>
      <c r="Y38914" s="7" t="n">
        <v>0</v>
      </c>
      <c r="Z38914" s="7" t="s">
        <v>16</v>
      </c>
      <c r="AA38914" s="7" t="n">
        <f t="normal" ca="1">32-LENB(INDIRECT(ADDRESS(38914,26)))</f>
        <v>0</v>
      </c>
    </row>
    <row r="38915" spans="1:62">
      <c r="A38915" t="s">
        <v>4</v>
      </c>
      <c r="B38915" s="4" t="s">
        <v>5</v>
      </c>
    </row>
    <row r="38916" spans="1:62">
      <c r="A38916" t="n">
        <v>442472</v>
      </c>
      <c r="B38916" s="5" t="n">
        <v>1</v>
      </c>
    </row>
    <row r="38917" spans="1:62" s="3" customFormat="1" customHeight="0">
      <c r="A38917" s="3" t="s">
        <v>2</v>
      </c>
      <c r="B38917" s="3" t="s">
        <v>1892</v>
      </c>
    </row>
    <row r="38918" spans="1:62">
      <c r="A38918" t="s">
        <v>4</v>
      </c>
      <c r="B38918" s="4" t="s">
        <v>5</v>
      </c>
      <c r="C38918" s="4" t="s">
        <v>11</v>
      </c>
      <c r="D38918" s="4" t="s">
        <v>11</v>
      </c>
      <c r="E38918" s="4" t="s">
        <v>15</v>
      </c>
      <c r="F38918" s="4" t="s">
        <v>8</v>
      </c>
      <c r="G38918" s="4" t="s">
        <v>1859</v>
      </c>
      <c r="H38918" s="4" t="s">
        <v>11</v>
      </c>
      <c r="I38918" s="4" t="s">
        <v>11</v>
      </c>
      <c r="J38918" s="4" t="s">
        <v>15</v>
      </c>
      <c r="K38918" s="4" t="s">
        <v>8</v>
      </c>
      <c r="L38918" s="4" t="s">
        <v>1859</v>
      </c>
      <c r="M38918" s="4" t="s">
        <v>11</v>
      </c>
      <c r="N38918" s="4" t="s">
        <v>11</v>
      </c>
      <c r="O38918" s="4" t="s">
        <v>15</v>
      </c>
      <c r="P38918" s="4" t="s">
        <v>8</v>
      </c>
      <c r="Q38918" s="4" t="s">
        <v>1859</v>
      </c>
      <c r="R38918" s="4" t="s">
        <v>11</v>
      </c>
      <c r="S38918" s="4" t="s">
        <v>11</v>
      </c>
      <c r="T38918" s="4" t="s">
        <v>15</v>
      </c>
      <c r="U38918" s="4" t="s">
        <v>8</v>
      </c>
      <c r="V38918" s="4" t="s">
        <v>1859</v>
      </c>
      <c r="W38918" s="4" t="s">
        <v>11</v>
      </c>
      <c r="X38918" s="4" t="s">
        <v>11</v>
      </c>
      <c r="Y38918" s="4" t="s">
        <v>15</v>
      </c>
      <c r="Z38918" s="4" t="s">
        <v>8</v>
      </c>
      <c r="AA38918" s="4" t="s">
        <v>1859</v>
      </c>
      <c r="AB38918" s="4" t="s">
        <v>11</v>
      </c>
      <c r="AC38918" s="4" t="s">
        <v>11</v>
      </c>
      <c r="AD38918" s="4" t="s">
        <v>15</v>
      </c>
      <c r="AE38918" s="4" t="s">
        <v>8</v>
      </c>
      <c r="AF38918" s="4" t="s">
        <v>1859</v>
      </c>
      <c r="AG38918" s="4" t="s">
        <v>11</v>
      </c>
      <c r="AH38918" s="4" t="s">
        <v>11</v>
      </c>
      <c r="AI38918" s="4" t="s">
        <v>15</v>
      </c>
      <c r="AJ38918" s="4" t="s">
        <v>8</v>
      </c>
      <c r="AK38918" s="4" t="s">
        <v>1859</v>
      </c>
      <c r="AL38918" s="4" t="s">
        <v>11</v>
      </c>
      <c r="AM38918" s="4" t="s">
        <v>11</v>
      </c>
      <c r="AN38918" s="4" t="s">
        <v>15</v>
      </c>
      <c r="AO38918" s="4" t="s">
        <v>8</v>
      </c>
      <c r="AP38918" s="4" t="s">
        <v>1859</v>
      </c>
      <c r="AQ38918" s="4" t="s">
        <v>11</v>
      </c>
      <c r="AR38918" s="4" t="s">
        <v>11</v>
      </c>
      <c r="AS38918" s="4" t="s">
        <v>15</v>
      </c>
      <c r="AT38918" s="4" t="s">
        <v>8</v>
      </c>
      <c r="AU38918" s="4" t="s">
        <v>1859</v>
      </c>
      <c r="AV38918" s="4" t="s">
        <v>11</v>
      </c>
      <c r="AW38918" s="4" t="s">
        <v>11</v>
      </c>
      <c r="AX38918" s="4" t="s">
        <v>15</v>
      </c>
      <c r="AY38918" s="4" t="s">
        <v>8</v>
      </c>
      <c r="AZ38918" s="4" t="s">
        <v>1859</v>
      </c>
      <c r="BA38918" s="4" t="s">
        <v>11</v>
      </c>
      <c r="BB38918" s="4" t="s">
        <v>11</v>
      </c>
      <c r="BC38918" s="4" t="s">
        <v>15</v>
      </c>
      <c r="BD38918" s="4" t="s">
        <v>8</v>
      </c>
      <c r="BE38918" s="4" t="s">
        <v>1859</v>
      </c>
      <c r="BF38918" s="4" t="s">
        <v>11</v>
      </c>
      <c r="BG38918" s="4" t="s">
        <v>11</v>
      </c>
      <c r="BH38918" s="4" t="s">
        <v>15</v>
      </c>
      <c r="BI38918" s="4" t="s">
        <v>8</v>
      </c>
      <c r="BJ38918" s="4" t="s">
        <v>1859</v>
      </c>
      <c r="BK38918" s="4" t="s">
        <v>11</v>
      </c>
      <c r="BL38918" s="4" t="s">
        <v>11</v>
      </c>
      <c r="BM38918" s="4" t="s">
        <v>15</v>
      </c>
      <c r="BN38918" s="4" t="s">
        <v>8</v>
      </c>
      <c r="BO38918" s="4" t="s">
        <v>1859</v>
      </c>
      <c r="BP38918" s="4" t="s">
        <v>11</v>
      </c>
      <c r="BQ38918" s="4" t="s">
        <v>11</v>
      </c>
      <c r="BR38918" s="4" t="s">
        <v>15</v>
      </c>
      <c r="BS38918" s="4" t="s">
        <v>8</v>
      </c>
      <c r="BT38918" s="4" t="s">
        <v>1859</v>
      </c>
      <c r="BU38918" s="4" t="s">
        <v>11</v>
      </c>
      <c r="BV38918" s="4" t="s">
        <v>11</v>
      </c>
      <c r="BW38918" s="4" t="s">
        <v>15</v>
      </c>
      <c r="BX38918" s="4" t="s">
        <v>8</v>
      </c>
      <c r="BY38918" s="4" t="s">
        <v>1859</v>
      </c>
      <c r="BZ38918" s="4" t="s">
        <v>11</v>
      </c>
      <c r="CA38918" s="4" t="s">
        <v>11</v>
      </c>
      <c r="CB38918" s="4" t="s">
        <v>15</v>
      </c>
      <c r="CC38918" s="4" t="s">
        <v>8</v>
      </c>
      <c r="CD38918" s="4" t="s">
        <v>1859</v>
      </c>
      <c r="CE38918" s="4" t="s">
        <v>11</v>
      </c>
      <c r="CF38918" s="4" t="s">
        <v>11</v>
      </c>
      <c r="CG38918" s="4" t="s">
        <v>15</v>
      </c>
      <c r="CH38918" s="4" t="s">
        <v>8</v>
      </c>
      <c r="CI38918" s="4" t="s">
        <v>1859</v>
      </c>
      <c r="CJ38918" s="4" t="s">
        <v>11</v>
      </c>
      <c r="CK38918" s="4" t="s">
        <v>11</v>
      </c>
      <c r="CL38918" s="4" t="s">
        <v>15</v>
      </c>
      <c r="CM38918" s="4" t="s">
        <v>8</v>
      </c>
      <c r="CN38918" s="4" t="s">
        <v>1859</v>
      </c>
      <c r="CO38918" s="4" t="s">
        <v>11</v>
      </c>
      <c r="CP38918" s="4" t="s">
        <v>11</v>
      </c>
      <c r="CQ38918" s="4" t="s">
        <v>15</v>
      </c>
      <c r="CR38918" s="4" t="s">
        <v>8</v>
      </c>
      <c r="CS38918" s="4" t="s">
        <v>1859</v>
      </c>
      <c r="CT38918" s="4" t="s">
        <v>11</v>
      </c>
      <c r="CU38918" s="4" t="s">
        <v>11</v>
      </c>
      <c r="CV38918" s="4" t="s">
        <v>15</v>
      </c>
      <c r="CW38918" s="4" t="s">
        <v>8</v>
      </c>
      <c r="CX38918" s="4" t="s">
        <v>1859</v>
      </c>
      <c r="CY38918" s="4" t="s">
        <v>11</v>
      </c>
      <c r="CZ38918" s="4" t="s">
        <v>11</v>
      </c>
      <c r="DA38918" s="4" t="s">
        <v>15</v>
      </c>
      <c r="DB38918" s="4" t="s">
        <v>8</v>
      </c>
      <c r="DC38918" s="4" t="s">
        <v>1859</v>
      </c>
      <c r="DD38918" s="4" t="s">
        <v>11</v>
      </c>
      <c r="DE38918" s="4" t="s">
        <v>11</v>
      </c>
      <c r="DF38918" s="4" t="s">
        <v>15</v>
      </c>
      <c r="DG38918" s="4" t="s">
        <v>8</v>
      </c>
      <c r="DH38918" s="4" t="s">
        <v>1859</v>
      </c>
      <c r="DI38918" s="4" t="s">
        <v>11</v>
      </c>
      <c r="DJ38918" s="4" t="s">
        <v>11</v>
      </c>
      <c r="DK38918" s="4" t="s">
        <v>15</v>
      </c>
      <c r="DL38918" s="4" t="s">
        <v>8</v>
      </c>
      <c r="DM38918" s="4" t="s">
        <v>1859</v>
      </c>
      <c r="DN38918" s="4" t="s">
        <v>11</v>
      </c>
      <c r="DO38918" s="4" t="s">
        <v>11</v>
      </c>
      <c r="DP38918" s="4" t="s">
        <v>15</v>
      </c>
      <c r="DQ38918" s="4" t="s">
        <v>8</v>
      </c>
      <c r="DR38918" s="4" t="s">
        <v>1859</v>
      </c>
      <c r="DS38918" s="4" t="s">
        <v>11</v>
      </c>
      <c r="DT38918" s="4" t="s">
        <v>11</v>
      </c>
      <c r="DU38918" s="4" t="s">
        <v>15</v>
      </c>
      <c r="DV38918" s="4" t="s">
        <v>8</v>
      </c>
      <c r="DW38918" s="4" t="s">
        <v>1859</v>
      </c>
      <c r="DX38918" s="4" t="s">
        <v>11</v>
      </c>
      <c r="DY38918" s="4" t="s">
        <v>11</v>
      </c>
      <c r="DZ38918" s="4" t="s">
        <v>15</v>
      </c>
      <c r="EA38918" s="4" t="s">
        <v>8</v>
      </c>
      <c r="EB38918" s="4" t="s">
        <v>1859</v>
      </c>
      <c r="EC38918" s="4" t="s">
        <v>11</v>
      </c>
      <c r="ED38918" s="4" t="s">
        <v>11</v>
      </c>
      <c r="EE38918" s="4" t="s">
        <v>15</v>
      </c>
      <c r="EF38918" s="4" t="s">
        <v>8</v>
      </c>
      <c r="EG38918" s="4" t="s">
        <v>1859</v>
      </c>
      <c r="EH38918" s="4" t="s">
        <v>11</v>
      </c>
      <c r="EI38918" s="4" t="s">
        <v>11</v>
      </c>
      <c r="EJ38918" s="4" t="s">
        <v>15</v>
      </c>
      <c r="EK38918" s="4" t="s">
        <v>8</v>
      </c>
      <c r="EL38918" s="4" t="s">
        <v>1859</v>
      </c>
      <c r="EM38918" s="4" t="s">
        <v>11</v>
      </c>
      <c r="EN38918" s="4" t="s">
        <v>11</v>
      </c>
      <c r="EO38918" s="4" t="s">
        <v>15</v>
      </c>
      <c r="EP38918" s="4" t="s">
        <v>8</v>
      </c>
      <c r="EQ38918" s="4" t="s">
        <v>1859</v>
      </c>
      <c r="ER38918" s="4" t="s">
        <v>11</v>
      </c>
      <c r="ES38918" s="4" t="s">
        <v>11</v>
      </c>
      <c r="ET38918" s="4" t="s">
        <v>15</v>
      </c>
      <c r="EU38918" s="4" t="s">
        <v>8</v>
      </c>
      <c r="EV38918" s="4" t="s">
        <v>1859</v>
      </c>
      <c r="EW38918" s="4" t="s">
        <v>11</v>
      </c>
      <c r="EX38918" s="4" t="s">
        <v>11</v>
      </c>
      <c r="EY38918" s="4" t="s">
        <v>15</v>
      </c>
      <c r="EZ38918" s="4" t="s">
        <v>8</v>
      </c>
      <c r="FA38918" s="4" t="s">
        <v>1859</v>
      </c>
      <c r="FB38918" s="4" t="s">
        <v>11</v>
      </c>
      <c r="FC38918" s="4" t="s">
        <v>11</v>
      </c>
      <c r="FD38918" s="4" t="s">
        <v>15</v>
      </c>
      <c r="FE38918" s="4" t="s">
        <v>8</v>
      </c>
      <c r="FF38918" s="4" t="s">
        <v>1859</v>
      </c>
      <c r="FG38918" s="4" t="s">
        <v>11</v>
      </c>
      <c r="FH38918" s="4" t="s">
        <v>11</v>
      </c>
      <c r="FI38918" s="4" t="s">
        <v>15</v>
      </c>
      <c r="FJ38918" s="4" t="s">
        <v>8</v>
      </c>
      <c r="FK38918" s="4" t="s">
        <v>1859</v>
      </c>
      <c r="FL38918" s="4" t="s">
        <v>11</v>
      </c>
      <c r="FM38918" s="4" t="s">
        <v>11</v>
      </c>
      <c r="FN38918" s="4" t="s">
        <v>15</v>
      </c>
      <c r="FO38918" s="4" t="s">
        <v>8</v>
      </c>
      <c r="FP38918" s="4" t="s">
        <v>1859</v>
      </c>
      <c r="FQ38918" s="4" t="s">
        <v>11</v>
      </c>
      <c r="FR38918" s="4" t="s">
        <v>11</v>
      </c>
      <c r="FS38918" s="4" t="s">
        <v>15</v>
      </c>
      <c r="FT38918" s="4" t="s">
        <v>8</v>
      </c>
      <c r="FU38918" s="4" t="s">
        <v>1859</v>
      </c>
      <c r="FV38918" s="4" t="s">
        <v>11</v>
      </c>
      <c r="FW38918" s="4" t="s">
        <v>11</v>
      </c>
      <c r="FX38918" s="4" t="s">
        <v>15</v>
      </c>
      <c r="FY38918" s="4" t="s">
        <v>8</v>
      </c>
      <c r="FZ38918" s="4" t="s">
        <v>1859</v>
      </c>
      <c r="GA38918" s="4" t="s">
        <v>11</v>
      </c>
      <c r="GB38918" s="4" t="s">
        <v>11</v>
      </c>
      <c r="GC38918" s="4" t="s">
        <v>15</v>
      </c>
      <c r="GD38918" s="4" t="s">
        <v>8</v>
      </c>
      <c r="GE38918" s="4" t="s">
        <v>1859</v>
      </c>
      <c r="GF38918" s="4" t="s">
        <v>11</v>
      </c>
      <c r="GG38918" s="4" t="s">
        <v>11</v>
      </c>
      <c r="GH38918" s="4" t="s">
        <v>15</v>
      </c>
      <c r="GI38918" s="4" t="s">
        <v>8</v>
      </c>
      <c r="GJ38918" s="4" t="s">
        <v>1859</v>
      </c>
      <c r="GK38918" s="4" t="s">
        <v>11</v>
      </c>
      <c r="GL38918" s="4" t="s">
        <v>11</v>
      </c>
      <c r="GM38918" s="4" t="s">
        <v>15</v>
      </c>
      <c r="GN38918" s="4" t="s">
        <v>8</v>
      </c>
      <c r="GO38918" s="4" t="s">
        <v>1859</v>
      </c>
      <c r="GP38918" s="4" t="s">
        <v>11</v>
      </c>
      <c r="GQ38918" s="4" t="s">
        <v>11</v>
      </c>
      <c r="GR38918" s="4" t="s">
        <v>15</v>
      </c>
      <c r="GS38918" s="4" t="s">
        <v>8</v>
      </c>
      <c r="GT38918" s="4" t="s">
        <v>1859</v>
      </c>
      <c r="GU38918" s="4" t="s">
        <v>11</v>
      </c>
      <c r="GV38918" s="4" t="s">
        <v>11</v>
      </c>
      <c r="GW38918" s="4" t="s">
        <v>15</v>
      </c>
      <c r="GX38918" s="4" t="s">
        <v>8</v>
      </c>
      <c r="GY38918" s="4" t="s">
        <v>1859</v>
      </c>
      <c r="GZ38918" s="4" t="s">
        <v>11</v>
      </c>
      <c r="HA38918" s="4" t="s">
        <v>11</v>
      </c>
      <c r="HB38918" s="4" t="s">
        <v>15</v>
      </c>
      <c r="HC38918" s="4" t="s">
        <v>8</v>
      </c>
      <c r="HD38918" s="4" t="s">
        <v>1859</v>
      </c>
      <c r="HE38918" s="4" t="s">
        <v>11</v>
      </c>
      <c r="HF38918" s="4" t="s">
        <v>11</v>
      </c>
      <c r="HG38918" s="4" t="s">
        <v>15</v>
      </c>
      <c r="HH38918" s="4" t="s">
        <v>8</v>
      </c>
      <c r="HI38918" s="4" t="s">
        <v>1859</v>
      </c>
      <c r="HJ38918" s="4" t="s">
        <v>11</v>
      </c>
      <c r="HK38918" s="4" t="s">
        <v>11</v>
      </c>
      <c r="HL38918" s="4" t="s">
        <v>15</v>
      </c>
      <c r="HM38918" s="4" t="s">
        <v>8</v>
      </c>
      <c r="HN38918" s="4" t="s">
        <v>1859</v>
      </c>
      <c r="HO38918" s="4" t="s">
        <v>11</v>
      </c>
      <c r="HP38918" s="4" t="s">
        <v>11</v>
      </c>
      <c r="HQ38918" s="4" t="s">
        <v>15</v>
      </c>
      <c r="HR38918" s="4" t="s">
        <v>8</v>
      </c>
      <c r="HS38918" s="4" t="s">
        <v>1859</v>
      </c>
      <c r="HT38918" s="4" t="s">
        <v>11</v>
      </c>
      <c r="HU38918" s="4" t="s">
        <v>11</v>
      </c>
      <c r="HV38918" s="4" t="s">
        <v>15</v>
      </c>
      <c r="HW38918" s="4" t="s">
        <v>8</v>
      </c>
      <c r="HX38918" s="4" t="s">
        <v>1859</v>
      </c>
      <c r="HY38918" s="4" t="s">
        <v>11</v>
      </c>
      <c r="HZ38918" s="4" t="s">
        <v>11</v>
      </c>
      <c r="IA38918" s="4" t="s">
        <v>15</v>
      </c>
      <c r="IB38918" s="4" t="s">
        <v>8</v>
      </c>
      <c r="IC38918" s="4" t="s">
        <v>1859</v>
      </c>
      <c r="ID38918" s="4" t="s">
        <v>11</v>
      </c>
      <c r="IE38918" s="4" t="s">
        <v>11</v>
      </c>
      <c r="IF38918" s="4" t="s">
        <v>15</v>
      </c>
      <c r="IG38918" s="4" t="s">
        <v>8</v>
      </c>
      <c r="IH38918" s="4" t="s">
        <v>1859</v>
      </c>
      <c r="II38918" s="4" t="s">
        <v>11</v>
      </c>
      <c r="IJ38918" s="4" t="s">
        <v>11</v>
      </c>
      <c r="IK38918" s="4" t="s">
        <v>15</v>
      </c>
      <c r="IL38918" s="4" t="s">
        <v>8</v>
      </c>
      <c r="IM38918" s="4" t="s">
        <v>1859</v>
      </c>
      <c r="IN38918" s="4" t="s">
        <v>11</v>
      </c>
      <c r="IO38918" s="4" t="s">
        <v>11</v>
      </c>
      <c r="IP38918" s="4" t="s">
        <v>15</v>
      </c>
      <c r="IQ38918" s="4" t="s">
        <v>8</v>
      </c>
      <c r="IR38918" s="4" t="s">
        <v>1859</v>
      </c>
      <c r="IS38918" s="4" t="s">
        <v>11</v>
      </c>
      <c r="IT38918" s="4" t="s">
        <v>11</v>
      </c>
      <c r="IU38918" s="4" t="s">
        <v>15</v>
      </c>
      <c r="IV38918" s="4" t="s">
        <v>8</v>
      </c>
      <c r="IW38918" s="4" t="s">
        <v>1859</v>
      </c>
      <c r="IX38918" s="4" t="s">
        <v>11</v>
      </c>
      <c r="IY38918" s="4" t="s">
        <v>11</v>
      </c>
      <c r="IZ38918" s="4" t="s">
        <v>15</v>
      </c>
      <c r="JA38918" s="4" t="s">
        <v>8</v>
      </c>
      <c r="JB38918" s="4" t="s">
        <v>1859</v>
      </c>
      <c r="JC38918" s="4" t="s">
        <v>11</v>
      </c>
      <c r="JD38918" s="4" t="s">
        <v>11</v>
      </c>
      <c r="JE38918" s="4" t="s">
        <v>15</v>
      </c>
      <c r="JF38918" s="4" t="s">
        <v>8</v>
      </c>
      <c r="JG38918" s="4" t="s">
        <v>1859</v>
      </c>
      <c r="JH38918" s="4" t="s">
        <v>11</v>
      </c>
      <c r="JI38918" s="4" t="s">
        <v>11</v>
      </c>
      <c r="JJ38918" s="4" t="s">
        <v>15</v>
      </c>
      <c r="JK38918" s="4" t="s">
        <v>8</v>
      </c>
      <c r="JL38918" s="4" t="s">
        <v>1859</v>
      </c>
      <c r="JM38918" s="4" t="s">
        <v>11</v>
      </c>
      <c r="JN38918" s="4" t="s">
        <v>11</v>
      </c>
      <c r="JO38918" s="4" t="s">
        <v>15</v>
      </c>
      <c r="JP38918" s="4" t="s">
        <v>8</v>
      </c>
      <c r="JQ38918" s="4" t="s">
        <v>1859</v>
      </c>
      <c r="JR38918" s="4" t="s">
        <v>11</v>
      </c>
      <c r="JS38918" s="4" t="s">
        <v>11</v>
      </c>
      <c r="JT38918" s="4" t="s">
        <v>15</v>
      </c>
      <c r="JU38918" s="4" t="s">
        <v>8</v>
      </c>
      <c r="JV38918" s="4" t="s">
        <v>1859</v>
      </c>
      <c r="JW38918" s="4" t="s">
        <v>11</v>
      </c>
      <c r="JX38918" s="4" t="s">
        <v>11</v>
      </c>
      <c r="JY38918" s="4" t="s">
        <v>15</v>
      </c>
      <c r="JZ38918" s="4" t="s">
        <v>8</v>
      </c>
      <c r="KA38918" s="4" t="s">
        <v>1859</v>
      </c>
      <c r="KB38918" s="4" t="s">
        <v>11</v>
      </c>
      <c r="KC38918" s="4" t="s">
        <v>11</v>
      </c>
      <c r="KD38918" s="4" t="s">
        <v>15</v>
      </c>
      <c r="KE38918" s="4" t="s">
        <v>8</v>
      </c>
      <c r="KF38918" s="4" t="s">
        <v>1859</v>
      </c>
      <c r="KG38918" s="4" t="s">
        <v>11</v>
      </c>
      <c r="KH38918" s="4" t="s">
        <v>11</v>
      </c>
      <c r="KI38918" s="4" t="s">
        <v>15</v>
      </c>
      <c r="KJ38918" s="4" t="s">
        <v>8</v>
      </c>
      <c r="KK38918" s="4" t="s">
        <v>1859</v>
      </c>
      <c r="KL38918" s="4" t="s">
        <v>11</v>
      </c>
      <c r="KM38918" s="4" t="s">
        <v>11</v>
      </c>
      <c r="KN38918" s="4" t="s">
        <v>15</v>
      </c>
      <c r="KO38918" s="4" t="s">
        <v>8</v>
      </c>
      <c r="KP38918" s="4" t="s">
        <v>1859</v>
      </c>
      <c r="KQ38918" s="4" t="s">
        <v>11</v>
      </c>
      <c r="KR38918" s="4" t="s">
        <v>11</v>
      </c>
      <c r="KS38918" s="4" t="s">
        <v>15</v>
      </c>
      <c r="KT38918" s="4" t="s">
        <v>8</v>
      </c>
      <c r="KU38918" s="4" t="s">
        <v>1859</v>
      </c>
      <c r="KV38918" s="4" t="s">
        <v>11</v>
      </c>
      <c r="KW38918" s="4" t="s">
        <v>11</v>
      </c>
      <c r="KX38918" s="4" t="s">
        <v>15</v>
      </c>
      <c r="KY38918" s="4" t="s">
        <v>8</v>
      </c>
      <c r="KZ38918" s="4" t="s">
        <v>1859</v>
      </c>
      <c r="LA38918" s="4" t="s">
        <v>11</v>
      </c>
      <c r="LB38918" s="4" t="s">
        <v>11</v>
      </c>
      <c r="LC38918" s="4" t="s">
        <v>15</v>
      </c>
      <c r="LD38918" s="4" t="s">
        <v>8</v>
      </c>
      <c r="LE38918" s="4" t="s">
        <v>1859</v>
      </c>
      <c r="LF38918" s="4" t="s">
        <v>11</v>
      </c>
      <c r="LG38918" s="4" t="s">
        <v>11</v>
      </c>
      <c r="LH38918" s="4" t="s">
        <v>15</v>
      </c>
      <c r="LI38918" s="4" t="s">
        <v>8</v>
      </c>
      <c r="LJ38918" s="4" t="s">
        <v>1859</v>
      </c>
      <c r="LK38918" s="4" t="s">
        <v>11</v>
      </c>
      <c r="LL38918" s="4" t="s">
        <v>11</v>
      </c>
      <c r="LM38918" s="4" t="s">
        <v>15</v>
      </c>
      <c r="LN38918" s="4" t="s">
        <v>8</v>
      </c>
      <c r="LO38918" s="4" t="s">
        <v>1859</v>
      </c>
      <c r="LP38918" s="4" t="s">
        <v>11</v>
      </c>
      <c r="LQ38918" s="4" t="s">
        <v>11</v>
      </c>
      <c r="LR38918" s="4" t="s">
        <v>15</v>
      </c>
      <c r="LS38918" s="4" t="s">
        <v>8</v>
      </c>
      <c r="LT38918" s="4" t="s">
        <v>1859</v>
      </c>
      <c r="LU38918" s="4" t="s">
        <v>11</v>
      </c>
      <c r="LV38918" s="4" t="s">
        <v>11</v>
      </c>
      <c r="LW38918" s="4" t="s">
        <v>15</v>
      </c>
      <c r="LX38918" s="4" t="s">
        <v>8</v>
      </c>
      <c r="LY38918" s="4" t="s">
        <v>1859</v>
      </c>
      <c r="LZ38918" s="4" t="s">
        <v>11</v>
      </c>
      <c r="MA38918" s="4" t="s">
        <v>11</v>
      </c>
      <c r="MB38918" s="4" t="s">
        <v>15</v>
      </c>
      <c r="MC38918" s="4" t="s">
        <v>8</v>
      </c>
      <c r="MD38918" s="4" t="s">
        <v>1859</v>
      </c>
      <c r="ME38918" s="4" t="s">
        <v>11</v>
      </c>
      <c r="MF38918" s="4" t="s">
        <v>11</v>
      </c>
      <c r="MG38918" s="4" t="s">
        <v>15</v>
      </c>
      <c r="MH38918" s="4" t="s">
        <v>8</v>
      </c>
      <c r="MI38918" s="4" t="s">
        <v>1859</v>
      </c>
      <c r="MJ38918" s="4" t="s">
        <v>11</v>
      </c>
      <c r="MK38918" s="4" t="s">
        <v>11</v>
      </c>
      <c r="ML38918" s="4" t="s">
        <v>15</v>
      </c>
      <c r="MM38918" s="4" t="s">
        <v>8</v>
      </c>
      <c r="MN38918" s="4" t="s">
        <v>1859</v>
      </c>
      <c r="MO38918" s="4" t="s">
        <v>11</v>
      </c>
      <c r="MP38918" s="4" t="s">
        <v>11</v>
      </c>
      <c r="MQ38918" s="4" t="s">
        <v>15</v>
      </c>
      <c r="MR38918" s="4" t="s">
        <v>8</v>
      </c>
      <c r="MS38918" s="4" t="s">
        <v>1859</v>
      </c>
      <c r="MT38918" s="4" t="s">
        <v>11</v>
      </c>
      <c r="MU38918" s="4" t="s">
        <v>11</v>
      </c>
      <c r="MV38918" s="4" t="s">
        <v>15</v>
      </c>
      <c r="MW38918" s="4" t="s">
        <v>8</v>
      </c>
      <c r="MX38918" s="4" t="s">
        <v>1859</v>
      </c>
      <c r="MY38918" s="4" t="s">
        <v>11</v>
      </c>
      <c r="MZ38918" s="4" t="s">
        <v>11</v>
      </c>
      <c r="NA38918" s="4" t="s">
        <v>15</v>
      </c>
      <c r="NB38918" s="4" t="s">
        <v>8</v>
      </c>
      <c r="NC38918" s="4" t="s">
        <v>1859</v>
      </c>
      <c r="ND38918" s="4" t="s">
        <v>11</v>
      </c>
      <c r="NE38918" s="4" t="s">
        <v>11</v>
      </c>
      <c r="NF38918" s="4" t="s">
        <v>15</v>
      </c>
      <c r="NG38918" s="4" t="s">
        <v>8</v>
      </c>
      <c r="NH38918" s="4" t="s">
        <v>1859</v>
      </c>
      <c r="NI38918" s="4" t="s">
        <v>11</v>
      </c>
      <c r="NJ38918" s="4" t="s">
        <v>11</v>
      </c>
      <c r="NK38918" s="4" t="s">
        <v>15</v>
      </c>
      <c r="NL38918" s="4" t="s">
        <v>8</v>
      </c>
      <c r="NM38918" s="4" t="s">
        <v>1859</v>
      </c>
      <c r="NN38918" s="4" t="s">
        <v>11</v>
      </c>
      <c r="NO38918" s="4" t="s">
        <v>11</v>
      </c>
      <c r="NP38918" s="4" t="s">
        <v>15</v>
      </c>
      <c r="NQ38918" s="4" t="s">
        <v>8</v>
      </c>
      <c r="NR38918" s="4" t="s">
        <v>1859</v>
      </c>
      <c r="NS38918" s="4" t="s">
        <v>11</v>
      </c>
      <c r="NT38918" s="4" t="s">
        <v>11</v>
      </c>
      <c r="NU38918" s="4" t="s">
        <v>15</v>
      </c>
      <c r="NV38918" s="4" t="s">
        <v>8</v>
      </c>
      <c r="NW38918" s="4" t="s">
        <v>1859</v>
      </c>
      <c r="NX38918" s="4" t="s">
        <v>11</v>
      </c>
      <c r="NY38918" s="4" t="s">
        <v>11</v>
      </c>
      <c r="NZ38918" s="4" t="s">
        <v>15</v>
      </c>
      <c r="OA38918" s="4" t="s">
        <v>8</v>
      </c>
      <c r="OB38918" s="4" t="s">
        <v>1859</v>
      </c>
      <c r="OC38918" s="4" t="s">
        <v>11</v>
      </c>
      <c r="OD38918" s="4" t="s">
        <v>11</v>
      </c>
      <c r="OE38918" s="4" t="s">
        <v>15</v>
      </c>
      <c r="OF38918" s="4" t="s">
        <v>8</v>
      </c>
      <c r="OG38918" s="4" t="s">
        <v>1859</v>
      </c>
      <c r="OH38918" s="4" t="s">
        <v>11</v>
      </c>
      <c r="OI38918" s="4" t="s">
        <v>11</v>
      </c>
      <c r="OJ38918" s="4" t="s">
        <v>15</v>
      </c>
      <c r="OK38918" s="4" t="s">
        <v>8</v>
      </c>
      <c r="OL38918" s="4" t="s">
        <v>1859</v>
      </c>
      <c r="OM38918" s="4" t="s">
        <v>11</v>
      </c>
      <c r="ON38918" s="4" t="s">
        <v>11</v>
      </c>
      <c r="OO38918" s="4" t="s">
        <v>15</v>
      </c>
      <c r="OP38918" s="4" t="s">
        <v>8</v>
      </c>
      <c r="OQ38918" s="4" t="s">
        <v>1859</v>
      </c>
    </row>
    <row r="38919" spans="1:62">
      <c r="A38919" t="n">
        <v>442480</v>
      </c>
      <c r="B38919" s="85" t="n">
        <v>257</v>
      </c>
      <c r="C38919" s="7" t="n">
        <v>7</v>
      </c>
      <c r="D38919" s="7" t="n">
        <v>65533</v>
      </c>
      <c r="E38919" s="7" t="n">
        <v>63768</v>
      </c>
      <c r="F38919" s="7" t="s">
        <v>16</v>
      </c>
      <c r="G38919" s="7" t="n">
        <f t="normal" ca="1">32-LENB(INDIRECT(ADDRESS(38919,6)))</f>
        <v>0</v>
      </c>
      <c r="H38919" s="7" t="n">
        <v>7</v>
      </c>
      <c r="I38919" s="7" t="n">
        <v>65533</v>
      </c>
      <c r="J38919" s="7" t="n">
        <v>63769</v>
      </c>
      <c r="K38919" s="7" t="s">
        <v>16</v>
      </c>
      <c r="L38919" s="7" t="n">
        <f t="normal" ca="1">32-LENB(INDIRECT(ADDRESS(38919,11)))</f>
        <v>0</v>
      </c>
      <c r="M38919" s="7" t="n">
        <v>7</v>
      </c>
      <c r="N38919" s="7" t="n">
        <v>65533</v>
      </c>
      <c r="O38919" s="7" t="n">
        <v>63770</v>
      </c>
      <c r="P38919" s="7" t="s">
        <v>16</v>
      </c>
      <c r="Q38919" s="7" t="n">
        <f t="normal" ca="1">32-LENB(INDIRECT(ADDRESS(38919,16)))</f>
        <v>0</v>
      </c>
      <c r="R38919" s="7" t="n">
        <v>7</v>
      </c>
      <c r="S38919" s="7" t="n">
        <v>65533</v>
      </c>
      <c r="T38919" s="7" t="n">
        <v>63771</v>
      </c>
      <c r="U38919" s="7" t="s">
        <v>16</v>
      </c>
      <c r="V38919" s="7" t="n">
        <f t="normal" ca="1">32-LENB(INDIRECT(ADDRESS(38919,21)))</f>
        <v>0</v>
      </c>
      <c r="W38919" s="7" t="n">
        <v>7</v>
      </c>
      <c r="X38919" s="7" t="n">
        <v>65533</v>
      </c>
      <c r="Y38919" s="7" t="n">
        <v>63772</v>
      </c>
      <c r="Z38919" s="7" t="s">
        <v>16</v>
      </c>
      <c r="AA38919" s="7" t="n">
        <f t="normal" ca="1">32-LENB(INDIRECT(ADDRESS(38919,26)))</f>
        <v>0</v>
      </c>
      <c r="AB38919" s="7" t="n">
        <v>7</v>
      </c>
      <c r="AC38919" s="7" t="n">
        <v>65533</v>
      </c>
      <c r="AD38919" s="7" t="n">
        <v>63773</v>
      </c>
      <c r="AE38919" s="7" t="s">
        <v>16</v>
      </c>
      <c r="AF38919" s="7" t="n">
        <f t="normal" ca="1">32-LENB(INDIRECT(ADDRESS(38919,31)))</f>
        <v>0</v>
      </c>
      <c r="AG38919" s="7" t="n">
        <v>7</v>
      </c>
      <c r="AH38919" s="7" t="n">
        <v>65533</v>
      </c>
      <c r="AI38919" s="7" t="n">
        <v>63774</v>
      </c>
      <c r="AJ38919" s="7" t="s">
        <v>16</v>
      </c>
      <c r="AK38919" s="7" t="n">
        <f t="normal" ca="1">32-LENB(INDIRECT(ADDRESS(38919,36)))</f>
        <v>0</v>
      </c>
      <c r="AL38919" s="7" t="n">
        <v>7</v>
      </c>
      <c r="AM38919" s="7" t="n">
        <v>65533</v>
      </c>
      <c r="AN38919" s="7" t="n">
        <v>63775</v>
      </c>
      <c r="AO38919" s="7" t="s">
        <v>16</v>
      </c>
      <c r="AP38919" s="7" t="n">
        <f t="normal" ca="1">32-LENB(INDIRECT(ADDRESS(38919,41)))</f>
        <v>0</v>
      </c>
      <c r="AQ38919" s="7" t="n">
        <v>7</v>
      </c>
      <c r="AR38919" s="7" t="n">
        <v>65533</v>
      </c>
      <c r="AS38919" s="7" t="n">
        <v>63776</v>
      </c>
      <c r="AT38919" s="7" t="s">
        <v>16</v>
      </c>
      <c r="AU38919" s="7" t="n">
        <f t="normal" ca="1">32-LENB(INDIRECT(ADDRESS(38919,46)))</f>
        <v>0</v>
      </c>
      <c r="AV38919" s="7" t="n">
        <v>7</v>
      </c>
      <c r="AW38919" s="7" t="n">
        <v>65533</v>
      </c>
      <c r="AX38919" s="7" t="n">
        <v>63777</v>
      </c>
      <c r="AY38919" s="7" t="s">
        <v>16</v>
      </c>
      <c r="AZ38919" s="7" t="n">
        <f t="normal" ca="1">32-LENB(INDIRECT(ADDRESS(38919,51)))</f>
        <v>0</v>
      </c>
      <c r="BA38919" s="7" t="n">
        <v>7</v>
      </c>
      <c r="BB38919" s="7" t="n">
        <v>65533</v>
      </c>
      <c r="BC38919" s="7" t="n">
        <v>63778</v>
      </c>
      <c r="BD38919" s="7" t="s">
        <v>16</v>
      </c>
      <c r="BE38919" s="7" t="n">
        <f t="normal" ca="1">32-LENB(INDIRECT(ADDRESS(38919,56)))</f>
        <v>0</v>
      </c>
      <c r="BF38919" s="7" t="n">
        <v>7</v>
      </c>
      <c r="BG38919" s="7" t="n">
        <v>65533</v>
      </c>
      <c r="BH38919" s="7" t="n">
        <v>63779</v>
      </c>
      <c r="BI38919" s="7" t="s">
        <v>16</v>
      </c>
      <c r="BJ38919" s="7" t="n">
        <f t="normal" ca="1">32-LENB(INDIRECT(ADDRESS(38919,61)))</f>
        <v>0</v>
      </c>
      <c r="BK38919" s="7" t="n">
        <v>7</v>
      </c>
      <c r="BL38919" s="7" t="n">
        <v>65533</v>
      </c>
      <c r="BM38919" s="7" t="n">
        <v>63780</v>
      </c>
      <c r="BN38919" s="7" t="s">
        <v>16</v>
      </c>
      <c r="BO38919" s="7" t="n">
        <f t="normal" ca="1">32-LENB(INDIRECT(ADDRESS(38919,66)))</f>
        <v>0</v>
      </c>
      <c r="BP38919" s="7" t="n">
        <v>7</v>
      </c>
      <c r="BQ38919" s="7" t="n">
        <v>65533</v>
      </c>
      <c r="BR38919" s="7" t="n">
        <v>63781</v>
      </c>
      <c r="BS38919" s="7" t="s">
        <v>16</v>
      </c>
      <c r="BT38919" s="7" t="n">
        <f t="normal" ca="1">32-LENB(INDIRECT(ADDRESS(38919,71)))</f>
        <v>0</v>
      </c>
      <c r="BU38919" s="7" t="n">
        <v>7</v>
      </c>
      <c r="BV38919" s="7" t="n">
        <v>65533</v>
      </c>
      <c r="BW38919" s="7" t="n">
        <v>63782</v>
      </c>
      <c r="BX38919" s="7" t="s">
        <v>16</v>
      </c>
      <c r="BY38919" s="7" t="n">
        <f t="normal" ca="1">32-LENB(INDIRECT(ADDRESS(38919,76)))</f>
        <v>0</v>
      </c>
      <c r="BZ38919" s="7" t="n">
        <v>7</v>
      </c>
      <c r="CA38919" s="7" t="n">
        <v>65533</v>
      </c>
      <c r="CB38919" s="7" t="n">
        <v>63783</v>
      </c>
      <c r="CC38919" s="7" t="s">
        <v>16</v>
      </c>
      <c r="CD38919" s="7" t="n">
        <f t="normal" ca="1">32-LENB(INDIRECT(ADDRESS(38919,81)))</f>
        <v>0</v>
      </c>
      <c r="CE38919" s="7" t="n">
        <v>7</v>
      </c>
      <c r="CF38919" s="7" t="n">
        <v>65533</v>
      </c>
      <c r="CG38919" s="7" t="n">
        <v>63784</v>
      </c>
      <c r="CH38919" s="7" t="s">
        <v>16</v>
      </c>
      <c r="CI38919" s="7" t="n">
        <f t="normal" ca="1">32-LENB(INDIRECT(ADDRESS(38919,86)))</f>
        <v>0</v>
      </c>
      <c r="CJ38919" s="7" t="n">
        <v>7</v>
      </c>
      <c r="CK38919" s="7" t="n">
        <v>65533</v>
      </c>
      <c r="CL38919" s="7" t="n">
        <v>63785</v>
      </c>
      <c r="CM38919" s="7" t="s">
        <v>16</v>
      </c>
      <c r="CN38919" s="7" t="n">
        <f t="normal" ca="1">32-LENB(INDIRECT(ADDRESS(38919,91)))</f>
        <v>0</v>
      </c>
      <c r="CO38919" s="7" t="n">
        <v>7</v>
      </c>
      <c r="CP38919" s="7" t="n">
        <v>65533</v>
      </c>
      <c r="CQ38919" s="7" t="n">
        <v>63786</v>
      </c>
      <c r="CR38919" s="7" t="s">
        <v>16</v>
      </c>
      <c r="CS38919" s="7" t="n">
        <f t="normal" ca="1">32-LENB(INDIRECT(ADDRESS(38919,96)))</f>
        <v>0</v>
      </c>
      <c r="CT38919" s="7" t="n">
        <v>7</v>
      </c>
      <c r="CU38919" s="7" t="n">
        <v>65533</v>
      </c>
      <c r="CV38919" s="7" t="n">
        <v>63787</v>
      </c>
      <c r="CW38919" s="7" t="s">
        <v>16</v>
      </c>
      <c r="CX38919" s="7" t="n">
        <f t="normal" ca="1">32-LENB(INDIRECT(ADDRESS(38919,101)))</f>
        <v>0</v>
      </c>
      <c r="CY38919" s="7" t="n">
        <v>7</v>
      </c>
      <c r="CZ38919" s="7" t="n">
        <v>65533</v>
      </c>
      <c r="DA38919" s="7" t="n">
        <v>63788</v>
      </c>
      <c r="DB38919" s="7" t="s">
        <v>16</v>
      </c>
      <c r="DC38919" s="7" t="n">
        <f t="normal" ca="1">32-LENB(INDIRECT(ADDRESS(38919,106)))</f>
        <v>0</v>
      </c>
      <c r="DD38919" s="7" t="n">
        <v>7</v>
      </c>
      <c r="DE38919" s="7" t="n">
        <v>65533</v>
      </c>
      <c r="DF38919" s="7" t="n">
        <v>63789</v>
      </c>
      <c r="DG38919" s="7" t="s">
        <v>16</v>
      </c>
      <c r="DH38919" s="7" t="n">
        <f t="normal" ca="1">32-LENB(INDIRECT(ADDRESS(38919,111)))</f>
        <v>0</v>
      </c>
      <c r="DI38919" s="7" t="n">
        <v>7</v>
      </c>
      <c r="DJ38919" s="7" t="n">
        <v>65533</v>
      </c>
      <c r="DK38919" s="7" t="n">
        <v>63790</v>
      </c>
      <c r="DL38919" s="7" t="s">
        <v>16</v>
      </c>
      <c r="DM38919" s="7" t="n">
        <f t="normal" ca="1">32-LENB(INDIRECT(ADDRESS(38919,116)))</f>
        <v>0</v>
      </c>
      <c r="DN38919" s="7" t="n">
        <v>7</v>
      </c>
      <c r="DO38919" s="7" t="n">
        <v>65533</v>
      </c>
      <c r="DP38919" s="7" t="n">
        <v>63791</v>
      </c>
      <c r="DQ38919" s="7" t="s">
        <v>16</v>
      </c>
      <c r="DR38919" s="7" t="n">
        <f t="normal" ca="1">32-LENB(INDIRECT(ADDRESS(38919,121)))</f>
        <v>0</v>
      </c>
      <c r="DS38919" s="7" t="n">
        <v>7</v>
      </c>
      <c r="DT38919" s="7" t="n">
        <v>65533</v>
      </c>
      <c r="DU38919" s="7" t="n">
        <v>63792</v>
      </c>
      <c r="DV38919" s="7" t="s">
        <v>16</v>
      </c>
      <c r="DW38919" s="7" t="n">
        <f t="normal" ca="1">32-LENB(INDIRECT(ADDRESS(38919,126)))</f>
        <v>0</v>
      </c>
      <c r="DX38919" s="7" t="n">
        <v>7</v>
      </c>
      <c r="DY38919" s="7" t="n">
        <v>65533</v>
      </c>
      <c r="DZ38919" s="7" t="n">
        <v>63793</v>
      </c>
      <c r="EA38919" s="7" t="s">
        <v>16</v>
      </c>
      <c r="EB38919" s="7" t="n">
        <f t="normal" ca="1">32-LENB(INDIRECT(ADDRESS(38919,131)))</f>
        <v>0</v>
      </c>
      <c r="EC38919" s="7" t="n">
        <v>7</v>
      </c>
      <c r="ED38919" s="7" t="n">
        <v>65533</v>
      </c>
      <c r="EE38919" s="7" t="n">
        <v>64268</v>
      </c>
      <c r="EF38919" s="7" t="s">
        <v>16</v>
      </c>
      <c r="EG38919" s="7" t="n">
        <f t="normal" ca="1">32-LENB(INDIRECT(ADDRESS(38919,136)))</f>
        <v>0</v>
      </c>
      <c r="EH38919" s="7" t="n">
        <v>7</v>
      </c>
      <c r="EI38919" s="7" t="n">
        <v>65533</v>
      </c>
      <c r="EJ38919" s="7" t="n">
        <v>1800</v>
      </c>
      <c r="EK38919" s="7" t="s">
        <v>16</v>
      </c>
      <c r="EL38919" s="7" t="n">
        <f t="normal" ca="1">32-LENB(INDIRECT(ADDRESS(38919,141)))</f>
        <v>0</v>
      </c>
      <c r="EM38919" s="7" t="n">
        <v>7</v>
      </c>
      <c r="EN38919" s="7" t="n">
        <v>65533</v>
      </c>
      <c r="EO38919" s="7" t="n">
        <v>1801</v>
      </c>
      <c r="EP38919" s="7" t="s">
        <v>16</v>
      </c>
      <c r="EQ38919" s="7" t="n">
        <f t="normal" ca="1">32-LENB(INDIRECT(ADDRESS(38919,146)))</f>
        <v>0</v>
      </c>
      <c r="ER38919" s="7" t="n">
        <v>7</v>
      </c>
      <c r="ES38919" s="7" t="n">
        <v>65533</v>
      </c>
      <c r="ET38919" s="7" t="n">
        <v>63794</v>
      </c>
      <c r="EU38919" s="7" t="s">
        <v>16</v>
      </c>
      <c r="EV38919" s="7" t="n">
        <f t="normal" ca="1">32-LENB(INDIRECT(ADDRESS(38919,151)))</f>
        <v>0</v>
      </c>
      <c r="EW38919" s="7" t="n">
        <v>7</v>
      </c>
      <c r="EX38919" s="7" t="n">
        <v>65533</v>
      </c>
      <c r="EY38919" s="7" t="n">
        <v>63795</v>
      </c>
      <c r="EZ38919" s="7" t="s">
        <v>16</v>
      </c>
      <c r="FA38919" s="7" t="n">
        <f t="normal" ca="1">32-LENB(INDIRECT(ADDRESS(38919,156)))</f>
        <v>0</v>
      </c>
      <c r="FB38919" s="7" t="n">
        <v>7</v>
      </c>
      <c r="FC38919" s="7" t="n">
        <v>65533</v>
      </c>
      <c r="FD38919" s="7" t="n">
        <v>63796</v>
      </c>
      <c r="FE38919" s="7" t="s">
        <v>16</v>
      </c>
      <c r="FF38919" s="7" t="n">
        <f t="normal" ca="1">32-LENB(INDIRECT(ADDRESS(38919,161)))</f>
        <v>0</v>
      </c>
      <c r="FG38919" s="7" t="n">
        <v>7</v>
      </c>
      <c r="FH38919" s="7" t="n">
        <v>65533</v>
      </c>
      <c r="FI38919" s="7" t="n">
        <v>63797</v>
      </c>
      <c r="FJ38919" s="7" t="s">
        <v>16</v>
      </c>
      <c r="FK38919" s="7" t="n">
        <f t="normal" ca="1">32-LENB(INDIRECT(ADDRESS(38919,166)))</f>
        <v>0</v>
      </c>
      <c r="FL38919" s="7" t="n">
        <v>7</v>
      </c>
      <c r="FM38919" s="7" t="n">
        <v>65533</v>
      </c>
      <c r="FN38919" s="7" t="n">
        <v>1802</v>
      </c>
      <c r="FO38919" s="7" t="s">
        <v>16</v>
      </c>
      <c r="FP38919" s="7" t="n">
        <f t="normal" ca="1">32-LENB(INDIRECT(ADDRESS(38919,171)))</f>
        <v>0</v>
      </c>
      <c r="FQ38919" s="7" t="n">
        <v>7</v>
      </c>
      <c r="FR38919" s="7" t="n">
        <v>65533</v>
      </c>
      <c r="FS38919" s="7" t="n">
        <v>1803</v>
      </c>
      <c r="FT38919" s="7" t="s">
        <v>16</v>
      </c>
      <c r="FU38919" s="7" t="n">
        <f t="normal" ca="1">32-LENB(INDIRECT(ADDRESS(38919,176)))</f>
        <v>0</v>
      </c>
      <c r="FV38919" s="7" t="n">
        <v>7</v>
      </c>
      <c r="FW38919" s="7" t="n">
        <v>65533</v>
      </c>
      <c r="FX38919" s="7" t="n">
        <v>1804</v>
      </c>
      <c r="FY38919" s="7" t="s">
        <v>16</v>
      </c>
      <c r="FZ38919" s="7" t="n">
        <f t="normal" ca="1">32-LENB(INDIRECT(ADDRESS(38919,181)))</f>
        <v>0</v>
      </c>
      <c r="GA38919" s="7" t="n">
        <v>7</v>
      </c>
      <c r="GB38919" s="7" t="n">
        <v>65533</v>
      </c>
      <c r="GC38919" s="7" t="n">
        <v>63798</v>
      </c>
      <c r="GD38919" s="7" t="s">
        <v>16</v>
      </c>
      <c r="GE38919" s="7" t="n">
        <f t="normal" ca="1">32-LENB(INDIRECT(ADDRESS(38919,186)))</f>
        <v>0</v>
      </c>
      <c r="GF38919" s="7" t="n">
        <v>7</v>
      </c>
      <c r="GG38919" s="7" t="n">
        <v>65533</v>
      </c>
      <c r="GH38919" s="7" t="n">
        <v>1805</v>
      </c>
      <c r="GI38919" s="7" t="s">
        <v>16</v>
      </c>
      <c r="GJ38919" s="7" t="n">
        <f t="normal" ca="1">32-LENB(INDIRECT(ADDRESS(38919,191)))</f>
        <v>0</v>
      </c>
      <c r="GK38919" s="7" t="n">
        <v>7</v>
      </c>
      <c r="GL38919" s="7" t="n">
        <v>65533</v>
      </c>
      <c r="GM38919" s="7" t="n">
        <v>1806</v>
      </c>
      <c r="GN38919" s="7" t="s">
        <v>16</v>
      </c>
      <c r="GO38919" s="7" t="n">
        <f t="normal" ca="1">32-LENB(INDIRECT(ADDRESS(38919,196)))</f>
        <v>0</v>
      </c>
      <c r="GP38919" s="7" t="n">
        <v>7</v>
      </c>
      <c r="GQ38919" s="7" t="n">
        <v>65533</v>
      </c>
      <c r="GR38919" s="7" t="n">
        <v>1807</v>
      </c>
      <c r="GS38919" s="7" t="s">
        <v>16</v>
      </c>
      <c r="GT38919" s="7" t="n">
        <f t="normal" ca="1">32-LENB(INDIRECT(ADDRESS(38919,201)))</f>
        <v>0</v>
      </c>
      <c r="GU38919" s="7" t="n">
        <v>7</v>
      </c>
      <c r="GV38919" s="7" t="n">
        <v>65533</v>
      </c>
      <c r="GW38919" s="7" t="n">
        <v>63799</v>
      </c>
      <c r="GX38919" s="7" t="s">
        <v>16</v>
      </c>
      <c r="GY38919" s="7" t="n">
        <f t="normal" ca="1">32-LENB(INDIRECT(ADDRESS(38919,206)))</f>
        <v>0</v>
      </c>
      <c r="GZ38919" s="7" t="n">
        <v>7</v>
      </c>
      <c r="HA38919" s="7" t="n">
        <v>65533</v>
      </c>
      <c r="HB38919" s="7" t="n">
        <v>1808</v>
      </c>
      <c r="HC38919" s="7" t="s">
        <v>16</v>
      </c>
      <c r="HD38919" s="7" t="n">
        <f t="normal" ca="1">32-LENB(INDIRECT(ADDRESS(38919,211)))</f>
        <v>0</v>
      </c>
      <c r="HE38919" s="7" t="n">
        <v>7</v>
      </c>
      <c r="HF38919" s="7" t="n">
        <v>65533</v>
      </c>
      <c r="HG38919" s="7" t="n">
        <v>1809</v>
      </c>
      <c r="HH38919" s="7" t="s">
        <v>16</v>
      </c>
      <c r="HI38919" s="7" t="n">
        <f t="normal" ca="1">32-LENB(INDIRECT(ADDRESS(38919,216)))</f>
        <v>0</v>
      </c>
      <c r="HJ38919" s="7" t="n">
        <v>7</v>
      </c>
      <c r="HK38919" s="7" t="n">
        <v>65533</v>
      </c>
      <c r="HL38919" s="7" t="n">
        <v>1810</v>
      </c>
      <c r="HM38919" s="7" t="s">
        <v>16</v>
      </c>
      <c r="HN38919" s="7" t="n">
        <f t="normal" ca="1">32-LENB(INDIRECT(ADDRESS(38919,221)))</f>
        <v>0</v>
      </c>
      <c r="HO38919" s="7" t="n">
        <v>7</v>
      </c>
      <c r="HP38919" s="7" t="n">
        <v>65533</v>
      </c>
      <c r="HQ38919" s="7" t="n">
        <v>1811</v>
      </c>
      <c r="HR38919" s="7" t="s">
        <v>16</v>
      </c>
      <c r="HS38919" s="7" t="n">
        <f t="normal" ca="1">32-LENB(INDIRECT(ADDRESS(38919,226)))</f>
        <v>0</v>
      </c>
      <c r="HT38919" s="7" t="n">
        <v>7</v>
      </c>
      <c r="HU38919" s="7" t="n">
        <v>65533</v>
      </c>
      <c r="HV38919" s="7" t="n">
        <v>1812</v>
      </c>
      <c r="HW38919" s="7" t="s">
        <v>16</v>
      </c>
      <c r="HX38919" s="7" t="n">
        <f t="normal" ca="1">32-LENB(INDIRECT(ADDRESS(38919,231)))</f>
        <v>0</v>
      </c>
      <c r="HY38919" s="7" t="n">
        <v>7</v>
      </c>
      <c r="HZ38919" s="7" t="n">
        <v>65533</v>
      </c>
      <c r="IA38919" s="7" t="n">
        <v>63800</v>
      </c>
      <c r="IB38919" s="7" t="s">
        <v>16</v>
      </c>
      <c r="IC38919" s="7" t="n">
        <f t="normal" ca="1">32-LENB(INDIRECT(ADDRESS(38919,236)))</f>
        <v>0</v>
      </c>
      <c r="ID38919" s="7" t="n">
        <v>7</v>
      </c>
      <c r="IE38919" s="7" t="n">
        <v>65533</v>
      </c>
      <c r="IF38919" s="7" t="n">
        <v>63801</v>
      </c>
      <c r="IG38919" s="7" t="s">
        <v>16</v>
      </c>
      <c r="IH38919" s="7" t="n">
        <f t="normal" ca="1">32-LENB(INDIRECT(ADDRESS(38919,241)))</f>
        <v>0</v>
      </c>
      <c r="II38919" s="7" t="n">
        <v>7</v>
      </c>
      <c r="IJ38919" s="7" t="n">
        <v>65533</v>
      </c>
      <c r="IK38919" s="7" t="n">
        <v>63802</v>
      </c>
      <c r="IL38919" s="7" t="s">
        <v>16</v>
      </c>
      <c r="IM38919" s="7" t="n">
        <f t="normal" ca="1">32-LENB(INDIRECT(ADDRESS(38919,246)))</f>
        <v>0</v>
      </c>
      <c r="IN38919" s="7" t="n">
        <v>7</v>
      </c>
      <c r="IO38919" s="7" t="n">
        <v>65533</v>
      </c>
      <c r="IP38919" s="7" t="n">
        <v>63803</v>
      </c>
      <c r="IQ38919" s="7" t="s">
        <v>16</v>
      </c>
      <c r="IR38919" s="7" t="n">
        <f t="normal" ca="1">32-LENB(INDIRECT(ADDRESS(38919,251)))</f>
        <v>0</v>
      </c>
      <c r="IS38919" s="7" t="n">
        <v>7</v>
      </c>
      <c r="IT38919" s="7" t="n">
        <v>65533</v>
      </c>
      <c r="IU38919" s="7" t="n">
        <v>63804</v>
      </c>
      <c r="IV38919" s="7" t="s">
        <v>16</v>
      </c>
      <c r="IW38919" s="7" t="n">
        <f t="normal" ca="1">32-LENB(INDIRECT(ADDRESS(38919,256)))</f>
        <v>0</v>
      </c>
      <c r="IX38919" s="7" t="n">
        <v>7</v>
      </c>
      <c r="IY38919" s="7" t="n">
        <v>65533</v>
      </c>
      <c r="IZ38919" s="7" t="n">
        <v>1813</v>
      </c>
      <c r="JA38919" s="7" t="s">
        <v>16</v>
      </c>
      <c r="JB38919" s="7" t="n">
        <f t="normal" ca="1">32-LENB(INDIRECT(ADDRESS(38919,261)))</f>
        <v>0</v>
      </c>
      <c r="JC38919" s="7" t="n">
        <v>7</v>
      </c>
      <c r="JD38919" s="7" t="n">
        <v>65533</v>
      </c>
      <c r="JE38919" s="7" t="n">
        <v>63805</v>
      </c>
      <c r="JF38919" s="7" t="s">
        <v>16</v>
      </c>
      <c r="JG38919" s="7" t="n">
        <f t="normal" ca="1">32-LENB(INDIRECT(ADDRESS(38919,266)))</f>
        <v>0</v>
      </c>
      <c r="JH38919" s="7" t="n">
        <v>7</v>
      </c>
      <c r="JI38919" s="7" t="n">
        <v>65533</v>
      </c>
      <c r="JJ38919" s="7" t="n">
        <v>63806</v>
      </c>
      <c r="JK38919" s="7" t="s">
        <v>16</v>
      </c>
      <c r="JL38919" s="7" t="n">
        <f t="normal" ca="1">32-LENB(INDIRECT(ADDRESS(38919,271)))</f>
        <v>0</v>
      </c>
      <c r="JM38919" s="7" t="n">
        <v>7</v>
      </c>
      <c r="JN38919" s="7" t="n">
        <v>65533</v>
      </c>
      <c r="JO38919" s="7" t="n">
        <v>63807</v>
      </c>
      <c r="JP38919" s="7" t="s">
        <v>16</v>
      </c>
      <c r="JQ38919" s="7" t="n">
        <f t="normal" ca="1">32-LENB(INDIRECT(ADDRESS(38919,276)))</f>
        <v>0</v>
      </c>
      <c r="JR38919" s="7" t="n">
        <v>7</v>
      </c>
      <c r="JS38919" s="7" t="n">
        <v>65533</v>
      </c>
      <c r="JT38919" s="7" t="n">
        <v>63808</v>
      </c>
      <c r="JU38919" s="7" t="s">
        <v>16</v>
      </c>
      <c r="JV38919" s="7" t="n">
        <f t="normal" ca="1">32-LENB(INDIRECT(ADDRESS(38919,281)))</f>
        <v>0</v>
      </c>
      <c r="JW38919" s="7" t="n">
        <v>7</v>
      </c>
      <c r="JX38919" s="7" t="n">
        <v>65533</v>
      </c>
      <c r="JY38919" s="7" t="n">
        <v>1814</v>
      </c>
      <c r="JZ38919" s="7" t="s">
        <v>16</v>
      </c>
      <c r="KA38919" s="7" t="n">
        <f t="normal" ca="1">32-LENB(INDIRECT(ADDRESS(38919,286)))</f>
        <v>0</v>
      </c>
      <c r="KB38919" s="7" t="n">
        <v>7</v>
      </c>
      <c r="KC38919" s="7" t="n">
        <v>65533</v>
      </c>
      <c r="KD38919" s="7" t="n">
        <v>63809</v>
      </c>
      <c r="KE38919" s="7" t="s">
        <v>16</v>
      </c>
      <c r="KF38919" s="7" t="n">
        <f t="normal" ca="1">32-LENB(INDIRECT(ADDRESS(38919,291)))</f>
        <v>0</v>
      </c>
      <c r="KG38919" s="7" t="n">
        <v>7</v>
      </c>
      <c r="KH38919" s="7" t="n">
        <v>65533</v>
      </c>
      <c r="KI38919" s="7" t="n">
        <v>63810</v>
      </c>
      <c r="KJ38919" s="7" t="s">
        <v>16</v>
      </c>
      <c r="KK38919" s="7" t="n">
        <f t="normal" ca="1">32-LENB(INDIRECT(ADDRESS(38919,296)))</f>
        <v>0</v>
      </c>
      <c r="KL38919" s="7" t="n">
        <v>7</v>
      </c>
      <c r="KM38919" s="7" t="n">
        <v>65533</v>
      </c>
      <c r="KN38919" s="7" t="n">
        <v>63811</v>
      </c>
      <c r="KO38919" s="7" t="s">
        <v>16</v>
      </c>
      <c r="KP38919" s="7" t="n">
        <f t="normal" ca="1">32-LENB(INDIRECT(ADDRESS(38919,301)))</f>
        <v>0</v>
      </c>
      <c r="KQ38919" s="7" t="n">
        <v>7</v>
      </c>
      <c r="KR38919" s="7" t="n">
        <v>65533</v>
      </c>
      <c r="KS38919" s="7" t="n">
        <v>63812</v>
      </c>
      <c r="KT38919" s="7" t="s">
        <v>16</v>
      </c>
      <c r="KU38919" s="7" t="n">
        <f t="normal" ca="1">32-LENB(INDIRECT(ADDRESS(38919,306)))</f>
        <v>0</v>
      </c>
      <c r="KV38919" s="7" t="n">
        <v>7</v>
      </c>
      <c r="KW38919" s="7" t="n">
        <v>65533</v>
      </c>
      <c r="KX38919" s="7" t="n">
        <v>1815</v>
      </c>
      <c r="KY38919" s="7" t="s">
        <v>16</v>
      </c>
      <c r="KZ38919" s="7" t="n">
        <f t="normal" ca="1">32-LENB(INDIRECT(ADDRESS(38919,311)))</f>
        <v>0</v>
      </c>
      <c r="LA38919" s="7" t="n">
        <v>7</v>
      </c>
      <c r="LB38919" s="7" t="n">
        <v>65533</v>
      </c>
      <c r="LC38919" s="7" t="n">
        <v>1816</v>
      </c>
      <c r="LD38919" s="7" t="s">
        <v>16</v>
      </c>
      <c r="LE38919" s="7" t="n">
        <f t="normal" ca="1">32-LENB(INDIRECT(ADDRESS(38919,316)))</f>
        <v>0</v>
      </c>
      <c r="LF38919" s="7" t="n">
        <v>4</v>
      </c>
      <c r="LG38919" s="7" t="n">
        <v>65533</v>
      </c>
      <c r="LH38919" s="7" t="n">
        <v>2004</v>
      </c>
      <c r="LI38919" s="7" t="s">
        <v>16</v>
      </c>
      <c r="LJ38919" s="7" t="n">
        <f t="normal" ca="1">32-LENB(INDIRECT(ADDRESS(38919,321)))</f>
        <v>0</v>
      </c>
      <c r="LK38919" s="7" t="n">
        <v>7</v>
      </c>
      <c r="LL38919" s="7" t="n">
        <v>65533</v>
      </c>
      <c r="LM38919" s="7" t="n">
        <v>1817</v>
      </c>
      <c r="LN38919" s="7" t="s">
        <v>16</v>
      </c>
      <c r="LO38919" s="7" t="n">
        <f t="normal" ca="1">32-LENB(INDIRECT(ADDRESS(38919,326)))</f>
        <v>0</v>
      </c>
      <c r="LP38919" s="7" t="n">
        <v>7</v>
      </c>
      <c r="LQ38919" s="7" t="n">
        <v>65533</v>
      </c>
      <c r="LR38919" s="7" t="n">
        <v>1818</v>
      </c>
      <c r="LS38919" s="7" t="s">
        <v>16</v>
      </c>
      <c r="LT38919" s="7" t="n">
        <f t="normal" ca="1">32-LENB(INDIRECT(ADDRESS(38919,331)))</f>
        <v>0</v>
      </c>
      <c r="LU38919" s="7" t="n">
        <v>7</v>
      </c>
      <c r="LV38919" s="7" t="n">
        <v>65533</v>
      </c>
      <c r="LW38919" s="7" t="n">
        <v>1819</v>
      </c>
      <c r="LX38919" s="7" t="s">
        <v>16</v>
      </c>
      <c r="LY38919" s="7" t="n">
        <f t="normal" ca="1">32-LENB(INDIRECT(ADDRESS(38919,336)))</f>
        <v>0</v>
      </c>
      <c r="LZ38919" s="7" t="n">
        <v>7</v>
      </c>
      <c r="MA38919" s="7" t="n">
        <v>65533</v>
      </c>
      <c r="MB38919" s="7" t="n">
        <v>63813</v>
      </c>
      <c r="MC38919" s="7" t="s">
        <v>16</v>
      </c>
      <c r="MD38919" s="7" t="n">
        <f t="normal" ca="1">32-LENB(INDIRECT(ADDRESS(38919,341)))</f>
        <v>0</v>
      </c>
      <c r="ME38919" s="7" t="n">
        <v>7</v>
      </c>
      <c r="MF38919" s="7" t="n">
        <v>65533</v>
      </c>
      <c r="MG38919" s="7" t="n">
        <v>1820</v>
      </c>
      <c r="MH38919" s="7" t="s">
        <v>16</v>
      </c>
      <c r="MI38919" s="7" t="n">
        <f t="normal" ca="1">32-LENB(INDIRECT(ADDRESS(38919,346)))</f>
        <v>0</v>
      </c>
      <c r="MJ38919" s="7" t="n">
        <v>4</v>
      </c>
      <c r="MK38919" s="7" t="n">
        <v>65533</v>
      </c>
      <c r="ML38919" s="7" t="n">
        <v>2004</v>
      </c>
      <c r="MM38919" s="7" t="s">
        <v>16</v>
      </c>
      <c r="MN38919" s="7" t="n">
        <f t="normal" ca="1">32-LENB(INDIRECT(ADDRESS(38919,351)))</f>
        <v>0</v>
      </c>
      <c r="MO38919" s="7" t="n">
        <v>7</v>
      </c>
      <c r="MP38919" s="7" t="n">
        <v>65533</v>
      </c>
      <c r="MQ38919" s="7" t="n">
        <v>63814</v>
      </c>
      <c r="MR38919" s="7" t="s">
        <v>16</v>
      </c>
      <c r="MS38919" s="7" t="n">
        <f t="normal" ca="1">32-LENB(INDIRECT(ADDRESS(38919,356)))</f>
        <v>0</v>
      </c>
      <c r="MT38919" s="7" t="n">
        <v>7</v>
      </c>
      <c r="MU38919" s="7" t="n">
        <v>65533</v>
      </c>
      <c r="MV38919" s="7" t="n">
        <v>63815</v>
      </c>
      <c r="MW38919" s="7" t="s">
        <v>16</v>
      </c>
      <c r="MX38919" s="7" t="n">
        <f t="normal" ca="1">32-LENB(INDIRECT(ADDRESS(38919,361)))</f>
        <v>0</v>
      </c>
      <c r="MY38919" s="7" t="n">
        <v>7</v>
      </c>
      <c r="MZ38919" s="7" t="n">
        <v>65533</v>
      </c>
      <c r="NA38919" s="7" t="n">
        <v>1821</v>
      </c>
      <c r="NB38919" s="7" t="s">
        <v>16</v>
      </c>
      <c r="NC38919" s="7" t="n">
        <f t="normal" ca="1">32-LENB(INDIRECT(ADDRESS(38919,366)))</f>
        <v>0</v>
      </c>
      <c r="ND38919" s="7" t="n">
        <v>7</v>
      </c>
      <c r="NE38919" s="7" t="n">
        <v>65533</v>
      </c>
      <c r="NF38919" s="7" t="n">
        <v>1822</v>
      </c>
      <c r="NG38919" s="7" t="s">
        <v>16</v>
      </c>
      <c r="NH38919" s="7" t="n">
        <f t="normal" ca="1">32-LENB(INDIRECT(ADDRESS(38919,371)))</f>
        <v>0</v>
      </c>
      <c r="NI38919" s="7" t="n">
        <v>7</v>
      </c>
      <c r="NJ38919" s="7" t="n">
        <v>65533</v>
      </c>
      <c r="NK38919" s="7" t="n">
        <v>1823</v>
      </c>
      <c r="NL38919" s="7" t="s">
        <v>16</v>
      </c>
      <c r="NM38919" s="7" t="n">
        <f t="normal" ca="1">32-LENB(INDIRECT(ADDRESS(38919,376)))</f>
        <v>0</v>
      </c>
      <c r="NN38919" s="7" t="n">
        <v>7</v>
      </c>
      <c r="NO38919" s="7" t="n">
        <v>65533</v>
      </c>
      <c r="NP38919" s="7" t="n">
        <v>63816</v>
      </c>
      <c r="NQ38919" s="7" t="s">
        <v>16</v>
      </c>
      <c r="NR38919" s="7" t="n">
        <f t="normal" ca="1">32-LENB(INDIRECT(ADDRESS(38919,381)))</f>
        <v>0</v>
      </c>
      <c r="NS38919" s="7" t="n">
        <v>7</v>
      </c>
      <c r="NT38919" s="7" t="n">
        <v>65533</v>
      </c>
      <c r="NU38919" s="7" t="n">
        <v>63817</v>
      </c>
      <c r="NV38919" s="7" t="s">
        <v>16</v>
      </c>
      <c r="NW38919" s="7" t="n">
        <f t="normal" ca="1">32-LENB(INDIRECT(ADDRESS(38919,386)))</f>
        <v>0</v>
      </c>
      <c r="NX38919" s="7" t="n">
        <v>7</v>
      </c>
      <c r="NY38919" s="7" t="n">
        <v>65533</v>
      </c>
      <c r="NZ38919" s="7" t="n">
        <v>63818</v>
      </c>
      <c r="OA38919" s="7" t="s">
        <v>16</v>
      </c>
      <c r="OB38919" s="7" t="n">
        <f t="normal" ca="1">32-LENB(INDIRECT(ADDRESS(38919,391)))</f>
        <v>0</v>
      </c>
      <c r="OC38919" s="7" t="n">
        <v>7</v>
      </c>
      <c r="OD38919" s="7" t="n">
        <v>65533</v>
      </c>
      <c r="OE38919" s="7" t="n">
        <v>63819</v>
      </c>
      <c r="OF38919" s="7" t="s">
        <v>16</v>
      </c>
      <c r="OG38919" s="7" t="n">
        <f t="normal" ca="1">32-LENB(INDIRECT(ADDRESS(38919,396)))</f>
        <v>0</v>
      </c>
      <c r="OH38919" s="7" t="n">
        <v>7</v>
      </c>
      <c r="OI38919" s="7" t="n">
        <v>65533</v>
      </c>
      <c r="OJ38919" s="7" t="n">
        <v>1824</v>
      </c>
      <c r="OK38919" s="7" t="s">
        <v>16</v>
      </c>
      <c r="OL38919" s="7" t="n">
        <f t="normal" ca="1">32-LENB(INDIRECT(ADDRESS(38919,401)))</f>
        <v>0</v>
      </c>
      <c r="OM38919" s="7" t="n">
        <v>0</v>
      </c>
      <c r="ON38919" s="7" t="n">
        <v>65533</v>
      </c>
      <c r="OO38919" s="7" t="n">
        <v>0</v>
      </c>
      <c r="OP38919" s="7" t="s">
        <v>16</v>
      </c>
      <c r="OQ38919" s="7" t="n">
        <f t="normal" ca="1">32-LENB(INDIRECT(ADDRESS(38919,406)))</f>
        <v>0</v>
      </c>
    </row>
    <row r="38920" spans="1:62">
      <c r="A38920" t="s">
        <v>4</v>
      </c>
      <c r="B38920" s="4" t="s">
        <v>5</v>
      </c>
    </row>
    <row r="38921" spans="1:62">
      <c r="A38921" t="n">
        <v>445720</v>
      </c>
      <c r="B38921" s="5" t="n">
        <v>1</v>
      </c>
    </row>
    <row r="38922" spans="1:62" s="3" customFormat="1" customHeight="0">
      <c r="A38922" s="3" t="s">
        <v>2</v>
      </c>
      <c r="B38922" s="3" t="s">
        <v>1893</v>
      </c>
    </row>
    <row r="38923" spans="1:62">
      <c r="A38923" t="s">
        <v>4</v>
      </c>
      <c r="B38923" s="4" t="s">
        <v>5</v>
      </c>
      <c r="C38923" s="4" t="s">
        <v>11</v>
      </c>
      <c r="D38923" s="4" t="s">
        <v>11</v>
      </c>
      <c r="E38923" s="4" t="s">
        <v>15</v>
      </c>
      <c r="F38923" s="4" t="s">
        <v>8</v>
      </c>
      <c r="G38923" s="4" t="s">
        <v>1859</v>
      </c>
      <c r="H38923" s="4" t="s">
        <v>11</v>
      </c>
      <c r="I38923" s="4" t="s">
        <v>11</v>
      </c>
      <c r="J38923" s="4" t="s">
        <v>15</v>
      </c>
      <c r="K38923" s="4" t="s">
        <v>8</v>
      </c>
      <c r="L38923" s="4" t="s">
        <v>1859</v>
      </c>
      <c r="M38923" s="4" t="s">
        <v>11</v>
      </c>
      <c r="N38923" s="4" t="s">
        <v>11</v>
      </c>
      <c r="O38923" s="4" t="s">
        <v>15</v>
      </c>
      <c r="P38923" s="4" t="s">
        <v>8</v>
      </c>
      <c r="Q38923" s="4" t="s">
        <v>1859</v>
      </c>
      <c r="R38923" s="4" t="s">
        <v>11</v>
      </c>
      <c r="S38923" s="4" t="s">
        <v>11</v>
      </c>
      <c r="T38923" s="4" t="s">
        <v>15</v>
      </c>
      <c r="U38923" s="4" t="s">
        <v>8</v>
      </c>
      <c r="V38923" s="4" t="s">
        <v>1859</v>
      </c>
      <c r="W38923" s="4" t="s">
        <v>11</v>
      </c>
      <c r="X38923" s="4" t="s">
        <v>11</v>
      </c>
      <c r="Y38923" s="4" t="s">
        <v>15</v>
      </c>
      <c r="Z38923" s="4" t="s">
        <v>8</v>
      </c>
      <c r="AA38923" s="4" t="s">
        <v>1859</v>
      </c>
      <c r="AB38923" s="4" t="s">
        <v>11</v>
      </c>
      <c r="AC38923" s="4" t="s">
        <v>11</v>
      </c>
      <c r="AD38923" s="4" t="s">
        <v>15</v>
      </c>
      <c r="AE38923" s="4" t="s">
        <v>8</v>
      </c>
      <c r="AF38923" s="4" t="s">
        <v>1859</v>
      </c>
      <c r="AG38923" s="4" t="s">
        <v>11</v>
      </c>
      <c r="AH38923" s="4" t="s">
        <v>11</v>
      </c>
      <c r="AI38923" s="4" t="s">
        <v>15</v>
      </c>
      <c r="AJ38923" s="4" t="s">
        <v>8</v>
      </c>
      <c r="AK38923" s="4" t="s">
        <v>1859</v>
      </c>
      <c r="AL38923" s="4" t="s">
        <v>11</v>
      </c>
      <c r="AM38923" s="4" t="s">
        <v>11</v>
      </c>
      <c r="AN38923" s="4" t="s">
        <v>15</v>
      </c>
      <c r="AO38923" s="4" t="s">
        <v>8</v>
      </c>
      <c r="AP38923" s="4" t="s">
        <v>1859</v>
      </c>
      <c r="AQ38923" s="4" t="s">
        <v>11</v>
      </c>
      <c r="AR38923" s="4" t="s">
        <v>11</v>
      </c>
      <c r="AS38923" s="4" t="s">
        <v>15</v>
      </c>
      <c r="AT38923" s="4" t="s">
        <v>8</v>
      </c>
      <c r="AU38923" s="4" t="s">
        <v>1859</v>
      </c>
      <c r="AV38923" s="4" t="s">
        <v>11</v>
      </c>
      <c r="AW38923" s="4" t="s">
        <v>11</v>
      </c>
      <c r="AX38923" s="4" t="s">
        <v>15</v>
      </c>
      <c r="AY38923" s="4" t="s">
        <v>8</v>
      </c>
      <c r="AZ38923" s="4" t="s">
        <v>1859</v>
      </c>
      <c r="BA38923" s="4" t="s">
        <v>11</v>
      </c>
      <c r="BB38923" s="4" t="s">
        <v>11</v>
      </c>
      <c r="BC38923" s="4" t="s">
        <v>15</v>
      </c>
      <c r="BD38923" s="4" t="s">
        <v>8</v>
      </c>
      <c r="BE38923" s="4" t="s">
        <v>1859</v>
      </c>
      <c r="BF38923" s="4" t="s">
        <v>11</v>
      </c>
      <c r="BG38923" s="4" t="s">
        <v>11</v>
      </c>
      <c r="BH38923" s="4" t="s">
        <v>15</v>
      </c>
      <c r="BI38923" s="4" t="s">
        <v>8</v>
      </c>
      <c r="BJ38923" s="4" t="s">
        <v>1859</v>
      </c>
      <c r="BK38923" s="4" t="s">
        <v>11</v>
      </c>
      <c r="BL38923" s="4" t="s">
        <v>11</v>
      </c>
      <c r="BM38923" s="4" t="s">
        <v>15</v>
      </c>
      <c r="BN38923" s="4" t="s">
        <v>8</v>
      </c>
      <c r="BO38923" s="4" t="s">
        <v>1859</v>
      </c>
      <c r="BP38923" s="4" t="s">
        <v>11</v>
      </c>
      <c r="BQ38923" s="4" t="s">
        <v>11</v>
      </c>
      <c r="BR38923" s="4" t="s">
        <v>15</v>
      </c>
      <c r="BS38923" s="4" t="s">
        <v>8</v>
      </c>
      <c r="BT38923" s="4" t="s">
        <v>1859</v>
      </c>
      <c r="BU38923" s="4" t="s">
        <v>11</v>
      </c>
      <c r="BV38923" s="4" t="s">
        <v>11</v>
      </c>
      <c r="BW38923" s="4" t="s">
        <v>15</v>
      </c>
      <c r="BX38923" s="4" t="s">
        <v>8</v>
      </c>
      <c r="BY38923" s="4" t="s">
        <v>1859</v>
      </c>
      <c r="BZ38923" s="4" t="s">
        <v>11</v>
      </c>
      <c r="CA38923" s="4" t="s">
        <v>11</v>
      </c>
      <c r="CB38923" s="4" t="s">
        <v>15</v>
      </c>
      <c r="CC38923" s="4" t="s">
        <v>8</v>
      </c>
      <c r="CD38923" s="4" t="s">
        <v>1859</v>
      </c>
      <c r="CE38923" s="4" t="s">
        <v>11</v>
      </c>
      <c r="CF38923" s="4" t="s">
        <v>11</v>
      </c>
      <c r="CG38923" s="4" t="s">
        <v>15</v>
      </c>
      <c r="CH38923" s="4" t="s">
        <v>8</v>
      </c>
      <c r="CI38923" s="4" t="s">
        <v>1859</v>
      </c>
      <c r="CJ38923" s="4" t="s">
        <v>11</v>
      </c>
      <c r="CK38923" s="4" t="s">
        <v>11</v>
      </c>
      <c r="CL38923" s="4" t="s">
        <v>15</v>
      </c>
      <c r="CM38923" s="4" t="s">
        <v>8</v>
      </c>
      <c r="CN38923" s="4" t="s">
        <v>1859</v>
      </c>
      <c r="CO38923" s="4" t="s">
        <v>11</v>
      </c>
      <c r="CP38923" s="4" t="s">
        <v>11</v>
      </c>
      <c r="CQ38923" s="4" t="s">
        <v>15</v>
      </c>
      <c r="CR38923" s="4" t="s">
        <v>8</v>
      </c>
      <c r="CS38923" s="4" t="s">
        <v>1859</v>
      </c>
      <c r="CT38923" s="4" t="s">
        <v>11</v>
      </c>
      <c r="CU38923" s="4" t="s">
        <v>11</v>
      </c>
      <c r="CV38923" s="4" t="s">
        <v>15</v>
      </c>
      <c r="CW38923" s="4" t="s">
        <v>8</v>
      </c>
      <c r="CX38923" s="4" t="s">
        <v>1859</v>
      </c>
      <c r="CY38923" s="4" t="s">
        <v>11</v>
      </c>
      <c r="CZ38923" s="4" t="s">
        <v>11</v>
      </c>
      <c r="DA38923" s="4" t="s">
        <v>15</v>
      </c>
      <c r="DB38923" s="4" t="s">
        <v>8</v>
      </c>
      <c r="DC38923" s="4" t="s">
        <v>1859</v>
      </c>
      <c r="DD38923" s="4" t="s">
        <v>11</v>
      </c>
      <c r="DE38923" s="4" t="s">
        <v>11</v>
      </c>
      <c r="DF38923" s="4" t="s">
        <v>15</v>
      </c>
      <c r="DG38923" s="4" t="s">
        <v>8</v>
      </c>
      <c r="DH38923" s="4" t="s">
        <v>1859</v>
      </c>
      <c r="DI38923" s="4" t="s">
        <v>11</v>
      </c>
      <c r="DJ38923" s="4" t="s">
        <v>11</v>
      </c>
      <c r="DK38923" s="4" t="s">
        <v>15</v>
      </c>
      <c r="DL38923" s="4" t="s">
        <v>8</v>
      </c>
      <c r="DM38923" s="4" t="s">
        <v>1859</v>
      </c>
      <c r="DN38923" s="4" t="s">
        <v>11</v>
      </c>
      <c r="DO38923" s="4" t="s">
        <v>11</v>
      </c>
      <c r="DP38923" s="4" t="s">
        <v>15</v>
      </c>
      <c r="DQ38923" s="4" t="s">
        <v>8</v>
      </c>
      <c r="DR38923" s="4" t="s">
        <v>1859</v>
      </c>
      <c r="DS38923" s="4" t="s">
        <v>11</v>
      </c>
      <c r="DT38923" s="4" t="s">
        <v>11</v>
      </c>
      <c r="DU38923" s="4" t="s">
        <v>15</v>
      </c>
      <c r="DV38923" s="4" t="s">
        <v>8</v>
      </c>
      <c r="DW38923" s="4" t="s">
        <v>1859</v>
      </c>
      <c r="DX38923" s="4" t="s">
        <v>11</v>
      </c>
      <c r="DY38923" s="4" t="s">
        <v>11</v>
      </c>
      <c r="DZ38923" s="4" t="s">
        <v>15</v>
      </c>
      <c r="EA38923" s="4" t="s">
        <v>8</v>
      </c>
      <c r="EB38923" s="4" t="s">
        <v>1859</v>
      </c>
      <c r="EC38923" s="4" t="s">
        <v>11</v>
      </c>
      <c r="ED38923" s="4" t="s">
        <v>11</v>
      </c>
      <c r="EE38923" s="4" t="s">
        <v>15</v>
      </c>
      <c r="EF38923" s="4" t="s">
        <v>8</v>
      </c>
      <c r="EG38923" s="4" t="s">
        <v>1859</v>
      </c>
      <c r="EH38923" s="4" t="s">
        <v>11</v>
      </c>
      <c r="EI38923" s="4" t="s">
        <v>11</v>
      </c>
      <c r="EJ38923" s="4" t="s">
        <v>15</v>
      </c>
      <c r="EK38923" s="4" t="s">
        <v>8</v>
      </c>
      <c r="EL38923" s="4" t="s">
        <v>1859</v>
      </c>
      <c r="EM38923" s="4" t="s">
        <v>11</v>
      </c>
      <c r="EN38923" s="4" t="s">
        <v>11</v>
      </c>
      <c r="EO38923" s="4" t="s">
        <v>15</v>
      </c>
      <c r="EP38923" s="4" t="s">
        <v>8</v>
      </c>
      <c r="EQ38923" s="4" t="s">
        <v>1859</v>
      </c>
      <c r="ER38923" s="4" t="s">
        <v>11</v>
      </c>
      <c r="ES38923" s="4" t="s">
        <v>11</v>
      </c>
      <c r="ET38923" s="4" t="s">
        <v>15</v>
      </c>
      <c r="EU38923" s="4" t="s">
        <v>8</v>
      </c>
      <c r="EV38923" s="4" t="s">
        <v>1859</v>
      </c>
      <c r="EW38923" s="4" t="s">
        <v>11</v>
      </c>
      <c r="EX38923" s="4" t="s">
        <v>11</v>
      </c>
      <c r="EY38923" s="4" t="s">
        <v>15</v>
      </c>
      <c r="EZ38923" s="4" t="s">
        <v>8</v>
      </c>
      <c r="FA38923" s="4" t="s">
        <v>1859</v>
      </c>
      <c r="FB38923" s="4" t="s">
        <v>11</v>
      </c>
      <c r="FC38923" s="4" t="s">
        <v>11</v>
      </c>
      <c r="FD38923" s="4" t="s">
        <v>15</v>
      </c>
      <c r="FE38923" s="4" t="s">
        <v>8</v>
      </c>
      <c r="FF38923" s="4" t="s">
        <v>1859</v>
      </c>
      <c r="FG38923" s="4" t="s">
        <v>11</v>
      </c>
      <c r="FH38923" s="4" t="s">
        <v>11</v>
      </c>
      <c r="FI38923" s="4" t="s">
        <v>15</v>
      </c>
      <c r="FJ38923" s="4" t="s">
        <v>8</v>
      </c>
      <c r="FK38923" s="4" t="s">
        <v>1859</v>
      </c>
      <c r="FL38923" s="4" t="s">
        <v>11</v>
      </c>
      <c r="FM38923" s="4" t="s">
        <v>11</v>
      </c>
      <c r="FN38923" s="4" t="s">
        <v>15</v>
      </c>
      <c r="FO38923" s="4" t="s">
        <v>8</v>
      </c>
      <c r="FP38923" s="4" t="s">
        <v>1859</v>
      </c>
      <c r="FQ38923" s="4" t="s">
        <v>11</v>
      </c>
      <c r="FR38923" s="4" t="s">
        <v>11</v>
      </c>
      <c r="FS38923" s="4" t="s">
        <v>15</v>
      </c>
      <c r="FT38923" s="4" t="s">
        <v>8</v>
      </c>
      <c r="FU38923" s="4" t="s">
        <v>1859</v>
      </c>
      <c r="FV38923" s="4" t="s">
        <v>11</v>
      </c>
      <c r="FW38923" s="4" t="s">
        <v>11</v>
      </c>
      <c r="FX38923" s="4" t="s">
        <v>15</v>
      </c>
      <c r="FY38923" s="4" t="s">
        <v>8</v>
      </c>
      <c r="FZ38923" s="4" t="s">
        <v>1859</v>
      </c>
      <c r="GA38923" s="4" t="s">
        <v>11</v>
      </c>
      <c r="GB38923" s="4" t="s">
        <v>11</v>
      </c>
      <c r="GC38923" s="4" t="s">
        <v>15</v>
      </c>
      <c r="GD38923" s="4" t="s">
        <v>8</v>
      </c>
      <c r="GE38923" s="4" t="s">
        <v>1859</v>
      </c>
      <c r="GF38923" s="4" t="s">
        <v>11</v>
      </c>
      <c r="GG38923" s="4" t="s">
        <v>11</v>
      </c>
      <c r="GH38923" s="4" t="s">
        <v>15</v>
      </c>
      <c r="GI38923" s="4" t="s">
        <v>8</v>
      </c>
      <c r="GJ38923" s="4" t="s">
        <v>1859</v>
      </c>
      <c r="GK38923" s="4" t="s">
        <v>11</v>
      </c>
      <c r="GL38923" s="4" t="s">
        <v>11</v>
      </c>
      <c r="GM38923" s="4" t="s">
        <v>15</v>
      </c>
      <c r="GN38923" s="4" t="s">
        <v>8</v>
      </c>
      <c r="GO38923" s="4" t="s">
        <v>1859</v>
      </c>
      <c r="GP38923" s="4" t="s">
        <v>11</v>
      </c>
      <c r="GQ38923" s="4" t="s">
        <v>11</v>
      </c>
      <c r="GR38923" s="4" t="s">
        <v>15</v>
      </c>
      <c r="GS38923" s="4" t="s">
        <v>8</v>
      </c>
      <c r="GT38923" s="4" t="s">
        <v>1859</v>
      </c>
      <c r="GU38923" s="4" t="s">
        <v>11</v>
      </c>
      <c r="GV38923" s="4" t="s">
        <v>11</v>
      </c>
      <c r="GW38923" s="4" t="s">
        <v>15</v>
      </c>
      <c r="GX38923" s="4" t="s">
        <v>8</v>
      </c>
      <c r="GY38923" s="4" t="s">
        <v>1859</v>
      </c>
      <c r="GZ38923" s="4" t="s">
        <v>11</v>
      </c>
      <c r="HA38923" s="4" t="s">
        <v>11</v>
      </c>
      <c r="HB38923" s="4" t="s">
        <v>15</v>
      </c>
      <c r="HC38923" s="4" t="s">
        <v>8</v>
      </c>
      <c r="HD38923" s="4" t="s">
        <v>1859</v>
      </c>
      <c r="HE38923" s="4" t="s">
        <v>11</v>
      </c>
      <c r="HF38923" s="4" t="s">
        <v>11</v>
      </c>
      <c r="HG38923" s="4" t="s">
        <v>15</v>
      </c>
      <c r="HH38923" s="4" t="s">
        <v>8</v>
      </c>
      <c r="HI38923" s="4" t="s">
        <v>1859</v>
      </c>
      <c r="HJ38923" s="4" t="s">
        <v>11</v>
      </c>
      <c r="HK38923" s="4" t="s">
        <v>11</v>
      </c>
      <c r="HL38923" s="4" t="s">
        <v>15</v>
      </c>
      <c r="HM38923" s="4" t="s">
        <v>8</v>
      </c>
      <c r="HN38923" s="4" t="s">
        <v>1859</v>
      </c>
      <c r="HO38923" s="4" t="s">
        <v>11</v>
      </c>
      <c r="HP38923" s="4" t="s">
        <v>11</v>
      </c>
      <c r="HQ38923" s="4" t="s">
        <v>15</v>
      </c>
      <c r="HR38923" s="4" t="s">
        <v>8</v>
      </c>
      <c r="HS38923" s="4" t="s">
        <v>1859</v>
      </c>
      <c r="HT38923" s="4" t="s">
        <v>11</v>
      </c>
      <c r="HU38923" s="4" t="s">
        <v>11</v>
      </c>
      <c r="HV38923" s="4" t="s">
        <v>15</v>
      </c>
      <c r="HW38923" s="4" t="s">
        <v>8</v>
      </c>
      <c r="HX38923" s="4" t="s">
        <v>1859</v>
      </c>
      <c r="HY38923" s="4" t="s">
        <v>11</v>
      </c>
      <c r="HZ38923" s="4" t="s">
        <v>11</v>
      </c>
      <c r="IA38923" s="4" t="s">
        <v>15</v>
      </c>
      <c r="IB38923" s="4" t="s">
        <v>8</v>
      </c>
      <c r="IC38923" s="4" t="s">
        <v>1859</v>
      </c>
      <c r="ID38923" s="4" t="s">
        <v>11</v>
      </c>
      <c r="IE38923" s="4" t="s">
        <v>11</v>
      </c>
      <c r="IF38923" s="4" t="s">
        <v>15</v>
      </c>
      <c r="IG38923" s="4" t="s">
        <v>8</v>
      </c>
      <c r="IH38923" s="4" t="s">
        <v>1859</v>
      </c>
      <c r="II38923" s="4" t="s">
        <v>11</v>
      </c>
      <c r="IJ38923" s="4" t="s">
        <v>11</v>
      </c>
      <c r="IK38923" s="4" t="s">
        <v>15</v>
      </c>
      <c r="IL38923" s="4" t="s">
        <v>8</v>
      </c>
      <c r="IM38923" s="4" t="s">
        <v>1859</v>
      </c>
      <c r="IN38923" s="4" t="s">
        <v>11</v>
      </c>
      <c r="IO38923" s="4" t="s">
        <v>11</v>
      </c>
      <c r="IP38923" s="4" t="s">
        <v>15</v>
      </c>
      <c r="IQ38923" s="4" t="s">
        <v>8</v>
      </c>
      <c r="IR38923" s="4" t="s">
        <v>1859</v>
      </c>
      <c r="IS38923" s="4" t="s">
        <v>11</v>
      </c>
      <c r="IT38923" s="4" t="s">
        <v>11</v>
      </c>
      <c r="IU38923" s="4" t="s">
        <v>15</v>
      </c>
      <c r="IV38923" s="4" t="s">
        <v>8</v>
      </c>
      <c r="IW38923" s="4" t="s">
        <v>1859</v>
      </c>
      <c r="IX38923" s="4" t="s">
        <v>11</v>
      </c>
      <c r="IY38923" s="4" t="s">
        <v>11</v>
      </c>
      <c r="IZ38923" s="4" t="s">
        <v>15</v>
      </c>
      <c r="JA38923" s="4" t="s">
        <v>8</v>
      </c>
      <c r="JB38923" s="4" t="s">
        <v>1859</v>
      </c>
      <c r="JC38923" s="4" t="s">
        <v>11</v>
      </c>
      <c r="JD38923" s="4" t="s">
        <v>11</v>
      </c>
      <c r="JE38923" s="4" t="s">
        <v>15</v>
      </c>
      <c r="JF38923" s="4" t="s">
        <v>8</v>
      </c>
      <c r="JG38923" s="4" t="s">
        <v>1859</v>
      </c>
    </row>
    <row r="38924" spans="1:62">
      <c r="A38924" t="n">
        <v>445728</v>
      </c>
      <c r="B38924" s="85" t="n">
        <v>257</v>
      </c>
      <c r="C38924" s="7" t="n">
        <v>3</v>
      </c>
      <c r="D38924" s="7" t="n">
        <v>65533</v>
      </c>
      <c r="E38924" s="7" t="n">
        <v>0</v>
      </c>
      <c r="F38924" s="7" t="s">
        <v>1435</v>
      </c>
      <c r="G38924" s="7" t="n">
        <f t="normal" ca="1">32-LENB(INDIRECT(ADDRESS(38924,6)))</f>
        <v>0</v>
      </c>
      <c r="H38924" s="7" t="n">
        <v>3</v>
      </c>
      <c r="I38924" s="7" t="n">
        <v>65533</v>
      </c>
      <c r="J38924" s="7" t="n">
        <v>0</v>
      </c>
      <c r="K38924" s="7" t="s">
        <v>1436</v>
      </c>
      <c r="L38924" s="7" t="n">
        <f t="normal" ca="1">32-LENB(INDIRECT(ADDRESS(38924,11)))</f>
        <v>0</v>
      </c>
      <c r="M38924" s="7" t="n">
        <v>7</v>
      </c>
      <c r="N38924" s="7" t="n">
        <v>65533</v>
      </c>
      <c r="O38924" s="7" t="n">
        <v>64476</v>
      </c>
      <c r="P38924" s="7" t="s">
        <v>16</v>
      </c>
      <c r="Q38924" s="7" t="n">
        <f t="normal" ca="1">32-LENB(INDIRECT(ADDRESS(38924,16)))</f>
        <v>0</v>
      </c>
      <c r="R38924" s="7" t="n">
        <v>7</v>
      </c>
      <c r="S38924" s="7" t="n">
        <v>65533</v>
      </c>
      <c r="T38924" s="7" t="n">
        <v>64477</v>
      </c>
      <c r="U38924" s="7" t="s">
        <v>16</v>
      </c>
      <c r="V38924" s="7" t="n">
        <f t="normal" ca="1">32-LENB(INDIRECT(ADDRESS(38924,21)))</f>
        <v>0</v>
      </c>
      <c r="W38924" s="7" t="n">
        <v>7</v>
      </c>
      <c r="X38924" s="7" t="n">
        <v>65533</v>
      </c>
      <c r="Y38924" s="7" t="n">
        <v>64478</v>
      </c>
      <c r="Z38924" s="7" t="s">
        <v>16</v>
      </c>
      <c r="AA38924" s="7" t="n">
        <f t="normal" ca="1">32-LENB(INDIRECT(ADDRESS(38924,26)))</f>
        <v>0</v>
      </c>
      <c r="AB38924" s="7" t="n">
        <v>7</v>
      </c>
      <c r="AC38924" s="7" t="n">
        <v>65533</v>
      </c>
      <c r="AD38924" s="7" t="n">
        <v>64479</v>
      </c>
      <c r="AE38924" s="7" t="s">
        <v>16</v>
      </c>
      <c r="AF38924" s="7" t="n">
        <f t="normal" ca="1">32-LENB(INDIRECT(ADDRESS(38924,31)))</f>
        <v>0</v>
      </c>
      <c r="AG38924" s="7" t="n">
        <v>7</v>
      </c>
      <c r="AH38924" s="7" t="n">
        <v>65533</v>
      </c>
      <c r="AI38924" s="7" t="n">
        <v>64480</v>
      </c>
      <c r="AJ38924" s="7" t="s">
        <v>16</v>
      </c>
      <c r="AK38924" s="7" t="n">
        <f t="normal" ca="1">32-LENB(INDIRECT(ADDRESS(38924,36)))</f>
        <v>0</v>
      </c>
      <c r="AL38924" s="7" t="n">
        <v>7</v>
      </c>
      <c r="AM38924" s="7" t="n">
        <v>65533</v>
      </c>
      <c r="AN38924" s="7" t="n">
        <v>64481</v>
      </c>
      <c r="AO38924" s="7" t="s">
        <v>16</v>
      </c>
      <c r="AP38924" s="7" t="n">
        <f t="normal" ca="1">32-LENB(INDIRECT(ADDRESS(38924,41)))</f>
        <v>0</v>
      </c>
      <c r="AQ38924" s="7" t="n">
        <v>7</v>
      </c>
      <c r="AR38924" s="7" t="n">
        <v>65533</v>
      </c>
      <c r="AS38924" s="7" t="n">
        <v>64482</v>
      </c>
      <c r="AT38924" s="7" t="s">
        <v>16</v>
      </c>
      <c r="AU38924" s="7" t="n">
        <f t="normal" ca="1">32-LENB(INDIRECT(ADDRESS(38924,46)))</f>
        <v>0</v>
      </c>
      <c r="AV38924" s="7" t="n">
        <v>7</v>
      </c>
      <c r="AW38924" s="7" t="n">
        <v>65533</v>
      </c>
      <c r="AX38924" s="7" t="n">
        <v>64483</v>
      </c>
      <c r="AY38924" s="7" t="s">
        <v>16</v>
      </c>
      <c r="AZ38924" s="7" t="n">
        <f t="normal" ca="1">32-LENB(INDIRECT(ADDRESS(38924,51)))</f>
        <v>0</v>
      </c>
      <c r="BA38924" s="7" t="n">
        <v>7</v>
      </c>
      <c r="BB38924" s="7" t="n">
        <v>65533</v>
      </c>
      <c r="BC38924" s="7" t="n">
        <v>64484</v>
      </c>
      <c r="BD38924" s="7" t="s">
        <v>16</v>
      </c>
      <c r="BE38924" s="7" t="n">
        <f t="normal" ca="1">32-LENB(INDIRECT(ADDRESS(38924,56)))</f>
        <v>0</v>
      </c>
      <c r="BF38924" s="7" t="n">
        <v>7</v>
      </c>
      <c r="BG38924" s="7" t="n">
        <v>65533</v>
      </c>
      <c r="BH38924" s="7" t="n">
        <v>64485</v>
      </c>
      <c r="BI38924" s="7" t="s">
        <v>16</v>
      </c>
      <c r="BJ38924" s="7" t="n">
        <f t="normal" ca="1">32-LENB(INDIRECT(ADDRESS(38924,61)))</f>
        <v>0</v>
      </c>
      <c r="BK38924" s="7" t="n">
        <v>7</v>
      </c>
      <c r="BL38924" s="7" t="n">
        <v>65533</v>
      </c>
      <c r="BM38924" s="7" t="n">
        <v>64486</v>
      </c>
      <c r="BN38924" s="7" t="s">
        <v>16</v>
      </c>
      <c r="BO38924" s="7" t="n">
        <f t="normal" ca="1">32-LENB(INDIRECT(ADDRESS(38924,66)))</f>
        <v>0</v>
      </c>
      <c r="BP38924" s="7" t="n">
        <v>7</v>
      </c>
      <c r="BQ38924" s="7" t="n">
        <v>65533</v>
      </c>
      <c r="BR38924" s="7" t="n">
        <v>64487</v>
      </c>
      <c r="BS38924" s="7" t="s">
        <v>16</v>
      </c>
      <c r="BT38924" s="7" t="n">
        <f t="normal" ca="1">32-LENB(INDIRECT(ADDRESS(38924,71)))</f>
        <v>0</v>
      </c>
      <c r="BU38924" s="7" t="n">
        <v>7</v>
      </c>
      <c r="BV38924" s="7" t="n">
        <v>65533</v>
      </c>
      <c r="BW38924" s="7" t="n">
        <v>64488</v>
      </c>
      <c r="BX38924" s="7" t="s">
        <v>16</v>
      </c>
      <c r="BY38924" s="7" t="n">
        <f t="normal" ca="1">32-LENB(INDIRECT(ADDRESS(38924,76)))</f>
        <v>0</v>
      </c>
      <c r="BZ38924" s="7" t="n">
        <v>7</v>
      </c>
      <c r="CA38924" s="7" t="n">
        <v>65533</v>
      </c>
      <c r="CB38924" s="7" t="n">
        <v>64489</v>
      </c>
      <c r="CC38924" s="7" t="s">
        <v>16</v>
      </c>
      <c r="CD38924" s="7" t="n">
        <f t="normal" ca="1">32-LENB(INDIRECT(ADDRESS(38924,81)))</f>
        <v>0</v>
      </c>
      <c r="CE38924" s="7" t="n">
        <v>7</v>
      </c>
      <c r="CF38924" s="7" t="n">
        <v>65533</v>
      </c>
      <c r="CG38924" s="7" t="n">
        <v>64490</v>
      </c>
      <c r="CH38924" s="7" t="s">
        <v>16</v>
      </c>
      <c r="CI38924" s="7" t="n">
        <f t="normal" ca="1">32-LENB(INDIRECT(ADDRESS(38924,86)))</f>
        <v>0</v>
      </c>
      <c r="CJ38924" s="7" t="n">
        <v>7</v>
      </c>
      <c r="CK38924" s="7" t="n">
        <v>65533</v>
      </c>
      <c r="CL38924" s="7" t="n">
        <v>64491</v>
      </c>
      <c r="CM38924" s="7" t="s">
        <v>16</v>
      </c>
      <c r="CN38924" s="7" t="n">
        <f t="normal" ca="1">32-LENB(INDIRECT(ADDRESS(38924,91)))</f>
        <v>0</v>
      </c>
      <c r="CO38924" s="7" t="n">
        <v>7</v>
      </c>
      <c r="CP38924" s="7" t="n">
        <v>65533</v>
      </c>
      <c r="CQ38924" s="7" t="n">
        <v>64492</v>
      </c>
      <c r="CR38924" s="7" t="s">
        <v>16</v>
      </c>
      <c r="CS38924" s="7" t="n">
        <f t="normal" ca="1">32-LENB(INDIRECT(ADDRESS(38924,96)))</f>
        <v>0</v>
      </c>
      <c r="CT38924" s="7" t="n">
        <v>7</v>
      </c>
      <c r="CU38924" s="7" t="n">
        <v>65533</v>
      </c>
      <c r="CV38924" s="7" t="n">
        <v>65277</v>
      </c>
      <c r="CW38924" s="7" t="s">
        <v>16</v>
      </c>
      <c r="CX38924" s="7" t="n">
        <f t="normal" ca="1">32-LENB(INDIRECT(ADDRESS(38924,101)))</f>
        <v>0</v>
      </c>
      <c r="CY38924" s="7" t="n">
        <v>4</v>
      </c>
      <c r="CZ38924" s="7" t="n">
        <v>65533</v>
      </c>
      <c r="DA38924" s="7" t="n">
        <v>2004</v>
      </c>
      <c r="DB38924" s="7" t="s">
        <v>16</v>
      </c>
      <c r="DC38924" s="7" t="n">
        <f t="normal" ca="1">32-LENB(INDIRECT(ADDRESS(38924,106)))</f>
        <v>0</v>
      </c>
      <c r="DD38924" s="7" t="n">
        <v>7</v>
      </c>
      <c r="DE38924" s="7" t="n">
        <v>65533</v>
      </c>
      <c r="DF38924" s="7" t="n">
        <v>64493</v>
      </c>
      <c r="DG38924" s="7" t="s">
        <v>16</v>
      </c>
      <c r="DH38924" s="7" t="n">
        <f t="normal" ca="1">32-LENB(INDIRECT(ADDRESS(38924,111)))</f>
        <v>0</v>
      </c>
      <c r="DI38924" s="7" t="n">
        <v>7</v>
      </c>
      <c r="DJ38924" s="7" t="n">
        <v>65533</v>
      </c>
      <c r="DK38924" s="7" t="n">
        <v>64511</v>
      </c>
      <c r="DL38924" s="7" t="s">
        <v>16</v>
      </c>
      <c r="DM38924" s="7" t="n">
        <f t="normal" ca="1">32-LENB(INDIRECT(ADDRESS(38924,116)))</f>
        <v>0</v>
      </c>
      <c r="DN38924" s="7" t="n">
        <v>7</v>
      </c>
      <c r="DO38924" s="7" t="n">
        <v>65533</v>
      </c>
      <c r="DP38924" s="7" t="n">
        <v>64512</v>
      </c>
      <c r="DQ38924" s="7" t="s">
        <v>16</v>
      </c>
      <c r="DR38924" s="7" t="n">
        <f t="normal" ca="1">32-LENB(INDIRECT(ADDRESS(38924,121)))</f>
        <v>0</v>
      </c>
      <c r="DS38924" s="7" t="n">
        <v>7</v>
      </c>
      <c r="DT38924" s="7" t="n">
        <v>65533</v>
      </c>
      <c r="DU38924" s="7" t="n">
        <v>64513</v>
      </c>
      <c r="DV38924" s="7" t="s">
        <v>16</v>
      </c>
      <c r="DW38924" s="7" t="n">
        <f t="normal" ca="1">32-LENB(INDIRECT(ADDRESS(38924,126)))</f>
        <v>0</v>
      </c>
      <c r="DX38924" s="7" t="n">
        <v>4</v>
      </c>
      <c r="DY38924" s="7" t="n">
        <v>65533</v>
      </c>
      <c r="DZ38924" s="7" t="n">
        <v>2000</v>
      </c>
      <c r="EA38924" s="7" t="s">
        <v>16</v>
      </c>
      <c r="EB38924" s="7" t="n">
        <f t="normal" ca="1">32-LENB(INDIRECT(ADDRESS(38924,131)))</f>
        <v>0</v>
      </c>
      <c r="EC38924" s="7" t="n">
        <v>7</v>
      </c>
      <c r="ED38924" s="7" t="n">
        <v>65533</v>
      </c>
      <c r="EE38924" s="7" t="n">
        <v>64514</v>
      </c>
      <c r="EF38924" s="7" t="s">
        <v>16</v>
      </c>
      <c r="EG38924" s="7" t="n">
        <f t="normal" ca="1">32-LENB(INDIRECT(ADDRESS(38924,136)))</f>
        <v>0</v>
      </c>
      <c r="EH38924" s="7" t="n">
        <v>7</v>
      </c>
      <c r="EI38924" s="7" t="n">
        <v>65533</v>
      </c>
      <c r="EJ38924" s="7" t="n">
        <v>64515</v>
      </c>
      <c r="EK38924" s="7" t="s">
        <v>16</v>
      </c>
      <c r="EL38924" s="7" t="n">
        <f t="normal" ca="1">32-LENB(INDIRECT(ADDRESS(38924,141)))</f>
        <v>0</v>
      </c>
      <c r="EM38924" s="7" t="n">
        <v>7</v>
      </c>
      <c r="EN38924" s="7" t="n">
        <v>65533</v>
      </c>
      <c r="EO38924" s="7" t="n">
        <v>64516</v>
      </c>
      <c r="EP38924" s="7" t="s">
        <v>16</v>
      </c>
      <c r="EQ38924" s="7" t="n">
        <f t="normal" ca="1">32-LENB(INDIRECT(ADDRESS(38924,146)))</f>
        <v>0</v>
      </c>
      <c r="ER38924" s="7" t="n">
        <v>7</v>
      </c>
      <c r="ES38924" s="7" t="n">
        <v>65533</v>
      </c>
      <c r="ET38924" s="7" t="n">
        <v>64517</v>
      </c>
      <c r="EU38924" s="7" t="s">
        <v>16</v>
      </c>
      <c r="EV38924" s="7" t="n">
        <f t="normal" ca="1">32-LENB(INDIRECT(ADDRESS(38924,151)))</f>
        <v>0</v>
      </c>
      <c r="EW38924" s="7" t="n">
        <v>7</v>
      </c>
      <c r="EX38924" s="7" t="n">
        <v>65533</v>
      </c>
      <c r="EY38924" s="7" t="n">
        <v>64518</v>
      </c>
      <c r="EZ38924" s="7" t="s">
        <v>16</v>
      </c>
      <c r="FA38924" s="7" t="n">
        <f t="normal" ca="1">32-LENB(INDIRECT(ADDRESS(38924,156)))</f>
        <v>0</v>
      </c>
      <c r="FB38924" s="7" t="n">
        <v>7</v>
      </c>
      <c r="FC38924" s="7" t="n">
        <v>65533</v>
      </c>
      <c r="FD38924" s="7" t="n">
        <v>64519</v>
      </c>
      <c r="FE38924" s="7" t="s">
        <v>16</v>
      </c>
      <c r="FF38924" s="7" t="n">
        <f t="normal" ca="1">32-LENB(INDIRECT(ADDRESS(38924,161)))</f>
        <v>0</v>
      </c>
      <c r="FG38924" s="7" t="n">
        <v>7</v>
      </c>
      <c r="FH38924" s="7" t="n">
        <v>65533</v>
      </c>
      <c r="FI38924" s="7" t="n">
        <v>64520</v>
      </c>
      <c r="FJ38924" s="7" t="s">
        <v>16</v>
      </c>
      <c r="FK38924" s="7" t="n">
        <f t="normal" ca="1">32-LENB(INDIRECT(ADDRESS(38924,166)))</f>
        <v>0</v>
      </c>
      <c r="FL38924" s="7" t="n">
        <v>7</v>
      </c>
      <c r="FM38924" s="7" t="n">
        <v>65533</v>
      </c>
      <c r="FN38924" s="7" t="n">
        <v>64521</v>
      </c>
      <c r="FO38924" s="7" t="s">
        <v>16</v>
      </c>
      <c r="FP38924" s="7" t="n">
        <f t="normal" ca="1">32-LENB(INDIRECT(ADDRESS(38924,171)))</f>
        <v>0</v>
      </c>
      <c r="FQ38924" s="7" t="n">
        <v>7</v>
      </c>
      <c r="FR38924" s="7" t="n">
        <v>65533</v>
      </c>
      <c r="FS38924" s="7" t="n">
        <v>64522</v>
      </c>
      <c r="FT38924" s="7" t="s">
        <v>16</v>
      </c>
      <c r="FU38924" s="7" t="n">
        <f t="normal" ca="1">32-LENB(INDIRECT(ADDRESS(38924,176)))</f>
        <v>0</v>
      </c>
      <c r="FV38924" s="7" t="n">
        <v>7</v>
      </c>
      <c r="FW38924" s="7" t="n">
        <v>65533</v>
      </c>
      <c r="FX38924" s="7" t="n">
        <v>64523</v>
      </c>
      <c r="FY38924" s="7" t="s">
        <v>16</v>
      </c>
      <c r="FZ38924" s="7" t="n">
        <f t="normal" ca="1">32-LENB(INDIRECT(ADDRESS(38924,181)))</f>
        <v>0</v>
      </c>
      <c r="GA38924" s="7" t="n">
        <v>7</v>
      </c>
      <c r="GB38924" s="7" t="n">
        <v>65533</v>
      </c>
      <c r="GC38924" s="7" t="n">
        <v>64524</v>
      </c>
      <c r="GD38924" s="7" t="s">
        <v>16</v>
      </c>
      <c r="GE38924" s="7" t="n">
        <f t="normal" ca="1">32-LENB(INDIRECT(ADDRESS(38924,186)))</f>
        <v>0</v>
      </c>
      <c r="GF38924" s="7" t="n">
        <v>7</v>
      </c>
      <c r="GG38924" s="7" t="n">
        <v>65533</v>
      </c>
      <c r="GH38924" s="7" t="n">
        <v>64525</v>
      </c>
      <c r="GI38924" s="7" t="s">
        <v>16</v>
      </c>
      <c r="GJ38924" s="7" t="n">
        <f t="normal" ca="1">32-LENB(INDIRECT(ADDRESS(38924,191)))</f>
        <v>0</v>
      </c>
      <c r="GK38924" s="7" t="n">
        <v>7</v>
      </c>
      <c r="GL38924" s="7" t="n">
        <v>65533</v>
      </c>
      <c r="GM38924" s="7" t="n">
        <v>64526</v>
      </c>
      <c r="GN38924" s="7" t="s">
        <v>16</v>
      </c>
      <c r="GO38924" s="7" t="n">
        <f t="normal" ca="1">32-LENB(INDIRECT(ADDRESS(38924,196)))</f>
        <v>0</v>
      </c>
      <c r="GP38924" s="7" t="n">
        <v>7</v>
      </c>
      <c r="GQ38924" s="7" t="n">
        <v>65533</v>
      </c>
      <c r="GR38924" s="7" t="n">
        <v>64527</v>
      </c>
      <c r="GS38924" s="7" t="s">
        <v>16</v>
      </c>
      <c r="GT38924" s="7" t="n">
        <f t="normal" ca="1">32-LENB(INDIRECT(ADDRESS(38924,201)))</f>
        <v>0</v>
      </c>
      <c r="GU38924" s="7" t="n">
        <v>7</v>
      </c>
      <c r="GV38924" s="7" t="n">
        <v>65533</v>
      </c>
      <c r="GW38924" s="7" t="n">
        <v>64528</v>
      </c>
      <c r="GX38924" s="7" t="s">
        <v>16</v>
      </c>
      <c r="GY38924" s="7" t="n">
        <f t="normal" ca="1">32-LENB(INDIRECT(ADDRESS(38924,206)))</f>
        <v>0</v>
      </c>
      <c r="GZ38924" s="7" t="n">
        <v>9</v>
      </c>
      <c r="HA38924" s="7" t="n">
        <v>1</v>
      </c>
      <c r="HB38924" s="7" t="n">
        <v>0</v>
      </c>
      <c r="HC38924" s="7" t="s">
        <v>1505</v>
      </c>
      <c r="HD38924" s="7" t="n">
        <f t="normal" ca="1">32-LENB(INDIRECT(ADDRESS(38924,211)))</f>
        <v>0</v>
      </c>
      <c r="HE38924" s="7" t="n">
        <v>9</v>
      </c>
      <c r="HF38924" s="7" t="n">
        <v>0</v>
      </c>
      <c r="HG38924" s="7" t="n">
        <v>0</v>
      </c>
      <c r="HH38924" s="7" t="s">
        <v>1505</v>
      </c>
      <c r="HI38924" s="7" t="n">
        <f t="normal" ca="1">32-LENB(INDIRECT(ADDRESS(38924,216)))</f>
        <v>0</v>
      </c>
      <c r="HJ38924" s="7" t="n">
        <v>7</v>
      </c>
      <c r="HK38924" s="7" t="n">
        <v>65533</v>
      </c>
      <c r="HL38924" s="7" t="n">
        <v>64529</v>
      </c>
      <c r="HM38924" s="7" t="s">
        <v>16</v>
      </c>
      <c r="HN38924" s="7" t="n">
        <f t="normal" ca="1">32-LENB(INDIRECT(ADDRESS(38924,221)))</f>
        <v>0</v>
      </c>
      <c r="HO38924" s="7" t="n">
        <v>7</v>
      </c>
      <c r="HP38924" s="7" t="n">
        <v>65533</v>
      </c>
      <c r="HQ38924" s="7" t="n">
        <v>64530</v>
      </c>
      <c r="HR38924" s="7" t="s">
        <v>16</v>
      </c>
      <c r="HS38924" s="7" t="n">
        <f t="normal" ca="1">32-LENB(INDIRECT(ADDRESS(38924,226)))</f>
        <v>0</v>
      </c>
      <c r="HT38924" s="7" t="n">
        <v>7</v>
      </c>
      <c r="HU38924" s="7" t="n">
        <v>65533</v>
      </c>
      <c r="HV38924" s="7" t="n">
        <v>64531</v>
      </c>
      <c r="HW38924" s="7" t="s">
        <v>16</v>
      </c>
      <c r="HX38924" s="7" t="n">
        <f t="normal" ca="1">32-LENB(INDIRECT(ADDRESS(38924,231)))</f>
        <v>0</v>
      </c>
      <c r="HY38924" s="7" t="n">
        <v>7</v>
      </c>
      <c r="HZ38924" s="7" t="n">
        <v>65533</v>
      </c>
      <c r="IA38924" s="7" t="n">
        <v>64532</v>
      </c>
      <c r="IB38924" s="7" t="s">
        <v>16</v>
      </c>
      <c r="IC38924" s="7" t="n">
        <f t="normal" ca="1">32-LENB(INDIRECT(ADDRESS(38924,236)))</f>
        <v>0</v>
      </c>
      <c r="ID38924" s="7" t="n">
        <v>7</v>
      </c>
      <c r="IE38924" s="7" t="n">
        <v>65533</v>
      </c>
      <c r="IF38924" s="7" t="n">
        <v>64533</v>
      </c>
      <c r="IG38924" s="7" t="s">
        <v>16</v>
      </c>
      <c r="IH38924" s="7" t="n">
        <f t="normal" ca="1">32-LENB(INDIRECT(ADDRESS(38924,241)))</f>
        <v>0</v>
      </c>
      <c r="II38924" s="7" t="n">
        <v>7</v>
      </c>
      <c r="IJ38924" s="7" t="n">
        <v>65533</v>
      </c>
      <c r="IK38924" s="7" t="n">
        <v>64534</v>
      </c>
      <c r="IL38924" s="7" t="s">
        <v>16</v>
      </c>
      <c r="IM38924" s="7" t="n">
        <f t="normal" ca="1">32-LENB(INDIRECT(ADDRESS(38924,246)))</f>
        <v>0</v>
      </c>
      <c r="IN38924" s="7" t="n">
        <v>7</v>
      </c>
      <c r="IO38924" s="7" t="n">
        <v>65533</v>
      </c>
      <c r="IP38924" s="7" t="n">
        <v>64535</v>
      </c>
      <c r="IQ38924" s="7" t="s">
        <v>16</v>
      </c>
      <c r="IR38924" s="7" t="n">
        <f t="normal" ca="1">32-LENB(INDIRECT(ADDRESS(38924,251)))</f>
        <v>0</v>
      </c>
      <c r="IS38924" s="7" t="n">
        <v>7</v>
      </c>
      <c r="IT38924" s="7" t="n">
        <v>65533</v>
      </c>
      <c r="IU38924" s="7" t="n">
        <v>64536</v>
      </c>
      <c r="IV38924" s="7" t="s">
        <v>16</v>
      </c>
      <c r="IW38924" s="7" t="n">
        <f t="normal" ca="1">32-LENB(INDIRECT(ADDRESS(38924,256)))</f>
        <v>0</v>
      </c>
      <c r="IX38924" s="7" t="n">
        <v>7</v>
      </c>
      <c r="IY38924" s="7" t="n">
        <v>65533</v>
      </c>
      <c r="IZ38924" s="7" t="n">
        <v>64537</v>
      </c>
      <c r="JA38924" s="7" t="s">
        <v>16</v>
      </c>
      <c r="JB38924" s="7" t="n">
        <f t="normal" ca="1">32-LENB(INDIRECT(ADDRESS(38924,261)))</f>
        <v>0</v>
      </c>
      <c r="JC38924" s="7" t="n">
        <v>0</v>
      </c>
      <c r="JD38924" s="7" t="n">
        <v>65533</v>
      </c>
      <c r="JE38924" s="7" t="n">
        <v>0</v>
      </c>
      <c r="JF38924" s="7" t="s">
        <v>16</v>
      </c>
      <c r="JG38924" s="7" t="n">
        <f t="normal" ca="1">32-LENB(INDIRECT(ADDRESS(38924,266)))</f>
        <v>0</v>
      </c>
    </row>
    <row r="38925" spans="1:62">
      <c r="A38925" t="s">
        <v>4</v>
      </c>
      <c r="B38925" s="4" t="s">
        <v>5</v>
      </c>
    </row>
    <row r="38926" spans="1:62">
      <c r="A38926" t="n">
        <v>447848</v>
      </c>
      <c r="B38926" s="5" t="n">
        <v>1</v>
      </c>
    </row>
    <row r="38927" spans="1:62" s="3" customFormat="1" customHeight="0">
      <c r="A38927" s="3" t="s">
        <v>2</v>
      </c>
      <c r="B38927" s="3" t="s">
        <v>1894</v>
      </c>
    </row>
    <row r="38928" spans="1:62">
      <c r="A38928" t="s">
        <v>4</v>
      </c>
      <c r="B38928" s="4" t="s">
        <v>5</v>
      </c>
      <c r="C38928" s="4" t="s">
        <v>11</v>
      </c>
      <c r="D38928" s="4" t="s">
        <v>11</v>
      </c>
      <c r="E38928" s="4" t="s">
        <v>15</v>
      </c>
      <c r="F38928" s="4" t="s">
        <v>8</v>
      </c>
      <c r="G38928" s="4" t="s">
        <v>1859</v>
      </c>
      <c r="H38928" s="4" t="s">
        <v>11</v>
      </c>
      <c r="I38928" s="4" t="s">
        <v>11</v>
      </c>
      <c r="J38928" s="4" t="s">
        <v>15</v>
      </c>
      <c r="K38928" s="4" t="s">
        <v>8</v>
      </c>
      <c r="L38928" s="4" t="s">
        <v>1859</v>
      </c>
      <c r="M38928" s="4" t="s">
        <v>11</v>
      </c>
      <c r="N38928" s="4" t="s">
        <v>11</v>
      </c>
      <c r="O38928" s="4" t="s">
        <v>15</v>
      </c>
      <c r="P38928" s="4" t="s">
        <v>8</v>
      </c>
      <c r="Q38928" s="4" t="s">
        <v>1859</v>
      </c>
      <c r="R38928" s="4" t="s">
        <v>11</v>
      </c>
      <c r="S38928" s="4" t="s">
        <v>11</v>
      </c>
      <c r="T38928" s="4" t="s">
        <v>15</v>
      </c>
      <c r="U38928" s="4" t="s">
        <v>8</v>
      </c>
      <c r="V38928" s="4" t="s">
        <v>1859</v>
      </c>
      <c r="W38928" s="4" t="s">
        <v>11</v>
      </c>
      <c r="X38928" s="4" t="s">
        <v>11</v>
      </c>
      <c r="Y38928" s="4" t="s">
        <v>15</v>
      </c>
      <c r="Z38928" s="4" t="s">
        <v>8</v>
      </c>
      <c r="AA38928" s="4" t="s">
        <v>1859</v>
      </c>
      <c r="AB38928" s="4" t="s">
        <v>11</v>
      </c>
      <c r="AC38928" s="4" t="s">
        <v>11</v>
      </c>
      <c r="AD38928" s="4" t="s">
        <v>15</v>
      </c>
      <c r="AE38928" s="4" t="s">
        <v>8</v>
      </c>
      <c r="AF38928" s="4" t="s">
        <v>1859</v>
      </c>
      <c r="AG38928" s="4" t="s">
        <v>11</v>
      </c>
      <c r="AH38928" s="4" t="s">
        <v>11</v>
      </c>
      <c r="AI38928" s="4" t="s">
        <v>15</v>
      </c>
      <c r="AJ38928" s="4" t="s">
        <v>8</v>
      </c>
      <c r="AK38928" s="4" t="s">
        <v>1859</v>
      </c>
      <c r="AL38928" s="4" t="s">
        <v>11</v>
      </c>
      <c r="AM38928" s="4" t="s">
        <v>11</v>
      </c>
      <c r="AN38928" s="4" t="s">
        <v>15</v>
      </c>
      <c r="AO38928" s="4" t="s">
        <v>8</v>
      </c>
      <c r="AP38928" s="4" t="s">
        <v>1859</v>
      </c>
      <c r="AQ38928" s="4" t="s">
        <v>11</v>
      </c>
      <c r="AR38928" s="4" t="s">
        <v>11</v>
      </c>
      <c r="AS38928" s="4" t="s">
        <v>15</v>
      </c>
      <c r="AT38928" s="4" t="s">
        <v>8</v>
      </c>
      <c r="AU38928" s="4" t="s">
        <v>1859</v>
      </c>
      <c r="AV38928" s="4" t="s">
        <v>11</v>
      </c>
      <c r="AW38928" s="4" t="s">
        <v>11</v>
      </c>
      <c r="AX38928" s="4" t="s">
        <v>15</v>
      </c>
      <c r="AY38928" s="4" t="s">
        <v>8</v>
      </c>
      <c r="AZ38928" s="4" t="s">
        <v>1859</v>
      </c>
      <c r="BA38928" s="4" t="s">
        <v>11</v>
      </c>
      <c r="BB38928" s="4" t="s">
        <v>11</v>
      </c>
      <c r="BC38928" s="4" t="s">
        <v>15</v>
      </c>
      <c r="BD38928" s="4" t="s">
        <v>8</v>
      </c>
      <c r="BE38928" s="4" t="s">
        <v>1859</v>
      </c>
      <c r="BF38928" s="4" t="s">
        <v>11</v>
      </c>
      <c r="BG38928" s="4" t="s">
        <v>11</v>
      </c>
      <c r="BH38928" s="4" t="s">
        <v>15</v>
      </c>
      <c r="BI38928" s="4" t="s">
        <v>8</v>
      </c>
      <c r="BJ38928" s="4" t="s">
        <v>1859</v>
      </c>
      <c r="BK38928" s="4" t="s">
        <v>11</v>
      </c>
      <c r="BL38928" s="4" t="s">
        <v>11</v>
      </c>
      <c r="BM38928" s="4" t="s">
        <v>15</v>
      </c>
      <c r="BN38928" s="4" t="s">
        <v>8</v>
      </c>
      <c r="BO38928" s="4" t="s">
        <v>1859</v>
      </c>
      <c r="BP38928" s="4" t="s">
        <v>11</v>
      </c>
      <c r="BQ38928" s="4" t="s">
        <v>11</v>
      </c>
      <c r="BR38928" s="4" t="s">
        <v>15</v>
      </c>
      <c r="BS38928" s="4" t="s">
        <v>8</v>
      </c>
      <c r="BT38928" s="4" t="s">
        <v>1859</v>
      </c>
      <c r="BU38928" s="4" t="s">
        <v>11</v>
      </c>
      <c r="BV38928" s="4" t="s">
        <v>11</v>
      </c>
      <c r="BW38928" s="4" t="s">
        <v>15</v>
      </c>
      <c r="BX38928" s="4" t="s">
        <v>8</v>
      </c>
      <c r="BY38928" s="4" t="s">
        <v>1859</v>
      </c>
      <c r="BZ38928" s="4" t="s">
        <v>11</v>
      </c>
      <c r="CA38928" s="4" t="s">
        <v>11</v>
      </c>
      <c r="CB38928" s="4" t="s">
        <v>15</v>
      </c>
      <c r="CC38928" s="4" t="s">
        <v>8</v>
      </c>
      <c r="CD38928" s="4" t="s">
        <v>1859</v>
      </c>
      <c r="CE38928" s="4" t="s">
        <v>11</v>
      </c>
      <c r="CF38928" s="4" t="s">
        <v>11</v>
      </c>
      <c r="CG38928" s="4" t="s">
        <v>15</v>
      </c>
      <c r="CH38928" s="4" t="s">
        <v>8</v>
      </c>
      <c r="CI38928" s="4" t="s">
        <v>1859</v>
      </c>
      <c r="CJ38928" s="4" t="s">
        <v>11</v>
      </c>
      <c r="CK38928" s="4" t="s">
        <v>11</v>
      </c>
      <c r="CL38928" s="4" t="s">
        <v>15</v>
      </c>
      <c r="CM38928" s="4" t="s">
        <v>8</v>
      </c>
      <c r="CN38928" s="4" t="s">
        <v>1859</v>
      </c>
      <c r="CO38928" s="4" t="s">
        <v>11</v>
      </c>
      <c r="CP38928" s="4" t="s">
        <v>11</v>
      </c>
      <c r="CQ38928" s="4" t="s">
        <v>15</v>
      </c>
      <c r="CR38928" s="4" t="s">
        <v>8</v>
      </c>
      <c r="CS38928" s="4" t="s">
        <v>1859</v>
      </c>
      <c r="CT38928" s="4" t="s">
        <v>11</v>
      </c>
      <c r="CU38928" s="4" t="s">
        <v>11</v>
      </c>
      <c r="CV38928" s="4" t="s">
        <v>15</v>
      </c>
      <c r="CW38928" s="4" t="s">
        <v>8</v>
      </c>
      <c r="CX38928" s="4" t="s">
        <v>1859</v>
      </c>
      <c r="CY38928" s="4" t="s">
        <v>11</v>
      </c>
      <c r="CZ38928" s="4" t="s">
        <v>11</v>
      </c>
      <c r="DA38928" s="4" t="s">
        <v>15</v>
      </c>
      <c r="DB38928" s="4" t="s">
        <v>8</v>
      </c>
      <c r="DC38928" s="4" t="s">
        <v>1859</v>
      </c>
      <c r="DD38928" s="4" t="s">
        <v>11</v>
      </c>
      <c r="DE38928" s="4" t="s">
        <v>11</v>
      </c>
      <c r="DF38928" s="4" t="s">
        <v>15</v>
      </c>
      <c r="DG38928" s="4" t="s">
        <v>8</v>
      </c>
      <c r="DH38928" s="4" t="s">
        <v>1859</v>
      </c>
      <c r="DI38928" s="4" t="s">
        <v>11</v>
      </c>
      <c r="DJ38928" s="4" t="s">
        <v>11</v>
      </c>
      <c r="DK38928" s="4" t="s">
        <v>15</v>
      </c>
      <c r="DL38928" s="4" t="s">
        <v>8</v>
      </c>
      <c r="DM38928" s="4" t="s">
        <v>1859</v>
      </c>
      <c r="DN38928" s="4" t="s">
        <v>11</v>
      </c>
      <c r="DO38928" s="4" t="s">
        <v>11</v>
      </c>
      <c r="DP38928" s="4" t="s">
        <v>15</v>
      </c>
      <c r="DQ38928" s="4" t="s">
        <v>8</v>
      </c>
      <c r="DR38928" s="4" t="s">
        <v>1859</v>
      </c>
      <c r="DS38928" s="4" t="s">
        <v>11</v>
      </c>
      <c r="DT38928" s="4" t="s">
        <v>11</v>
      </c>
      <c r="DU38928" s="4" t="s">
        <v>15</v>
      </c>
      <c r="DV38928" s="4" t="s">
        <v>8</v>
      </c>
      <c r="DW38928" s="4" t="s">
        <v>1859</v>
      </c>
      <c r="DX38928" s="4" t="s">
        <v>11</v>
      </c>
      <c r="DY38928" s="4" t="s">
        <v>11</v>
      </c>
      <c r="DZ38928" s="4" t="s">
        <v>15</v>
      </c>
      <c r="EA38928" s="4" t="s">
        <v>8</v>
      </c>
      <c r="EB38928" s="4" t="s">
        <v>1859</v>
      </c>
      <c r="EC38928" s="4" t="s">
        <v>11</v>
      </c>
      <c r="ED38928" s="4" t="s">
        <v>11</v>
      </c>
      <c r="EE38928" s="4" t="s">
        <v>15</v>
      </c>
      <c r="EF38928" s="4" t="s">
        <v>8</v>
      </c>
      <c r="EG38928" s="4" t="s">
        <v>1859</v>
      </c>
      <c r="EH38928" s="4" t="s">
        <v>11</v>
      </c>
      <c r="EI38928" s="4" t="s">
        <v>11</v>
      </c>
      <c r="EJ38928" s="4" t="s">
        <v>15</v>
      </c>
      <c r="EK38928" s="4" t="s">
        <v>8</v>
      </c>
      <c r="EL38928" s="4" t="s">
        <v>1859</v>
      </c>
      <c r="EM38928" s="4" t="s">
        <v>11</v>
      </c>
      <c r="EN38928" s="4" t="s">
        <v>11</v>
      </c>
      <c r="EO38928" s="4" t="s">
        <v>15</v>
      </c>
      <c r="EP38928" s="4" t="s">
        <v>8</v>
      </c>
      <c r="EQ38928" s="4" t="s">
        <v>1859</v>
      </c>
      <c r="ER38928" s="4" t="s">
        <v>11</v>
      </c>
      <c r="ES38928" s="4" t="s">
        <v>11</v>
      </c>
      <c r="ET38928" s="4" t="s">
        <v>15</v>
      </c>
      <c r="EU38928" s="4" t="s">
        <v>8</v>
      </c>
      <c r="EV38928" s="4" t="s">
        <v>1859</v>
      </c>
      <c r="EW38928" s="4" t="s">
        <v>11</v>
      </c>
      <c r="EX38928" s="4" t="s">
        <v>11</v>
      </c>
      <c r="EY38928" s="4" t="s">
        <v>15</v>
      </c>
      <c r="EZ38928" s="4" t="s">
        <v>8</v>
      </c>
      <c r="FA38928" s="4" t="s">
        <v>1859</v>
      </c>
      <c r="FB38928" s="4" t="s">
        <v>11</v>
      </c>
      <c r="FC38928" s="4" t="s">
        <v>11</v>
      </c>
      <c r="FD38928" s="4" t="s">
        <v>15</v>
      </c>
      <c r="FE38928" s="4" t="s">
        <v>8</v>
      </c>
      <c r="FF38928" s="4" t="s">
        <v>1859</v>
      </c>
      <c r="FG38928" s="4" t="s">
        <v>11</v>
      </c>
      <c r="FH38928" s="4" t="s">
        <v>11</v>
      </c>
      <c r="FI38928" s="4" t="s">
        <v>15</v>
      </c>
      <c r="FJ38928" s="4" t="s">
        <v>8</v>
      </c>
      <c r="FK38928" s="4" t="s">
        <v>1859</v>
      </c>
      <c r="FL38928" s="4" t="s">
        <v>11</v>
      </c>
      <c r="FM38928" s="4" t="s">
        <v>11</v>
      </c>
      <c r="FN38928" s="4" t="s">
        <v>15</v>
      </c>
      <c r="FO38928" s="4" t="s">
        <v>8</v>
      </c>
      <c r="FP38928" s="4" t="s">
        <v>1859</v>
      </c>
      <c r="FQ38928" s="4" t="s">
        <v>11</v>
      </c>
      <c r="FR38928" s="4" t="s">
        <v>11</v>
      </c>
      <c r="FS38928" s="4" t="s">
        <v>15</v>
      </c>
      <c r="FT38928" s="4" t="s">
        <v>8</v>
      </c>
      <c r="FU38928" s="4" t="s">
        <v>1859</v>
      </c>
      <c r="FV38928" s="4" t="s">
        <v>11</v>
      </c>
      <c r="FW38928" s="4" t="s">
        <v>11</v>
      </c>
      <c r="FX38928" s="4" t="s">
        <v>15</v>
      </c>
      <c r="FY38928" s="4" t="s">
        <v>8</v>
      </c>
      <c r="FZ38928" s="4" t="s">
        <v>1859</v>
      </c>
      <c r="GA38928" s="4" t="s">
        <v>11</v>
      </c>
      <c r="GB38928" s="4" t="s">
        <v>11</v>
      </c>
      <c r="GC38928" s="4" t="s">
        <v>15</v>
      </c>
      <c r="GD38928" s="4" t="s">
        <v>8</v>
      </c>
      <c r="GE38928" s="4" t="s">
        <v>1859</v>
      </c>
      <c r="GF38928" s="4" t="s">
        <v>11</v>
      </c>
      <c r="GG38928" s="4" t="s">
        <v>11</v>
      </c>
      <c r="GH38928" s="4" t="s">
        <v>15</v>
      </c>
      <c r="GI38928" s="4" t="s">
        <v>8</v>
      </c>
      <c r="GJ38928" s="4" t="s">
        <v>1859</v>
      </c>
      <c r="GK38928" s="4" t="s">
        <v>11</v>
      </c>
      <c r="GL38928" s="4" t="s">
        <v>11</v>
      </c>
      <c r="GM38928" s="4" t="s">
        <v>15</v>
      </c>
      <c r="GN38928" s="4" t="s">
        <v>8</v>
      </c>
      <c r="GO38928" s="4" t="s">
        <v>1859</v>
      </c>
      <c r="GP38928" s="4" t="s">
        <v>11</v>
      </c>
      <c r="GQ38928" s="4" t="s">
        <v>11</v>
      </c>
      <c r="GR38928" s="4" t="s">
        <v>15</v>
      </c>
      <c r="GS38928" s="4" t="s">
        <v>8</v>
      </c>
      <c r="GT38928" s="4" t="s">
        <v>1859</v>
      </c>
      <c r="GU38928" s="4" t="s">
        <v>11</v>
      </c>
      <c r="GV38928" s="4" t="s">
        <v>11</v>
      </c>
      <c r="GW38928" s="4" t="s">
        <v>15</v>
      </c>
      <c r="GX38928" s="4" t="s">
        <v>8</v>
      </c>
      <c r="GY38928" s="4" t="s">
        <v>1859</v>
      </c>
      <c r="GZ38928" s="4" t="s">
        <v>11</v>
      </c>
      <c r="HA38928" s="4" t="s">
        <v>11</v>
      </c>
      <c r="HB38928" s="4" t="s">
        <v>15</v>
      </c>
      <c r="HC38928" s="4" t="s">
        <v>8</v>
      </c>
      <c r="HD38928" s="4" t="s">
        <v>1859</v>
      </c>
      <c r="HE38928" s="4" t="s">
        <v>11</v>
      </c>
      <c r="HF38928" s="4" t="s">
        <v>11</v>
      </c>
      <c r="HG38928" s="4" t="s">
        <v>15</v>
      </c>
      <c r="HH38928" s="4" t="s">
        <v>8</v>
      </c>
      <c r="HI38928" s="4" t="s">
        <v>1859</v>
      </c>
      <c r="HJ38928" s="4" t="s">
        <v>11</v>
      </c>
      <c r="HK38928" s="4" t="s">
        <v>11</v>
      </c>
      <c r="HL38928" s="4" t="s">
        <v>15</v>
      </c>
      <c r="HM38928" s="4" t="s">
        <v>8</v>
      </c>
      <c r="HN38928" s="4" t="s">
        <v>1859</v>
      </c>
      <c r="HO38928" s="4" t="s">
        <v>11</v>
      </c>
      <c r="HP38928" s="4" t="s">
        <v>11</v>
      </c>
      <c r="HQ38928" s="4" t="s">
        <v>15</v>
      </c>
      <c r="HR38928" s="4" t="s">
        <v>8</v>
      </c>
      <c r="HS38928" s="4" t="s">
        <v>1859</v>
      </c>
      <c r="HT38928" s="4" t="s">
        <v>11</v>
      </c>
      <c r="HU38928" s="4" t="s">
        <v>11</v>
      </c>
      <c r="HV38928" s="4" t="s">
        <v>15</v>
      </c>
      <c r="HW38928" s="4" t="s">
        <v>8</v>
      </c>
      <c r="HX38928" s="4" t="s">
        <v>1859</v>
      </c>
      <c r="HY38928" s="4" t="s">
        <v>11</v>
      </c>
      <c r="HZ38928" s="4" t="s">
        <v>11</v>
      </c>
      <c r="IA38928" s="4" t="s">
        <v>15</v>
      </c>
      <c r="IB38928" s="4" t="s">
        <v>8</v>
      </c>
      <c r="IC38928" s="4" t="s">
        <v>1859</v>
      </c>
      <c r="ID38928" s="4" t="s">
        <v>11</v>
      </c>
      <c r="IE38928" s="4" t="s">
        <v>11</v>
      </c>
      <c r="IF38928" s="4" t="s">
        <v>15</v>
      </c>
      <c r="IG38928" s="4" t="s">
        <v>8</v>
      </c>
      <c r="IH38928" s="4" t="s">
        <v>1859</v>
      </c>
      <c r="II38928" s="4" t="s">
        <v>11</v>
      </c>
      <c r="IJ38928" s="4" t="s">
        <v>11</v>
      </c>
      <c r="IK38928" s="4" t="s">
        <v>15</v>
      </c>
      <c r="IL38928" s="4" t="s">
        <v>8</v>
      </c>
      <c r="IM38928" s="4" t="s">
        <v>1859</v>
      </c>
      <c r="IN38928" s="4" t="s">
        <v>11</v>
      </c>
      <c r="IO38928" s="4" t="s">
        <v>11</v>
      </c>
      <c r="IP38928" s="4" t="s">
        <v>15</v>
      </c>
      <c r="IQ38928" s="4" t="s">
        <v>8</v>
      </c>
      <c r="IR38928" s="4" t="s">
        <v>1859</v>
      </c>
      <c r="IS38928" s="4" t="s">
        <v>11</v>
      </c>
      <c r="IT38928" s="4" t="s">
        <v>11</v>
      </c>
      <c r="IU38928" s="4" t="s">
        <v>15</v>
      </c>
      <c r="IV38928" s="4" t="s">
        <v>8</v>
      </c>
      <c r="IW38928" s="4" t="s">
        <v>1859</v>
      </c>
      <c r="IX38928" s="4" t="s">
        <v>11</v>
      </c>
      <c r="IY38928" s="4" t="s">
        <v>11</v>
      </c>
      <c r="IZ38928" s="4" t="s">
        <v>15</v>
      </c>
      <c r="JA38928" s="4" t="s">
        <v>8</v>
      </c>
      <c r="JB38928" s="4" t="s">
        <v>1859</v>
      </c>
      <c r="JC38928" s="4" t="s">
        <v>11</v>
      </c>
      <c r="JD38928" s="4" t="s">
        <v>11</v>
      </c>
      <c r="JE38928" s="4" t="s">
        <v>15</v>
      </c>
      <c r="JF38928" s="4" t="s">
        <v>8</v>
      </c>
      <c r="JG38928" s="4" t="s">
        <v>1859</v>
      </c>
      <c r="JH38928" s="4" t="s">
        <v>11</v>
      </c>
      <c r="JI38928" s="4" t="s">
        <v>11</v>
      </c>
      <c r="JJ38928" s="4" t="s">
        <v>15</v>
      </c>
      <c r="JK38928" s="4" t="s">
        <v>8</v>
      </c>
      <c r="JL38928" s="4" t="s">
        <v>1859</v>
      </c>
      <c r="JM38928" s="4" t="s">
        <v>11</v>
      </c>
      <c r="JN38928" s="4" t="s">
        <v>11</v>
      </c>
      <c r="JO38928" s="4" t="s">
        <v>15</v>
      </c>
      <c r="JP38928" s="4" t="s">
        <v>8</v>
      </c>
      <c r="JQ38928" s="4" t="s">
        <v>1859</v>
      </c>
      <c r="JR38928" s="4" t="s">
        <v>11</v>
      </c>
      <c r="JS38928" s="4" t="s">
        <v>11</v>
      </c>
      <c r="JT38928" s="4" t="s">
        <v>15</v>
      </c>
      <c r="JU38928" s="4" t="s">
        <v>8</v>
      </c>
      <c r="JV38928" s="4" t="s">
        <v>1859</v>
      </c>
      <c r="JW38928" s="4" t="s">
        <v>11</v>
      </c>
      <c r="JX38928" s="4" t="s">
        <v>11</v>
      </c>
      <c r="JY38928" s="4" t="s">
        <v>15</v>
      </c>
      <c r="JZ38928" s="4" t="s">
        <v>8</v>
      </c>
      <c r="KA38928" s="4" t="s">
        <v>1859</v>
      </c>
      <c r="KB38928" s="4" t="s">
        <v>11</v>
      </c>
      <c r="KC38928" s="4" t="s">
        <v>11</v>
      </c>
      <c r="KD38928" s="4" t="s">
        <v>15</v>
      </c>
      <c r="KE38928" s="4" t="s">
        <v>8</v>
      </c>
      <c r="KF38928" s="4" t="s">
        <v>1859</v>
      </c>
      <c r="KG38928" s="4" t="s">
        <v>11</v>
      </c>
      <c r="KH38928" s="4" t="s">
        <v>11</v>
      </c>
      <c r="KI38928" s="4" t="s">
        <v>15</v>
      </c>
      <c r="KJ38928" s="4" t="s">
        <v>8</v>
      </c>
      <c r="KK38928" s="4" t="s">
        <v>1859</v>
      </c>
      <c r="KL38928" s="4" t="s">
        <v>11</v>
      </c>
      <c r="KM38928" s="4" t="s">
        <v>11</v>
      </c>
      <c r="KN38928" s="4" t="s">
        <v>15</v>
      </c>
      <c r="KO38928" s="4" t="s">
        <v>8</v>
      </c>
      <c r="KP38928" s="4" t="s">
        <v>1859</v>
      </c>
      <c r="KQ38928" s="4" t="s">
        <v>11</v>
      </c>
      <c r="KR38928" s="4" t="s">
        <v>11</v>
      </c>
      <c r="KS38928" s="4" t="s">
        <v>15</v>
      </c>
      <c r="KT38928" s="4" t="s">
        <v>8</v>
      </c>
      <c r="KU38928" s="4" t="s">
        <v>1859</v>
      </c>
      <c r="KV38928" s="4" t="s">
        <v>11</v>
      </c>
      <c r="KW38928" s="4" t="s">
        <v>11</v>
      </c>
      <c r="KX38928" s="4" t="s">
        <v>15</v>
      </c>
      <c r="KY38928" s="4" t="s">
        <v>8</v>
      </c>
      <c r="KZ38928" s="4" t="s">
        <v>1859</v>
      </c>
      <c r="LA38928" s="4" t="s">
        <v>11</v>
      </c>
      <c r="LB38928" s="4" t="s">
        <v>11</v>
      </c>
      <c r="LC38928" s="4" t="s">
        <v>15</v>
      </c>
      <c r="LD38928" s="4" t="s">
        <v>8</v>
      </c>
      <c r="LE38928" s="4" t="s">
        <v>1859</v>
      </c>
      <c r="LF38928" s="4" t="s">
        <v>11</v>
      </c>
      <c r="LG38928" s="4" t="s">
        <v>11</v>
      </c>
      <c r="LH38928" s="4" t="s">
        <v>15</v>
      </c>
      <c r="LI38928" s="4" t="s">
        <v>8</v>
      </c>
      <c r="LJ38928" s="4" t="s">
        <v>1859</v>
      </c>
      <c r="LK38928" s="4" t="s">
        <v>11</v>
      </c>
      <c r="LL38928" s="4" t="s">
        <v>11</v>
      </c>
      <c r="LM38928" s="4" t="s">
        <v>15</v>
      </c>
      <c r="LN38928" s="4" t="s">
        <v>8</v>
      </c>
      <c r="LO38928" s="4" t="s">
        <v>1859</v>
      </c>
      <c r="LP38928" s="4" t="s">
        <v>11</v>
      </c>
      <c r="LQ38928" s="4" t="s">
        <v>11</v>
      </c>
      <c r="LR38928" s="4" t="s">
        <v>15</v>
      </c>
      <c r="LS38928" s="4" t="s">
        <v>8</v>
      </c>
      <c r="LT38928" s="4" t="s">
        <v>1859</v>
      </c>
      <c r="LU38928" s="4" t="s">
        <v>11</v>
      </c>
      <c r="LV38928" s="4" t="s">
        <v>11</v>
      </c>
      <c r="LW38928" s="4" t="s">
        <v>15</v>
      </c>
      <c r="LX38928" s="4" t="s">
        <v>8</v>
      </c>
      <c r="LY38928" s="4" t="s">
        <v>1859</v>
      </c>
      <c r="LZ38928" s="4" t="s">
        <v>11</v>
      </c>
      <c r="MA38928" s="4" t="s">
        <v>11</v>
      </c>
      <c r="MB38928" s="4" t="s">
        <v>15</v>
      </c>
      <c r="MC38928" s="4" t="s">
        <v>8</v>
      </c>
      <c r="MD38928" s="4" t="s">
        <v>1859</v>
      </c>
      <c r="ME38928" s="4" t="s">
        <v>11</v>
      </c>
      <c r="MF38928" s="4" t="s">
        <v>11</v>
      </c>
      <c r="MG38928" s="4" t="s">
        <v>15</v>
      </c>
      <c r="MH38928" s="4" t="s">
        <v>8</v>
      </c>
      <c r="MI38928" s="4" t="s">
        <v>1859</v>
      </c>
      <c r="MJ38928" s="4" t="s">
        <v>11</v>
      </c>
      <c r="MK38928" s="4" t="s">
        <v>11</v>
      </c>
      <c r="ML38928" s="4" t="s">
        <v>15</v>
      </c>
      <c r="MM38928" s="4" t="s">
        <v>8</v>
      </c>
      <c r="MN38928" s="4" t="s">
        <v>1859</v>
      </c>
      <c r="MO38928" s="4" t="s">
        <v>11</v>
      </c>
      <c r="MP38928" s="4" t="s">
        <v>11</v>
      </c>
      <c r="MQ38928" s="4" t="s">
        <v>15</v>
      </c>
      <c r="MR38928" s="4" t="s">
        <v>8</v>
      </c>
      <c r="MS38928" s="4" t="s">
        <v>1859</v>
      </c>
      <c r="MT38928" s="4" t="s">
        <v>11</v>
      </c>
      <c r="MU38928" s="4" t="s">
        <v>11</v>
      </c>
      <c r="MV38928" s="4" t="s">
        <v>15</v>
      </c>
      <c r="MW38928" s="4" t="s">
        <v>8</v>
      </c>
      <c r="MX38928" s="4" t="s">
        <v>1859</v>
      </c>
      <c r="MY38928" s="4" t="s">
        <v>11</v>
      </c>
      <c r="MZ38928" s="4" t="s">
        <v>11</v>
      </c>
      <c r="NA38928" s="4" t="s">
        <v>15</v>
      </c>
      <c r="NB38928" s="4" t="s">
        <v>8</v>
      </c>
      <c r="NC38928" s="4" t="s">
        <v>1859</v>
      </c>
      <c r="ND38928" s="4" t="s">
        <v>11</v>
      </c>
      <c r="NE38928" s="4" t="s">
        <v>11</v>
      </c>
      <c r="NF38928" s="4" t="s">
        <v>15</v>
      </c>
      <c r="NG38928" s="4" t="s">
        <v>8</v>
      </c>
      <c r="NH38928" s="4" t="s">
        <v>1859</v>
      </c>
      <c r="NI38928" s="4" t="s">
        <v>11</v>
      </c>
      <c r="NJ38928" s="4" t="s">
        <v>11</v>
      </c>
      <c r="NK38928" s="4" t="s">
        <v>15</v>
      </c>
      <c r="NL38928" s="4" t="s">
        <v>8</v>
      </c>
      <c r="NM38928" s="4" t="s">
        <v>1859</v>
      </c>
      <c r="NN38928" s="4" t="s">
        <v>11</v>
      </c>
      <c r="NO38928" s="4" t="s">
        <v>11</v>
      </c>
      <c r="NP38928" s="4" t="s">
        <v>15</v>
      </c>
      <c r="NQ38928" s="4" t="s">
        <v>8</v>
      </c>
      <c r="NR38928" s="4" t="s">
        <v>1859</v>
      </c>
    </row>
    <row r="38929" spans="1:407">
      <c r="A38929" t="n">
        <v>447856</v>
      </c>
      <c r="B38929" s="85" t="n">
        <v>257</v>
      </c>
      <c r="C38929" s="7" t="n">
        <v>7</v>
      </c>
      <c r="D38929" s="7" t="n">
        <v>65533</v>
      </c>
      <c r="E38929" s="7" t="n">
        <v>63820</v>
      </c>
      <c r="F38929" s="7" t="s">
        <v>16</v>
      </c>
      <c r="G38929" s="7" t="n">
        <f t="normal" ca="1">32-LENB(INDIRECT(ADDRESS(38929,6)))</f>
        <v>0</v>
      </c>
      <c r="H38929" s="7" t="n">
        <v>7</v>
      </c>
      <c r="I38929" s="7" t="n">
        <v>65533</v>
      </c>
      <c r="J38929" s="7" t="n">
        <v>63821</v>
      </c>
      <c r="K38929" s="7" t="s">
        <v>16</v>
      </c>
      <c r="L38929" s="7" t="n">
        <f t="normal" ca="1">32-LENB(INDIRECT(ADDRESS(38929,11)))</f>
        <v>0</v>
      </c>
      <c r="M38929" s="7" t="n">
        <v>7</v>
      </c>
      <c r="N38929" s="7" t="n">
        <v>65533</v>
      </c>
      <c r="O38929" s="7" t="n">
        <v>63822</v>
      </c>
      <c r="P38929" s="7" t="s">
        <v>16</v>
      </c>
      <c r="Q38929" s="7" t="n">
        <f t="normal" ca="1">32-LENB(INDIRECT(ADDRESS(38929,16)))</f>
        <v>0</v>
      </c>
      <c r="R38929" s="7" t="n">
        <v>7</v>
      </c>
      <c r="S38929" s="7" t="n">
        <v>65533</v>
      </c>
      <c r="T38929" s="7" t="n">
        <v>63823</v>
      </c>
      <c r="U38929" s="7" t="s">
        <v>16</v>
      </c>
      <c r="V38929" s="7" t="n">
        <f t="normal" ca="1">32-LENB(INDIRECT(ADDRESS(38929,21)))</f>
        <v>0</v>
      </c>
      <c r="W38929" s="7" t="n">
        <v>7</v>
      </c>
      <c r="X38929" s="7" t="n">
        <v>65533</v>
      </c>
      <c r="Y38929" s="7" t="n">
        <v>63824</v>
      </c>
      <c r="Z38929" s="7" t="s">
        <v>16</v>
      </c>
      <c r="AA38929" s="7" t="n">
        <f t="normal" ca="1">32-LENB(INDIRECT(ADDRESS(38929,26)))</f>
        <v>0</v>
      </c>
      <c r="AB38929" s="7" t="n">
        <v>7</v>
      </c>
      <c r="AC38929" s="7" t="n">
        <v>65533</v>
      </c>
      <c r="AD38929" s="7" t="n">
        <v>63825</v>
      </c>
      <c r="AE38929" s="7" t="s">
        <v>16</v>
      </c>
      <c r="AF38929" s="7" t="n">
        <f t="normal" ca="1">32-LENB(INDIRECT(ADDRESS(38929,31)))</f>
        <v>0</v>
      </c>
      <c r="AG38929" s="7" t="n">
        <v>7</v>
      </c>
      <c r="AH38929" s="7" t="n">
        <v>65533</v>
      </c>
      <c r="AI38929" s="7" t="n">
        <v>63826</v>
      </c>
      <c r="AJ38929" s="7" t="s">
        <v>16</v>
      </c>
      <c r="AK38929" s="7" t="n">
        <f t="normal" ca="1">32-LENB(INDIRECT(ADDRESS(38929,36)))</f>
        <v>0</v>
      </c>
      <c r="AL38929" s="7" t="n">
        <v>7</v>
      </c>
      <c r="AM38929" s="7" t="n">
        <v>65533</v>
      </c>
      <c r="AN38929" s="7" t="n">
        <v>63827</v>
      </c>
      <c r="AO38929" s="7" t="s">
        <v>16</v>
      </c>
      <c r="AP38929" s="7" t="n">
        <f t="normal" ca="1">32-LENB(INDIRECT(ADDRESS(38929,41)))</f>
        <v>0</v>
      </c>
      <c r="AQ38929" s="7" t="n">
        <v>7</v>
      </c>
      <c r="AR38929" s="7" t="n">
        <v>65533</v>
      </c>
      <c r="AS38929" s="7" t="n">
        <v>63828</v>
      </c>
      <c r="AT38929" s="7" t="s">
        <v>16</v>
      </c>
      <c r="AU38929" s="7" t="n">
        <f t="normal" ca="1">32-LENB(INDIRECT(ADDRESS(38929,46)))</f>
        <v>0</v>
      </c>
      <c r="AV38929" s="7" t="n">
        <v>7</v>
      </c>
      <c r="AW38929" s="7" t="n">
        <v>65533</v>
      </c>
      <c r="AX38929" s="7" t="n">
        <v>63780</v>
      </c>
      <c r="AY38929" s="7" t="s">
        <v>16</v>
      </c>
      <c r="AZ38929" s="7" t="n">
        <f t="normal" ca="1">32-LENB(INDIRECT(ADDRESS(38929,51)))</f>
        <v>0</v>
      </c>
      <c r="BA38929" s="7" t="n">
        <v>7</v>
      </c>
      <c r="BB38929" s="7" t="n">
        <v>65533</v>
      </c>
      <c r="BC38929" s="7" t="n">
        <v>63829</v>
      </c>
      <c r="BD38929" s="7" t="s">
        <v>16</v>
      </c>
      <c r="BE38929" s="7" t="n">
        <f t="normal" ca="1">32-LENB(INDIRECT(ADDRESS(38929,56)))</f>
        <v>0</v>
      </c>
      <c r="BF38929" s="7" t="n">
        <v>7</v>
      </c>
      <c r="BG38929" s="7" t="n">
        <v>65533</v>
      </c>
      <c r="BH38929" s="7" t="n">
        <v>63830</v>
      </c>
      <c r="BI38929" s="7" t="s">
        <v>16</v>
      </c>
      <c r="BJ38929" s="7" t="n">
        <f t="normal" ca="1">32-LENB(INDIRECT(ADDRESS(38929,61)))</f>
        <v>0</v>
      </c>
      <c r="BK38929" s="7" t="n">
        <v>7</v>
      </c>
      <c r="BL38929" s="7" t="n">
        <v>65533</v>
      </c>
      <c r="BM38929" s="7" t="n">
        <v>63831</v>
      </c>
      <c r="BN38929" s="7" t="s">
        <v>16</v>
      </c>
      <c r="BO38929" s="7" t="n">
        <f t="normal" ca="1">32-LENB(INDIRECT(ADDRESS(38929,66)))</f>
        <v>0</v>
      </c>
      <c r="BP38929" s="7" t="n">
        <v>7</v>
      </c>
      <c r="BQ38929" s="7" t="n">
        <v>65533</v>
      </c>
      <c r="BR38929" s="7" t="n">
        <v>63832</v>
      </c>
      <c r="BS38929" s="7" t="s">
        <v>16</v>
      </c>
      <c r="BT38929" s="7" t="n">
        <f t="normal" ca="1">32-LENB(INDIRECT(ADDRESS(38929,71)))</f>
        <v>0</v>
      </c>
      <c r="BU38929" s="7" t="n">
        <v>7</v>
      </c>
      <c r="BV38929" s="7" t="n">
        <v>65533</v>
      </c>
      <c r="BW38929" s="7" t="n">
        <v>63833</v>
      </c>
      <c r="BX38929" s="7" t="s">
        <v>16</v>
      </c>
      <c r="BY38929" s="7" t="n">
        <f t="normal" ca="1">32-LENB(INDIRECT(ADDRESS(38929,76)))</f>
        <v>0</v>
      </c>
      <c r="BZ38929" s="7" t="n">
        <v>7</v>
      </c>
      <c r="CA38929" s="7" t="n">
        <v>65533</v>
      </c>
      <c r="CB38929" s="7" t="n">
        <v>63834</v>
      </c>
      <c r="CC38929" s="7" t="s">
        <v>16</v>
      </c>
      <c r="CD38929" s="7" t="n">
        <f t="normal" ca="1">32-LENB(INDIRECT(ADDRESS(38929,81)))</f>
        <v>0</v>
      </c>
      <c r="CE38929" s="7" t="n">
        <v>7</v>
      </c>
      <c r="CF38929" s="7" t="n">
        <v>65533</v>
      </c>
      <c r="CG38929" s="7" t="n">
        <v>63835</v>
      </c>
      <c r="CH38929" s="7" t="s">
        <v>16</v>
      </c>
      <c r="CI38929" s="7" t="n">
        <f t="normal" ca="1">32-LENB(INDIRECT(ADDRESS(38929,86)))</f>
        <v>0</v>
      </c>
      <c r="CJ38929" s="7" t="n">
        <v>7</v>
      </c>
      <c r="CK38929" s="7" t="n">
        <v>65533</v>
      </c>
      <c r="CL38929" s="7" t="n">
        <v>63836</v>
      </c>
      <c r="CM38929" s="7" t="s">
        <v>16</v>
      </c>
      <c r="CN38929" s="7" t="n">
        <f t="normal" ca="1">32-LENB(INDIRECT(ADDRESS(38929,91)))</f>
        <v>0</v>
      </c>
      <c r="CO38929" s="7" t="n">
        <v>7</v>
      </c>
      <c r="CP38929" s="7" t="n">
        <v>65533</v>
      </c>
      <c r="CQ38929" s="7" t="n">
        <v>63837</v>
      </c>
      <c r="CR38929" s="7" t="s">
        <v>16</v>
      </c>
      <c r="CS38929" s="7" t="n">
        <f t="normal" ca="1">32-LENB(INDIRECT(ADDRESS(38929,96)))</f>
        <v>0</v>
      </c>
      <c r="CT38929" s="7" t="n">
        <v>7</v>
      </c>
      <c r="CU38929" s="7" t="n">
        <v>65533</v>
      </c>
      <c r="CV38929" s="7" t="n">
        <v>2800</v>
      </c>
      <c r="CW38929" s="7" t="s">
        <v>16</v>
      </c>
      <c r="CX38929" s="7" t="n">
        <f t="normal" ca="1">32-LENB(INDIRECT(ADDRESS(38929,101)))</f>
        <v>0</v>
      </c>
      <c r="CY38929" s="7" t="n">
        <v>7</v>
      </c>
      <c r="CZ38929" s="7" t="n">
        <v>65533</v>
      </c>
      <c r="DA38929" s="7" t="n">
        <v>2801</v>
      </c>
      <c r="DB38929" s="7" t="s">
        <v>16</v>
      </c>
      <c r="DC38929" s="7" t="n">
        <f t="normal" ca="1">32-LENB(INDIRECT(ADDRESS(38929,106)))</f>
        <v>0</v>
      </c>
      <c r="DD38929" s="7" t="n">
        <v>7</v>
      </c>
      <c r="DE38929" s="7" t="n">
        <v>65533</v>
      </c>
      <c r="DF38929" s="7" t="n">
        <v>63838</v>
      </c>
      <c r="DG38929" s="7" t="s">
        <v>16</v>
      </c>
      <c r="DH38929" s="7" t="n">
        <f t="normal" ca="1">32-LENB(INDIRECT(ADDRESS(38929,111)))</f>
        <v>0</v>
      </c>
      <c r="DI38929" s="7" t="n">
        <v>7</v>
      </c>
      <c r="DJ38929" s="7" t="n">
        <v>65533</v>
      </c>
      <c r="DK38929" s="7" t="n">
        <v>63839</v>
      </c>
      <c r="DL38929" s="7" t="s">
        <v>16</v>
      </c>
      <c r="DM38929" s="7" t="n">
        <f t="normal" ca="1">32-LENB(INDIRECT(ADDRESS(38929,116)))</f>
        <v>0</v>
      </c>
      <c r="DN38929" s="7" t="n">
        <v>7</v>
      </c>
      <c r="DO38929" s="7" t="n">
        <v>65533</v>
      </c>
      <c r="DP38929" s="7" t="n">
        <v>63840</v>
      </c>
      <c r="DQ38929" s="7" t="s">
        <v>16</v>
      </c>
      <c r="DR38929" s="7" t="n">
        <f t="normal" ca="1">32-LENB(INDIRECT(ADDRESS(38929,121)))</f>
        <v>0</v>
      </c>
      <c r="DS38929" s="7" t="n">
        <v>7</v>
      </c>
      <c r="DT38929" s="7" t="n">
        <v>65533</v>
      </c>
      <c r="DU38929" s="7" t="n">
        <v>2802</v>
      </c>
      <c r="DV38929" s="7" t="s">
        <v>16</v>
      </c>
      <c r="DW38929" s="7" t="n">
        <f t="normal" ca="1">32-LENB(INDIRECT(ADDRESS(38929,126)))</f>
        <v>0</v>
      </c>
      <c r="DX38929" s="7" t="n">
        <v>7</v>
      </c>
      <c r="DY38929" s="7" t="n">
        <v>65533</v>
      </c>
      <c r="DZ38929" s="7" t="n">
        <v>2803</v>
      </c>
      <c r="EA38929" s="7" t="s">
        <v>16</v>
      </c>
      <c r="EB38929" s="7" t="n">
        <f t="normal" ca="1">32-LENB(INDIRECT(ADDRESS(38929,131)))</f>
        <v>0</v>
      </c>
      <c r="EC38929" s="7" t="n">
        <v>7</v>
      </c>
      <c r="ED38929" s="7" t="n">
        <v>65533</v>
      </c>
      <c r="EE38929" s="7" t="n">
        <v>2804</v>
      </c>
      <c r="EF38929" s="7" t="s">
        <v>16</v>
      </c>
      <c r="EG38929" s="7" t="n">
        <f t="normal" ca="1">32-LENB(INDIRECT(ADDRESS(38929,136)))</f>
        <v>0</v>
      </c>
      <c r="EH38929" s="7" t="n">
        <v>7</v>
      </c>
      <c r="EI38929" s="7" t="n">
        <v>65533</v>
      </c>
      <c r="EJ38929" s="7" t="n">
        <v>63841</v>
      </c>
      <c r="EK38929" s="7" t="s">
        <v>16</v>
      </c>
      <c r="EL38929" s="7" t="n">
        <f t="normal" ca="1">32-LENB(INDIRECT(ADDRESS(38929,141)))</f>
        <v>0</v>
      </c>
      <c r="EM38929" s="7" t="n">
        <v>7</v>
      </c>
      <c r="EN38929" s="7" t="n">
        <v>65533</v>
      </c>
      <c r="EO38929" s="7" t="n">
        <v>63842</v>
      </c>
      <c r="EP38929" s="7" t="s">
        <v>16</v>
      </c>
      <c r="EQ38929" s="7" t="n">
        <f t="normal" ca="1">32-LENB(INDIRECT(ADDRESS(38929,146)))</f>
        <v>0</v>
      </c>
      <c r="ER38929" s="7" t="n">
        <v>7</v>
      </c>
      <c r="ES38929" s="7" t="n">
        <v>65533</v>
      </c>
      <c r="ET38929" s="7" t="n">
        <v>63843</v>
      </c>
      <c r="EU38929" s="7" t="s">
        <v>16</v>
      </c>
      <c r="EV38929" s="7" t="n">
        <f t="normal" ca="1">32-LENB(INDIRECT(ADDRESS(38929,151)))</f>
        <v>0</v>
      </c>
      <c r="EW38929" s="7" t="n">
        <v>7</v>
      </c>
      <c r="EX38929" s="7" t="n">
        <v>65533</v>
      </c>
      <c r="EY38929" s="7" t="n">
        <v>63844</v>
      </c>
      <c r="EZ38929" s="7" t="s">
        <v>16</v>
      </c>
      <c r="FA38929" s="7" t="n">
        <f t="normal" ca="1">32-LENB(INDIRECT(ADDRESS(38929,156)))</f>
        <v>0</v>
      </c>
      <c r="FB38929" s="7" t="n">
        <v>7</v>
      </c>
      <c r="FC38929" s="7" t="n">
        <v>65533</v>
      </c>
      <c r="FD38929" s="7" t="n">
        <v>2805</v>
      </c>
      <c r="FE38929" s="7" t="s">
        <v>16</v>
      </c>
      <c r="FF38929" s="7" t="n">
        <f t="normal" ca="1">32-LENB(INDIRECT(ADDRESS(38929,161)))</f>
        <v>0</v>
      </c>
      <c r="FG38929" s="7" t="n">
        <v>7</v>
      </c>
      <c r="FH38929" s="7" t="n">
        <v>65533</v>
      </c>
      <c r="FI38929" s="7" t="n">
        <v>2806</v>
      </c>
      <c r="FJ38929" s="7" t="s">
        <v>16</v>
      </c>
      <c r="FK38929" s="7" t="n">
        <f t="normal" ca="1">32-LENB(INDIRECT(ADDRESS(38929,166)))</f>
        <v>0</v>
      </c>
      <c r="FL38929" s="7" t="n">
        <v>7</v>
      </c>
      <c r="FM38929" s="7" t="n">
        <v>65533</v>
      </c>
      <c r="FN38929" s="7" t="n">
        <v>2807</v>
      </c>
      <c r="FO38929" s="7" t="s">
        <v>16</v>
      </c>
      <c r="FP38929" s="7" t="n">
        <f t="normal" ca="1">32-LENB(INDIRECT(ADDRESS(38929,171)))</f>
        <v>0</v>
      </c>
      <c r="FQ38929" s="7" t="n">
        <v>7</v>
      </c>
      <c r="FR38929" s="7" t="n">
        <v>65533</v>
      </c>
      <c r="FS38929" s="7" t="n">
        <v>2808</v>
      </c>
      <c r="FT38929" s="7" t="s">
        <v>16</v>
      </c>
      <c r="FU38929" s="7" t="n">
        <f t="normal" ca="1">32-LENB(INDIRECT(ADDRESS(38929,176)))</f>
        <v>0</v>
      </c>
      <c r="FV38929" s="7" t="n">
        <v>7</v>
      </c>
      <c r="FW38929" s="7" t="n">
        <v>65533</v>
      </c>
      <c r="FX38929" s="7" t="n">
        <v>2809</v>
      </c>
      <c r="FY38929" s="7" t="s">
        <v>16</v>
      </c>
      <c r="FZ38929" s="7" t="n">
        <f t="normal" ca="1">32-LENB(INDIRECT(ADDRESS(38929,181)))</f>
        <v>0</v>
      </c>
      <c r="GA38929" s="7" t="n">
        <v>7</v>
      </c>
      <c r="GB38929" s="7" t="n">
        <v>65533</v>
      </c>
      <c r="GC38929" s="7" t="n">
        <v>63845</v>
      </c>
      <c r="GD38929" s="7" t="s">
        <v>16</v>
      </c>
      <c r="GE38929" s="7" t="n">
        <f t="normal" ca="1">32-LENB(INDIRECT(ADDRESS(38929,186)))</f>
        <v>0</v>
      </c>
      <c r="GF38929" s="7" t="n">
        <v>7</v>
      </c>
      <c r="GG38929" s="7" t="n">
        <v>65533</v>
      </c>
      <c r="GH38929" s="7" t="n">
        <v>2810</v>
      </c>
      <c r="GI38929" s="7" t="s">
        <v>16</v>
      </c>
      <c r="GJ38929" s="7" t="n">
        <f t="normal" ca="1">32-LENB(INDIRECT(ADDRESS(38929,191)))</f>
        <v>0</v>
      </c>
      <c r="GK38929" s="7" t="n">
        <v>7</v>
      </c>
      <c r="GL38929" s="7" t="n">
        <v>65533</v>
      </c>
      <c r="GM38929" s="7" t="n">
        <v>2811</v>
      </c>
      <c r="GN38929" s="7" t="s">
        <v>16</v>
      </c>
      <c r="GO38929" s="7" t="n">
        <f t="normal" ca="1">32-LENB(INDIRECT(ADDRESS(38929,196)))</f>
        <v>0</v>
      </c>
      <c r="GP38929" s="7" t="n">
        <v>7</v>
      </c>
      <c r="GQ38929" s="7" t="n">
        <v>65533</v>
      </c>
      <c r="GR38929" s="7" t="n">
        <v>63846</v>
      </c>
      <c r="GS38929" s="7" t="s">
        <v>16</v>
      </c>
      <c r="GT38929" s="7" t="n">
        <f t="normal" ca="1">32-LENB(INDIRECT(ADDRESS(38929,201)))</f>
        <v>0</v>
      </c>
      <c r="GU38929" s="7" t="n">
        <v>7</v>
      </c>
      <c r="GV38929" s="7" t="n">
        <v>65533</v>
      </c>
      <c r="GW38929" s="7" t="n">
        <v>2812</v>
      </c>
      <c r="GX38929" s="7" t="s">
        <v>16</v>
      </c>
      <c r="GY38929" s="7" t="n">
        <f t="normal" ca="1">32-LENB(INDIRECT(ADDRESS(38929,206)))</f>
        <v>0</v>
      </c>
      <c r="GZ38929" s="7" t="n">
        <v>7</v>
      </c>
      <c r="HA38929" s="7" t="n">
        <v>65533</v>
      </c>
      <c r="HB38929" s="7" t="n">
        <v>2813</v>
      </c>
      <c r="HC38929" s="7" t="s">
        <v>16</v>
      </c>
      <c r="HD38929" s="7" t="n">
        <f t="normal" ca="1">32-LENB(INDIRECT(ADDRESS(38929,211)))</f>
        <v>0</v>
      </c>
      <c r="HE38929" s="7" t="n">
        <v>7</v>
      </c>
      <c r="HF38929" s="7" t="n">
        <v>65533</v>
      </c>
      <c r="HG38929" s="7" t="n">
        <v>2814</v>
      </c>
      <c r="HH38929" s="7" t="s">
        <v>16</v>
      </c>
      <c r="HI38929" s="7" t="n">
        <f t="normal" ca="1">32-LENB(INDIRECT(ADDRESS(38929,216)))</f>
        <v>0</v>
      </c>
      <c r="HJ38929" s="7" t="n">
        <v>7</v>
      </c>
      <c r="HK38929" s="7" t="n">
        <v>65533</v>
      </c>
      <c r="HL38929" s="7" t="n">
        <v>2815</v>
      </c>
      <c r="HM38929" s="7" t="s">
        <v>16</v>
      </c>
      <c r="HN38929" s="7" t="n">
        <f t="normal" ca="1">32-LENB(INDIRECT(ADDRESS(38929,221)))</f>
        <v>0</v>
      </c>
      <c r="HO38929" s="7" t="n">
        <v>7</v>
      </c>
      <c r="HP38929" s="7" t="n">
        <v>65533</v>
      </c>
      <c r="HQ38929" s="7" t="n">
        <v>63847</v>
      </c>
      <c r="HR38929" s="7" t="s">
        <v>16</v>
      </c>
      <c r="HS38929" s="7" t="n">
        <f t="normal" ca="1">32-LENB(INDIRECT(ADDRESS(38929,226)))</f>
        <v>0</v>
      </c>
      <c r="HT38929" s="7" t="n">
        <v>7</v>
      </c>
      <c r="HU38929" s="7" t="n">
        <v>65533</v>
      </c>
      <c r="HV38929" s="7" t="n">
        <v>2816</v>
      </c>
      <c r="HW38929" s="7" t="s">
        <v>16</v>
      </c>
      <c r="HX38929" s="7" t="n">
        <f t="normal" ca="1">32-LENB(INDIRECT(ADDRESS(38929,231)))</f>
        <v>0</v>
      </c>
      <c r="HY38929" s="7" t="n">
        <v>7</v>
      </c>
      <c r="HZ38929" s="7" t="n">
        <v>65533</v>
      </c>
      <c r="IA38929" s="7" t="n">
        <v>2817</v>
      </c>
      <c r="IB38929" s="7" t="s">
        <v>16</v>
      </c>
      <c r="IC38929" s="7" t="n">
        <f t="normal" ca="1">32-LENB(INDIRECT(ADDRESS(38929,236)))</f>
        <v>0</v>
      </c>
      <c r="ID38929" s="7" t="n">
        <v>7</v>
      </c>
      <c r="IE38929" s="7" t="n">
        <v>65533</v>
      </c>
      <c r="IF38929" s="7" t="n">
        <v>2818</v>
      </c>
      <c r="IG38929" s="7" t="s">
        <v>16</v>
      </c>
      <c r="IH38929" s="7" t="n">
        <f t="normal" ca="1">32-LENB(INDIRECT(ADDRESS(38929,241)))</f>
        <v>0</v>
      </c>
      <c r="II38929" s="7" t="n">
        <v>7</v>
      </c>
      <c r="IJ38929" s="7" t="n">
        <v>65533</v>
      </c>
      <c r="IK38929" s="7" t="n">
        <v>2819</v>
      </c>
      <c r="IL38929" s="7" t="s">
        <v>16</v>
      </c>
      <c r="IM38929" s="7" t="n">
        <f t="normal" ca="1">32-LENB(INDIRECT(ADDRESS(38929,246)))</f>
        <v>0</v>
      </c>
      <c r="IN38929" s="7" t="n">
        <v>7</v>
      </c>
      <c r="IO38929" s="7" t="n">
        <v>65533</v>
      </c>
      <c r="IP38929" s="7" t="n">
        <v>63848</v>
      </c>
      <c r="IQ38929" s="7" t="s">
        <v>16</v>
      </c>
      <c r="IR38929" s="7" t="n">
        <f t="normal" ca="1">32-LENB(INDIRECT(ADDRESS(38929,251)))</f>
        <v>0</v>
      </c>
      <c r="IS38929" s="7" t="n">
        <v>7</v>
      </c>
      <c r="IT38929" s="7" t="n">
        <v>65533</v>
      </c>
      <c r="IU38929" s="7" t="n">
        <v>63849</v>
      </c>
      <c r="IV38929" s="7" t="s">
        <v>16</v>
      </c>
      <c r="IW38929" s="7" t="n">
        <f t="normal" ca="1">32-LENB(INDIRECT(ADDRESS(38929,256)))</f>
        <v>0</v>
      </c>
      <c r="IX38929" s="7" t="n">
        <v>7</v>
      </c>
      <c r="IY38929" s="7" t="n">
        <v>65533</v>
      </c>
      <c r="IZ38929" s="7" t="n">
        <v>2820</v>
      </c>
      <c r="JA38929" s="7" t="s">
        <v>16</v>
      </c>
      <c r="JB38929" s="7" t="n">
        <f t="normal" ca="1">32-LENB(INDIRECT(ADDRESS(38929,261)))</f>
        <v>0</v>
      </c>
      <c r="JC38929" s="7" t="n">
        <v>7</v>
      </c>
      <c r="JD38929" s="7" t="n">
        <v>65533</v>
      </c>
      <c r="JE38929" s="7" t="n">
        <v>63850</v>
      </c>
      <c r="JF38929" s="7" t="s">
        <v>16</v>
      </c>
      <c r="JG38929" s="7" t="n">
        <f t="normal" ca="1">32-LENB(INDIRECT(ADDRESS(38929,266)))</f>
        <v>0</v>
      </c>
      <c r="JH38929" s="7" t="n">
        <v>7</v>
      </c>
      <c r="JI38929" s="7" t="n">
        <v>65533</v>
      </c>
      <c r="JJ38929" s="7" t="n">
        <v>63851</v>
      </c>
      <c r="JK38929" s="7" t="s">
        <v>16</v>
      </c>
      <c r="JL38929" s="7" t="n">
        <f t="normal" ca="1">32-LENB(INDIRECT(ADDRESS(38929,271)))</f>
        <v>0</v>
      </c>
      <c r="JM38929" s="7" t="n">
        <v>7</v>
      </c>
      <c r="JN38929" s="7" t="n">
        <v>65533</v>
      </c>
      <c r="JO38929" s="7" t="n">
        <v>63852</v>
      </c>
      <c r="JP38929" s="7" t="s">
        <v>16</v>
      </c>
      <c r="JQ38929" s="7" t="n">
        <f t="normal" ca="1">32-LENB(INDIRECT(ADDRESS(38929,276)))</f>
        <v>0</v>
      </c>
      <c r="JR38929" s="7" t="n">
        <v>7</v>
      </c>
      <c r="JS38929" s="7" t="n">
        <v>65533</v>
      </c>
      <c r="JT38929" s="7" t="n">
        <v>63853</v>
      </c>
      <c r="JU38929" s="7" t="s">
        <v>16</v>
      </c>
      <c r="JV38929" s="7" t="n">
        <f t="normal" ca="1">32-LENB(INDIRECT(ADDRESS(38929,281)))</f>
        <v>0</v>
      </c>
      <c r="JW38929" s="7" t="n">
        <v>7</v>
      </c>
      <c r="JX38929" s="7" t="n">
        <v>65533</v>
      </c>
      <c r="JY38929" s="7" t="n">
        <v>63854</v>
      </c>
      <c r="JZ38929" s="7" t="s">
        <v>16</v>
      </c>
      <c r="KA38929" s="7" t="n">
        <f t="normal" ca="1">32-LENB(INDIRECT(ADDRESS(38929,286)))</f>
        <v>0</v>
      </c>
      <c r="KB38929" s="7" t="n">
        <v>7</v>
      </c>
      <c r="KC38929" s="7" t="n">
        <v>65533</v>
      </c>
      <c r="KD38929" s="7" t="n">
        <v>2821</v>
      </c>
      <c r="KE38929" s="7" t="s">
        <v>16</v>
      </c>
      <c r="KF38929" s="7" t="n">
        <f t="normal" ca="1">32-LENB(INDIRECT(ADDRESS(38929,291)))</f>
        <v>0</v>
      </c>
      <c r="KG38929" s="7" t="n">
        <v>7</v>
      </c>
      <c r="KH38929" s="7" t="n">
        <v>65533</v>
      </c>
      <c r="KI38929" s="7" t="n">
        <v>63855</v>
      </c>
      <c r="KJ38929" s="7" t="s">
        <v>16</v>
      </c>
      <c r="KK38929" s="7" t="n">
        <f t="normal" ca="1">32-LENB(INDIRECT(ADDRESS(38929,296)))</f>
        <v>0</v>
      </c>
      <c r="KL38929" s="7" t="n">
        <v>7</v>
      </c>
      <c r="KM38929" s="7" t="n">
        <v>65533</v>
      </c>
      <c r="KN38929" s="7" t="n">
        <v>63856</v>
      </c>
      <c r="KO38929" s="7" t="s">
        <v>16</v>
      </c>
      <c r="KP38929" s="7" t="n">
        <f t="normal" ca="1">32-LENB(INDIRECT(ADDRESS(38929,301)))</f>
        <v>0</v>
      </c>
      <c r="KQ38929" s="7" t="n">
        <v>7</v>
      </c>
      <c r="KR38929" s="7" t="n">
        <v>65533</v>
      </c>
      <c r="KS38929" s="7" t="n">
        <v>63857</v>
      </c>
      <c r="KT38929" s="7" t="s">
        <v>16</v>
      </c>
      <c r="KU38929" s="7" t="n">
        <f t="normal" ca="1">32-LENB(INDIRECT(ADDRESS(38929,306)))</f>
        <v>0</v>
      </c>
      <c r="KV38929" s="7" t="n">
        <v>7</v>
      </c>
      <c r="KW38929" s="7" t="n">
        <v>65533</v>
      </c>
      <c r="KX38929" s="7" t="n">
        <v>63858</v>
      </c>
      <c r="KY38929" s="7" t="s">
        <v>16</v>
      </c>
      <c r="KZ38929" s="7" t="n">
        <f t="normal" ca="1">32-LENB(INDIRECT(ADDRESS(38929,311)))</f>
        <v>0</v>
      </c>
      <c r="LA38929" s="7" t="n">
        <v>7</v>
      </c>
      <c r="LB38929" s="7" t="n">
        <v>65533</v>
      </c>
      <c r="LC38929" s="7" t="n">
        <v>2822</v>
      </c>
      <c r="LD38929" s="7" t="s">
        <v>16</v>
      </c>
      <c r="LE38929" s="7" t="n">
        <f t="normal" ca="1">32-LENB(INDIRECT(ADDRESS(38929,316)))</f>
        <v>0</v>
      </c>
      <c r="LF38929" s="7" t="n">
        <v>7</v>
      </c>
      <c r="LG38929" s="7" t="n">
        <v>65533</v>
      </c>
      <c r="LH38929" s="7" t="n">
        <v>2823</v>
      </c>
      <c r="LI38929" s="7" t="s">
        <v>16</v>
      </c>
      <c r="LJ38929" s="7" t="n">
        <f t="normal" ca="1">32-LENB(INDIRECT(ADDRESS(38929,321)))</f>
        <v>0</v>
      </c>
      <c r="LK38929" s="7" t="n">
        <v>4</v>
      </c>
      <c r="LL38929" s="7" t="n">
        <v>65533</v>
      </c>
      <c r="LM38929" s="7" t="n">
        <v>2004</v>
      </c>
      <c r="LN38929" s="7" t="s">
        <v>16</v>
      </c>
      <c r="LO38929" s="7" t="n">
        <f t="normal" ca="1">32-LENB(INDIRECT(ADDRESS(38929,326)))</f>
        <v>0</v>
      </c>
      <c r="LP38929" s="7" t="n">
        <v>7</v>
      </c>
      <c r="LQ38929" s="7" t="n">
        <v>65533</v>
      </c>
      <c r="LR38929" s="7" t="n">
        <v>63859</v>
      </c>
      <c r="LS38929" s="7" t="s">
        <v>16</v>
      </c>
      <c r="LT38929" s="7" t="n">
        <f t="normal" ca="1">32-LENB(INDIRECT(ADDRESS(38929,331)))</f>
        <v>0</v>
      </c>
      <c r="LU38929" s="7" t="n">
        <v>7</v>
      </c>
      <c r="LV38929" s="7" t="n">
        <v>65533</v>
      </c>
      <c r="LW38929" s="7" t="n">
        <v>2824</v>
      </c>
      <c r="LX38929" s="7" t="s">
        <v>16</v>
      </c>
      <c r="LY38929" s="7" t="n">
        <f t="normal" ca="1">32-LENB(INDIRECT(ADDRESS(38929,336)))</f>
        <v>0</v>
      </c>
      <c r="LZ38929" s="7" t="n">
        <v>7</v>
      </c>
      <c r="MA38929" s="7" t="n">
        <v>65533</v>
      </c>
      <c r="MB38929" s="7" t="n">
        <v>2825</v>
      </c>
      <c r="MC38929" s="7" t="s">
        <v>16</v>
      </c>
      <c r="MD38929" s="7" t="n">
        <f t="normal" ca="1">32-LENB(INDIRECT(ADDRESS(38929,341)))</f>
        <v>0</v>
      </c>
      <c r="ME38929" s="7" t="n">
        <v>7</v>
      </c>
      <c r="MF38929" s="7" t="n">
        <v>65533</v>
      </c>
      <c r="MG38929" s="7" t="n">
        <v>63860</v>
      </c>
      <c r="MH38929" s="7" t="s">
        <v>16</v>
      </c>
      <c r="MI38929" s="7" t="n">
        <f t="normal" ca="1">32-LENB(INDIRECT(ADDRESS(38929,346)))</f>
        <v>0</v>
      </c>
      <c r="MJ38929" s="7" t="n">
        <v>4</v>
      </c>
      <c r="MK38929" s="7" t="n">
        <v>65533</v>
      </c>
      <c r="ML38929" s="7" t="n">
        <v>2000</v>
      </c>
      <c r="MM38929" s="7" t="s">
        <v>16</v>
      </c>
      <c r="MN38929" s="7" t="n">
        <f t="normal" ca="1">32-LENB(INDIRECT(ADDRESS(38929,351)))</f>
        <v>0</v>
      </c>
      <c r="MO38929" s="7" t="n">
        <v>7</v>
      </c>
      <c r="MP38929" s="7" t="n">
        <v>65533</v>
      </c>
      <c r="MQ38929" s="7" t="n">
        <v>63861</v>
      </c>
      <c r="MR38929" s="7" t="s">
        <v>16</v>
      </c>
      <c r="MS38929" s="7" t="n">
        <f t="normal" ca="1">32-LENB(INDIRECT(ADDRESS(38929,356)))</f>
        <v>0</v>
      </c>
      <c r="MT38929" s="7" t="n">
        <v>7</v>
      </c>
      <c r="MU38929" s="7" t="n">
        <v>65533</v>
      </c>
      <c r="MV38929" s="7" t="n">
        <v>63862</v>
      </c>
      <c r="MW38929" s="7" t="s">
        <v>16</v>
      </c>
      <c r="MX38929" s="7" t="n">
        <f t="normal" ca="1">32-LENB(INDIRECT(ADDRESS(38929,361)))</f>
        <v>0</v>
      </c>
      <c r="MY38929" s="7" t="n">
        <v>7</v>
      </c>
      <c r="MZ38929" s="7" t="n">
        <v>65533</v>
      </c>
      <c r="NA38929" s="7" t="n">
        <v>63863</v>
      </c>
      <c r="NB38929" s="7" t="s">
        <v>16</v>
      </c>
      <c r="NC38929" s="7" t="n">
        <f t="normal" ca="1">32-LENB(INDIRECT(ADDRESS(38929,366)))</f>
        <v>0</v>
      </c>
      <c r="ND38929" s="7" t="n">
        <v>7</v>
      </c>
      <c r="NE38929" s="7" t="n">
        <v>65533</v>
      </c>
      <c r="NF38929" s="7" t="n">
        <v>2826</v>
      </c>
      <c r="NG38929" s="7" t="s">
        <v>16</v>
      </c>
      <c r="NH38929" s="7" t="n">
        <f t="normal" ca="1">32-LENB(INDIRECT(ADDRESS(38929,371)))</f>
        <v>0</v>
      </c>
      <c r="NI38929" s="7" t="n">
        <v>7</v>
      </c>
      <c r="NJ38929" s="7" t="n">
        <v>65533</v>
      </c>
      <c r="NK38929" s="7" t="n">
        <v>2827</v>
      </c>
      <c r="NL38929" s="7" t="s">
        <v>16</v>
      </c>
      <c r="NM38929" s="7" t="n">
        <f t="normal" ca="1">32-LENB(INDIRECT(ADDRESS(38929,376)))</f>
        <v>0</v>
      </c>
      <c r="NN38929" s="7" t="n">
        <v>0</v>
      </c>
      <c r="NO38929" s="7" t="n">
        <v>65533</v>
      </c>
      <c r="NP38929" s="7" t="n">
        <v>0</v>
      </c>
      <c r="NQ38929" s="7" t="s">
        <v>16</v>
      </c>
      <c r="NR38929" s="7" t="n">
        <f t="normal" ca="1">32-LENB(INDIRECT(ADDRESS(38929,381)))</f>
        <v>0</v>
      </c>
    </row>
    <row r="38930" spans="1:407">
      <c r="A38930" t="s">
        <v>4</v>
      </c>
      <c r="B38930" s="4" t="s">
        <v>5</v>
      </c>
    </row>
    <row r="38931" spans="1:407">
      <c r="A38931" t="n">
        <v>450896</v>
      </c>
      <c r="B38931" s="5" t="n">
        <v>1</v>
      </c>
    </row>
    <row r="38932" spans="1:407" s="3" customFormat="1" customHeight="0">
      <c r="A38932" s="3" t="s">
        <v>2</v>
      </c>
      <c r="B38932" s="3" t="s">
        <v>1895</v>
      </c>
    </row>
    <row r="38933" spans="1:407">
      <c r="A38933" t="s">
        <v>4</v>
      </c>
      <c r="B38933" s="4" t="s">
        <v>5</v>
      </c>
      <c r="C38933" s="4" t="s">
        <v>11</v>
      </c>
      <c r="D38933" s="4" t="s">
        <v>11</v>
      </c>
      <c r="E38933" s="4" t="s">
        <v>15</v>
      </c>
      <c r="F38933" s="4" t="s">
        <v>8</v>
      </c>
      <c r="G38933" s="4" t="s">
        <v>1859</v>
      </c>
      <c r="H38933" s="4" t="s">
        <v>11</v>
      </c>
      <c r="I38933" s="4" t="s">
        <v>11</v>
      </c>
      <c r="J38933" s="4" t="s">
        <v>15</v>
      </c>
      <c r="K38933" s="4" t="s">
        <v>8</v>
      </c>
      <c r="L38933" s="4" t="s">
        <v>1859</v>
      </c>
      <c r="M38933" s="4" t="s">
        <v>11</v>
      </c>
      <c r="N38933" s="4" t="s">
        <v>11</v>
      </c>
      <c r="O38933" s="4" t="s">
        <v>15</v>
      </c>
      <c r="P38933" s="4" t="s">
        <v>8</v>
      </c>
      <c r="Q38933" s="4" t="s">
        <v>1859</v>
      </c>
      <c r="R38933" s="4" t="s">
        <v>11</v>
      </c>
      <c r="S38933" s="4" t="s">
        <v>11</v>
      </c>
      <c r="T38933" s="4" t="s">
        <v>15</v>
      </c>
      <c r="U38933" s="4" t="s">
        <v>8</v>
      </c>
      <c r="V38933" s="4" t="s">
        <v>1859</v>
      </c>
      <c r="W38933" s="4" t="s">
        <v>11</v>
      </c>
      <c r="X38933" s="4" t="s">
        <v>11</v>
      </c>
      <c r="Y38933" s="4" t="s">
        <v>15</v>
      </c>
      <c r="Z38933" s="4" t="s">
        <v>8</v>
      </c>
      <c r="AA38933" s="4" t="s">
        <v>1859</v>
      </c>
      <c r="AB38933" s="4" t="s">
        <v>11</v>
      </c>
      <c r="AC38933" s="4" t="s">
        <v>11</v>
      </c>
      <c r="AD38933" s="4" t="s">
        <v>15</v>
      </c>
      <c r="AE38933" s="4" t="s">
        <v>8</v>
      </c>
      <c r="AF38933" s="4" t="s">
        <v>1859</v>
      </c>
      <c r="AG38933" s="4" t="s">
        <v>11</v>
      </c>
      <c r="AH38933" s="4" t="s">
        <v>11</v>
      </c>
      <c r="AI38933" s="4" t="s">
        <v>15</v>
      </c>
      <c r="AJ38933" s="4" t="s">
        <v>8</v>
      </c>
      <c r="AK38933" s="4" t="s">
        <v>1859</v>
      </c>
      <c r="AL38933" s="4" t="s">
        <v>11</v>
      </c>
      <c r="AM38933" s="4" t="s">
        <v>11</v>
      </c>
      <c r="AN38933" s="4" t="s">
        <v>15</v>
      </c>
      <c r="AO38933" s="4" t="s">
        <v>8</v>
      </c>
      <c r="AP38933" s="4" t="s">
        <v>1859</v>
      </c>
      <c r="AQ38933" s="4" t="s">
        <v>11</v>
      </c>
      <c r="AR38933" s="4" t="s">
        <v>11</v>
      </c>
      <c r="AS38933" s="4" t="s">
        <v>15</v>
      </c>
      <c r="AT38933" s="4" t="s">
        <v>8</v>
      </c>
      <c r="AU38933" s="4" t="s">
        <v>1859</v>
      </c>
      <c r="AV38933" s="4" t="s">
        <v>11</v>
      </c>
      <c r="AW38933" s="4" t="s">
        <v>11</v>
      </c>
      <c r="AX38933" s="4" t="s">
        <v>15</v>
      </c>
      <c r="AY38933" s="4" t="s">
        <v>8</v>
      </c>
      <c r="AZ38933" s="4" t="s">
        <v>1859</v>
      </c>
      <c r="BA38933" s="4" t="s">
        <v>11</v>
      </c>
      <c r="BB38933" s="4" t="s">
        <v>11</v>
      </c>
      <c r="BC38933" s="4" t="s">
        <v>15</v>
      </c>
      <c r="BD38933" s="4" t="s">
        <v>8</v>
      </c>
      <c r="BE38933" s="4" t="s">
        <v>1859</v>
      </c>
      <c r="BF38933" s="4" t="s">
        <v>11</v>
      </c>
      <c r="BG38933" s="4" t="s">
        <v>11</v>
      </c>
      <c r="BH38933" s="4" t="s">
        <v>15</v>
      </c>
      <c r="BI38933" s="4" t="s">
        <v>8</v>
      </c>
      <c r="BJ38933" s="4" t="s">
        <v>1859</v>
      </c>
      <c r="BK38933" s="4" t="s">
        <v>11</v>
      </c>
      <c r="BL38933" s="4" t="s">
        <v>11</v>
      </c>
      <c r="BM38933" s="4" t="s">
        <v>15</v>
      </c>
      <c r="BN38933" s="4" t="s">
        <v>8</v>
      </c>
      <c r="BO38933" s="4" t="s">
        <v>1859</v>
      </c>
      <c r="BP38933" s="4" t="s">
        <v>11</v>
      </c>
      <c r="BQ38933" s="4" t="s">
        <v>11</v>
      </c>
      <c r="BR38933" s="4" t="s">
        <v>15</v>
      </c>
      <c r="BS38933" s="4" t="s">
        <v>8</v>
      </c>
      <c r="BT38933" s="4" t="s">
        <v>1859</v>
      </c>
      <c r="BU38933" s="4" t="s">
        <v>11</v>
      </c>
      <c r="BV38933" s="4" t="s">
        <v>11</v>
      </c>
      <c r="BW38933" s="4" t="s">
        <v>15</v>
      </c>
      <c r="BX38933" s="4" t="s">
        <v>8</v>
      </c>
      <c r="BY38933" s="4" t="s">
        <v>1859</v>
      </c>
      <c r="BZ38933" s="4" t="s">
        <v>11</v>
      </c>
      <c r="CA38933" s="4" t="s">
        <v>11</v>
      </c>
      <c r="CB38933" s="4" t="s">
        <v>15</v>
      </c>
      <c r="CC38933" s="4" t="s">
        <v>8</v>
      </c>
      <c r="CD38933" s="4" t="s">
        <v>1859</v>
      </c>
      <c r="CE38933" s="4" t="s">
        <v>11</v>
      </c>
      <c r="CF38933" s="4" t="s">
        <v>11</v>
      </c>
      <c r="CG38933" s="4" t="s">
        <v>15</v>
      </c>
      <c r="CH38933" s="4" t="s">
        <v>8</v>
      </c>
      <c r="CI38933" s="4" t="s">
        <v>1859</v>
      </c>
      <c r="CJ38933" s="4" t="s">
        <v>11</v>
      </c>
      <c r="CK38933" s="4" t="s">
        <v>11</v>
      </c>
      <c r="CL38933" s="4" t="s">
        <v>15</v>
      </c>
      <c r="CM38933" s="4" t="s">
        <v>8</v>
      </c>
      <c r="CN38933" s="4" t="s">
        <v>1859</v>
      </c>
      <c r="CO38933" s="4" t="s">
        <v>11</v>
      </c>
      <c r="CP38933" s="4" t="s">
        <v>11</v>
      </c>
      <c r="CQ38933" s="4" t="s">
        <v>15</v>
      </c>
      <c r="CR38933" s="4" t="s">
        <v>8</v>
      </c>
      <c r="CS38933" s="4" t="s">
        <v>1859</v>
      </c>
      <c r="CT38933" s="4" t="s">
        <v>11</v>
      </c>
      <c r="CU38933" s="4" t="s">
        <v>11</v>
      </c>
      <c r="CV38933" s="4" t="s">
        <v>15</v>
      </c>
      <c r="CW38933" s="4" t="s">
        <v>8</v>
      </c>
      <c r="CX38933" s="4" t="s">
        <v>1859</v>
      </c>
      <c r="CY38933" s="4" t="s">
        <v>11</v>
      </c>
      <c r="CZ38933" s="4" t="s">
        <v>11</v>
      </c>
      <c r="DA38933" s="4" t="s">
        <v>15</v>
      </c>
      <c r="DB38933" s="4" t="s">
        <v>8</v>
      </c>
      <c r="DC38933" s="4" t="s">
        <v>1859</v>
      </c>
      <c r="DD38933" s="4" t="s">
        <v>11</v>
      </c>
      <c r="DE38933" s="4" t="s">
        <v>11</v>
      </c>
      <c r="DF38933" s="4" t="s">
        <v>15</v>
      </c>
      <c r="DG38933" s="4" t="s">
        <v>8</v>
      </c>
      <c r="DH38933" s="4" t="s">
        <v>1859</v>
      </c>
      <c r="DI38933" s="4" t="s">
        <v>11</v>
      </c>
      <c r="DJ38933" s="4" t="s">
        <v>11</v>
      </c>
      <c r="DK38933" s="4" t="s">
        <v>15</v>
      </c>
      <c r="DL38933" s="4" t="s">
        <v>8</v>
      </c>
      <c r="DM38933" s="4" t="s">
        <v>1859</v>
      </c>
      <c r="DN38933" s="4" t="s">
        <v>11</v>
      </c>
      <c r="DO38933" s="4" t="s">
        <v>11</v>
      </c>
      <c r="DP38933" s="4" t="s">
        <v>15</v>
      </c>
      <c r="DQ38933" s="4" t="s">
        <v>8</v>
      </c>
      <c r="DR38933" s="4" t="s">
        <v>1859</v>
      </c>
      <c r="DS38933" s="4" t="s">
        <v>11</v>
      </c>
      <c r="DT38933" s="4" t="s">
        <v>11</v>
      </c>
      <c r="DU38933" s="4" t="s">
        <v>15</v>
      </c>
      <c r="DV38933" s="4" t="s">
        <v>8</v>
      </c>
      <c r="DW38933" s="4" t="s">
        <v>1859</v>
      </c>
      <c r="DX38933" s="4" t="s">
        <v>11</v>
      </c>
      <c r="DY38933" s="4" t="s">
        <v>11</v>
      </c>
      <c r="DZ38933" s="4" t="s">
        <v>15</v>
      </c>
      <c r="EA38933" s="4" t="s">
        <v>8</v>
      </c>
      <c r="EB38933" s="4" t="s">
        <v>1859</v>
      </c>
      <c r="EC38933" s="4" t="s">
        <v>11</v>
      </c>
      <c r="ED38933" s="4" t="s">
        <v>11</v>
      </c>
      <c r="EE38933" s="4" t="s">
        <v>15</v>
      </c>
      <c r="EF38933" s="4" t="s">
        <v>8</v>
      </c>
      <c r="EG38933" s="4" t="s">
        <v>1859</v>
      </c>
      <c r="EH38933" s="4" t="s">
        <v>11</v>
      </c>
      <c r="EI38933" s="4" t="s">
        <v>11</v>
      </c>
      <c r="EJ38933" s="4" t="s">
        <v>15</v>
      </c>
      <c r="EK38933" s="4" t="s">
        <v>8</v>
      </c>
      <c r="EL38933" s="4" t="s">
        <v>1859</v>
      </c>
      <c r="EM38933" s="4" t="s">
        <v>11</v>
      </c>
      <c r="EN38933" s="4" t="s">
        <v>11</v>
      </c>
      <c r="EO38933" s="4" t="s">
        <v>15</v>
      </c>
      <c r="EP38933" s="4" t="s">
        <v>8</v>
      </c>
      <c r="EQ38933" s="4" t="s">
        <v>1859</v>
      </c>
      <c r="ER38933" s="4" t="s">
        <v>11</v>
      </c>
      <c r="ES38933" s="4" t="s">
        <v>11</v>
      </c>
      <c r="ET38933" s="4" t="s">
        <v>15</v>
      </c>
      <c r="EU38933" s="4" t="s">
        <v>8</v>
      </c>
      <c r="EV38933" s="4" t="s">
        <v>1859</v>
      </c>
      <c r="EW38933" s="4" t="s">
        <v>11</v>
      </c>
      <c r="EX38933" s="4" t="s">
        <v>11</v>
      </c>
      <c r="EY38933" s="4" t="s">
        <v>15</v>
      </c>
      <c r="EZ38933" s="4" t="s">
        <v>8</v>
      </c>
      <c r="FA38933" s="4" t="s">
        <v>1859</v>
      </c>
      <c r="FB38933" s="4" t="s">
        <v>11</v>
      </c>
      <c r="FC38933" s="4" t="s">
        <v>11</v>
      </c>
      <c r="FD38933" s="4" t="s">
        <v>15</v>
      </c>
      <c r="FE38933" s="4" t="s">
        <v>8</v>
      </c>
      <c r="FF38933" s="4" t="s">
        <v>1859</v>
      </c>
      <c r="FG38933" s="4" t="s">
        <v>11</v>
      </c>
      <c r="FH38933" s="4" t="s">
        <v>11</v>
      </c>
      <c r="FI38933" s="4" t="s">
        <v>15</v>
      </c>
      <c r="FJ38933" s="4" t="s">
        <v>8</v>
      </c>
      <c r="FK38933" s="4" t="s">
        <v>1859</v>
      </c>
      <c r="FL38933" s="4" t="s">
        <v>11</v>
      </c>
      <c r="FM38933" s="4" t="s">
        <v>11</v>
      </c>
      <c r="FN38933" s="4" t="s">
        <v>15</v>
      </c>
      <c r="FO38933" s="4" t="s">
        <v>8</v>
      </c>
      <c r="FP38933" s="4" t="s">
        <v>1859</v>
      </c>
      <c r="FQ38933" s="4" t="s">
        <v>11</v>
      </c>
      <c r="FR38933" s="4" t="s">
        <v>11</v>
      </c>
      <c r="FS38933" s="4" t="s">
        <v>15</v>
      </c>
      <c r="FT38933" s="4" t="s">
        <v>8</v>
      </c>
      <c r="FU38933" s="4" t="s">
        <v>1859</v>
      </c>
      <c r="FV38933" s="4" t="s">
        <v>11</v>
      </c>
      <c r="FW38933" s="4" t="s">
        <v>11</v>
      </c>
      <c r="FX38933" s="4" t="s">
        <v>15</v>
      </c>
      <c r="FY38933" s="4" t="s">
        <v>8</v>
      </c>
      <c r="FZ38933" s="4" t="s">
        <v>1859</v>
      </c>
      <c r="GA38933" s="4" t="s">
        <v>11</v>
      </c>
      <c r="GB38933" s="4" t="s">
        <v>11</v>
      </c>
      <c r="GC38933" s="4" t="s">
        <v>15</v>
      </c>
      <c r="GD38933" s="4" t="s">
        <v>8</v>
      </c>
      <c r="GE38933" s="4" t="s">
        <v>1859</v>
      </c>
      <c r="GF38933" s="4" t="s">
        <v>11</v>
      </c>
      <c r="GG38933" s="4" t="s">
        <v>11</v>
      </c>
      <c r="GH38933" s="4" t="s">
        <v>15</v>
      </c>
      <c r="GI38933" s="4" t="s">
        <v>8</v>
      </c>
      <c r="GJ38933" s="4" t="s">
        <v>1859</v>
      </c>
      <c r="GK38933" s="4" t="s">
        <v>11</v>
      </c>
      <c r="GL38933" s="4" t="s">
        <v>11</v>
      </c>
      <c r="GM38933" s="4" t="s">
        <v>15</v>
      </c>
      <c r="GN38933" s="4" t="s">
        <v>8</v>
      </c>
      <c r="GO38933" s="4" t="s">
        <v>1859</v>
      </c>
      <c r="GP38933" s="4" t="s">
        <v>11</v>
      </c>
      <c r="GQ38933" s="4" t="s">
        <v>11</v>
      </c>
      <c r="GR38933" s="4" t="s">
        <v>15</v>
      </c>
      <c r="GS38933" s="4" t="s">
        <v>8</v>
      </c>
      <c r="GT38933" s="4" t="s">
        <v>1859</v>
      </c>
      <c r="GU38933" s="4" t="s">
        <v>11</v>
      </c>
      <c r="GV38933" s="4" t="s">
        <v>11</v>
      </c>
      <c r="GW38933" s="4" t="s">
        <v>15</v>
      </c>
      <c r="GX38933" s="4" t="s">
        <v>8</v>
      </c>
      <c r="GY38933" s="4" t="s">
        <v>1859</v>
      </c>
      <c r="GZ38933" s="4" t="s">
        <v>11</v>
      </c>
      <c r="HA38933" s="4" t="s">
        <v>11</v>
      </c>
      <c r="HB38933" s="4" t="s">
        <v>15</v>
      </c>
      <c r="HC38933" s="4" t="s">
        <v>8</v>
      </c>
      <c r="HD38933" s="4" t="s">
        <v>1859</v>
      </c>
      <c r="HE38933" s="4" t="s">
        <v>11</v>
      </c>
      <c r="HF38933" s="4" t="s">
        <v>11</v>
      </c>
      <c r="HG38933" s="4" t="s">
        <v>15</v>
      </c>
      <c r="HH38933" s="4" t="s">
        <v>8</v>
      </c>
      <c r="HI38933" s="4" t="s">
        <v>1859</v>
      </c>
      <c r="HJ38933" s="4" t="s">
        <v>11</v>
      </c>
      <c r="HK38933" s="4" t="s">
        <v>11</v>
      </c>
      <c r="HL38933" s="4" t="s">
        <v>15</v>
      </c>
      <c r="HM38933" s="4" t="s">
        <v>8</v>
      </c>
      <c r="HN38933" s="4" t="s">
        <v>1859</v>
      </c>
      <c r="HO38933" s="4" t="s">
        <v>11</v>
      </c>
      <c r="HP38933" s="4" t="s">
        <v>11</v>
      </c>
      <c r="HQ38933" s="4" t="s">
        <v>15</v>
      </c>
      <c r="HR38933" s="4" t="s">
        <v>8</v>
      </c>
      <c r="HS38933" s="4" t="s">
        <v>1859</v>
      </c>
      <c r="HT38933" s="4" t="s">
        <v>11</v>
      </c>
      <c r="HU38933" s="4" t="s">
        <v>11</v>
      </c>
      <c r="HV38933" s="4" t="s">
        <v>15</v>
      </c>
      <c r="HW38933" s="4" t="s">
        <v>8</v>
      </c>
      <c r="HX38933" s="4" t="s">
        <v>1859</v>
      </c>
      <c r="HY38933" s="4" t="s">
        <v>11</v>
      </c>
      <c r="HZ38933" s="4" t="s">
        <v>11</v>
      </c>
      <c r="IA38933" s="4" t="s">
        <v>15</v>
      </c>
      <c r="IB38933" s="4" t="s">
        <v>8</v>
      </c>
      <c r="IC38933" s="4" t="s">
        <v>1859</v>
      </c>
      <c r="ID38933" s="4" t="s">
        <v>11</v>
      </c>
      <c r="IE38933" s="4" t="s">
        <v>11</v>
      </c>
      <c r="IF38933" s="4" t="s">
        <v>15</v>
      </c>
      <c r="IG38933" s="4" t="s">
        <v>8</v>
      </c>
      <c r="IH38933" s="4" t="s">
        <v>1859</v>
      </c>
      <c r="II38933" s="4" t="s">
        <v>11</v>
      </c>
      <c r="IJ38933" s="4" t="s">
        <v>11</v>
      </c>
      <c r="IK38933" s="4" t="s">
        <v>15</v>
      </c>
      <c r="IL38933" s="4" t="s">
        <v>8</v>
      </c>
      <c r="IM38933" s="4" t="s">
        <v>1859</v>
      </c>
      <c r="IN38933" s="4" t="s">
        <v>11</v>
      </c>
      <c r="IO38933" s="4" t="s">
        <v>11</v>
      </c>
      <c r="IP38933" s="4" t="s">
        <v>15</v>
      </c>
      <c r="IQ38933" s="4" t="s">
        <v>8</v>
      </c>
      <c r="IR38933" s="4" t="s">
        <v>1859</v>
      </c>
    </row>
    <row r="38934" spans="1:407">
      <c r="A38934" t="n">
        <v>450912</v>
      </c>
      <c r="B38934" s="85" t="n">
        <v>257</v>
      </c>
      <c r="C38934" s="7" t="n">
        <v>7</v>
      </c>
      <c r="D38934" s="7" t="n">
        <v>65533</v>
      </c>
      <c r="E38934" s="7" t="n">
        <v>64538</v>
      </c>
      <c r="F38934" s="7" t="s">
        <v>16</v>
      </c>
      <c r="G38934" s="7" t="n">
        <f t="normal" ca="1">32-LENB(INDIRECT(ADDRESS(38934,6)))</f>
        <v>0</v>
      </c>
      <c r="H38934" s="7" t="n">
        <v>7</v>
      </c>
      <c r="I38934" s="7" t="n">
        <v>65533</v>
      </c>
      <c r="J38934" s="7" t="n">
        <v>64539</v>
      </c>
      <c r="K38934" s="7" t="s">
        <v>16</v>
      </c>
      <c r="L38934" s="7" t="n">
        <f t="normal" ca="1">32-LENB(INDIRECT(ADDRESS(38934,11)))</f>
        <v>0</v>
      </c>
      <c r="M38934" s="7" t="n">
        <v>7</v>
      </c>
      <c r="N38934" s="7" t="n">
        <v>65533</v>
      </c>
      <c r="O38934" s="7" t="n">
        <v>64540</v>
      </c>
      <c r="P38934" s="7" t="s">
        <v>16</v>
      </c>
      <c r="Q38934" s="7" t="n">
        <f t="normal" ca="1">32-LENB(INDIRECT(ADDRESS(38934,16)))</f>
        <v>0</v>
      </c>
      <c r="R38934" s="7" t="n">
        <v>7</v>
      </c>
      <c r="S38934" s="7" t="n">
        <v>65533</v>
      </c>
      <c r="T38934" s="7" t="n">
        <v>64541</v>
      </c>
      <c r="U38934" s="7" t="s">
        <v>16</v>
      </c>
      <c r="V38934" s="7" t="n">
        <f t="normal" ca="1">32-LENB(INDIRECT(ADDRESS(38934,21)))</f>
        <v>0</v>
      </c>
      <c r="W38934" s="7" t="n">
        <v>7</v>
      </c>
      <c r="X38934" s="7" t="n">
        <v>65533</v>
      </c>
      <c r="Y38934" s="7" t="n">
        <v>64542</v>
      </c>
      <c r="Z38934" s="7" t="s">
        <v>16</v>
      </c>
      <c r="AA38934" s="7" t="n">
        <f t="normal" ca="1">32-LENB(INDIRECT(ADDRESS(38934,26)))</f>
        <v>0</v>
      </c>
      <c r="AB38934" s="7" t="n">
        <v>7</v>
      </c>
      <c r="AC38934" s="7" t="n">
        <v>65533</v>
      </c>
      <c r="AD38934" s="7" t="n">
        <v>64543</v>
      </c>
      <c r="AE38934" s="7" t="s">
        <v>16</v>
      </c>
      <c r="AF38934" s="7" t="n">
        <f t="normal" ca="1">32-LENB(INDIRECT(ADDRESS(38934,31)))</f>
        <v>0</v>
      </c>
      <c r="AG38934" s="7" t="n">
        <v>7</v>
      </c>
      <c r="AH38934" s="7" t="n">
        <v>65533</v>
      </c>
      <c r="AI38934" s="7" t="n">
        <v>64544</v>
      </c>
      <c r="AJ38934" s="7" t="s">
        <v>16</v>
      </c>
      <c r="AK38934" s="7" t="n">
        <f t="normal" ca="1">32-LENB(INDIRECT(ADDRESS(38934,36)))</f>
        <v>0</v>
      </c>
      <c r="AL38934" s="7" t="n">
        <v>7</v>
      </c>
      <c r="AM38934" s="7" t="n">
        <v>65533</v>
      </c>
      <c r="AN38934" s="7" t="n">
        <v>64545</v>
      </c>
      <c r="AO38934" s="7" t="s">
        <v>16</v>
      </c>
      <c r="AP38934" s="7" t="n">
        <f t="normal" ca="1">32-LENB(INDIRECT(ADDRESS(38934,41)))</f>
        <v>0</v>
      </c>
      <c r="AQ38934" s="7" t="n">
        <v>7</v>
      </c>
      <c r="AR38934" s="7" t="n">
        <v>65533</v>
      </c>
      <c r="AS38934" s="7" t="n">
        <v>64546</v>
      </c>
      <c r="AT38934" s="7" t="s">
        <v>16</v>
      </c>
      <c r="AU38934" s="7" t="n">
        <f t="normal" ca="1">32-LENB(INDIRECT(ADDRESS(38934,46)))</f>
        <v>0</v>
      </c>
      <c r="AV38934" s="7" t="n">
        <v>7</v>
      </c>
      <c r="AW38934" s="7" t="n">
        <v>65533</v>
      </c>
      <c r="AX38934" s="7" t="n">
        <v>64547</v>
      </c>
      <c r="AY38934" s="7" t="s">
        <v>16</v>
      </c>
      <c r="AZ38934" s="7" t="n">
        <f t="normal" ca="1">32-LENB(INDIRECT(ADDRESS(38934,51)))</f>
        <v>0</v>
      </c>
      <c r="BA38934" s="7" t="n">
        <v>7</v>
      </c>
      <c r="BB38934" s="7" t="n">
        <v>65533</v>
      </c>
      <c r="BC38934" s="7" t="n">
        <v>64548</v>
      </c>
      <c r="BD38934" s="7" t="s">
        <v>16</v>
      </c>
      <c r="BE38934" s="7" t="n">
        <f t="normal" ca="1">32-LENB(INDIRECT(ADDRESS(38934,56)))</f>
        <v>0</v>
      </c>
      <c r="BF38934" s="7" t="n">
        <v>7</v>
      </c>
      <c r="BG38934" s="7" t="n">
        <v>65533</v>
      </c>
      <c r="BH38934" s="7" t="n">
        <v>64549</v>
      </c>
      <c r="BI38934" s="7" t="s">
        <v>16</v>
      </c>
      <c r="BJ38934" s="7" t="n">
        <f t="normal" ca="1">32-LENB(INDIRECT(ADDRESS(38934,61)))</f>
        <v>0</v>
      </c>
      <c r="BK38934" s="7" t="n">
        <v>7</v>
      </c>
      <c r="BL38934" s="7" t="n">
        <v>65533</v>
      </c>
      <c r="BM38934" s="7" t="n">
        <v>64550</v>
      </c>
      <c r="BN38934" s="7" t="s">
        <v>16</v>
      </c>
      <c r="BO38934" s="7" t="n">
        <f t="normal" ca="1">32-LENB(INDIRECT(ADDRESS(38934,66)))</f>
        <v>0</v>
      </c>
      <c r="BP38934" s="7" t="n">
        <v>7</v>
      </c>
      <c r="BQ38934" s="7" t="n">
        <v>65533</v>
      </c>
      <c r="BR38934" s="7" t="n">
        <v>64551</v>
      </c>
      <c r="BS38934" s="7" t="s">
        <v>16</v>
      </c>
      <c r="BT38934" s="7" t="n">
        <f t="normal" ca="1">32-LENB(INDIRECT(ADDRESS(38934,71)))</f>
        <v>0</v>
      </c>
      <c r="BU38934" s="7" t="n">
        <v>7</v>
      </c>
      <c r="BV38934" s="7" t="n">
        <v>65533</v>
      </c>
      <c r="BW38934" s="7" t="n">
        <v>64552</v>
      </c>
      <c r="BX38934" s="7" t="s">
        <v>16</v>
      </c>
      <c r="BY38934" s="7" t="n">
        <f t="normal" ca="1">32-LENB(INDIRECT(ADDRESS(38934,76)))</f>
        <v>0</v>
      </c>
      <c r="BZ38934" s="7" t="n">
        <v>7</v>
      </c>
      <c r="CA38934" s="7" t="n">
        <v>65533</v>
      </c>
      <c r="CB38934" s="7" t="n">
        <v>64553</v>
      </c>
      <c r="CC38934" s="7" t="s">
        <v>16</v>
      </c>
      <c r="CD38934" s="7" t="n">
        <f t="normal" ca="1">32-LENB(INDIRECT(ADDRESS(38934,81)))</f>
        <v>0</v>
      </c>
      <c r="CE38934" s="7" t="n">
        <v>7</v>
      </c>
      <c r="CF38934" s="7" t="n">
        <v>65533</v>
      </c>
      <c r="CG38934" s="7" t="n">
        <v>64554</v>
      </c>
      <c r="CH38934" s="7" t="s">
        <v>16</v>
      </c>
      <c r="CI38934" s="7" t="n">
        <f t="normal" ca="1">32-LENB(INDIRECT(ADDRESS(38934,86)))</f>
        <v>0</v>
      </c>
      <c r="CJ38934" s="7" t="n">
        <v>7</v>
      </c>
      <c r="CK38934" s="7" t="n">
        <v>65533</v>
      </c>
      <c r="CL38934" s="7" t="n">
        <v>64555</v>
      </c>
      <c r="CM38934" s="7" t="s">
        <v>16</v>
      </c>
      <c r="CN38934" s="7" t="n">
        <f t="normal" ca="1">32-LENB(INDIRECT(ADDRESS(38934,91)))</f>
        <v>0</v>
      </c>
      <c r="CO38934" s="7" t="n">
        <v>7</v>
      </c>
      <c r="CP38934" s="7" t="n">
        <v>65533</v>
      </c>
      <c r="CQ38934" s="7" t="n">
        <v>64556</v>
      </c>
      <c r="CR38934" s="7" t="s">
        <v>16</v>
      </c>
      <c r="CS38934" s="7" t="n">
        <f t="normal" ca="1">32-LENB(INDIRECT(ADDRESS(38934,96)))</f>
        <v>0</v>
      </c>
      <c r="CT38934" s="7" t="n">
        <v>7</v>
      </c>
      <c r="CU38934" s="7" t="n">
        <v>65533</v>
      </c>
      <c r="CV38934" s="7" t="n">
        <v>64557</v>
      </c>
      <c r="CW38934" s="7" t="s">
        <v>16</v>
      </c>
      <c r="CX38934" s="7" t="n">
        <f t="normal" ca="1">32-LENB(INDIRECT(ADDRESS(38934,101)))</f>
        <v>0</v>
      </c>
      <c r="CY38934" s="7" t="n">
        <v>7</v>
      </c>
      <c r="CZ38934" s="7" t="n">
        <v>65533</v>
      </c>
      <c r="DA38934" s="7" t="n">
        <v>64558</v>
      </c>
      <c r="DB38934" s="7" t="s">
        <v>16</v>
      </c>
      <c r="DC38934" s="7" t="n">
        <f t="normal" ca="1">32-LENB(INDIRECT(ADDRESS(38934,106)))</f>
        <v>0</v>
      </c>
      <c r="DD38934" s="7" t="n">
        <v>7</v>
      </c>
      <c r="DE38934" s="7" t="n">
        <v>65533</v>
      </c>
      <c r="DF38934" s="7" t="n">
        <v>64559</v>
      </c>
      <c r="DG38934" s="7" t="s">
        <v>16</v>
      </c>
      <c r="DH38934" s="7" t="n">
        <f t="normal" ca="1">32-LENB(INDIRECT(ADDRESS(38934,111)))</f>
        <v>0</v>
      </c>
      <c r="DI38934" s="7" t="n">
        <v>7</v>
      </c>
      <c r="DJ38934" s="7" t="n">
        <v>65533</v>
      </c>
      <c r="DK38934" s="7" t="n">
        <v>64560</v>
      </c>
      <c r="DL38934" s="7" t="s">
        <v>16</v>
      </c>
      <c r="DM38934" s="7" t="n">
        <f t="normal" ca="1">32-LENB(INDIRECT(ADDRESS(38934,116)))</f>
        <v>0</v>
      </c>
      <c r="DN38934" s="7" t="n">
        <v>7</v>
      </c>
      <c r="DO38934" s="7" t="n">
        <v>65533</v>
      </c>
      <c r="DP38934" s="7" t="n">
        <v>64561</v>
      </c>
      <c r="DQ38934" s="7" t="s">
        <v>16</v>
      </c>
      <c r="DR38934" s="7" t="n">
        <f t="normal" ca="1">32-LENB(INDIRECT(ADDRESS(38934,121)))</f>
        <v>0</v>
      </c>
      <c r="DS38934" s="7" t="n">
        <v>7</v>
      </c>
      <c r="DT38934" s="7" t="n">
        <v>65533</v>
      </c>
      <c r="DU38934" s="7" t="n">
        <v>64562</v>
      </c>
      <c r="DV38934" s="7" t="s">
        <v>16</v>
      </c>
      <c r="DW38934" s="7" t="n">
        <f t="normal" ca="1">32-LENB(INDIRECT(ADDRESS(38934,126)))</f>
        <v>0</v>
      </c>
      <c r="DX38934" s="7" t="n">
        <v>7</v>
      </c>
      <c r="DY38934" s="7" t="n">
        <v>65533</v>
      </c>
      <c r="DZ38934" s="7" t="n">
        <v>64563</v>
      </c>
      <c r="EA38934" s="7" t="s">
        <v>16</v>
      </c>
      <c r="EB38934" s="7" t="n">
        <f t="normal" ca="1">32-LENB(INDIRECT(ADDRESS(38934,131)))</f>
        <v>0</v>
      </c>
      <c r="EC38934" s="7" t="n">
        <v>7</v>
      </c>
      <c r="ED38934" s="7" t="n">
        <v>65533</v>
      </c>
      <c r="EE38934" s="7" t="n">
        <v>64564</v>
      </c>
      <c r="EF38934" s="7" t="s">
        <v>16</v>
      </c>
      <c r="EG38934" s="7" t="n">
        <f t="normal" ca="1">32-LENB(INDIRECT(ADDRESS(38934,136)))</f>
        <v>0</v>
      </c>
      <c r="EH38934" s="7" t="n">
        <v>7</v>
      </c>
      <c r="EI38934" s="7" t="n">
        <v>65533</v>
      </c>
      <c r="EJ38934" s="7" t="n">
        <v>64565</v>
      </c>
      <c r="EK38934" s="7" t="s">
        <v>16</v>
      </c>
      <c r="EL38934" s="7" t="n">
        <f t="normal" ca="1">32-LENB(INDIRECT(ADDRESS(38934,141)))</f>
        <v>0</v>
      </c>
      <c r="EM38934" s="7" t="n">
        <v>7</v>
      </c>
      <c r="EN38934" s="7" t="n">
        <v>65533</v>
      </c>
      <c r="EO38934" s="7" t="n">
        <v>65278</v>
      </c>
      <c r="EP38934" s="7" t="s">
        <v>16</v>
      </c>
      <c r="EQ38934" s="7" t="n">
        <f t="normal" ca="1">32-LENB(INDIRECT(ADDRESS(38934,146)))</f>
        <v>0</v>
      </c>
      <c r="ER38934" s="7" t="n">
        <v>7</v>
      </c>
      <c r="ES38934" s="7" t="n">
        <v>65533</v>
      </c>
      <c r="ET38934" s="7" t="n">
        <v>64573</v>
      </c>
      <c r="EU38934" s="7" t="s">
        <v>16</v>
      </c>
      <c r="EV38934" s="7" t="n">
        <f t="normal" ca="1">32-LENB(INDIRECT(ADDRESS(38934,151)))</f>
        <v>0</v>
      </c>
      <c r="EW38934" s="7" t="n">
        <v>7</v>
      </c>
      <c r="EX38934" s="7" t="n">
        <v>65533</v>
      </c>
      <c r="EY38934" s="7" t="n">
        <v>64574</v>
      </c>
      <c r="EZ38934" s="7" t="s">
        <v>16</v>
      </c>
      <c r="FA38934" s="7" t="n">
        <f t="normal" ca="1">32-LENB(INDIRECT(ADDRESS(38934,156)))</f>
        <v>0</v>
      </c>
      <c r="FB38934" s="7" t="n">
        <v>7</v>
      </c>
      <c r="FC38934" s="7" t="n">
        <v>65533</v>
      </c>
      <c r="FD38934" s="7" t="n">
        <v>64575</v>
      </c>
      <c r="FE38934" s="7" t="s">
        <v>16</v>
      </c>
      <c r="FF38934" s="7" t="n">
        <f t="normal" ca="1">32-LENB(INDIRECT(ADDRESS(38934,161)))</f>
        <v>0</v>
      </c>
      <c r="FG38934" s="7" t="n">
        <v>7</v>
      </c>
      <c r="FH38934" s="7" t="n">
        <v>65533</v>
      </c>
      <c r="FI38934" s="7" t="n">
        <v>64418</v>
      </c>
      <c r="FJ38934" s="7" t="s">
        <v>16</v>
      </c>
      <c r="FK38934" s="7" t="n">
        <f t="normal" ca="1">32-LENB(INDIRECT(ADDRESS(38934,166)))</f>
        <v>0</v>
      </c>
      <c r="FL38934" s="7" t="n">
        <v>7</v>
      </c>
      <c r="FM38934" s="7" t="n">
        <v>65533</v>
      </c>
      <c r="FN38934" s="7" t="n">
        <v>65280</v>
      </c>
      <c r="FO38934" s="7" t="s">
        <v>16</v>
      </c>
      <c r="FP38934" s="7" t="n">
        <f t="normal" ca="1">32-LENB(INDIRECT(ADDRESS(38934,171)))</f>
        <v>0</v>
      </c>
      <c r="FQ38934" s="7" t="n">
        <v>7</v>
      </c>
      <c r="FR38934" s="7" t="n">
        <v>65533</v>
      </c>
      <c r="FS38934" s="7" t="n">
        <v>64576</v>
      </c>
      <c r="FT38934" s="7" t="s">
        <v>16</v>
      </c>
      <c r="FU38934" s="7" t="n">
        <f t="normal" ca="1">32-LENB(INDIRECT(ADDRESS(38934,176)))</f>
        <v>0</v>
      </c>
      <c r="FV38934" s="7" t="n">
        <v>7</v>
      </c>
      <c r="FW38934" s="7" t="n">
        <v>65533</v>
      </c>
      <c r="FX38934" s="7" t="n">
        <v>64577</v>
      </c>
      <c r="FY38934" s="7" t="s">
        <v>16</v>
      </c>
      <c r="FZ38934" s="7" t="n">
        <f t="normal" ca="1">32-LENB(INDIRECT(ADDRESS(38934,181)))</f>
        <v>0</v>
      </c>
      <c r="GA38934" s="7" t="n">
        <v>7</v>
      </c>
      <c r="GB38934" s="7" t="n">
        <v>65533</v>
      </c>
      <c r="GC38934" s="7" t="n">
        <v>64578</v>
      </c>
      <c r="GD38934" s="7" t="s">
        <v>16</v>
      </c>
      <c r="GE38934" s="7" t="n">
        <f t="normal" ca="1">32-LENB(INDIRECT(ADDRESS(38934,186)))</f>
        <v>0</v>
      </c>
      <c r="GF38934" s="7" t="n">
        <v>7</v>
      </c>
      <c r="GG38934" s="7" t="n">
        <v>65533</v>
      </c>
      <c r="GH38934" s="7" t="n">
        <v>64579</v>
      </c>
      <c r="GI38934" s="7" t="s">
        <v>16</v>
      </c>
      <c r="GJ38934" s="7" t="n">
        <f t="normal" ca="1">32-LENB(INDIRECT(ADDRESS(38934,191)))</f>
        <v>0</v>
      </c>
      <c r="GK38934" s="7" t="n">
        <v>7</v>
      </c>
      <c r="GL38934" s="7" t="n">
        <v>65533</v>
      </c>
      <c r="GM38934" s="7" t="n">
        <v>64580</v>
      </c>
      <c r="GN38934" s="7" t="s">
        <v>16</v>
      </c>
      <c r="GO38934" s="7" t="n">
        <f t="normal" ca="1">32-LENB(INDIRECT(ADDRESS(38934,196)))</f>
        <v>0</v>
      </c>
      <c r="GP38934" s="7" t="n">
        <v>7</v>
      </c>
      <c r="GQ38934" s="7" t="n">
        <v>65533</v>
      </c>
      <c r="GR38934" s="7" t="n">
        <v>64581</v>
      </c>
      <c r="GS38934" s="7" t="s">
        <v>16</v>
      </c>
      <c r="GT38934" s="7" t="n">
        <f t="normal" ca="1">32-LENB(INDIRECT(ADDRESS(38934,201)))</f>
        <v>0</v>
      </c>
      <c r="GU38934" s="7" t="n">
        <v>7</v>
      </c>
      <c r="GV38934" s="7" t="n">
        <v>65533</v>
      </c>
      <c r="GW38934" s="7" t="n">
        <v>64582</v>
      </c>
      <c r="GX38934" s="7" t="s">
        <v>16</v>
      </c>
      <c r="GY38934" s="7" t="n">
        <f t="normal" ca="1">32-LENB(INDIRECT(ADDRESS(38934,206)))</f>
        <v>0</v>
      </c>
      <c r="GZ38934" s="7" t="n">
        <v>4</v>
      </c>
      <c r="HA38934" s="7" t="n">
        <v>65533</v>
      </c>
      <c r="HB38934" s="7" t="n">
        <v>2000</v>
      </c>
      <c r="HC38934" s="7" t="s">
        <v>16</v>
      </c>
      <c r="HD38934" s="7" t="n">
        <f t="normal" ca="1">32-LENB(INDIRECT(ADDRESS(38934,211)))</f>
        <v>0</v>
      </c>
      <c r="HE38934" s="7" t="n">
        <v>7</v>
      </c>
      <c r="HF38934" s="7" t="n">
        <v>65533</v>
      </c>
      <c r="HG38934" s="7" t="n">
        <v>64583</v>
      </c>
      <c r="HH38934" s="7" t="s">
        <v>16</v>
      </c>
      <c r="HI38934" s="7" t="n">
        <f t="normal" ca="1">32-LENB(INDIRECT(ADDRESS(38934,216)))</f>
        <v>0</v>
      </c>
      <c r="HJ38934" s="7" t="n">
        <v>7</v>
      </c>
      <c r="HK38934" s="7" t="n">
        <v>65533</v>
      </c>
      <c r="HL38934" s="7" t="n">
        <v>64268</v>
      </c>
      <c r="HM38934" s="7" t="s">
        <v>16</v>
      </c>
      <c r="HN38934" s="7" t="n">
        <f t="normal" ca="1">32-LENB(INDIRECT(ADDRESS(38934,221)))</f>
        <v>0</v>
      </c>
      <c r="HO38934" s="7" t="n">
        <v>4</v>
      </c>
      <c r="HP38934" s="7" t="n">
        <v>65533</v>
      </c>
      <c r="HQ38934" s="7" t="n">
        <v>2000</v>
      </c>
      <c r="HR38934" s="7" t="s">
        <v>16</v>
      </c>
      <c r="HS38934" s="7" t="n">
        <f t="normal" ca="1">32-LENB(INDIRECT(ADDRESS(38934,226)))</f>
        <v>0</v>
      </c>
      <c r="HT38934" s="7" t="n">
        <v>7</v>
      </c>
      <c r="HU38934" s="7" t="n">
        <v>65533</v>
      </c>
      <c r="HV38934" s="7" t="n">
        <v>64584</v>
      </c>
      <c r="HW38934" s="7" t="s">
        <v>16</v>
      </c>
      <c r="HX38934" s="7" t="n">
        <f t="normal" ca="1">32-LENB(INDIRECT(ADDRESS(38934,231)))</f>
        <v>0</v>
      </c>
      <c r="HY38934" s="7" t="n">
        <v>7</v>
      </c>
      <c r="HZ38934" s="7" t="n">
        <v>65533</v>
      </c>
      <c r="IA38934" s="7" t="n">
        <v>64585</v>
      </c>
      <c r="IB38934" s="7" t="s">
        <v>16</v>
      </c>
      <c r="IC38934" s="7" t="n">
        <f t="normal" ca="1">32-LENB(INDIRECT(ADDRESS(38934,236)))</f>
        <v>0</v>
      </c>
      <c r="ID38934" s="7" t="n">
        <v>7</v>
      </c>
      <c r="IE38934" s="7" t="n">
        <v>65533</v>
      </c>
      <c r="IF38934" s="7" t="n">
        <v>64586</v>
      </c>
      <c r="IG38934" s="7" t="s">
        <v>16</v>
      </c>
      <c r="IH38934" s="7" t="n">
        <f t="normal" ca="1">32-LENB(INDIRECT(ADDRESS(38934,241)))</f>
        <v>0</v>
      </c>
      <c r="II38934" s="7" t="n">
        <v>7</v>
      </c>
      <c r="IJ38934" s="7" t="n">
        <v>65533</v>
      </c>
      <c r="IK38934" s="7" t="n">
        <v>64587</v>
      </c>
      <c r="IL38934" s="7" t="s">
        <v>16</v>
      </c>
      <c r="IM38934" s="7" t="n">
        <f t="normal" ca="1">32-LENB(INDIRECT(ADDRESS(38934,246)))</f>
        <v>0</v>
      </c>
      <c r="IN38934" s="7" t="n">
        <v>0</v>
      </c>
      <c r="IO38934" s="7" t="n">
        <v>65533</v>
      </c>
      <c r="IP38934" s="7" t="n">
        <v>0</v>
      </c>
      <c r="IQ38934" s="7" t="s">
        <v>16</v>
      </c>
      <c r="IR38934" s="7" t="n">
        <f t="normal" ca="1">32-LENB(INDIRECT(ADDRESS(38934,251)))</f>
        <v>0</v>
      </c>
    </row>
    <row r="38935" spans="1:407">
      <c r="A38935" t="s">
        <v>4</v>
      </c>
      <c r="B38935" s="4" t="s">
        <v>5</v>
      </c>
    </row>
    <row r="38936" spans="1:407">
      <c r="A38936" t="n">
        <v>452912</v>
      </c>
      <c r="B38936" s="5" t="n">
        <v>1</v>
      </c>
    </row>
    <row r="38937" spans="1:407" s="3" customFormat="1" customHeight="0">
      <c r="A38937" s="3" t="s">
        <v>2</v>
      </c>
      <c r="B38937" s="3" t="s">
        <v>1896</v>
      </c>
    </row>
    <row r="38938" spans="1:407">
      <c r="A38938" t="s">
        <v>4</v>
      </c>
      <c r="B38938" s="4" t="s">
        <v>5</v>
      </c>
      <c r="C38938" s="4" t="s">
        <v>11</v>
      </c>
      <c r="D38938" s="4" t="s">
        <v>11</v>
      </c>
      <c r="E38938" s="4" t="s">
        <v>15</v>
      </c>
      <c r="F38938" s="4" t="s">
        <v>8</v>
      </c>
      <c r="G38938" s="4" t="s">
        <v>1859</v>
      </c>
      <c r="H38938" s="4" t="s">
        <v>11</v>
      </c>
      <c r="I38938" s="4" t="s">
        <v>11</v>
      </c>
      <c r="J38938" s="4" t="s">
        <v>15</v>
      </c>
      <c r="K38938" s="4" t="s">
        <v>8</v>
      </c>
      <c r="L38938" s="4" t="s">
        <v>1859</v>
      </c>
      <c r="M38938" s="4" t="s">
        <v>11</v>
      </c>
      <c r="N38938" s="4" t="s">
        <v>11</v>
      </c>
      <c r="O38938" s="4" t="s">
        <v>15</v>
      </c>
      <c r="P38938" s="4" t="s">
        <v>8</v>
      </c>
      <c r="Q38938" s="4" t="s">
        <v>1859</v>
      </c>
      <c r="R38938" s="4" t="s">
        <v>11</v>
      </c>
      <c r="S38938" s="4" t="s">
        <v>11</v>
      </c>
      <c r="T38938" s="4" t="s">
        <v>15</v>
      </c>
      <c r="U38938" s="4" t="s">
        <v>8</v>
      </c>
      <c r="V38938" s="4" t="s">
        <v>1859</v>
      </c>
      <c r="W38938" s="4" t="s">
        <v>11</v>
      </c>
      <c r="X38938" s="4" t="s">
        <v>11</v>
      </c>
      <c r="Y38938" s="4" t="s">
        <v>15</v>
      </c>
      <c r="Z38938" s="4" t="s">
        <v>8</v>
      </c>
      <c r="AA38938" s="4" t="s">
        <v>1859</v>
      </c>
      <c r="AB38938" s="4" t="s">
        <v>11</v>
      </c>
      <c r="AC38938" s="4" t="s">
        <v>11</v>
      </c>
      <c r="AD38938" s="4" t="s">
        <v>15</v>
      </c>
      <c r="AE38938" s="4" t="s">
        <v>8</v>
      </c>
      <c r="AF38938" s="4" t="s">
        <v>1859</v>
      </c>
      <c r="AG38938" s="4" t="s">
        <v>11</v>
      </c>
      <c r="AH38938" s="4" t="s">
        <v>11</v>
      </c>
      <c r="AI38938" s="4" t="s">
        <v>15</v>
      </c>
      <c r="AJ38938" s="4" t="s">
        <v>8</v>
      </c>
      <c r="AK38938" s="4" t="s">
        <v>1859</v>
      </c>
      <c r="AL38938" s="4" t="s">
        <v>11</v>
      </c>
      <c r="AM38938" s="4" t="s">
        <v>11</v>
      </c>
      <c r="AN38938" s="4" t="s">
        <v>15</v>
      </c>
      <c r="AO38938" s="4" t="s">
        <v>8</v>
      </c>
      <c r="AP38938" s="4" t="s">
        <v>1859</v>
      </c>
      <c r="AQ38938" s="4" t="s">
        <v>11</v>
      </c>
      <c r="AR38938" s="4" t="s">
        <v>11</v>
      </c>
      <c r="AS38938" s="4" t="s">
        <v>15</v>
      </c>
      <c r="AT38938" s="4" t="s">
        <v>8</v>
      </c>
      <c r="AU38938" s="4" t="s">
        <v>1859</v>
      </c>
      <c r="AV38938" s="4" t="s">
        <v>11</v>
      </c>
      <c r="AW38938" s="4" t="s">
        <v>11</v>
      </c>
      <c r="AX38938" s="4" t="s">
        <v>15</v>
      </c>
      <c r="AY38938" s="4" t="s">
        <v>8</v>
      </c>
      <c r="AZ38938" s="4" t="s">
        <v>1859</v>
      </c>
      <c r="BA38938" s="4" t="s">
        <v>11</v>
      </c>
      <c r="BB38938" s="4" t="s">
        <v>11</v>
      </c>
      <c r="BC38938" s="4" t="s">
        <v>15</v>
      </c>
      <c r="BD38938" s="4" t="s">
        <v>8</v>
      </c>
      <c r="BE38938" s="4" t="s">
        <v>1859</v>
      </c>
      <c r="BF38938" s="4" t="s">
        <v>11</v>
      </c>
      <c r="BG38938" s="4" t="s">
        <v>11</v>
      </c>
      <c r="BH38938" s="4" t="s">
        <v>15</v>
      </c>
      <c r="BI38938" s="4" t="s">
        <v>8</v>
      </c>
      <c r="BJ38938" s="4" t="s">
        <v>1859</v>
      </c>
      <c r="BK38938" s="4" t="s">
        <v>11</v>
      </c>
      <c r="BL38938" s="4" t="s">
        <v>11</v>
      </c>
      <c r="BM38938" s="4" t="s">
        <v>15</v>
      </c>
      <c r="BN38938" s="4" t="s">
        <v>8</v>
      </c>
      <c r="BO38938" s="4" t="s">
        <v>1859</v>
      </c>
      <c r="BP38938" s="4" t="s">
        <v>11</v>
      </c>
      <c r="BQ38938" s="4" t="s">
        <v>11</v>
      </c>
      <c r="BR38938" s="4" t="s">
        <v>15</v>
      </c>
      <c r="BS38938" s="4" t="s">
        <v>8</v>
      </c>
      <c r="BT38938" s="4" t="s">
        <v>1859</v>
      </c>
      <c r="BU38938" s="4" t="s">
        <v>11</v>
      </c>
      <c r="BV38938" s="4" t="s">
        <v>11</v>
      </c>
      <c r="BW38938" s="4" t="s">
        <v>15</v>
      </c>
      <c r="BX38938" s="4" t="s">
        <v>8</v>
      </c>
      <c r="BY38938" s="4" t="s">
        <v>1859</v>
      </c>
      <c r="BZ38938" s="4" t="s">
        <v>11</v>
      </c>
      <c r="CA38938" s="4" t="s">
        <v>11</v>
      </c>
      <c r="CB38938" s="4" t="s">
        <v>15</v>
      </c>
      <c r="CC38938" s="4" t="s">
        <v>8</v>
      </c>
      <c r="CD38938" s="4" t="s">
        <v>1859</v>
      </c>
      <c r="CE38938" s="4" t="s">
        <v>11</v>
      </c>
      <c r="CF38938" s="4" t="s">
        <v>11</v>
      </c>
      <c r="CG38938" s="4" t="s">
        <v>15</v>
      </c>
      <c r="CH38938" s="4" t="s">
        <v>8</v>
      </c>
      <c r="CI38938" s="4" t="s">
        <v>1859</v>
      </c>
      <c r="CJ38938" s="4" t="s">
        <v>11</v>
      </c>
      <c r="CK38938" s="4" t="s">
        <v>11</v>
      </c>
      <c r="CL38938" s="4" t="s">
        <v>15</v>
      </c>
      <c r="CM38938" s="4" t="s">
        <v>8</v>
      </c>
      <c r="CN38938" s="4" t="s">
        <v>1859</v>
      </c>
      <c r="CO38938" s="4" t="s">
        <v>11</v>
      </c>
      <c r="CP38938" s="4" t="s">
        <v>11</v>
      </c>
      <c r="CQ38938" s="4" t="s">
        <v>15</v>
      </c>
      <c r="CR38938" s="4" t="s">
        <v>8</v>
      </c>
      <c r="CS38938" s="4" t="s">
        <v>1859</v>
      </c>
      <c r="CT38938" s="4" t="s">
        <v>11</v>
      </c>
      <c r="CU38938" s="4" t="s">
        <v>11</v>
      </c>
      <c r="CV38938" s="4" t="s">
        <v>15</v>
      </c>
      <c r="CW38938" s="4" t="s">
        <v>8</v>
      </c>
      <c r="CX38938" s="4" t="s">
        <v>1859</v>
      </c>
      <c r="CY38938" s="4" t="s">
        <v>11</v>
      </c>
      <c r="CZ38938" s="4" t="s">
        <v>11</v>
      </c>
      <c r="DA38938" s="4" t="s">
        <v>15</v>
      </c>
      <c r="DB38938" s="4" t="s">
        <v>8</v>
      </c>
      <c r="DC38938" s="4" t="s">
        <v>1859</v>
      </c>
      <c r="DD38938" s="4" t="s">
        <v>11</v>
      </c>
      <c r="DE38938" s="4" t="s">
        <v>11</v>
      </c>
      <c r="DF38938" s="4" t="s">
        <v>15</v>
      </c>
      <c r="DG38938" s="4" t="s">
        <v>8</v>
      </c>
      <c r="DH38938" s="4" t="s">
        <v>1859</v>
      </c>
      <c r="DI38938" s="4" t="s">
        <v>11</v>
      </c>
      <c r="DJ38938" s="4" t="s">
        <v>11</v>
      </c>
      <c r="DK38938" s="4" t="s">
        <v>15</v>
      </c>
      <c r="DL38938" s="4" t="s">
        <v>8</v>
      </c>
      <c r="DM38938" s="4" t="s">
        <v>1859</v>
      </c>
      <c r="DN38938" s="4" t="s">
        <v>11</v>
      </c>
      <c r="DO38938" s="4" t="s">
        <v>11</v>
      </c>
      <c r="DP38938" s="4" t="s">
        <v>15</v>
      </c>
      <c r="DQ38938" s="4" t="s">
        <v>8</v>
      </c>
      <c r="DR38938" s="4" t="s">
        <v>1859</v>
      </c>
      <c r="DS38938" s="4" t="s">
        <v>11</v>
      </c>
      <c r="DT38938" s="4" t="s">
        <v>11</v>
      </c>
      <c r="DU38938" s="4" t="s">
        <v>15</v>
      </c>
      <c r="DV38938" s="4" t="s">
        <v>8</v>
      </c>
      <c r="DW38938" s="4" t="s">
        <v>1859</v>
      </c>
      <c r="DX38938" s="4" t="s">
        <v>11</v>
      </c>
      <c r="DY38938" s="4" t="s">
        <v>11</v>
      </c>
      <c r="DZ38938" s="4" t="s">
        <v>15</v>
      </c>
      <c r="EA38938" s="4" t="s">
        <v>8</v>
      </c>
      <c r="EB38938" s="4" t="s">
        <v>1859</v>
      </c>
      <c r="EC38938" s="4" t="s">
        <v>11</v>
      </c>
      <c r="ED38938" s="4" t="s">
        <v>11</v>
      </c>
      <c r="EE38938" s="4" t="s">
        <v>15</v>
      </c>
      <c r="EF38938" s="4" t="s">
        <v>8</v>
      </c>
      <c r="EG38938" s="4" t="s">
        <v>1859</v>
      </c>
      <c r="EH38938" s="4" t="s">
        <v>11</v>
      </c>
      <c r="EI38938" s="4" t="s">
        <v>11</v>
      </c>
      <c r="EJ38938" s="4" t="s">
        <v>15</v>
      </c>
      <c r="EK38938" s="4" t="s">
        <v>8</v>
      </c>
      <c r="EL38938" s="4" t="s">
        <v>1859</v>
      </c>
      <c r="EM38938" s="4" t="s">
        <v>11</v>
      </c>
      <c r="EN38938" s="4" t="s">
        <v>11</v>
      </c>
      <c r="EO38938" s="4" t="s">
        <v>15</v>
      </c>
      <c r="EP38938" s="4" t="s">
        <v>8</v>
      </c>
      <c r="EQ38938" s="4" t="s">
        <v>1859</v>
      </c>
      <c r="ER38938" s="4" t="s">
        <v>11</v>
      </c>
      <c r="ES38938" s="4" t="s">
        <v>11</v>
      </c>
      <c r="ET38938" s="4" t="s">
        <v>15</v>
      </c>
      <c r="EU38938" s="4" t="s">
        <v>8</v>
      </c>
      <c r="EV38938" s="4" t="s">
        <v>1859</v>
      </c>
      <c r="EW38938" s="4" t="s">
        <v>11</v>
      </c>
      <c r="EX38938" s="4" t="s">
        <v>11</v>
      </c>
      <c r="EY38938" s="4" t="s">
        <v>15</v>
      </c>
      <c r="EZ38938" s="4" t="s">
        <v>8</v>
      </c>
      <c r="FA38938" s="4" t="s">
        <v>1859</v>
      </c>
      <c r="FB38938" s="4" t="s">
        <v>11</v>
      </c>
      <c r="FC38938" s="4" t="s">
        <v>11</v>
      </c>
      <c r="FD38938" s="4" t="s">
        <v>15</v>
      </c>
      <c r="FE38938" s="4" t="s">
        <v>8</v>
      </c>
      <c r="FF38938" s="4" t="s">
        <v>1859</v>
      </c>
      <c r="FG38938" s="4" t="s">
        <v>11</v>
      </c>
      <c r="FH38938" s="4" t="s">
        <v>11</v>
      </c>
      <c r="FI38938" s="4" t="s">
        <v>15</v>
      </c>
      <c r="FJ38938" s="4" t="s">
        <v>8</v>
      </c>
      <c r="FK38938" s="4" t="s">
        <v>1859</v>
      </c>
      <c r="FL38938" s="4" t="s">
        <v>11</v>
      </c>
      <c r="FM38938" s="4" t="s">
        <v>11</v>
      </c>
      <c r="FN38938" s="4" t="s">
        <v>15</v>
      </c>
      <c r="FO38938" s="4" t="s">
        <v>8</v>
      </c>
      <c r="FP38938" s="4" t="s">
        <v>1859</v>
      </c>
      <c r="FQ38938" s="4" t="s">
        <v>11</v>
      </c>
      <c r="FR38938" s="4" t="s">
        <v>11</v>
      </c>
      <c r="FS38938" s="4" t="s">
        <v>15</v>
      </c>
      <c r="FT38938" s="4" t="s">
        <v>8</v>
      </c>
      <c r="FU38938" s="4" t="s">
        <v>1859</v>
      </c>
      <c r="FV38938" s="4" t="s">
        <v>11</v>
      </c>
      <c r="FW38938" s="4" t="s">
        <v>11</v>
      </c>
      <c r="FX38938" s="4" t="s">
        <v>15</v>
      </c>
      <c r="FY38938" s="4" t="s">
        <v>8</v>
      </c>
      <c r="FZ38938" s="4" t="s">
        <v>1859</v>
      </c>
      <c r="GA38938" s="4" t="s">
        <v>11</v>
      </c>
      <c r="GB38938" s="4" t="s">
        <v>11</v>
      </c>
      <c r="GC38938" s="4" t="s">
        <v>15</v>
      </c>
      <c r="GD38938" s="4" t="s">
        <v>8</v>
      </c>
      <c r="GE38938" s="4" t="s">
        <v>1859</v>
      </c>
      <c r="GF38938" s="4" t="s">
        <v>11</v>
      </c>
      <c r="GG38938" s="4" t="s">
        <v>11</v>
      </c>
      <c r="GH38938" s="4" t="s">
        <v>15</v>
      </c>
      <c r="GI38938" s="4" t="s">
        <v>8</v>
      </c>
      <c r="GJ38938" s="4" t="s">
        <v>1859</v>
      </c>
      <c r="GK38938" s="4" t="s">
        <v>11</v>
      </c>
      <c r="GL38938" s="4" t="s">
        <v>11</v>
      </c>
      <c r="GM38938" s="4" t="s">
        <v>15</v>
      </c>
      <c r="GN38938" s="4" t="s">
        <v>8</v>
      </c>
      <c r="GO38938" s="4" t="s">
        <v>1859</v>
      </c>
      <c r="GP38938" s="4" t="s">
        <v>11</v>
      </c>
      <c r="GQ38938" s="4" t="s">
        <v>11</v>
      </c>
      <c r="GR38938" s="4" t="s">
        <v>15</v>
      </c>
      <c r="GS38938" s="4" t="s">
        <v>8</v>
      </c>
      <c r="GT38938" s="4" t="s">
        <v>1859</v>
      </c>
      <c r="GU38938" s="4" t="s">
        <v>11</v>
      </c>
      <c r="GV38938" s="4" t="s">
        <v>11</v>
      </c>
      <c r="GW38938" s="4" t="s">
        <v>15</v>
      </c>
      <c r="GX38938" s="4" t="s">
        <v>8</v>
      </c>
      <c r="GY38938" s="4" t="s">
        <v>1859</v>
      </c>
      <c r="GZ38938" s="4" t="s">
        <v>11</v>
      </c>
      <c r="HA38938" s="4" t="s">
        <v>11</v>
      </c>
      <c r="HB38938" s="4" t="s">
        <v>15</v>
      </c>
      <c r="HC38938" s="4" t="s">
        <v>8</v>
      </c>
      <c r="HD38938" s="4" t="s">
        <v>1859</v>
      </c>
      <c r="HE38938" s="4" t="s">
        <v>11</v>
      </c>
      <c r="HF38938" s="4" t="s">
        <v>11</v>
      </c>
      <c r="HG38938" s="4" t="s">
        <v>15</v>
      </c>
      <c r="HH38938" s="4" t="s">
        <v>8</v>
      </c>
      <c r="HI38938" s="4" t="s">
        <v>1859</v>
      </c>
      <c r="HJ38938" s="4" t="s">
        <v>11</v>
      </c>
      <c r="HK38938" s="4" t="s">
        <v>11</v>
      </c>
      <c r="HL38938" s="4" t="s">
        <v>15</v>
      </c>
      <c r="HM38938" s="4" t="s">
        <v>8</v>
      </c>
      <c r="HN38938" s="4" t="s">
        <v>1859</v>
      </c>
      <c r="HO38938" s="4" t="s">
        <v>11</v>
      </c>
      <c r="HP38938" s="4" t="s">
        <v>11</v>
      </c>
      <c r="HQ38938" s="4" t="s">
        <v>15</v>
      </c>
      <c r="HR38938" s="4" t="s">
        <v>8</v>
      </c>
      <c r="HS38938" s="4" t="s">
        <v>1859</v>
      </c>
      <c r="HT38938" s="4" t="s">
        <v>11</v>
      </c>
      <c r="HU38938" s="4" t="s">
        <v>11</v>
      </c>
      <c r="HV38938" s="4" t="s">
        <v>15</v>
      </c>
      <c r="HW38938" s="4" t="s">
        <v>8</v>
      </c>
      <c r="HX38938" s="4" t="s">
        <v>1859</v>
      </c>
      <c r="HY38938" s="4" t="s">
        <v>11</v>
      </c>
      <c r="HZ38938" s="4" t="s">
        <v>11</v>
      </c>
      <c r="IA38938" s="4" t="s">
        <v>15</v>
      </c>
      <c r="IB38938" s="4" t="s">
        <v>8</v>
      </c>
      <c r="IC38938" s="4" t="s">
        <v>1859</v>
      </c>
      <c r="ID38938" s="4" t="s">
        <v>11</v>
      </c>
      <c r="IE38938" s="4" t="s">
        <v>11</v>
      </c>
      <c r="IF38938" s="4" t="s">
        <v>15</v>
      </c>
      <c r="IG38938" s="4" t="s">
        <v>8</v>
      </c>
      <c r="IH38938" s="4" t="s">
        <v>1859</v>
      </c>
      <c r="II38938" s="4" t="s">
        <v>11</v>
      </c>
      <c r="IJ38938" s="4" t="s">
        <v>11</v>
      </c>
      <c r="IK38938" s="4" t="s">
        <v>15</v>
      </c>
      <c r="IL38938" s="4" t="s">
        <v>8</v>
      </c>
      <c r="IM38938" s="4" t="s">
        <v>1859</v>
      </c>
      <c r="IN38938" s="4" t="s">
        <v>11</v>
      </c>
      <c r="IO38938" s="4" t="s">
        <v>11</v>
      </c>
      <c r="IP38938" s="4" t="s">
        <v>15</v>
      </c>
      <c r="IQ38938" s="4" t="s">
        <v>8</v>
      </c>
      <c r="IR38938" s="4" t="s">
        <v>1859</v>
      </c>
      <c r="IS38938" s="4" t="s">
        <v>11</v>
      </c>
      <c r="IT38938" s="4" t="s">
        <v>11</v>
      </c>
      <c r="IU38938" s="4" t="s">
        <v>15</v>
      </c>
      <c r="IV38938" s="4" t="s">
        <v>8</v>
      </c>
      <c r="IW38938" s="4" t="s">
        <v>1859</v>
      </c>
      <c r="IX38938" s="4" t="s">
        <v>11</v>
      </c>
      <c r="IY38938" s="4" t="s">
        <v>11</v>
      </c>
      <c r="IZ38938" s="4" t="s">
        <v>15</v>
      </c>
      <c r="JA38938" s="4" t="s">
        <v>8</v>
      </c>
      <c r="JB38938" s="4" t="s">
        <v>1859</v>
      </c>
      <c r="JC38938" s="4" t="s">
        <v>11</v>
      </c>
      <c r="JD38938" s="4" t="s">
        <v>11</v>
      </c>
      <c r="JE38938" s="4" t="s">
        <v>15</v>
      </c>
      <c r="JF38938" s="4" t="s">
        <v>8</v>
      </c>
      <c r="JG38938" s="4" t="s">
        <v>1859</v>
      </c>
      <c r="JH38938" s="4" t="s">
        <v>11</v>
      </c>
      <c r="JI38938" s="4" t="s">
        <v>11</v>
      </c>
      <c r="JJ38938" s="4" t="s">
        <v>15</v>
      </c>
      <c r="JK38938" s="4" t="s">
        <v>8</v>
      </c>
      <c r="JL38938" s="4" t="s">
        <v>1859</v>
      </c>
      <c r="JM38938" s="4" t="s">
        <v>11</v>
      </c>
      <c r="JN38938" s="4" t="s">
        <v>11</v>
      </c>
      <c r="JO38938" s="4" t="s">
        <v>15</v>
      </c>
      <c r="JP38938" s="4" t="s">
        <v>8</v>
      </c>
      <c r="JQ38938" s="4" t="s">
        <v>1859</v>
      </c>
      <c r="JR38938" s="4" t="s">
        <v>11</v>
      </c>
      <c r="JS38938" s="4" t="s">
        <v>11</v>
      </c>
      <c r="JT38938" s="4" t="s">
        <v>15</v>
      </c>
      <c r="JU38938" s="4" t="s">
        <v>8</v>
      </c>
      <c r="JV38938" s="4" t="s">
        <v>1859</v>
      </c>
      <c r="JW38938" s="4" t="s">
        <v>11</v>
      </c>
      <c r="JX38938" s="4" t="s">
        <v>11</v>
      </c>
      <c r="JY38938" s="4" t="s">
        <v>15</v>
      </c>
      <c r="JZ38938" s="4" t="s">
        <v>8</v>
      </c>
      <c r="KA38938" s="4" t="s">
        <v>1859</v>
      </c>
      <c r="KB38938" s="4" t="s">
        <v>11</v>
      </c>
      <c r="KC38938" s="4" t="s">
        <v>11</v>
      </c>
      <c r="KD38938" s="4" t="s">
        <v>15</v>
      </c>
      <c r="KE38938" s="4" t="s">
        <v>8</v>
      </c>
      <c r="KF38938" s="4" t="s">
        <v>1859</v>
      </c>
      <c r="KG38938" s="4" t="s">
        <v>11</v>
      </c>
      <c r="KH38938" s="4" t="s">
        <v>11</v>
      </c>
      <c r="KI38938" s="4" t="s">
        <v>15</v>
      </c>
      <c r="KJ38938" s="4" t="s">
        <v>8</v>
      </c>
      <c r="KK38938" s="4" t="s">
        <v>1859</v>
      </c>
      <c r="KL38938" s="4" t="s">
        <v>11</v>
      </c>
      <c r="KM38938" s="4" t="s">
        <v>11</v>
      </c>
      <c r="KN38938" s="4" t="s">
        <v>15</v>
      </c>
      <c r="KO38938" s="4" t="s">
        <v>8</v>
      </c>
      <c r="KP38938" s="4" t="s">
        <v>1859</v>
      </c>
      <c r="KQ38938" s="4" t="s">
        <v>11</v>
      </c>
      <c r="KR38938" s="4" t="s">
        <v>11</v>
      </c>
      <c r="KS38938" s="4" t="s">
        <v>15</v>
      </c>
      <c r="KT38938" s="4" t="s">
        <v>8</v>
      </c>
      <c r="KU38938" s="4" t="s">
        <v>1859</v>
      </c>
      <c r="KV38938" s="4" t="s">
        <v>11</v>
      </c>
      <c r="KW38938" s="4" t="s">
        <v>11</v>
      </c>
      <c r="KX38938" s="4" t="s">
        <v>15</v>
      </c>
      <c r="KY38938" s="4" t="s">
        <v>8</v>
      </c>
      <c r="KZ38938" s="4" t="s">
        <v>1859</v>
      </c>
      <c r="LA38938" s="4" t="s">
        <v>11</v>
      </c>
      <c r="LB38938" s="4" t="s">
        <v>11</v>
      </c>
      <c r="LC38938" s="4" t="s">
        <v>15</v>
      </c>
      <c r="LD38938" s="4" t="s">
        <v>8</v>
      </c>
      <c r="LE38938" s="4" t="s">
        <v>1859</v>
      </c>
      <c r="LF38938" s="4" t="s">
        <v>11</v>
      </c>
      <c r="LG38938" s="4" t="s">
        <v>11</v>
      </c>
      <c r="LH38938" s="4" t="s">
        <v>15</v>
      </c>
      <c r="LI38938" s="4" t="s">
        <v>8</v>
      </c>
      <c r="LJ38938" s="4" t="s">
        <v>1859</v>
      </c>
      <c r="LK38938" s="4" t="s">
        <v>11</v>
      </c>
      <c r="LL38938" s="4" t="s">
        <v>11</v>
      </c>
      <c r="LM38938" s="4" t="s">
        <v>15</v>
      </c>
      <c r="LN38938" s="4" t="s">
        <v>8</v>
      </c>
      <c r="LO38938" s="4" t="s">
        <v>1859</v>
      </c>
    </row>
    <row r="38939" spans="1:407">
      <c r="A38939" t="n">
        <v>452928</v>
      </c>
      <c r="B38939" s="85" t="n">
        <v>257</v>
      </c>
      <c r="C38939" s="7" t="n">
        <v>7</v>
      </c>
      <c r="D38939" s="7" t="n">
        <v>65533</v>
      </c>
      <c r="E38939" s="7" t="n">
        <v>63864</v>
      </c>
      <c r="F38939" s="7" t="s">
        <v>16</v>
      </c>
      <c r="G38939" s="7" t="n">
        <f t="normal" ca="1">32-LENB(INDIRECT(ADDRESS(38939,6)))</f>
        <v>0</v>
      </c>
      <c r="H38939" s="7" t="n">
        <v>7</v>
      </c>
      <c r="I38939" s="7" t="n">
        <v>65533</v>
      </c>
      <c r="J38939" s="7" t="n">
        <v>63865</v>
      </c>
      <c r="K38939" s="7" t="s">
        <v>16</v>
      </c>
      <c r="L38939" s="7" t="n">
        <f t="normal" ca="1">32-LENB(INDIRECT(ADDRESS(38939,11)))</f>
        <v>0</v>
      </c>
      <c r="M38939" s="7" t="n">
        <v>7</v>
      </c>
      <c r="N38939" s="7" t="n">
        <v>65533</v>
      </c>
      <c r="O38939" s="7" t="n">
        <v>63866</v>
      </c>
      <c r="P38939" s="7" t="s">
        <v>16</v>
      </c>
      <c r="Q38939" s="7" t="n">
        <f t="normal" ca="1">32-LENB(INDIRECT(ADDRESS(38939,16)))</f>
        <v>0</v>
      </c>
      <c r="R38939" s="7" t="n">
        <v>7</v>
      </c>
      <c r="S38939" s="7" t="n">
        <v>65533</v>
      </c>
      <c r="T38939" s="7" t="n">
        <v>63867</v>
      </c>
      <c r="U38939" s="7" t="s">
        <v>16</v>
      </c>
      <c r="V38939" s="7" t="n">
        <f t="normal" ca="1">32-LENB(INDIRECT(ADDRESS(38939,21)))</f>
        <v>0</v>
      </c>
      <c r="W38939" s="7" t="n">
        <v>7</v>
      </c>
      <c r="X38939" s="7" t="n">
        <v>65533</v>
      </c>
      <c r="Y38939" s="7" t="n">
        <v>63868</v>
      </c>
      <c r="Z38939" s="7" t="s">
        <v>16</v>
      </c>
      <c r="AA38939" s="7" t="n">
        <f t="normal" ca="1">32-LENB(INDIRECT(ADDRESS(38939,26)))</f>
        <v>0</v>
      </c>
      <c r="AB38939" s="7" t="n">
        <v>7</v>
      </c>
      <c r="AC38939" s="7" t="n">
        <v>65533</v>
      </c>
      <c r="AD38939" s="7" t="n">
        <v>63869</v>
      </c>
      <c r="AE38939" s="7" t="s">
        <v>16</v>
      </c>
      <c r="AF38939" s="7" t="n">
        <f t="normal" ca="1">32-LENB(INDIRECT(ADDRESS(38939,31)))</f>
        <v>0</v>
      </c>
      <c r="AG38939" s="7" t="n">
        <v>7</v>
      </c>
      <c r="AH38939" s="7" t="n">
        <v>65533</v>
      </c>
      <c r="AI38939" s="7" t="n">
        <v>63870</v>
      </c>
      <c r="AJ38939" s="7" t="s">
        <v>16</v>
      </c>
      <c r="AK38939" s="7" t="n">
        <f t="normal" ca="1">32-LENB(INDIRECT(ADDRESS(38939,36)))</f>
        <v>0</v>
      </c>
      <c r="AL38939" s="7" t="n">
        <v>7</v>
      </c>
      <c r="AM38939" s="7" t="n">
        <v>65533</v>
      </c>
      <c r="AN38939" s="7" t="n">
        <v>63871</v>
      </c>
      <c r="AO38939" s="7" t="s">
        <v>16</v>
      </c>
      <c r="AP38939" s="7" t="n">
        <f t="normal" ca="1">32-LENB(INDIRECT(ADDRESS(38939,41)))</f>
        <v>0</v>
      </c>
      <c r="AQ38939" s="7" t="n">
        <v>7</v>
      </c>
      <c r="AR38939" s="7" t="n">
        <v>65533</v>
      </c>
      <c r="AS38939" s="7" t="n">
        <v>63872</v>
      </c>
      <c r="AT38939" s="7" t="s">
        <v>16</v>
      </c>
      <c r="AU38939" s="7" t="n">
        <f t="normal" ca="1">32-LENB(INDIRECT(ADDRESS(38939,46)))</f>
        <v>0</v>
      </c>
      <c r="AV38939" s="7" t="n">
        <v>7</v>
      </c>
      <c r="AW38939" s="7" t="n">
        <v>65533</v>
      </c>
      <c r="AX38939" s="7" t="n">
        <v>63873</v>
      </c>
      <c r="AY38939" s="7" t="s">
        <v>16</v>
      </c>
      <c r="AZ38939" s="7" t="n">
        <f t="normal" ca="1">32-LENB(INDIRECT(ADDRESS(38939,51)))</f>
        <v>0</v>
      </c>
      <c r="BA38939" s="7" t="n">
        <v>7</v>
      </c>
      <c r="BB38939" s="7" t="n">
        <v>65533</v>
      </c>
      <c r="BC38939" s="7" t="n">
        <v>63874</v>
      </c>
      <c r="BD38939" s="7" t="s">
        <v>16</v>
      </c>
      <c r="BE38939" s="7" t="n">
        <f t="normal" ca="1">32-LENB(INDIRECT(ADDRESS(38939,56)))</f>
        <v>0</v>
      </c>
      <c r="BF38939" s="7" t="n">
        <v>7</v>
      </c>
      <c r="BG38939" s="7" t="n">
        <v>65533</v>
      </c>
      <c r="BH38939" s="7" t="n">
        <v>63875</v>
      </c>
      <c r="BI38939" s="7" t="s">
        <v>16</v>
      </c>
      <c r="BJ38939" s="7" t="n">
        <f t="normal" ca="1">32-LENB(INDIRECT(ADDRESS(38939,61)))</f>
        <v>0</v>
      </c>
      <c r="BK38939" s="7" t="n">
        <v>7</v>
      </c>
      <c r="BL38939" s="7" t="n">
        <v>65533</v>
      </c>
      <c r="BM38939" s="7" t="n">
        <v>63876</v>
      </c>
      <c r="BN38939" s="7" t="s">
        <v>16</v>
      </c>
      <c r="BO38939" s="7" t="n">
        <f t="normal" ca="1">32-LENB(INDIRECT(ADDRESS(38939,66)))</f>
        <v>0</v>
      </c>
      <c r="BP38939" s="7" t="n">
        <v>7</v>
      </c>
      <c r="BQ38939" s="7" t="n">
        <v>65533</v>
      </c>
      <c r="BR38939" s="7" t="n">
        <v>63877</v>
      </c>
      <c r="BS38939" s="7" t="s">
        <v>16</v>
      </c>
      <c r="BT38939" s="7" t="n">
        <f t="normal" ca="1">32-LENB(INDIRECT(ADDRESS(38939,71)))</f>
        <v>0</v>
      </c>
      <c r="BU38939" s="7" t="n">
        <v>7</v>
      </c>
      <c r="BV38939" s="7" t="n">
        <v>65533</v>
      </c>
      <c r="BW38939" s="7" t="n">
        <v>63878</v>
      </c>
      <c r="BX38939" s="7" t="s">
        <v>16</v>
      </c>
      <c r="BY38939" s="7" t="n">
        <f t="normal" ca="1">32-LENB(INDIRECT(ADDRESS(38939,76)))</f>
        <v>0</v>
      </c>
      <c r="BZ38939" s="7" t="n">
        <v>7</v>
      </c>
      <c r="CA38939" s="7" t="n">
        <v>65533</v>
      </c>
      <c r="CB38939" s="7" t="n">
        <v>63879</v>
      </c>
      <c r="CC38939" s="7" t="s">
        <v>16</v>
      </c>
      <c r="CD38939" s="7" t="n">
        <f t="normal" ca="1">32-LENB(INDIRECT(ADDRESS(38939,81)))</f>
        <v>0</v>
      </c>
      <c r="CE38939" s="7" t="n">
        <v>7</v>
      </c>
      <c r="CF38939" s="7" t="n">
        <v>65533</v>
      </c>
      <c r="CG38939" s="7" t="n">
        <v>63880</v>
      </c>
      <c r="CH38939" s="7" t="s">
        <v>16</v>
      </c>
      <c r="CI38939" s="7" t="n">
        <f t="normal" ca="1">32-LENB(INDIRECT(ADDRESS(38939,86)))</f>
        <v>0</v>
      </c>
      <c r="CJ38939" s="7" t="n">
        <v>7</v>
      </c>
      <c r="CK38939" s="7" t="n">
        <v>65533</v>
      </c>
      <c r="CL38939" s="7" t="n">
        <v>63881</v>
      </c>
      <c r="CM38939" s="7" t="s">
        <v>16</v>
      </c>
      <c r="CN38939" s="7" t="n">
        <f t="normal" ca="1">32-LENB(INDIRECT(ADDRESS(38939,91)))</f>
        <v>0</v>
      </c>
      <c r="CO38939" s="7" t="n">
        <v>7</v>
      </c>
      <c r="CP38939" s="7" t="n">
        <v>65533</v>
      </c>
      <c r="CQ38939" s="7" t="n">
        <v>63882</v>
      </c>
      <c r="CR38939" s="7" t="s">
        <v>16</v>
      </c>
      <c r="CS38939" s="7" t="n">
        <f t="normal" ca="1">32-LENB(INDIRECT(ADDRESS(38939,96)))</f>
        <v>0</v>
      </c>
      <c r="CT38939" s="7" t="n">
        <v>7</v>
      </c>
      <c r="CU38939" s="7" t="n">
        <v>65533</v>
      </c>
      <c r="CV38939" s="7" t="n">
        <v>63883</v>
      </c>
      <c r="CW38939" s="7" t="s">
        <v>16</v>
      </c>
      <c r="CX38939" s="7" t="n">
        <f t="normal" ca="1">32-LENB(INDIRECT(ADDRESS(38939,101)))</f>
        <v>0</v>
      </c>
      <c r="CY38939" s="7" t="n">
        <v>7</v>
      </c>
      <c r="CZ38939" s="7" t="n">
        <v>65533</v>
      </c>
      <c r="DA38939" s="7" t="n">
        <v>63884</v>
      </c>
      <c r="DB38939" s="7" t="s">
        <v>16</v>
      </c>
      <c r="DC38939" s="7" t="n">
        <f t="normal" ca="1">32-LENB(INDIRECT(ADDRESS(38939,106)))</f>
        <v>0</v>
      </c>
      <c r="DD38939" s="7" t="n">
        <v>7</v>
      </c>
      <c r="DE38939" s="7" t="n">
        <v>65533</v>
      </c>
      <c r="DF38939" s="7" t="n">
        <v>3800</v>
      </c>
      <c r="DG38939" s="7" t="s">
        <v>16</v>
      </c>
      <c r="DH38939" s="7" t="n">
        <f t="normal" ca="1">32-LENB(INDIRECT(ADDRESS(38939,111)))</f>
        <v>0</v>
      </c>
      <c r="DI38939" s="7" t="n">
        <v>7</v>
      </c>
      <c r="DJ38939" s="7" t="n">
        <v>65533</v>
      </c>
      <c r="DK38939" s="7" t="n">
        <v>3801</v>
      </c>
      <c r="DL38939" s="7" t="s">
        <v>16</v>
      </c>
      <c r="DM38939" s="7" t="n">
        <f t="normal" ca="1">32-LENB(INDIRECT(ADDRESS(38939,116)))</f>
        <v>0</v>
      </c>
      <c r="DN38939" s="7" t="n">
        <v>7</v>
      </c>
      <c r="DO38939" s="7" t="n">
        <v>65533</v>
      </c>
      <c r="DP38939" s="7" t="n">
        <v>3802</v>
      </c>
      <c r="DQ38939" s="7" t="s">
        <v>16</v>
      </c>
      <c r="DR38939" s="7" t="n">
        <f t="normal" ca="1">32-LENB(INDIRECT(ADDRESS(38939,121)))</f>
        <v>0</v>
      </c>
      <c r="DS38939" s="7" t="n">
        <v>7</v>
      </c>
      <c r="DT38939" s="7" t="n">
        <v>65533</v>
      </c>
      <c r="DU38939" s="7" t="n">
        <v>3803</v>
      </c>
      <c r="DV38939" s="7" t="s">
        <v>16</v>
      </c>
      <c r="DW38939" s="7" t="n">
        <f t="normal" ca="1">32-LENB(INDIRECT(ADDRESS(38939,126)))</f>
        <v>0</v>
      </c>
      <c r="DX38939" s="7" t="n">
        <v>7</v>
      </c>
      <c r="DY38939" s="7" t="n">
        <v>65533</v>
      </c>
      <c r="DZ38939" s="7" t="n">
        <v>63885</v>
      </c>
      <c r="EA38939" s="7" t="s">
        <v>16</v>
      </c>
      <c r="EB38939" s="7" t="n">
        <f t="normal" ca="1">32-LENB(INDIRECT(ADDRESS(38939,131)))</f>
        <v>0</v>
      </c>
      <c r="EC38939" s="7" t="n">
        <v>7</v>
      </c>
      <c r="ED38939" s="7" t="n">
        <v>65533</v>
      </c>
      <c r="EE38939" s="7" t="n">
        <v>63886</v>
      </c>
      <c r="EF38939" s="7" t="s">
        <v>16</v>
      </c>
      <c r="EG38939" s="7" t="n">
        <f t="normal" ca="1">32-LENB(INDIRECT(ADDRESS(38939,136)))</f>
        <v>0</v>
      </c>
      <c r="EH38939" s="7" t="n">
        <v>7</v>
      </c>
      <c r="EI38939" s="7" t="n">
        <v>65533</v>
      </c>
      <c r="EJ38939" s="7" t="n">
        <v>63887</v>
      </c>
      <c r="EK38939" s="7" t="s">
        <v>16</v>
      </c>
      <c r="EL38939" s="7" t="n">
        <f t="normal" ca="1">32-LENB(INDIRECT(ADDRESS(38939,141)))</f>
        <v>0</v>
      </c>
      <c r="EM38939" s="7" t="n">
        <v>7</v>
      </c>
      <c r="EN38939" s="7" t="n">
        <v>65533</v>
      </c>
      <c r="EO38939" s="7" t="n">
        <v>3804</v>
      </c>
      <c r="EP38939" s="7" t="s">
        <v>16</v>
      </c>
      <c r="EQ38939" s="7" t="n">
        <f t="normal" ca="1">32-LENB(INDIRECT(ADDRESS(38939,146)))</f>
        <v>0</v>
      </c>
      <c r="ER38939" s="7" t="n">
        <v>7</v>
      </c>
      <c r="ES38939" s="7" t="n">
        <v>65533</v>
      </c>
      <c r="ET38939" s="7" t="n">
        <v>3805</v>
      </c>
      <c r="EU38939" s="7" t="s">
        <v>16</v>
      </c>
      <c r="EV38939" s="7" t="n">
        <f t="normal" ca="1">32-LENB(INDIRECT(ADDRESS(38939,151)))</f>
        <v>0</v>
      </c>
      <c r="EW38939" s="7" t="n">
        <v>7</v>
      </c>
      <c r="EX38939" s="7" t="n">
        <v>65533</v>
      </c>
      <c r="EY38939" s="7" t="n">
        <v>3806</v>
      </c>
      <c r="EZ38939" s="7" t="s">
        <v>16</v>
      </c>
      <c r="FA38939" s="7" t="n">
        <f t="normal" ca="1">32-LENB(INDIRECT(ADDRESS(38939,156)))</f>
        <v>0</v>
      </c>
      <c r="FB38939" s="7" t="n">
        <v>7</v>
      </c>
      <c r="FC38939" s="7" t="n">
        <v>65533</v>
      </c>
      <c r="FD38939" s="7" t="n">
        <v>3807</v>
      </c>
      <c r="FE38939" s="7" t="s">
        <v>16</v>
      </c>
      <c r="FF38939" s="7" t="n">
        <f t="normal" ca="1">32-LENB(INDIRECT(ADDRESS(38939,161)))</f>
        <v>0</v>
      </c>
      <c r="FG38939" s="7" t="n">
        <v>7</v>
      </c>
      <c r="FH38939" s="7" t="n">
        <v>65533</v>
      </c>
      <c r="FI38939" s="7" t="n">
        <v>63888</v>
      </c>
      <c r="FJ38939" s="7" t="s">
        <v>16</v>
      </c>
      <c r="FK38939" s="7" t="n">
        <f t="normal" ca="1">32-LENB(INDIRECT(ADDRESS(38939,166)))</f>
        <v>0</v>
      </c>
      <c r="FL38939" s="7" t="n">
        <v>7</v>
      </c>
      <c r="FM38939" s="7" t="n">
        <v>65533</v>
      </c>
      <c r="FN38939" s="7" t="n">
        <v>3808</v>
      </c>
      <c r="FO38939" s="7" t="s">
        <v>16</v>
      </c>
      <c r="FP38939" s="7" t="n">
        <f t="normal" ca="1">32-LENB(INDIRECT(ADDRESS(38939,171)))</f>
        <v>0</v>
      </c>
      <c r="FQ38939" s="7" t="n">
        <v>7</v>
      </c>
      <c r="FR38939" s="7" t="n">
        <v>65533</v>
      </c>
      <c r="FS38939" s="7" t="n">
        <v>3809</v>
      </c>
      <c r="FT38939" s="7" t="s">
        <v>16</v>
      </c>
      <c r="FU38939" s="7" t="n">
        <f t="normal" ca="1">32-LENB(INDIRECT(ADDRESS(38939,176)))</f>
        <v>0</v>
      </c>
      <c r="FV38939" s="7" t="n">
        <v>7</v>
      </c>
      <c r="FW38939" s="7" t="n">
        <v>65533</v>
      </c>
      <c r="FX38939" s="7" t="n">
        <v>3810</v>
      </c>
      <c r="FY38939" s="7" t="s">
        <v>16</v>
      </c>
      <c r="FZ38939" s="7" t="n">
        <f t="normal" ca="1">32-LENB(INDIRECT(ADDRESS(38939,181)))</f>
        <v>0</v>
      </c>
      <c r="GA38939" s="7" t="n">
        <v>7</v>
      </c>
      <c r="GB38939" s="7" t="n">
        <v>65533</v>
      </c>
      <c r="GC38939" s="7" t="n">
        <v>3811</v>
      </c>
      <c r="GD38939" s="7" t="s">
        <v>16</v>
      </c>
      <c r="GE38939" s="7" t="n">
        <f t="normal" ca="1">32-LENB(INDIRECT(ADDRESS(38939,186)))</f>
        <v>0</v>
      </c>
      <c r="GF38939" s="7" t="n">
        <v>7</v>
      </c>
      <c r="GG38939" s="7" t="n">
        <v>65533</v>
      </c>
      <c r="GH38939" s="7" t="n">
        <v>3812</v>
      </c>
      <c r="GI38939" s="7" t="s">
        <v>16</v>
      </c>
      <c r="GJ38939" s="7" t="n">
        <f t="normal" ca="1">32-LENB(INDIRECT(ADDRESS(38939,191)))</f>
        <v>0</v>
      </c>
      <c r="GK38939" s="7" t="n">
        <v>7</v>
      </c>
      <c r="GL38939" s="7" t="n">
        <v>65533</v>
      </c>
      <c r="GM38939" s="7" t="n">
        <v>63889</v>
      </c>
      <c r="GN38939" s="7" t="s">
        <v>16</v>
      </c>
      <c r="GO38939" s="7" t="n">
        <f t="normal" ca="1">32-LENB(INDIRECT(ADDRESS(38939,196)))</f>
        <v>0</v>
      </c>
      <c r="GP38939" s="7" t="n">
        <v>7</v>
      </c>
      <c r="GQ38939" s="7" t="n">
        <v>65533</v>
      </c>
      <c r="GR38939" s="7" t="n">
        <v>63890</v>
      </c>
      <c r="GS38939" s="7" t="s">
        <v>16</v>
      </c>
      <c r="GT38939" s="7" t="n">
        <f t="normal" ca="1">32-LENB(INDIRECT(ADDRESS(38939,201)))</f>
        <v>0</v>
      </c>
      <c r="GU38939" s="7" t="n">
        <v>7</v>
      </c>
      <c r="GV38939" s="7" t="n">
        <v>65533</v>
      </c>
      <c r="GW38939" s="7" t="n">
        <v>63891</v>
      </c>
      <c r="GX38939" s="7" t="s">
        <v>16</v>
      </c>
      <c r="GY38939" s="7" t="n">
        <f t="normal" ca="1">32-LENB(INDIRECT(ADDRESS(38939,206)))</f>
        <v>0</v>
      </c>
      <c r="GZ38939" s="7" t="n">
        <v>7</v>
      </c>
      <c r="HA38939" s="7" t="n">
        <v>65533</v>
      </c>
      <c r="HB38939" s="7" t="n">
        <v>63892</v>
      </c>
      <c r="HC38939" s="7" t="s">
        <v>16</v>
      </c>
      <c r="HD38939" s="7" t="n">
        <f t="normal" ca="1">32-LENB(INDIRECT(ADDRESS(38939,211)))</f>
        <v>0</v>
      </c>
      <c r="HE38939" s="7" t="n">
        <v>7</v>
      </c>
      <c r="HF38939" s="7" t="n">
        <v>65533</v>
      </c>
      <c r="HG38939" s="7" t="n">
        <v>3813</v>
      </c>
      <c r="HH38939" s="7" t="s">
        <v>16</v>
      </c>
      <c r="HI38939" s="7" t="n">
        <f t="normal" ca="1">32-LENB(INDIRECT(ADDRESS(38939,216)))</f>
        <v>0</v>
      </c>
      <c r="HJ38939" s="7" t="n">
        <v>7</v>
      </c>
      <c r="HK38939" s="7" t="n">
        <v>65533</v>
      </c>
      <c r="HL38939" s="7" t="n">
        <v>3814</v>
      </c>
      <c r="HM38939" s="7" t="s">
        <v>16</v>
      </c>
      <c r="HN38939" s="7" t="n">
        <f t="normal" ca="1">32-LENB(INDIRECT(ADDRESS(38939,221)))</f>
        <v>0</v>
      </c>
      <c r="HO38939" s="7" t="n">
        <v>7</v>
      </c>
      <c r="HP38939" s="7" t="n">
        <v>65533</v>
      </c>
      <c r="HQ38939" s="7" t="n">
        <v>3815</v>
      </c>
      <c r="HR38939" s="7" t="s">
        <v>16</v>
      </c>
      <c r="HS38939" s="7" t="n">
        <f t="normal" ca="1">32-LENB(INDIRECT(ADDRESS(38939,226)))</f>
        <v>0</v>
      </c>
      <c r="HT38939" s="7" t="n">
        <v>7</v>
      </c>
      <c r="HU38939" s="7" t="n">
        <v>65533</v>
      </c>
      <c r="HV38939" s="7" t="n">
        <v>3816</v>
      </c>
      <c r="HW38939" s="7" t="s">
        <v>16</v>
      </c>
      <c r="HX38939" s="7" t="n">
        <f t="normal" ca="1">32-LENB(INDIRECT(ADDRESS(38939,231)))</f>
        <v>0</v>
      </c>
      <c r="HY38939" s="7" t="n">
        <v>7</v>
      </c>
      <c r="HZ38939" s="7" t="n">
        <v>65533</v>
      </c>
      <c r="IA38939" s="7" t="n">
        <v>64268</v>
      </c>
      <c r="IB38939" s="7" t="s">
        <v>16</v>
      </c>
      <c r="IC38939" s="7" t="n">
        <f t="normal" ca="1">32-LENB(INDIRECT(ADDRESS(38939,236)))</f>
        <v>0</v>
      </c>
      <c r="ID38939" s="7" t="n">
        <v>7</v>
      </c>
      <c r="IE38939" s="7" t="n">
        <v>65533</v>
      </c>
      <c r="IF38939" s="7" t="n">
        <v>3817</v>
      </c>
      <c r="IG38939" s="7" t="s">
        <v>16</v>
      </c>
      <c r="IH38939" s="7" t="n">
        <f t="normal" ca="1">32-LENB(INDIRECT(ADDRESS(38939,241)))</f>
        <v>0</v>
      </c>
      <c r="II38939" s="7" t="n">
        <v>7</v>
      </c>
      <c r="IJ38939" s="7" t="n">
        <v>65533</v>
      </c>
      <c r="IK38939" s="7" t="n">
        <v>63893</v>
      </c>
      <c r="IL38939" s="7" t="s">
        <v>16</v>
      </c>
      <c r="IM38939" s="7" t="n">
        <f t="normal" ca="1">32-LENB(INDIRECT(ADDRESS(38939,246)))</f>
        <v>0</v>
      </c>
      <c r="IN38939" s="7" t="n">
        <v>7</v>
      </c>
      <c r="IO38939" s="7" t="n">
        <v>65533</v>
      </c>
      <c r="IP38939" s="7" t="n">
        <v>63894</v>
      </c>
      <c r="IQ38939" s="7" t="s">
        <v>16</v>
      </c>
      <c r="IR38939" s="7" t="n">
        <f t="normal" ca="1">32-LENB(INDIRECT(ADDRESS(38939,251)))</f>
        <v>0</v>
      </c>
      <c r="IS38939" s="7" t="n">
        <v>7</v>
      </c>
      <c r="IT38939" s="7" t="n">
        <v>65533</v>
      </c>
      <c r="IU38939" s="7" t="n">
        <v>63895</v>
      </c>
      <c r="IV38939" s="7" t="s">
        <v>16</v>
      </c>
      <c r="IW38939" s="7" t="n">
        <f t="normal" ca="1">32-LENB(INDIRECT(ADDRESS(38939,256)))</f>
        <v>0</v>
      </c>
      <c r="IX38939" s="7" t="n">
        <v>7</v>
      </c>
      <c r="IY38939" s="7" t="n">
        <v>65533</v>
      </c>
      <c r="IZ38939" s="7" t="n">
        <v>63896</v>
      </c>
      <c r="JA38939" s="7" t="s">
        <v>16</v>
      </c>
      <c r="JB38939" s="7" t="n">
        <f t="normal" ca="1">32-LENB(INDIRECT(ADDRESS(38939,261)))</f>
        <v>0</v>
      </c>
      <c r="JC38939" s="7" t="n">
        <v>7</v>
      </c>
      <c r="JD38939" s="7" t="n">
        <v>65533</v>
      </c>
      <c r="JE38939" s="7" t="n">
        <v>3818</v>
      </c>
      <c r="JF38939" s="7" t="s">
        <v>16</v>
      </c>
      <c r="JG38939" s="7" t="n">
        <f t="normal" ca="1">32-LENB(INDIRECT(ADDRESS(38939,266)))</f>
        <v>0</v>
      </c>
      <c r="JH38939" s="7" t="n">
        <v>7</v>
      </c>
      <c r="JI38939" s="7" t="n">
        <v>65533</v>
      </c>
      <c r="JJ38939" s="7" t="n">
        <v>63897</v>
      </c>
      <c r="JK38939" s="7" t="s">
        <v>16</v>
      </c>
      <c r="JL38939" s="7" t="n">
        <f t="normal" ca="1">32-LENB(INDIRECT(ADDRESS(38939,271)))</f>
        <v>0</v>
      </c>
      <c r="JM38939" s="7" t="n">
        <v>7</v>
      </c>
      <c r="JN38939" s="7" t="n">
        <v>65533</v>
      </c>
      <c r="JO38939" s="7" t="n">
        <v>63898</v>
      </c>
      <c r="JP38939" s="7" t="s">
        <v>16</v>
      </c>
      <c r="JQ38939" s="7" t="n">
        <f t="normal" ca="1">32-LENB(INDIRECT(ADDRESS(38939,276)))</f>
        <v>0</v>
      </c>
      <c r="JR38939" s="7" t="n">
        <v>7</v>
      </c>
      <c r="JS38939" s="7" t="n">
        <v>65533</v>
      </c>
      <c r="JT38939" s="7" t="n">
        <v>63899</v>
      </c>
      <c r="JU38939" s="7" t="s">
        <v>16</v>
      </c>
      <c r="JV38939" s="7" t="n">
        <f t="normal" ca="1">32-LENB(INDIRECT(ADDRESS(38939,281)))</f>
        <v>0</v>
      </c>
      <c r="JW38939" s="7" t="n">
        <v>7</v>
      </c>
      <c r="JX38939" s="7" t="n">
        <v>65533</v>
      </c>
      <c r="JY38939" s="7" t="n">
        <v>63900</v>
      </c>
      <c r="JZ38939" s="7" t="s">
        <v>16</v>
      </c>
      <c r="KA38939" s="7" t="n">
        <f t="normal" ca="1">32-LENB(INDIRECT(ADDRESS(38939,286)))</f>
        <v>0</v>
      </c>
      <c r="KB38939" s="7" t="n">
        <v>7</v>
      </c>
      <c r="KC38939" s="7" t="n">
        <v>65533</v>
      </c>
      <c r="KD38939" s="7" t="n">
        <v>3819</v>
      </c>
      <c r="KE38939" s="7" t="s">
        <v>16</v>
      </c>
      <c r="KF38939" s="7" t="n">
        <f t="normal" ca="1">32-LENB(INDIRECT(ADDRESS(38939,291)))</f>
        <v>0</v>
      </c>
      <c r="KG38939" s="7" t="n">
        <v>4</v>
      </c>
      <c r="KH38939" s="7" t="n">
        <v>65533</v>
      </c>
      <c r="KI38939" s="7" t="n">
        <v>2004</v>
      </c>
      <c r="KJ38939" s="7" t="s">
        <v>16</v>
      </c>
      <c r="KK38939" s="7" t="n">
        <f t="normal" ca="1">32-LENB(INDIRECT(ADDRESS(38939,296)))</f>
        <v>0</v>
      </c>
      <c r="KL38939" s="7" t="n">
        <v>7</v>
      </c>
      <c r="KM38939" s="7" t="n">
        <v>65533</v>
      </c>
      <c r="KN38939" s="7" t="n">
        <v>3820</v>
      </c>
      <c r="KO38939" s="7" t="s">
        <v>16</v>
      </c>
      <c r="KP38939" s="7" t="n">
        <f t="normal" ca="1">32-LENB(INDIRECT(ADDRESS(38939,301)))</f>
        <v>0</v>
      </c>
      <c r="KQ38939" s="7" t="n">
        <v>7</v>
      </c>
      <c r="KR38939" s="7" t="n">
        <v>65533</v>
      </c>
      <c r="KS38939" s="7" t="n">
        <v>3821</v>
      </c>
      <c r="KT38939" s="7" t="s">
        <v>16</v>
      </c>
      <c r="KU38939" s="7" t="n">
        <f t="normal" ca="1">32-LENB(INDIRECT(ADDRESS(38939,306)))</f>
        <v>0</v>
      </c>
      <c r="KV38939" s="7" t="n">
        <v>7</v>
      </c>
      <c r="KW38939" s="7" t="n">
        <v>65533</v>
      </c>
      <c r="KX38939" s="7" t="n">
        <v>63901</v>
      </c>
      <c r="KY38939" s="7" t="s">
        <v>16</v>
      </c>
      <c r="KZ38939" s="7" t="n">
        <f t="normal" ca="1">32-LENB(INDIRECT(ADDRESS(38939,311)))</f>
        <v>0</v>
      </c>
      <c r="LA38939" s="7" t="n">
        <v>7</v>
      </c>
      <c r="LB38939" s="7" t="n">
        <v>65533</v>
      </c>
      <c r="LC38939" s="7" t="n">
        <v>63902</v>
      </c>
      <c r="LD38939" s="7" t="s">
        <v>16</v>
      </c>
      <c r="LE38939" s="7" t="n">
        <f t="normal" ca="1">32-LENB(INDIRECT(ADDRESS(38939,316)))</f>
        <v>0</v>
      </c>
      <c r="LF38939" s="7" t="n">
        <v>7</v>
      </c>
      <c r="LG38939" s="7" t="n">
        <v>65533</v>
      </c>
      <c r="LH38939" s="7" t="n">
        <v>3822</v>
      </c>
      <c r="LI38939" s="7" t="s">
        <v>16</v>
      </c>
      <c r="LJ38939" s="7" t="n">
        <f t="normal" ca="1">32-LENB(INDIRECT(ADDRESS(38939,321)))</f>
        <v>0</v>
      </c>
      <c r="LK38939" s="7" t="n">
        <v>0</v>
      </c>
      <c r="LL38939" s="7" t="n">
        <v>65533</v>
      </c>
      <c r="LM38939" s="7" t="n">
        <v>0</v>
      </c>
      <c r="LN38939" s="7" t="s">
        <v>16</v>
      </c>
      <c r="LO38939" s="7" t="n">
        <f t="normal" ca="1">32-LENB(INDIRECT(ADDRESS(38939,326)))</f>
        <v>0</v>
      </c>
    </row>
    <row r="38940" spans="1:407">
      <c r="A38940" t="s">
        <v>4</v>
      </c>
      <c r="B38940" s="4" t="s">
        <v>5</v>
      </c>
    </row>
    <row r="38941" spans="1:407">
      <c r="A38941" t="n">
        <v>455528</v>
      </c>
      <c r="B38941" s="5" t="n">
        <v>1</v>
      </c>
    </row>
    <row r="38942" spans="1:407" s="3" customFormat="1" customHeight="0">
      <c r="A38942" s="3" t="s">
        <v>2</v>
      </c>
      <c r="B38942" s="3" t="s">
        <v>1897</v>
      </c>
    </row>
    <row r="38943" spans="1:407">
      <c r="A38943" t="s">
        <v>4</v>
      </c>
      <c r="B38943" s="4" t="s">
        <v>5</v>
      </c>
      <c r="C38943" s="4" t="s">
        <v>11</v>
      </c>
      <c r="D38943" s="4" t="s">
        <v>11</v>
      </c>
      <c r="E38943" s="4" t="s">
        <v>15</v>
      </c>
      <c r="F38943" s="4" t="s">
        <v>8</v>
      </c>
      <c r="G38943" s="4" t="s">
        <v>1859</v>
      </c>
      <c r="H38943" s="4" t="s">
        <v>11</v>
      </c>
      <c r="I38943" s="4" t="s">
        <v>11</v>
      </c>
      <c r="J38943" s="4" t="s">
        <v>15</v>
      </c>
      <c r="K38943" s="4" t="s">
        <v>8</v>
      </c>
      <c r="L38943" s="4" t="s">
        <v>1859</v>
      </c>
      <c r="M38943" s="4" t="s">
        <v>11</v>
      </c>
      <c r="N38943" s="4" t="s">
        <v>11</v>
      </c>
      <c r="O38943" s="4" t="s">
        <v>15</v>
      </c>
      <c r="P38943" s="4" t="s">
        <v>8</v>
      </c>
      <c r="Q38943" s="4" t="s">
        <v>1859</v>
      </c>
      <c r="R38943" s="4" t="s">
        <v>11</v>
      </c>
      <c r="S38943" s="4" t="s">
        <v>11</v>
      </c>
      <c r="T38943" s="4" t="s">
        <v>15</v>
      </c>
      <c r="U38943" s="4" t="s">
        <v>8</v>
      </c>
      <c r="V38943" s="4" t="s">
        <v>1859</v>
      </c>
      <c r="W38943" s="4" t="s">
        <v>11</v>
      </c>
      <c r="X38943" s="4" t="s">
        <v>11</v>
      </c>
      <c r="Y38943" s="4" t="s">
        <v>15</v>
      </c>
      <c r="Z38943" s="4" t="s">
        <v>8</v>
      </c>
      <c r="AA38943" s="4" t="s">
        <v>1859</v>
      </c>
      <c r="AB38943" s="4" t="s">
        <v>11</v>
      </c>
      <c r="AC38943" s="4" t="s">
        <v>11</v>
      </c>
      <c r="AD38943" s="4" t="s">
        <v>15</v>
      </c>
      <c r="AE38943" s="4" t="s">
        <v>8</v>
      </c>
      <c r="AF38943" s="4" t="s">
        <v>1859</v>
      </c>
      <c r="AG38943" s="4" t="s">
        <v>11</v>
      </c>
      <c r="AH38943" s="4" t="s">
        <v>11</v>
      </c>
      <c r="AI38943" s="4" t="s">
        <v>15</v>
      </c>
      <c r="AJ38943" s="4" t="s">
        <v>8</v>
      </c>
      <c r="AK38943" s="4" t="s">
        <v>1859</v>
      </c>
      <c r="AL38943" s="4" t="s">
        <v>11</v>
      </c>
      <c r="AM38943" s="4" t="s">
        <v>11</v>
      </c>
      <c r="AN38943" s="4" t="s">
        <v>15</v>
      </c>
      <c r="AO38943" s="4" t="s">
        <v>8</v>
      </c>
      <c r="AP38943" s="4" t="s">
        <v>1859</v>
      </c>
      <c r="AQ38943" s="4" t="s">
        <v>11</v>
      </c>
      <c r="AR38943" s="4" t="s">
        <v>11</v>
      </c>
      <c r="AS38943" s="4" t="s">
        <v>15</v>
      </c>
      <c r="AT38943" s="4" t="s">
        <v>8</v>
      </c>
      <c r="AU38943" s="4" t="s">
        <v>1859</v>
      </c>
      <c r="AV38943" s="4" t="s">
        <v>11</v>
      </c>
      <c r="AW38943" s="4" t="s">
        <v>11</v>
      </c>
      <c r="AX38943" s="4" t="s">
        <v>15</v>
      </c>
      <c r="AY38943" s="4" t="s">
        <v>8</v>
      </c>
      <c r="AZ38943" s="4" t="s">
        <v>1859</v>
      </c>
      <c r="BA38943" s="4" t="s">
        <v>11</v>
      </c>
      <c r="BB38943" s="4" t="s">
        <v>11</v>
      </c>
      <c r="BC38943" s="4" t="s">
        <v>15</v>
      </c>
      <c r="BD38943" s="4" t="s">
        <v>8</v>
      </c>
      <c r="BE38943" s="4" t="s">
        <v>1859</v>
      </c>
      <c r="BF38943" s="4" t="s">
        <v>11</v>
      </c>
      <c r="BG38943" s="4" t="s">
        <v>11</v>
      </c>
      <c r="BH38943" s="4" t="s">
        <v>15</v>
      </c>
      <c r="BI38943" s="4" t="s">
        <v>8</v>
      </c>
      <c r="BJ38943" s="4" t="s">
        <v>1859</v>
      </c>
      <c r="BK38943" s="4" t="s">
        <v>11</v>
      </c>
      <c r="BL38943" s="4" t="s">
        <v>11</v>
      </c>
      <c r="BM38943" s="4" t="s">
        <v>15</v>
      </c>
      <c r="BN38943" s="4" t="s">
        <v>8</v>
      </c>
      <c r="BO38943" s="4" t="s">
        <v>1859</v>
      </c>
      <c r="BP38943" s="4" t="s">
        <v>11</v>
      </c>
      <c r="BQ38943" s="4" t="s">
        <v>11</v>
      </c>
      <c r="BR38943" s="4" t="s">
        <v>15</v>
      </c>
      <c r="BS38943" s="4" t="s">
        <v>8</v>
      </c>
      <c r="BT38943" s="4" t="s">
        <v>1859</v>
      </c>
      <c r="BU38943" s="4" t="s">
        <v>11</v>
      </c>
      <c r="BV38943" s="4" t="s">
        <v>11</v>
      </c>
      <c r="BW38943" s="4" t="s">
        <v>15</v>
      </c>
      <c r="BX38943" s="4" t="s">
        <v>8</v>
      </c>
      <c r="BY38943" s="4" t="s">
        <v>1859</v>
      </c>
      <c r="BZ38943" s="4" t="s">
        <v>11</v>
      </c>
      <c r="CA38943" s="4" t="s">
        <v>11</v>
      </c>
      <c r="CB38943" s="4" t="s">
        <v>15</v>
      </c>
      <c r="CC38943" s="4" t="s">
        <v>8</v>
      </c>
      <c r="CD38943" s="4" t="s">
        <v>1859</v>
      </c>
      <c r="CE38943" s="4" t="s">
        <v>11</v>
      </c>
      <c r="CF38943" s="4" t="s">
        <v>11</v>
      </c>
      <c r="CG38943" s="4" t="s">
        <v>15</v>
      </c>
      <c r="CH38943" s="4" t="s">
        <v>8</v>
      </c>
      <c r="CI38943" s="4" t="s">
        <v>1859</v>
      </c>
      <c r="CJ38943" s="4" t="s">
        <v>11</v>
      </c>
      <c r="CK38943" s="4" t="s">
        <v>11</v>
      </c>
      <c r="CL38943" s="4" t="s">
        <v>15</v>
      </c>
      <c r="CM38943" s="4" t="s">
        <v>8</v>
      </c>
      <c r="CN38943" s="4" t="s">
        <v>1859</v>
      </c>
      <c r="CO38943" s="4" t="s">
        <v>11</v>
      </c>
      <c r="CP38943" s="4" t="s">
        <v>11</v>
      </c>
      <c r="CQ38943" s="4" t="s">
        <v>15</v>
      </c>
      <c r="CR38943" s="4" t="s">
        <v>8</v>
      </c>
      <c r="CS38943" s="4" t="s">
        <v>1859</v>
      </c>
      <c r="CT38943" s="4" t="s">
        <v>11</v>
      </c>
      <c r="CU38943" s="4" t="s">
        <v>11</v>
      </c>
      <c r="CV38943" s="4" t="s">
        <v>15</v>
      </c>
      <c r="CW38943" s="4" t="s">
        <v>8</v>
      </c>
      <c r="CX38943" s="4" t="s">
        <v>1859</v>
      </c>
      <c r="CY38943" s="4" t="s">
        <v>11</v>
      </c>
      <c r="CZ38943" s="4" t="s">
        <v>11</v>
      </c>
      <c r="DA38943" s="4" t="s">
        <v>15</v>
      </c>
      <c r="DB38943" s="4" t="s">
        <v>8</v>
      </c>
      <c r="DC38943" s="4" t="s">
        <v>1859</v>
      </c>
      <c r="DD38943" s="4" t="s">
        <v>11</v>
      </c>
      <c r="DE38943" s="4" t="s">
        <v>11</v>
      </c>
      <c r="DF38943" s="4" t="s">
        <v>15</v>
      </c>
      <c r="DG38943" s="4" t="s">
        <v>8</v>
      </c>
      <c r="DH38943" s="4" t="s">
        <v>1859</v>
      </c>
      <c r="DI38943" s="4" t="s">
        <v>11</v>
      </c>
      <c r="DJ38943" s="4" t="s">
        <v>11</v>
      </c>
      <c r="DK38943" s="4" t="s">
        <v>15</v>
      </c>
      <c r="DL38943" s="4" t="s">
        <v>8</v>
      </c>
      <c r="DM38943" s="4" t="s">
        <v>1859</v>
      </c>
      <c r="DN38943" s="4" t="s">
        <v>11</v>
      </c>
      <c r="DO38943" s="4" t="s">
        <v>11</v>
      </c>
      <c r="DP38943" s="4" t="s">
        <v>15</v>
      </c>
      <c r="DQ38943" s="4" t="s">
        <v>8</v>
      </c>
      <c r="DR38943" s="4" t="s">
        <v>1859</v>
      </c>
      <c r="DS38943" s="4" t="s">
        <v>11</v>
      </c>
      <c r="DT38943" s="4" t="s">
        <v>11</v>
      </c>
      <c r="DU38943" s="4" t="s">
        <v>15</v>
      </c>
      <c r="DV38943" s="4" t="s">
        <v>8</v>
      </c>
      <c r="DW38943" s="4" t="s">
        <v>1859</v>
      </c>
      <c r="DX38943" s="4" t="s">
        <v>11</v>
      </c>
      <c r="DY38943" s="4" t="s">
        <v>11</v>
      </c>
      <c r="DZ38943" s="4" t="s">
        <v>15</v>
      </c>
      <c r="EA38943" s="4" t="s">
        <v>8</v>
      </c>
      <c r="EB38943" s="4" t="s">
        <v>1859</v>
      </c>
      <c r="EC38943" s="4" t="s">
        <v>11</v>
      </c>
      <c r="ED38943" s="4" t="s">
        <v>11</v>
      </c>
      <c r="EE38943" s="4" t="s">
        <v>15</v>
      </c>
      <c r="EF38943" s="4" t="s">
        <v>8</v>
      </c>
      <c r="EG38943" s="4" t="s">
        <v>1859</v>
      </c>
      <c r="EH38943" s="4" t="s">
        <v>11</v>
      </c>
      <c r="EI38943" s="4" t="s">
        <v>11</v>
      </c>
      <c r="EJ38943" s="4" t="s">
        <v>15</v>
      </c>
      <c r="EK38943" s="4" t="s">
        <v>8</v>
      </c>
      <c r="EL38943" s="4" t="s">
        <v>1859</v>
      </c>
      <c r="EM38943" s="4" t="s">
        <v>11</v>
      </c>
      <c r="EN38943" s="4" t="s">
        <v>11</v>
      </c>
      <c r="EO38943" s="4" t="s">
        <v>15</v>
      </c>
      <c r="EP38943" s="4" t="s">
        <v>8</v>
      </c>
      <c r="EQ38943" s="4" t="s">
        <v>1859</v>
      </c>
      <c r="ER38943" s="4" t="s">
        <v>11</v>
      </c>
      <c r="ES38943" s="4" t="s">
        <v>11</v>
      </c>
      <c r="ET38943" s="4" t="s">
        <v>15</v>
      </c>
      <c r="EU38943" s="4" t="s">
        <v>8</v>
      </c>
      <c r="EV38943" s="4" t="s">
        <v>1859</v>
      </c>
      <c r="EW38943" s="4" t="s">
        <v>11</v>
      </c>
      <c r="EX38943" s="4" t="s">
        <v>11</v>
      </c>
      <c r="EY38943" s="4" t="s">
        <v>15</v>
      </c>
      <c r="EZ38943" s="4" t="s">
        <v>8</v>
      </c>
      <c r="FA38943" s="4" t="s">
        <v>1859</v>
      </c>
      <c r="FB38943" s="4" t="s">
        <v>11</v>
      </c>
      <c r="FC38943" s="4" t="s">
        <v>11</v>
      </c>
      <c r="FD38943" s="4" t="s">
        <v>15</v>
      </c>
      <c r="FE38943" s="4" t="s">
        <v>8</v>
      </c>
      <c r="FF38943" s="4" t="s">
        <v>1859</v>
      </c>
      <c r="FG38943" s="4" t="s">
        <v>11</v>
      </c>
      <c r="FH38943" s="4" t="s">
        <v>11</v>
      </c>
      <c r="FI38943" s="4" t="s">
        <v>15</v>
      </c>
      <c r="FJ38943" s="4" t="s">
        <v>8</v>
      </c>
      <c r="FK38943" s="4" t="s">
        <v>1859</v>
      </c>
      <c r="FL38943" s="4" t="s">
        <v>11</v>
      </c>
      <c r="FM38943" s="4" t="s">
        <v>11</v>
      </c>
      <c r="FN38943" s="4" t="s">
        <v>15</v>
      </c>
      <c r="FO38943" s="4" t="s">
        <v>8</v>
      </c>
      <c r="FP38943" s="4" t="s">
        <v>1859</v>
      </c>
      <c r="FQ38943" s="4" t="s">
        <v>11</v>
      </c>
      <c r="FR38943" s="4" t="s">
        <v>11</v>
      </c>
      <c r="FS38943" s="4" t="s">
        <v>15</v>
      </c>
      <c r="FT38943" s="4" t="s">
        <v>8</v>
      </c>
      <c r="FU38943" s="4" t="s">
        <v>1859</v>
      </c>
      <c r="FV38943" s="4" t="s">
        <v>11</v>
      </c>
      <c r="FW38943" s="4" t="s">
        <v>11</v>
      </c>
      <c r="FX38943" s="4" t="s">
        <v>15</v>
      </c>
      <c r="FY38943" s="4" t="s">
        <v>8</v>
      </c>
      <c r="FZ38943" s="4" t="s">
        <v>1859</v>
      </c>
      <c r="GA38943" s="4" t="s">
        <v>11</v>
      </c>
      <c r="GB38943" s="4" t="s">
        <v>11</v>
      </c>
      <c r="GC38943" s="4" t="s">
        <v>15</v>
      </c>
      <c r="GD38943" s="4" t="s">
        <v>8</v>
      </c>
      <c r="GE38943" s="4" t="s">
        <v>1859</v>
      </c>
      <c r="GF38943" s="4" t="s">
        <v>11</v>
      </c>
      <c r="GG38943" s="4" t="s">
        <v>11</v>
      </c>
      <c r="GH38943" s="4" t="s">
        <v>15</v>
      </c>
      <c r="GI38943" s="4" t="s">
        <v>8</v>
      </c>
      <c r="GJ38943" s="4" t="s">
        <v>1859</v>
      </c>
      <c r="GK38943" s="4" t="s">
        <v>11</v>
      </c>
      <c r="GL38943" s="4" t="s">
        <v>11</v>
      </c>
      <c r="GM38943" s="4" t="s">
        <v>15</v>
      </c>
      <c r="GN38943" s="4" t="s">
        <v>8</v>
      </c>
      <c r="GO38943" s="4" t="s">
        <v>1859</v>
      </c>
      <c r="GP38943" s="4" t="s">
        <v>11</v>
      </c>
      <c r="GQ38943" s="4" t="s">
        <v>11</v>
      </c>
      <c r="GR38943" s="4" t="s">
        <v>15</v>
      </c>
      <c r="GS38943" s="4" t="s">
        <v>8</v>
      </c>
      <c r="GT38943" s="4" t="s">
        <v>1859</v>
      </c>
      <c r="GU38943" s="4" t="s">
        <v>11</v>
      </c>
      <c r="GV38943" s="4" t="s">
        <v>11</v>
      </c>
      <c r="GW38943" s="4" t="s">
        <v>15</v>
      </c>
      <c r="GX38943" s="4" t="s">
        <v>8</v>
      </c>
      <c r="GY38943" s="4" t="s">
        <v>1859</v>
      </c>
      <c r="GZ38943" s="4" t="s">
        <v>11</v>
      </c>
      <c r="HA38943" s="4" t="s">
        <v>11</v>
      </c>
      <c r="HB38943" s="4" t="s">
        <v>15</v>
      </c>
      <c r="HC38943" s="4" t="s">
        <v>8</v>
      </c>
      <c r="HD38943" s="4" t="s">
        <v>1859</v>
      </c>
      <c r="HE38943" s="4" t="s">
        <v>11</v>
      </c>
      <c r="HF38943" s="4" t="s">
        <v>11</v>
      </c>
      <c r="HG38943" s="4" t="s">
        <v>15</v>
      </c>
      <c r="HH38943" s="4" t="s">
        <v>8</v>
      </c>
      <c r="HI38943" s="4" t="s">
        <v>1859</v>
      </c>
      <c r="HJ38943" s="4" t="s">
        <v>11</v>
      </c>
      <c r="HK38943" s="4" t="s">
        <v>11</v>
      </c>
      <c r="HL38943" s="4" t="s">
        <v>15</v>
      </c>
      <c r="HM38943" s="4" t="s">
        <v>8</v>
      </c>
      <c r="HN38943" s="4" t="s">
        <v>1859</v>
      </c>
      <c r="HO38943" s="4" t="s">
        <v>11</v>
      </c>
      <c r="HP38943" s="4" t="s">
        <v>11</v>
      </c>
      <c r="HQ38943" s="4" t="s">
        <v>15</v>
      </c>
      <c r="HR38943" s="4" t="s">
        <v>8</v>
      </c>
      <c r="HS38943" s="4" t="s">
        <v>1859</v>
      </c>
      <c r="HT38943" s="4" t="s">
        <v>11</v>
      </c>
      <c r="HU38943" s="4" t="s">
        <v>11</v>
      </c>
      <c r="HV38943" s="4" t="s">
        <v>15</v>
      </c>
      <c r="HW38943" s="4" t="s">
        <v>8</v>
      </c>
      <c r="HX38943" s="4" t="s">
        <v>1859</v>
      </c>
    </row>
    <row r="38944" spans="1:407">
      <c r="A38944" t="n">
        <v>455536</v>
      </c>
      <c r="B38944" s="85" t="n">
        <v>257</v>
      </c>
      <c r="C38944" s="7" t="n">
        <v>7</v>
      </c>
      <c r="D38944" s="7" t="n">
        <v>65533</v>
      </c>
      <c r="E38944" s="7" t="n">
        <v>64588</v>
      </c>
      <c r="F38944" s="7" t="s">
        <v>16</v>
      </c>
      <c r="G38944" s="7" t="n">
        <f t="normal" ca="1">32-LENB(INDIRECT(ADDRESS(38944,6)))</f>
        <v>0</v>
      </c>
      <c r="H38944" s="7" t="n">
        <v>4</v>
      </c>
      <c r="I38944" s="7" t="n">
        <v>65533</v>
      </c>
      <c r="J38944" s="7" t="n">
        <v>2000</v>
      </c>
      <c r="K38944" s="7" t="s">
        <v>16</v>
      </c>
      <c r="L38944" s="7" t="n">
        <f t="normal" ca="1">32-LENB(INDIRECT(ADDRESS(38944,11)))</f>
        <v>0</v>
      </c>
      <c r="M38944" s="7" t="n">
        <v>7</v>
      </c>
      <c r="N38944" s="7" t="n">
        <v>65533</v>
      </c>
      <c r="O38944" s="7" t="n">
        <v>64589</v>
      </c>
      <c r="P38944" s="7" t="s">
        <v>16</v>
      </c>
      <c r="Q38944" s="7" t="n">
        <f t="normal" ca="1">32-LENB(INDIRECT(ADDRESS(38944,16)))</f>
        <v>0</v>
      </c>
      <c r="R38944" s="7" t="n">
        <v>7</v>
      </c>
      <c r="S38944" s="7" t="n">
        <v>65533</v>
      </c>
      <c r="T38944" s="7" t="n">
        <v>64590</v>
      </c>
      <c r="U38944" s="7" t="s">
        <v>16</v>
      </c>
      <c r="V38944" s="7" t="n">
        <f t="normal" ca="1">32-LENB(INDIRECT(ADDRESS(38944,21)))</f>
        <v>0</v>
      </c>
      <c r="W38944" s="7" t="n">
        <v>7</v>
      </c>
      <c r="X38944" s="7" t="n">
        <v>65533</v>
      </c>
      <c r="Y38944" s="7" t="n">
        <v>64591</v>
      </c>
      <c r="Z38944" s="7" t="s">
        <v>16</v>
      </c>
      <c r="AA38944" s="7" t="n">
        <f t="normal" ca="1">32-LENB(INDIRECT(ADDRESS(38944,26)))</f>
        <v>0</v>
      </c>
      <c r="AB38944" s="7" t="n">
        <v>7</v>
      </c>
      <c r="AC38944" s="7" t="n">
        <v>65533</v>
      </c>
      <c r="AD38944" s="7" t="n">
        <v>64592</v>
      </c>
      <c r="AE38944" s="7" t="s">
        <v>16</v>
      </c>
      <c r="AF38944" s="7" t="n">
        <f t="normal" ca="1">32-LENB(INDIRECT(ADDRESS(38944,31)))</f>
        <v>0</v>
      </c>
      <c r="AG38944" s="7" t="n">
        <v>7</v>
      </c>
      <c r="AH38944" s="7" t="n">
        <v>65533</v>
      </c>
      <c r="AI38944" s="7" t="n">
        <v>64593</v>
      </c>
      <c r="AJ38944" s="7" t="s">
        <v>16</v>
      </c>
      <c r="AK38944" s="7" t="n">
        <f t="normal" ca="1">32-LENB(INDIRECT(ADDRESS(38944,36)))</f>
        <v>0</v>
      </c>
      <c r="AL38944" s="7" t="n">
        <v>7</v>
      </c>
      <c r="AM38944" s="7" t="n">
        <v>65533</v>
      </c>
      <c r="AN38944" s="7" t="n">
        <v>64594</v>
      </c>
      <c r="AO38944" s="7" t="s">
        <v>16</v>
      </c>
      <c r="AP38944" s="7" t="n">
        <f t="normal" ca="1">32-LENB(INDIRECT(ADDRESS(38944,41)))</f>
        <v>0</v>
      </c>
      <c r="AQ38944" s="7" t="n">
        <v>7</v>
      </c>
      <c r="AR38944" s="7" t="n">
        <v>65533</v>
      </c>
      <c r="AS38944" s="7" t="n">
        <v>64595</v>
      </c>
      <c r="AT38944" s="7" t="s">
        <v>16</v>
      </c>
      <c r="AU38944" s="7" t="n">
        <f t="normal" ca="1">32-LENB(INDIRECT(ADDRESS(38944,46)))</f>
        <v>0</v>
      </c>
      <c r="AV38944" s="7" t="n">
        <v>7</v>
      </c>
      <c r="AW38944" s="7" t="n">
        <v>65533</v>
      </c>
      <c r="AX38944" s="7" t="n">
        <v>64596</v>
      </c>
      <c r="AY38944" s="7" t="s">
        <v>16</v>
      </c>
      <c r="AZ38944" s="7" t="n">
        <f t="normal" ca="1">32-LENB(INDIRECT(ADDRESS(38944,51)))</f>
        <v>0</v>
      </c>
      <c r="BA38944" s="7" t="n">
        <v>7</v>
      </c>
      <c r="BB38944" s="7" t="n">
        <v>65533</v>
      </c>
      <c r="BC38944" s="7" t="n">
        <v>64597</v>
      </c>
      <c r="BD38944" s="7" t="s">
        <v>16</v>
      </c>
      <c r="BE38944" s="7" t="n">
        <f t="normal" ca="1">32-LENB(INDIRECT(ADDRESS(38944,56)))</f>
        <v>0</v>
      </c>
      <c r="BF38944" s="7" t="n">
        <v>7</v>
      </c>
      <c r="BG38944" s="7" t="n">
        <v>65533</v>
      </c>
      <c r="BH38944" s="7" t="n">
        <v>64599</v>
      </c>
      <c r="BI38944" s="7" t="s">
        <v>16</v>
      </c>
      <c r="BJ38944" s="7" t="n">
        <f t="normal" ca="1">32-LENB(INDIRECT(ADDRESS(38944,61)))</f>
        <v>0</v>
      </c>
      <c r="BK38944" s="7" t="n">
        <v>7</v>
      </c>
      <c r="BL38944" s="7" t="n">
        <v>65533</v>
      </c>
      <c r="BM38944" s="7" t="n">
        <v>64600</v>
      </c>
      <c r="BN38944" s="7" t="s">
        <v>16</v>
      </c>
      <c r="BO38944" s="7" t="n">
        <f t="normal" ca="1">32-LENB(INDIRECT(ADDRESS(38944,66)))</f>
        <v>0</v>
      </c>
      <c r="BP38944" s="7" t="n">
        <v>7</v>
      </c>
      <c r="BQ38944" s="7" t="n">
        <v>65533</v>
      </c>
      <c r="BR38944" s="7" t="n">
        <v>64601</v>
      </c>
      <c r="BS38944" s="7" t="s">
        <v>16</v>
      </c>
      <c r="BT38944" s="7" t="n">
        <f t="normal" ca="1">32-LENB(INDIRECT(ADDRESS(38944,71)))</f>
        <v>0</v>
      </c>
      <c r="BU38944" s="7" t="n">
        <v>7</v>
      </c>
      <c r="BV38944" s="7" t="n">
        <v>65533</v>
      </c>
      <c r="BW38944" s="7" t="n">
        <v>64602</v>
      </c>
      <c r="BX38944" s="7" t="s">
        <v>16</v>
      </c>
      <c r="BY38944" s="7" t="n">
        <f t="normal" ca="1">32-LENB(INDIRECT(ADDRESS(38944,76)))</f>
        <v>0</v>
      </c>
      <c r="BZ38944" s="7" t="n">
        <v>7</v>
      </c>
      <c r="CA38944" s="7" t="n">
        <v>65533</v>
      </c>
      <c r="CB38944" s="7" t="n">
        <v>64603</v>
      </c>
      <c r="CC38944" s="7" t="s">
        <v>16</v>
      </c>
      <c r="CD38944" s="7" t="n">
        <f t="normal" ca="1">32-LENB(INDIRECT(ADDRESS(38944,81)))</f>
        <v>0</v>
      </c>
      <c r="CE38944" s="7" t="n">
        <v>7</v>
      </c>
      <c r="CF38944" s="7" t="n">
        <v>65533</v>
      </c>
      <c r="CG38944" s="7" t="n">
        <v>64604</v>
      </c>
      <c r="CH38944" s="7" t="s">
        <v>16</v>
      </c>
      <c r="CI38944" s="7" t="n">
        <f t="normal" ca="1">32-LENB(INDIRECT(ADDRESS(38944,86)))</f>
        <v>0</v>
      </c>
      <c r="CJ38944" s="7" t="n">
        <v>7</v>
      </c>
      <c r="CK38944" s="7" t="n">
        <v>65533</v>
      </c>
      <c r="CL38944" s="7" t="n">
        <v>64605</v>
      </c>
      <c r="CM38944" s="7" t="s">
        <v>16</v>
      </c>
      <c r="CN38944" s="7" t="n">
        <f t="normal" ca="1">32-LENB(INDIRECT(ADDRESS(38944,91)))</f>
        <v>0</v>
      </c>
      <c r="CO38944" s="7" t="n">
        <v>7</v>
      </c>
      <c r="CP38944" s="7" t="n">
        <v>65533</v>
      </c>
      <c r="CQ38944" s="7" t="n">
        <v>64606</v>
      </c>
      <c r="CR38944" s="7" t="s">
        <v>16</v>
      </c>
      <c r="CS38944" s="7" t="n">
        <f t="normal" ca="1">32-LENB(INDIRECT(ADDRESS(38944,96)))</f>
        <v>0</v>
      </c>
      <c r="CT38944" s="7" t="n">
        <v>7</v>
      </c>
      <c r="CU38944" s="7" t="n">
        <v>65533</v>
      </c>
      <c r="CV38944" s="7" t="n">
        <v>64620</v>
      </c>
      <c r="CW38944" s="7" t="s">
        <v>16</v>
      </c>
      <c r="CX38944" s="7" t="n">
        <f t="normal" ca="1">32-LENB(INDIRECT(ADDRESS(38944,101)))</f>
        <v>0</v>
      </c>
      <c r="CY38944" s="7" t="n">
        <v>7</v>
      </c>
      <c r="CZ38944" s="7" t="n">
        <v>65533</v>
      </c>
      <c r="DA38944" s="7" t="n">
        <v>64621</v>
      </c>
      <c r="DB38944" s="7" t="s">
        <v>16</v>
      </c>
      <c r="DC38944" s="7" t="n">
        <f t="normal" ca="1">32-LENB(INDIRECT(ADDRESS(38944,106)))</f>
        <v>0</v>
      </c>
      <c r="DD38944" s="7" t="n">
        <v>7</v>
      </c>
      <c r="DE38944" s="7" t="n">
        <v>65533</v>
      </c>
      <c r="DF38944" s="7" t="n">
        <v>64622</v>
      </c>
      <c r="DG38944" s="7" t="s">
        <v>16</v>
      </c>
      <c r="DH38944" s="7" t="n">
        <f t="normal" ca="1">32-LENB(INDIRECT(ADDRESS(38944,111)))</f>
        <v>0</v>
      </c>
      <c r="DI38944" s="7" t="n">
        <v>7</v>
      </c>
      <c r="DJ38944" s="7" t="n">
        <v>65533</v>
      </c>
      <c r="DK38944" s="7" t="n">
        <v>64623</v>
      </c>
      <c r="DL38944" s="7" t="s">
        <v>16</v>
      </c>
      <c r="DM38944" s="7" t="n">
        <f t="normal" ca="1">32-LENB(INDIRECT(ADDRESS(38944,116)))</f>
        <v>0</v>
      </c>
      <c r="DN38944" s="7" t="n">
        <v>7</v>
      </c>
      <c r="DO38944" s="7" t="n">
        <v>65533</v>
      </c>
      <c r="DP38944" s="7" t="n">
        <v>64624</v>
      </c>
      <c r="DQ38944" s="7" t="s">
        <v>16</v>
      </c>
      <c r="DR38944" s="7" t="n">
        <f t="normal" ca="1">32-LENB(INDIRECT(ADDRESS(38944,121)))</f>
        <v>0</v>
      </c>
      <c r="DS38944" s="7" t="n">
        <v>7</v>
      </c>
      <c r="DT38944" s="7" t="n">
        <v>65533</v>
      </c>
      <c r="DU38944" s="7" t="n">
        <v>64418</v>
      </c>
      <c r="DV38944" s="7" t="s">
        <v>16</v>
      </c>
      <c r="DW38944" s="7" t="n">
        <f t="normal" ca="1">32-LENB(INDIRECT(ADDRESS(38944,126)))</f>
        <v>0</v>
      </c>
      <c r="DX38944" s="7" t="n">
        <v>7</v>
      </c>
      <c r="DY38944" s="7" t="n">
        <v>65533</v>
      </c>
      <c r="DZ38944" s="7" t="n">
        <v>65314</v>
      </c>
      <c r="EA38944" s="7" t="s">
        <v>16</v>
      </c>
      <c r="EB38944" s="7" t="n">
        <f t="normal" ca="1">32-LENB(INDIRECT(ADDRESS(38944,131)))</f>
        <v>0</v>
      </c>
      <c r="EC38944" s="7" t="n">
        <v>7</v>
      </c>
      <c r="ED38944" s="7" t="n">
        <v>65533</v>
      </c>
      <c r="EE38944" s="7" t="n">
        <v>64625</v>
      </c>
      <c r="EF38944" s="7" t="s">
        <v>16</v>
      </c>
      <c r="EG38944" s="7" t="n">
        <f t="normal" ca="1">32-LENB(INDIRECT(ADDRESS(38944,136)))</f>
        <v>0</v>
      </c>
      <c r="EH38944" s="7" t="n">
        <v>7</v>
      </c>
      <c r="EI38944" s="7" t="n">
        <v>65533</v>
      </c>
      <c r="EJ38944" s="7" t="n">
        <v>64626</v>
      </c>
      <c r="EK38944" s="7" t="s">
        <v>16</v>
      </c>
      <c r="EL38944" s="7" t="n">
        <f t="normal" ca="1">32-LENB(INDIRECT(ADDRESS(38944,141)))</f>
        <v>0</v>
      </c>
      <c r="EM38944" s="7" t="n">
        <v>7</v>
      </c>
      <c r="EN38944" s="7" t="n">
        <v>65533</v>
      </c>
      <c r="EO38944" s="7" t="n">
        <v>64627</v>
      </c>
      <c r="EP38944" s="7" t="s">
        <v>16</v>
      </c>
      <c r="EQ38944" s="7" t="n">
        <f t="normal" ca="1">32-LENB(INDIRECT(ADDRESS(38944,146)))</f>
        <v>0</v>
      </c>
      <c r="ER38944" s="7" t="n">
        <v>7</v>
      </c>
      <c r="ES38944" s="7" t="n">
        <v>65533</v>
      </c>
      <c r="ET38944" s="7" t="n">
        <v>64628</v>
      </c>
      <c r="EU38944" s="7" t="s">
        <v>16</v>
      </c>
      <c r="EV38944" s="7" t="n">
        <f t="normal" ca="1">32-LENB(INDIRECT(ADDRESS(38944,151)))</f>
        <v>0</v>
      </c>
      <c r="EW38944" s="7" t="n">
        <v>7</v>
      </c>
      <c r="EX38944" s="7" t="n">
        <v>65533</v>
      </c>
      <c r="EY38944" s="7" t="n">
        <v>64629</v>
      </c>
      <c r="EZ38944" s="7" t="s">
        <v>16</v>
      </c>
      <c r="FA38944" s="7" t="n">
        <f t="normal" ca="1">32-LENB(INDIRECT(ADDRESS(38944,156)))</f>
        <v>0</v>
      </c>
      <c r="FB38944" s="7" t="n">
        <v>7</v>
      </c>
      <c r="FC38944" s="7" t="n">
        <v>65533</v>
      </c>
      <c r="FD38944" s="7" t="n">
        <v>64630</v>
      </c>
      <c r="FE38944" s="7" t="s">
        <v>16</v>
      </c>
      <c r="FF38944" s="7" t="n">
        <f t="normal" ca="1">32-LENB(INDIRECT(ADDRESS(38944,161)))</f>
        <v>0</v>
      </c>
      <c r="FG38944" s="7" t="n">
        <v>7</v>
      </c>
      <c r="FH38944" s="7" t="n">
        <v>65533</v>
      </c>
      <c r="FI38944" s="7" t="n">
        <v>64631</v>
      </c>
      <c r="FJ38944" s="7" t="s">
        <v>16</v>
      </c>
      <c r="FK38944" s="7" t="n">
        <f t="normal" ca="1">32-LENB(INDIRECT(ADDRESS(38944,166)))</f>
        <v>0</v>
      </c>
      <c r="FL38944" s="7" t="n">
        <v>7</v>
      </c>
      <c r="FM38944" s="7" t="n">
        <v>65533</v>
      </c>
      <c r="FN38944" s="7" t="n">
        <v>64632</v>
      </c>
      <c r="FO38944" s="7" t="s">
        <v>16</v>
      </c>
      <c r="FP38944" s="7" t="n">
        <f t="normal" ca="1">32-LENB(INDIRECT(ADDRESS(38944,171)))</f>
        <v>0</v>
      </c>
      <c r="FQ38944" s="7" t="n">
        <v>7</v>
      </c>
      <c r="FR38944" s="7" t="n">
        <v>65533</v>
      </c>
      <c r="FS38944" s="7" t="n">
        <v>64633</v>
      </c>
      <c r="FT38944" s="7" t="s">
        <v>16</v>
      </c>
      <c r="FU38944" s="7" t="n">
        <f t="normal" ca="1">32-LENB(INDIRECT(ADDRESS(38944,176)))</f>
        <v>0</v>
      </c>
      <c r="FV38944" s="7" t="n">
        <v>4</v>
      </c>
      <c r="FW38944" s="7" t="n">
        <v>65533</v>
      </c>
      <c r="FX38944" s="7" t="n">
        <v>2004</v>
      </c>
      <c r="FY38944" s="7" t="s">
        <v>16</v>
      </c>
      <c r="FZ38944" s="7" t="n">
        <f t="normal" ca="1">32-LENB(INDIRECT(ADDRESS(38944,181)))</f>
        <v>0</v>
      </c>
      <c r="GA38944" s="7" t="n">
        <v>7</v>
      </c>
      <c r="GB38944" s="7" t="n">
        <v>65533</v>
      </c>
      <c r="GC38944" s="7" t="n">
        <v>64268</v>
      </c>
      <c r="GD38944" s="7" t="s">
        <v>16</v>
      </c>
      <c r="GE38944" s="7" t="n">
        <f t="normal" ca="1">32-LENB(INDIRECT(ADDRESS(38944,186)))</f>
        <v>0</v>
      </c>
      <c r="GF38944" s="7" t="n">
        <v>7</v>
      </c>
      <c r="GG38944" s="7" t="n">
        <v>65533</v>
      </c>
      <c r="GH38944" s="7" t="n">
        <v>64634</v>
      </c>
      <c r="GI38944" s="7" t="s">
        <v>16</v>
      </c>
      <c r="GJ38944" s="7" t="n">
        <f t="normal" ca="1">32-LENB(INDIRECT(ADDRESS(38944,191)))</f>
        <v>0</v>
      </c>
      <c r="GK38944" s="7" t="n">
        <v>7</v>
      </c>
      <c r="GL38944" s="7" t="n">
        <v>65533</v>
      </c>
      <c r="GM38944" s="7" t="n">
        <v>64635</v>
      </c>
      <c r="GN38944" s="7" t="s">
        <v>16</v>
      </c>
      <c r="GO38944" s="7" t="n">
        <f t="normal" ca="1">32-LENB(INDIRECT(ADDRESS(38944,196)))</f>
        <v>0</v>
      </c>
      <c r="GP38944" s="7" t="n">
        <v>7</v>
      </c>
      <c r="GQ38944" s="7" t="n">
        <v>65533</v>
      </c>
      <c r="GR38944" s="7" t="n">
        <v>64636</v>
      </c>
      <c r="GS38944" s="7" t="s">
        <v>16</v>
      </c>
      <c r="GT38944" s="7" t="n">
        <f t="normal" ca="1">32-LENB(INDIRECT(ADDRESS(38944,201)))</f>
        <v>0</v>
      </c>
      <c r="GU38944" s="7" t="n">
        <v>7</v>
      </c>
      <c r="GV38944" s="7" t="n">
        <v>65533</v>
      </c>
      <c r="GW38944" s="7" t="n">
        <v>64637</v>
      </c>
      <c r="GX38944" s="7" t="s">
        <v>16</v>
      </c>
      <c r="GY38944" s="7" t="n">
        <f t="normal" ca="1">32-LENB(INDIRECT(ADDRESS(38944,206)))</f>
        <v>0</v>
      </c>
      <c r="GZ38944" s="7" t="n">
        <v>7</v>
      </c>
      <c r="HA38944" s="7" t="n">
        <v>65533</v>
      </c>
      <c r="HB38944" s="7" t="n">
        <v>64638</v>
      </c>
      <c r="HC38944" s="7" t="s">
        <v>16</v>
      </c>
      <c r="HD38944" s="7" t="n">
        <f t="normal" ca="1">32-LENB(INDIRECT(ADDRESS(38944,211)))</f>
        <v>0</v>
      </c>
      <c r="HE38944" s="7" t="n">
        <v>7</v>
      </c>
      <c r="HF38944" s="7" t="n">
        <v>65533</v>
      </c>
      <c r="HG38944" s="7" t="n">
        <v>64639</v>
      </c>
      <c r="HH38944" s="7" t="s">
        <v>16</v>
      </c>
      <c r="HI38944" s="7" t="n">
        <f t="normal" ca="1">32-LENB(INDIRECT(ADDRESS(38944,216)))</f>
        <v>0</v>
      </c>
      <c r="HJ38944" s="7" t="n">
        <v>7</v>
      </c>
      <c r="HK38944" s="7" t="n">
        <v>65533</v>
      </c>
      <c r="HL38944" s="7" t="n">
        <v>64640</v>
      </c>
      <c r="HM38944" s="7" t="s">
        <v>16</v>
      </c>
      <c r="HN38944" s="7" t="n">
        <f t="normal" ca="1">32-LENB(INDIRECT(ADDRESS(38944,221)))</f>
        <v>0</v>
      </c>
      <c r="HO38944" s="7" t="n">
        <v>7</v>
      </c>
      <c r="HP38944" s="7" t="n">
        <v>65533</v>
      </c>
      <c r="HQ38944" s="7" t="n">
        <v>64641</v>
      </c>
      <c r="HR38944" s="7" t="s">
        <v>16</v>
      </c>
      <c r="HS38944" s="7" t="n">
        <f t="normal" ca="1">32-LENB(INDIRECT(ADDRESS(38944,226)))</f>
        <v>0</v>
      </c>
      <c r="HT38944" s="7" t="n">
        <v>0</v>
      </c>
      <c r="HU38944" s="7" t="n">
        <v>65533</v>
      </c>
      <c r="HV38944" s="7" t="n">
        <v>0</v>
      </c>
      <c r="HW38944" s="7" t="s">
        <v>16</v>
      </c>
      <c r="HX38944" s="7" t="n">
        <f t="normal" ca="1">32-LENB(INDIRECT(ADDRESS(38944,231)))</f>
        <v>0</v>
      </c>
    </row>
    <row r="38945" spans="1:382">
      <c r="A38945" t="s">
        <v>4</v>
      </c>
      <c r="B38945" s="4" t="s">
        <v>5</v>
      </c>
    </row>
    <row r="38946" spans="1:382">
      <c r="A38946" t="n">
        <v>457376</v>
      </c>
      <c r="B38946" s="5" t="n">
        <v>1</v>
      </c>
    </row>
    <row r="38947" spans="1:382" s="3" customFormat="1" customHeight="0">
      <c r="A38947" s="3" t="s">
        <v>2</v>
      </c>
      <c r="B38947" s="3" t="s">
        <v>1898</v>
      </c>
    </row>
    <row r="38948" spans="1:382">
      <c r="A38948" t="s">
        <v>4</v>
      </c>
      <c r="B38948" s="4" t="s">
        <v>5</v>
      </c>
      <c r="C38948" s="4" t="s">
        <v>11</v>
      </c>
      <c r="D38948" s="4" t="s">
        <v>11</v>
      </c>
      <c r="E38948" s="4" t="s">
        <v>15</v>
      </c>
      <c r="F38948" s="4" t="s">
        <v>8</v>
      </c>
      <c r="G38948" s="4" t="s">
        <v>1859</v>
      </c>
      <c r="H38948" s="4" t="s">
        <v>11</v>
      </c>
      <c r="I38948" s="4" t="s">
        <v>11</v>
      </c>
      <c r="J38948" s="4" t="s">
        <v>15</v>
      </c>
      <c r="K38948" s="4" t="s">
        <v>8</v>
      </c>
      <c r="L38948" s="4" t="s">
        <v>1859</v>
      </c>
      <c r="M38948" s="4" t="s">
        <v>11</v>
      </c>
      <c r="N38948" s="4" t="s">
        <v>11</v>
      </c>
      <c r="O38948" s="4" t="s">
        <v>15</v>
      </c>
      <c r="P38948" s="4" t="s">
        <v>8</v>
      </c>
      <c r="Q38948" s="4" t="s">
        <v>1859</v>
      </c>
      <c r="R38948" s="4" t="s">
        <v>11</v>
      </c>
      <c r="S38948" s="4" t="s">
        <v>11</v>
      </c>
      <c r="T38948" s="4" t="s">
        <v>15</v>
      </c>
      <c r="U38948" s="4" t="s">
        <v>8</v>
      </c>
      <c r="V38948" s="4" t="s">
        <v>1859</v>
      </c>
      <c r="W38948" s="4" t="s">
        <v>11</v>
      </c>
      <c r="X38948" s="4" t="s">
        <v>11</v>
      </c>
      <c r="Y38948" s="4" t="s">
        <v>15</v>
      </c>
      <c r="Z38948" s="4" t="s">
        <v>8</v>
      </c>
      <c r="AA38948" s="4" t="s">
        <v>1859</v>
      </c>
      <c r="AB38948" s="4" t="s">
        <v>11</v>
      </c>
      <c r="AC38948" s="4" t="s">
        <v>11</v>
      </c>
      <c r="AD38948" s="4" t="s">
        <v>15</v>
      </c>
      <c r="AE38948" s="4" t="s">
        <v>8</v>
      </c>
      <c r="AF38948" s="4" t="s">
        <v>1859</v>
      </c>
      <c r="AG38948" s="4" t="s">
        <v>11</v>
      </c>
      <c r="AH38948" s="4" t="s">
        <v>11</v>
      </c>
      <c r="AI38948" s="4" t="s">
        <v>15</v>
      </c>
      <c r="AJ38948" s="4" t="s">
        <v>8</v>
      </c>
      <c r="AK38948" s="4" t="s">
        <v>1859</v>
      </c>
      <c r="AL38948" s="4" t="s">
        <v>11</v>
      </c>
      <c r="AM38948" s="4" t="s">
        <v>11</v>
      </c>
      <c r="AN38948" s="4" t="s">
        <v>15</v>
      </c>
      <c r="AO38948" s="4" t="s">
        <v>8</v>
      </c>
      <c r="AP38948" s="4" t="s">
        <v>1859</v>
      </c>
      <c r="AQ38948" s="4" t="s">
        <v>11</v>
      </c>
      <c r="AR38948" s="4" t="s">
        <v>11</v>
      </c>
      <c r="AS38948" s="4" t="s">
        <v>15</v>
      </c>
      <c r="AT38948" s="4" t="s">
        <v>8</v>
      </c>
      <c r="AU38948" s="4" t="s">
        <v>1859</v>
      </c>
      <c r="AV38948" s="4" t="s">
        <v>11</v>
      </c>
      <c r="AW38948" s="4" t="s">
        <v>11</v>
      </c>
      <c r="AX38948" s="4" t="s">
        <v>15</v>
      </c>
      <c r="AY38948" s="4" t="s">
        <v>8</v>
      </c>
      <c r="AZ38948" s="4" t="s">
        <v>1859</v>
      </c>
      <c r="BA38948" s="4" t="s">
        <v>11</v>
      </c>
      <c r="BB38948" s="4" t="s">
        <v>11</v>
      </c>
      <c r="BC38948" s="4" t="s">
        <v>15</v>
      </c>
      <c r="BD38948" s="4" t="s">
        <v>8</v>
      </c>
      <c r="BE38948" s="4" t="s">
        <v>1859</v>
      </c>
      <c r="BF38948" s="4" t="s">
        <v>11</v>
      </c>
      <c r="BG38948" s="4" t="s">
        <v>11</v>
      </c>
      <c r="BH38948" s="4" t="s">
        <v>15</v>
      </c>
      <c r="BI38948" s="4" t="s">
        <v>8</v>
      </c>
      <c r="BJ38948" s="4" t="s">
        <v>1859</v>
      </c>
      <c r="BK38948" s="4" t="s">
        <v>11</v>
      </c>
      <c r="BL38948" s="4" t="s">
        <v>11</v>
      </c>
      <c r="BM38948" s="4" t="s">
        <v>15</v>
      </c>
      <c r="BN38948" s="4" t="s">
        <v>8</v>
      </c>
      <c r="BO38948" s="4" t="s">
        <v>1859</v>
      </c>
      <c r="BP38948" s="4" t="s">
        <v>11</v>
      </c>
      <c r="BQ38948" s="4" t="s">
        <v>11</v>
      </c>
      <c r="BR38948" s="4" t="s">
        <v>15</v>
      </c>
      <c r="BS38948" s="4" t="s">
        <v>8</v>
      </c>
      <c r="BT38948" s="4" t="s">
        <v>1859</v>
      </c>
      <c r="BU38948" s="4" t="s">
        <v>11</v>
      </c>
      <c r="BV38948" s="4" t="s">
        <v>11</v>
      </c>
      <c r="BW38948" s="4" t="s">
        <v>15</v>
      </c>
      <c r="BX38948" s="4" t="s">
        <v>8</v>
      </c>
      <c r="BY38948" s="4" t="s">
        <v>1859</v>
      </c>
      <c r="BZ38948" s="4" t="s">
        <v>11</v>
      </c>
      <c r="CA38948" s="4" t="s">
        <v>11</v>
      </c>
      <c r="CB38948" s="4" t="s">
        <v>15</v>
      </c>
      <c r="CC38948" s="4" t="s">
        <v>8</v>
      </c>
      <c r="CD38948" s="4" t="s">
        <v>1859</v>
      </c>
      <c r="CE38948" s="4" t="s">
        <v>11</v>
      </c>
      <c r="CF38948" s="4" t="s">
        <v>11</v>
      </c>
      <c r="CG38948" s="4" t="s">
        <v>15</v>
      </c>
      <c r="CH38948" s="4" t="s">
        <v>8</v>
      </c>
      <c r="CI38948" s="4" t="s">
        <v>1859</v>
      </c>
      <c r="CJ38948" s="4" t="s">
        <v>11</v>
      </c>
      <c r="CK38948" s="4" t="s">
        <v>11</v>
      </c>
      <c r="CL38948" s="4" t="s">
        <v>15</v>
      </c>
      <c r="CM38948" s="4" t="s">
        <v>8</v>
      </c>
      <c r="CN38948" s="4" t="s">
        <v>1859</v>
      </c>
      <c r="CO38948" s="4" t="s">
        <v>11</v>
      </c>
      <c r="CP38948" s="4" t="s">
        <v>11</v>
      </c>
      <c r="CQ38948" s="4" t="s">
        <v>15</v>
      </c>
      <c r="CR38948" s="4" t="s">
        <v>8</v>
      </c>
      <c r="CS38948" s="4" t="s">
        <v>1859</v>
      </c>
      <c r="CT38948" s="4" t="s">
        <v>11</v>
      </c>
      <c r="CU38948" s="4" t="s">
        <v>11</v>
      </c>
      <c r="CV38948" s="4" t="s">
        <v>15</v>
      </c>
      <c r="CW38948" s="4" t="s">
        <v>8</v>
      </c>
      <c r="CX38948" s="4" t="s">
        <v>1859</v>
      </c>
      <c r="CY38948" s="4" t="s">
        <v>11</v>
      </c>
      <c r="CZ38948" s="4" t="s">
        <v>11</v>
      </c>
      <c r="DA38948" s="4" t="s">
        <v>15</v>
      </c>
      <c r="DB38948" s="4" t="s">
        <v>8</v>
      </c>
      <c r="DC38948" s="4" t="s">
        <v>1859</v>
      </c>
      <c r="DD38948" s="4" t="s">
        <v>11</v>
      </c>
      <c r="DE38948" s="4" t="s">
        <v>11</v>
      </c>
      <c r="DF38948" s="4" t="s">
        <v>15</v>
      </c>
      <c r="DG38948" s="4" t="s">
        <v>8</v>
      </c>
      <c r="DH38948" s="4" t="s">
        <v>1859</v>
      </c>
      <c r="DI38948" s="4" t="s">
        <v>11</v>
      </c>
      <c r="DJ38948" s="4" t="s">
        <v>11</v>
      </c>
      <c r="DK38948" s="4" t="s">
        <v>15</v>
      </c>
      <c r="DL38948" s="4" t="s">
        <v>8</v>
      </c>
      <c r="DM38948" s="4" t="s">
        <v>1859</v>
      </c>
      <c r="DN38948" s="4" t="s">
        <v>11</v>
      </c>
      <c r="DO38948" s="4" t="s">
        <v>11</v>
      </c>
      <c r="DP38948" s="4" t="s">
        <v>15</v>
      </c>
      <c r="DQ38948" s="4" t="s">
        <v>8</v>
      </c>
      <c r="DR38948" s="4" t="s">
        <v>1859</v>
      </c>
      <c r="DS38948" s="4" t="s">
        <v>11</v>
      </c>
      <c r="DT38948" s="4" t="s">
        <v>11</v>
      </c>
      <c r="DU38948" s="4" t="s">
        <v>15</v>
      </c>
      <c r="DV38948" s="4" t="s">
        <v>8</v>
      </c>
      <c r="DW38948" s="4" t="s">
        <v>1859</v>
      </c>
      <c r="DX38948" s="4" t="s">
        <v>11</v>
      </c>
      <c r="DY38948" s="4" t="s">
        <v>11</v>
      </c>
      <c r="DZ38948" s="4" t="s">
        <v>15</v>
      </c>
      <c r="EA38948" s="4" t="s">
        <v>8</v>
      </c>
      <c r="EB38948" s="4" t="s">
        <v>1859</v>
      </c>
      <c r="EC38948" s="4" t="s">
        <v>11</v>
      </c>
      <c r="ED38948" s="4" t="s">
        <v>11</v>
      </c>
      <c r="EE38948" s="4" t="s">
        <v>15</v>
      </c>
      <c r="EF38948" s="4" t="s">
        <v>8</v>
      </c>
      <c r="EG38948" s="4" t="s">
        <v>1859</v>
      </c>
      <c r="EH38948" s="4" t="s">
        <v>11</v>
      </c>
      <c r="EI38948" s="4" t="s">
        <v>11</v>
      </c>
      <c r="EJ38948" s="4" t="s">
        <v>15</v>
      </c>
      <c r="EK38948" s="4" t="s">
        <v>8</v>
      </c>
      <c r="EL38948" s="4" t="s">
        <v>1859</v>
      </c>
      <c r="EM38948" s="4" t="s">
        <v>11</v>
      </c>
      <c r="EN38948" s="4" t="s">
        <v>11</v>
      </c>
      <c r="EO38948" s="4" t="s">
        <v>15</v>
      </c>
      <c r="EP38948" s="4" t="s">
        <v>8</v>
      </c>
      <c r="EQ38948" s="4" t="s">
        <v>1859</v>
      </c>
      <c r="ER38948" s="4" t="s">
        <v>11</v>
      </c>
      <c r="ES38948" s="4" t="s">
        <v>11</v>
      </c>
      <c r="ET38948" s="4" t="s">
        <v>15</v>
      </c>
      <c r="EU38948" s="4" t="s">
        <v>8</v>
      </c>
      <c r="EV38948" s="4" t="s">
        <v>1859</v>
      </c>
      <c r="EW38948" s="4" t="s">
        <v>11</v>
      </c>
      <c r="EX38948" s="4" t="s">
        <v>11</v>
      </c>
      <c r="EY38948" s="4" t="s">
        <v>15</v>
      </c>
      <c r="EZ38948" s="4" t="s">
        <v>8</v>
      </c>
      <c r="FA38948" s="4" t="s">
        <v>1859</v>
      </c>
      <c r="FB38948" s="4" t="s">
        <v>11</v>
      </c>
      <c r="FC38948" s="4" t="s">
        <v>11</v>
      </c>
      <c r="FD38948" s="4" t="s">
        <v>15</v>
      </c>
      <c r="FE38948" s="4" t="s">
        <v>8</v>
      </c>
      <c r="FF38948" s="4" t="s">
        <v>1859</v>
      </c>
      <c r="FG38948" s="4" t="s">
        <v>11</v>
      </c>
      <c r="FH38948" s="4" t="s">
        <v>11</v>
      </c>
      <c r="FI38948" s="4" t="s">
        <v>15</v>
      </c>
      <c r="FJ38948" s="4" t="s">
        <v>8</v>
      </c>
      <c r="FK38948" s="4" t="s">
        <v>1859</v>
      </c>
      <c r="FL38948" s="4" t="s">
        <v>11</v>
      </c>
      <c r="FM38948" s="4" t="s">
        <v>11</v>
      </c>
      <c r="FN38948" s="4" t="s">
        <v>15</v>
      </c>
      <c r="FO38948" s="4" t="s">
        <v>8</v>
      </c>
      <c r="FP38948" s="4" t="s">
        <v>1859</v>
      </c>
      <c r="FQ38948" s="4" t="s">
        <v>11</v>
      </c>
      <c r="FR38948" s="4" t="s">
        <v>11</v>
      </c>
      <c r="FS38948" s="4" t="s">
        <v>15</v>
      </c>
      <c r="FT38948" s="4" t="s">
        <v>8</v>
      </c>
      <c r="FU38948" s="4" t="s">
        <v>1859</v>
      </c>
      <c r="FV38948" s="4" t="s">
        <v>11</v>
      </c>
      <c r="FW38948" s="4" t="s">
        <v>11</v>
      </c>
      <c r="FX38948" s="4" t="s">
        <v>15</v>
      </c>
      <c r="FY38948" s="4" t="s">
        <v>8</v>
      </c>
      <c r="FZ38948" s="4" t="s">
        <v>1859</v>
      </c>
      <c r="GA38948" s="4" t="s">
        <v>11</v>
      </c>
      <c r="GB38948" s="4" t="s">
        <v>11</v>
      </c>
      <c r="GC38948" s="4" t="s">
        <v>15</v>
      </c>
      <c r="GD38948" s="4" t="s">
        <v>8</v>
      </c>
      <c r="GE38948" s="4" t="s">
        <v>1859</v>
      </c>
      <c r="GF38948" s="4" t="s">
        <v>11</v>
      </c>
      <c r="GG38948" s="4" t="s">
        <v>11</v>
      </c>
      <c r="GH38948" s="4" t="s">
        <v>15</v>
      </c>
      <c r="GI38948" s="4" t="s">
        <v>8</v>
      </c>
      <c r="GJ38948" s="4" t="s">
        <v>1859</v>
      </c>
      <c r="GK38948" s="4" t="s">
        <v>11</v>
      </c>
      <c r="GL38948" s="4" t="s">
        <v>11</v>
      </c>
      <c r="GM38948" s="4" t="s">
        <v>15</v>
      </c>
      <c r="GN38948" s="4" t="s">
        <v>8</v>
      </c>
      <c r="GO38948" s="4" t="s">
        <v>1859</v>
      </c>
      <c r="GP38948" s="4" t="s">
        <v>11</v>
      </c>
      <c r="GQ38948" s="4" t="s">
        <v>11</v>
      </c>
      <c r="GR38948" s="4" t="s">
        <v>15</v>
      </c>
      <c r="GS38948" s="4" t="s">
        <v>8</v>
      </c>
      <c r="GT38948" s="4" t="s">
        <v>1859</v>
      </c>
      <c r="GU38948" s="4" t="s">
        <v>11</v>
      </c>
      <c r="GV38948" s="4" t="s">
        <v>11</v>
      </c>
      <c r="GW38948" s="4" t="s">
        <v>15</v>
      </c>
      <c r="GX38948" s="4" t="s">
        <v>8</v>
      </c>
      <c r="GY38948" s="4" t="s">
        <v>1859</v>
      </c>
      <c r="GZ38948" s="4" t="s">
        <v>11</v>
      </c>
      <c r="HA38948" s="4" t="s">
        <v>11</v>
      </c>
      <c r="HB38948" s="4" t="s">
        <v>15</v>
      </c>
      <c r="HC38948" s="4" t="s">
        <v>8</v>
      </c>
      <c r="HD38948" s="4" t="s">
        <v>1859</v>
      </c>
      <c r="HE38948" s="4" t="s">
        <v>11</v>
      </c>
      <c r="HF38948" s="4" t="s">
        <v>11</v>
      </c>
      <c r="HG38948" s="4" t="s">
        <v>15</v>
      </c>
      <c r="HH38948" s="4" t="s">
        <v>8</v>
      </c>
      <c r="HI38948" s="4" t="s">
        <v>1859</v>
      </c>
      <c r="HJ38948" s="4" t="s">
        <v>11</v>
      </c>
      <c r="HK38948" s="4" t="s">
        <v>11</v>
      </c>
      <c r="HL38948" s="4" t="s">
        <v>15</v>
      </c>
      <c r="HM38948" s="4" t="s">
        <v>8</v>
      </c>
      <c r="HN38948" s="4" t="s">
        <v>1859</v>
      </c>
      <c r="HO38948" s="4" t="s">
        <v>11</v>
      </c>
      <c r="HP38948" s="4" t="s">
        <v>11</v>
      </c>
      <c r="HQ38948" s="4" t="s">
        <v>15</v>
      </c>
      <c r="HR38948" s="4" t="s">
        <v>8</v>
      </c>
      <c r="HS38948" s="4" t="s">
        <v>1859</v>
      </c>
      <c r="HT38948" s="4" t="s">
        <v>11</v>
      </c>
      <c r="HU38948" s="4" t="s">
        <v>11</v>
      </c>
      <c r="HV38948" s="4" t="s">
        <v>15</v>
      </c>
      <c r="HW38948" s="4" t="s">
        <v>8</v>
      </c>
      <c r="HX38948" s="4" t="s">
        <v>1859</v>
      </c>
      <c r="HY38948" s="4" t="s">
        <v>11</v>
      </c>
      <c r="HZ38948" s="4" t="s">
        <v>11</v>
      </c>
      <c r="IA38948" s="4" t="s">
        <v>15</v>
      </c>
      <c r="IB38948" s="4" t="s">
        <v>8</v>
      </c>
      <c r="IC38948" s="4" t="s">
        <v>1859</v>
      </c>
      <c r="ID38948" s="4" t="s">
        <v>11</v>
      </c>
      <c r="IE38948" s="4" t="s">
        <v>11</v>
      </c>
      <c r="IF38948" s="4" t="s">
        <v>15</v>
      </c>
      <c r="IG38948" s="4" t="s">
        <v>8</v>
      </c>
      <c r="IH38948" s="4" t="s">
        <v>1859</v>
      </c>
      <c r="II38948" s="4" t="s">
        <v>11</v>
      </c>
      <c r="IJ38948" s="4" t="s">
        <v>11</v>
      </c>
      <c r="IK38948" s="4" t="s">
        <v>15</v>
      </c>
      <c r="IL38948" s="4" t="s">
        <v>8</v>
      </c>
      <c r="IM38948" s="4" t="s">
        <v>1859</v>
      </c>
      <c r="IN38948" s="4" t="s">
        <v>11</v>
      </c>
      <c r="IO38948" s="4" t="s">
        <v>11</v>
      </c>
      <c r="IP38948" s="4" t="s">
        <v>15</v>
      </c>
      <c r="IQ38948" s="4" t="s">
        <v>8</v>
      </c>
      <c r="IR38948" s="4" t="s">
        <v>1859</v>
      </c>
      <c r="IS38948" s="4" t="s">
        <v>11</v>
      </c>
      <c r="IT38948" s="4" t="s">
        <v>11</v>
      </c>
      <c r="IU38948" s="4" t="s">
        <v>15</v>
      </c>
      <c r="IV38948" s="4" t="s">
        <v>8</v>
      </c>
      <c r="IW38948" s="4" t="s">
        <v>1859</v>
      </c>
      <c r="IX38948" s="4" t="s">
        <v>11</v>
      </c>
      <c r="IY38948" s="4" t="s">
        <v>11</v>
      </c>
      <c r="IZ38948" s="4" t="s">
        <v>15</v>
      </c>
      <c r="JA38948" s="4" t="s">
        <v>8</v>
      </c>
      <c r="JB38948" s="4" t="s">
        <v>1859</v>
      </c>
      <c r="JC38948" s="4" t="s">
        <v>11</v>
      </c>
      <c r="JD38948" s="4" t="s">
        <v>11</v>
      </c>
      <c r="JE38948" s="4" t="s">
        <v>15</v>
      </c>
      <c r="JF38948" s="4" t="s">
        <v>8</v>
      </c>
      <c r="JG38948" s="4" t="s">
        <v>1859</v>
      </c>
      <c r="JH38948" s="4" t="s">
        <v>11</v>
      </c>
      <c r="JI38948" s="4" t="s">
        <v>11</v>
      </c>
      <c r="JJ38948" s="4" t="s">
        <v>15</v>
      </c>
      <c r="JK38948" s="4" t="s">
        <v>8</v>
      </c>
      <c r="JL38948" s="4" t="s">
        <v>1859</v>
      </c>
      <c r="JM38948" s="4" t="s">
        <v>11</v>
      </c>
      <c r="JN38948" s="4" t="s">
        <v>11</v>
      </c>
      <c r="JO38948" s="4" t="s">
        <v>15</v>
      </c>
      <c r="JP38948" s="4" t="s">
        <v>8</v>
      </c>
      <c r="JQ38948" s="4" t="s">
        <v>1859</v>
      </c>
      <c r="JR38948" s="4" t="s">
        <v>11</v>
      </c>
      <c r="JS38948" s="4" t="s">
        <v>11</v>
      </c>
      <c r="JT38948" s="4" t="s">
        <v>15</v>
      </c>
      <c r="JU38948" s="4" t="s">
        <v>8</v>
      </c>
      <c r="JV38948" s="4" t="s">
        <v>1859</v>
      </c>
      <c r="JW38948" s="4" t="s">
        <v>11</v>
      </c>
      <c r="JX38948" s="4" t="s">
        <v>11</v>
      </c>
      <c r="JY38948" s="4" t="s">
        <v>15</v>
      </c>
      <c r="JZ38948" s="4" t="s">
        <v>8</v>
      </c>
      <c r="KA38948" s="4" t="s">
        <v>1859</v>
      </c>
      <c r="KB38948" s="4" t="s">
        <v>11</v>
      </c>
      <c r="KC38948" s="4" t="s">
        <v>11</v>
      </c>
      <c r="KD38948" s="4" t="s">
        <v>15</v>
      </c>
      <c r="KE38948" s="4" t="s">
        <v>8</v>
      </c>
      <c r="KF38948" s="4" t="s">
        <v>1859</v>
      </c>
      <c r="KG38948" s="4" t="s">
        <v>11</v>
      </c>
      <c r="KH38948" s="4" t="s">
        <v>11</v>
      </c>
      <c r="KI38948" s="4" t="s">
        <v>15</v>
      </c>
      <c r="KJ38948" s="4" t="s">
        <v>8</v>
      </c>
      <c r="KK38948" s="4" t="s">
        <v>1859</v>
      </c>
      <c r="KL38948" s="4" t="s">
        <v>11</v>
      </c>
      <c r="KM38948" s="4" t="s">
        <v>11</v>
      </c>
      <c r="KN38948" s="4" t="s">
        <v>15</v>
      </c>
      <c r="KO38948" s="4" t="s">
        <v>8</v>
      </c>
      <c r="KP38948" s="4" t="s">
        <v>1859</v>
      </c>
      <c r="KQ38948" s="4" t="s">
        <v>11</v>
      </c>
      <c r="KR38948" s="4" t="s">
        <v>11</v>
      </c>
      <c r="KS38948" s="4" t="s">
        <v>15</v>
      </c>
      <c r="KT38948" s="4" t="s">
        <v>8</v>
      </c>
      <c r="KU38948" s="4" t="s">
        <v>1859</v>
      </c>
      <c r="KV38948" s="4" t="s">
        <v>11</v>
      </c>
      <c r="KW38948" s="4" t="s">
        <v>11</v>
      </c>
      <c r="KX38948" s="4" t="s">
        <v>15</v>
      </c>
      <c r="KY38948" s="4" t="s">
        <v>8</v>
      </c>
      <c r="KZ38948" s="4" t="s">
        <v>1859</v>
      </c>
      <c r="LA38948" s="4" t="s">
        <v>11</v>
      </c>
      <c r="LB38948" s="4" t="s">
        <v>11</v>
      </c>
      <c r="LC38948" s="4" t="s">
        <v>15</v>
      </c>
      <c r="LD38948" s="4" t="s">
        <v>8</v>
      </c>
      <c r="LE38948" s="4" t="s">
        <v>1859</v>
      </c>
      <c r="LF38948" s="4" t="s">
        <v>11</v>
      </c>
      <c r="LG38948" s="4" t="s">
        <v>11</v>
      </c>
      <c r="LH38948" s="4" t="s">
        <v>15</v>
      </c>
      <c r="LI38948" s="4" t="s">
        <v>8</v>
      </c>
      <c r="LJ38948" s="4" t="s">
        <v>1859</v>
      </c>
      <c r="LK38948" s="4" t="s">
        <v>11</v>
      </c>
      <c r="LL38948" s="4" t="s">
        <v>11</v>
      </c>
      <c r="LM38948" s="4" t="s">
        <v>15</v>
      </c>
      <c r="LN38948" s="4" t="s">
        <v>8</v>
      </c>
      <c r="LO38948" s="4" t="s">
        <v>1859</v>
      </c>
      <c r="LP38948" s="4" t="s">
        <v>11</v>
      </c>
      <c r="LQ38948" s="4" t="s">
        <v>11</v>
      </c>
      <c r="LR38948" s="4" t="s">
        <v>15</v>
      </c>
      <c r="LS38948" s="4" t="s">
        <v>8</v>
      </c>
      <c r="LT38948" s="4" t="s">
        <v>1859</v>
      </c>
    </row>
    <row r="38949" spans="1:382">
      <c r="A38949" t="n">
        <v>457392</v>
      </c>
      <c r="B38949" s="85" t="n">
        <v>257</v>
      </c>
      <c r="C38949" s="7" t="n">
        <v>7</v>
      </c>
      <c r="D38949" s="7" t="n">
        <v>65533</v>
      </c>
      <c r="E38949" s="7" t="n">
        <v>63903</v>
      </c>
      <c r="F38949" s="7" t="s">
        <v>16</v>
      </c>
      <c r="G38949" s="7" t="n">
        <f t="normal" ca="1">32-LENB(INDIRECT(ADDRESS(38949,6)))</f>
        <v>0</v>
      </c>
      <c r="H38949" s="7" t="n">
        <v>7</v>
      </c>
      <c r="I38949" s="7" t="n">
        <v>65533</v>
      </c>
      <c r="J38949" s="7" t="n">
        <v>63904</v>
      </c>
      <c r="K38949" s="7" t="s">
        <v>16</v>
      </c>
      <c r="L38949" s="7" t="n">
        <f t="normal" ca="1">32-LENB(INDIRECT(ADDRESS(38949,11)))</f>
        <v>0</v>
      </c>
      <c r="M38949" s="7" t="n">
        <v>7</v>
      </c>
      <c r="N38949" s="7" t="n">
        <v>65533</v>
      </c>
      <c r="O38949" s="7" t="n">
        <v>63905</v>
      </c>
      <c r="P38949" s="7" t="s">
        <v>16</v>
      </c>
      <c r="Q38949" s="7" t="n">
        <f t="normal" ca="1">32-LENB(INDIRECT(ADDRESS(38949,16)))</f>
        <v>0</v>
      </c>
      <c r="R38949" s="7" t="n">
        <v>7</v>
      </c>
      <c r="S38949" s="7" t="n">
        <v>65533</v>
      </c>
      <c r="T38949" s="7" t="n">
        <v>63906</v>
      </c>
      <c r="U38949" s="7" t="s">
        <v>16</v>
      </c>
      <c r="V38949" s="7" t="n">
        <f t="normal" ca="1">32-LENB(INDIRECT(ADDRESS(38949,21)))</f>
        <v>0</v>
      </c>
      <c r="W38949" s="7" t="n">
        <v>7</v>
      </c>
      <c r="X38949" s="7" t="n">
        <v>65533</v>
      </c>
      <c r="Y38949" s="7" t="n">
        <v>63907</v>
      </c>
      <c r="Z38949" s="7" t="s">
        <v>16</v>
      </c>
      <c r="AA38949" s="7" t="n">
        <f t="normal" ca="1">32-LENB(INDIRECT(ADDRESS(38949,26)))</f>
        <v>0</v>
      </c>
      <c r="AB38949" s="7" t="n">
        <v>7</v>
      </c>
      <c r="AC38949" s="7" t="n">
        <v>65533</v>
      </c>
      <c r="AD38949" s="7" t="n">
        <v>63908</v>
      </c>
      <c r="AE38949" s="7" t="s">
        <v>16</v>
      </c>
      <c r="AF38949" s="7" t="n">
        <f t="normal" ca="1">32-LENB(INDIRECT(ADDRESS(38949,31)))</f>
        <v>0</v>
      </c>
      <c r="AG38949" s="7" t="n">
        <v>7</v>
      </c>
      <c r="AH38949" s="7" t="n">
        <v>65533</v>
      </c>
      <c r="AI38949" s="7" t="n">
        <v>63909</v>
      </c>
      <c r="AJ38949" s="7" t="s">
        <v>16</v>
      </c>
      <c r="AK38949" s="7" t="n">
        <f t="normal" ca="1">32-LENB(INDIRECT(ADDRESS(38949,36)))</f>
        <v>0</v>
      </c>
      <c r="AL38949" s="7" t="n">
        <v>7</v>
      </c>
      <c r="AM38949" s="7" t="n">
        <v>65533</v>
      </c>
      <c r="AN38949" s="7" t="n">
        <v>63910</v>
      </c>
      <c r="AO38949" s="7" t="s">
        <v>16</v>
      </c>
      <c r="AP38949" s="7" t="n">
        <f t="normal" ca="1">32-LENB(INDIRECT(ADDRESS(38949,41)))</f>
        <v>0</v>
      </c>
      <c r="AQ38949" s="7" t="n">
        <v>7</v>
      </c>
      <c r="AR38949" s="7" t="n">
        <v>65533</v>
      </c>
      <c r="AS38949" s="7" t="n">
        <v>63911</v>
      </c>
      <c r="AT38949" s="7" t="s">
        <v>16</v>
      </c>
      <c r="AU38949" s="7" t="n">
        <f t="normal" ca="1">32-LENB(INDIRECT(ADDRESS(38949,46)))</f>
        <v>0</v>
      </c>
      <c r="AV38949" s="7" t="n">
        <v>7</v>
      </c>
      <c r="AW38949" s="7" t="n">
        <v>65533</v>
      </c>
      <c r="AX38949" s="7" t="n">
        <v>63912</v>
      </c>
      <c r="AY38949" s="7" t="s">
        <v>16</v>
      </c>
      <c r="AZ38949" s="7" t="n">
        <f t="normal" ca="1">32-LENB(INDIRECT(ADDRESS(38949,51)))</f>
        <v>0</v>
      </c>
      <c r="BA38949" s="7" t="n">
        <v>7</v>
      </c>
      <c r="BB38949" s="7" t="n">
        <v>65533</v>
      </c>
      <c r="BC38949" s="7" t="n">
        <v>63913</v>
      </c>
      <c r="BD38949" s="7" t="s">
        <v>16</v>
      </c>
      <c r="BE38949" s="7" t="n">
        <f t="normal" ca="1">32-LENB(INDIRECT(ADDRESS(38949,56)))</f>
        <v>0</v>
      </c>
      <c r="BF38949" s="7" t="n">
        <v>7</v>
      </c>
      <c r="BG38949" s="7" t="n">
        <v>65533</v>
      </c>
      <c r="BH38949" s="7" t="n">
        <v>63914</v>
      </c>
      <c r="BI38949" s="7" t="s">
        <v>16</v>
      </c>
      <c r="BJ38949" s="7" t="n">
        <f t="normal" ca="1">32-LENB(INDIRECT(ADDRESS(38949,61)))</f>
        <v>0</v>
      </c>
      <c r="BK38949" s="7" t="n">
        <v>7</v>
      </c>
      <c r="BL38949" s="7" t="n">
        <v>65533</v>
      </c>
      <c r="BM38949" s="7" t="n">
        <v>63915</v>
      </c>
      <c r="BN38949" s="7" t="s">
        <v>16</v>
      </c>
      <c r="BO38949" s="7" t="n">
        <f t="normal" ca="1">32-LENB(INDIRECT(ADDRESS(38949,66)))</f>
        <v>0</v>
      </c>
      <c r="BP38949" s="7" t="n">
        <v>7</v>
      </c>
      <c r="BQ38949" s="7" t="n">
        <v>65533</v>
      </c>
      <c r="BR38949" s="7" t="n">
        <v>63916</v>
      </c>
      <c r="BS38949" s="7" t="s">
        <v>16</v>
      </c>
      <c r="BT38949" s="7" t="n">
        <f t="normal" ca="1">32-LENB(INDIRECT(ADDRESS(38949,71)))</f>
        <v>0</v>
      </c>
      <c r="BU38949" s="7" t="n">
        <v>7</v>
      </c>
      <c r="BV38949" s="7" t="n">
        <v>65533</v>
      </c>
      <c r="BW38949" s="7" t="n">
        <v>63917</v>
      </c>
      <c r="BX38949" s="7" t="s">
        <v>16</v>
      </c>
      <c r="BY38949" s="7" t="n">
        <f t="normal" ca="1">32-LENB(INDIRECT(ADDRESS(38949,76)))</f>
        <v>0</v>
      </c>
      <c r="BZ38949" s="7" t="n">
        <v>7</v>
      </c>
      <c r="CA38949" s="7" t="n">
        <v>65533</v>
      </c>
      <c r="CB38949" s="7" t="n">
        <v>63918</v>
      </c>
      <c r="CC38949" s="7" t="s">
        <v>16</v>
      </c>
      <c r="CD38949" s="7" t="n">
        <f t="normal" ca="1">32-LENB(INDIRECT(ADDRESS(38949,81)))</f>
        <v>0</v>
      </c>
      <c r="CE38949" s="7" t="n">
        <v>7</v>
      </c>
      <c r="CF38949" s="7" t="n">
        <v>65533</v>
      </c>
      <c r="CG38949" s="7" t="n">
        <v>63919</v>
      </c>
      <c r="CH38949" s="7" t="s">
        <v>16</v>
      </c>
      <c r="CI38949" s="7" t="n">
        <f t="normal" ca="1">32-LENB(INDIRECT(ADDRESS(38949,86)))</f>
        <v>0</v>
      </c>
      <c r="CJ38949" s="7" t="n">
        <v>7</v>
      </c>
      <c r="CK38949" s="7" t="n">
        <v>65533</v>
      </c>
      <c r="CL38949" s="7" t="n">
        <v>63920</v>
      </c>
      <c r="CM38949" s="7" t="s">
        <v>16</v>
      </c>
      <c r="CN38949" s="7" t="n">
        <f t="normal" ca="1">32-LENB(INDIRECT(ADDRESS(38949,91)))</f>
        <v>0</v>
      </c>
      <c r="CO38949" s="7" t="n">
        <v>7</v>
      </c>
      <c r="CP38949" s="7" t="n">
        <v>65533</v>
      </c>
      <c r="CQ38949" s="7" t="n">
        <v>63921</v>
      </c>
      <c r="CR38949" s="7" t="s">
        <v>16</v>
      </c>
      <c r="CS38949" s="7" t="n">
        <f t="normal" ca="1">32-LENB(INDIRECT(ADDRESS(38949,96)))</f>
        <v>0</v>
      </c>
      <c r="CT38949" s="7" t="n">
        <v>7</v>
      </c>
      <c r="CU38949" s="7" t="n">
        <v>65533</v>
      </c>
      <c r="CV38949" s="7" t="n">
        <v>63922</v>
      </c>
      <c r="CW38949" s="7" t="s">
        <v>16</v>
      </c>
      <c r="CX38949" s="7" t="n">
        <f t="normal" ca="1">32-LENB(INDIRECT(ADDRESS(38949,101)))</f>
        <v>0</v>
      </c>
      <c r="CY38949" s="7" t="n">
        <v>7</v>
      </c>
      <c r="CZ38949" s="7" t="n">
        <v>65533</v>
      </c>
      <c r="DA38949" s="7" t="n">
        <v>63923</v>
      </c>
      <c r="DB38949" s="7" t="s">
        <v>16</v>
      </c>
      <c r="DC38949" s="7" t="n">
        <f t="normal" ca="1">32-LENB(INDIRECT(ADDRESS(38949,106)))</f>
        <v>0</v>
      </c>
      <c r="DD38949" s="7" t="n">
        <v>7</v>
      </c>
      <c r="DE38949" s="7" t="n">
        <v>65533</v>
      </c>
      <c r="DF38949" s="7" t="n">
        <v>63924</v>
      </c>
      <c r="DG38949" s="7" t="s">
        <v>16</v>
      </c>
      <c r="DH38949" s="7" t="n">
        <f t="normal" ca="1">32-LENB(INDIRECT(ADDRESS(38949,111)))</f>
        <v>0</v>
      </c>
      <c r="DI38949" s="7" t="n">
        <v>7</v>
      </c>
      <c r="DJ38949" s="7" t="n">
        <v>65533</v>
      </c>
      <c r="DK38949" s="7" t="n">
        <v>63925</v>
      </c>
      <c r="DL38949" s="7" t="s">
        <v>16</v>
      </c>
      <c r="DM38949" s="7" t="n">
        <f t="normal" ca="1">32-LENB(INDIRECT(ADDRESS(38949,116)))</f>
        <v>0</v>
      </c>
      <c r="DN38949" s="7" t="n">
        <v>7</v>
      </c>
      <c r="DO38949" s="7" t="n">
        <v>65533</v>
      </c>
      <c r="DP38949" s="7" t="n">
        <v>4800</v>
      </c>
      <c r="DQ38949" s="7" t="s">
        <v>16</v>
      </c>
      <c r="DR38949" s="7" t="n">
        <f t="normal" ca="1">32-LENB(INDIRECT(ADDRESS(38949,121)))</f>
        <v>0</v>
      </c>
      <c r="DS38949" s="7" t="n">
        <v>7</v>
      </c>
      <c r="DT38949" s="7" t="n">
        <v>65533</v>
      </c>
      <c r="DU38949" s="7" t="n">
        <v>4801</v>
      </c>
      <c r="DV38949" s="7" t="s">
        <v>16</v>
      </c>
      <c r="DW38949" s="7" t="n">
        <f t="normal" ca="1">32-LENB(INDIRECT(ADDRESS(38949,126)))</f>
        <v>0</v>
      </c>
      <c r="DX38949" s="7" t="n">
        <v>7</v>
      </c>
      <c r="DY38949" s="7" t="n">
        <v>65533</v>
      </c>
      <c r="DZ38949" s="7" t="n">
        <v>4802</v>
      </c>
      <c r="EA38949" s="7" t="s">
        <v>16</v>
      </c>
      <c r="EB38949" s="7" t="n">
        <f t="normal" ca="1">32-LENB(INDIRECT(ADDRESS(38949,131)))</f>
        <v>0</v>
      </c>
      <c r="EC38949" s="7" t="n">
        <v>7</v>
      </c>
      <c r="ED38949" s="7" t="n">
        <v>65533</v>
      </c>
      <c r="EE38949" s="7" t="n">
        <v>4803</v>
      </c>
      <c r="EF38949" s="7" t="s">
        <v>16</v>
      </c>
      <c r="EG38949" s="7" t="n">
        <f t="normal" ca="1">32-LENB(INDIRECT(ADDRESS(38949,136)))</f>
        <v>0</v>
      </c>
      <c r="EH38949" s="7" t="n">
        <v>7</v>
      </c>
      <c r="EI38949" s="7" t="n">
        <v>65533</v>
      </c>
      <c r="EJ38949" s="7" t="n">
        <v>63926</v>
      </c>
      <c r="EK38949" s="7" t="s">
        <v>16</v>
      </c>
      <c r="EL38949" s="7" t="n">
        <f t="normal" ca="1">32-LENB(INDIRECT(ADDRESS(38949,141)))</f>
        <v>0</v>
      </c>
      <c r="EM38949" s="7" t="n">
        <v>7</v>
      </c>
      <c r="EN38949" s="7" t="n">
        <v>65533</v>
      </c>
      <c r="EO38949" s="7" t="n">
        <v>4804</v>
      </c>
      <c r="EP38949" s="7" t="s">
        <v>16</v>
      </c>
      <c r="EQ38949" s="7" t="n">
        <f t="normal" ca="1">32-LENB(INDIRECT(ADDRESS(38949,146)))</f>
        <v>0</v>
      </c>
      <c r="ER38949" s="7" t="n">
        <v>7</v>
      </c>
      <c r="ES38949" s="7" t="n">
        <v>65533</v>
      </c>
      <c r="ET38949" s="7" t="n">
        <v>4805</v>
      </c>
      <c r="EU38949" s="7" t="s">
        <v>16</v>
      </c>
      <c r="EV38949" s="7" t="n">
        <f t="normal" ca="1">32-LENB(INDIRECT(ADDRESS(38949,151)))</f>
        <v>0</v>
      </c>
      <c r="EW38949" s="7" t="n">
        <v>7</v>
      </c>
      <c r="EX38949" s="7" t="n">
        <v>65533</v>
      </c>
      <c r="EY38949" s="7" t="n">
        <v>4806</v>
      </c>
      <c r="EZ38949" s="7" t="s">
        <v>16</v>
      </c>
      <c r="FA38949" s="7" t="n">
        <f t="normal" ca="1">32-LENB(INDIRECT(ADDRESS(38949,156)))</f>
        <v>0</v>
      </c>
      <c r="FB38949" s="7" t="n">
        <v>7</v>
      </c>
      <c r="FC38949" s="7" t="n">
        <v>65533</v>
      </c>
      <c r="FD38949" s="7" t="n">
        <v>64268</v>
      </c>
      <c r="FE38949" s="7" t="s">
        <v>16</v>
      </c>
      <c r="FF38949" s="7" t="n">
        <f t="normal" ca="1">32-LENB(INDIRECT(ADDRESS(38949,161)))</f>
        <v>0</v>
      </c>
      <c r="FG38949" s="7" t="n">
        <v>7</v>
      </c>
      <c r="FH38949" s="7" t="n">
        <v>65533</v>
      </c>
      <c r="FI38949" s="7" t="n">
        <v>4807</v>
      </c>
      <c r="FJ38949" s="7" t="s">
        <v>16</v>
      </c>
      <c r="FK38949" s="7" t="n">
        <f t="normal" ca="1">32-LENB(INDIRECT(ADDRESS(38949,166)))</f>
        <v>0</v>
      </c>
      <c r="FL38949" s="7" t="n">
        <v>7</v>
      </c>
      <c r="FM38949" s="7" t="n">
        <v>65533</v>
      </c>
      <c r="FN38949" s="7" t="n">
        <v>4808</v>
      </c>
      <c r="FO38949" s="7" t="s">
        <v>16</v>
      </c>
      <c r="FP38949" s="7" t="n">
        <f t="normal" ca="1">32-LENB(INDIRECT(ADDRESS(38949,171)))</f>
        <v>0</v>
      </c>
      <c r="FQ38949" s="7" t="n">
        <v>7</v>
      </c>
      <c r="FR38949" s="7" t="n">
        <v>65533</v>
      </c>
      <c r="FS38949" s="7" t="n">
        <v>4809</v>
      </c>
      <c r="FT38949" s="7" t="s">
        <v>16</v>
      </c>
      <c r="FU38949" s="7" t="n">
        <f t="normal" ca="1">32-LENB(INDIRECT(ADDRESS(38949,176)))</f>
        <v>0</v>
      </c>
      <c r="FV38949" s="7" t="n">
        <v>7</v>
      </c>
      <c r="FW38949" s="7" t="n">
        <v>65533</v>
      </c>
      <c r="FX38949" s="7" t="n">
        <v>4810</v>
      </c>
      <c r="FY38949" s="7" t="s">
        <v>16</v>
      </c>
      <c r="FZ38949" s="7" t="n">
        <f t="normal" ca="1">32-LENB(INDIRECT(ADDRESS(38949,181)))</f>
        <v>0</v>
      </c>
      <c r="GA38949" s="7" t="n">
        <v>7</v>
      </c>
      <c r="GB38949" s="7" t="n">
        <v>65533</v>
      </c>
      <c r="GC38949" s="7" t="n">
        <v>4811</v>
      </c>
      <c r="GD38949" s="7" t="s">
        <v>16</v>
      </c>
      <c r="GE38949" s="7" t="n">
        <f t="normal" ca="1">32-LENB(INDIRECT(ADDRESS(38949,186)))</f>
        <v>0</v>
      </c>
      <c r="GF38949" s="7" t="n">
        <v>7</v>
      </c>
      <c r="GG38949" s="7" t="n">
        <v>65533</v>
      </c>
      <c r="GH38949" s="7" t="n">
        <v>4812</v>
      </c>
      <c r="GI38949" s="7" t="s">
        <v>16</v>
      </c>
      <c r="GJ38949" s="7" t="n">
        <f t="normal" ca="1">32-LENB(INDIRECT(ADDRESS(38949,191)))</f>
        <v>0</v>
      </c>
      <c r="GK38949" s="7" t="n">
        <v>7</v>
      </c>
      <c r="GL38949" s="7" t="n">
        <v>65533</v>
      </c>
      <c r="GM38949" s="7" t="n">
        <v>64268</v>
      </c>
      <c r="GN38949" s="7" t="s">
        <v>16</v>
      </c>
      <c r="GO38949" s="7" t="n">
        <f t="normal" ca="1">32-LENB(INDIRECT(ADDRESS(38949,196)))</f>
        <v>0</v>
      </c>
      <c r="GP38949" s="7" t="n">
        <v>7</v>
      </c>
      <c r="GQ38949" s="7" t="n">
        <v>65533</v>
      </c>
      <c r="GR38949" s="7" t="n">
        <v>4813</v>
      </c>
      <c r="GS38949" s="7" t="s">
        <v>16</v>
      </c>
      <c r="GT38949" s="7" t="n">
        <f t="normal" ca="1">32-LENB(INDIRECT(ADDRESS(38949,201)))</f>
        <v>0</v>
      </c>
      <c r="GU38949" s="7" t="n">
        <v>7</v>
      </c>
      <c r="GV38949" s="7" t="n">
        <v>65533</v>
      </c>
      <c r="GW38949" s="7" t="n">
        <v>4814</v>
      </c>
      <c r="GX38949" s="7" t="s">
        <v>16</v>
      </c>
      <c r="GY38949" s="7" t="n">
        <f t="normal" ca="1">32-LENB(INDIRECT(ADDRESS(38949,206)))</f>
        <v>0</v>
      </c>
      <c r="GZ38949" s="7" t="n">
        <v>7</v>
      </c>
      <c r="HA38949" s="7" t="n">
        <v>65533</v>
      </c>
      <c r="HB38949" s="7" t="n">
        <v>4815</v>
      </c>
      <c r="HC38949" s="7" t="s">
        <v>16</v>
      </c>
      <c r="HD38949" s="7" t="n">
        <f t="normal" ca="1">32-LENB(INDIRECT(ADDRESS(38949,211)))</f>
        <v>0</v>
      </c>
      <c r="HE38949" s="7" t="n">
        <v>7</v>
      </c>
      <c r="HF38949" s="7" t="n">
        <v>65533</v>
      </c>
      <c r="HG38949" s="7" t="n">
        <v>63927</v>
      </c>
      <c r="HH38949" s="7" t="s">
        <v>16</v>
      </c>
      <c r="HI38949" s="7" t="n">
        <f t="normal" ca="1">32-LENB(INDIRECT(ADDRESS(38949,216)))</f>
        <v>0</v>
      </c>
      <c r="HJ38949" s="7" t="n">
        <v>7</v>
      </c>
      <c r="HK38949" s="7" t="n">
        <v>65533</v>
      </c>
      <c r="HL38949" s="7" t="n">
        <v>63928</v>
      </c>
      <c r="HM38949" s="7" t="s">
        <v>16</v>
      </c>
      <c r="HN38949" s="7" t="n">
        <f t="normal" ca="1">32-LENB(INDIRECT(ADDRESS(38949,221)))</f>
        <v>0</v>
      </c>
      <c r="HO38949" s="7" t="n">
        <v>7</v>
      </c>
      <c r="HP38949" s="7" t="n">
        <v>65533</v>
      </c>
      <c r="HQ38949" s="7" t="n">
        <v>4816</v>
      </c>
      <c r="HR38949" s="7" t="s">
        <v>16</v>
      </c>
      <c r="HS38949" s="7" t="n">
        <f t="normal" ca="1">32-LENB(INDIRECT(ADDRESS(38949,226)))</f>
        <v>0</v>
      </c>
      <c r="HT38949" s="7" t="n">
        <v>7</v>
      </c>
      <c r="HU38949" s="7" t="n">
        <v>65533</v>
      </c>
      <c r="HV38949" s="7" t="n">
        <v>4817</v>
      </c>
      <c r="HW38949" s="7" t="s">
        <v>16</v>
      </c>
      <c r="HX38949" s="7" t="n">
        <f t="normal" ca="1">32-LENB(INDIRECT(ADDRESS(38949,231)))</f>
        <v>0</v>
      </c>
      <c r="HY38949" s="7" t="n">
        <v>7</v>
      </c>
      <c r="HZ38949" s="7" t="n">
        <v>65533</v>
      </c>
      <c r="IA38949" s="7" t="n">
        <v>4818</v>
      </c>
      <c r="IB38949" s="7" t="s">
        <v>16</v>
      </c>
      <c r="IC38949" s="7" t="n">
        <f t="normal" ca="1">32-LENB(INDIRECT(ADDRESS(38949,236)))</f>
        <v>0</v>
      </c>
      <c r="ID38949" s="7" t="n">
        <v>7</v>
      </c>
      <c r="IE38949" s="7" t="n">
        <v>65533</v>
      </c>
      <c r="IF38949" s="7" t="n">
        <v>63929</v>
      </c>
      <c r="IG38949" s="7" t="s">
        <v>16</v>
      </c>
      <c r="IH38949" s="7" t="n">
        <f t="normal" ca="1">32-LENB(INDIRECT(ADDRESS(38949,241)))</f>
        <v>0</v>
      </c>
      <c r="II38949" s="7" t="n">
        <v>7</v>
      </c>
      <c r="IJ38949" s="7" t="n">
        <v>65533</v>
      </c>
      <c r="IK38949" s="7" t="n">
        <v>4819</v>
      </c>
      <c r="IL38949" s="7" t="s">
        <v>16</v>
      </c>
      <c r="IM38949" s="7" t="n">
        <f t="normal" ca="1">32-LENB(INDIRECT(ADDRESS(38949,246)))</f>
        <v>0</v>
      </c>
      <c r="IN38949" s="7" t="n">
        <v>7</v>
      </c>
      <c r="IO38949" s="7" t="n">
        <v>65533</v>
      </c>
      <c r="IP38949" s="7" t="n">
        <v>4820</v>
      </c>
      <c r="IQ38949" s="7" t="s">
        <v>16</v>
      </c>
      <c r="IR38949" s="7" t="n">
        <f t="normal" ca="1">32-LENB(INDIRECT(ADDRESS(38949,251)))</f>
        <v>0</v>
      </c>
      <c r="IS38949" s="7" t="n">
        <v>7</v>
      </c>
      <c r="IT38949" s="7" t="n">
        <v>65533</v>
      </c>
      <c r="IU38949" s="7" t="n">
        <v>4821</v>
      </c>
      <c r="IV38949" s="7" t="s">
        <v>16</v>
      </c>
      <c r="IW38949" s="7" t="n">
        <f t="normal" ca="1">32-LENB(INDIRECT(ADDRESS(38949,256)))</f>
        <v>0</v>
      </c>
      <c r="IX38949" s="7" t="n">
        <v>7</v>
      </c>
      <c r="IY38949" s="7" t="n">
        <v>65533</v>
      </c>
      <c r="IZ38949" s="7" t="n">
        <v>4822</v>
      </c>
      <c r="JA38949" s="7" t="s">
        <v>16</v>
      </c>
      <c r="JB38949" s="7" t="n">
        <f t="normal" ca="1">32-LENB(INDIRECT(ADDRESS(38949,261)))</f>
        <v>0</v>
      </c>
      <c r="JC38949" s="7" t="n">
        <v>7</v>
      </c>
      <c r="JD38949" s="7" t="n">
        <v>65533</v>
      </c>
      <c r="JE38949" s="7" t="n">
        <v>63930</v>
      </c>
      <c r="JF38949" s="7" t="s">
        <v>16</v>
      </c>
      <c r="JG38949" s="7" t="n">
        <f t="normal" ca="1">32-LENB(INDIRECT(ADDRESS(38949,266)))</f>
        <v>0</v>
      </c>
      <c r="JH38949" s="7" t="n">
        <v>4</v>
      </c>
      <c r="JI38949" s="7" t="n">
        <v>65533</v>
      </c>
      <c r="JJ38949" s="7" t="n">
        <v>2004</v>
      </c>
      <c r="JK38949" s="7" t="s">
        <v>16</v>
      </c>
      <c r="JL38949" s="7" t="n">
        <f t="normal" ca="1">32-LENB(INDIRECT(ADDRESS(38949,271)))</f>
        <v>0</v>
      </c>
      <c r="JM38949" s="7" t="n">
        <v>7</v>
      </c>
      <c r="JN38949" s="7" t="n">
        <v>65533</v>
      </c>
      <c r="JO38949" s="7" t="n">
        <v>4823</v>
      </c>
      <c r="JP38949" s="7" t="s">
        <v>16</v>
      </c>
      <c r="JQ38949" s="7" t="n">
        <f t="normal" ca="1">32-LENB(INDIRECT(ADDRESS(38949,276)))</f>
        <v>0</v>
      </c>
      <c r="JR38949" s="7" t="n">
        <v>7</v>
      </c>
      <c r="JS38949" s="7" t="n">
        <v>65533</v>
      </c>
      <c r="JT38949" s="7" t="n">
        <v>64642</v>
      </c>
      <c r="JU38949" s="7" t="s">
        <v>16</v>
      </c>
      <c r="JV38949" s="7" t="n">
        <f t="normal" ca="1">32-LENB(INDIRECT(ADDRESS(38949,281)))</f>
        <v>0</v>
      </c>
      <c r="JW38949" s="7" t="n">
        <v>7</v>
      </c>
      <c r="JX38949" s="7" t="n">
        <v>65533</v>
      </c>
      <c r="JY38949" s="7" t="n">
        <v>63931</v>
      </c>
      <c r="JZ38949" s="7" t="s">
        <v>16</v>
      </c>
      <c r="KA38949" s="7" t="n">
        <f t="normal" ca="1">32-LENB(INDIRECT(ADDRESS(38949,286)))</f>
        <v>0</v>
      </c>
      <c r="KB38949" s="7" t="n">
        <v>7</v>
      </c>
      <c r="KC38949" s="7" t="n">
        <v>65533</v>
      </c>
      <c r="KD38949" s="7" t="n">
        <v>63932</v>
      </c>
      <c r="KE38949" s="7" t="s">
        <v>16</v>
      </c>
      <c r="KF38949" s="7" t="n">
        <f t="normal" ca="1">32-LENB(INDIRECT(ADDRESS(38949,291)))</f>
        <v>0</v>
      </c>
      <c r="KG38949" s="7" t="n">
        <v>7</v>
      </c>
      <c r="KH38949" s="7" t="n">
        <v>65533</v>
      </c>
      <c r="KI38949" s="7" t="n">
        <v>63933</v>
      </c>
      <c r="KJ38949" s="7" t="s">
        <v>16</v>
      </c>
      <c r="KK38949" s="7" t="n">
        <f t="normal" ca="1">32-LENB(INDIRECT(ADDRESS(38949,296)))</f>
        <v>0</v>
      </c>
      <c r="KL38949" s="7" t="n">
        <v>7</v>
      </c>
      <c r="KM38949" s="7" t="n">
        <v>65533</v>
      </c>
      <c r="KN38949" s="7" t="n">
        <v>63934</v>
      </c>
      <c r="KO38949" s="7" t="s">
        <v>16</v>
      </c>
      <c r="KP38949" s="7" t="n">
        <f t="normal" ca="1">32-LENB(INDIRECT(ADDRESS(38949,301)))</f>
        <v>0</v>
      </c>
      <c r="KQ38949" s="7" t="n">
        <v>7</v>
      </c>
      <c r="KR38949" s="7" t="n">
        <v>65533</v>
      </c>
      <c r="KS38949" s="7" t="n">
        <v>4824</v>
      </c>
      <c r="KT38949" s="7" t="s">
        <v>16</v>
      </c>
      <c r="KU38949" s="7" t="n">
        <f t="normal" ca="1">32-LENB(INDIRECT(ADDRESS(38949,306)))</f>
        <v>0</v>
      </c>
      <c r="KV38949" s="7" t="n">
        <v>4</v>
      </c>
      <c r="KW38949" s="7" t="n">
        <v>65533</v>
      </c>
      <c r="KX38949" s="7" t="n">
        <v>2000</v>
      </c>
      <c r="KY38949" s="7" t="s">
        <v>16</v>
      </c>
      <c r="KZ38949" s="7" t="n">
        <f t="normal" ca="1">32-LENB(INDIRECT(ADDRESS(38949,311)))</f>
        <v>0</v>
      </c>
      <c r="LA38949" s="7" t="n">
        <v>7</v>
      </c>
      <c r="LB38949" s="7" t="n">
        <v>65533</v>
      </c>
      <c r="LC38949" s="7" t="n">
        <v>63935</v>
      </c>
      <c r="LD38949" s="7" t="s">
        <v>16</v>
      </c>
      <c r="LE38949" s="7" t="n">
        <f t="normal" ca="1">32-LENB(INDIRECT(ADDRESS(38949,316)))</f>
        <v>0</v>
      </c>
      <c r="LF38949" s="7" t="n">
        <v>7</v>
      </c>
      <c r="LG38949" s="7" t="n">
        <v>65533</v>
      </c>
      <c r="LH38949" s="7" t="n">
        <v>63936</v>
      </c>
      <c r="LI38949" s="7" t="s">
        <v>16</v>
      </c>
      <c r="LJ38949" s="7" t="n">
        <f t="normal" ca="1">32-LENB(INDIRECT(ADDRESS(38949,321)))</f>
        <v>0</v>
      </c>
      <c r="LK38949" s="7" t="n">
        <v>7</v>
      </c>
      <c r="LL38949" s="7" t="n">
        <v>65533</v>
      </c>
      <c r="LM38949" s="7" t="n">
        <v>4825</v>
      </c>
      <c r="LN38949" s="7" t="s">
        <v>16</v>
      </c>
      <c r="LO38949" s="7" t="n">
        <f t="normal" ca="1">32-LENB(INDIRECT(ADDRESS(38949,326)))</f>
        <v>0</v>
      </c>
      <c r="LP38949" s="7" t="n">
        <v>0</v>
      </c>
      <c r="LQ38949" s="7" t="n">
        <v>65533</v>
      </c>
      <c r="LR38949" s="7" t="n">
        <v>0</v>
      </c>
      <c r="LS38949" s="7" t="s">
        <v>16</v>
      </c>
      <c r="LT38949" s="7" t="n">
        <f t="normal" ca="1">32-LENB(INDIRECT(ADDRESS(38949,331)))</f>
        <v>0</v>
      </c>
    </row>
    <row r="38950" spans="1:382">
      <c r="A38950" t="s">
        <v>4</v>
      </c>
      <c r="B38950" s="4" t="s">
        <v>5</v>
      </c>
    </row>
    <row r="38951" spans="1:382">
      <c r="A38951" t="n">
        <v>460032</v>
      </c>
      <c r="B38951" s="5" t="n">
        <v>1</v>
      </c>
    </row>
    <row r="38952" spans="1:382" s="3" customFormat="1" customHeight="0">
      <c r="A38952" s="3" t="s">
        <v>2</v>
      </c>
      <c r="B38952" s="3" t="s">
        <v>1899</v>
      </c>
    </row>
    <row r="38953" spans="1:382">
      <c r="A38953" t="s">
        <v>4</v>
      </c>
      <c r="B38953" s="4" t="s">
        <v>5</v>
      </c>
      <c r="C38953" s="4" t="s">
        <v>11</v>
      </c>
      <c r="D38953" s="4" t="s">
        <v>11</v>
      </c>
      <c r="E38953" s="4" t="s">
        <v>15</v>
      </c>
      <c r="F38953" s="4" t="s">
        <v>8</v>
      </c>
      <c r="G38953" s="4" t="s">
        <v>1859</v>
      </c>
      <c r="H38953" s="4" t="s">
        <v>11</v>
      </c>
      <c r="I38953" s="4" t="s">
        <v>11</v>
      </c>
      <c r="J38953" s="4" t="s">
        <v>15</v>
      </c>
      <c r="K38953" s="4" t="s">
        <v>8</v>
      </c>
      <c r="L38953" s="4" t="s">
        <v>1859</v>
      </c>
      <c r="M38953" s="4" t="s">
        <v>11</v>
      </c>
      <c r="N38953" s="4" t="s">
        <v>11</v>
      </c>
      <c r="O38953" s="4" t="s">
        <v>15</v>
      </c>
      <c r="P38953" s="4" t="s">
        <v>8</v>
      </c>
      <c r="Q38953" s="4" t="s">
        <v>1859</v>
      </c>
      <c r="R38953" s="4" t="s">
        <v>11</v>
      </c>
      <c r="S38953" s="4" t="s">
        <v>11</v>
      </c>
      <c r="T38953" s="4" t="s">
        <v>15</v>
      </c>
      <c r="U38953" s="4" t="s">
        <v>8</v>
      </c>
      <c r="V38953" s="4" t="s">
        <v>1859</v>
      </c>
      <c r="W38953" s="4" t="s">
        <v>11</v>
      </c>
      <c r="X38953" s="4" t="s">
        <v>11</v>
      </c>
      <c r="Y38953" s="4" t="s">
        <v>15</v>
      </c>
      <c r="Z38953" s="4" t="s">
        <v>8</v>
      </c>
      <c r="AA38953" s="4" t="s">
        <v>1859</v>
      </c>
      <c r="AB38953" s="4" t="s">
        <v>11</v>
      </c>
      <c r="AC38953" s="4" t="s">
        <v>11</v>
      </c>
      <c r="AD38953" s="4" t="s">
        <v>15</v>
      </c>
      <c r="AE38953" s="4" t="s">
        <v>8</v>
      </c>
      <c r="AF38953" s="4" t="s">
        <v>1859</v>
      </c>
      <c r="AG38953" s="4" t="s">
        <v>11</v>
      </c>
      <c r="AH38953" s="4" t="s">
        <v>11</v>
      </c>
      <c r="AI38953" s="4" t="s">
        <v>15</v>
      </c>
      <c r="AJ38953" s="4" t="s">
        <v>8</v>
      </c>
      <c r="AK38953" s="4" t="s">
        <v>1859</v>
      </c>
      <c r="AL38953" s="4" t="s">
        <v>11</v>
      </c>
      <c r="AM38953" s="4" t="s">
        <v>11</v>
      </c>
      <c r="AN38953" s="4" t="s">
        <v>15</v>
      </c>
      <c r="AO38953" s="4" t="s">
        <v>8</v>
      </c>
      <c r="AP38953" s="4" t="s">
        <v>1859</v>
      </c>
      <c r="AQ38953" s="4" t="s">
        <v>11</v>
      </c>
      <c r="AR38953" s="4" t="s">
        <v>11</v>
      </c>
      <c r="AS38953" s="4" t="s">
        <v>15</v>
      </c>
      <c r="AT38953" s="4" t="s">
        <v>8</v>
      </c>
      <c r="AU38953" s="4" t="s">
        <v>1859</v>
      </c>
      <c r="AV38953" s="4" t="s">
        <v>11</v>
      </c>
      <c r="AW38953" s="4" t="s">
        <v>11</v>
      </c>
      <c r="AX38953" s="4" t="s">
        <v>15</v>
      </c>
      <c r="AY38953" s="4" t="s">
        <v>8</v>
      </c>
      <c r="AZ38953" s="4" t="s">
        <v>1859</v>
      </c>
      <c r="BA38953" s="4" t="s">
        <v>11</v>
      </c>
      <c r="BB38953" s="4" t="s">
        <v>11</v>
      </c>
      <c r="BC38953" s="4" t="s">
        <v>15</v>
      </c>
      <c r="BD38953" s="4" t="s">
        <v>8</v>
      </c>
      <c r="BE38953" s="4" t="s">
        <v>1859</v>
      </c>
      <c r="BF38953" s="4" t="s">
        <v>11</v>
      </c>
      <c r="BG38953" s="4" t="s">
        <v>11</v>
      </c>
      <c r="BH38953" s="4" t="s">
        <v>15</v>
      </c>
      <c r="BI38953" s="4" t="s">
        <v>8</v>
      </c>
      <c r="BJ38953" s="4" t="s">
        <v>1859</v>
      </c>
      <c r="BK38953" s="4" t="s">
        <v>11</v>
      </c>
      <c r="BL38953" s="4" t="s">
        <v>11</v>
      </c>
      <c r="BM38953" s="4" t="s">
        <v>15</v>
      </c>
      <c r="BN38953" s="4" t="s">
        <v>8</v>
      </c>
      <c r="BO38953" s="4" t="s">
        <v>1859</v>
      </c>
      <c r="BP38953" s="4" t="s">
        <v>11</v>
      </c>
      <c r="BQ38953" s="4" t="s">
        <v>11</v>
      </c>
      <c r="BR38953" s="4" t="s">
        <v>15</v>
      </c>
      <c r="BS38953" s="4" t="s">
        <v>8</v>
      </c>
      <c r="BT38953" s="4" t="s">
        <v>1859</v>
      </c>
      <c r="BU38953" s="4" t="s">
        <v>11</v>
      </c>
      <c r="BV38953" s="4" t="s">
        <v>11</v>
      </c>
      <c r="BW38953" s="4" t="s">
        <v>15</v>
      </c>
      <c r="BX38953" s="4" t="s">
        <v>8</v>
      </c>
      <c r="BY38953" s="4" t="s">
        <v>1859</v>
      </c>
      <c r="BZ38953" s="4" t="s">
        <v>11</v>
      </c>
      <c r="CA38953" s="4" t="s">
        <v>11</v>
      </c>
      <c r="CB38953" s="4" t="s">
        <v>15</v>
      </c>
      <c r="CC38953" s="4" t="s">
        <v>8</v>
      </c>
      <c r="CD38953" s="4" t="s">
        <v>1859</v>
      </c>
      <c r="CE38953" s="4" t="s">
        <v>11</v>
      </c>
      <c r="CF38953" s="4" t="s">
        <v>11</v>
      </c>
      <c r="CG38953" s="4" t="s">
        <v>15</v>
      </c>
      <c r="CH38953" s="4" t="s">
        <v>8</v>
      </c>
      <c r="CI38953" s="4" t="s">
        <v>1859</v>
      </c>
      <c r="CJ38953" s="4" t="s">
        <v>11</v>
      </c>
      <c r="CK38953" s="4" t="s">
        <v>11</v>
      </c>
      <c r="CL38953" s="4" t="s">
        <v>15</v>
      </c>
      <c r="CM38953" s="4" t="s">
        <v>8</v>
      </c>
      <c r="CN38953" s="4" t="s">
        <v>1859</v>
      </c>
      <c r="CO38953" s="4" t="s">
        <v>11</v>
      </c>
      <c r="CP38953" s="4" t="s">
        <v>11</v>
      </c>
      <c r="CQ38953" s="4" t="s">
        <v>15</v>
      </c>
      <c r="CR38953" s="4" t="s">
        <v>8</v>
      </c>
      <c r="CS38953" s="4" t="s">
        <v>1859</v>
      </c>
      <c r="CT38953" s="4" t="s">
        <v>11</v>
      </c>
      <c r="CU38953" s="4" t="s">
        <v>11</v>
      </c>
      <c r="CV38953" s="4" t="s">
        <v>15</v>
      </c>
      <c r="CW38953" s="4" t="s">
        <v>8</v>
      </c>
      <c r="CX38953" s="4" t="s">
        <v>1859</v>
      </c>
      <c r="CY38953" s="4" t="s">
        <v>11</v>
      </c>
      <c r="CZ38953" s="4" t="s">
        <v>11</v>
      </c>
      <c r="DA38953" s="4" t="s">
        <v>15</v>
      </c>
      <c r="DB38953" s="4" t="s">
        <v>8</v>
      </c>
      <c r="DC38953" s="4" t="s">
        <v>1859</v>
      </c>
      <c r="DD38953" s="4" t="s">
        <v>11</v>
      </c>
      <c r="DE38953" s="4" t="s">
        <v>11</v>
      </c>
      <c r="DF38953" s="4" t="s">
        <v>15</v>
      </c>
      <c r="DG38953" s="4" t="s">
        <v>8</v>
      </c>
      <c r="DH38953" s="4" t="s">
        <v>1859</v>
      </c>
      <c r="DI38953" s="4" t="s">
        <v>11</v>
      </c>
      <c r="DJ38953" s="4" t="s">
        <v>11</v>
      </c>
      <c r="DK38953" s="4" t="s">
        <v>15</v>
      </c>
      <c r="DL38953" s="4" t="s">
        <v>8</v>
      </c>
      <c r="DM38953" s="4" t="s">
        <v>1859</v>
      </c>
      <c r="DN38953" s="4" t="s">
        <v>11</v>
      </c>
      <c r="DO38953" s="4" t="s">
        <v>11</v>
      </c>
      <c r="DP38953" s="4" t="s">
        <v>15</v>
      </c>
      <c r="DQ38953" s="4" t="s">
        <v>8</v>
      </c>
      <c r="DR38953" s="4" t="s">
        <v>1859</v>
      </c>
      <c r="DS38953" s="4" t="s">
        <v>11</v>
      </c>
      <c r="DT38953" s="4" t="s">
        <v>11</v>
      </c>
      <c r="DU38953" s="4" t="s">
        <v>15</v>
      </c>
      <c r="DV38953" s="4" t="s">
        <v>8</v>
      </c>
      <c r="DW38953" s="4" t="s">
        <v>1859</v>
      </c>
      <c r="DX38953" s="4" t="s">
        <v>11</v>
      </c>
      <c r="DY38953" s="4" t="s">
        <v>11</v>
      </c>
      <c r="DZ38953" s="4" t="s">
        <v>15</v>
      </c>
      <c r="EA38953" s="4" t="s">
        <v>8</v>
      </c>
      <c r="EB38953" s="4" t="s">
        <v>1859</v>
      </c>
      <c r="EC38953" s="4" t="s">
        <v>11</v>
      </c>
      <c r="ED38953" s="4" t="s">
        <v>11</v>
      </c>
      <c r="EE38953" s="4" t="s">
        <v>15</v>
      </c>
      <c r="EF38953" s="4" t="s">
        <v>8</v>
      </c>
      <c r="EG38953" s="4" t="s">
        <v>1859</v>
      </c>
      <c r="EH38953" s="4" t="s">
        <v>11</v>
      </c>
      <c r="EI38953" s="4" t="s">
        <v>11</v>
      </c>
      <c r="EJ38953" s="4" t="s">
        <v>15</v>
      </c>
      <c r="EK38953" s="4" t="s">
        <v>8</v>
      </c>
      <c r="EL38953" s="4" t="s">
        <v>1859</v>
      </c>
      <c r="EM38953" s="4" t="s">
        <v>11</v>
      </c>
      <c r="EN38953" s="4" t="s">
        <v>11</v>
      </c>
      <c r="EO38953" s="4" t="s">
        <v>15</v>
      </c>
      <c r="EP38953" s="4" t="s">
        <v>8</v>
      </c>
      <c r="EQ38953" s="4" t="s">
        <v>1859</v>
      </c>
      <c r="ER38953" s="4" t="s">
        <v>11</v>
      </c>
      <c r="ES38953" s="4" t="s">
        <v>11</v>
      </c>
      <c r="ET38953" s="4" t="s">
        <v>15</v>
      </c>
      <c r="EU38953" s="4" t="s">
        <v>8</v>
      </c>
      <c r="EV38953" s="4" t="s">
        <v>1859</v>
      </c>
      <c r="EW38953" s="4" t="s">
        <v>11</v>
      </c>
      <c r="EX38953" s="4" t="s">
        <v>11</v>
      </c>
      <c r="EY38953" s="4" t="s">
        <v>15</v>
      </c>
      <c r="EZ38953" s="4" t="s">
        <v>8</v>
      </c>
      <c r="FA38953" s="4" t="s">
        <v>1859</v>
      </c>
      <c r="FB38953" s="4" t="s">
        <v>11</v>
      </c>
      <c r="FC38953" s="4" t="s">
        <v>11</v>
      </c>
      <c r="FD38953" s="4" t="s">
        <v>15</v>
      </c>
      <c r="FE38953" s="4" t="s">
        <v>8</v>
      </c>
      <c r="FF38953" s="4" t="s">
        <v>1859</v>
      </c>
      <c r="FG38953" s="4" t="s">
        <v>11</v>
      </c>
      <c r="FH38953" s="4" t="s">
        <v>11</v>
      </c>
      <c r="FI38953" s="4" t="s">
        <v>15</v>
      </c>
      <c r="FJ38953" s="4" t="s">
        <v>8</v>
      </c>
      <c r="FK38953" s="4" t="s">
        <v>1859</v>
      </c>
      <c r="FL38953" s="4" t="s">
        <v>11</v>
      </c>
      <c r="FM38953" s="4" t="s">
        <v>11</v>
      </c>
      <c r="FN38953" s="4" t="s">
        <v>15</v>
      </c>
      <c r="FO38953" s="4" t="s">
        <v>8</v>
      </c>
      <c r="FP38953" s="4" t="s">
        <v>1859</v>
      </c>
      <c r="FQ38953" s="4" t="s">
        <v>11</v>
      </c>
      <c r="FR38953" s="4" t="s">
        <v>11</v>
      </c>
      <c r="FS38953" s="4" t="s">
        <v>15</v>
      </c>
      <c r="FT38953" s="4" t="s">
        <v>8</v>
      </c>
      <c r="FU38953" s="4" t="s">
        <v>1859</v>
      </c>
      <c r="FV38953" s="4" t="s">
        <v>11</v>
      </c>
      <c r="FW38953" s="4" t="s">
        <v>11</v>
      </c>
      <c r="FX38953" s="4" t="s">
        <v>15</v>
      </c>
      <c r="FY38953" s="4" t="s">
        <v>8</v>
      </c>
      <c r="FZ38953" s="4" t="s">
        <v>1859</v>
      </c>
      <c r="GA38953" s="4" t="s">
        <v>11</v>
      </c>
      <c r="GB38953" s="4" t="s">
        <v>11</v>
      </c>
      <c r="GC38953" s="4" t="s">
        <v>15</v>
      </c>
      <c r="GD38953" s="4" t="s">
        <v>8</v>
      </c>
      <c r="GE38953" s="4" t="s">
        <v>1859</v>
      </c>
      <c r="GF38953" s="4" t="s">
        <v>11</v>
      </c>
      <c r="GG38953" s="4" t="s">
        <v>11</v>
      </c>
      <c r="GH38953" s="4" t="s">
        <v>15</v>
      </c>
      <c r="GI38953" s="4" t="s">
        <v>8</v>
      </c>
      <c r="GJ38953" s="4" t="s">
        <v>1859</v>
      </c>
      <c r="GK38953" s="4" t="s">
        <v>11</v>
      </c>
      <c r="GL38953" s="4" t="s">
        <v>11</v>
      </c>
      <c r="GM38953" s="4" t="s">
        <v>15</v>
      </c>
      <c r="GN38953" s="4" t="s">
        <v>8</v>
      </c>
      <c r="GO38953" s="4" t="s">
        <v>1859</v>
      </c>
      <c r="GP38953" s="4" t="s">
        <v>11</v>
      </c>
      <c r="GQ38953" s="4" t="s">
        <v>11</v>
      </c>
      <c r="GR38953" s="4" t="s">
        <v>15</v>
      </c>
      <c r="GS38953" s="4" t="s">
        <v>8</v>
      </c>
      <c r="GT38953" s="4" t="s">
        <v>1859</v>
      </c>
      <c r="GU38953" s="4" t="s">
        <v>11</v>
      </c>
      <c r="GV38953" s="4" t="s">
        <v>11</v>
      </c>
      <c r="GW38953" s="4" t="s">
        <v>15</v>
      </c>
      <c r="GX38953" s="4" t="s">
        <v>8</v>
      </c>
      <c r="GY38953" s="4" t="s">
        <v>1859</v>
      </c>
      <c r="GZ38953" s="4" t="s">
        <v>11</v>
      </c>
      <c r="HA38953" s="4" t="s">
        <v>11</v>
      </c>
      <c r="HB38953" s="4" t="s">
        <v>15</v>
      </c>
      <c r="HC38953" s="4" t="s">
        <v>8</v>
      </c>
      <c r="HD38953" s="4" t="s">
        <v>1859</v>
      </c>
      <c r="HE38953" s="4" t="s">
        <v>11</v>
      </c>
      <c r="HF38953" s="4" t="s">
        <v>11</v>
      </c>
      <c r="HG38953" s="4" t="s">
        <v>15</v>
      </c>
      <c r="HH38953" s="4" t="s">
        <v>8</v>
      </c>
      <c r="HI38953" s="4" t="s">
        <v>1859</v>
      </c>
      <c r="HJ38953" s="4" t="s">
        <v>11</v>
      </c>
      <c r="HK38953" s="4" t="s">
        <v>11</v>
      </c>
      <c r="HL38953" s="4" t="s">
        <v>15</v>
      </c>
      <c r="HM38953" s="4" t="s">
        <v>8</v>
      </c>
      <c r="HN38953" s="4" t="s">
        <v>1859</v>
      </c>
      <c r="HO38953" s="4" t="s">
        <v>11</v>
      </c>
      <c r="HP38953" s="4" t="s">
        <v>11</v>
      </c>
      <c r="HQ38953" s="4" t="s">
        <v>15</v>
      </c>
      <c r="HR38953" s="4" t="s">
        <v>8</v>
      </c>
      <c r="HS38953" s="4" t="s">
        <v>1859</v>
      </c>
      <c r="HT38953" s="4" t="s">
        <v>11</v>
      </c>
      <c r="HU38953" s="4" t="s">
        <v>11</v>
      </c>
      <c r="HV38953" s="4" t="s">
        <v>15</v>
      </c>
      <c r="HW38953" s="4" t="s">
        <v>8</v>
      </c>
      <c r="HX38953" s="4" t="s">
        <v>1859</v>
      </c>
      <c r="HY38953" s="4" t="s">
        <v>11</v>
      </c>
      <c r="HZ38953" s="4" t="s">
        <v>11</v>
      </c>
      <c r="IA38953" s="4" t="s">
        <v>15</v>
      </c>
      <c r="IB38953" s="4" t="s">
        <v>8</v>
      </c>
      <c r="IC38953" s="4" t="s">
        <v>1859</v>
      </c>
      <c r="ID38953" s="4" t="s">
        <v>11</v>
      </c>
      <c r="IE38953" s="4" t="s">
        <v>11</v>
      </c>
      <c r="IF38953" s="4" t="s">
        <v>15</v>
      </c>
      <c r="IG38953" s="4" t="s">
        <v>8</v>
      </c>
      <c r="IH38953" s="4" t="s">
        <v>1859</v>
      </c>
      <c r="II38953" s="4" t="s">
        <v>11</v>
      </c>
      <c r="IJ38953" s="4" t="s">
        <v>11</v>
      </c>
      <c r="IK38953" s="4" t="s">
        <v>15</v>
      </c>
      <c r="IL38953" s="4" t="s">
        <v>8</v>
      </c>
      <c r="IM38953" s="4" t="s">
        <v>1859</v>
      </c>
      <c r="IN38953" s="4" t="s">
        <v>11</v>
      </c>
      <c r="IO38953" s="4" t="s">
        <v>11</v>
      </c>
      <c r="IP38953" s="4" t="s">
        <v>15</v>
      </c>
      <c r="IQ38953" s="4" t="s">
        <v>8</v>
      </c>
      <c r="IR38953" s="4" t="s">
        <v>1859</v>
      </c>
    </row>
    <row r="38954" spans="1:382">
      <c r="A38954" t="n">
        <v>460048</v>
      </c>
      <c r="B38954" s="85" t="n">
        <v>257</v>
      </c>
      <c r="C38954" s="7" t="n">
        <v>7</v>
      </c>
      <c r="D38954" s="7" t="n">
        <v>65533</v>
      </c>
      <c r="E38954" s="7" t="n">
        <v>64642</v>
      </c>
      <c r="F38954" s="7" t="s">
        <v>16</v>
      </c>
      <c r="G38954" s="7" t="n">
        <f t="normal" ca="1">32-LENB(INDIRECT(ADDRESS(38954,6)))</f>
        <v>0</v>
      </c>
      <c r="H38954" s="7" t="n">
        <v>7</v>
      </c>
      <c r="I38954" s="7" t="n">
        <v>65533</v>
      </c>
      <c r="J38954" s="7" t="n">
        <v>64643</v>
      </c>
      <c r="K38954" s="7" t="s">
        <v>16</v>
      </c>
      <c r="L38954" s="7" t="n">
        <f t="normal" ca="1">32-LENB(INDIRECT(ADDRESS(38954,11)))</f>
        <v>0</v>
      </c>
      <c r="M38954" s="7" t="n">
        <v>7</v>
      </c>
      <c r="N38954" s="7" t="n">
        <v>65533</v>
      </c>
      <c r="O38954" s="7" t="n">
        <v>64644</v>
      </c>
      <c r="P38954" s="7" t="s">
        <v>16</v>
      </c>
      <c r="Q38954" s="7" t="n">
        <f t="normal" ca="1">32-LENB(INDIRECT(ADDRESS(38954,16)))</f>
        <v>0</v>
      </c>
      <c r="R38954" s="7" t="n">
        <v>7</v>
      </c>
      <c r="S38954" s="7" t="n">
        <v>65533</v>
      </c>
      <c r="T38954" s="7" t="n">
        <v>64645</v>
      </c>
      <c r="U38954" s="7" t="s">
        <v>16</v>
      </c>
      <c r="V38954" s="7" t="n">
        <f t="normal" ca="1">32-LENB(INDIRECT(ADDRESS(38954,21)))</f>
        <v>0</v>
      </c>
      <c r="W38954" s="7" t="n">
        <v>7</v>
      </c>
      <c r="X38954" s="7" t="n">
        <v>65533</v>
      </c>
      <c r="Y38954" s="7" t="n">
        <v>64646</v>
      </c>
      <c r="Z38954" s="7" t="s">
        <v>16</v>
      </c>
      <c r="AA38954" s="7" t="n">
        <f t="normal" ca="1">32-LENB(INDIRECT(ADDRESS(38954,26)))</f>
        <v>0</v>
      </c>
      <c r="AB38954" s="7" t="n">
        <v>7</v>
      </c>
      <c r="AC38954" s="7" t="n">
        <v>65533</v>
      </c>
      <c r="AD38954" s="7" t="n">
        <v>64647</v>
      </c>
      <c r="AE38954" s="7" t="s">
        <v>16</v>
      </c>
      <c r="AF38954" s="7" t="n">
        <f t="normal" ca="1">32-LENB(INDIRECT(ADDRESS(38954,31)))</f>
        <v>0</v>
      </c>
      <c r="AG38954" s="7" t="n">
        <v>7</v>
      </c>
      <c r="AH38954" s="7" t="n">
        <v>65533</v>
      </c>
      <c r="AI38954" s="7" t="n">
        <v>64648</v>
      </c>
      <c r="AJ38954" s="7" t="s">
        <v>16</v>
      </c>
      <c r="AK38954" s="7" t="n">
        <f t="normal" ca="1">32-LENB(INDIRECT(ADDRESS(38954,36)))</f>
        <v>0</v>
      </c>
      <c r="AL38954" s="7" t="n">
        <v>7</v>
      </c>
      <c r="AM38954" s="7" t="n">
        <v>65533</v>
      </c>
      <c r="AN38954" s="7" t="n">
        <v>64649</v>
      </c>
      <c r="AO38954" s="7" t="s">
        <v>16</v>
      </c>
      <c r="AP38954" s="7" t="n">
        <f t="normal" ca="1">32-LENB(INDIRECT(ADDRESS(38954,41)))</f>
        <v>0</v>
      </c>
      <c r="AQ38954" s="7" t="n">
        <v>7</v>
      </c>
      <c r="AR38954" s="7" t="n">
        <v>65533</v>
      </c>
      <c r="AS38954" s="7" t="n">
        <v>64650</v>
      </c>
      <c r="AT38954" s="7" t="s">
        <v>16</v>
      </c>
      <c r="AU38954" s="7" t="n">
        <f t="normal" ca="1">32-LENB(INDIRECT(ADDRESS(38954,46)))</f>
        <v>0</v>
      </c>
      <c r="AV38954" s="7" t="n">
        <v>7</v>
      </c>
      <c r="AW38954" s="7" t="n">
        <v>65533</v>
      </c>
      <c r="AX38954" s="7" t="n">
        <v>65282</v>
      </c>
      <c r="AY38954" s="7" t="s">
        <v>16</v>
      </c>
      <c r="AZ38954" s="7" t="n">
        <f t="normal" ca="1">32-LENB(INDIRECT(ADDRESS(38954,51)))</f>
        <v>0</v>
      </c>
      <c r="BA38954" s="7" t="n">
        <v>4</v>
      </c>
      <c r="BB38954" s="7" t="n">
        <v>65533</v>
      </c>
      <c r="BC38954" s="7" t="n">
        <v>2000</v>
      </c>
      <c r="BD38954" s="7" t="s">
        <v>16</v>
      </c>
      <c r="BE38954" s="7" t="n">
        <f t="normal" ca="1">32-LENB(INDIRECT(ADDRESS(38954,56)))</f>
        <v>0</v>
      </c>
      <c r="BF38954" s="7" t="n">
        <v>4</v>
      </c>
      <c r="BG38954" s="7" t="n">
        <v>65533</v>
      </c>
      <c r="BH38954" s="7" t="n">
        <v>2000</v>
      </c>
      <c r="BI38954" s="7" t="s">
        <v>16</v>
      </c>
      <c r="BJ38954" s="7" t="n">
        <f t="normal" ca="1">32-LENB(INDIRECT(ADDRESS(38954,61)))</f>
        <v>0</v>
      </c>
      <c r="BK38954" s="7" t="n">
        <v>7</v>
      </c>
      <c r="BL38954" s="7" t="n">
        <v>65533</v>
      </c>
      <c r="BM38954" s="7" t="n">
        <v>64651</v>
      </c>
      <c r="BN38954" s="7" t="s">
        <v>16</v>
      </c>
      <c r="BO38954" s="7" t="n">
        <f t="normal" ca="1">32-LENB(INDIRECT(ADDRESS(38954,66)))</f>
        <v>0</v>
      </c>
      <c r="BP38954" s="7" t="n">
        <v>7</v>
      </c>
      <c r="BQ38954" s="7" t="n">
        <v>65533</v>
      </c>
      <c r="BR38954" s="7" t="n">
        <v>64652</v>
      </c>
      <c r="BS38954" s="7" t="s">
        <v>16</v>
      </c>
      <c r="BT38954" s="7" t="n">
        <f t="normal" ca="1">32-LENB(INDIRECT(ADDRESS(38954,71)))</f>
        <v>0</v>
      </c>
      <c r="BU38954" s="7" t="n">
        <v>7</v>
      </c>
      <c r="BV38954" s="7" t="n">
        <v>65533</v>
      </c>
      <c r="BW38954" s="7" t="n">
        <v>64653</v>
      </c>
      <c r="BX38954" s="7" t="s">
        <v>16</v>
      </c>
      <c r="BY38954" s="7" t="n">
        <f t="normal" ca="1">32-LENB(INDIRECT(ADDRESS(38954,76)))</f>
        <v>0</v>
      </c>
      <c r="BZ38954" s="7" t="n">
        <v>7</v>
      </c>
      <c r="CA38954" s="7" t="n">
        <v>65533</v>
      </c>
      <c r="CB38954" s="7" t="n">
        <v>64654</v>
      </c>
      <c r="CC38954" s="7" t="s">
        <v>16</v>
      </c>
      <c r="CD38954" s="7" t="n">
        <f t="normal" ca="1">32-LENB(INDIRECT(ADDRESS(38954,81)))</f>
        <v>0</v>
      </c>
      <c r="CE38954" s="7" t="n">
        <v>7</v>
      </c>
      <c r="CF38954" s="7" t="n">
        <v>65533</v>
      </c>
      <c r="CG38954" s="7" t="n">
        <v>64655</v>
      </c>
      <c r="CH38954" s="7" t="s">
        <v>16</v>
      </c>
      <c r="CI38954" s="7" t="n">
        <f t="normal" ca="1">32-LENB(INDIRECT(ADDRESS(38954,86)))</f>
        <v>0</v>
      </c>
      <c r="CJ38954" s="7" t="n">
        <v>7</v>
      </c>
      <c r="CK38954" s="7" t="n">
        <v>65533</v>
      </c>
      <c r="CL38954" s="7" t="n">
        <v>64656</v>
      </c>
      <c r="CM38954" s="7" t="s">
        <v>16</v>
      </c>
      <c r="CN38954" s="7" t="n">
        <f t="normal" ca="1">32-LENB(INDIRECT(ADDRESS(38954,91)))</f>
        <v>0</v>
      </c>
      <c r="CO38954" s="7" t="n">
        <v>7</v>
      </c>
      <c r="CP38954" s="7" t="n">
        <v>65533</v>
      </c>
      <c r="CQ38954" s="7" t="n">
        <v>65283</v>
      </c>
      <c r="CR38954" s="7" t="s">
        <v>16</v>
      </c>
      <c r="CS38954" s="7" t="n">
        <f t="normal" ca="1">32-LENB(INDIRECT(ADDRESS(38954,96)))</f>
        <v>0</v>
      </c>
      <c r="CT38954" s="7" t="n">
        <v>7</v>
      </c>
      <c r="CU38954" s="7" t="n">
        <v>65533</v>
      </c>
      <c r="CV38954" s="7" t="n">
        <v>65284</v>
      </c>
      <c r="CW38954" s="7" t="s">
        <v>16</v>
      </c>
      <c r="CX38954" s="7" t="n">
        <f t="normal" ca="1">32-LENB(INDIRECT(ADDRESS(38954,101)))</f>
        <v>0</v>
      </c>
      <c r="CY38954" s="7" t="n">
        <v>4</v>
      </c>
      <c r="CZ38954" s="7" t="n">
        <v>65533</v>
      </c>
      <c r="DA38954" s="7" t="n">
        <v>2004</v>
      </c>
      <c r="DB38954" s="7" t="s">
        <v>16</v>
      </c>
      <c r="DC38954" s="7" t="n">
        <f t="normal" ca="1">32-LENB(INDIRECT(ADDRESS(38954,106)))</f>
        <v>0</v>
      </c>
      <c r="DD38954" s="7" t="n">
        <v>7</v>
      </c>
      <c r="DE38954" s="7" t="n">
        <v>65533</v>
      </c>
      <c r="DF38954" s="7" t="n">
        <v>64666</v>
      </c>
      <c r="DG38954" s="7" t="s">
        <v>16</v>
      </c>
      <c r="DH38954" s="7" t="n">
        <f t="normal" ca="1">32-LENB(INDIRECT(ADDRESS(38954,111)))</f>
        <v>0</v>
      </c>
      <c r="DI38954" s="7" t="n">
        <v>7</v>
      </c>
      <c r="DJ38954" s="7" t="n">
        <v>65533</v>
      </c>
      <c r="DK38954" s="7" t="n">
        <v>64667</v>
      </c>
      <c r="DL38954" s="7" t="s">
        <v>16</v>
      </c>
      <c r="DM38954" s="7" t="n">
        <f t="normal" ca="1">32-LENB(INDIRECT(ADDRESS(38954,116)))</f>
        <v>0</v>
      </c>
      <c r="DN38954" s="7" t="n">
        <v>7</v>
      </c>
      <c r="DO38954" s="7" t="n">
        <v>65533</v>
      </c>
      <c r="DP38954" s="7" t="n">
        <v>64668</v>
      </c>
      <c r="DQ38954" s="7" t="s">
        <v>16</v>
      </c>
      <c r="DR38954" s="7" t="n">
        <f t="normal" ca="1">32-LENB(INDIRECT(ADDRESS(38954,121)))</f>
        <v>0</v>
      </c>
      <c r="DS38954" s="7" t="n">
        <v>7</v>
      </c>
      <c r="DT38954" s="7" t="n">
        <v>65533</v>
      </c>
      <c r="DU38954" s="7" t="n">
        <v>64268</v>
      </c>
      <c r="DV38954" s="7" t="s">
        <v>16</v>
      </c>
      <c r="DW38954" s="7" t="n">
        <f t="normal" ca="1">32-LENB(INDIRECT(ADDRESS(38954,126)))</f>
        <v>0</v>
      </c>
      <c r="DX38954" s="7" t="n">
        <v>7</v>
      </c>
      <c r="DY38954" s="7" t="n">
        <v>65533</v>
      </c>
      <c r="DZ38954" s="7" t="n">
        <v>64669</v>
      </c>
      <c r="EA38954" s="7" t="s">
        <v>16</v>
      </c>
      <c r="EB38954" s="7" t="n">
        <f t="normal" ca="1">32-LENB(INDIRECT(ADDRESS(38954,131)))</f>
        <v>0</v>
      </c>
      <c r="EC38954" s="7" t="n">
        <v>7</v>
      </c>
      <c r="ED38954" s="7" t="n">
        <v>65533</v>
      </c>
      <c r="EE38954" s="7" t="n">
        <v>64670</v>
      </c>
      <c r="EF38954" s="7" t="s">
        <v>16</v>
      </c>
      <c r="EG38954" s="7" t="n">
        <f t="normal" ca="1">32-LENB(INDIRECT(ADDRESS(38954,136)))</f>
        <v>0</v>
      </c>
      <c r="EH38954" s="7" t="n">
        <v>7</v>
      </c>
      <c r="EI38954" s="7" t="n">
        <v>65533</v>
      </c>
      <c r="EJ38954" s="7" t="n">
        <v>64671</v>
      </c>
      <c r="EK38954" s="7" t="s">
        <v>16</v>
      </c>
      <c r="EL38954" s="7" t="n">
        <f t="normal" ca="1">32-LENB(INDIRECT(ADDRESS(38954,141)))</f>
        <v>0</v>
      </c>
      <c r="EM38954" s="7" t="n">
        <v>7</v>
      </c>
      <c r="EN38954" s="7" t="n">
        <v>65533</v>
      </c>
      <c r="EO38954" s="7" t="n">
        <v>64672</v>
      </c>
      <c r="EP38954" s="7" t="s">
        <v>16</v>
      </c>
      <c r="EQ38954" s="7" t="n">
        <f t="normal" ca="1">32-LENB(INDIRECT(ADDRESS(38954,146)))</f>
        <v>0</v>
      </c>
      <c r="ER38954" s="7" t="n">
        <v>7</v>
      </c>
      <c r="ES38954" s="7" t="n">
        <v>65533</v>
      </c>
      <c r="ET38954" s="7" t="n">
        <v>64418</v>
      </c>
      <c r="EU38954" s="7" t="s">
        <v>16</v>
      </c>
      <c r="EV38954" s="7" t="n">
        <f t="normal" ca="1">32-LENB(INDIRECT(ADDRESS(38954,151)))</f>
        <v>0</v>
      </c>
      <c r="EW38954" s="7" t="n">
        <v>7</v>
      </c>
      <c r="EX38954" s="7" t="n">
        <v>65533</v>
      </c>
      <c r="EY38954" s="7" t="n">
        <v>65288</v>
      </c>
      <c r="EZ38954" s="7" t="s">
        <v>16</v>
      </c>
      <c r="FA38954" s="7" t="n">
        <f t="normal" ca="1">32-LENB(INDIRECT(ADDRESS(38954,156)))</f>
        <v>0</v>
      </c>
      <c r="FB38954" s="7" t="n">
        <v>7</v>
      </c>
      <c r="FC38954" s="7" t="n">
        <v>65533</v>
      </c>
      <c r="FD38954" s="7" t="n">
        <v>64673</v>
      </c>
      <c r="FE38954" s="7" t="s">
        <v>16</v>
      </c>
      <c r="FF38954" s="7" t="n">
        <f t="normal" ca="1">32-LENB(INDIRECT(ADDRESS(38954,161)))</f>
        <v>0</v>
      </c>
      <c r="FG38954" s="7" t="n">
        <v>7</v>
      </c>
      <c r="FH38954" s="7" t="n">
        <v>65533</v>
      </c>
      <c r="FI38954" s="7" t="n">
        <v>64674</v>
      </c>
      <c r="FJ38954" s="7" t="s">
        <v>16</v>
      </c>
      <c r="FK38954" s="7" t="n">
        <f t="normal" ca="1">32-LENB(INDIRECT(ADDRESS(38954,166)))</f>
        <v>0</v>
      </c>
      <c r="FL38954" s="7" t="n">
        <v>7</v>
      </c>
      <c r="FM38954" s="7" t="n">
        <v>65533</v>
      </c>
      <c r="FN38954" s="7" t="n">
        <v>64336</v>
      </c>
      <c r="FO38954" s="7" t="s">
        <v>16</v>
      </c>
      <c r="FP38954" s="7" t="n">
        <f t="normal" ca="1">32-LENB(INDIRECT(ADDRESS(38954,171)))</f>
        <v>0</v>
      </c>
      <c r="FQ38954" s="7" t="n">
        <v>7</v>
      </c>
      <c r="FR38954" s="7" t="n">
        <v>65533</v>
      </c>
      <c r="FS38954" s="7" t="n">
        <v>64675</v>
      </c>
      <c r="FT38954" s="7" t="s">
        <v>16</v>
      </c>
      <c r="FU38954" s="7" t="n">
        <f t="normal" ca="1">32-LENB(INDIRECT(ADDRESS(38954,176)))</f>
        <v>0</v>
      </c>
      <c r="FV38954" s="7" t="n">
        <v>7</v>
      </c>
      <c r="FW38954" s="7" t="n">
        <v>65533</v>
      </c>
      <c r="FX38954" s="7" t="n">
        <v>64676</v>
      </c>
      <c r="FY38954" s="7" t="s">
        <v>16</v>
      </c>
      <c r="FZ38954" s="7" t="n">
        <f t="normal" ca="1">32-LENB(INDIRECT(ADDRESS(38954,181)))</f>
        <v>0</v>
      </c>
      <c r="GA38954" s="7" t="n">
        <v>7</v>
      </c>
      <c r="GB38954" s="7" t="n">
        <v>65533</v>
      </c>
      <c r="GC38954" s="7" t="n">
        <v>64677</v>
      </c>
      <c r="GD38954" s="7" t="s">
        <v>16</v>
      </c>
      <c r="GE38954" s="7" t="n">
        <f t="normal" ca="1">32-LENB(INDIRECT(ADDRESS(38954,186)))</f>
        <v>0</v>
      </c>
      <c r="GF38954" s="7" t="n">
        <v>7</v>
      </c>
      <c r="GG38954" s="7" t="n">
        <v>65533</v>
      </c>
      <c r="GH38954" s="7" t="n">
        <v>64678</v>
      </c>
      <c r="GI38954" s="7" t="s">
        <v>16</v>
      </c>
      <c r="GJ38954" s="7" t="n">
        <f t="normal" ca="1">32-LENB(INDIRECT(ADDRESS(38954,191)))</f>
        <v>0</v>
      </c>
      <c r="GK38954" s="7" t="n">
        <v>7</v>
      </c>
      <c r="GL38954" s="7" t="n">
        <v>65533</v>
      </c>
      <c r="GM38954" s="7" t="n">
        <v>64679</v>
      </c>
      <c r="GN38954" s="7" t="s">
        <v>16</v>
      </c>
      <c r="GO38954" s="7" t="n">
        <f t="normal" ca="1">32-LENB(INDIRECT(ADDRESS(38954,196)))</f>
        <v>0</v>
      </c>
      <c r="GP38954" s="7" t="n">
        <v>4</v>
      </c>
      <c r="GQ38954" s="7" t="n">
        <v>65533</v>
      </c>
      <c r="GR38954" s="7" t="n">
        <v>2004</v>
      </c>
      <c r="GS38954" s="7" t="s">
        <v>16</v>
      </c>
      <c r="GT38954" s="7" t="n">
        <f t="normal" ca="1">32-LENB(INDIRECT(ADDRESS(38954,201)))</f>
        <v>0</v>
      </c>
      <c r="GU38954" s="7" t="n">
        <v>7</v>
      </c>
      <c r="GV38954" s="7" t="n">
        <v>65533</v>
      </c>
      <c r="GW38954" s="7" t="n">
        <v>64680</v>
      </c>
      <c r="GX38954" s="7" t="s">
        <v>16</v>
      </c>
      <c r="GY38954" s="7" t="n">
        <f t="normal" ca="1">32-LENB(INDIRECT(ADDRESS(38954,206)))</f>
        <v>0</v>
      </c>
      <c r="GZ38954" s="7" t="n">
        <v>7</v>
      </c>
      <c r="HA38954" s="7" t="n">
        <v>65533</v>
      </c>
      <c r="HB38954" s="7" t="n">
        <v>64681</v>
      </c>
      <c r="HC38954" s="7" t="s">
        <v>16</v>
      </c>
      <c r="HD38954" s="7" t="n">
        <f t="normal" ca="1">32-LENB(INDIRECT(ADDRESS(38954,211)))</f>
        <v>0</v>
      </c>
      <c r="HE38954" s="7" t="n">
        <v>7</v>
      </c>
      <c r="HF38954" s="7" t="n">
        <v>65533</v>
      </c>
      <c r="HG38954" s="7" t="n">
        <v>64682</v>
      </c>
      <c r="HH38954" s="7" t="s">
        <v>16</v>
      </c>
      <c r="HI38954" s="7" t="n">
        <f t="normal" ca="1">32-LENB(INDIRECT(ADDRESS(38954,216)))</f>
        <v>0</v>
      </c>
      <c r="HJ38954" s="7" t="n">
        <v>7</v>
      </c>
      <c r="HK38954" s="7" t="n">
        <v>65533</v>
      </c>
      <c r="HL38954" s="7" t="n">
        <v>64683</v>
      </c>
      <c r="HM38954" s="7" t="s">
        <v>16</v>
      </c>
      <c r="HN38954" s="7" t="n">
        <f t="normal" ca="1">32-LENB(INDIRECT(ADDRESS(38954,221)))</f>
        <v>0</v>
      </c>
      <c r="HO38954" s="7" t="n">
        <v>7</v>
      </c>
      <c r="HP38954" s="7" t="n">
        <v>65533</v>
      </c>
      <c r="HQ38954" s="7" t="n">
        <v>64684</v>
      </c>
      <c r="HR38954" s="7" t="s">
        <v>16</v>
      </c>
      <c r="HS38954" s="7" t="n">
        <f t="normal" ca="1">32-LENB(INDIRECT(ADDRESS(38954,226)))</f>
        <v>0</v>
      </c>
      <c r="HT38954" s="7" t="n">
        <v>7</v>
      </c>
      <c r="HU38954" s="7" t="n">
        <v>65533</v>
      </c>
      <c r="HV38954" s="7" t="n">
        <v>64685</v>
      </c>
      <c r="HW38954" s="7" t="s">
        <v>16</v>
      </c>
      <c r="HX38954" s="7" t="n">
        <f t="normal" ca="1">32-LENB(INDIRECT(ADDRESS(38954,231)))</f>
        <v>0</v>
      </c>
      <c r="HY38954" s="7" t="n">
        <v>7</v>
      </c>
      <c r="HZ38954" s="7" t="n">
        <v>65533</v>
      </c>
      <c r="IA38954" s="7" t="n">
        <v>64686</v>
      </c>
      <c r="IB38954" s="7" t="s">
        <v>16</v>
      </c>
      <c r="IC38954" s="7" t="n">
        <f t="normal" ca="1">32-LENB(INDIRECT(ADDRESS(38954,236)))</f>
        <v>0</v>
      </c>
      <c r="ID38954" s="7" t="n">
        <v>7</v>
      </c>
      <c r="IE38954" s="7" t="n">
        <v>65533</v>
      </c>
      <c r="IF38954" s="7" t="n">
        <v>64687</v>
      </c>
      <c r="IG38954" s="7" t="s">
        <v>16</v>
      </c>
      <c r="IH38954" s="7" t="n">
        <f t="normal" ca="1">32-LENB(INDIRECT(ADDRESS(38954,241)))</f>
        <v>0</v>
      </c>
      <c r="II38954" s="7" t="n">
        <v>7</v>
      </c>
      <c r="IJ38954" s="7" t="n">
        <v>65533</v>
      </c>
      <c r="IK38954" s="7" t="n">
        <v>64688</v>
      </c>
      <c r="IL38954" s="7" t="s">
        <v>16</v>
      </c>
      <c r="IM38954" s="7" t="n">
        <f t="normal" ca="1">32-LENB(INDIRECT(ADDRESS(38954,246)))</f>
        <v>0</v>
      </c>
      <c r="IN38954" s="7" t="n">
        <v>0</v>
      </c>
      <c r="IO38954" s="7" t="n">
        <v>65533</v>
      </c>
      <c r="IP38954" s="7" t="n">
        <v>0</v>
      </c>
      <c r="IQ38954" s="7" t="s">
        <v>16</v>
      </c>
      <c r="IR38954" s="7" t="n">
        <f t="normal" ca="1">32-LENB(INDIRECT(ADDRESS(38954,251)))</f>
        <v>0</v>
      </c>
    </row>
    <row r="38955" spans="1:382">
      <c r="A38955" t="s">
        <v>4</v>
      </c>
      <c r="B38955" s="4" t="s">
        <v>5</v>
      </c>
    </row>
    <row r="38956" spans="1:382">
      <c r="A38956" t="n">
        <v>462048</v>
      </c>
      <c r="B38956" s="5" t="n">
        <v>1</v>
      </c>
    </row>
    <row r="38957" spans="1:382" s="3" customFormat="1" customHeight="0">
      <c r="A38957" s="3" t="s">
        <v>2</v>
      </c>
      <c r="B38957" s="3" t="s">
        <v>1900</v>
      </c>
    </row>
    <row r="38958" spans="1:382">
      <c r="A38958" t="s">
        <v>4</v>
      </c>
      <c r="B38958" s="4" t="s">
        <v>5</v>
      </c>
      <c r="C38958" s="4" t="s">
        <v>11</v>
      </c>
      <c r="D38958" s="4" t="s">
        <v>11</v>
      </c>
      <c r="E38958" s="4" t="s">
        <v>15</v>
      </c>
      <c r="F38958" s="4" t="s">
        <v>8</v>
      </c>
      <c r="G38958" s="4" t="s">
        <v>1859</v>
      </c>
      <c r="H38958" s="4" t="s">
        <v>11</v>
      </c>
      <c r="I38958" s="4" t="s">
        <v>11</v>
      </c>
      <c r="J38958" s="4" t="s">
        <v>15</v>
      </c>
      <c r="K38958" s="4" t="s">
        <v>8</v>
      </c>
      <c r="L38958" s="4" t="s">
        <v>1859</v>
      </c>
      <c r="M38958" s="4" t="s">
        <v>11</v>
      </c>
      <c r="N38958" s="4" t="s">
        <v>11</v>
      </c>
      <c r="O38958" s="4" t="s">
        <v>15</v>
      </c>
      <c r="P38958" s="4" t="s">
        <v>8</v>
      </c>
      <c r="Q38958" s="4" t="s">
        <v>1859</v>
      </c>
      <c r="R38958" s="4" t="s">
        <v>11</v>
      </c>
      <c r="S38958" s="4" t="s">
        <v>11</v>
      </c>
      <c r="T38958" s="4" t="s">
        <v>15</v>
      </c>
      <c r="U38958" s="4" t="s">
        <v>8</v>
      </c>
      <c r="V38958" s="4" t="s">
        <v>1859</v>
      </c>
      <c r="W38958" s="4" t="s">
        <v>11</v>
      </c>
      <c r="X38958" s="4" t="s">
        <v>11</v>
      </c>
      <c r="Y38958" s="4" t="s">
        <v>15</v>
      </c>
      <c r="Z38958" s="4" t="s">
        <v>8</v>
      </c>
      <c r="AA38958" s="4" t="s">
        <v>1859</v>
      </c>
      <c r="AB38958" s="4" t="s">
        <v>11</v>
      </c>
      <c r="AC38958" s="4" t="s">
        <v>11</v>
      </c>
      <c r="AD38958" s="4" t="s">
        <v>15</v>
      </c>
      <c r="AE38958" s="4" t="s">
        <v>8</v>
      </c>
      <c r="AF38958" s="4" t="s">
        <v>1859</v>
      </c>
      <c r="AG38958" s="4" t="s">
        <v>11</v>
      </c>
      <c r="AH38958" s="4" t="s">
        <v>11</v>
      </c>
      <c r="AI38958" s="4" t="s">
        <v>15</v>
      </c>
      <c r="AJ38958" s="4" t="s">
        <v>8</v>
      </c>
      <c r="AK38958" s="4" t="s">
        <v>1859</v>
      </c>
      <c r="AL38958" s="4" t="s">
        <v>11</v>
      </c>
      <c r="AM38958" s="4" t="s">
        <v>11</v>
      </c>
      <c r="AN38958" s="4" t="s">
        <v>15</v>
      </c>
      <c r="AO38958" s="4" t="s">
        <v>8</v>
      </c>
      <c r="AP38958" s="4" t="s">
        <v>1859</v>
      </c>
      <c r="AQ38958" s="4" t="s">
        <v>11</v>
      </c>
      <c r="AR38958" s="4" t="s">
        <v>11</v>
      </c>
      <c r="AS38958" s="4" t="s">
        <v>15</v>
      </c>
      <c r="AT38958" s="4" t="s">
        <v>8</v>
      </c>
      <c r="AU38958" s="4" t="s">
        <v>1859</v>
      </c>
      <c r="AV38958" s="4" t="s">
        <v>11</v>
      </c>
      <c r="AW38958" s="4" t="s">
        <v>11</v>
      </c>
      <c r="AX38958" s="4" t="s">
        <v>15</v>
      </c>
      <c r="AY38958" s="4" t="s">
        <v>8</v>
      </c>
      <c r="AZ38958" s="4" t="s">
        <v>1859</v>
      </c>
      <c r="BA38958" s="4" t="s">
        <v>11</v>
      </c>
      <c r="BB38958" s="4" t="s">
        <v>11</v>
      </c>
      <c r="BC38958" s="4" t="s">
        <v>15</v>
      </c>
      <c r="BD38958" s="4" t="s">
        <v>8</v>
      </c>
      <c r="BE38958" s="4" t="s">
        <v>1859</v>
      </c>
      <c r="BF38958" s="4" t="s">
        <v>11</v>
      </c>
      <c r="BG38958" s="4" t="s">
        <v>11</v>
      </c>
      <c r="BH38958" s="4" t="s">
        <v>15</v>
      </c>
      <c r="BI38958" s="4" t="s">
        <v>8</v>
      </c>
      <c r="BJ38958" s="4" t="s">
        <v>1859</v>
      </c>
      <c r="BK38958" s="4" t="s">
        <v>11</v>
      </c>
      <c r="BL38958" s="4" t="s">
        <v>11</v>
      </c>
      <c r="BM38958" s="4" t="s">
        <v>15</v>
      </c>
      <c r="BN38958" s="4" t="s">
        <v>8</v>
      </c>
      <c r="BO38958" s="4" t="s">
        <v>1859</v>
      </c>
      <c r="BP38958" s="4" t="s">
        <v>11</v>
      </c>
      <c r="BQ38958" s="4" t="s">
        <v>11</v>
      </c>
      <c r="BR38958" s="4" t="s">
        <v>15</v>
      </c>
      <c r="BS38958" s="4" t="s">
        <v>8</v>
      </c>
      <c r="BT38958" s="4" t="s">
        <v>1859</v>
      </c>
      <c r="BU38958" s="4" t="s">
        <v>11</v>
      </c>
      <c r="BV38958" s="4" t="s">
        <v>11</v>
      </c>
      <c r="BW38958" s="4" t="s">
        <v>15</v>
      </c>
      <c r="BX38958" s="4" t="s">
        <v>8</v>
      </c>
      <c r="BY38958" s="4" t="s">
        <v>1859</v>
      </c>
      <c r="BZ38958" s="4" t="s">
        <v>11</v>
      </c>
      <c r="CA38958" s="4" t="s">
        <v>11</v>
      </c>
      <c r="CB38958" s="4" t="s">
        <v>15</v>
      </c>
      <c r="CC38958" s="4" t="s">
        <v>8</v>
      </c>
      <c r="CD38958" s="4" t="s">
        <v>1859</v>
      </c>
      <c r="CE38958" s="4" t="s">
        <v>11</v>
      </c>
      <c r="CF38958" s="4" t="s">
        <v>11</v>
      </c>
      <c r="CG38958" s="4" t="s">
        <v>15</v>
      </c>
      <c r="CH38958" s="4" t="s">
        <v>8</v>
      </c>
      <c r="CI38958" s="4" t="s">
        <v>1859</v>
      </c>
      <c r="CJ38958" s="4" t="s">
        <v>11</v>
      </c>
      <c r="CK38958" s="4" t="s">
        <v>11</v>
      </c>
      <c r="CL38958" s="4" t="s">
        <v>15</v>
      </c>
      <c r="CM38958" s="4" t="s">
        <v>8</v>
      </c>
      <c r="CN38958" s="4" t="s">
        <v>1859</v>
      </c>
      <c r="CO38958" s="4" t="s">
        <v>11</v>
      </c>
      <c r="CP38958" s="4" t="s">
        <v>11</v>
      </c>
      <c r="CQ38958" s="4" t="s">
        <v>15</v>
      </c>
      <c r="CR38958" s="4" t="s">
        <v>8</v>
      </c>
      <c r="CS38958" s="4" t="s">
        <v>1859</v>
      </c>
      <c r="CT38958" s="4" t="s">
        <v>11</v>
      </c>
      <c r="CU38958" s="4" t="s">
        <v>11</v>
      </c>
      <c r="CV38958" s="4" t="s">
        <v>15</v>
      </c>
      <c r="CW38958" s="4" t="s">
        <v>8</v>
      </c>
      <c r="CX38958" s="4" t="s">
        <v>1859</v>
      </c>
      <c r="CY38958" s="4" t="s">
        <v>11</v>
      </c>
      <c r="CZ38958" s="4" t="s">
        <v>11</v>
      </c>
      <c r="DA38958" s="4" t="s">
        <v>15</v>
      </c>
      <c r="DB38958" s="4" t="s">
        <v>8</v>
      </c>
      <c r="DC38958" s="4" t="s">
        <v>1859</v>
      </c>
      <c r="DD38958" s="4" t="s">
        <v>11</v>
      </c>
      <c r="DE38958" s="4" t="s">
        <v>11</v>
      </c>
      <c r="DF38958" s="4" t="s">
        <v>15</v>
      </c>
      <c r="DG38958" s="4" t="s">
        <v>8</v>
      </c>
      <c r="DH38958" s="4" t="s">
        <v>1859</v>
      </c>
      <c r="DI38958" s="4" t="s">
        <v>11</v>
      </c>
      <c r="DJ38958" s="4" t="s">
        <v>11</v>
      </c>
      <c r="DK38958" s="4" t="s">
        <v>15</v>
      </c>
      <c r="DL38958" s="4" t="s">
        <v>8</v>
      </c>
      <c r="DM38958" s="4" t="s">
        <v>1859</v>
      </c>
      <c r="DN38958" s="4" t="s">
        <v>11</v>
      </c>
      <c r="DO38958" s="4" t="s">
        <v>11</v>
      </c>
      <c r="DP38958" s="4" t="s">
        <v>15</v>
      </c>
      <c r="DQ38958" s="4" t="s">
        <v>8</v>
      </c>
      <c r="DR38958" s="4" t="s">
        <v>1859</v>
      </c>
      <c r="DS38958" s="4" t="s">
        <v>11</v>
      </c>
      <c r="DT38958" s="4" t="s">
        <v>11</v>
      </c>
      <c r="DU38958" s="4" t="s">
        <v>15</v>
      </c>
      <c r="DV38958" s="4" t="s">
        <v>8</v>
      </c>
      <c r="DW38958" s="4" t="s">
        <v>1859</v>
      </c>
      <c r="DX38958" s="4" t="s">
        <v>11</v>
      </c>
      <c r="DY38958" s="4" t="s">
        <v>11</v>
      </c>
      <c r="DZ38958" s="4" t="s">
        <v>15</v>
      </c>
      <c r="EA38958" s="4" t="s">
        <v>8</v>
      </c>
      <c r="EB38958" s="4" t="s">
        <v>1859</v>
      </c>
      <c r="EC38958" s="4" t="s">
        <v>11</v>
      </c>
      <c r="ED38958" s="4" t="s">
        <v>11</v>
      </c>
      <c r="EE38958" s="4" t="s">
        <v>15</v>
      </c>
      <c r="EF38958" s="4" t="s">
        <v>8</v>
      </c>
      <c r="EG38958" s="4" t="s">
        <v>1859</v>
      </c>
      <c r="EH38958" s="4" t="s">
        <v>11</v>
      </c>
      <c r="EI38958" s="4" t="s">
        <v>11</v>
      </c>
      <c r="EJ38958" s="4" t="s">
        <v>15</v>
      </c>
      <c r="EK38958" s="4" t="s">
        <v>8</v>
      </c>
      <c r="EL38958" s="4" t="s">
        <v>1859</v>
      </c>
      <c r="EM38958" s="4" t="s">
        <v>11</v>
      </c>
      <c r="EN38958" s="4" t="s">
        <v>11</v>
      </c>
      <c r="EO38958" s="4" t="s">
        <v>15</v>
      </c>
      <c r="EP38958" s="4" t="s">
        <v>8</v>
      </c>
      <c r="EQ38958" s="4" t="s">
        <v>1859</v>
      </c>
      <c r="ER38958" s="4" t="s">
        <v>11</v>
      </c>
      <c r="ES38958" s="4" t="s">
        <v>11</v>
      </c>
      <c r="ET38958" s="4" t="s">
        <v>15</v>
      </c>
      <c r="EU38958" s="4" t="s">
        <v>8</v>
      </c>
      <c r="EV38958" s="4" t="s">
        <v>1859</v>
      </c>
      <c r="EW38958" s="4" t="s">
        <v>11</v>
      </c>
      <c r="EX38958" s="4" t="s">
        <v>11</v>
      </c>
      <c r="EY38958" s="4" t="s">
        <v>15</v>
      </c>
      <c r="EZ38958" s="4" t="s">
        <v>8</v>
      </c>
      <c r="FA38958" s="4" t="s">
        <v>1859</v>
      </c>
      <c r="FB38958" s="4" t="s">
        <v>11</v>
      </c>
      <c r="FC38958" s="4" t="s">
        <v>11</v>
      </c>
      <c r="FD38958" s="4" t="s">
        <v>15</v>
      </c>
      <c r="FE38958" s="4" t="s">
        <v>8</v>
      </c>
      <c r="FF38958" s="4" t="s">
        <v>1859</v>
      </c>
      <c r="FG38958" s="4" t="s">
        <v>11</v>
      </c>
      <c r="FH38958" s="4" t="s">
        <v>11</v>
      </c>
      <c r="FI38958" s="4" t="s">
        <v>15</v>
      </c>
      <c r="FJ38958" s="4" t="s">
        <v>8</v>
      </c>
      <c r="FK38958" s="4" t="s">
        <v>1859</v>
      </c>
      <c r="FL38958" s="4" t="s">
        <v>11</v>
      </c>
      <c r="FM38958" s="4" t="s">
        <v>11</v>
      </c>
      <c r="FN38958" s="4" t="s">
        <v>15</v>
      </c>
      <c r="FO38958" s="4" t="s">
        <v>8</v>
      </c>
      <c r="FP38958" s="4" t="s">
        <v>1859</v>
      </c>
      <c r="FQ38958" s="4" t="s">
        <v>11</v>
      </c>
      <c r="FR38958" s="4" t="s">
        <v>11</v>
      </c>
      <c r="FS38958" s="4" t="s">
        <v>15</v>
      </c>
      <c r="FT38958" s="4" t="s">
        <v>8</v>
      </c>
      <c r="FU38958" s="4" t="s">
        <v>1859</v>
      </c>
      <c r="FV38958" s="4" t="s">
        <v>11</v>
      </c>
      <c r="FW38958" s="4" t="s">
        <v>11</v>
      </c>
      <c r="FX38958" s="4" t="s">
        <v>15</v>
      </c>
      <c r="FY38958" s="4" t="s">
        <v>8</v>
      </c>
      <c r="FZ38958" s="4" t="s">
        <v>1859</v>
      </c>
      <c r="GA38958" s="4" t="s">
        <v>11</v>
      </c>
      <c r="GB38958" s="4" t="s">
        <v>11</v>
      </c>
      <c r="GC38958" s="4" t="s">
        <v>15</v>
      </c>
      <c r="GD38958" s="4" t="s">
        <v>8</v>
      </c>
      <c r="GE38958" s="4" t="s">
        <v>1859</v>
      </c>
      <c r="GF38958" s="4" t="s">
        <v>11</v>
      </c>
      <c r="GG38958" s="4" t="s">
        <v>11</v>
      </c>
      <c r="GH38958" s="4" t="s">
        <v>15</v>
      </c>
      <c r="GI38958" s="4" t="s">
        <v>8</v>
      </c>
      <c r="GJ38958" s="4" t="s">
        <v>1859</v>
      </c>
      <c r="GK38958" s="4" t="s">
        <v>11</v>
      </c>
      <c r="GL38958" s="4" t="s">
        <v>11</v>
      </c>
      <c r="GM38958" s="4" t="s">
        <v>15</v>
      </c>
      <c r="GN38958" s="4" t="s">
        <v>8</v>
      </c>
      <c r="GO38958" s="4" t="s">
        <v>1859</v>
      </c>
      <c r="GP38958" s="4" t="s">
        <v>11</v>
      </c>
      <c r="GQ38958" s="4" t="s">
        <v>11</v>
      </c>
      <c r="GR38958" s="4" t="s">
        <v>15</v>
      </c>
      <c r="GS38958" s="4" t="s">
        <v>8</v>
      </c>
      <c r="GT38958" s="4" t="s">
        <v>1859</v>
      </c>
      <c r="GU38958" s="4" t="s">
        <v>11</v>
      </c>
      <c r="GV38958" s="4" t="s">
        <v>11</v>
      </c>
      <c r="GW38958" s="4" t="s">
        <v>15</v>
      </c>
      <c r="GX38958" s="4" t="s">
        <v>8</v>
      </c>
      <c r="GY38958" s="4" t="s">
        <v>1859</v>
      </c>
      <c r="GZ38958" s="4" t="s">
        <v>11</v>
      </c>
      <c r="HA38958" s="4" t="s">
        <v>11</v>
      </c>
      <c r="HB38958" s="4" t="s">
        <v>15</v>
      </c>
      <c r="HC38958" s="4" t="s">
        <v>8</v>
      </c>
      <c r="HD38958" s="4" t="s">
        <v>1859</v>
      </c>
      <c r="HE38958" s="4" t="s">
        <v>11</v>
      </c>
      <c r="HF38958" s="4" t="s">
        <v>11</v>
      </c>
      <c r="HG38958" s="4" t="s">
        <v>15</v>
      </c>
      <c r="HH38958" s="4" t="s">
        <v>8</v>
      </c>
      <c r="HI38958" s="4" t="s">
        <v>1859</v>
      </c>
      <c r="HJ38958" s="4" t="s">
        <v>11</v>
      </c>
      <c r="HK38958" s="4" t="s">
        <v>11</v>
      </c>
      <c r="HL38958" s="4" t="s">
        <v>15</v>
      </c>
      <c r="HM38958" s="4" t="s">
        <v>8</v>
      </c>
      <c r="HN38958" s="4" t="s">
        <v>1859</v>
      </c>
      <c r="HO38958" s="4" t="s">
        <v>11</v>
      </c>
      <c r="HP38958" s="4" t="s">
        <v>11</v>
      </c>
      <c r="HQ38958" s="4" t="s">
        <v>15</v>
      </c>
      <c r="HR38958" s="4" t="s">
        <v>8</v>
      </c>
      <c r="HS38958" s="4" t="s">
        <v>1859</v>
      </c>
      <c r="HT38958" s="4" t="s">
        <v>11</v>
      </c>
      <c r="HU38958" s="4" t="s">
        <v>11</v>
      </c>
      <c r="HV38958" s="4" t="s">
        <v>15</v>
      </c>
      <c r="HW38958" s="4" t="s">
        <v>8</v>
      </c>
      <c r="HX38958" s="4" t="s">
        <v>1859</v>
      </c>
      <c r="HY38958" s="4" t="s">
        <v>11</v>
      </c>
      <c r="HZ38958" s="4" t="s">
        <v>11</v>
      </c>
      <c r="IA38958" s="4" t="s">
        <v>15</v>
      </c>
      <c r="IB38958" s="4" t="s">
        <v>8</v>
      </c>
      <c r="IC38958" s="4" t="s">
        <v>1859</v>
      </c>
      <c r="ID38958" s="4" t="s">
        <v>11</v>
      </c>
      <c r="IE38958" s="4" t="s">
        <v>11</v>
      </c>
      <c r="IF38958" s="4" t="s">
        <v>15</v>
      </c>
      <c r="IG38958" s="4" t="s">
        <v>8</v>
      </c>
      <c r="IH38958" s="4" t="s">
        <v>1859</v>
      </c>
      <c r="II38958" s="4" t="s">
        <v>11</v>
      </c>
      <c r="IJ38958" s="4" t="s">
        <v>11</v>
      </c>
      <c r="IK38958" s="4" t="s">
        <v>15</v>
      </c>
      <c r="IL38958" s="4" t="s">
        <v>8</v>
      </c>
      <c r="IM38958" s="4" t="s">
        <v>1859</v>
      </c>
      <c r="IN38958" s="4" t="s">
        <v>11</v>
      </c>
      <c r="IO38958" s="4" t="s">
        <v>11</v>
      </c>
      <c r="IP38958" s="4" t="s">
        <v>15</v>
      </c>
      <c r="IQ38958" s="4" t="s">
        <v>8</v>
      </c>
      <c r="IR38958" s="4" t="s">
        <v>1859</v>
      </c>
      <c r="IS38958" s="4" t="s">
        <v>11</v>
      </c>
      <c r="IT38958" s="4" t="s">
        <v>11</v>
      </c>
      <c r="IU38958" s="4" t="s">
        <v>15</v>
      </c>
      <c r="IV38958" s="4" t="s">
        <v>8</v>
      </c>
      <c r="IW38958" s="4" t="s">
        <v>1859</v>
      </c>
      <c r="IX38958" s="4" t="s">
        <v>11</v>
      </c>
      <c r="IY38958" s="4" t="s">
        <v>11</v>
      </c>
      <c r="IZ38958" s="4" t="s">
        <v>15</v>
      </c>
      <c r="JA38958" s="4" t="s">
        <v>8</v>
      </c>
      <c r="JB38958" s="4" t="s">
        <v>1859</v>
      </c>
      <c r="JC38958" s="4" t="s">
        <v>11</v>
      </c>
      <c r="JD38958" s="4" t="s">
        <v>11</v>
      </c>
      <c r="JE38958" s="4" t="s">
        <v>15</v>
      </c>
      <c r="JF38958" s="4" t="s">
        <v>8</v>
      </c>
      <c r="JG38958" s="4" t="s">
        <v>1859</v>
      </c>
      <c r="JH38958" s="4" t="s">
        <v>11</v>
      </c>
      <c r="JI38958" s="4" t="s">
        <v>11</v>
      </c>
      <c r="JJ38958" s="4" t="s">
        <v>15</v>
      </c>
      <c r="JK38958" s="4" t="s">
        <v>8</v>
      </c>
      <c r="JL38958" s="4" t="s">
        <v>1859</v>
      </c>
      <c r="JM38958" s="4" t="s">
        <v>11</v>
      </c>
      <c r="JN38958" s="4" t="s">
        <v>11</v>
      </c>
      <c r="JO38958" s="4" t="s">
        <v>15</v>
      </c>
      <c r="JP38958" s="4" t="s">
        <v>8</v>
      </c>
      <c r="JQ38958" s="4" t="s">
        <v>1859</v>
      </c>
      <c r="JR38958" s="4" t="s">
        <v>11</v>
      </c>
      <c r="JS38958" s="4" t="s">
        <v>11</v>
      </c>
      <c r="JT38958" s="4" t="s">
        <v>15</v>
      </c>
      <c r="JU38958" s="4" t="s">
        <v>8</v>
      </c>
      <c r="JV38958" s="4" t="s">
        <v>1859</v>
      </c>
      <c r="JW38958" s="4" t="s">
        <v>11</v>
      </c>
      <c r="JX38958" s="4" t="s">
        <v>11</v>
      </c>
      <c r="JY38958" s="4" t="s">
        <v>15</v>
      </c>
      <c r="JZ38958" s="4" t="s">
        <v>8</v>
      </c>
      <c r="KA38958" s="4" t="s">
        <v>1859</v>
      </c>
      <c r="KB38958" s="4" t="s">
        <v>11</v>
      </c>
      <c r="KC38958" s="4" t="s">
        <v>11</v>
      </c>
      <c r="KD38958" s="4" t="s">
        <v>15</v>
      </c>
      <c r="KE38958" s="4" t="s">
        <v>8</v>
      </c>
      <c r="KF38958" s="4" t="s">
        <v>1859</v>
      </c>
      <c r="KG38958" s="4" t="s">
        <v>11</v>
      </c>
      <c r="KH38958" s="4" t="s">
        <v>11</v>
      </c>
      <c r="KI38958" s="4" t="s">
        <v>15</v>
      </c>
      <c r="KJ38958" s="4" t="s">
        <v>8</v>
      </c>
      <c r="KK38958" s="4" t="s">
        <v>1859</v>
      </c>
      <c r="KL38958" s="4" t="s">
        <v>11</v>
      </c>
      <c r="KM38958" s="4" t="s">
        <v>11</v>
      </c>
      <c r="KN38958" s="4" t="s">
        <v>15</v>
      </c>
      <c r="KO38958" s="4" t="s">
        <v>8</v>
      </c>
      <c r="KP38958" s="4" t="s">
        <v>1859</v>
      </c>
      <c r="KQ38958" s="4" t="s">
        <v>11</v>
      </c>
      <c r="KR38958" s="4" t="s">
        <v>11</v>
      </c>
      <c r="KS38958" s="4" t="s">
        <v>15</v>
      </c>
      <c r="KT38958" s="4" t="s">
        <v>8</v>
      </c>
      <c r="KU38958" s="4" t="s">
        <v>1859</v>
      </c>
      <c r="KV38958" s="4" t="s">
        <v>11</v>
      </c>
      <c r="KW38958" s="4" t="s">
        <v>11</v>
      </c>
      <c r="KX38958" s="4" t="s">
        <v>15</v>
      </c>
      <c r="KY38958" s="4" t="s">
        <v>8</v>
      </c>
      <c r="KZ38958" s="4" t="s">
        <v>1859</v>
      </c>
      <c r="LA38958" s="4" t="s">
        <v>11</v>
      </c>
      <c r="LB38958" s="4" t="s">
        <v>11</v>
      </c>
      <c r="LC38958" s="4" t="s">
        <v>15</v>
      </c>
      <c r="LD38958" s="4" t="s">
        <v>8</v>
      </c>
      <c r="LE38958" s="4" t="s">
        <v>1859</v>
      </c>
      <c r="LF38958" s="4" t="s">
        <v>11</v>
      </c>
      <c r="LG38958" s="4" t="s">
        <v>11</v>
      </c>
      <c r="LH38958" s="4" t="s">
        <v>15</v>
      </c>
      <c r="LI38958" s="4" t="s">
        <v>8</v>
      </c>
      <c r="LJ38958" s="4" t="s">
        <v>1859</v>
      </c>
      <c r="LK38958" s="4" t="s">
        <v>11</v>
      </c>
      <c r="LL38958" s="4" t="s">
        <v>11</v>
      </c>
      <c r="LM38958" s="4" t="s">
        <v>15</v>
      </c>
      <c r="LN38958" s="4" t="s">
        <v>8</v>
      </c>
      <c r="LO38958" s="4" t="s">
        <v>1859</v>
      </c>
      <c r="LP38958" s="4" t="s">
        <v>11</v>
      </c>
      <c r="LQ38958" s="4" t="s">
        <v>11</v>
      </c>
      <c r="LR38958" s="4" t="s">
        <v>15</v>
      </c>
      <c r="LS38958" s="4" t="s">
        <v>8</v>
      </c>
      <c r="LT38958" s="4" t="s">
        <v>1859</v>
      </c>
    </row>
    <row r="38959" spans="1:382">
      <c r="A38959" t="n">
        <v>462064</v>
      </c>
      <c r="B38959" s="85" t="n">
        <v>257</v>
      </c>
      <c r="C38959" s="7" t="n">
        <v>7</v>
      </c>
      <c r="D38959" s="7" t="n">
        <v>65533</v>
      </c>
      <c r="E38959" s="7" t="n">
        <v>63937</v>
      </c>
      <c r="F38959" s="7" t="s">
        <v>16</v>
      </c>
      <c r="G38959" s="7" t="n">
        <f t="normal" ca="1">32-LENB(INDIRECT(ADDRESS(38959,6)))</f>
        <v>0</v>
      </c>
      <c r="H38959" s="7" t="n">
        <v>7</v>
      </c>
      <c r="I38959" s="7" t="n">
        <v>65533</v>
      </c>
      <c r="J38959" s="7" t="n">
        <v>63938</v>
      </c>
      <c r="K38959" s="7" t="s">
        <v>16</v>
      </c>
      <c r="L38959" s="7" t="n">
        <f t="normal" ca="1">32-LENB(INDIRECT(ADDRESS(38959,11)))</f>
        <v>0</v>
      </c>
      <c r="M38959" s="7" t="n">
        <v>7</v>
      </c>
      <c r="N38959" s="7" t="n">
        <v>65533</v>
      </c>
      <c r="O38959" s="7" t="n">
        <v>63939</v>
      </c>
      <c r="P38959" s="7" t="s">
        <v>16</v>
      </c>
      <c r="Q38959" s="7" t="n">
        <f t="normal" ca="1">32-LENB(INDIRECT(ADDRESS(38959,16)))</f>
        <v>0</v>
      </c>
      <c r="R38959" s="7" t="n">
        <v>7</v>
      </c>
      <c r="S38959" s="7" t="n">
        <v>65533</v>
      </c>
      <c r="T38959" s="7" t="n">
        <v>63940</v>
      </c>
      <c r="U38959" s="7" t="s">
        <v>16</v>
      </c>
      <c r="V38959" s="7" t="n">
        <f t="normal" ca="1">32-LENB(INDIRECT(ADDRESS(38959,21)))</f>
        <v>0</v>
      </c>
      <c r="W38959" s="7" t="n">
        <v>7</v>
      </c>
      <c r="X38959" s="7" t="n">
        <v>65533</v>
      </c>
      <c r="Y38959" s="7" t="n">
        <v>63941</v>
      </c>
      <c r="Z38959" s="7" t="s">
        <v>16</v>
      </c>
      <c r="AA38959" s="7" t="n">
        <f t="normal" ca="1">32-LENB(INDIRECT(ADDRESS(38959,26)))</f>
        <v>0</v>
      </c>
      <c r="AB38959" s="7" t="n">
        <v>7</v>
      </c>
      <c r="AC38959" s="7" t="n">
        <v>65533</v>
      </c>
      <c r="AD38959" s="7" t="n">
        <v>63942</v>
      </c>
      <c r="AE38959" s="7" t="s">
        <v>16</v>
      </c>
      <c r="AF38959" s="7" t="n">
        <f t="normal" ca="1">32-LENB(INDIRECT(ADDRESS(38959,31)))</f>
        <v>0</v>
      </c>
      <c r="AG38959" s="7" t="n">
        <v>7</v>
      </c>
      <c r="AH38959" s="7" t="n">
        <v>65533</v>
      </c>
      <c r="AI38959" s="7" t="n">
        <v>63943</v>
      </c>
      <c r="AJ38959" s="7" t="s">
        <v>16</v>
      </c>
      <c r="AK38959" s="7" t="n">
        <f t="normal" ca="1">32-LENB(INDIRECT(ADDRESS(38959,36)))</f>
        <v>0</v>
      </c>
      <c r="AL38959" s="7" t="n">
        <v>7</v>
      </c>
      <c r="AM38959" s="7" t="n">
        <v>65533</v>
      </c>
      <c r="AN38959" s="7" t="n">
        <v>63944</v>
      </c>
      <c r="AO38959" s="7" t="s">
        <v>16</v>
      </c>
      <c r="AP38959" s="7" t="n">
        <f t="normal" ca="1">32-LENB(INDIRECT(ADDRESS(38959,41)))</f>
        <v>0</v>
      </c>
      <c r="AQ38959" s="7" t="n">
        <v>7</v>
      </c>
      <c r="AR38959" s="7" t="n">
        <v>65533</v>
      </c>
      <c r="AS38959" s="7" t="n">
        <v>63945</v>
      </c>
      <c r="AT38959" s="7" t="s">
        <v>16</v>
      </c>
      <c r="AU38959" s="7" t="n">
        <f t="normal" ca="1">32-LENB(INDIRECT(ADDRESS(38959,46)))</f>
        <v>0</v>
      </c>
      <c r="AV38959" s="7" t="n">
        <v>7</v>
      </c>
      <c r="AW38959" s="7" t="n">
        <v>65533</v>
      </c>
      <c r="AX38959" s="7" t="n">
        <v>63946</v>
      </c>
      <c r="AY38959" s="7" t="s">
        <v>16</v>
      </c>
      <c r="AZ38959" s="7" t="n">
        <f t="normal" ca="1">32-LENB(INDIRECT(ADDRESS(38959,51)))</f>
        <v>0</v>
      </c>
      <c r="BA38959" s="7" t="n">
        <v>7</v>
      </c>
      <c r="BB38959" s="7" t="n">
        <v>65533</v>
      </c>
      <c r="BC38959" s="7" t="n">
        <v>63947</v>
      </c>
      <c r="BD38959" s="7" t="s">
        <v>16</v>
      </c>
      <c r="BE38959" s="7" t="n">
        <f t="normal" ca="1">32-LENB(INDIRECT(ADDRESS(38959,56)))</f>
        <v>0</v>
      </c>
      <c r="BF38959" s="7" t="n">
        <v>7</v>
      </c>
      <c r="BG38959" s="7" t="n">
        <v>65533</v>
      </c>
      <c r="BH38959" s="7" t="n">
        <v>63948</v>
      </c>
      <c r="BI38959" s="7" t="s">
        <v>16</v>
      </c>
      <c r="BJ38959" s="7" t="n">
        <f t="normal" ca="1">32-LENB(INDIRECT(ADDRESS(38959,61)))</f>
        <v>0</v>
      </c>
      <c r="BK38959" s="7" t="n">
        <v>7</v>
      </c>
      <c r="BL38959" s="7" t="n">
        <v>65533</v>
      </c>
      <c r="BM38959" s="7" t="n">
        <v>63949</v>
      </c>
      <c r="BN38959" s="7" t="s">
        <v>16</v>
      </c>
      <c r="BO38959" s="7" t="n">
        <f t="normal" ca="1">32-LENB(INDIRECT(ADDRESS(38959,66)))</f>
        <v>0</v>
      </c>
      <c r="BP38959" s="7" t="n">
        <v>7</v>
      </c>
      <c r="BQ38959" s="7" t="n">
        <v>65533</v>
      </c>
      <c r="BR38959" s="7" t="n">
        <v>63950</v>
      </c>
      <c r="BS38959" s="7" t="s">
        <v>16</v>
      </c>
      <c r="BT38959" s="7" t="n">
        <f t="normal" ca="1">32-LENB(INDIRECT(ADDRESS(38959,71)))</f>
        <v>0</v>
      </c>
      <c r="BU38959" s="7" t="n">
        <v>7</v>
      </c>
      <c r="BV38959" s="7" t="n">
        <v>65533</v>
      </c>
      <c r="BW38959" s="7" t="n">
        <v>63951</v>
      </c>
      <c r="BX38959" s="7" t="s">
        <v>16</v>
      </c>
      <c r="BY38959" s="7" t="n">
        <f t="normal" ca="1">32-LENB(INDIRECT(ADDRESS(38959,76)))</f>
        <v>0</v>
      </c>
      <c r="BZ38959" s="7" t="n">
        <v>7</v>
      </c>
      <c r="CA38959" s="7" t="n">
        <v>65533</v>
      </c>
      <c r="CB38959" s="7" t="n">
        <v>63952</v>
      </c>
      <c r="CC38959" s="7" t="s">
        <v>16</v>
      </c>
      <c r="CD38959" s="7" t="n">
        <f t="normal" ca="1">32-LENB(INDIRECT(ADDRESS(38959,81)))</f>
        <v>0</v>
      </c>
      <c r="CE38959" s="7" t="n">
        <v>7</v>
      </c>
      <c r="CF38959" s="7" t="n">
        <v>65533</v>
      </c>
      <c r="CG38959" s="7" t="n">
        <v>63953</v>
      </c>
      <c r="CH38959" s="7" t="s">
        <v>16</v>
      </c>
      <c r="CI38959" s="7" t="n">
        <f t="normal" ca="1">32-LENB(INDIRECT(ADDRESS(38959,86)))</f>
        <v>0</v>
      </c>
      <c r="CJ38959" s="7" t="n">
        <v>7</v>
      </c>
      <c r="CK38959" s="7" t="n">
        <v>65533</v>
      </c>
      <c r="CL38959" s="7" t="n">
        <v>63954</v>
      </c>
      <c r="CM38959" s="7" t="s">
        <v>16</v>
      </c>
      <c r="CN38959" s="7" t="n">
        <f t="normal" ca="1">32-LENB(INDIRECT(ADDRESS(38959,91)))</f>
        <v>0</v>
      </c>
      <c r="CO38959" s="7" t="n">
        <v>7</v>
      </c>
      <c r="CP38959" s="7" t="n">
        <v>65533</v>
      </c>
      <c r="CQ38959" s="7" t="n">
        <v>63955</v>
      </c>
      <c r="CR38959" s="7" t="s">
        <v>16</v>
      </c>
      <c r="CS38959" s="7" t="n">
        <f t="normal" ca="1">32-LENB(INDIRECT(ADDRESS(38959,96)))</f>
        <v>0</v>
      </c>
      <c r="CT38959" s="7" t="n">
        <v>7</v>
      </c>
      <c r="CU38959" s="7" t="n">
        <v>65533</v>
      </c>
      <c r="CV38959" s="7" t="n">
        <v>63956</v>
      </c>
      <c r="CW38959" s="7" t="s">
        <v>16</v>
      </c>
      <c r="CX38959" s="7" t="n">
        <f t="normal" ca="1">32-LENB(INDIRECT(ADDRESS(38959,101)))</f>
        <v>0</v>
      </c>
      <c r="CY38959" s="7" t="n">
        <v>7</v>
      </c>
      <c r="CZ38959" s="7" t="n">
        <v>65533</v>
      </c>
      <c r="DA38959" s="7" t="n">
        <v>63957</v>
      </c>
      <c r="DB38959" s="7" t="s">
        <v>16</v>
      </c>
      <c r="DC38959" s="7" t="n">
        <f t="normal" ca="1">32-LENB(INDIRECT(ADDRESS(38959,106)))</f>
        <v>0</v>
      </c>
      <c r="DD38959" s="7" t="n">
        <v>7</v>
      </c>
      <c r="DE38959" s="7" t="n">
        <v>65533</v>
      </c>
      <c r="DF38959" s="7" t="n">
        <v>63958</v>
      </c>
      <c r="DG38959" s="7" t="s">
        <v>16</v>
      </c>
      <c r="DH38959" s="7" t="n">
        <f t="normal" ca="1">32-LENB(INDIRECT(ADDRESS(38959,111)))</f>
        <v>0</v>
      </c>
      <c r="DI38959" s="7" t="n">
        <v>7</v>
      </c>
      <c r="DJ38959" s="7" t="n">
        <v>65533</v>
      </c>
      <c r="DK38959" s="7" t="n">
        <v>63959</v>
      </c>
      <c r="DL38959" s="7" t="s">
        <v>16</v>
      </c>
      <c r="DM38959" s="7" t="n">
        <f t="normal" ca="1">32-LENB(INDIRECT(ADDRESS(38959,116)))</f>
        <v>0</v>
      </c>
      <c r="DN38959" s="7" t="n">
        <v>7</v>
      </c>
      <c r="DO38959" s="7" t="n">
        <v>65533</v>
      </c>
      <c r="DP38959" s="7" t="n">
        <v>63960</v>
      </c>
      <c r="DQ38959" s="7" t="s">
        <v>16</v>
      </c>
      <c r="DR38959" s="7" t="n">
        <f t="normal" ca="1">32-LENB(INDIRECT(ADDRESS(38959,121)))</f>
        <v>0</v>
      </c>
      <c r="DS38959" s="7" t="n">
        <v>7</v>
      </c>
      <c r="DT38959" s="7" t="n">
        <v>65533</v>
      </c>
      <c r="DU38959" s="7" t="n">
        <v>63961</v>
      </c>
      <c r="DV38959" s="7" t="s">
        <v>16</v>
      </c>
      <c r="DW38959" s="7" t="n">
        <f t="normal" ca="1">32-LENB(INDIRECT(ADDRESS(38959,126)))</f>
        <v>0</v>
      </c>
      <c r="DX38959" s="7" t="n">
        <v>7</v>
      </c>
      <c r="DY38959" s="7" t="n">
        <v>65533</v>
      </c>
      <c r="DZ38959" s="7" t="n">
        <v>5800</v>
      </c>
      <c r="EA38959" s="7" t="s">
        <v>16</v>
      </c>
      <c r="EB38959" s="7" t="n">
        <f t="normal" ca="1">32-LENB(INDIRECT(ADDRESS(38959,131)))</f>
        <v>0</v>
      </c>
      <c r="EC38959" s="7" t="n">
        <v>7</v>
      </c>
      <c r="ED38959" s="7" t="n">
        <v>65533</v>
      </c>
      <c r="EE38959" s="7" t="n">
        <v>63962</v>
      </c>
      <c r="EF38959" s="7" t="s">
        <v>16</v>
      </c>
      <c r="EG38959" s="7" t="n">
        <f t="normal" ca="1">32-LENB(INDIRECT(ADDRESS(38959,136)))</f>
        <v>0</v>
      </c>
      <c r="EH38959" s="7" t="n">
        <v>7</v>
      </c>
      <c r="EI38959" s="7" t="n">
        <v>65533</v>
      </c>
      <c r="EJ38959" s="7" t="n">
        <v>5801</v>
      </c>
      <c r="EK38959" s="7" t="s">
        <v>16</v>
      </c>
      <c r="EL38959" s="7" t="n">
        <f t="normal" ca="1">32-LENB(INDIRECT(ADDRESS(38959,141)))</f>
        <v>0</v>
      </c>
      <c r="EM38959" s="7" t="n">
        <v>7</v>
      </c>
      <c r="EN38959" s="7" t="n">
        <v>65533</v>
      </c>
      <c r="EO38959" s="7" t="n">
        <v>5802</v>
      </c>
      <c r="EP38959" s="7" t="s">
        <v>16</v>
      </c>
      <c r="EQ38959" s="7" t="n">
        <f t="normal" ca="1">32-LENB(INDIRECT(ADDRESS(38959,146)))</f>
        <v>0</v>
      </c>
      <c r="ER38959" s="7" t="n">
        <v>7</v>
      </c>
      <c r="ES38959" s="7" t="n">
        <v>65533</v>
      </c>
      <c r="ET38959" s="7" t="n">
        <v>5803</v>
      </c>
      <c r="EU38959" s="7" t="s">
        <v>16</v>
      </c>
      <c r="EV38959" s="7" t="n">
        <f t="normal" ca="1">32-LENB(INDIRECT(ADDRESS(38959,151)))</f>
        <v>0</v>
      </c>
      <c r="EW38959" s="7" t="n">
        <v>7</v>
      </c>
      <c r="EX38959" s="7" t="n">
        <v>65533</v>
      </c>
      <c r="EY38959" s="7" t="n">
        <v>5804</v>
      </c>
      <c r="EZ38959" s="7" t="s">
        <v>16</v>
      </c>
      <c r="FA38959" s="7" t="n">
        <f t="normal" ca="1">32-LENB(INDIRECT(ADDRESS(38959,156)))</f>
        <v>0</v>
      </c>
      <c r="FB38959" s="7" t="n">
        <v>7</v>
      </c>
      <c r="FC38959" s="7" t="n">
        <v>65533</v>
      </c>
      <c r="FD38959" s="7" t="n">
        <v>63963</v>
      </c>
      <c r="FE38959" s="7" t="s">
        <v>16</v>
      </c>
      <c r="FF38959" s="7" t="n">
        <f t="normal" ca="1">32-LENB(INDIRECT(ADDRESS(38959,161)))</f>
        <v>0</v>
      </c>
      <c r="FG38959" s="7" t="n">
        <v>7</v>
      </c>
      <c r="FH38959" s="7" t="n">
        <v>65533</v>
      </c>
      <c r="FI38959" s="7" t="n">
        <v>63964</v>
      </c>
      <c r="FJ38959" s="7" t="s">
        <v>16</v>
      </c>
      <c r="FK38959" s="7" t="n">
        <f t="normal" ca="1">32-LENB(INDIRECT(ADDRESS(38959,166)))</f>
        <v>0</v>
      </c>
      <c r="FL38959" s="7" t="n">
        <v>7</v>
      </c>
      <c r="FM38959" s="7" t="n">
        <v>65533</v>
      </c>
      <c r="FN38959" s="7" t="n">
        <v>63965</v>
      </c>
      <c r="FO38959" s="7" t="s">
        <v>16</v>
      </c>
      <c r="FP38959" s="7" t="n">
        <f t="normal" ca="1">32-LENB(INDIRECT(ADDRESS(38959,171)))</f>
        <v>0</v>
      </c>
      <c r="FQ38959" s="7" t="n">
        <v>7</v>
      </c>
      <c r="FR38959" s="7" t="n">
        <v>65533</v>
      </c>
      <c r="FS38959" s="7" t="n">
        <v>63966</v>
      </c>
      <c r="FT38959" s="7" t="s">
        <v>16</v>
      </c>
      <c r="FU38959" s="7" t="n">
        <f t="normal" ca="1">32-LENB(INDIRECT(ADDRESS(38959,176)))</f>
        <v>0</v>
      </c>
      <c r="FV38959" s="7" t="n">
        <v>7</v>
      </c>
      <c r="FW38959" s="7" t="n">
        <v>65533</v>
      </c>
      <c r="FX38959" s="7" t="n">
        <v>5805</v>
      </c>
      <c r="FY38959" s="7" t="s">
        <v>16</v>
      </c>
      <c r="FZ38959" s="7" t="n">
        <f t="normal" ca="1">32-LENB(INDIRECT(ADDRESS(38959,181)))</f>
        <v>0</v>
      </c>
      <c r="GA38959" s="7" t="n">
        <v>7</v>
      </c>
      <c r="GB38959" s="7" t="n">
        <v>65533</v>
      </c>
      <c r="GC38959" s="7" t="n">
        <v>5806</v>
      </c>
      <c r="GD38959" s="7" t="s">
        <v>16</v>
      </c>
      <c r="GE38959" s="7" t="n">
        <f t="normal" ca="1">32-LENB(INDIRECT(ADDRESS(38959,186)))</f>
        <v>0</v>
      </c>
      <c r="GF38959" s="7" t="n">
        <v>7</v>
      </c>
      <c r="GG38959" s="7" t="n">
        <v>65533</v>
      </c>
      <c r="GH38959" s="7" t="n">
        <v>5807</v>
      </c>
      <c r="GI38959" s="7" t="s">
        <v>16</v>
      </c>
      <c r="GJ38959" s="7" t="n">
        <f t="normal" ca="1">32-LENB(INDIRECT(ADDRESS(38959,191)))</f>
        <v>0</v>
      </c>
      <c r="GK38959" s="7" t="n">
        <v>7</v>
      </c>
      <c r="GL38959" s="7" t="n">
        <v>65533</v>
      </c>
      <c r="GM38959" s="7" t="n">
        <v>63967</v>
      </c>
      <c r="GN38959" s="7" t="s">
        <v>16</v>
      </c>
      <c r="GO38959" s="7" t="n">
        <f t="normal" ca="1">32-LENB(INDIRECT(ADDRESS(38959,196)))</f>
        <v>0</v>
      </c>
      <c r="GP38959" s="7" t="n">
        <v>7</v>
      </c>
      <c r="GQ38959" s="7" t="n">
        <v>65533</v>
      </c>
      <c r="GR38959" s="7" t="n">
        <v>5808</v>
      </c>
      <c r="GS38959" s="7" t="s">
        <v>16</v>
      </c>
      <c r="GT38959" s="7" t="n">
        <f t="normal" ca="1">32-LENB(INDIRECT(ADDRESS(38959,201)))</f>
        <v>0</v>
      </c>
      <c r="GU38959" s="7" t="n">
        <v>7</v>
      </c>
      <c r="GV38959" s="7" t="n">
        <v>65533</v>
      </c>
      <c r="GW38959" s="7" t="n">
        <v>63968</v>
      </c>
      <c r="GX38959" s="7" t="s">
        <v>16</v>
      </c>
      <c r="GY38959" s="7" t="n">
        <f t="normal" ca="1">32-LENB(INDIRECT(ADDRESS(38959,206)))</f>
        <v>0</v>
      </c>
      <c r="GZ38959" s="7" t="n">
        <v>7</v>
      </c>
      <c r="HA38959" s="7" t="n">
        <v>65533</v>
      </c>
      <c r="HB38959" s="7" t="n">
        <v>63969</v>
      </c>
      <c r="HC38959" s="7" t="s">
        <v>16</v>
      </c>
      <c r="HD38959" s="7" t="n">
        <f t="normal" ca="1">32-LENB(INDIRECT(ADDRESS(38959,211)))</f>
        <v>0</v>
      </c>
      <c r="HE38959" s="7" t="n">
        <v>7</v>
      </c>
      <c r="HF38959" s="7" t="n">
        <v>65533</v>
      </c>
      <c r="HG38959" s="7" t="n">
        <v>63970</v>
      </c>
      <c r="HH38959" s="7" t="s">
        <v>16</v>
      </c>
      <c r="HI38959" s="7" t="n">
        <f t="normal" ca="1">32-LENB(INDIRECT(ADDRESS(38959,216)))</f>
        <v>0</v>
      </c>
      <c r="HJ38959" s="7" t="n">
        <v>7</v>
      </c>
      <c r="HK38959" s="7" t="n">
        <v>65533</v>
      </c>
      <c r="HL38959" s="7" t="n">
        <v>63971</v>
      </c>
      <c r="HM38959" s="7" t="s">
        <v>16</v>
      </c>
      <c r="HN38959" s="7" t="n">
        <f t="normal" ca="1">32-LENB(INDIRECT(ADDRESS(38959,221)))</f>
        <v>0</v>
      </c>
      <c r="HO38959" s="7" t="n">
        <v>7</v>
      </c>
      <c r="HP38959" s="7" t="n">
        <v>65533</v>
      </c>
      <c r="HQ38959" s="7" t="n">
        <v>63972</v>
      </c>
      <c r="HR38959" s="7" t="s">
        <v>16</v>
      </c>
      <c r="HS38959" s="7" t="n">
        <f t="normal" ca="1">32-LENB(INDIRECT(ADDRESS(38959,226)))</f>
        <v>0</v>
      </c>
      <c r="HT38959" s="7" t="n">
        <v>7</v>
      </c>
      <c r="HU38959" s="7" t="n">
        <v>65533</v>
      </c>
      <c r="HV38959" s="7" t="n">
        <v>5809</v>
      </c>
      <c r="HW38959" s="7" t="s">
        <v>16</v>
      </c>
      <c r="HX38959" s="7" t="n">
        <f t="normal" ca="1">32-LENB(INDIRECT(ADDRESS(38959,231)))</f>
        <v>0</v>
      </c>
      <c r="HY38959" s="7" t="n">
        <v>7</v>
      </c>
      <c r="HZ38959" s="7" t="n">
        <v>65533</v>
      </c>
      <c r="IA38959" s="7" t="n">
        <v>63973</v>
      </c>
      <c r="IB38959" s="7" t="s">
        <v>16</v>
      </c>
      <c r="IC38959" s="7" t="n">
        <f t="normal" ca="1">32-LENB(INDIRECT(ADDRESS(38959,236)))</f>
        <v>0</v>
      </c>
      <c r="ID38959" s="7" t="n">
        <v>7</v>
      </c>
      <c r="IE38959" s="7" t="n">
        <v>65533</v>
      </c>
      <c r="IF38959" s="7" t="n">
        <v>63974</v>
      </c>
      <c r="IG38959" s="7" t="s">
        <v>16</v>
      </c>
      <c r="IH38959" s="7" t="n">
        <f t="normal" ca="1">32-LENB(INDIRECT(ADDRESS(38959,241)))</f>
        <v>0</v>
      </c>
      <c r="II38959" s="7" t="n">
        <v>7</v>
      </c>
      <c r="IJ38959" s="7" t="n">
        <v>65533</v>
      </c>
      <c r="IK38959" s="7" t="n">
        <v>63975</v>
      </c>
      <c r="IL38959" s="7" t="s">
        <v>16</v>
      </c>
      <c r="IM38959" s="7" t="n">
        <f t="normal" ca="1">32-LENB(INDIRECT(ADDRESS(38959,246)))</f>
        <v>0</v>
      </c>
      <c r="IN38959" s="7" t="n">
        <v>7</v>
      </c>
      <c r="IO38959" s="7" t="n">
        <v>65533</v>
      </c>
      <c r="IP38959" s="7" t="n">
        <v>5810</v>
      </c>
      <c r="IQ38959" s="7" t="s">
        <v>16</v>
      </c>
      <c r="IR38959" s="7" t="n">
        <f t="normal" ca="1">32-LENB(INDIRECT(ADDRESS(38959,251)))</f>
        <v>0</v>
      </c>
      <c r="IS38959" s="7" t="n">
        <v>4</v>
      </c>
      <c r="IT38959" s="7" t="n">
        <v>65533</v>
      </c>
      <c r="IU38959" s="7" t="n">
        <v>2003</v>
      </c>
      <c r="IV38959" s="7" t="s">
        <v>16</v>
      </c>
      <c r="IW38959" s="7" t="n">
        <f t="normal" ca="1">32-LENB(INDIRECT(ADDRESS(38959,256)))</f>
        <v>0</v>
      </c>
      <c r="IX38959" s="7" t="n">
        <v>7</v>
      </c>
      <c r="IY38959" s="7" t="n">
        <v>65533</v>
      </c>
      <c r="IZ38959" s="7" t="n">
        <v>5811</v>
      </c>
      <c r="JA38959" s="7" t="s">
        <v>16</v>
      </c>
      <c r="JB38959" s="7" t="n">
        <f t="normal" ca="1">32-LENB(INDIRECT(ADDRESS(38959,261)))</f>
        <v>0</v>
      </c>
      <c r="JC38959" s="7" t="n">
        <v>7</v>
      </c>
      <c r="JD38959" s="7" t="n">
        <v>65533</v>
      </c>
      <c r="JE38959" s="7" t="n">
        <v>5812</v>
      </c>
      <c r="JF38959" s="7" t="s">
        <v>16</v>
      </c>
      <c r="JG38959" s="7" t="n">
        <f t="normal" ca="1">32-LENB(INDIRECT(ADDRESS(38959,266)))</f>
        <v>0</v>
      </c>
      <c r="JH38959" s="7" t="n">
        <v>7</v>
      </c>
      <c r="JI38959" s="7" t="n">
        <v>65533</v>
      </c>
      <c r="JJ38959" s="7" t="n">
        <v>63976</v>
      </c>
      <c r="JK38959" s="7" t="s">
        <v>16</v>
      </c>
      <c r="JL38959" s="7" t="n">
        <f t="normal" ca="1">32-LENB(INDIRECT(ADDRESS(38959,271)))</f>
        <v>0</v>
      </c>
      <c r="JM38959" s="7" t="n">
        <v>7</v>
      </c>
      <c r="JN38959" s="7" t="n">
        <v>65533</v>
      </c>
      <c r="JO38959" s="7" t="n">
        <v>63977</v>
      </c>
      <c r="JP38959" s="7" t="s">
        <v>16</v>
      </c>
      <c r="JQ38959" s="7" t="n">
        <f t="normal" ca="1">32-LENB(INDIRECT(ADDRESS(38959,276)))</f>
        <v>0</v>
      </c>
      <c r="JR38959" s="7" t="n">
        <v>7</v>
      </c>
      <c r="JS38959" s="7" t="n">
        <v>65533</v>
      </c>
      <c r="JT38959" s="7" t="n">
        <v>63978</v>
      </c>
      <c r="JU38959" s="7" t="s">
        <v>16</v>
      </c>
      <c r="JV38959" s="7" t="n">
        <f t="normal" ca="1">32-LENB(INDIRECT(ADDRESS(38959,281)))</f>
        <v>0</v>
      </c>
      <c r="JW38959" s="7" t="n">
        <v>7</v>
      </c>
      <c r="JX38959" s="7" t="n">
        <v>65533</v>
      </c>
      <c r="JY38959" s="7" t="n">
        <v>63979</v>
      </c>
      <c r="JZ38959" s="7" t="s">
        <v>16</v>
      </c>
      <c r="KA38959" s="7" t="n">
        <f t="normal" ca="1">32-LENB(INDIRECT(ADDRESS(38959,286)))</f>
        <v>0</v>
      </c>
      <c r="KB38959" s="7" t="n">
        <v>4</v>
      </c>
      <c r="KC38959" s="7" t="n">
        <v>65533</v>
      </c>
      <c r="KD38959" s="7" t="n">
        <v>2000</v>
      </c>
      <c r="KE38959" s="7" t="s">
        <v>16</v>
      </c>
      <c r="KF38959" s="7" t="n">
        <f t="normal" ca="1">32-LENB(INDIRECT(ADDRESS(38959,291)))</f>
        <v>0</v>
      </c>
      <c r="KG38959" s="7" t="n">
        <v>7</v>
      </c>
      <c r="KH38959" s="7" t="n">
        <v>65533</v>
      </c>
      <c r="KI38959" s="7" t="n">
        <v>5813</v>
      </c>
      <c r="KJ38959" s="7" t="s">
        <v>16</v>
      </c>
      <c r="KK38959" s="7" t="n">
        <f t="normal" ca="1">32-LENB(INDIRECT(ADDRESS(38959,296)))</f>
        <v>0</v>
      </c>
      <c r="KL38959" s="7" t="n">
        <v>7</v>
      </c>
      <c r="KM38959" s="7" t="n">
        <v>65533</v>
      </c>
      <c r="KN38959" s="7" t="n">
        <v>5814</v>
      </c>
      <c r="KO38959" s="7" t="s">
        <v>16</v>
      </c>
      <c r="KP38959" s="7" t="n">
        <f t="normal" ca="1">32-LENB(INDIRECT(ADDRESS(38959,301)))</f>
        <v>0</v>
      </c>
      <c r="KQ38959" s="7" t="n">
        <v>7</v>
      </c>
      <c r="KR38959" s="7" t="n">
        <v>65533</v>
      </c>
      <c r="KS38959" s="7" t="n">
        <v>5815</v>
      </c>
      <c r="KT38959" s="7" t="s">
        <v>16</v>
      </c>
      <c r="KU38959" s="7" t="n">
        <f t="normal" ca="1">32-LENB(INDIRECT(ADDRESS(38959,306)))</f>
        <v>0</v>
      </c>
      <c r="KV38959" s="7" t="n">
        <v>7</v>
      </c>
      <c r="KW38959" s="7" t="n">
        <v>65533</v>
      </c>
      <c r="KX38959" s="7" t="n">
        <v>63980</v>
      </c>
      <c r="KY38959" s="7" t="s">
        <v>16</v>
      </c>
      <c r="KZ38959" s="7" t="n">
        <f t="normal" ca="1">32-LENB(INDIRECT(ADDRESS(38959,311)))</f>
        <v>0</v>
      </c>
      <c r="LA38959" s="7" t="n">
        <v>7</v>
      </c>
      <c r="LB38959" s="7" t="n">
        <v>65533</v>
      </c>
      <c r="LC38959" s="7" t="n">
        <v>63981</v>
      </c>
      <c r="LD38959" s="7" t="s">
        <v>16</v>
      </c>
      <c r="LE38959" s="7" t="n">
        <f t="normal" ca="1">32-LENB(INDIRECT(ADDRESS(38959,316)))</f>
        <v>0</v>
      </c>
      <c r="LF38959" s="7" t="n">
        <v>7</v>
      </c>
      <c r="LG38959" s="7" t="n">
        <v>65533</v>
      </c>
      <c r="LH38959" s="7" t="n">
        <v>63982</v>
      </c>
      <c r="LI38959" s="7" t="s">
        <v>16</v>
      </c>
      <c r="LJ38959" s="7" t="n">
        <f t="normal" ca="1">32-LENB(INDIRECT(ADDRESS(38959,321)))</f>
        <v>0</v>
      </c>
      <c r="LK38959" s="7" t="n">
        <v>7</v>
      </c>
      <c r="LL38959" s="7" t="n">
        <v>65533</v>
      </c>
      <c r="LM38959" s="7" t="n">
        <v>5816</v>
      </c>
      <c r="LN38959" s="7" t="s">
        <v>16</v>
      </c>
      <c r="LO38959" s="7" t="n">
        <f t="normal" ca="1">32-LENB(INDIRECT(ADDRESS(38959,326)))</f>
        <v>0</v>
      </c>
      <c r="LP38959" s="7" t="n">
        <v>0</v>
      </c>
      <c r="LQ38959" s="7" t="n">
        <v>65533</v>
      </c>
      <c r="LR38959" s="7" t="n">
        <v>0</v>
      </c>
      <c r="LS38959" s="7" t="s">
        <v>16</v>
      </c>
      <c r="LT38959" s="7" t="n">
        <f t="normal" ca="1">32-LENB(INDIRECT(ADDRESS(38959,331)))</f>
        <v>0</v>
      </c>
    </row>
    <row r="38960" spans="1:382">
      <c r="A38960" t="s">
        <v>4</v>
      </c>
      <c r="B38960" s="4" t="s">
        <v>5</v>
      </c>
    </row>
    <row r="38961" spans="1:332">
      <c r="A38961" t="n">
        <v>464704</v>
      </c>
      <c r="B38961" s="5" t="n">
        <v>1</v>
      </c>
    </row>
    <row r="38962" spans="1:332" s="3" customFormat="1" customHeight="0">
      <c r="A38962" s="3" t="s">
        <v>2</v>
      </c>
      <c r="B38962" s="3" t="s">
        <v>1901</v>
      </c>
    </row>
    <row r="38963" spans="1:332">
      <c r="A38963" t="s">
        <v>4</v>
      </c>
      <c r="B38963" s="4" t="s">
        <v>5</v>
      </c>
      <c r="C38963" s="4" t="s">
        <v>11</v>
      </c>
      <c r="D38963" s="4" t="s">
        <v>11</v>
      </c>
      <c r="E38963" s="4" t="s">
        <v>15</v>
      </c>
      <c r="F38963" s="4" t="s">
        <v>8</v>
      </c>
      <c r="G38963" s="4" t="s">
        <v>1859</v>
      </c>
      <c r="H38963" s="4" t="s">
        <v>11</v>
      </c>
      <c r="I38963" s="4" t="s">
        <v>11</v>
      </c>
      <c r="J38963" s="4" t="s">
        <v>15</v>
      </c>
      <c r="K38963" s="4" t="s">
        <v>8</v>
      </c>
      <c r="L38963" s="4" t="s">
        <v>1859</v>
      </c>
      <c r="M38963" s="4" t="s">
        <v>11</v>
      </c>
      <c r="N38963" s="4" t="s">
        <v>11</v>
      </c>
      <c r="O38963" s="4" t="s">
        <v>15</v>
      </c>
      <c r="P38963" s="4" t="s">
        <v>8</v>
      </c>
      <c r="Q38963" s="4" t="s">
        <v>1859</v>
      </c>
      <c r="R38963" s="4" t="s">
        <v>11</v>
      </c>
      <c r="S38963" s="4" t="s">
        <v>11</v>
      </c>
      <c r="T38963" s="4" t="s">
        <v>15</v>
      </c>
      <c r="U38963" s="4" t="s">
        <v>8</v>
      </c>
      <c r="V38963" s="4" t="s">
        <v>1859</v>
      </c>
      <c r="W38963" s="4" t="s">
        <v>11</v>
      </c>
      <c r="X38963" s="4" t="s">
        <v>11</v>
      </c>
      <c r="Y38963" s="4" t="s">
        <v>15</v>
      </c>
      <c r="Z38963" s="4" t="s">
        <v>8</v>
      </c>
      <c r="AA38963" s="4" t="s">
        <v>1859</v>
      </c>
      <c r="AB38963" s="4" t="s">
        <v>11</v>
      </c>
      <c r="AC38963" s="4" t="s">
        <v>11</v>
      </c>
      <c r="AD38963" s="4" t="s">
        <v>15</v>
      </c>
      <c r="AE38963" s="4" t="s">
        <v>8</v>
      </c>
      <c r="AF38963" s="4" t="s">
        <v>1859</v>
      </c>
      <c r="AG38963" s="4" t="s">
        <v>11</v>
      </c>
      <c r="AH38963" s="4" t="s">
        <v>11</v>
      </c>
      <c r="AI38963" s="4" t="s">
        <v>15</v>
      </c>
      <c r="AJ38963" s="4" t="s">
        <v>8</v>
      </c>
      <c r="AK38963" s="4" t="s">
        <v>1859</v>
      </c>
      <c r="AL38963" s="4" t="s">
        <v>11</v>
      </c>
      <c r="AM38963" s="4" t="s">
        <v>11</v>
      </c>
      <c r="AN38963" s="4" t="s">
        <v>15</v>
      </c>
      <c r="AO38963" s="4" t="s">
        <v>8</v>
      </c>
      <c r="AP38963" s="4" t="s">
        <v>1859</v>
      </c>
      <c r="AQ38963" s="4" t="s">
        <v>11</v>
      </c>
      <c r="AR38963" s="4" t="s">
        <v>11</v>
      </c>
      <c r="AS38963" s="4" t="s">
        <v>15</v>
      </c>
      <c r="AT38963" s="4" t="s">
        <v>8</v>
      </c>
      <c r="AU38963" s="4" t="s">
        <v>1859</v>
      </c>
      <c r="AV38963" s="4" t="s">
        <v>11</v>
      </c>
      <c r="AW38963" s="4" t="s">
        <v>11</v>
      </c>
      <c r="AX38963" s="4" t="s">
        <v>15</v>
      </c>
      <c r="AY38963" s="4" t="s">
        <v>8</v>
      </c>
      <c r="AZ38963" s="4" t="s">
        <v>1859</v>
      </c>
      <c r="BA38963" s="4" t="s">
        <v>11</v>
      </c>
      <c r="BB38963" s="4" t="s">
        <v>11</v>
      </c>
      <c r="BC38963" s="4" t="s">
        <v>15</v>
      </c>
      <c r="BD38963" s="4" t="s">
        <v>8</v>
      </c>
      <c r="BE38963" s="4" t="s">
        <v>1859</v>
      </c>
      <c r="BF38963" s="4" t="s">
        <v>11</v>
      </c>
      <c r="BG38963" s="4" t="s">
        <v>11</v>
      </c>
      <c r="BH38963" s="4" t="s">
        <v>15</v>
      </c>
      <c r="BI38963" s="4" t="s">
        <v>8</v>
      </c>
      <c r="BJ38963" s="4" t="s">
        <v>1859</v>
      </c>
      <c r="BK38963" s="4" t="s">
        <v>11</v>
      </c>
      <c r="BL38963" s="4" t="s">
        <v>11</v>
      </c>
      <c r="BM38963" s="4" t="s">
        <v>15</v>
      </c>
      <c r="BN38963" s="4" t="s">
        <v>8</v>
      </c>
      <c r="BO38963" s="4" t="s">
        <v>1859</v>
      </c>
      <c r="BP38963" s="4" t="s">
        <v>11</v>
      </c>
      <c r="BQ38963" s="4" t="s">
        <v>11</v>
      </c>
      <c r="BR38963" s="4" t="s">
        <v>15</v>
      </c>
      <c r="BS38963" s="4" t="s">
        <v>8</v>
      </c>
      <c r="BT38963" s="4" t="s">
        <v>1859</v>
      </c>
      <c r="BU38963" s="4" t="s">
        <v>11</v>
      </c>
      <c r="BV38963" s="4" t="s">
        <v>11</v>
      </c>
      <c r="BW38963" s="4" t="s">
        <v>15</v>
      </c>
      <c r="BX38963" s="4" t="s">
        <v>8</v>
      </c>
      <c r="BY38963" s="4" t="s">
        <v>1859</v>
      </c>
      <c r="BZ38963" s="4" t="s">
        <v>11</v>
      </c>
      <c r="CA38963" s="4" t="s">
        <v>11</v>
      </c>
      <c r="CB38963" s="4" t="s">
        <v>15</v>
      </c>
      <c r="CC38963" s="4" t="s">
        <v>8</v>
      </c>
      <c r="CD38963" s="4" t="s">
        <v>1859</v>
      </c>
      <c r="CE38963" s="4" t="s">
        <v>11</v>
      </c>
      <c r="CF38963" s="4" t="s">
        <v>11</v>
      </c>
      <c r="CG38963" s="4" t="s">
        <v>15</v>
      </c>
      <c r="CH38963" s="4" t="s">
        <v>8</v>
      </c>
      <c r="CI38963" s="4" t="s">
        <v>1859</v>
      </c>
      <c r="CJ38963" s="4" t="s">
        <v>11</v>
      </c>
      <c r="CK38963" s="4" t="s">
        <v>11</v>
      </c>
      <c r="CL38963" s="4" t="s">
        <v>15</v>
      </c>
      <c r="CM38963" s="4" t="s">
        <v>8</v>
      </c>
      <c r="CN38963" s="4" t="s">
        <v>1859</v>
      </c>
      <c r="CO38963" s="4" t="s">
        <v>11</v>
      </c>
      <c r="CP38963" s="4" t="s">
        <v>11</v>
      </c>
      <c r="CQ38963" s="4" t="s">
        <v>15</v>
      </c>
      <c r="CR38963" s="4" t="s">
        <v>8</v>
      </c>
      <c r="CS38963" s="4" t="s">
        <v>1859</v>
      </c>
      <c r="CT38963" s="4" t="s">
        <v>11</v>
      </c>
      <c r="CU38963" s="4" t="s">
        <v>11</v>
      </c>
      <c r="CV38963" s="4" t="s">
        <v>15</v>
      </c>
      <c r="CW38963" s="4" t="s">
        <v>8</v>
      </c>
      <c r="CX38963" s="4" t="s">
        <v>1859</v>
      </c>
      <c r="CY38963" s="4" t="s">
        <v>11</v>
      </c>
      <c r="CZ38963" s="4" t="s">
        <v>11</v>
      </c>
      <c r="DA38963" s="4" t="s">
        <v>15</v>
      </c>
      <c r="DB38963" s="4" t="s">
        <v>8</v>
      </c>
      <c r="DC38963" s="4" t="s">
        <v>1859</v>
      </c>
      <c r="DD38963" s="4" t="s">
        <v>11</v>
      </c>
      <c r="DE38963" s="4" t="s">
        <v>11</v>
      </c>
      <c r="DF38963" s="4" t="s">
        <v>15</v>
      </c>
      <c r="DG38963" s="4" t="s">
        <v>8</v>
      </c>
      <c r="DH38963" s="4" t="s">
        <v>1859</v>
      </c>
      <c r="DI38963" s="4" t="s">
        <v>11</v>
      </c>
      <c r="DJ38963" s="4" t="s">
        <v>11</v>
      </c>
      <c r="DK38963" s="4" t="s">
        <v>15</v>
      </c>
      <c r="DL38963" s="4" t="s">
        <v>8</v>
      </c>
      <c r="DM38963" s="4" t="s">
        <v>1859</v>
      </c>
      <c r="DN38963" s="4" t="s">
        <v>11</v>
      </c>
      <c r="DO38963" s="4" t="s">
        <v>11</v>
      </c>
      <c r="DP38963" s="4" t="s">
        <v>15</v>
      </c>
      <c r="DQ38963" s="4" t="s">
        <v>8</v>
      </c>
      <c r="DR38963" s="4" t="s">
        <v>1859</v>
      </c>
      <c r="DS38963" s="4" t="s">
        <v>11</v>
      </c>
      <c r="DT38963" s="4" t="s">
        <v>11</v>
      </c>
      <c r="DU38963" s="4" t="s">
        <v>15</v>
      </c>
      <c r="DV38963" s="4" t="s">
        <v>8</v>
      </c>
      <c r="DW38963" s="4" t="s">
        <v>1859</v>
      </c>
      <c r="DX38963" s="4" t="s">
        <v>11</v>
      </c>
      <c r="DY38963" s="4" t="s">
        <v>11</v>
      </c>
      <c r="DZ38963" s="4" t="s">
        <v>15</v>
      </c>
      <c r="EA38963" s="4" t="s">
        <v>8</v>
      </c>
      <c r="EB38963" s="4" t="s">
        <v>1859</v>
      </c>
      <c r="EC38963" s="4" t="s">
        <v>11</v>
      </c>
      <c r="ED38963" s="4" t="s">
        <v>11</v>
      </c>
      <c r="EE38963" s="4" t="s">
        <v>15</v>
      </c>
      <c r="EF38963" s="4" t="s">
        <v>8</v>
      </c>
      <c r="EG38963" s="4" t="s">
        <v>1859</v>
      </c>
      <c r="EH38963" s="4" t="s">
        <v>11</v>
      </c>
      <c r="EI38963" s="4" t="s">
        <v>11</v>
      </c>
      <c r="EJ38963" s="4" t="s">
        <v>15</v>
      </c>
      <c r="EK38963" s="4" t="s">
        <v>8</v>
      </c>
      <c r="EL38963" s="4" t="s">
        <v>1859</v>
      </c>
      <c r="EM38963" s="4" t="s">
        <v>11</v>
      </c>
      <c r="EN38963" s="4" t="s">
        <v>11</v>
      </c>
      <c r="EO38963" s="4" t="s">
        <v>15</v>
      </c>
      <c r="EP38963" s="4" t="s">
        <v>8</v>
      </c>
      <c r="EQ38963" s="4" t="s">
        <v>1859</v>
      </c>
      <c r="ER38963" s="4" t="s">
        <v>11</v>
      </c>
      <c r="ES38963" s="4" t="s">
        <v>11</v>
      </c>
      <c r="ET38963" s="4" t="s">
        <v>15</v>
      </c>
      <c r="EU38963" s="4" t="s">
        <v>8</v>
      </c>
      <c r="EV38963" s="4" t="s">
        <v>1859</v>
      </c>
      <c r="EW38963" s="4" t="s">
        <v>11</v>
      </c>
      <c r="EX38963" s="4" t="s">
        <v>11</v>
      </c>
      <c r="EY38963" s="4" t="s">
        <v>15</v>
      </c>
      <c r="EZ38963" s="4" t="s">
        <v>8</v>
      </c>
      <c r="FA38963" s="4" t="s">
        <v>1859</v>
      </c>
      <c r="FB38963" s="4" t="s">
        <v>11</v>
      </c>
      <c r="FC38963" s="4" t="s">
        <v>11</v>
      </c>
      <c r="FD38963" s="4" t="s">
        <v>15</v>
      </c>
      <c r="FE38963" s="4" t="s">
        <v>8</v>
      </c>
      <c r="FF38963" s="4" t="s">
        <v>1859</v>
      </c>
      <c r="FG38963" s="4" t="s">
        <v>11</v>
      </c>
      <c r="FH38963" s="4" t="s">
        <v>11</v>
      </c>
      <c r="FI38963" s="4" t="s">
        <v>15</v>
      </c>
      <c r="FJ38963" s="4" t="s">
        <v>8</v>
      </c>
      <c r="FK38963" s="4" t="s">
        <v>1859</v>
      </c>
      <c r="FL38963" s="4" t="s">
        <v>11</v>
      </c>
      <c r="FM38963" s="4" t="s">
        <v>11</v>
      </c>
      <c r="FN38963" s="4" t="s">
        <v>15</v>
      </c>
      <c r="FO38963" s="4" t="s">
        <v>8</v>
      </c>
      <c r="FP38963" s="4" t="s">
        <v>1859</v>
      </c>
      <c r="FQ38963" s="4" t="s">
        <v>11</v>
      </c>
      <c r="FR38963" s="4" t="s">
        <v>11</v>
      </c>
      <c r="FS38963" s="4" t="s">
        <v>15</v>
      </c>
      <c r="FT38963" s="4" t="s">
        <v>8</v>
      </c>
      <c r="FU38963" s="4" t="s">
        <v>1859</v>
      </c>
      <c r="FV38963" s="4" t="s">
        <v>11</v>
      </c>
      <c r="FW38963" s="4" t="s">
        <v>11</v>
      </c>
      <c r="FX38963" s="4" t="s">
        <v>15</v>
      </c>
      <c r="FY38963" s="4" t="s">
        <v>8</v>
      </c>
      <c r="FZ38963" s="4" t="s">
        <v>1859</v>
      </c>
      <c r="GA38963" s="4" t="s">
        <v>11</v>
      </c>
      <c r="GB38963" s="4" t="s">
        <v>11</v>
      </c>
      <c r="GC38963" s="4" t="s">
        <v>15</v>
      </c>
      <c r="GD38963" s="4" t="s">
        <v>8</v>
      </c>
      <c r="GE38963" s="4" t="s">
        <v>1859</v>
      </c>
      <c r="GF38963" s="4" t="s">
        <v>11</v>
      </c>
      <c r="GG38963" s="4" t="s">
        <v>11</v>
      </c>
      <c r="GH38963" s="4" t="s">
        <v>15</v>
      </c>
      <c r="GI38963" s="4" t="s">
        <v>8</v>
      </c>
      <c r="GJ38963" s="4" t="s">
        <v>1859</v>
      </c>
      <c r="GK38963" s="4" t="s">
        <v>11</v>
      </c>
      <c r="GL38963" s="4" t="s">
        <v>11</v>
      </c>
      <c r="GM38963" s="4" t="s">
        <v>15</v>
      </c>
      <c r="GN38963" s="4" t="s">
        <v>8</v>
      </c>
      <c r="GO38963" s="4" t="s">
        <v>1859</v>
      </c>
      <c r="GP38963" s="4" t="s">
        <v>11</v>
      </c>
      <c r="GQ38963" s="4" t="s">
        <v>11</v>
      </c>
      <c r="GR38963" s="4" t="s">
        <v>15</v>
      </c>
      <c r="GS38963" s="4" t="s">
        <v>8</v>
      </c>
      <c r="GT38963" s="4" t="s">
        <v>1859</v>
      </c>
      <c r="GU38963" s="4" t="s">
        <v>11</v>
      </c>
      <c r="GV38963" s="4" t="s">
        <v>11</v>
      </c>
      <c r="GW38963" s="4" t="s">
        <v>15</v>
      </c>
      <c r="GX38963" s="4" t="s">
        <v>8</v>
      </c>
      <c r="GY38963" s="4" t="s">
        <v>1859</v>
      </c>
      <c r="GZ38963" s="4" t="s">
        <v>11</v>
      </c>
      <c r="HA38963" s="4" t="s">
        <v>11</v>
      </c>
      <c r="HB38963" s="4" t="s">
        <v>15</v>
      </c>
      <c r="HC38963" s="4" t="s">
        <v>8</v>
      </c>
      <c r="HD38963" s="4" t="s">
        <v>1859</v>
      </c>
      <c r="HE38963" s="4" t="s">
        <v>11</v>
      </c>
      <c r="HF38963" s="4" t="s">
        <v>11</v>
      </c>
      <c r="HG38963" s="4" t="s">
        <v>15</v>
      </c>
      <c r="HH38963" s="4" t="s">
        <v>8</v>
      </c>
      <c r="HI38963" s="4" t="s">
        <v>1859</v>
      </c>
      <c r="HJ38963" s="4" t="s">
        <v>11</v>
      </c>
      <c r="HK38963" s="4" t="s">
        <v>11</v>
      </c>
      <c r="HL38963" s="4" t="s">
        <v>15</v>
      </c>
      <c r="HM38963" s="4" t="s">
        <v>8</v>
      </c>
      <c r="HN38963" s="4" t="s">
        <v>1859</v>
      </c>
      <c r="HO38963" s="4" t="s">
        <v>11</v>
      </c>
      <c r="HP38963" s="4" t="s">
        <v>11</v>
      </c>
      <c r="HQ38963" s="4" t="s">
        <v>15</v>
      </c>
      <c r="HR38963" s="4" t="s">
        <v>8</v>
      </c>
      <c r="HS38963" s="4" t="s">
        <v>1859</v>
      </c>
      <c r="HT38963" s="4" t="s">
        <v>11</v>
      </c>
      <c r="HU38963" s="4" t="s">
        <v>11</v>
      </c>
      <c r="HV38963" s="4" t="s">
        <v>15</v>
      </c>
      <c r="HW38963" s="4" t="s">
        <v>8</v>
      </c>
      <c r="HX38963" s="4" t="s">
        <v>1859</v>
      </c>
      <c r="HY38963" s="4" t="s">
        <v>11</v>
      </c>
      <c r="HZ38963" s="4" t="s">
        <v>11</v>
      </c>
      <c r="IA38963" s="4" t="s">
        <v>15</v>
      </c>
      <c r="IB38963" s="4" t="s">
        <v>8</v>
      </c>
      <c r="IC38963" s="4" t="s">
        <v>1859</v>
      </c>
      <c r="ID38963" s="4" t="s">
        <v>11</v>
      </c>
      <c r="IE38963" s="4" t="s">
        <v>11</v>
      </c>
      <c r="IF38963" s="4" t="s">
        <v>15</v>
      </c>
      <c r="IG38963" s="4" t="s">
        <v>8</v>
      </c>
      <c r="IH38963" s="4" t="s">
        <v>1859</v>
      </c>
      <c r="II38963" s="4" t="s">
        <v>11</v>
      </c>
      <c r="IJ38963" s="4" t="s">
        <v>11</v>
      </c>
      <c r="IK38963" s="4" t="s">
        <v>15</v>
      </c>
      <c r="IL38963" s="4" t="s">
        <v>8</v>
      </c>
      <c r="IM38963" s="4" t="s">
        <v>1859</v>
      </c>
      <c r="IN38963" s="4" t="s">
        <v>11</v>
      </c>
      <c r="IO38963" s="4" t="s">
        <v>11</v>
      </c>
      <c r="IP38963" s="4" t="s">
        <v>15</v>
      </c>
      <c r="IQ38963" s="4" t="s">
        <v>8</v>
      </c>
      <c r="IR38963" s="4" t="s">
        <v>1859</v>
      </c>
      <c r="IS38963" s="4" t="s">
        <v>11</v>
      </c>
      <c r="IT38963" s="4" t="s">
        <v>11</v>
      </c>
      <c r="IU38963" s="4" t="s">
        <v>15</v>
      </c>
      <c r="IV38963" s="4" t="s">
        <v>8</v>
      </c>
      <c r="IW38963" s="4" t="s">
        <v>1859</v>
      </c>
      <c r="IX38963" s="4" t="s">
        <v>11</v>
      </c>
      <c r="IY38963" s="4" t="s">
        <v>11</v>
      </c>
      <c r="IZ38963" s="4" t="s">
        <v>15</v>
      </c>
      <c r="JA38963" s="4" t="s">
        <v>8</v>
      </c>
      <c r="JB38963" s="4" t="s">
        <v>1859</v>
      </c>
      <c r="JC38963" s="4" t="s">
        <v>11</v>
      </c>
      <c r="JD38963" s="4" t="s">
        <v>11</v>
      </c>
      <c r="JE38963" s="4" t="s">
        <v>15</v>
      </c>
      <c r="JF38963" s="4" t="s">
        <v>8</v>
      </c>
      <c r="JG38963" s="4" t="s">
        <v>1859</v>
      </c>
      <c r="JH38963" s="4" t="s">
        <v>11</v>
      </c>
      <c r="JI38963" s="4" t="s">
        <v>11</v>
      </c>
      <c r="JJ38963" s="4" t="s">
        <v>15</v>
      </c>
      <c r="JK38963" s="4" t="s">
        <v>8</v>
      </c>
      <c r="JL38963" s="4" t="s">
        <v>1859</v>
      </c>
      <c r="JM38963" s="4" t="s">
        <v>11</v>
      </c>
      <c r="JN38963" s="4" t="s">
        <v>11</v>
      </c>
      <c r="JO38963" s="4" t="s">
        <v>15</v>
      </c>
      <c r="JP38963" s="4" t="s">
        <v>8</v>
      </c>
      <c r="JQ38963" s="4" t="s">
        <v>1859</v>
      </c>
      <c r="JR38963" s="4" t="s">
        <v>11</v>
      </c>
      <c r="JS38963" s="4" t="s">
        <v>11</v>
      </c>
      <c r="JT38963" s="4" t="s">
        <v>15</v>
      </c>
      <c r="JU38963" s="4" t="s">
        <v>8</v>
      </c>
      <c r="JV38963" s="4" t="s">
        <v>1859</v>
      </c>
    </row>
    <row r="38964" spans="1:332">
      <c r="A38964" t="n">
        <v>464720</v>
      </c>
      <c r="B38964" s="85" t="n">
        <v>257</v>
      </c>
      <c r="C38964" s="7" t="n">
        <v>7</v>
      </c>
      <c r="D38964" s="7" t="n">
        <v>65533</v>
      </c>
      <c r="E38964" s="7" t="n">
        <v>64689</v>
      </c>
      <c r="F38964" s="7" t="s">
        <v>16</v>
      </c>
      <c r="G38964" s="7" t="n">
        <f t="normal" ca="1">32-LENB(INDIRECT(ADDRESS(38964,6)))</f>
        <v>0</v>
      </c>
      <c r="H38964" s="7" t="n">
        <v>7</v>
      </c>
      <c r="I38964" s="7" t="n">
        <v>65533</v>
      </c>
      <c r="J38964" s="7" t="n">
        <v>64690</v>
      </c>
      <c r="K38964" s="7" t="s">
        <v>16</v>
      </c>
      <c r="L38964" s="7" t="n">
        <f t="normal" ca="1">32-LENB(INDIRECT(ADDRESS(38964,11)))</f>
        <v>0</v>
      </c>
      <c r="M38964" s="7" t="n">
        <v>9</v>
      </c>
      <c r="N38964" s="7" t="n">
        <v>9</v>
      </c>
      <c r="O38964" s="7" t="n">
        <v>0</v>
      </c>
      <c r="P38964" s="7" t="s">
        <v>1688</v>
      </c>
      <c r="Q38964" s="7" t="n">
        <f t="normal" ca="1">32-LENB(INDIRECT(ADDRESS(38964,16)))</f>
        <v>0</v>
      </c>
      <c r="R38964" s="7" t="n">
        <v>7</v>
      </c>
      <c r="S38964" s="7" t="n">
        <v>65533</v>
      </c>
      <c r="T38964" s="7" t="n">
        <v>64691</v>
      </c>
      <c r="U38964" s="7" t="s">
        <v>16</v>
      </c>
      <c r="V38964" s="7" t="n">
        <f t="normal" ca="1">32-LENB(INDIRECT(ADDRESS(38964,21)))</f>
        <v>0</v>
      </c>
      <c r="W38964" s="7" t="n">
        <v>7</v>
      </c>
      <c r="X38964" s="7" t="n">
        <v>65533</v>
      </c>
      <c r="Y38964" s="7" t="n">
        <v>64692</v>
      </c>
      <c r="Z38964" s="7" t="s">
        <v>16</v>
      </c>
      <c r="AA38964" s="7" t="n">
        <f t="normal" ca="1">32-LENB(INDIRECT(ADDRESS(38964,26)))</f>
        <v>0</v>
      </c>
      <c r="AB38964" s="7" t="n">
        <v>7</v>
      </c>
      <c r="AC38964" s="7" t="n">
        <v>65533</v>
      </c>
      <c r="AD38964" s="7" t="n">
        <v>64693</v>
      </c>
      <c r="AE38964" s="7" t="s">
        <v>16</v>
      </c>
      <c r="AF38964" s="7" t="n">
        <f t="normal" ca="1">32-LENB(INDIRECT(ADDRESS(38964,31)))</f>
        <v>0</v>
      </c>
      <c r="AG38964" s="7" t="n">
        <v>7</v>
      </c>
      <c r="AH38964" s="7" t="n">
        <v>65533</v>
      </c>
      <c r="AI38964" s="7" t="n">
        <v>64694</v>
      </c>
      <c r="AJ38964" s="7" t="s">
        <v>16</v>
      </c>
      <c r="AK38964" s="7" t="n">
        <f t="normal" ca="1">32-LENB(INDIRECT(ADDRESS(38964,36)))</f>
        <v>0</v>
      </c>
      <c r="AL38964" s="7" t="n">
        <v>7</v>
      </c>
      <c r="AM38964" s="7" t="n">
        <v>65533</v>
      </c>
      <c r="AN38964" s="7" t="n">
        <v>64695</v>
      </c>
      <c r="AO38964" s="7" t="s">
        <v>16</v>
      </c>
      <c r="AP38964" s="7" t="n">
        <f t="normal" ca="1">32-LENB(INDIRECT(ADDRESS(38964,41)))</f>
        <v>0</v>
      </c>
      <c r="AQ38964" s="7" t="n">
        <v>7</v>
      </c>
      <c r="AR38964" s="7" t="n">
        <v>65533</v>
      </c>
      <c r="AS38964" s="7" t="n">
        <v>64696</v>
      </c>
      <c r="AT38964" s="7" t="s">
        <v>16</v>
      </c>
      <c r="AU38964" s="7" t="n">
        <f t="normal" ca="1">32-LENB(INDIRECT(ADDRESS(38964,46)))</f>
        <v>0</v>
      </c>
      <c r="AV38964" s="7" t="n">
        <v>7</v>
      </c>
      <c r="AW38964" s="7" t="n">
        <v>65533</v>
      </c>
      <c r="AX38964" s="7" t="n">
        <v>64697</v>
      </c>
      <c r="AY38964" s="7" t="s">
        <v>16</v>
      </c>
      <c r="AZ38964" s="7" t="n">
        <f t="normal" ca="1">32-LENB(INDIRECT(ADDRESS(38964,51)))</f>
        <v>0</v>
      </c>
      <c r="BA38964" s="7" t="n">
        <v>7</v>
      </c>
      <c r="BB38964" s="7" t="n">
        <v>65533</v>
      </c>
      <c r="BC38964" s="7" t="n">
        <v>64698</v>
      </c>
      <c r="BD38964" s="7" t="s">
        <v>16</v>
      </c>
      <c r="BE38964" s="7" t="n">
        <f t="normal" ca="1">32-LENB(INDIRECT(ADDRESS(38964,56)))</f>
        <v>0</v>
      </c>
      <c r="BF38964" s="7" t="n">
        <v>7</v>
      </c>
      <c r="BG38964" s="7" t="n">
        <v>65533</v>
      </c>
      <c r="BH38964" s="7" t="n">
        <v>64699</v>
      </c>
      <c r="BI38964" s="7" t="s">
        <v>16</v>
      </c>
      <c r="BJ38964" s="7" t="n">
        <f t="normal" ca="1">32-LENB(INDIRECT(ADDRESS(38964,61)))</f>
        <v>0</v>
      </c>
      <c r="BK38964" s="7" t="n">
        <v>7</v>
      </c>
      <c r="BL38964" s="7" t="n">
        <v>65533</v>
      </c>
      <c r="BM38964" s="7" t="n">
        <v>64700</v>
      </c>
      <c r="BN38964" s="7" t="s">
        <v>16</v>
      </c>
      <c r="BO38964" s="7" t="n">
        <f t="normal" ca="1">32-LENB(INDIRECT(ADDRESS(38964,66)))</f>
        <v>0</v>
      </c>
      <c r="BP38964" s="7" t="n">
        <v>7</v>
      </c>
      <c r="BQ38964" s="7" t="n">
        <v>65533</v>
      </c>
      <c r="BR38964" s="7" t="n">
        <v>64701</v>
      </c>
      <c r="BS38964" s="7" t="s">
        <v>16</v>
      </c>
      <c r="BT38964" s="7" t="n">
        <f t="normal" ca="1">32-LENB(INDIRECT(ADDRESS(38964,71)))</f>
        <v>0</v>
      </c>
      <c r="BU38964" s="7" t="n">
        <v>7</v>
      </c>
      <c r="BV38964" s="7" t="n">
        <v>65533</v>
      </c>
      <c r="BW38964" s="7" t="n">
        <v>64702</v>
      </c>
      <c r="BX38964" s="7" t="s">
        <v>16</v>
      </c>
      <c r="BY38964" s="7" t="n">
        <f t="normal" ca="1">32-LENB(INDIRECT(ADDRESS(38964,76)))</f>
        <v>0</v>
      </c>
      <c r="BZ38964" s="7" t="n">
        <v>7</v>
      </c>
      <c r="CA38964" s="7" t="n">
        <v>65533</v>
      </c>
      <c r="CB38964" s="7" t="n">
        <v>64268</v>
      </c>
      <c r="CC38964" s="7" t="s">
        <v>16</v>
      </c>
      <c r="CD38964" s="7" t="n">
        <f t="normal" ca="1">32-LENB(INDIRECT(ADDRESS(38964,81)))</f>
        <v>0</v>
      </c>
      <c r="CE38964" s="7" t="n">
        <v>7</v>
      </c>
      <c r="CF38964" s="7" t="n">
        <v>65533</v>
      </c>
      <c r="CG38964" s="7" t="n">
        <v>64714</v>
      </c>
      <c r="CH38964" s="7" t="s">
        <v>16</v>
      </c>
      <c r="CI38964" s="7" t="n">
        <f t="normal" ca="1">32-LENB(INDIRECT(ADDRESS(38964,86)))</f>
        <v>0</v>
      </c>
      <c r="CJ38964" s="7" t="n">
        <v>7</v>
      </c>
      <c r="CK38964" s="7" t="n">
        <v>65533</v>
      </c>
      <c r="CL38964" s="7" t="n">
        <v>64715</v>
      </c>
      <c r="CM38964" s="7" t="s">
        <v>16</v>
      </c>
      <c r="CN38964" s="7" t="n">
        <f t="normal" ca="1">32-LENB(INDIRECT(ADDRESS(38964,91)))</f>
        <v>0</v>
      </c>
      <c r="CO38964" s="7" t="n">
        <v>7</v>
      </c>
      <c r="CP38964" s="7" t="n">
        <v>65533</v>
      </c>
      <c r="CQ38964" s="7" t="n">
        <v>64716</v>
      </c>
      <c r="CR38964" s="7" t="s">
        <v>16</v>
      </c>
      <c r="CS38964" s="7" t="n">
        <f t="normal" ca="1">32-LENB(INDIRECT(ADDRESS(38964,96)))</f>
        <v>0</v>
      </c>
      <c r="CT38964" s="7" t="n">
        <v>7</v>
      </c>
      <c r="CU38964" s="7" t="n">
        <v>65533</v>
      </c>
      <c r="CV38964" s="7" t="n">
        <v>64717</v>
      </c>
      <c r="CW38964" s="7" t="s">
        <v>16</v>
      </c>
      <c r="CX38964" s="7" t="n">
        <f t="normal" ca="1">32-LENB(INDIRECT(ADDRESS(38964,101)))</f>
        <v>0</v>
      </c>
      <c r="CY38964" s="7" t="n">
        <v>7</v>
      </c>
      <c r="CZ38964" s="7" t="n">
        <v>65533</v>
      </c>
      <c r="DA38964" s="7" t="n">
        <v>64718</v>
      </c>
      <c r="DB38964" s="7" t="s">
        <v>16</v>
      </c>
      <c r="DC38964" s="7" t="n">
        <f t="normal" ca="1">32-LENB(INDIRECT(ADDRESS(38964,106)))</f>
        <v>0</v>
      </c>
      <c r="DD38964" s="7" t="n">
        <v>7</v>
      </c>
      <c r="DE38964" s="7" t="n">
        <v>65533</v>
      </c>
      <c r="DF38964" s="7" t="n">
        <v>64719</v>
      </c>
      <c r="DG38964" s="7" t="s">
        <v>16</v>
      </c>
      <c r="DH38964" s="7" t="n">
        <f t="normal" ca="1">32-LENB(INDIRECT(ADDRESS(38964,111)))</f>
        <v>0</v>
      </c>
      <c r="DI38964" s="7" t="n">
        <v>7</v>
      </c>
      <c r="DJ38964" s="7" t="n">
        <v>65533</v>
      </c>
      <c r="DK38964" s="7" t="n">
        <v>64720</v>
      </c>
      <c r="DL38964" s="7" t="s">
        <v>16</v>
      </c>
      <c r="DM38964" s="7" t="n">
        <f t="normal" ca="1">32-LENB(INDIRECT(ADDRESS(38964,116)))</f>
        <v>0</v>
      </c>
      <c r="DN38964" s="7" t="n">
        <v>7</v>
      </c>
      <c r="DO38964" s="7" t="n">
        <v>65533</v>
      </c>
      <c r="DP38964" s="7" t="n">
        <v>64721</v>
      </c>
      <c r="DQ38964" s="7" t="s">
        <v>16</v>
      </c>
      <c r="DR38964" s="7" t="n">
        <f t="normal" ca="1">32-LENB(INDIRECT(ADDRESS(38964,121)))</f>
        <v>0</v>
      </c>
      <c r="DS38964" s="7" t="n">
        <v>7</v>
      </c>
      <c r="DT38964" s="7" t="n">
        <v>65533</v>
      </c>
      <c r="DU38964" s="7" t="n">
        <v>64722</v>
      </c>
      <c r="DV38964" s="7" t="s">
        <v>16</v>
      </c>
      <c r="DW38964" s="7" t="n">
        <f t="normal" ca="1">32-LENB(INDIRECT(ADDRESS(38964,126)))</f>
        <v>0</v>
      </c>
      <c r="DX38964" s="7" t="n">
        <v>7</v>
      </c>
      <c r="DY38964" s="7" t="n">
        <v>65533</v>
      </c>
      <c r="DZ38964" s="7" t="n">
        <v>64723</v>
      </c>
      <c r="EA38964" s="7" t="s">
        <v>16</v>
      </c>
      <c r="EB38964" s="7" t="n">
        <f t="normal" ca="1">32-LENB(INDIRECT(ADDRESS(38964,131)))</f>
        <v>0</v>
      </c>
      <c r="EC38964" s="7" t="n">
        <v>7</v>
      </c>
      <c r="ED38964" s="7" t="n">
        <v>65533</v>
      </c>
      <c r="EE38964" s="7" t="n">
        <v>64724</v>
      </c>
      <c r="EF38964" s="7" t="s">
        <v>16</v>
      </c>
      <c r="EG38964" s="7" t="n">
        <f t="normal" ca="1">32-LENB(INDIRECT(ADDRESS(38964,136)))</f>
        <v>0</v>
      </c>
      <c r="EH38964" s="7" t="n">
        <v>7</v>
      </c>
      <c r="EI38964" s="7" t="n">
        <v>65533</v>
      </c>
      <c r="EJ38964" s="7" t="n">
        <v>64725</v>
      </c>
      <c r="EK38964" s="7" t="s">
        <v>16</v>
      </c>
      <c r="EL38964" s="7" t="n">
        <f t="normal" ca="1">32-LENB(INDIRECT(ADDRESS(38964,141)))</f>
        <v>0</v>
      </c>
      <c r="EM38964" s="7" t="n">
        <v>7</v>
      </c>
      <c r="EN38964" s="7" t="n">
        <v>65533</v>
      </c>
      <c r="EO38964" s="7" t="n">
        <v>64726</v>
      </c>
      <c r="EP38964" s="7" t="s">
        <v>16</v>
      </c>
      <c r="EQ38964" s="7" t="n">
        <f t="normal" ca="1">32-LENB(INDIRECT(ADDRESS(38964,146)))</f>
        <v>0</v>
      </c>
      <c r="ER38964" s="7" t="n">
        <v>7</v>
      </c>
      <c r="ES38964" s="7" t="n">
        <v>65533</v>
      </c>
      <c r="ET38964" s="7" t="n">
        <v>64727</v>
      </c>
      <c r="EU38964" s="7" t="s">
        <v>16</v>
      </c>
      <c r="EV38964" s="7" t="n">
        <f t="normal" ca="1">32-LENB(INDIRECT(ADDRESS(38964,151)))</f>
        <v>0</v>
      </c>
      <c r="EW38964" s="7" t="n">
        <v>7</v>
      </c>
      <c r="EX38964" s="7" t="n">
        <v>65533</v>
      </c>
      <c r="EY38964" s="7" t="n">
        <v>64728</v>
      </c>
      <c r="EZ38964" s="7" t="s">
        <v>16</v>
      </c>
      <c r="FA38964" s="7" t="n">
        <f t="normal" ca="1">32-LENB(INDIRECT(ADDRESS(38964,156)))</f>
        <v>0</v>
      </c>
      <c r="FB38964" s="7" t="n">
        <v>4</v>
      </c>
      <c r="FC38964" s="7" t="n">
        <v>65533</v>
      </c>
      <c r="FD38964" s="7" t="n">
        <v>2000</v>
      </c>
      <c r="FE38964" s="7" t="s">
        <v>16</v>
      </c>
      <c r="FF38964" s="7" t="n">
        <f t="normal" ca="1">32-LENB(INDIRECT(ADDRESS(38964,161)))</f>
        <v>0</v>
      </c>
      <c r="FG38964" s="7" t="n">
        <v>7</v>
      </c>
      <c r="FH38964" s="7" t="n">
        <v>65533</v>
      </c>
      <c r="FI38964" s="7" t="n">
        <v>64729</v>
      </c>
      <c r="FJ38964" s="7" t="s">
        <v>16</v>
      </c>
      <c r="FK38964" s="7" t="n">
        <f t="normal" ca="1">32-LENB(INDIRECT(ADDRESS(38964,166)))</f>
        <v>0</v>
      </c>
      <c r="FL38964" s="7" t="n">
        <v>4</v>
      </c>
      <c r="FM38964" s="7" t="n">
        <v>65533</v>
      </c>
      <c r="FN38964" s="7" t="n">
        <v>2003</v>
      </c>
      <c r="FO38964" s="7" t="s">
        <v>16</v>
      </c>
      <c r="FP38964" s="7" t="n">
        <f t="normal" ca="1">32-LENB(INDIRECT(ADDRESS(38964,171)))</f>
        <v>0</v>
      </c>
      <c r="FQ38964" s="7" t="n">
        <v>7</v>
      </c>
      <c r="FR38964" s="7" t="n">
        <v>65533</v>
      </c>
      <c r="FS38964" s="7" t="n">
        <v>64730</v>
      </c>
      <c r="FT38964" s="7" t="s">
        <v>16</v>
      </c>
      <c r="FU38964" s="7" t="n">
        <f t="normal" ca="1">32-LENB(INDIRECT(ADDRESS(38964,176)))</f>
        <v>0</v>
      </c>
      <c r="FV38964" s="7" t="n">
        <v>7</v>
      </c>
      <c r="FW38964" s="7" t="n">
        <v>65533</v>
      </c>
      <c r="FX38964" s="7" t="n">
        <v>64731</v>
      </c>
      <c r="FY38964" s="7" t="s">
        <v>16</v>
      </c>
      <c r="FZ38964" s="7" t="n">
        <f t="normal" ca="1">32-LENB(INDIRECT(ADDRESS(38964,181)))</f>
        <v>0</v>
      </c>
      <c r="GA38964" s="7" t="n">
        <v>7</v>
      </c>
      <c r="GB38964" s="7" t="n">
        <v>65533</v>
      </c>
      <c r="GC38964" s="7" t="n">
        <v>64732</v>
      </c>
      <c r="GD38964" s="7" t="s">
        <v>16</v>
      </c>
      <c r="GE38964" s="7" t="n">
        <f t="normal" ca="1">32-LENB(INDIRECT(ADDRESS(38964,186)))</f>
        <v>0</v>
      </c>
      <c r="GF38964" s="7" t="n">
        <v>7</v>
      </c>
      <c r="GG38964" s="7" t="n">
        <v>65533</v>
      </c>
      <c r="GH38964" s="7" t="n">
        <v>64733</v>
      </c>
      <c r="GI38964" s="7" t="s">
        <v>16</v>
      </c>
      <c r="GJ38964" s="7" t="n">
        <f t="normal" ca="1">32-LENB(INDIRECT(ADDRESS(38964,191)))</f>
        <v>0</v>
      </c>
      <c r="GK38964" s="7" t="n">
        <v>7</v>
      </c>
      <c r="GL38964" s="7" t="n">
        <v>65533</v>
      </c>
      <c r="GM38964" s="7" t="n">
        <v>64734</v>
      </c>
      <c r="GN38964" s="7" t="s">
        <v>16</v>
      </c>
      <c r="GO38964" s="7" t="n">
        <f t="normal" ca="1">32-LENB(INDIRECT(ADDRESS(38964,196)))</f>
        <v>0</v>
      </c>
      <c r="GP38964" s="7" t="n">
        <v>7</v>
      </c>
      <c r="GQ38964" s="7" t="n">
        <v>65533</v>
      </c>
      <c r="GR38964" s="7" t="n">
        <v>64735</v>
      </c>
      <c r="GS38964" s="7" t="s">
        <v>16</v>
      </c>
      <c r="GT38964" s="7" t="n">
        <f t="normal" ca="1">32-LENB(INDIRECT(ADDRESS(38964,201)))</f>
        <v>0</v>
      </c>
      <c r="GU38964" s="7" t="n">
        <v>7</v>
      </c>
      <c r="GV38964" s="7" t="n">
        <v>65533</v>
      </c>
      <c r="GW38964" s="7" t="n">
        <v>64736</v>
      </c>
      <c r="GX38964" s="7" t="s">
        <v>16</v>
      </c>
      <c r="GY38964" s="7" t="n">
        <f t="normal" ca="1">32-LENB(INDIRECT(ADDRESS(38964,206)))</f>
        <v>0</v>
      </c>
      <c r="GZ38964" s="7" t="n">
        <v>7</v>
      </c>
      <c r="HA38964" s="7" t="n">
        <v>65533</v>
      </c>
      <c r="HB38964" s="7" t="n">
        <v>64737</v>
      </c>
      <c r="HC38964" s="7" t="s">
        <v>16</v>
      </c>
      <c r="HD38964" s="7" t="n">
        <f t="normal" ca="1">32-LENB(INDIRECT(ADDRESS(38964,211)))</f>
        <v>0</v>
      </c>
      <c r="HE38964" s="7" t="n">
        <v>7</v>
      </c>
      <c r="HF38964" s="7" t="n">
        <v>65533</v>
      </c>
      <c r="HG38964" s="7" t="n">
        <v>64738</v>
      </c>
      <c r="HH38964" s="7" t="s">
        <v>16</v>
      </c>
      <c r="HI38964" s="7" t="n">
        <f t="normal" ca="1">32-LENB(INDIRECT(ADDRESS(38964,216)))</f>
        <v>0</v>
      </c>
      <c r="HJ38964" s="7" t="n">
        <v>7</v>
      </c>
      <c r="HK38964" s="7" t="n">
        <v>65533</v>
      </c>
      <c r="HL38964" s="7" t="n">
        <v>64739</v>
      </c>
      <c r="HM38964" s="7" t="s">
        <v>16</v>
      </c>
      <c r="HN38964" s="7" t="n">
        <f t="normal" ca="1">32-LENB(INDIRECT(ADDRESS(38964,221)))</f>
        <v>0</v>
      </c>
      <c r="HO38964" s="7" t="n">
        <v>7</v>
      </c>
      <c r="HP38964" s="7" t="n">
        <v>65533</v>
      </c>
      <c r="HQ38964" s="7" t="n">
        <v>64740</v>
      </c>
      <c r="HR38964" s="7" t="s">
        <v>16</v>
      </c>
      <c r="HS38964" s="7" t="n">
        <f t="normal" ca="1">32-LENB(INDIRECT(ADDRESS(38964,226)))</f>
        <v>0</v>
      </c>
      <c r="HT38964" s="7" t="n">
        <v>4</v>
      </c>
      <c r="HU38964" s="7" t="n">
        <v>65533</v>
      </c>
      <c r="HV38964" s="7" t="n">
        <v>2000</v>
      </c>
      <c r="HW38964" s="7" t="s">
        <v>16</v>
      </c>
      <c r="HX38964" s="7" t="n">
        <f t="normal" ca="1">32-LENB(INDIRECT(ADDRESS(38964,231)))</f>
        <v>0</v>
      </c>
      <c r="HY38964" s="7" t="n">
        <v>7</v>
      </c>
      <c r="HZ38964" s="7" t="n">
        <v>65533</v>
      </c>
      <c r="IA38964" s="7" t="n">
        <v>64741</v>
      </c>
      <c r="IB38964" s="7" t="s">
        <v>16</v>
      </c>
      <c r="IC38964" s="7" t="n">
        <f t="normal" ca="1">32-LENB(INDIRECT(ADDRESS(38964,236)))</f>
        <v>0</v>
      </c>
      <c r="ID38964" s="7" t="n">
        <v>7</v>
      </c>
      <c r="IE38964" s="7" t="n">
        <v>65533</v>
      </c>
      <c r="IF38964" s="7" t="n">
        <v>64742</v>
      </c>
      <c r="IG38964" s="7" t="s">
        <v>16</v>
      </c>
      <c r="IH38964" s="7" t="n">
        <f t="normal" ca="1">32-LENB(INDIRECT(ADDRESS(38964,241)))</f>
        <v>0</v>
      </c>
      <c r="II38964" s="7" t="n">
        <v>7</v>
      </c>
      <c r="IJ38964" s="7" t="n">
        <v>65533</v>
      </c>
      <c r="IK38964" s="7" t="n">
        <v>64743</v>
      </c>
      <c r="IL38964" s="7" t="s">
        <v>16</v>
      </c>
      <c r="IM38964" s="7" t="n">
        <f t="normal" ca="1">32-LENB(INDIRECT(ADDRESS(38964,246)))</f>
        <v>0</v>
      </c>
      <c r="IN38964" s="7" t="n">
        <v>7</v>
      </c>
      <c r="IO38964" s="7" t="n">
        <v>65533</v>
      </c>
      <c r="IP38964" s="7" t="n">
        <v>64744</v>
      </c>
      <c r="IQ38964" s="7" t="s">
        <v>16</v>
      </c>
      <c r="IR38964" s="7" t="n">
        <f t="normal" ca="1">32-LENB(INDIRECT(ADDRESS(38964,251)))</f>
        <v>0</v>
      </c>
      <c r="IS38964" s="7" t="n">
        <v>7</v>
      </c>
      <c r="IT38964" s="7" t="n">
        <v>65533</v>
      </c>
      <c r="IU38964" s="7" t="n">
        <v>64745</v>
      </c>
      <c r="IV38964" s="7" t="s">
        <v>16</v>
      </c>
      <c r="IW38964" s="7" t="n">
        <f t="normal" ca="1">32-LENB(INDIRECT(ADDRESS(38964,256)))</f>
        <v>0</v>
      </c>
      <c r="IX38964" s="7" t="n">
        <v>7</v>
      </c>
      <c r="IY38964" s="7" t="n">
        <v>65533</v>
      </c>
      <c r="IZ38964" s="7" t="n">
        <v>64746</v>
      </c>
      <c r="JA38964" s="7" t="s">
        <v>16</v>
      </c>
      <c r="JB38964" s="7" t="n">
        <f t="normal" ca="1">32-LENB(INDIRECT(ADDRESS(38964,261)))</f>
        <v>0</v>
      </c>
      <c r="JC38964" s="7" t="n">
        <v>7</v>
      </c>
      <c r="JD38964" s="7" t="n">
        <v>65533</v>
      </c>
      <c r="JE38964" s="7" t="n">
        <v>64747</v>
      </c>
      <c r="JF38964" s="7" t="s">
        <v>16</v>
      </c>
      <c r="JG38964" s="7" t="n">
        <f t="normal" ca="1">32-LENB(INDIRECT(ADDRESS(38964,266)))</f>
        <v>0</v>
      </c>
      <c r="JH38964" s="7" t="n">
        <v>7</v>
      </c>
      <c r="JI38964" s="7" t="n">
        <v>65533</v>
      </c>
      <c r="JJ38964" s="7" t="n">
        <v>64712</v>
      </c>
      <c r="JK38964" s="7" t="s">
        <v>16</v>
      </c>
      <c r="JL38964" s="7" t="n">
        <f t="normal" ca="1">32-LENB(INDIRECT(ADDRESS(38964,271)))</f>
        <v>0</v>
      </c>
      <c r="JM38964" s="7" t="n">
        <v>7</v>
      </c>
      <c r="JN38964" s="7" t="n">
        <v>65533</v>
      </c>
      <c r="JO38964" s="7" t="n">
        <v>64713</v>
      </c>
      <c r="JP38964" s="7" t="s">
        <v>16</v>
      </c>
      <c r="JQ38964" s="7" t="n">
        <f t="normal" ca="1">32-LENB(INDIRECT(ADDRESS(38964,276)))</f>
        <v>0</v>
      </c>
      <c r="JR38964" s="7" t="n">
        <v>0</v>
      </c>
      <c r="JS38964" s="7" t="n">
        <v>65533</v>
      </c>
      <c r="JT38964" s="7" t="n">
        <v>0</v>
      </c>
      <c r="JU38964" s="7" t="s">
        <v>16</v>
      </c>
      <c r="JV38964" s="7" t="n">
        <f t="normal" ca="1">32-LENB(INDIRECT(ADDRESS(38964,281)))</f>
        <v>0</v>
      </c>
    </row>
    <row r="38965" spans="1:332">
      <c r="A38965" t="s">
        <v>4</v>
      </c>
      <c r="B38965" s="4" t="s">
        <v>5</v>
      </c>
    </row>
    <row r="38966" spans="1:332">
      <c r="A38966" t="n">
        <v>466960</v>
      </c>
      <c r="B38966" s="5" t="n">
        <v>1</v>
      </c>
    </row>
    <row r="38967" spans="1:332" s="3" customFormat="1" customHeight="0">
      <c r="A38967" s="3" t="s">
        <v>2</v>
      </c>
      <c r="B38967" s="3" t="s">
        <v>1902</v>
      </c>
    </row>
    <row r="38968" spans="1:332">
      <c r="A38968" t="s">
        <v>4</v>
      </c>
      <c r="B38968" s="4" t="s">
        <v>5</v>
      </c>
      <c r="C38968" s="4" t="s">
        <v>11</v>
      </c>
      <c r="D38968" s="4" t="s">
        <v>11</v>
      </c>
      <c r="E38968" s="4" t="s">
        <v>15</v>
      </c>
      <c r="F38968" s="4" t="s">
        <v>8</v>
      </c>
      <c r="G38968" s="4" t="s">
        <v>1859</v>
      </c>
      <c r="H38968" s="4" t="s">
        <v>11</v>
      </c>
      <c r="I38968" s="4" t="s">
        <v>11</v>
      </c>
      <c r="J38968" s="4" t="s">
        <v>15</v>
      </c>
      <c r="K38968" s="4" t="s">
        <v>8</v>
      </c>
      <c r="L38968" s="4" t="s">
        <v>1859</v>
      </c>
      <c r="M38968" s="4" t="s">
        <v>11</v>
      </c>
      <c r="N38968" s="4" t="s">
        <v>11</v>
      </c>
      <c r="O38968" s="4" t="s">
        <v>15</v>
      </c>
      <c r="P38968" s="4" t="s">
        <v>8</v>
      </c>
      <c r="Q38968" s="4" t="s">
        <v>1859</v>
      </c>
      <c r="R38968" s="4" t="s">
        <v>11</v>
      </c>
      <c r="S38968" s="4" t="s">
        <v>11</v>
      </c>
      <c r="T38968" s="4" t="s">
        <v>15</v>
      </c>
      <c r="U38968" s="4" t="s">
        <v>8</v>
      </c>
      <c r="V38968" s="4" t="s">
        <v>1859</v>
      </c>
      <c r="W38968" s="4" t="s">
        <v>11</v>
      </c>
      <c r="X38968" s="4" t="s">
        <v>11</v>
      </c>
      <c r="Y38968" s="4" t="s">
        <v>15</v>
      </c>
      <c r="Z38968" s="4" t="s">
        <v>8</v>
      </c>
      <c r="AA38968" s="4" t="s">
        <v>1859</v>
      </c>
      <c r="AB38968" s="4" t="s">
        <v>11</v>
      </c>
      <c r="AC38968" s="4" t="s">
        <v>11</v>
      </c>
      <c r="AD38968" s="4" t="s">
        <v>15</v>
      </c>
      <c r="AE38968" s="4" t="s">
        <v>8</v>
      </c>
      <c r="AF38968" s="4" t="s">
        <v>1859</v>
      </c>
      <c r="AG38968" s="4" t="s">
        <v>11</v>
      </c>
      <c r="AH38968" s="4" t="s">
        <v>11</v>
      </c>
      <c r="AI38968" s="4" t="s">
        <v>15</v>
      </c>
      <c r="AJ38968" s="4" t="s">
        <v>8</v>
      </c>
      <c r="AK38968" s="4" t="s">
        <v>1859</v>
      </c>
      <c r="AL38968" s="4" t="s">
        <v>11</v>
      </c>
      <c r="AM38968" s="4" t="s">
        <v>11</v>
      </c>
      <c r="AN38968" s="4" t="s">
        <v>15</v>
      </c>
      <c r="AO38968" s="4" t="s">
        <v>8</v>
      </c>
      <c r="AP38968" s="4" t="s">
        <v>1859</v>
      </c>
      <c r="AQ38968" s="4" t="s">
        <v>11</v>
      </c>
      <c r="AR38968" s="4" t="s">
        <v>11</v>
      </c>
      <c r="AS38968" s="4" t="s">
        <v>15</v>
      </c>
      <c r="AT38968" s="4" t="s">
        <v>8</v>
      </c>
      <c r="AU38968" s="4" t="s">
        <v>1859</v>
      </c>
      <c r="AV38968" s="4" t="s">
        <v>11</v>
      </c>
      <c r="AW38968" s="4" t="s">
        <v>11</v>
      </c>
      <c r="AX38968" s="4" t="s">
        <v>15</v>
      </c>
      <c r="AY38968" s="4" t="s">
        <v>8</v>
      </c>
      <c r="AZ38968" s="4" t="s">
        <v>1859</v>
      </c>
      <c r="BA38968" s="4" t="s">
        <v>11</v>
      </c>
      <c r="BB38968" s="4" t="s">
        <v>11</v>
      </c>
      <c r="BC38968" s="4" t="s">
        <v>15</v>
      </c>
      <c r="BD38968" s="4" t="s">
        <v>8</v>
      </c>
      <c r="BE38968" s="4" t="s">
        <v>1859</v>
      </c>
      <c r="BF38968" s="4" t="s">
        <v>11</v>
      </c>
      <c r="BG38968" s="4" t="s">
        <v>11</v>
      </c>
      <c r="BH38968" s="4" t="s">
        <v>15</v>
      </c>
      <c r="BI38968" s="4" t="s">
        <v>8</v>
      </c>
      <c r="BJ38968" s="4" t="s">
        <v>1859</v>
      </c>
      <c r="BK38968" s="4" t="s">
        <v>11</v>
      </c>
      <c r="BL38968" s="4" t="s">
        <v>11</v>
      </c>
      <c r="BM38968" s="4" t="s">
        <v>15</v>
      </c>
      <c r="BN38968" s="4" t="s">
        <v>8</v>
      </c>
      <c r="BO38968" s="4" t="s">
        <v>1859</v>
      </c>
      <c r="BP38968" s="4" t="s">
        <v>11</v>
      </c>
      <c r="BQ38968" s="4" t="s">
        <v>11</v>
      </c>
      <c r="BR38968" s="4" t="s">
        <v>15</v>
      </c>
      <c r="BS38968" s="4" t="s">
        <v>8</v>
      </c>
      <c r="BT38968" s="4" t="s">
        <v>1859</v>
      </c>
      <c r="BU38968" s="4" t="s">
        <v>11</v>
      </c>
      <c r="BV38968" s="4" t="s">
        <v>11</v>
      </c>
      <c r="BW38968" s="4" t="s">
        <v>15</v>
      </c>
      <c r="BX38968" s="4" t="s">
        <v>8</v>
      </c>
      <c r="BY38968" s="4" t="s">
        <v>1859</v>
      </c>
      <c r="BZ38968" s="4" t="s">
        <v>11</v>
      </c>
      <c r="CA38968" s="4" t="s">
        <v>11</v>
      </c>
      <c r="CB38968" s="4" t="s">
        <v>15</v>
      </c>
      <c r="CC38968" s="4" t="s">
        <v>8</v>
      </c>
      <c r="CD38968" s="4" t="s">
        <v>1859</v>
      </c>
      <c r="CE38968" s="4" t="s">
        <v>11</v>
      </c>
      <c r="CF38968" s="4" t="s">
        <v>11</v>
      </c>
      <c r="CG38968" s="4" t="s">
        <v>15</v>
      </c>
      <c r="CH38968" s="4" t="s">
        <v>8</v>
      </c>
      <c r="CI38968" s="4" t="s">
        <v>1859</v>
      </c>
      <c r="CJ38968" s="4" t="s">
        <v>11</v>
      </c>
      <c r="CK38968" s="4" t="s">
        <v>11</v>
      </c>
      <c r="CL38968" s="4" t="s">
        <v>15</v>
      </c>
      <c r="CM38968" s="4" t="s">
        <v>8</v>
      </c>
      <c r="CN38968" s="4" t="s">
        <v>1859</v>
      </c>
      <c r="CO38968" s="4" t="s">
        <v>11</v>
      </c>
      <c r="CP38968" s="4" t="s">
        <v>11</v>
      </c>
      <c r="CQ38968" s="4" t="s">
        <v>15</v>
      </c>
      <c r="CR38968" s="4" t="s">
        <v>8</v>
      </c>
      <c r="CS38968" s="4" t="s">
        <v>1859</v>
      </c>
      <c r="CT38968" s="4" t="s">
        <v>11</v>
      </c>
      <c r="CU38968" s="4" t="s">
        <v>11</v>
      </c>
      <c r="CV38968" s="4" t="s">
        <v>15</v>
      </c>
      <c r="CW38968" s="4" t="s">
        <v>8</v>
      </c>
      <c r="CX38968" s="4" t="s">
        <v>1859</v>
      </c>
      <c r="CY38968" s="4" t="s">
        <v>11</v>
      </c>
      <c r="CZ38968" s="4" t="s">
        <v>11</v>
      </c>
      <c r="DA38968" s="4" t="s">
        <v>15</v>
      </c>
      <c r="DB38968" s="4" t="s">
        <v>8</v>
      </c>
      <c r="DC38968" s="4" t="s">
        <v>1859</v>
      </c>
      <c r="DD38968" s="4" t="s">
        <v>11</v>
      </c>
      <c r="DE38968" s="4" t="s">
        <v>11</v>
      </c>
      <c r="DF38968" s="4" t="s">
        <v>15</v>
      </c>
      <c r="DG38968" s="4" t="s">
        <v>8</v>
      </c>
      <c r="DH38968" s="4" t="s">
        <v>1859</v>
      </c>
      <c r="DI38968" s="4" t="s">
        <v>11</v>
      </c>
      <c r="DJ38968" s="4" t="s">
        <v>11</v>
      </c>
      <c r="DK38968" s="4" t="s">
        <v>15</v>
      </c>
      <c r="DL38968" s="4" t="s">
        <v>8</v>
      </c>
      <c r="DM38968" s="4" t="s">
        <v>1859</v>
      </c>
      <c r="DN38968" s="4" t="s">
        <v>11</v>
      </c>
      <c r="DO38968" s="4" t="s">
        <v>11</v>
      </c>
      <c r="DP38968" s="4" t="s">
        <v>15</v>
      </c>
      <c r="DQ38968" s="4" t="s">
        <v>8</v>
      </c>
      <c r="DR38968" s="4" t="s">
        <v>1859</v>
      </c>
      <c r="DS38968" s="4" t="s">
        <v>11</v>
      </c>
      <c r="DT38968" s="4" t="s">
        <v>11</v>
      </c>
      <c r="DU38968" s="4" t="s">
        <v>15</v>
      </c>
      <c r="DV38968" s="4" t="s">
        <v>8</v>
      </c>
      <c r="DW38968" s="4" t="s">
        <v>1859</v>
      </c>
      <c r="DX38968" s="4" t="s">
        <v>11</v>
      </c>
      <c r="DY38968" s="4" t="s">
        <v>11</v>
      </c>
      <c r="DZ38968" s="4" t="s">
        <v>15</v>
      </c>
      <c r="EA38968" s="4" t="s">
        <v>8</v>
      </c>
      <c r="EB38968" s="4" t="s">
        <v>1859</v>
      </c>
      <c r="EC38968" s="4" t="s">
        <v>11</v>
      </c>
      <c r="ED38968" s="4" t="s">
        <v>11</v>
      </c>
      <c r="EE38968" s="4" t="s">
        <v>15</v>
      </c>
      <c r="EF38968" s="4" t="s">
        <v>8</v>
      </c>
      <c r="EG38968" s="4" t="s">
        <v>1859</v>
      </c>
      <c r="EH38968" s="4" t="s">
        <v>11</v>
      </c>
      <c r="EI38968" s="4" t="s">
        <v>11</v>
      </c>
      <c r="EJ38968" s="4" t="s">
        <v>15</v>
      </c>
      <c r="EK38968" s="4" t="s">
        <v>8</v>
      </c>
      <c r="EL38968" s="4" t="s">
        <v>1859</v>
      </c>
      <c r="EM38968" s="4" t="s">
        <v>11</v>
      </c>
      <c r="EN38968" s="4" t="s">
        <v>11</v>
      </c>
      <c r="EO38968" s="4" t="s">
        <v>15</v>
      </c>
      <c r="EP38968" s="4" t="s">
        <v>8</v>
      </c>
      <c r="EQ38968" s="4" t="s">
        <v>1859</v>
      </c>
      <c r="ER38968" s="4" t="s">
        <v>11</v>
      </c>
      <c r="ES38968" s="4" t="s">
        <v>11</v>
      </c>
      <c r="ET38968" s="4" t="s">
        <v>15</v>
      </c>
      <c r="EU38968" s="4" t="s">
        <v>8</v>
      </c>
      <c r="EV38968" s="4" t="s">
        <v>1859</v>
      </c>
      <c r="EW38968" s="4" t="s">
        <v>11</v>
      </c>
      <c r="EX38968" s="4" t="s">
        <v>11</v>
      </c>
      <c r="EY38968" s="4" t="s">
        <v>15</v>
      </c>
      <c r="EZ38968" s="4" t="s">
        <v>8</v>
      </c>
      <c r="FA38968" s="4" t="s">
        <v>1859</v>
      </c>
      <c r="FB38968" s="4" t="s">
        <v>11</v>
      </c>
      <c r="FC38968" s="4" t="s">
        <v>11</v>
      </c>
      <c r="FD38968" s="4" t="s">
        <v>15</v>
      </c>
      <c r="FE38968" s="4" t="s">
        <v>8</v>
      </c>
      <c r="FF38968" s="4" t="s">
        <v>1859</v>
      </c>
      <c r="FG38968" s="4" t="s">
        <v>11</v>
      </c>
      <c r="FH38968" s="4" t="s">
        <v>11</v>
      </c>
      <c r="FI38968" s="4" t="s">
        <v>15</v>
      </c>
      <c r="FJ38968" s="4" t="s">
        <v>8</v>
      </c>
      <c r="FK38968" s="4" t="s">
        <v>1859</v>
      </c>
      <c r="FL38968" s="4" t="s">
        <v>11</v>
      </c>
      <c r="FM38968" s="4" t="s">
        <v>11</v>
      </c>
      <c r="FN38968" s="4" t="s">
        <v>15</v>
      </c>
      <c r="FO38968" s="4" t="s">
        <v>8</v>
      </c>
      <c r="FP38968" s="4" t="s">
        <v>1859</v>
      </c>
      <c r="FQ38968" s="4" t="s">
        <v>11</v>
      </c>
      <c r="FR38968" s="4" t="s">
        <v>11</v>
      </c>
      <c r="FS38968" s="4" t="s">
        <v>15</v>
      </c>
      <c r="FT38968" s="4" t="s">
        <v>8</v>
      </c>
      <c r="FU38968" s="4" t="s">
        <v>1859</v>
      </c>
      <c r="FV38968" s="4" t="s">
        <v>11</v>
      </c>
      <c r="FW38968" s="4" t="s">
        <v>11</v>
      </c>
      <c r="FX38968" s="4" t="s">
        <v>15</v>
      </c>
      <c r="FY38968" s="4" t="s">
        <v>8</v>
      </c>
      <c r="FZ38968" s="4" t="s">
        <v>1859</v>
      </c>
      <c r="GA38968" s="4" t="s">
        <v>11</v>
      </c>
      <c r="GB38968" s="4" t="s">
        <v>11</v>
      </c>
      <c r="GC38968" s="4" t="s">
        <v>15</v>
      </c>
      <c r="GD38968" s="4" t="s">
        <v>8</v>
      </c>
      <c r="GE38968" s="4" t="s">
        <v>1859</v>
      </c>
      <c r="GF38968" s="4" t="s">
        <v>11</v>
      </c>
      <c r="GG38968" s="4" t="s">
        <v>11</v>
      </c>
      <c r="GH38968" s="4" t="s">
        <v>15</v>
      </c>
      <c r="GI38968" s="4" t="s">
        <v>8</v>
      </c>
      <c r="GJ38968" s="4" t="s">
        <v>1859</v>
      </c>
      <c r="GK38968" s="4" t="s">
        <v>11</v>
      </c>
      <c r="GL38968" s="4" t="s">
        <v>11</v>
      </c>
      <c r="GM38968" s="4" t="s">
        <v>15</v>
      </c>
      <c r="GN38968" s="4" t="s">
        <v>8</v>
      </c>
      <c r="GO38968" s="4" t="s">
        <v>1859</v>
      </c>
      <c r="GP38968" s="4" t="s">
        <v>11</v>
      </c>
      <c r="GQ38968" s="4" t="s">
        <v>11</v>
      </c>
      <c r="GR38968" s="4" t="s">
        <v>15</v>
      </c>
      <c r="GS38968" s="4" t="s">
        <v>8</v>
      </c>
      <c r="GT38968" s="4" t="s">
        <v>1859</v>
      </c>
      <c r="GU38968" s="4" t="s">
        <v>11</v>
      </c>
      <c r="GV38968" s="4" t="s">
        <v>11</v>
      </c>
      <c r="GW38968" s="4" t="s">
        <v>15</v>
      </c>
      <c r="GX38968" s="4" t="s">
        <v>8</v>
      </c>
      <c r="GY38968" s="4" t="s">
        <v>1859</v>
      </c>
      <c r="GZ38968" s="4" t="s">
        <v>11</v>
      </c>
      <c r="HA38968" s="4" t="s">
        <v>11</v>
      </c>
      <c r="HB38968" s="4" t="s">
        <v>15</v>
      </c>
      <c r="HC38968" s="4" t="s">
        <v>8</v>
      </c>
      <c r="HD38968" s="4" t="s">
        <v>1859</v>
      </c>
      <c r="HE38968" s="4" t="s">
        <v>11</v>
      </c>
      <c r="HF38968" s="4" t="s">
        <v>11</v>
      </c>
      <c r="HG38968" s="4" t="s">
        <v>15</v>
      </c>
      <c r="HH38968" s="4" t="s">
        <v>8</v>
      </c>
      <c r="HI38968" s="4" t="s">
        <v>1859</v>
      </c>
      <c r="HJ38968" s="4" t="s">
        <v>11</v>
      </c>
      <c r="HK38968" s="4" t="s">
        <v>11</v>
      </c>
      <c r="HL38968" s="4" t="s">
        <v>15</v>
      </c>
      <c r="HM38968" s="4" t="s">
        <v>8</v>
      </c>
      <c r="HN38968" s="4" t="s">
        <v>1859</v>
      </c>
      <c r="HO38968" s="4" t="s">
        <v>11</v>
      </c>
      <c r="HP38968" s="4" t="s">
        <v>11</v>
      </c>
      <c r="HQ38968" s="4" t="s">
        <v>15</v>
      </c>
      <c r="HR38968" s="4" t="s">
        <v>8</v>
      </c>
      <c r="HS38968" s="4" t="s">
        <v>1859</v>
      </c>
      <c r="HT38968" s="4" t="s">
        <v>11</v>
      </c>
      <c r="HU38968" s="4" t="s">
        <v>11</v>
      </c>
      <c r="HV38968" s="4" t="s">
        <v>15</v>
      </c>
      <c r="HW38968" s="4" t="s">
        <v>8</v>
      </c>
      <c r="HX38968" s="4" t="s">
        <v>1859</v>
      </c>
      <c r="HY38968" s="4" t="s">
        <v>11</v>
      </c>
      <c r="HZ38968" s="4" t="s">
        <v>11</v>
      </c>
      <c r="IA38968" s="4" t="s">
        <v>15</v>
      </c>
      <c r="IB38968" s="4" t="s">
        <v>8</v>
      </c>
      <c r="IC38968" s="4" t="s">
        <v>1859</v>
      </c>
      <c r="ID38968" s="4" t="s">
        <v>11</v>
      </c>
      <c r="IE38968" s="4" t="s">
        <v>11</v>
      </c>
      <c r="IF38968" s="4" t="s">
        <v>15</v>
      </c>
      <c r="IG38968" s="4" t="s">
        <v>8</v>
      </c>
      <c r="IH38968" s="4" t="s">
        <v>1859</v>
      </c>
      <c r="II38968" s="4" t="s">
        <v>11</v>
      </c>
      <c r="IJ38968" s="4" t="s">
        <v>11</v>
      </c>
      <c r="IK38968" s="4" t="s">
        <v>15</v>
      </c>
      <c r="IL38968" s="4" t="s">
        <v>8</v>
      </c>
      <c r="IM38968" s="4" t="s">
        <v>1859</v>
      </c>
      <c r="IN38968" s="4" t="s">
        <v>11</v>
      </c>
      <c r="IO38968" s="4" t="s">
        <v>11</v>
      </c>
      <c r="IP38968" s="4" t="s">
        <v>15</v>
      </c>
      <c r="IQ38968" s="4" t="s">
        <v>8</v>
      </c>
      <c r="IR38968" s="4" t="s">
        <v>1859</v>
      </c>
      <c r="IS38968" s="4" t="s">
        <v>11</v>
      </c>
      <c r="IT38968" s="4" t="s">
        <v>11</v>
      </c>
      <c r="IU38968" s="4" t="s">
        <v>15</v>
      </c>
      <c r="IV38968" s="4" t="s">
        <v>8</v>
      </c>
      <c r="IW38968" s="4" t="s">
        <v>1859</v>
      </c>
      <c r="IX38968" s="4" t="s">
        <v>11</v>
      </c>
      <c r="IY38968" s="4" t="s">
        <v>11</v>
      </c>
      <c r="IZ38968" s="4" t="s">
        <v>15</v>
      </c>
      <c r="JA38968" s="4" t="s">
        <v>8</v>
      </c>
      <c r="JB38968" s="4" t="s">
        <v>1859</v>
      </c>
      <c r="JC38968" s="4" t="s">
        <v>11</v>
      </c>
      <c r="JD38968" s="4" t="s">
        <v>11</v>
      </c>
      <c r="JE38968" s="4" t="s">
        <v>15</v>
      </c>
      <c r="JF38968" s="4" t="s">
        <v>8</v>
      </c>
      <c r="JG38968" s="4" t="s">
        <v>1859</v>
      </c>
      <c r="JH38968" s="4" t="s">
        <v>11</v>
      </c>
      <c r="JI38968" s="4" t="s">
        <v>11</v>
      </c>
      <c r="JJ38968" s="4" t="s">
        <v>15</v>
      </c>
      <c r="JK38968" s="4" t="s">
        <v>8</v>
      </c>
      <c r="JL38968" s="4" t="s">
        <v>1859</v>
      </c>
      <c r="JM38968" s="4" t="s">
        <v>11</v>
      </c>
      <c r="JN38968" s="4" t="s">
        <v>11</v>
      </c>
      <c r="JO38968" s="4" t="s">
        <v>15</v>
      </c>
      <c r="JP38968" s="4" t="s">
        <v>8</v>
      </c>
      <c r="JQ38968" s="4" t="s">
        <v>1859</v>
      </c>
      <c r="JR38968" s="4" t="s">
        <v>11</v>
      </c>
      <c r="JS38968" s="4" t="s">
        <v>11</v>
      </c>
      <c r="JT38968" s="4" t="s">
        <v>15</v>
      </c>
      <c r="JU38968" s="4" t="s">
        <v>8</v>
      </c>
      <c r="JV38968" s="4" t="s">
        <v>1859</v>
      </c>
      <c r="JW38968" s="4" t="s">
        <v>11</v>
      </c>
      <c r="JX38968" s="4" t="s">
        <v>11</v>
      </c>
      <c r="JY38968" s="4" t="s">
        <v>15</v>
      </c>
      <c r="JZ38968" s="4" t="s">
        <v>8</v>
      </c>
      <c r="KA38968" s="4" t="s">
        <v>1859</v>
      </c>
      <c r="KB38968" s="4" t="s">
        <v>11</v>
      </c>
      <c r="KC38968" s="4" t="s">
        <v>11</v>
      </c>
      <c r="KD38968" s="4" t="s">
        <v>15</v>
      </c>
      <c r="KE38968" s="4" t="s">
        <v>8</v>
      </c>
      <c r="KF38968" s="4" t="s">
        <v>1859</v>
      </c>
      <c r="KG38968" s="4" t="s">
        <v>11</v>
      </c>
      <c r="KH38968" s="4" t="s">
        <v>11</v>
      </c>
      <c r="KI38968" s="4" t="s">
        <v>15</v>
      </c>
      <c r="KJ38968" s="4" t="s">
        <v>8</v>
      </c>
      <c r="KK38968" s="4" t="s">
        <v>1859</v>
      </c>
      <c r="KL38968" s="4" t="s">
        <v>11</v>
      </c>
      <c r="KM38968" s="4" t="s">
        <v>11</v>
      </c>
      <c r="KN38968" s="4" t="s">
        <v>15</v>
      </c>
      <c r="KO38968" s="4" t="s">
        <v>8</v>
      </c>
      <c r="KP38968" s="4" t="s">
        <v>1859</v>
      </c>
      <c r="KQ38968" s="4" t="s">
        <v>11</v>
      </c>
      <c r="KR38968" s="4" t="s">
        <v>11</v>
      </c>
      <c r="KS38968" s="4" t="s">
        <v>15</v>
      </c>
      <c r="KT38968" s="4" t="s">
        <v>8</v>
      </c>
      <c r="KU38968" s="4" t="s">
        <v>1859</v>
      </c>
      <c r="KV38968" s="4" t="s">
        <v>11</v>
      </c>
      <c r="KW38968" s="4" t="s">
        <v>11</v>
      </c>
      <c r="KX38968" s="4" t="s">
        <v>15</v>
      </c>
      <c r="KY38968" s="4" t="s">
        <v>8</v>
      </c>
      <c r="KZ38968" s="4" t="s">
        <v>1859</v>
      </c>
      <c r="LA38968" s="4" t="s">
        <v>11</v>
      </c>
      <c r="LB38968" s="4" t="s">
        <v>11</v>
      </c>
      <c r="LC38968" s="4" t="s">
        <v>15</v>
      </c>
      <c r="LD38968" s="4" t="s">
        <v>8</v>
      </c>
      <c r="LE38968" s="4" t="s">
        <v>1859</v>
      </c>
      <c r="LF38968" s="4" t="s">
        <v>11</v>
      </c>
      <c r="LG38968" s="4" t="s">
        <v>11</v>
      </c>
      <c r="LH38968" s="4" t="s">
        <v>15</v>
      </c>
      <c r="LI38968" s="4" t="s">
        <v>8</v>
      </c>
      <c r="LJ38968" s="4" t="s">
        <v>1859</v>
      </c>
      <c r="LK38968" s="4" t="s">
        <v>11</v>
      </c>
      <c r="LL38968" s="4" t="s">
        <v>11</v>
      </c>
      <c r="LM38968" s="4" t="s">
        <v>15</v>
      </c>
      <c r="LN38968" s="4" t="s">
        <v>8</v>
      </c>
      <c r="LO38968" s="4" t="s">
        <v>1859</v>
      </c>
      <c r="LP38968" s="4" t="s">
        <v>11</v>
      </c>
      <c r="LQ38968" s="4" t="s">
        <v>11</v>
      </c>
      <c r="LR38968" s="4" t="s">
        <v>15</v>
      </c>
      <c r="LS38968" s="4" t="s">
        <v>8</v>
      </c>
      <c r="LT38968" s="4" t="s">
        <v>1859</v>
      </c>
      <c r="LU38968" s="4" t="s">
        <v>11</v>
      </c>
      <c r="LV38968" s="4" t="s">
        <v>11</v>
      </c>
      <c r="LW38968" s="4" t="s">
        <v>15</v>
      </c>
      <c r="LX38968" s="4" t="s">
        <v>8</v>
      </c>
      <c r="LY38968" s="4" t="s">
        <v>1859</v>
      </c>
      <c r="LZ38968" s="4" t="s">
        <v>11</v>
      </c>
      <c r="MA38968" s="4" t="s">
        <v>11</v>
      </c>
      <c r="MB38968" s="4" t="s">
        <v>15</v>
      </c>
      <c r="MC38968" s="4" t="s">
        <v>8</v>
      </c>
      <c r="MD38968" s="4" t="s">
        <v>1859</v>
      </c>
      <c r="ME38968" s="4" t="s">
        <v>11</v>
      </c>
      <c r="MF38968" s="4" t="s">
        <v>11</v>
      </c>
      <c r="MG38968" s="4" t="s">
        <v>15</v>
      </c>
      <c r="MH38968" s="4" t="s">
        <v>8</v>
      </c>
      <c r="MI38968" s="4" t="s">
        <v>1859</v>
      </c>
      <c r="MJ38968" s="4" t="s">
        <v>11</v>
      </c>
      <c r="MK38968" s="4" t="s">
        <v>11</v>
      </c>
      <c r="ML38968" s="4" t="s">
        <v>15</v>
      </c>
      <c r="MM38968" s="4" t="s">
        <v>8</v>
      </c>
      <c r="MN38968" s="4" t="s">
        <v>1859</v>
      </c>
      <c r="MO38968" s="4" t="s">
        <v>11</v>
      </c>
      <c r="MP38968" s="4" t="s">
        <v>11</v>
      </c>
      <c r="MQ38968" s="4" t="s">
        <v>15</v>
      </c>
      <c r="MR38968" s="4" t="s">
        <v>8</v>
      </c>
      <c r="MS38968" s="4" t="s">
        <v>1859</v>
      </c>
      <c r="MT38968" s="4" t="s">
        <v>11</v>
      </c>
      <c r="MU38968" s="4" t="s">
        <v>11</v>
      </c>
      <c r="MV38968" s="4" t="s">
        <v>15</v>
      </c>
      <c r="MW38968" s="4" t="s">
        <v>8</v>
      </c>
      <c r="MX38968" s="4" t="s">
        <v>1859</v>
      </c>
      <c r="MY38968" s="4" t="s">
        <v>11</v>
      </c>
      <c r="MZ38968" s="4" t="s">
        <v>11</v>
      </c>
      <c r="NA38968" s="4" t="s">
        <v>15</v>
      </c>
      <c r="NB38968" s="4" t="s">
        <v>8</v>
      </c>
      <c r="NC38968" s="4" t="s">
        <v>1859</v>
      </c>
    </row>
    <row r="38969" spans="1:332">
      <c r="A38969" t="n">
        <v>466976</v>
      </c>
      <c r="B38969" s="85" t="n">
        <v>257</v>
      </c>
      <c r="C38969" s="7" t="n">
        <v>7</v>
      </c>
      <c r="D38969" s="7" t="n">
        <v>65533</v>
      </c>
      <c r="E38969" s="7" t="n">
        <v>63983</v>
      </c>
      <c r="F38969" s="7" t="s">
        <v>16</v>
      </c>
      <c r="G38969" s="7" t="n">
        <f t="normal" ca="1">32-LENB(INDIRECT(ADDRESS(38969,6)))</f>
        <v>0</v>
      </c>
      <c r="H38969" s="7" t="n">
        <v>7</v>
      </c>
      <c r="I38969" s="7" t="n">
        <v>65533</v>
      </c>
      <c r="J38969" s="7" t="n">
        <v>63984</v>
      </c>
      <c r="K38969" s="7" t="s">
        <v>16</v>
      </c>
      <c r="L38969" s="7" t="n">
        <f t="normal" ca="1">32-LENB(INDIRECT(ADDRESS(38969,11)))</f>
        <v>0</v>
      </c>
      <c r="M38969" s="7" t="n">
        <v>7</v>
      </c>
      <c r="N38969" s="7" t="n">
        <v>65533</v>
      </c>
      <c r="O38969" s="7" t="n">
        <v>63985</v>
      </c>
      <c r="P38969" s="7" t="s">
        <v>16</v>
      </c>
      <c r="Q38969" s="7" t="n">
        <f t="normal" ca="1">32-LENB(INDIRECT(ADDRESS(38969,16)))</f>
        <v>0</v>
      </c>
      <c r="R38969" s="7" t="n">
        <v>7</v>
      </c>
      <c r="S38969" s="7" t="n">
        <v>65533</v>
      </c>
      <c r="T38969" s="7" t="n">
        <v>63986</v>
      </c>
      <c r="U38969" s="7" t="s">
        <v>16</v>
      </c>
      <c r="V38969" s="7" t="n">
        <f t="normal" ca="1">32-LENB(INDIRECT(ADDRESS(38969,21)))</f>
        <v>0</v>
      </c>
      <c r="W38969" s="7" t="n">
        <v>7</v>
      </c>
      <c r="X38969" s="7" t="n">
        <v>65533</v>
      </c>
      <c r="Y38969" s="7" t="n">
        <v>63987</v>
      </c>
      <c r="Z38969" s="7" t="s">
        <v>16</v>
      </c>
      <c r="AA38969" s="7" t="n">
        <f t="normal" ca="1">32-LENB(INDIRECT(ADDRESS(38969,26)))</f>
        <v>0</v>
      </c>
      <c r="AB38969" s="7" t="n">
        <v>7</v>
      </c>
      <c r="AC38969" s="7" t="n">
        <v>65533</v>
      </c>
      <c r="AD38969" s="7" t="n">
        <v>63988</v>
      </c>
      <c r="AE38969" s="7" t="s">
        <v>16</v>
      </c>
      <c r="AF38969" s="7" t="n">
        <f t="normal" ca="1">32-LENB(INDIRECT(ADDRESS(38969,31)))</f>
        <v>0</v>
      </c>
      <c r="AG38969" s="7" t="n">
        <v>7</v>
      </c>
      <c r="AH38969" s="7" t="n">
        <v>65533</v>
      </c>
      <c r="AI38969" s="7" t="n">
        <v>63989</v>
      </c>
      <c r="AJ38969" s="7" t="s">
        <v>16</v>
      </c>
      <c r="AK38969" s="7" t="n">
        <f t="normal" ca="1">32-LENB(INDIRECT(ADDRESS(38969,36)))</f>
        <v>0</v>
      </c>
      <c r="AL38969" s="7" t="n">
        <v>7</v>
      </c>
      <c r="AM38969" s="7" t="n">
        <v>65533</v>
      </c>
      <c r="AN38969" s="7" t="n">
        <v>63990</v>
      </c>
      <c r="AO38969" s="7" t="s">
        <v>16</v>
      </c>
      <c r="AP38969" s="7" t="n">
        <f t="normal" ca="1">32-LENB(INDIRECT(ADDRESS(38969,41)))</f>
        <v>0</v>
      </c>
      <c r="AQ38969" s="7" t="n">
        <v>7</v>
      </c>
      <c r="AR38969" s="7" t="n">
        <v>65533</v>
      </c>
      <c r="AS38969" s="7" t="n">
        <v>63991</v>
      </c>
      <c r="AT38969" s="7" t="s">
        <v>16</v>
      </c>
      <c r="AU38969" s="7" t="n">
        <f t="normal" ca="1">32-LENB(INDIRECT(ADDRESS(38969,46)))</f>
        <v>0</v>
      </c>
      <c r="AV38969" s="7" t="n">
        <v>7</v>
      </c>
      <c r="AW38969" s="7" t="n">
        <v>65533</v>
      </c>
      <c r="AX38969" s="7" t="n">
        <v>63992</v>
      </c>
      <c r="AY38969" s="7" t="s">
        <v>16</v>
      </c>
      <c r="AZ38969" s="7" t="n">
        <f t="normal" ca="1">32-LENB(INDIRECT(ADDRESS(38969,51)))</f>
        <v>0</v>
      </c>
      <c r="BA38969" s="7" t="n">
        <v>7</v>
      </c>
      <c r="BB38969" s="7" t="n">
        <v>65533</v>
      </c>
      <c r="BC38969" s="7" t="n">
        <v>63993</v>
      </c>
      <c r="BD38969" s="7" t="s">
        <v>16</v>
      </c>
      <c r="BE38969" s="7" t="n">
        <f t="normal" ca="1">32-LENB(INDIRECT(ADDRESS(38969,56)))</f>
        <v>0</v>
      </c>
      <c r="BF38969" s="7" t="n">
        <v>7</v>
      </c>
      <c r="BG38969" s="7" t="n">
        <v>65533</v>
      </c>
      <c r="BH38969" s="7" t="n">
        <v>63994</v>
      </c>
      <c r="BI38969" s="7" t="s">
        <v>16</v>
      </c>
      <c r="BJ38969" s="7" t="n">
        <f t="normal" ca="1">32-LENB(INDIRECT(ADDRESS(38969,61)))</f>
        <v>0</v>
      </c>
      <c r="BK38969" s="7" t="n">
        <v>7</v>
      </c>
      <c r="BL38969" s="7" t="n">
        <v>65533</v>
      </c>
      <c r="BM38969" s="7" t="n">
        <v>63995</v>
      </c>
      <c r="BN38969" s="7" t="s">
        <v>16</v>
      </c>
      <c r="BO38969" s="7" t="n">
        <f t="normal" ca="1">32-LENB(INDIRECT(ADDRESS(38969,66)))</f>
        <v>0</v>
      </c>
      <c r="BP38969" s="7" t="n">
        <v>7</v>
      </c>
      <c r="BQ38969" s="7" t="n">
        <v>65533</v>
      </c>
      <c r="BR38969" s="7" t="n">
        <v>63996</v>
      </c>
      <c r="BS38969" s="7" t="s">
        <v>16</v>
      </c>
      <c r="BT38969" s="7" t="n">
        <f t="normal" ca="1">32-LENB(INDIRECT(ADDRESS(38969,71)))</f>
        <v>0</v>
      </c>
      <c r="BU38969" s="7" t="n">
        <v>7</v>
      </c>
      <c r="BV38969" s="7" t="n">
        <v>65533</v>
      </c>
      <c r="BW38969" s="7" t="n">
        <v>63997</v>
      </c>
      <c r="BX38969" s="7" t="s">
        <v>16</v>
      </c>
      <c r="BY38969" s="7" t="n">
        <f t="normal" ca="1">32-LENB(INDIRECT(ADDRESS(38969,76)))</f>
        <v>0</v>
      </c>
      <c r="BZ38969" s="7" t="n">
        <v>7</v>
      </c>
      <c r="CA38969" s="7" t="n">
        <v>65533</v>
      </c>
      <c r="CB38969" s="7" t="n">
        <v>63998</v>
      </c>
      <c r="CC38969" s="7" t="s">
        <v>16</v>
      </c>
      <c r="CD38969" s="7" t="n">
        <f t="normal" ca="1">32-LENB(INDIRECT(ADDRESS(38969,81)))</f>
        <v>0</v>
      </c>
      <c r="CE38969" s="7" t="n">
        <v>7</v>
      </c>
      <c r="CF38969" s="7" t="n">
        <v>65533</v>
      </c>
      <c r="CG38969" s="7" t="n">
        <v>63999</v>
      </c>
      <c r="CH38969" s="7" t="s">
        <v>16</v>
      </c>
      <c r="CI38969" s="7" t="n">
        <f t="normal" ca="1">32-LENB(INDIRECT(ADDRESS(38969,86)))</f>
        <v>0</v>
      </c>
      <c r="CJ38969" s="7" t="n">
        <v>7</v>
      </c>
      <c r="CK38969" s="7" t="n">
        <v>65533</v>
      </c>
      <c r="CL38969" s="7" t="n">
        <v>64000</v>
      </c>
      <c r="CM38969" s="7" t="s">
        <v>16</v>
      </c>
      <c r="CN38969" s="7" t="n">
        <f t="normal" ca="1">32-LENB(INDIRECT(ADDRESS(38969,91)))</f>
        <v>0</v>
      </c>
      <c r="CO38969" s="7" t="n">
        <v>7</v>
      </c>
      <c r="CP38969" s="7" t="n">
        <v>65533</v>
      </c>
      <c r="CQ38969" s="7" t="n">
        <v>64001</v>
      </c>
      <c r="CR38969" s="7" t="s">
        <v>16</v>
      </c>
      <c r="CS38969" s="7" t="n">
        <f t="normal" ca="1">32-LENB(INDIRECT(ADDRESS(38969,96)))</f>
        <v>0</v>
      </c>
      <c r="CT38969" s="7" t="n">
        <v>7</v>
      </c>
      <c r="CU38969" s="7" t="n">
        <v>65533</v>
      </c>
      <c r="CV38969" s="7" t="n">
        <v>64002</v>
      </c>
      <c r="CW38969" s="7" t="s">
        <v>16</v>
      </c>
      <c r="CX38969" s="7" t="n">
        <f t="normal" ca="1">32-LENB(INDIRECT(ADDRESS(38969,101)))</f>
        <v>0</v>
      </c>
      <c r="CY38969" s="7" t="n">
        <v>7</v>
      </c>
      <c r="CZ38969" s="7" t="n">
        <v>65533</v>
      </c>
      <c r="DA38969" s="7" t="n">
        <v>64003</v>
      </c>
      <c r="DB38969" s="7" t="s">
        <v>16</v>
      </c>
      <c r="DC38969" s="7" t="n">
        <f t="normal" ca="1">32-LENB(INDIRECT(ADDRESS(38969,106)))</f>
        <v>0</v>
      </c>
      <c r="DD38969" s="7" t="n">
        <v>7</v>
      </c>
      <c r="DE38969" s="7" t="n">
        <v>65533</v>
      </c>
      <c r="DF38969" s="7" t="n">
        <v>64004</v>
      </c>
      <c r="DG38969" s="7" t="s">
        <v>16</v>
      </c>
      <c r="DH38969" s="7" t="n">
        <f t="normal" ca="1">32-LENB(INDIRECT(ADDRESS(38969,111)))</f>
        <v>0</v>
      </c>
      <c r="DI38969" s="7" t="n">
        <v>7</v>
      </c>
      <c r="DJ38969" s="7" t="n">
        <v>65533</v>
      </c>
      <c r="DK38969" s="7" t="n">
        <v>64005</v>
      </c>
      <c r="DL38969" s="7" t="s">
        <v>16</v>
      </c>
      <c r="DM38969" s="7" t="n">
        <f t="normal" ca="1">32-LENB(INDIRECT(ADDRESS(38969,116)))</f>
        <v>0</v>
      </c>
      <c r="DN38969" s="7" t="n">
        <v>7</v>
      </c>
      <c r="DO38969" s="7" t="n">
        <v>65533</v>
      </c>
      <c r="DP38969" s="7" t="n">
        <v>10800</v>
      </c>
      <c r="DQ38969" s="7" t="s">
        <v>16</v>
      </c>
      <c r="DR38969" s="7" t="n">
        <f t="normal" ca="1">32-LENB(INDIRECT(ADDRESS(38969,121)))</f>
        <v>0</v>
      </c>
      <c r="DS38969" s="7" t="n">
        <v>7</v>
      </c>
      <c r="DT38969" s="7" t="n">
        <v>65533</v>
      </c>
      <c r="DU38969" s="7" t="n">
        <v>10801</v>
      </c>
      <c r="DV38969" s="7" t="s">
        <v>16</v>
      </c>
      <c r="DW38969" s="7" t="n">
        <f t="normal" ca="1">32-LENB(INDIRECT(ADDRESS(38969,126)))</f>
        <v>0</v>
      </c>
      <c r="DX38969" s="7" t="n">
        <v>7</v>
      </c>
      <c r="DY38969" s="7" t="n">
        <v>65533</v>
      </c>
      <c r="DZ38969" s="7" t="n">
        <v>64006</v>
      </c>
      <c r="EA38969" s="7" t="s">
        <v>16</v>
      </c>
      <c r="EB38969" s="7" t="n">
        <f t="normal" ca="1">32-LENB(INDIRECT(ADDRESS(38969,131)))</f>
        <v>0</v>
      </c>
      <c r="EC38969" s="7" t="n">
        <v>7</v>
      </c>
      <c r="ED38969" s="7" t="n">
        <v>65533</v>
      </c>
      <c r="EE38969" s="7" t="n">
        <v>64007</v>
      </c>
      <c r="EF38969" s="7" t="s">
        <v>16</v>
      </c>
      <c r="EG38969" s="7" t="n">
        <f t="normal" ca="1">32-LENB(INDIRECT(ADDRESS(38969,136)))</f>
        <v>0</v>
      </c>
      <c r="EH38969" s="7" t="n">
        <v>7</v>
      </c>
      <c r="EI38969" s="7" t="n">
        <v>65533</v>
      </c>
      <c r="EJ38969" s="7" t="n">
        <v>10802</v>
      </c>
      <c r="EK38969" s="7" t="s">
        <v>16</v>
      </c>
      <c r="EL38969" s="7" t="n">
        <f t="normal" ca="1">32-LENB(INDIRECT(ADDRESS(38969,141)))</f>
        <v>0</v>
      </c>
      <c r="EM38969" s="7" t="n">
        <v>7</v>
      </c>
      <c r="EN38969" s="7" t="n">
        <v>65533</v>
      </c>
      <c r="EO38969" s="7" t="n">
        <v>10803</v>
      </c>
      <c r="EP38969" s="7" t="s">
        <v>16</v>
      </c>
      <c r="EQ38969" s="7" t="n">
        <f t="normal" ca="1">32-LENB(INDIRECT(ADDRESS(38969,146)))</f>
        <v>0</v>
      </c>
      <c r="ER38969" s="7" t="n">
        <v>7</v>
      </c>
      <c r="ES38969" s="7" t="n">
        <v>65533</v>
      </c>
      <c r="ET38969" s="7" t="n">
        <v>10804</v>
      </c>
      <c r="EU38969" s="7" t="s">
        <v>16</v>
      </c>
      <c r="EV38969" s="7" t="n">
        <f t="normal" ca="1">32-LENB(INDIRECT(ADDRESS(38969,151)))</f>
        <v>0</v>
      </c>
      <c r="EW38969" s="7" t="n">
        <v>7</v>
      </c>
      <c r="EX38969" s="7" t="n">
        <v>65533</v>
      </c>
      <c r="EY38969" s="7" t="n">
        <v>10805</v>
      </c>
      <c r="EZ38969" s="7" t="s">
        <v>16</v>
      </c>
      <c r="FA38969" s="7" t="n">
        <f t="normal" ca="1">32-LENB(INDIRECT(ADDRESS(38969,156)))</f>
        <v>0</v>
      </c>
      <c r="FB38969" s="7" t="n">
        <v>7</v>
      </c>
      <c r="FC38969" s="7" t="n">
        <v>65533</v>
      </c>
      <c r="FD38969" s="7" t="n">
        <v>64008</v>
      </c>
      <c r="FE38969" s="7" t="s">
        <v>16</v>
      </c>
      <c r="FF38969" s="7" t="n">
        <f t="normal" ca="1">32-LENB(INDIRECT(ADDRESS(38969,161)))</f>
        <v>0</v>
      </c>
      <c r="FG38969" s="7" t="n">
        <v>7</v>
      </c>
      <c r="FH38969" s="7" t="n">
        <v>65533</v>
      </c>
      <c r="FI38969" s="7" t="n">
        <v>10806</v>
      </c>
      <c r="FJ38969" s="7" t="s">
        <v>16</v>
      </c>
      <c r="FK38969" s="7" t="n">
        <f t="normal" ca="1">32-LENB(INDIRECT(ADDRESS(38969,166)))</f>
        <v>0</v>
      </c>
      <c r="FL38969" s="7" t="n">
        <v>7</v>
      </c>
      <c r="FM38969" s="7" t="n">
        <v>65533</v>
      </c>
      <c r="FN38969" s="7" t="n">
        <v>10807</v>
      </c>
      <c r="FO38969" s="7" t="s">
        <v>16</v>
      </c>
      <c r="FP38969" s="7" t="n">
        <f t="normal" ca="1">32-LENB(INDIRECT(ADDRESS(38969,171)))</f>
        <v>0</v>
      </c>
      <c r="FQ38969" s="7" t="n">
        <v>7</v>
      </c>
      <c r="FR38969" s="7" t="n">
        <v>65533</v>
      </c>
      <c r="FS38969" s="7" t="n">
        <v>10808</v>
      </c>
      <c r="FT38969" s="7" t="s">
        <v>16</v>
      </c>
      <c r="FU38969" s="7" t="n">
        <f t="normal" ca="1">32-LENB(INDIRECT(ADDRESS(38969,176)))</f>
        <v>0</v>
      </c>
      <c r="FV38969" s="7" t="n">
        <v>7</v>
      </c>
      <c r="FW38969" s="7" t="n">
        <v>65533</v>
      </c>
      <c r="FX38969" s="7" t="n">
        <v>10809</v>
      </c>
      <c r="FY38969" s="7" t="s">
        <v>16</v>
      </c>
      <c r="FZ38969" s="7" t="n">
        <f t="normal" ca="1">32-LENB(INDIRECT(ADDRESS(38969,181)))</f>
        <v>0</v>
      </c>
      <c r="GA38969" s="7" t="n">
        <v>7</v>
      </c>
      <c r="GB38969" s="7" t="n">
        <v>65533</v>
      </c>
      <c r="GC38969" s="7" t="n">
        <v>10810</v>
      </c>
      <c r="GD38969" s="7" t="s">
        <v>16</v>
      </c>
      <c r="GE38969" s="7" t="n">
        <f t="normal" ca="1">32-LENB(INDIRECT(ADDRESS(38969,186)))</f>
        <v>0</v>
      </c>
      <c r="GF38969" s="7" t="n">
        <v>7</v>
      </c>
      <c r="GG38969" s="7" t="n">
        <v>65533</v>
      </c>
      <c r="GH38969" s="7" t="n">
        <v>64009</v>
      </c>
      <c r="GI38969" s="7" t="s">
        <v>16</v>
      </c>
      <c r="GJ38969" s="7" t="n">
        <f t="normal" ca="1">32-LENB(INDIRECT(ADDRESS(38969,191)))</f>
        <v>0</v>
      </c>
      <c r="GK38969" s="7" t="n">
        <v>7</v>
      </c>
      <c r="GL38969" s="7" t="n">
        <v>65533</v>
      </c>
      <c r="GM38969" s="7" t="n">
        <v>64010</v>
      </c>
      <c r="GN38969" s="7" t="s">
        <v>16</v>
      </c>
      <c r="GO38969" s="7" t="n">
        <f t="normal" ca="1">32-LENB(INDIRECT(ADDRESS(38969,196)))</f>
        <v>0</v>
      </c>
      <c r="GP38969" s="7" t="n">
        <v>7</v>
      </c>
      <c r="GQ38969" s="7" t="n">
        <v>65533</v>
      </c>
      <c r="GR38969" s="7" t="n">
        <v>64011</v>
      </c>
      <c r="GS38969" s="7" t="s">
        <v>16</v>
      </c>
      <c r="GT38969" s="7" t="n">
        <f t="normal" ca="1">32-LENB(INDIRECT(ADDRESS(38969,201)))</f>
        <v>0</v>
      </c>
      <c r="GU38969" s="7" t="n">
        <v>7</v>
      </c>
      <c r="GV38969" s="7" t="n">
        <v>65533</v>
      </c>
      <c r="GW38969" s="7" t="n">
        <v>10811</v>
      </c>
      <c r="GX38969" s="7" t="s">
        <v>16</v>
      </c>
      <c r="GY38969" s="7" t="n">
        <f t="normal" ca="1">32-LENB(INDIRECT(ADDRESS(38969,206)))</f>
        <v>0</v>
      </c>
      <c r="GZ38969" s="7" t="n">
        <v>7</v>
      </c>
      <c r="HA38969" s="7" t="n">
        <v>65533</v>
      </c>
      <c r="HB38969" s="7" t="n">
        <v>64012</v>
      </c>
      <c r="HC38969" s="7" t="s">
        <v>16</v>
      </c>
      <c r="HD38969" s="7" t="n">
        <f t="normal" ca="1">32-LENB(INDIRECT(ADDRESS(38969,211)))</f>
        <v>0</v>
      </c>
      <c r="HE38969" s="7" t="n">
        <v>7</v>
      </c>
      <c r="HF38969" s="7" t="n">
        <v>65533</v>
      </c>
      <c r="HG38969" s="7" t="n">
        <v>64013</v>
      </c>
      <c r="HH38969" s="7" t="s">
        <v>16</v>
      </c>
      <c r="HI38969" s="7" t="n">
        <f t="normal" ca="1">32-LENB(INDIRECT(ADDRESS(38969,216)))</f>
        <v>0</v>
      </c>
      <c r="HJ38969" s="7" t="n">
        <v>7</v>
      </c>
      <c r="HK38969" s="7" t="n">
        <v>65533</v>
      </c>
      <c r="HL38969" s="7" t="n">
        <v>64014</v>
      </c>
      <c r="HM38969" s="7" t="s">
        <v>16</v>
      </c>
      <c r="HN38969" s="7" t="n">
        <f t="normal" ca="1">32-LENB(INDIRECT(ADDRESS(38969,221)))</f>
        <v>0</v>
      </c>
      <c r="HO38969" s="7" t="n">
        <v>7</v>
      </c>
      <c r="HP38969" s="7" t="n">
        <v>65533</v>
      </c>
      <c r="HQ38969" s="7" t="n">
        <v>64015</v>
      </c>
      <c r="HR38969" s="7" t="s">
        <v>16</v>
      </c>
      <c r="HS38969" s="7" t="n">
        <f t="normal" ca="1">32-LENB(INDIRECT(ADDRESS(38969,226)))</f>
        <v>0</v>
      </c>
      <c r="HT38969" s="7" t="n">
        <v>7</v>
      </c>
      <c r="HU38969" s="7" t="n">
        <v>65533</v>
      </c>
      <c r="HV38969" s="7" t="n">
        <v>10812</v>
      </c>
      <c r="HW38969" s="7" t="s">
        <v>16</v>
      </c>
      <c r="HX38969" s="7" t="n">
        <f t="normal" ca="1">32-LENB(INDIRECT(ADDRESS(38969,231)))</f>
        <v>0</v>
      </c>
      <c r="HY38969" s="7" t="n">
        <v>7</v>
      </c>
      <c r="HZ38969" s="7" t="n">
        <v>65533</v>
      </c>
      <c r="IA38969" s="7" t="n">
        <v>64016</v>
      </c>
      <c r="IB38969" s="7" t="s">
        <v>16</v>
      </c>
      <c r="IC38969" s="7" t="n">
        <f t="normal" ca="1">32-LENB(INDIRECT(ADDRESS(38969,236)))</f>
        <v>0</v>
      </c>
      <c r="ID38969" s="7" t="n">
        <v>7</v>
      </c>
      <c r="IE38969" s="7" t="n">
        <v>65533</v>
      </c>
      <c r="IF38969" s="7" t="n">
        <v>64017</v>
      </c>
      <c r="IG38969" s="7" t="s">
        <v>16</v>
      </c>
      <c r="IH38969" s="7" t="n">
        <f t="normal" ca="1">32-LENB(INDIRECT(ADDRESS(38969,241)))</f>
        <v>0</v>
      </c>
      <c r="II38969" s="7" t="n">
        <v>7</v>
      </c>
      <c r="IJ38969" s="7" t="n">
        <v>65533</v>
      </c>
      <c r="IK38969" s="7" t="n">
        <v>64018</v>
      </c>
      <c r="IL38969" s="7" t="s">
        <v>16</v>
      </c>
      <c r="IM38969" s="7" t="n">
        <f t="normal" ca="1">32-LENB(INDIRECT(ADDRESS(38969,246)))</f>
        <v>0</v>
      </c>
      <c r="IN38969" s="7" t="n">
        <v>7</v>
      </c>
      <c r="IO38969" s="7" t="n">
        <v>65533</v>
      </c>
      <c r="IP38969" s="7" t="n">
        <v>64019</v>
      </c>
      <c r="IQ38969" s="7" t="s">
        <v>16</v>
      </c>
      <c r="IR38969" s="7" t="n">
        <f t="normal" ca="1">32-LENB(INDIRECT(ADDRESS(38969,251)))</f>
        <v>0</v>
      </c>
      <c r="IS38969" s="7" t="n">
        <v>7</v>
      </c>
      <c r="IT38969" s="7" t="n">
        <v>65533</v>
      </c>
      <c r="IU38969" s="7" t="n">
        <v>10813</v>
      </c>
      <c r="IV38969" s="7" t="s">
        <v>16</v>
      </c>
      <c r="IW38969" s="7" t="n">
        <f t="normal" ca="1">32-LENB(INDIRECT(ADDRESS(38969,256)))</f>
        <v>0</v>
      </c>
      <c r="IX38969" s="7" t="n">
        <v>7</v>
      </c>
      <c r="IY38969" s="7" t="n">
        <v>65533</v>
      </c>
      <c r="IZ38969" s="7" t="n">
        <v>10814</v>
      </c>
      <c r="JA38969" s="7" t="s">
        <v>16</v>
      </c>
      <c r="JB38969" s="7" t="n">
        <f t="normal" ca="1">32-LENB(INDIRECT(ADDRESS(38969,261)))</f>
        <v>0</v>
      </c>
      <c r="JC38969" s="7" t="n">
        <v>7</v>
      </c>
      <c r="JD38969" s="7" t="n">
        <v>65533</v>
      </c>
      <c r="JE38969" s="7" t="n">
        <v>10815</v>
      </c>
      <c r="JF38969" s="7" t="s">
        <v>16</v>
      </c>
      <c r="JG38969" s="7" t="n">
        <f t="normal" ca="1">32-LENB(INDIRECT(ADDRESS(38969,266)))</f>
        <v>0</v>
      </c>
      <c r="JH38969" s="7" t="n">
        <v>7</v>
      </c>
      <c r="JI38969" s="7" t="n">
        <v>65533</v>
      </c>
      <c r="JJ38969" s="7" t="n">
        <v>10816</v>
      </c>
      <c r="JK38969" s="7" t="s">
        <v>16</v>
      </c>
      <c r="JL38969" s="7" t="n">
        <f t="normal" ca="1">32-LENB(INDIRECT(ADDRESS(38969,271)))</f>
        <v>0</v>
      </c>
      <c r="JM38969" s="7" t="n">
        <v>7</v>
      </c>
      <c r="JN38969" s="7" t="n">
        <v>65533</v>
      </c>
      <c r="JO38969" s="7" t="n">
        <v>10817</v>
      </c>
      <c r="JP38969" s="7" t="s">
        <v>16</v>
      </c>
      <c r="JQ38969" s="7" t="n">
        <f t="normal" ca="1">32-LENB(INDIRECT(ADDRESS(38969,276)))</f>
        <v>0</v>
      </c>
      <c r="JR38969" s="7" t="n">
        <v>7</v>
      </c>
      <c r="JS38969" s="7" t="n">
        <v>65533</v>
      </c>
      <c r="JT38969" s="7" t="n">
        <v>64020</v>
      </c>
      <c r="JU38969" s="7" t="s">
        <v>16</v>
      </c>
      <c r="JV38969" s="7" t="n">
        <f t="normal" ca="1">32-LENB(INDIRECT(ADDRESS(38969,281)))</f>
        <v>0</v>
      </c>
      <c r="JW38969" s="7" t="n">
        <v>7</v>
      </c>
      <c r="JX38969" s="7" t="n">
        <v>65533</v>
      </c>
      <c r="JY38969" s="7" t="n">
        <v>64021</v>
      </c>
      <c r="JZ38969" s="7" t="s">
        <v>16</v>
      </c>
      <c r="KA38969" s="7" t="n">
        <f t="normal" ca="1">32-LENB(INDIRECT(ADDRESS(38969,286)))</f>
        <v>0</v>
      </c>
      <c r="KB38969" s="7" t="n">
        <v>7</v>
      </c>
      <c r="KC38969" s="7" t="n">
        <v>65533</v>
      </c>
      <c r="KD38969" s="7" t="n">
        <v>64022</v>
      </c>
      <c r="KE38969" s="7" t="s">
        <v>16</v>
      </c>
      <c r="KF38969" s="7" t="n">
        <f t="normal" ca="1">32-LENB(INDIRECT(ADDRESS(38969,291)))</f>
        <v>0</v>
      </c>
      <c r="KG38969" s="7" t="n">
        <v>7</v>
      </c>
      <c r="KH38969" s="7" t="n">
        <v>65533</v>
      </c>
      <c r="KI38969" s="7" t="n">
        <v>10818</v>
      </c>
      <c r="KJ38969" s="7" t="s">
        <v>16</v>
      </c>
      <c r="KK38969" s="7" t="n">
        <f t="normal" ca="1">32-LENB(INDIRECT(ADDRESS(38969,296)))</f>
        <v>0</v>
      </c>
      <c r="KL38969" s="7" t="n">
        <v>7</v>
      </c>
      <c r="KM38969" s="7" t="n">
        <v>65533</v>
      </c>
      <c r="KN38969" s="7" t="n">
        <v>10819</v>
      </c>
      <c r="KO38969" s="7" t="s">
        <v>16</v>
      </c>
      <c r="KP38969" s="7" t="n">
        <f t="normal" ca="1">32-LENB(INDIRECT(ADDRESS(38969,301)))</f>
        <v>0</v>
      </c>
      <c r="KQ38969" s="7" t="n">
        <v>7</v>
      </c>
      <c r="KR38969" s="7" t="n">
        <v>65533</v>
      </c>
      <c r="KS38969" s="7" t="n">
        <v>10820</v>
      </c>
      <c r="KT38969" s="7" t="s">
        <v>16</v>
      </c>
      <c r="KU38969" s="7" t="n">
        <f t="normal" ca="1">32-LENB(INDIRECT(ADDRESS(38969,306)))</f>
        <v>0</v>
      </c>
      <c r="KV38969" s="7" t="n">
        <v>7</v>
      </c>
      <c r="KW38969" s="7" t="n">
        <v>65533</v>
      </c>
      <c r="KX38969" s="7" t="n">
        <v>10821</v>
      </c>
      <c r="KY38969" s="7" t="s">
        <v>16</v>
      </c>
      <c r="KZ38969" s="7" t="n">
        <f t="normal" ca="1">32-LENB(INDIRECT(ADDRESS(38969,311)))</f>
        <v>0</v>
      </c>
      <c r="LA38969" s="7" t="n">
        <v>7</v>
      </c>
      <c r="LB38969" s="7" t="n">
        <v>65533</v>
      </c>
      <c r="LC38969" s="7" t="n">
        <v>64023</v>
      </c>
      <c r="LD38969" s="7" t="s">
        <v>16</v>
      </c>
      <c r="LE38969" s="7" t="n">
        <f t="normal" ca="1">32-LENB(INDIRECT(ADDRESS(38969,316)))</f>
        <v>0</v>
      </c>
      <c r="LF38969" s="7" t="n">
        <v>7</v>
      </c>
      <c r="LG38969" s="7" t="n">
        <v>65533</v>
      </c>
      <c r="LH38969" s="7" t="n">
        <v>10822</v>
      </c>
      <c r="LI38969" s="7" t="s">
        <v>16</v>
      </c>
      <c r="LJ38969" s="7" t="n">
        <f t="normal" ca="1">32-LENB(INDIRECT(ADDRESS(38969,321)))</f>
        <v>0</v>
      </c>
      <c r="LK38969" s="7" t="n">
        <v>7</v>
      </c>
      <c r="LL38969" s="7" t="n">
        <v>65533</v>
      </c>
      <c r="LM38969" s="7" t="n">
        <v>64024</v>
      </c>
      <c r="LN38969" s="7" t="s">
        <v>16</v>
      </c>
      <c r="LO38969" s="7" t="n">
        <f t="normal" ca="1">32-LENB(INDIRECT(ADDRESS(38969,326)))</f>
        <v>0</v>
      </c>
      <c r="LP38969" s="7" t="n">
        <v>4</v>
      </c>
      <c r="LQ38969" s="7" t="n">
        <v>65533</v>
      </c>
      <c r="LR38969" s="7" t="n">
        <v>2000</v>
      </c>
      <c r="LS38969" s="7" t="s">
        <v>16</v>
      </c>
      <c r="LT38969" s="7" t="n">
        <f t="normal" ca="1">32-LENB(INDIRECT(ADDRESS(38969,331)))</f>
        <v>0</v>
      </c>
      <c r="LU38969" s="7" t="n">
        <v>7</v>
      </c>
      <c r="LV38969" s="7" t="n">
        <v>65533</v>
      </c>
      <c r="LW38969" s="7" t="n">
        <v>10823</v>
      </c>
      <c r="LX38969" s="7" t="s">
        <v>16</v>
      </c>
      <c r="LY38969" s="7" t="n">
        <f t="normal" ca="1">32-LENB(INDIRECT(ADDRESS(38969,336)))</f>
        <v>0</v>
      </c>
      <c r="LZ38969" s="7" t="n">
        <v>7</v>
      </c>
      <c r="MA38969" s="7" t="n">
        <v>65533</v>
      </c>
      <c r="MB38969" s="7" t="n">
        <v>65271</v>
      </c>
      <c r="MC38969" s="7" t="s">
        <v>16</v>
      </c>
      <c r="MD38969" s="7" t="n">
        <f t="normal" ca="1">32-LENB(INDIRECT(ADDRESS(38969,341)))</f>
        <v>0</v>
      </c>
      <c r="ME38969" s="7" t="n">
        <v>7</v>
      </c>
      <c r="MF38969" s="7" t="n">
        <v>65533</v>
      </c>
      <c r="MG38969" s="7" t="n">
        <v>10824</v>
      </c>
      <c r="MH38969" s="7" t="s">
        <v>16</v>
      </c>
      <c r="MI38969" s="7" t="n">
        <f t="normal" ca="1">32-LENB(INDIRECT(ADDRESS(38969,346)))</f>
        <v>0</v>
      </c>
      <c r="MJ38969" s="7" t="n">
        <v>7</v>
      </c>
      <c r="MK38969" s="7" t="n">
        <v>65533</v>
      </c>
      <c r="ML38969" s="7" t="n">
        <v>10825</v>
      </c>
      <c r="MM38969" s="7" t="s">
        <v>16</v>
      </c>
      <c r="MN38969" s="7" t="n">
        <f t="normal" ca="1">32-LENB(INDIRECT(ADDRESS(38969,351)))</f>
        <v>0</v>
      </c>
      <c r="MO38969" s="7" t="n">
        <v>7</v>
      </c>
      <c r="MP38969" s="7" t="n">
        <v>65533</v>
      </c>
      <c r="MQ38969" s="7" t="n">
        <v>10826</v>
      </c>
      <c r="MR38969" s="7" t="s">
        <v>16</v>
      </c>
      <c r="MS38969" s="7" t="n">
        <f t="normal" ca="1">32-LENB(INDIRECT(ADDRESS(38969,356)))</f>
        <v>0</v>
      </c>
      <c r="MT38969" s="7" t="n">
        <v>7</v>
      </c>
      <c r="MU38969" s="7" t="n">
        <v>65533</v>
      </c>
      <c r="MV38969" s="7" t="n">
        <v>64025</v>
      </c>
      <c r="MW38969" s="7" t="s">
        <v>16</v>
      </c>
      <c r="MX38969" s="7" t="n">
        <f t="normal" ca="1">32-LENB(INDIRECT(ADDRESS(38969,361)))</f>
        <v>0</v>
      </c>
      <c r="MY38969" s="7" t="n">
        <v>0</v>
      </c>
      <c r="MZ38969" s="7" t="n">
        <v>65533</v>
      </c>
      <c r="NA38969" s="7" t="n">
        <v>0</v>
      </c>
      <c r="NB38969" s="7" t="s">
        <v>16</v>
      </c>
      <c r="NC38969" s="7" t="n">
        <f t="normal" ca="1">32-LENB(INDIRECT(ADDRESS(38969,366)))</f>
        <v>0</v>
      </c>
    </row>
    <row r="38970" spans="1:332">
      <c r="A38970" t="s">
        <v>4</v>
      </c>
      <c r="B38970" s="4" t="s">
        <v>5</v>
      </c>
    </row>
    <row r="38971" spans="1:332">
      <c r="A38971" t="n">
        <v>469896</v>
      </c>
      <c r="B38971" s="5" t="n">
        <v>1</v>
      </c>
    </row>
    <row r="38972" spans="1:332" s="3" customFormat="1" customHeight="0">
      <c r="A38972" s="3" t="s">
        <v>2</v>
      </c>
      <c r="B38972" s="3" t="s">
        <v>1903</v>
      </c>
    </row>
    <row r="38973" spans="1:332">
      <c r="A38973" t="s">
        <v>4</v>
      </c>
      <c r="B38973" s="4" t="s">
        <v>5</v>
      </c>
      <c r="C38973" s="4" t="s">
        <v>11</v>
      </c>
      <c r="D38973" s="4" t="s">
        <v>11</v>
      </c>
      <c r="E38973" s="4" t="s">
        <v>15</v>
      </c>
      <c r="F38973" s="4" t="s">
        <v>8</v>
      </c>
      <c r="G38973" s="4" t="s">
        <v>1859</v>
      </c>
      <c r="H38973" s="4" t="s">
        <v>11</v>
      </c>
      <c r="I38973" s="4" t="s">
        <v>11</v>
      </c>
      <c r="J38973" s="4" t="s">
        <v>15</v>
      </c>
      <c r="K38973" s="4" t="s">
        <v>8</v>
      </c>
      <c r="L38973" s="4" t="s">
        <v>1859</v>
      </c>
      <c r="M38973" s="4" t="s">
        <v>11</v>
      </c>
      <c r="N38973" s="4" t="s">
        <v>11</v>
      </c>
      <c r="O38973" s="4" t="s">
        <v>15</v>
      </c>
      <c r="P38973" s="4" t="s">
        <v>8</v>
      </c>
      <c r="Q38973" s="4" t="s">
        <v>1859</v>
      </c>
      <c r="R38973" s="4" t="s">
        <v>11</v>
      </c>
      <c r="S38973" s="4" t="s">
        <v>11</v>
      </c>
      <c r="T38973" s="4" t="s">
        <v>15</v>
      </c>
      <c r="U38973" s="4" t="s">
        <v>8</v>
      </c>
      <c r="V38973" s="4" t="s">
        <v>1859</v>
      </c>
      <c r="W38973" s="4" t="s">
        <v>11</v>
      </c>
      <c r="X38973" s="4" t="s">
        <v>11</v>
      </c>
      <c r="Y38973" s="4" t="s">
        <v>15</v>
      </c>
      <c r="Z38973" s="4" t="s">
        <v>8</v>
      </c>
      <c r="AA38973" s="4" t="s">
        <v>1859</v>
      </c>
      <c r="AB38973" s="4" t="s">
        <v>11</v>
      </c>
      <c r="AC38973" s="4" t="s">
        <v>11</v>
      </c>
      <c r="AD38973" s="4" t="s">
        <v>15</v>
      </c>
      <c r="AE38973" s="4" t="s">
        <v>8</v>
      </c>
      <c r="AF38973" s="4" t="s">
        <v>1859</v>
      </c>
      <c r="AG38973" s="4" t="s">
        <v>11</v>
      </c>
      <c r="AH38973" s="4" t="s">
        <v>11</v>
      </c>
      <c r="AI38973" s="4" t="s">
        <v>15</v>
      </c>
      <c r="AJ38973" s="4" t="s">
        <v>8</v>
      </c>
      <c r="AK38973" s="4" t="s">
        <v>1859</v>
      </c>
      <c r="AL38973" s="4" t="s">
        <v>11</v>
      </c>
      <c r="AM38973" s="4" t="s">
        <v>11</v>
      </c>
      <c r="AN38973" s="4" t="s">
        <v>15</v>
      </c>
      <c r="AO38973" s="4" t="s">
        <v>8</v>
      </c>
      <c r="AP38973" s="4" t="s">
        <v>1859</v>
      </c>
      <c r="AQ38973" s="4" t="s">
        <v>11</v>
      </c>
      <c r="AR38973" s="4" t="s">
        <v>11</v>
      </c>
      <c r="AS38973" s="4" t="s">
        <v>15</v>
      </c>
      <c r="AT38973" s="4" t="s">
        <v>8</v>
      </c>
      <c r="AU38973" s="4" t="s">
        <v>1859</v>
      </c>
      <c r="AV38973" s="4" t="s">
        <v>11</v>
      </c>
      <c r="AW38973" s="4" t="s">
        <v>11</v>
      </c>
      <c r="AX38973" s="4" t="s">
        <v>15</v>
      </c>
      <c r="AY38973" s="4" t="s">
        <v>8</v>
      </c>
      <c r="AZ38973" s="4" t="s">
        <v>1859</v>
      </c>
      <c r="BA38973" s="4" t="s">
        <v>11</v>
      </c>
      <c r="BB38973" s="4" t="s">
        <v>11</v>
      </c>
      <c r="BC38973" s="4" t="s">
        <v>15</v>
      </c>
      <c r="BD38973" s="4" t="s">
        <v>8</v>
      </c>
      <c r="BE38973" s="4" t="s">
        <v>1859</v>
      </c>
      <c r="BF38973" s="4" t="s">
        <v>11</v>
      </c>
      <c r="BG38973" s="4" t="s">
        <v>11</v>
      </c>
      <c r="BH38973" s="4" t="s">
        <v>15</v>
      </c>
      <c r="BI38973" s="4" t="s">
        <v>8</v>
      </c>
      <c r="BJ38973" s="4" t="s">
        <v>1859</v>
      </c>
      <c r="BK38973" s="4" t="s">
        <v>11</v>
      </c>
      <c r="BL38973" s="4" t="s">
        <v>11</v>
      </c>
      <c r="BM38973" s="4" t="s">
        <v>15</v>
      </c>
      <c r="BN38973" s="4" t="s">
        <v>8</v>
      </c>
      <c r="BO38973" s="4" t="s">
        <v>1859</v>
      </c>
      <c r="BP38973" s="4" t="s">
        <v>11</v>
      </c>
      <c r="BQ38973" s="4" t="s">
        <v>11</v>
      </c>
      <c r="BR38973" s="4" t="s">
        <v>15</v>
      </c>
      <c r="BS38973" s="4" t="s">
        <v>8</v>
      </c>
      <c r="BT38973" s="4" t="s">
        <v>1859</v>
      </c>
      <c r="BU38973" s="4" t="s">
        <v>11</v>
      </c>
      <c r="BV38973" s="4" t="s">
        <v>11</v>
      </c>
      <c r="BW38973" s="4" t="s">
        <v>15</v>
      </c>
      <c r="BX38973" s="4" t="s">
        <v>8</v>
      </c>
      <c r="BY38973" s="4" t="s">
        <v>1859</v>
      </c>
      <c r="BZ38973" s="4" t="s">
        <v>11</v>
      </c>
      <c r="CA38973" s="4" t="s">
        <v>11</v>
      </c>
      <c r="CB38973" s="4" t="s">
        <v>15</v>
      </c>
      <c r="CC38973" s="4" t="s">
        <v>8</v>
      </c>
      <c r="CD38973" s="4" t="s">
        <v>1859</v>
      </c>
      <c r="CE38973" s="4" t="s">
        <v>11</v>
      </c>
      <c r="CF38973" s="4" t="s">
        <v>11</v>
      </c>
      <c r="CG38973" s="4" t="s">
        <v>15</v>
      </c>
      <c r="CH38973" s="4" t="s">
        <v>8</v>
      </c>
      <c r="CI38973" s="4" t="s">
        <v>1859</v>
      </c>
      <c r="CJ38973" s="4" t="s">
        <v>11</v>
      </c>
      <c r="CK38973" s="4" t="s">
        <v>11</v>
      </c>
      <c r="CL38973" s="4" t="s">
        <v>15</v>
      </c>
      <c r="CM38973" s="4" t="s">
        <v>8</v>
      </c>
      <c r="CN38973" s="4" t="s">
        <v>1859</v>
      </c>
      <c r="CO38973" s="4" t="s">
        <v>11</v>
      </c>
      <c r="CP38973" s="4" t="s">
        <v>11</v>
      </c>
      <c r="CQ38973" s="4" t="s">
        <v>15</v>
      </c>
      <c r="CR38973" s="4" t="s">
        <v>8</v>
      </c>
      <c r="CS38973" s="4" t="s">
        <v>1859</v>
      </c>
      <c r="CT38973" s="4" t="s">
        <v>11</v>
      </c>
      <c r="CU38973" s="4" t="s">
        <v>11</v>
      </c>
      <c r="CV38973" s="4" t="s">
        <v>15</v>
      </c>
      <c r="CW38973" s="4" t="s">
        <v>8</v>
      </c>
      <c r="CX38973" s="4" t="s">
        <v>1859</v>
      </c>
      <c r="CY38973" s="4" t="s">
        <v>11</v>
      </c>
      <c r="CZ38973" s="4" t="s">
        <v>11</v>
      </c>
      <c r="DA38973" s="4" t="s">
        <v>15</v>
      </c>
      <c r="DB38973" s="4" t="s">
        <v>8</v>
      </c>
      <c r="DC38973" s="4" t="s">
        <v>1859</v>
      </c>
      <c r="DD38973" s="4" t="s">
        <v>11</v>
      </c>
      <c r="DE38973" s="4" t="s">
        <v>11</v>
      </c>
      <c r="DF38973" s="4" t="s">
        <v>15</v>
      </c>
      <c r="DG38973" s="4" t="s">
        <v>8</v>
      </c>
      <c r="DH38973" s="4" t="s">
        <v>1859</v>
      </c>
      <c r="DI38973" s="4" t="s">
        <v>11</v>
      </c>
      <c r="DJ38973" s="4" t="s">
        <v>11</v>
      </c>
      <c r="DK38973" s="4" t="s">
        <v>15</v>
      </c>
      <c r="DL38973" s="4" t="s">
        <v>8</v>
      </c>
      <c r="DM38973" s="4" t="s">
        <v>1859</v>
      </c>
      <c r="DN38973" s="4" t="s">
        <v>11</v>
      </c>
      <c r="DO38973" s="4" t="s">
        <v>11</v>
      </c>
      <c r="DP38973" s="4" t="s">
        <v>15</v>
      </c>
      <c r="DQ38973" s="4" t="s">
        <v>8</v>
      </c>
      <c r="DR38973" s="4" t="s">
        <v>1859</v>
      </c>
      <c r="DS38973" s="4" t="s">
        <v>11</v>
      </c>
      <c r="DT38973" s="4" t="s">
        <v>11</v>
      </c>
      <c r="DU38973" s="4" t="s">
        <v>15</v>
      </c>
      <c r="DV38973" s="4" t="s">
        <v>8</v>
      </c>
      <c r="DW38973" s="4" t="s">
        <v>1859</v>
      </c>
      <c r="DX38973" s="4" t="s">
        <v>11</v>
      </c>
      <c r="DY38973" s="4" t="s">
        <v>11</v>
      </c>
      <c r="DZ38973" s="4" t="s">
        <v>15</v>
      </c>
      <c r="EA38973" s="4" t="s">
        <v>8</v>
      </c>
      <c r="EB38973" s="4" t="s">
        <v>1859</v>
      </c>
      <c r="EC38973" s="4" t="s">
        <v>11</v>
      </c>
      <c r="ED38973" s="4" t="s">
        <v>11</v>
      </c>
      <c r="EE38973" s="4" t="s">
        <v>15</v>
      </c>
      <c r="EF38973" s="4" t="s">
        <v>8</v>
      </c>
      <c r="EG38973" s="4" t="s">
        <v>1859</v>
      </c>
      <c r="EH38973" s="4" t="s">
        <v>11</v>
      </c>
      <c r="EI38973" s="4" t="s">
        <v>11</v>
      </c>
      <c r="EJ38973" s="4" t="s">
        <v>15</v>
      </c>
      <c r="EK38973" s="4" t="s">
        <v>8</v>
      </c>
      <c r="EL38973" s="4" t="s">
        <v>1859</v>
      </c>
      <c r="EM38973" s="4" t="s">
        <v>11</v>
      </c>
      <c r="EN38973" s="4" t="s">
        <v>11</v>
      </c>
      <c r="EO38973" s="4" t="s">
        <v>15</v>
      </c>
      <c r="EP38973" s="4" t="s">
        <v>8</v>
      </c>
      <c r="EQ38973" s="4" t="s">
        <v>1859</v>
      </c>
      <c r="ER38973" s="4" t="s">
        <v>11</v>
      </c>
      <c r="ES38973" s="4" t="s">
        <v>11</v>
      </c>
      <c r="ET38973" s="4" t="s">
        <v>15</v>
      </c>
      <c r="EU38973" s="4" t="s">
        <v>8</v>
      </c>
      <c r="EV38973" s="4" t="s">
        <v>1859</v>
      </c>
      <c r="EW38973" s="4" t="s">
        <v>11</v>
      </c>
      <c r="EX38973" s="4" t="s">
        <v>11</v>
      </c>
      <c r="EY38973" s="4" t="s">
        <v>15</v>
      </c>
      <c r="EZ38973" s="4" t="s">
        <v>8</v>
      </c>
      <c r="FA38973" s="4" t="s">
        <v>1859</v>
      </c>
      <c r="FB38973" s="4" t="s">
        <v>11</v>
      </c>
      <c r="FC38973" s="4" t="s">
        <v>11</v>
      </c>
      <c r="FD38973" s="4" t="s">
        <v>15</v>
      </c>
      <c r="FE38973" s="4" t="s">
        <v>8</v>
      </c>
      <c r="FF38973" s="4" t="s">
        <v>1859</v>
      </c>
      <c r="FG38973" s="4" t="s">
        <v>11</v>
      </c>
      <c r="FH38973" s="4" t="s">
        <v>11</v>
      </c>
      <c r="FI38973" s="4" t="s">
        <v>15</v>
      </c>
      <c r="FJ38973" s="4" t="s">
        <v>8</v>
      </c>
      <c r="FK38973" s="4" t="s">
        <v>1859</v>
      </c>
      <c r="FL38973" s="4" t="s">
        <v>11</v>
      </c>
      <c r="FM38973" s="4" t="s">
        <v>11</v>
      </c>
      <c r="FN38973" s="4" t="s">
        <v>15</v>
      </c>
      <c r="FO38973" s="4" t="s">
        <v>8</v>
      </c>
      <c r="FP38973" s="4" t="s">
        <v>1859</v>
      </c>
      <c r="FQ38973" s="4" t="s">
        <v>11</v>
      </c>
      <c r="FR38973" s="4" t="s">
        <v>11</v>
      </c>
      <c r="FS38973" s="4" t="s">
        <v>15</v>
      </c>
      <c r="FT38973" s="4" t="s">
        <v>8</v>
      </c>
      <c r="FU38973" s="4" t="s">
        <v>1859</v>
      </c>
    </row>
    <row r="38974" spans="1:332">
      <c r="A38974" t="n">
        <v>469904</v>
      </c>
      <c r="B38974" s="85" t="n">
        <v>257</v>
      </c>
      <c r="C38974" s="7" t="n">
        <v>7</v>
      </c>
      <c r="D38974" s="7" t="n">
        <v>65533</v>
      </c>
      <c r="E38974" s="7" t="n">
        <v>64748</v>
      </c>
      <c r="F38974" s="7" t="s">
        <v>16</v>
      </c>
      <c r="G38974" s="7" t="n">
        <f t="normal" ca="1">32-LENB(INDIRECT(ADDRESS(38974,6)))</f>
        <v>0</v>
      </c>
      <c r="H38974" s="7" t="n">
        <v>7</v>
      </c>
      <c r="I38974" s="7" t="n">
        <v>65533</v>
      </c>
      <c r="J38974" s="7" t="n">
        <v>64749</v>
      </c>
      <c r="K38974" s="7" t="s">
        <v>16</v>
      </c>
      <c r="L38974" s="7" t="n">
        <f t="normal" ca="1">32-LENB(INDIRECT(ADDRESS(38974,11)))</f>
        <v>0</v>
      </c>
      <c r="M38974" s="7" t="n">
        <v>7</v>
      </c>
      <c r="N38974" s="7" t="n">
        <v>65533</v>
      </c>
      <c r="O38974" s="7" t="n">
        <v>64750</v>
      </c>
      <c r="P38974" s="7" t="s">
        <v>16</v>
      </c>
      <c r="Q38974" s="7" t="n">
        <f t="normal" ca="1">32-LENB(INDIRECT(ADDRESS(38974,16)))</f>
        <v>0</v>
      </c>
      <c r="R38974" s="7" t="n">
        <v>7</v>
      </c>
      <c r="S38974" s="7" t="n">
        <v>65533</v>
      </c>
      <c r="T38974" s="7" t="n">
        <v>64751</v>
      </c>
      <c r="U38974" s="7" t="s">
        <v>16</v>
      </c>
      <c r="V38974" s="7" t="n">
        <f t="normal" ca="1">32-LENB(INDIRECT(ADDRESS(38974,21)))</f>
        <v>0</v>
      </c>
      <c r="W38974" s="7" t="n">
        <v>7</v>
      </c>
      <c r="X38974" s="7" t="n">
        <v>65533</v>
      </c>
      <c r="Y38974" s="7" t="n">
        <v>64752</v>
      </c>
      <c r="Z38974" s="7" t="s">
        <v>16</v>
      </c>
      <c r="AA38974" s="7" t="n">
        <f t="normal" ca="1">32-LENB(INDIRECT(ADDRESS(38974,26)))</f>
        <v>0</v>
      </c>
      <c r="AB38974" s="7" t="n">
        <v>7</v>
      </c>
      <c r="AC38974" s="7" t="n">
        <v>65533</v>
      </c>
      <c r="AD38974" s="7" t="n">
        <v>64753</v>
      </c>
      <c r="AE38974" s="7" t="s">
        <v>16</v>
      </c>
      <c r="AF38974" s="7" t="n">
        <f t="normal" ca="1">32-LENB(INDIRECT(ADDRESS(38974,31)))</f>
        <v>0</v>
      </c>
      <c r="AG38974" s="7" t="n">
        <v>7</v>
      </c>
      <c r="AH38974" s="7" t="n">
        <v>65533</v>
      </c>
      <c r="AI38974" s="7" t="n">
        <v>64754</v>
      </c>
      <c r="AJ38974" s="7" t="s">
        <v>16</v>
      </c>
      <c r="AK38974" s="7" t="n">
        <f t="normal" ca="1">32-LENB(INDIRECT(ADDRESS(38974,36)))</f>
        <v>0</v>
      </c>
      <c r="AL38974" s="7" t="n">
        <v>7</v>
      </c>
      <c r="AM38974" s="7" t="n">
        <v>65533</v>
      </c>
      <c r="AN38974" s="7" t="n">
        <v>64755</v>
      </c>
      <c r="AO38974" s="7" t="s">
        <v>16</v>
      </c>
      <c r="AP38974" s="7" t="n">
        <f t="normal" ca="1">32-LENB(INDIRECT(ADDRESS(38974,41)))</f>
        <v>0</v>
      </c>
      <c r="AQ38974" s="7" t="n">
        <v>7</v>
      </c>
      <c r="AR38974" s="7" t="n">
        <v>65533</v>
      </c>
      <c r="AS38974" s="7" t="n">
        <v>64756</v>
      </c>
      <c r="AT38974" s="7" t="s">
        <v>16</v>
      </c>
      <c r="AU38974" s="7" t="n">
        <f t="normal" ca="1">32-LENB(INDIRECT(ADDRESS(38974,46)))</f>
        <v>0</v>
      </c>
      <c r="AV38974" s="7" t="n">
        <v>7</v>
      </c>
      <c r="AW38974" s="7" t="n">
        <v>65533</v>
      </c>
      <c r="AX38974" s="7" t="n">
        <v>64757</v>
      </c>
      <c r="AY38974" s="7" t="s">
        <v>16</v>
      </c>
      <c r="AZ38974" s="7" t="n">
        <f t="normal" ca="1">32-LENB(INDIRECT(ADDRESS(38974,51)))</f>
        <v>0</v>
      </c>
      <c r="BA38974" s="7" t="n">
        <v>7</v>
      </c>
      <c r="BB38974" s="7" t="n">
        <v>65533</v>
      </c>
      <c r="BC38974" s="7" t="n">
        <v>64268</v>
      </c>
      <c r="BD38974" s="7" t="s">
        <v>16</v>
      </c>
      <c r="BE38974" s="7" t="n">
        <f t="normal" ca="1">32-LENB(INDIRECT(ADDRESS(38974,56)))</f>
        <v>0</v>
      </c>
      <c r="BF38974" s="7" t="n">
        <v>7</v>
      </c>
      <c r="BG38974" s="7" t="n">
        <v>65533</v>
      </c>
      <c r="BH38974" s="7" t="n">
        <v>64758</v>
      </c>
      <c r="BI38974" s="7" t="s">
        <v>16</v>
      </c>
      <c r="BJ38974" s="7" t="n">
        <f t="normal" ca="1">32-LENB(INDIRECT(ADDRESS(38974,61)))</f>
        <v>0</v>
      </c>
      <c r="BK38974" s="7" t="n">
        <v>7</v>
      </c>
      <c r="BL38974" s="7" t="n">
        <v>65533</v>
      </c>
      <c r="BM38974" s="7" t="n">
        <v>64759</v>
      </c>
      <c r="BN38974" s="7" t="s">
        <v>16</v>
      </c>
      <c r="BO38974" s="7" t="n">
        <f t="normal" ca="1">32-LENB(INDIRECT(ADDRESS(38974,66)))</f>
        <v>0</v>
      </c>
      <c r="BP38974" s="7" t="n">
        <v>7</v>
      </c>
      <c r="BQ38974" s="7" t="n">
        <v>65533</v>
      </c>
      <c r="BR38974" s="7" t="n">
        <v>64760</v>
      </c>
      <c r="BS38974" s="7" t="s">
        <v>16</v>
      </c>
      <c r="BT38974" s="7" t="n">
        <f t="normal" ca="1">32-LENB(INDIRECT(ADDRESS(38974,71)))</f>
        <v>0</v>
      </c>
      <c r="BU38974" s="7" t="n">
        <v>7</v>
      </c>
      <c r="BV38974" s="7" t="n">
        <v>65533</v>
      </c>
      <c r="BW38974" s="7" t="n">
        <v>64761</v>
      </c>
      <c r="BX38974" s="7" t="s">
        <v>16</v>
      </c>
      <c r="BY38974" s="7" t="n">
        <f t="normal" ca="1">32-LENB(INDIRECT(ADDRESS(38974,76)))</f>
        <v>0</v>
      </c>
      <c r="BZ38974" s="7" t="n">
        <v>7</v>
      </c>
      <c r="CA38974" s="7" t="n">
        <v>65533</v>
      </c>
      <c r="CB38974" s="7" t="n">
        <v>64762</v>
      </c>
      <c r="CC38974" s="7" t="s">
        <v>16</v>
      </c>
      <c r="CD38974" s="7" t="n">
        <f t="normal" ca="1">32-LENB(INDIRECT(ADDRESS(38974,81)))</f>
        <v>0</v>
      </c>
      <c r="CE38974" s="7" t="n">
        <v>7</v>
      </c>
      <c r="CF38974" s="7" t="n">
        <v>65533</v>
      </c>
      <c r="CG38974" s="7" t="n">
        <v>64763</v>
      </c>
      <c r="CH38974" s="7" t="s">
        <v>16</v>
      </c>
      <c r="CI38974" s="7" t="n">
        <f t="normal" ca="1">32-LENB(INDIRECT(ADDRESS(38974,86)))</f>
        <v>0</v>
      </c>
      <c r="CJ38974" s="7" t="n">
        <v>7</v>
      </c>
      <c r="CK38974" s="7" t="n">
        <v>65533</v>
      </c>
      <c r="CL38974" s="7" t="n">
        <v>64764</v>
      </c>
      <c r="CM38974" s="7" t="s">
        <v>16</v>
      </c>
      <c r="CN38974" s="7" t="n">
        <f t="normal" ca="1">32-LENB(INDIRECT(ADDRESS(38974,91)))</f>
        <v>0</v>
      </c>
      <c r="CO38974" s="7" t="n">
        <v>7</v>
      </c>
      <c r="CP38974" s="7" t="n">
        <v>65533</v>
      </c>
      <c r="CQ38974" s="7" t="n">
        <v>64765</v>
      </c>
      <c r="CR38974" s="7" t="s">
        <v>16</v>
      </c>
      <c r="CS38974" s="7" t="n">
        <f t="normal" ca="1">32-LENB(INDIRECT(ADDRESS(38974,96)))</f>
        <v>0</v>
      </c>
      <c r="CT38974" s="7" t="n">
        <v>4</v>
      </c>
      <c r="CU38974" s="7" t="n">
        <v>65533</v>
      </c>
      <c r="CV38974" s="7" t="n">
        <v>2004</v>
      </c>
      <c r="CW38974" s="7" t="s">
        <v>16</v>
      </c>
      <c r="CX38974" s="7" t="n">
        <f t="normal" ca="1">32-LENB(INDIRECT(ADDRESS(38974,101)))</f>
        <v>0</v>
      </c>
      <c r="CY38974" s="7" t="n">
        <v>7</v>
      </c>
      <c r="CZ38974" s="7" t="n">
        <v>65533</v>
      </c>
      <c r="DA38974" s="7" t="n">
        <v>64774</v>
      </c>
      <c r="DB38974" s="7" t="s">
        <v>16</v>
      </c>
      <c r="DC38974" s="7" t="n">
        <f t="normal" ca="1">32-LENB(INDIRECT(ADDRESS(38974,106)))</f>
        <v>0</v>
      </c>
      <c r="DD38974" s="7" t="n">
        <v>7</v>
      </c>
      <c r="DE38974" s="7" t="n">
        <v>65533</v>
      </c>
      <c r="DF38974" s="7" t="n">
        <v>64775</v>
      </c>
      <c r="DG38974" s="7" t="s">
        <v>16</v>
      </c>
      <c r="DH38974" s="7" t="n">
        <f t="normal" ca="1">32-LENB(INDIRECT(ADDRESS(38974,111)))</f>
        <v>0</v>
      </c>
      <c r="DI38974" s="7" t="n">
        <v>7</v>
      </c>
      <c r="DJ38974" s="7" t="n">
        <v>65533</v>
      </c>
      <c r="DK38974" s="7" t="n">
        <v>64776</v>
      </c>
      <c r="DL38974" s="7" t="s">
        <v>16</v>
      </c>
      <c r="DM38974" s="7" t="n">
        <f t="normal" ca="1">32-LENB(INDIRECT(ADDRESS(38974,116)))</f>
        <v>0</v>
      </c>
      <c r="DN38974" s="7" t="n">
        <v>7</v>
      </c>
      <c r="DO38974" s="7" t="n">
        <v>65533</v>
      </c>
      <c r="DP38974" s="7" t="n">
        <v>64777</v>
      </c>
      <c r="DQ38974" s="7" t="s">
        <v>16</v>
      </c>
      <c r="DR38974" s="7" t="n">
        <f t="normal" ca="1">32-LENB(INDIRECT(ADDRESS(38974,121)))</f>
        <v>0</v>
      </c>
      <c r="DS38974" s="7" t="n">
        <v>7</v>
      </c>
      <c r="DT38974" s="7" t="n">
        <v>65533</v>
      </c>
      <c r="DU38974" s="7" t="n">
        <v>64778</v>
      </c>
      <c r="DV38974" s="7" t="s">
        <v>16</v>
      </c>
      <c r="DW38974" s="7" t="n">
        <f t="normal" ca="1">32-LENB(INDIRECT(ADDRESS(38974,126)))</f>
        <v>0</v>
      </c>
      <c r="DX38974" s="7" t="n">
        <v>7</v>
      </c>
      <c r="DY38974" s="7" t="n">
        <v>65533</v>
      </c>
      <c r="DZ38974" s="7" t="n">
        <v>64779</v>
      </c>
      <c r="EA38974" s="7" t="s">
        <v>16</v>
      </c>
      <c r="EB38974" s="7" t="n">
        <f t="normal" ca="1">32-LENB(INDIRECT(ADDRESS(38974,131)))</f>
        <v>0</v>
      </c>
      <c r="EC38974" s="7" t="n">
        <v>4</v>
      </c>
      <c r="ED38974" s="7" t="n">
        <v>65533</v>
      </c>
      <c r="EE38974" s="7" t="n">
        <v>2004</v>
      </c>
      <c r="EF38974" s="7" t="s">
        <v>16</v>
      </c>
      <c r="EG38974" s="7" t="n">
        <f t="normal" ca="1">32-LENB(INDIRECT(ADDRESS(38974,136)))</f>
        <v>0</v>
      </c>
      <c r="EH38974" s="7" t="n">
        <v>7</v>
      </c>
      <c r="EI38974" s="7" t="n">
        <v>65533</v>
      </c>
      <c r="EJ38974" s="7" t="n">
        <v>64780</v>
      </c>
      <c r="EK38974" s="7" t="s">
        <v>16</v>
      </c>
      <c r="EL38974" s="7" t="n">
        <f t="normal" ca="1">32-LENB(INDIRECT(ADDRESS(38974,141)))</f>
        <v>0</v>
      </c>
      <c r="EM38974" s="7" t="n">
        <v>7</v>
      </c>
      <c r="EN38974" s="7" t="n">
        <v>65533</v>
      </c>
      <c r="EO38974" s="7" t="n">
        <v>64781</v>
      </c>
      <c r="EP38974" s="7" t="s">
        <v>16</v>
      </c>
      <c r="EQ38974" s="7" t="n">
        <f t="normal" ca="1">32-LENB(INDIRECT(ADDRESS(38974,146)))</f>
        <v>0</v>
      </c>
      <c r="ER38974" s="7" t="n">
        <v>7</v>
      </c>
      <c r="ES38974" s="7" t="n">
        <v>65533</v>
      </c>
      <c r="ET38974" s="7" t="n">
        <v>64782</v>
      </c>
      <c r="EU38974" s="7" t="s">
        <v>16</v>
      </c>
      <c r="EV38974" s="7" t="n">
        <f t="normal" ca="1">32-LENB(INDIRECT(ADDRESS(38974,151)))</f>
        <v>0</v>
      </c>
      <c r="EW38974" s="7" t="n">
        <v>7</v>
      </c>
      <c r="EX38974" s="7" t="n">
        <v>65533</v>
      </c>
      <c r="EY38974" s="7" t="n">
        <v>64783</v>
      </c>
      <c r="EZ38974" s="7" t="s">
        <v>16</v>
      </c>
      <c r="FA38974" s="7" t="n">
        <f t="normal" ca="1">32-LENB(INDIRECT(ADDRESS(38974,156)))</f>
        <v>0</v>
      </c>
      <c r="FB38974" s="7" t="n">
        <v>7</v>
      </c>
      <c r="FC38974" s="7" t="n">
        <v>65533</v>
      </c>
      <c r="FD38974" s="7" t="n">
        <v>64784</v>
      </c>
      <c r="FE38974" s="7" t="s">
        <v>16</v>
      </c>
      <c r="FF38974" s="7" t="n">
        <f t="normal" ca="1">32-LENB(INDIRECT(ADDRESS(38974,161)))</f>
        <v>0</v>
      </c>
      <c r="FG38974" s="7" t="n">
        <v>7</v>
      </c>
      <c r="FH38974" s="7" t="n">
        <v>65533</v>
      </c>
      <c r="FI38974" s="7" t="n">
        <v>64785</v>
      </c>
      <c r="FJ38974" s="7" t="s">
        <v>16</v>
      </c>
      <c r="FK38974" s="7" t="n">
        <f t="normal" ca="1">32-LENB(INDIRECT(ADDRESS(38974,166)))</f>
        <v>0</v>
      </c>
      <c r="FL38974" s="7" t="n">
        <v>7</v>
      </c>
      <c r="FM38974" s="7" t="n">
        <v>65533</v>
      </c>
      <c r="FN38974" s="7" t="n">
        <v>64786</v>
      </c>
      <c r="FO38974" s="7" t="s">
        <v>16</v>
      </c>
      <c r="FP38974" s="7" t="n">
        <f t="normal" ca="1">32-LENB(INDIRECT(ADDRESS(38974,171)))</f>
        <v>0</v>
      </c>
      <c r="FQ38974" s="7" t="n">
        <v>0</v>
      </c>
      <c r="FR38974" s="7" t="n">
        <v>65533</v>
      </c>
      <c r="FS38974" s="7" t="n">
        <v>0</v>
      </c>
      <c r="FT38974" s="7" t="s">
        <v>16</v>
      </c>
      <c r="FU38974" s="7" t="n">
        <f t="normal" ca="1">32-LENB(INDIRECT(ADDRESS(38974,176)))</f>
        <v>0</v>
      </c>
    </row>
    <row r="38975" spans="1:332">
      <c r="A38975" t="s">
        <v>4</v>
      </c>
      <c r="B38975" s="4" t="s">
        <v>5</v>
      </c>
    </row>
    <row r="38976" spans="1:332">
      <c r="A38976" t="n">
        <v>471304</v>
      </c>
      <c r="B38976" s="5" t="n">
        <v>1</v>
      </c>
    </row>
    <row r="38977" spans="1:367" s="3" customFormat="1" customHeight="0">
      <c r="A38977" s="3" t="s">
        <v>2</v>
      </c>
      <c r="B38977" s="3" t="s">
        <v>1904</v>
      </c>
    </row>
    <row r="38978" spans="1:367">
      <c r="A38978" t="s">
        <v>4</v>
      </c>
      <c r="B38978" s="4" t="s">
        <v>5</v>
      </c>
      <c r="C38978" s="4" t="s">
        <v>11</v>
      </c>
      <c r="D38978" s="4" t="s">
        <v>11</v>
      </c>
      <c r="E38978" s="4" t="s">
        <v>15</v>
      </c>
      <c r="F38978" s="4" t="s">
        <v>8</v>
      </c>
      <c r="G38978" s="4" t="s">
        <v>1859</v>
      </c>
      <c r="H38978" s="4" t="s">
        <v>11</v>
      </c>
      <c r="I38978" s="4" t="s">
        <v>11</v>
      </c>
      <c r="J38978" s="4" t="s">
        <v>15</v>
      </c>
      <c r="K38978" s="4" t="s">
        <v>8</v>
      </c>
      <c r="L38978" s="4" t="s">
        <v>1859</v>
      </c>
      <c r="M38978" s="4" t="s">
        <v>11</v>
      </c>
      <c r="N38978" s="4" t="s">
        <v>11</v>
      </c>
      <c r="O38978" s="4" t="s">
        <v>15</v>
      </c>
      <c r="P38978" s="4" t="s">
        <v>8</v>
      </c>
      <c r="Q38978" s="4" t="s">
        <v>1859</v>
      </c>
      <c r="R38978" s="4" t="s">
        <v>11</v>
      </c>
      <c r="S38978" s="4" t="s">
        <v>11</v>
      </c>
      <c r="T38978" s="4" t="s">
        <v>15</v>
      </c>
      <c r="U38978" s="4" t="s">
        <v>8</v>
      </c>
      <c r="V38978" s="4" t="s">
        <v>1859</v>
      </c>
      <c r="W38978" s="4" t="s">
        <v>11</v>
      </c>
      <c r="X38978" s="4" t="s">
        <v>11</v>
      </c>
      <c r="Y38978" s="4" t="s">
        <v>15</v>
      </c>
      <c r="Z38978" s="4" t="s">
        <v>8</v>
      </c>
      <c r="AA38978" s="4" t="s">
        <v>1859</v>
      </c>
      <c r="AB38978" s="4" t="s">
        <v>11</v>
      </c>
      <c r="AC38978" s="4" t="s">
        <v>11</v>
      </c>
      <c r="AD38978" s="4" t="s">
        <v>15</v>
      </c>
      <c r="AE38978" s="4" t="s">
        <v>8</v>
      </c>
      <c r="AF38978" s="4" t="s">
        <v>1859</v>
      </c>
      <c r="AG38978" s="4" t="s">
        <v>11</v>
      </c>
      <c r="AH38978" s="4" t="s">
        <v>11</v>
      </c>
      <c r="AI38978" s="4" t="s">
        <v>15</v>
      </c>
      <c r="AJ38978" s="4" t="s">
        <v>8</v>
      </c>
      <c r="AK38978" s="4" t="s">
        <v>1859</v>
      </c>
      <c r="AL38978" s="4" t="s">
        <v>11</v>
      </c>
      <c r="AM38978" s="4" t="s">
        <v>11</v>
      </c>
      <c r="AN38978" s="4" t="s">
        <v>15</v>
      </c>
      <c r="AO38978" s="4" t="s">
        <v>8</v>
      </c>
      <c r="AP38978" s="4" t="s">
        <v>1859</v>
      </c>
      <c r="AQ38978" s="4" t="s">
        <v>11</v>
      </c>
      <c r="AR38978" s="4" t="s">
        <v>11</v>
      </c>
      <c r="AS38978" s="4" t="s">
        <v>15</v>
      </c>
      <c r="AT38978" s="4" t="s">
        <v>8</v>
      </c>
      <c r="AU38978" s="4" t="s">
        <v>1859</v>
      </c>
      <c r="AV38978" s="4" t="s">
        <v>11</v>
      </c>
      <c r="AW38978" s="4" t="s">
        <v>11</v>
      </c>
      <c r="AX38978" s="4" t="s">
        <v>15</v>
      </c>
      <c r="AY38978" s="4" t="s">
        <v>8</v>
      </c>
      <c r="AZ38978" s="4" t="s">
        <v>1859</v>
      </c>
      <c r="BA38978" s="4" t="s">
        <v>11</v>
      </c>
      <c r="BB38978" s="4" t="s">
        <v>11</v>
      </c>
      <c r="BC38978" s="4" t="s">
        <v>15</v>
      </c>
      <c r="BD38978" s="4" t="s">
        <v>8</v>
      </c>
      <c r="BE38978" s="4" t="s">
        <v>1859</v>
      </c>
      <c r="BF38978" s="4" t="s">
        <v>11</v>
      </c>
      <c r="BG38978" s="4" t="s">
        <v>11</v>
      </c>
      <c r="BH38978" s="4" t="s">
        <v>15</v>
      </c>
      <c r="BI38978" s="4" t="s">
        <v>8</v>
      </c>
      <c r="BJ38978" s="4" t="s">
        <v>1859</v>
      </c>
      <c r="BK38978" s="4" t="s">
        <v>11</v>
      </c>
      <c r="BL38978" s="4" t="s">
        <v>11</v>
      </c>
      <c r="BM38978" s="4" t="s">
        <v>15</v>
      </c>
      <c r="BN38978" s="4" t="s">
        <v>8</v>
      </c>
      <c r="BO38978" s="4" t="s">
        <v>1859</v>
      </c>
      <c r="BP38978" s="4" t="s">
        <v>11</v>
      </c>
      <c r="BQ38978" s="4" t="s">
        <v>11</v>
      </c>
      <c r="BR38978" s="4" t="s">
        <v>15</v>
      </c>
      <c r="BS38978" s="4" t="s">
        <v>8</v>
      </c>
      <c r="BT38978" s="4" t="s">
        <v>1859</v>
      </c>
      <c r="BU38978" s="4" t="s">
        <v>11</v>
      </c>
      <c r="BV38978" s="4" t="s">
        <v>11</v>
      </c>
      <c r="BW38978" s="4" t="s">
        <v>15</v>
      </c>
      <c r="BX38978" s="4" t="s">
        <v>8</v>
      </c>
      <c r="BY38978" s="4" t="s">
        <v>1859</v>
      </c>
      <c r="BZ38978" s="4" t="s">
        <v>11</v>
      </c>
      <c r="CA38978" s="4" t="s">
        <v>11</v>
      </c>
      <c r="CB38978" s="4" t="s">
        <v>15</v>
      </c>
      <c r="CC38978" s="4" t="s">
        <v>8</v>
      </c>
      <c r="CD38978" s="4" t="s">
        <v>1859</v>
      </c>
      <c r="CE38978" s="4" t="s">
        <v>11</v>
      </c>
      <c r="CF38978" s="4" t="s">
        <v>11</v>
      </c>
      <c r="CG38978" s="4" t="s">
        <v>15</v>
      </c>
      <c r="CH38978" s="4" t="s">
        <v>8</v>
      </c>
      <c r="CI38978" s="4" t="s">
        <v>1859</v>
      </c>
      <c r="CJ38978" s="4" t="s">
        <v>11</v>
      </c>
      <c r="CK38978" s="4" t="s">
        <v>11</v>
      </c>
      <c r="CL38978" s="4" t="s">
        <v>15</v>
      </c>
      <c r="CM38978" s="4" t="s">
        <v>8</v>
      </c>
      <c r="CN38978" s="4" t="s">
        <v>1859</v>
      </c>
      <c r="CO38978" s="4" t="s">
        <v>11</v>
      </c>
      <c r="CP38978" s="4" t="s">
        <v>11</v>
      </c>
      <c r="CQ38978" s="4" t="s">
        <v>15</v>
      </c>
      <c r="CR38978" s="4" t="s">
        <v>8</v>
      </c>
      <c r="CS38978" s="4" t="s">
        <v>1859</v>
      </c>
      <c r="CT38978" s="4" t="s">
        <v>11</v>
      </c>
      <c r="CU38978" s="4" t="s">
        <v>11</v>
      </c>
      <c r="CV38978" s="4" t="s">
        <v>15</v>
      </c>
      <c r="CW38978" s="4" t="s">
        <v>8</v>
      </c>
      <c r="CX38978" s="4" t="s">
        <v>1859</v>
      </c>
      <c r="CY38978" s="4" t="s">
        <v>11</v>
      </c>
      <c r="CZ38978" s="4" t="s">
        <v>11</v>
      </c>
      <c r="DA38978" s="4" t="s">
        <v>15</v>
      </c>
      <c r="DB38978" s="4" t="s">
        <v>8</v>
      </c>
      <c r="DC38978" s="4" t="s">
        <v>1859</v>
      </c>
      <c r="DD38978" s="4" t="s">
        <v>11</v>
      </c>
      <c r="DE38978" s="4" t="s">
        <v>11</v>
      </c>
      <c r="DF38978" s="4" t="s">
        <v>15</v>
      </c>
      <c r="DG38978" s="4" t="s">
        <v>8</v>
      </c>
      <c r="DH38978" s="4" t="s">
        <v>1859</v>
      </c>
      <c r="DI38978" s="4" t="s">
        <v>11</v>
      </c>
      <c r="DJ38978" s="4" t="s">
        <v>11</v>
      </c>
      <c r="DK38978" s="4" t="s">
        <v>15</v>
      </c>
      <c r="DL38978" s="4" t="s">
        <v>8</v>
      </c>
      <c r="DM38978" s="4" t="s">
        <v>1859</v>
      </c>
      <c r="DN38978" s="4" t="s">
        <v>11</v>
      </c>
      <c r="DO38978" s="4" t="s">
        <v>11</v>
      </c>
      <c r="DP38978" s="4" t="s">
        <v>15</v>
      </c>
      <c r="DQ38978" s="4" t="s">
        <v>8</v>
      </c>
      <c r="DR38978" s="4" t="s">
        <v>1859</v>
      </c>
      <c r="DS38978" s="4" t="s">
        <v>11</v>
      </c>
      <c r="DT38978" s="4" t="s">
        <v>11</v>
      </c>
      <c r="DU38978" s="4" t="s">
        <v>15</v>
      </c>
      <c r="DV38978" s="4" t="s">
        <v>8</v>
      </c>
      <c r="DW38978" s="4" t="s">
        <v>1859</v>
      </c>
      <c r="DX38978" s="4" t="s">
        <v>11</v>
      </c>
      <c r="DY38978" s="4" t="s">
        <v>11</v>
      </c>
      <c r="DZ38978" s="4" t="s">
        <v>15</v>
      </c>
      <c r="EA38978" s="4" t="s">
        <v>8</v>
      </c>
      <c r="EB38978" s="4" t="s">
        <v>1859</v>
      </c>
      <c r="EC38978" s="4" t="s">
        <v>11</v>
      </c>
      <c r="ED38978" s="4" t="s">
        <v>11</v>
      </c>
      <c r="EE38978" s="4" t="s">
        <v>15</v>
      </c>
      <c r="EF38978" s="4" t="s">
        <v>8</v>
      </c>
      <c r="EG38978" s="4" t="s">
        <v>1859</v>
      </c>
      <c r="EH38978" s="4" t="s">
        <v>11</v>
      </c>
      <c r="EI38978" s="4" t="s">
        <v>11</v>
      </c>
      <c r="EJ38978" s="4" t="s">
        <v>15</v>
      </c>
      <c r="EK38978" s="4" t="s">
        <v>8</v>
      </c>
      <c r="EL38978" s="4" t="s">
        <v>1859</v>
      </c>
      <c r="EM38978" s="4" t="s">
        <v>11</v>
      </c>
      <c r="EN38978" s="4" t="s">
        <v>11</v>
      </c>
      <c r="EO38978" s="4" t="s">
        <v>15</v>
      </c>
      <c r="EP38978" s="4" t="s">
        <v>8</v>
      </c>
      <c r="EQ38978" s="4" t="s">
        <v>1859</v>
      </c>
      <c r="ER38978" s="4" t="s">
        <v>11</v>
      </c>
      <c r="ES38978" s="4" t="s">
        <v>11</v>
      </c>
      <c r="ET38978" s="4" t="s">
        <v>15</v>
      </c>
      <c r="EU38978" s="4" t="s">
        <v>8</v>
      </c>
      <c r="EV38978" s="4" t="s">
        <v>1859</v>
      </c>
      <c r="EW38978" s="4" t="s">
        <v>11</v>
      </c>
      <c r="EX38978" s="4" t="s">
        <v>11</v>
      </c>
      <c r="EY38978" s="4" t="s">
        <v>15</v>
      </c>
      <c r="EZ38978" s="4" t="s">
        <v>8</v>
      </c>
      <c r="FA38978" s="4" t="s">
        <v>1859</v>
      </c>
      <c r="FB38978" s="4" t="s">
        <v>11</v>
      </c>
      <c r="FC38978" s="4" t="s">
        <v>11</v>
      </c>
      <c r="FD38978" s="4" t="s">
        <v>15</v>
      </c>
      <c r="FE38978" s="4" t="s">
        <v>8</v>
      </c>
      <c r="FF38978" s="4" t="s">
        <v>1859</v>
      </c>
      <c r="FG38978" s="4" t="s">
        <v>11</v>
      </c>
      <c r="FH38978" s="4" t="s">
        <v>11</v>
      </c>
      <c r="FI38978" s="4" t="s">
        <v>15</v>
      </c>
      <c r="FJ38978" s="4" t="s">
        <v>8</v>
      </c>
      <c r="FK38978" s="4" t="s">
        <v>1859</v>
      </c>
      <c r="FL38978" s="4" t="s">
        <v>11</v>
      </c>
      <c r="FM38978" s="4" t="s">
        <v>11</v>
      </c>
      <c r="FN38978" s="4" t="s">
        <v>15</v>
      </c>
      <c r="FO38978" s="4" t="s">
        <v>8</v>
      </c>
      <c r="FP38978" s="4" t="s">
        <v>1859</v>
      </c>
      <c r="FQ38978" s="4" t="s">
        <v>11</v>
      </c>
      <c r="FR38978" s="4" t="s">
        <v>11</v>
      </c>
      <c r="FS38978" s="4" t="s">
        <v>15</v>
      </c>
      <c r="FT38978" s="4" t="s">
        <v>8</v>
      </c>
      <c r="FU38978" s="4" t="s">
        <v>1859</v>
      </c>
      <c r="FV38978" s="4" t="s">
        <v>11</v>
      </c>
      <c r="FW38978" s="4" t="s">
        <v>11</v>
      </c>
      <c r="FX38978" s="4" t="s">
        <v>15</v>
      </c>
      <c r="FY38978" s="4" t="s">
        <v>8</v>
      </c>
      <c r="FZ38978" s="4" t="s">
        <v>1859</v>
      </c>
      <c r="GA38978" s="4" t="s">
        <v>11</v>
      </c>
      <c r="GB38978" s="4" t="s">
        <v>11</v>
      </c>
      <c r="GC38978" s="4" t="s">
        <v>15</v>
      </c>
      <c r="GD38978" s="4" t="s">
        <v>8</v>
      </c>
      <c r="GE38978" s="4" t="s">
        <v>1859</v>
      </c>
      <c r="GF38978" s="4" t="s">
        <v>11</v>
      </c>
      <c r="GG38978" s="4" t="s">
        <v>11</v>
      </c>
      <c r="GH38978" s="4" t="s">
        <v>15</v>
      </c>
      <c r="GI38978" s="4" t="s">
        <v>8</v>
      </c>
      <c r="GJ38978" s="4" t="s">
        <v>1859</v>
      </c>
      <c r="GK38978" s="4" t="s">
        <v>11</v>
      </c>
      <c r="GL38978" s="4" t="s">
        <v>11</v>
      </c>
      <c r="GM38978" s="4" t="s">
        <v>15</v>
      </c>
      <c r="GN38978" s="4" t="s">
        <v>8</v>
      </c>
      <c r="GO38978" s="4" t="s">
        <v>1859</v>
      </c>
      <c r="GP38978" s="4" t="s">
        <v>11</v>
      </c>
      <c r="GQ38978" s="4" t="s">
        <v>11</v>
      </c>
      <c r="GR38978" s="4" t="s">
        <v>15</v>
      </c>
      <c r="GS38978" s="4" t="s">
        <v>8</v>
      </c>
      <c r="GT38978" s="4" t="s">
        <v>1859</v>
      </c>
      <c r="GU38978" s="4" t="s">
        <v>11</v>
      </c>
      <c r="GV38978" s="4" t="s">
        <v>11</v>
      </c>
      <c r="GW38978" s="4" t="s">
        <v>15</v>
      </c>
      <c r="GX38978" s="4" t="s">
        <v>8</v>
      </c>
      <c r="GY38978" s="4" t="s">
        <v>1859</v>
      </c>
      <c r="GZ38978" s="4" t="s">
        <v>11</v>
      </c>
      <c r="HA38978" s="4" t="s">
        <v>11</v>
      </c>
      <c r="HB38978" s="4" t="s">
        <v>15</v>
      </c>
      <c r="HC38978" s="4" t="s">
        <v>8</v>
      </c>
      <c r="HD38978" s="4" t="s">
        <v>1859</v>
      </c>
      <c r="HE38978" s="4" t="s">
        <v>11</v>
      </c>
      <c r="HF38978" s="4" t="s">
        <v>11</v>
      </c>
      <c r="HG38978" s="4" t="s">
        <v>15</v>
      </c>
      <c r="HH38978" s="4" t="s">
        <v>8</v>
      </c>
      <c r="HI38978" s="4" t="s">
        <v>1859</v>
      </c>
      <c r="HJ38978" s="4" t="s">
        <v>11</v>
      </c>
      <c r="HK38978" s="4" t="s">
        <v>11</v>
      </c>
      <c r="HL38978" s="4" t="s">
        <v>15</v>
      </c>
      <c r="HM38978" s="4" t="s">
        <v>8</v>
      </c>
      <c r="HN38978" s="4" t="s">
        <v>1859</v>
      </c>
      <c r="HO38978" s="4" t="s">
        <v>11</v>
      </c>
      <c r="HP38978" s="4" t="s">
        <v>11</v>
      </c>
      <c r="HQ38978" s="4" t="s">
        <v>15</v>
      </c>
      <c r="HR38978" s="4" t="s">
        <v>8</v>
      </c>
      <c r="HS38978" s="4" t="s">
        <v>1859</v>
      </c>
      <c r="HT38978" s="4" t="s">
        <v>11</v>
      </c>
      <c r="HU38978" s="4" t="s">
        <v>11</v>
      </c>
      <c r="HV38978" s="4" t="s">
        <v>15</v>
      </c>
      <c r="HW38978" s="4" t="s">
        <v>8</v>
      </c>
      <c r="HX38978" s="4" t="s">
        <v>1859</v>
      </c>
      <c r="HY38978" s="4" t="s">
        <v>11</v>
      </c>
      <c r="HZ38978" s="4" t="s">
        <v>11</v>
      </c>
      <c r="IA38978" s="4" t="s">
        <v>15</v>
      </c>
      <c r="IB38978" s="4" t="s">
        <v>8</v>
      </c>
      <c r="IC38978" s="4" t="s">
        <v>1859</v>
      </c>
      <c r="ID38978" s="4" t="s">
        <v>11</v>
      </c>
      <c r="IE38978" s="4" t="s">
        <v>11</v>
      </c>
      <c r="IF38978" s="4" t="s">
        <v>15</v>
      </c>
      <c r="IG38978" s="4" t="s">
        <v>8</v>
      </c>
      <c r="IH38978" s="4" t="s">
        <v>1859</v>
      </c>
      <c r="II38978" s="4" t="s">
        <v>11</v>
      </c>
      <c r="IJ38978" s="4" t="s">
        <v>11</v>
      </c>
      <c r="IK38978" s="4" t="s">
        <v>15</v>
      </c>
      <c r="IL38978" s="4" t="s">
        <v>8</v>
      </c>
      <c r="IM38978" s="4" t="s">
        <v>1859</v>
      </c>
      <c r="IN38978" s="4" t="s">
        <v>11</v>
      </c>
      <c r="IO38978" s="4" t="s">
        <v>11</v>
      </c>
      <c r="IP38978" s="4" t="s">
        <v>15</v>
      </c>
      <c r="IQ38978" s="4" t="s">
        <v>8</v>
      </c>
      <c r="IR38978" s="4" t="s">
        <v>1859</v>
      </c>
      <c r="IS38978" s="4" t="s">
        <v>11</v>
      </c>
      <c r="IT38978" s="4" t="s">
        <v>11</v>
      </c>
      <c r="IU38978" s="4" t="s">
        <v>15</v>
      </c>
      <c r="IV38978" s="4" t="s">
        <v>8</v>
      </c>
      <c r="IW38978" s="4" t="s">
        <v>1859</v>
      </c>
      <c r="IX38978" s="4" t="s">
        <v>11</v>
      </c>
      <c r="IY38978" s="4" t="s">
        <v>11</v>
      </c>
      <c r="IZ38978" s="4" t="s">
        <v>15</v>
      </c>
      <c r="JA38978" s="4" t="s">
        <v>8</v>
      </c>
      <c r="JB38978" s="4" t="s">
        <v>1859</v>
      </c>
      <c r="JC38978" s="4" t="s">
        <v>11</v>
      </c>
      <c r="JD38978" s="4" t="s">
        <v>11</v>
      </c>
      <c r="JE38978" s="4" t="s">
        <v>15</v>
      </c>
      <c r="JF38978" s="4" t="s">
        <v>8</v>
      </c>
      <c r="JG38978" s="4" t="s">
        <v>1859</v>
      </c>
      <c r="JH38978" s="4" t="s">
        <v>11</v>
      </c>
      <c r="JI38978" s="4" t="s">
        <v>11</v>
      </c>
      <c r="JJ38978" s="4" t="s">
        <v>15</v>
      </c>
      <c r="JK38978" s="4" t="s">
        <v>8</v>
      </c>
      <c r="JL38978" s="4" t="s">
        <v>1859</v>
      </c>
      <c r="JM38978" s="4" t="s">
        <v>11</v>
      </c>
      <c r="JN38978" s="4" t="s">
        <v>11</v>
      </c>
      <c r="JO38978" s="4" t="s">
        <v>15</v>
      </c>
      <c r="JP38978" s="4" t="s">
        <v>8</v>
      </c>
      <c r="JQ38978" s="4" t="s">
        <v>1859</v>
      </c>
      <c r="JR38978" s="4" t="s">
        <v>11</v>
      </c>
      <c r="JS38978" s="4" t="s">
        <v>11</v>
      </c>
      <c r="JT38978" s="4" t="s">
        <v>15</v>
      </c>
      <c r="JU38978" s="4" t="s">
        <v>8</v>
      </c>
      <c r="JV38978" s="4" t="s">
        <v>1859</v>
      </c>
      <c r="JW38978" s="4" t="s">
        <v>11</v>
      </c>
      <c r="JX38978" s="4" t="s">
        <v>11</v>
      </c>
      <c r="JY38978" s="4" t="s">
        <v>15</v>
      </c>
      <c r="JZ38978" s="4" t="s">
        <v>8</v>
      </c>
      <c r="KA38978" s="4" t="s">
        <v>1859</v>
      </c>
      <c r="KB38978" s="4" t="s">
        <v>11</v>
      </c>
      <c r="KC38978" s="4" t="s">
        <v>11</v>
      </c>
      <c r="KD38978" s="4" t="s">
        <v>15</v>
      </c>
      <c r="KE38978" s="4" t="s">
        <v>8</v>
      </c>
      <c r="KF38978" s="4" t="s">
        <v>1859</v>
      </c>
      <c r="KG38978" s="4" t="s">
        <v>11</v>
      </c>
      <c r="KH38978" s="4" t="s">
        <v>11</v>
      </c>
      <c r="KI38978" s="4" t="s">
        <v>15</v>
      </c>
      <c r="KJ38978" s="4" t="s">
        <v>8</v>
      </c>
      <c r="KK38978" s="4" t="s">
        <v>1859</v>
      </c>
      <c r="KL38978" s="4" t="s">
        <v>11</v>
      </c>
      <c r="KM38978" s="4" t="s">
        <v>11</v>
      </c>
      <c r="KN38978" s="4" t="s">
        <v>15</v>
      </c>
      <c r="KO38978" s="4" t="s">
        <v>8</v>
      </c>
      <c r="KP38978" s="4" t="s">
        <v>1859</v>
      </c>
      <c r="KQ38978" s="4" t="s">
        <v>11</v>
      </c>
      <c r="KR38978" s="4" t="s">
        <v>11</v>
      </c>
      <c r="KS38978" s="4" t="s">
        <v>15</v>
      </c>
      <c r="KT38978" s="4" t="s">
        <v>8</v>
      </c>
      <c r="KU38978" s="4" t="s">
        <v>1859</v>
      </c>
      <c r="KV38978" s="4" t="s">
        <v>11</v>
      </c>
      <c r="KW38978" s="4" t="s">
        <v>11</v>
      </c>
      <c r="KX38978" s="4" t="s">
        <v>15</v>
      </c>
      <c r="KY38978" s="4" t="s">
        <v>8</v>
      </c>
      <c r="KZ38978" s="4" t="s">
        <v>1859</v>
      </c>
      <c r="LA38978" s="4" t="s">
        <v>11</v>
      </c>
      <c r="LB38978" s="4" t="s">
        <v>11</v>
      </c>
      <c r="LC38978" s="4" t="s">
        <v>15</v>
      </c>
      <c r="LD38978" s="4" t="s">
        <v>8</v>
      </c>
      <c r="LE38978" s="4" t="s">
        <v>1859</v>
      </c>
    </row>
    <row r="38979" spans="1:367">
      <c r="A38979" t="n">
        <v>471312</v>
      </c>
      <c r="B38979" s="85" t="n">
        <v>257</v>
      </c>
      <c r="C38979" s="7" t="n">
        <v>7</v>
      </c>
      <c r="D38979" s="7" t="n">
        <v>65533</v>
      </c>
      <c r="E38979" s="7" t="n">
        <v>64026</v>
      </c>
      <c r="F38979" s="7" t="s">
        <v>16</v>
      </c>
      <c r="G38979" s="7" t="n">
        <f t="normal" ca="1">32-LENB(INDIRECT(ADDRESS(38979,6)))</f>
        <v>0</v>
      </c>
      <c r="H38979" s="7" t="n">
        <v>7</v>
      </c>
      <c r="I38979" s="7" t="n">
        <v>65533</v>
      </c>
      <c r="J38979" s="7" t="n">
        <v>64027</v>
      </c>
      <c r="K38979" s="7" t="s">
        <v>16</v>
      </c>
      <c r="L38979" s="7" t="n">
        <f t="normal" ca="1">32-LENB(INDIRECT(ADDRESS(38979,11)))</f>
        <v>0</v>
      </c>
      <c r="M38979" s="7" t="n">
        <v>7</v>
      </c>
      <c r="N38979" s="7" t="n">
        <v>65533</v>
      </c>
      <c r="O38979" s="7" t="n">
        <v>64028</v>
      </c>
      <c r="P38979" s="7" t="s">
        <v>16</v>
      </c>
      <c r="Q38979" s="7" t="n">
        <f t="normal" ca="1">32-LENB(INDIRECT(ADDRESS(38979,16)))</f>
        <v>0</v>
      </c>
      <c r="R38979" s="7" t="n">
        <v>7</v>
      </c>
      <c r="S38979" s="7" t="n">
        <v>65533</v>
      </c>
      <c r="T38979" s="7" t="n">
        <v>64029</v>
      </c>
      <c r="U38979" s="7" t="s">
        <v>16</v>
      </c>
      <c r="V38979" s="7" t="n">
        <f t="normal" ca="1">32-LENB(INDIRECT(ADDRESS(38979,21)))</f>
        <v>0</v>
      </c>
      <c r="W38979" s="7" t="n">
        <v>7</v>
      </c>
      <c r="X38979" s="7" t="n">
        <v>65533</v>
      </c>
      <c r="Y38979" s="7" t="n">
        <v>64030</v>
      </c>
      <c r="Z38979" s="7" t="s">
        <v>16</v>
      </c>
      <c r="AA38979" s="7" t="n">
        <f t="normal" ca="1">32-LENB(INDIRECT(ADDRESS(38979,26)))</f>
        <v>0</v>
      </c>
      <c r="AB38979" s="7" t="n">
        <v>7</v>
      </c>
      <c r="AC38979" s="7" t="n">
        <v>65533</v>
      </c>
      <c r="AD38979" s="7" t="n">
        <v>64031</v>
      </c>
      <c r="AE38979" s="7" t="s">
        <v>16</v>
      </c>
      <c r="AF38979" s="7" t="n">
        <f t="normal" ca="1">32-LENB(INDIRECT(ADDRESS(38979,31)))</f>
        <v>0</v>
      </c>
      <c r="AG38979" s="7" t="n">
        <v>7</v>
      </c>
      <c r="AH38979" s="7" t="n">
        <v>65533</v>
      </c>
      <c r="AI38979" s="7" t="n">
        <v>64032</v>
      </c>
      <c r="AJ38979" s="7" t="s">
        <v>16</v>
      </c>
      <c r="AK38979" s="7" t="n">
        <f t="normal" ca="1">32-LENB(INDIRECT(ADDRESS(38979,36)))</f>
        <v>0</v>
      </c>
      <c r="AL38979" s="7" t="n">
        <v>7</v>
      </c>
      <c r="AM38979" s="7" t="n">
        <v>65533</v>
      </c>
      <c r="AN38979" s="7" t="n">
        <v>64033</v>
      </c>
      <c r="AO38979" s="7" t="s">
        <v>16</v>
      </c>
      <c r="AP38979" s="7" t="n">
        <f t="normal" ca="1">32-LENB(INDIRECT(ADDRESS(38979,41)))</f>
        <v>0</v>
      </c>
      <c r="AQ38979" s="7" t="n">
        <v>7</v>
      </c>
      <c r="AR38979" s="7" t="n">
        <v>65533</v>
      </c>
      <c r="AS38979" s="7" t="n">
        <v>64034</v>
      </c>
      <c r="AT38979" s="7" t="s">
        <v>16</v>
      </c>
      <c r="AU38979" s="7" t="n">
        <f t="normal" ca="1">32-LENB(INDIRECT(ADDRESS(38979,46)))</f>
        <v>0</v>
      </c>
      <c r="AV38979" s="7" t="n">
        <v>7</v>
      </c>
      <c r="AW38979" s="7" t="n">
        <v>65533</v>
      </c>
      <c r="AX38979" s="7" t="n">
        <v>64035</v>
      </c>
      <c r="AY38979" s="7" t="s">
        <v>16</v>
      </c>
      <c r="AZ38979" s="7" t="n">
        <f t="normal" ca="1">32-LENB(INDIRECT(ADDRESS(38979,51)))</f>
        <v>0</v>
      </c>
      <c r="BA38979" s="7" t="n">
        <v>7</v>
      </c>
      <c r="BB38979" s="7" t="n">
        <v>65533</v>
      </c>
      <c r="BC38979" s="7" t="n">
        <v>63780</v>
      </c>
      <c r="BD38979" s="7" t="s">
        <v>16</v>
      </c>
      <c r="BE38979" s="7" t="n">
        <f t="normal" ca="1">32-LENB(INDIRECT(ADDRESS(38979,56)))</f>
        <v>0</v>
      </c>
      <c r="BF38979" s="7" t="n">
        <v>7</v>
      </c>
      <c r="BG38979" s="7" t="n">
        <v>65533</v>
      </c>
      <c r="BH38979" s="7" t="n">
        <v>64036</v>
      </c>
      <c r="BI38979" s="7" t="s">
        <v>16</v>
      </c>
      <c r="BJ38979" s="7" t="n">
        <f t="normal" ca="1">32-LENB(INDIRECT(ADDRESS(38979,61)))</f>
        <v>0</v>
      </c>
      <c r="BK38979" s="7" t="n">
        <v>7</v>
      </c>
      <c r="BL38979" s="7" t="n">
        <v>65533</v>
      </c>
      <c r="BM38979" s="7" t="n">
        <v>64037</v>
      </c>
      <c r="BN38979" s="7" t="s">
        <v>16</v>
      </c>
      <c r="BO38979" s="7" t="n">
        <f t="normal" ca="1">32-LENB(INDIRECT(ADDRESS(38979,66)))</f>
        <v>0</v>
      </c>
      <c r="BP38979" s="7" t="n">
        <v>7</v>
      </c>
      <c r="BQ38979" s="7" t="n">
        <v>65533</v>
      </c>
      <c r="BR38979" s="7" t="n">
        <v>64038</v>
      </c>
      <c r="BS38979" s="7" t="s">
        <v>16</v>
      </c>
      <c r="BT38979" s="7" t="n">
        <f t="normal" ca="1">32-LENB(INDIRECT(ADDRESS(38979,71)))</f>
        <v>0</v>
      </c>
      <c r="BU38979" s="7" t="n">
        <v>7</v>
      </c>
      <c r="BV38979" s="7" t="n">
        <v>65533</v>
      </c>
      <c r="BW38979" s="7" t="n">
        <v>64039</v>
      </c>
      <c r="BX38979" s="7" t="s">
        <v>16</v>
      </c>
      <c r="BY38979" s="7" t="n">
        <f t="normal" ca="1">32-LENB(INDIRECT(ADDRESS(38979,76)))</f>
        <v>0</v>
      </c>
      <c r="BZ38979" s="7" t="n">
        <v>7</v>
      </c>
      <c r="CA38979" s="7" t="n">
        <v>65533</v>
      </c>
      <c r="CB38979" s="7" t="n">
        <v>64040</v>
      </c>
      <c r="CC38979" s="7" t="s">
        <v>16</v>
      </c>
      <c r="CD38979" s="7" t="n">
        <f t="normal" ca="1">32-LENB(INDIRECT(ADDRESS(38979,81)))</f>
        <v>0</v>
      </c>
      <c r="CE38979" s="7" t="n">
        <v>7</v>
      </c>
      <c r="CF38979" s="7" t="n">
        <v>65533</v>
      </c>
      <c r="CG38979" s="7" t="n">
        <v>64041</v>
      </c>
      <c r="CH38979" s="7" t="s">
        <v>16</v>
      </c>
      <c r="CI38979" s="7" t="n">
        <f t="normal" ca="1">32-LENB(INDIRECT(ADDRESS(38979,86)))</f>
        <v>0</v>
      </c>
      <c r="CJ38979" s="7" t="n">
        <v>7</v>
      </c>
      <c r="CK38979" s="7" t="n">
        <v>65533</v>
      </c>
      <c r="CL38979" s="7" t="n">
        <v>64042</v>
      </c>
      <c r="CM38979" s="7" t="s">
        <v>16</v>
      </c>
      <c r="CN38979" s="7" t="n">
        <f t="normal" ca="1">32-LENB(INDIRECT(ADDRESS(38979,91)))</f>
        <v>0</v>
      </c>
      <c r="CO38979" s="7" t="n">
        <v>7</v>
      </c>
      <c r="CP38979" s="7" t="n">
        <v>65533</v>
      </c>
      <c r="CQ38979" s="7" t="n">
        <v>64043</v>
      </c>
      <c r="CR38979" s="7" t="s">
        <v>16</v>
      </c>
      <c r="CS38979" s="7" t="n">
        <f t="normal" ca="1">32-LENB(INDIRECT(ADDRESS(38979,96)))</f>
        <v>0</v>
      </c>
      <c r="CT38979" s="7" t="n">
        <v>7</v>
      </c>
      <c r="CU38979" s="7" t="n">
        <v>65533</v>
      </c>
      <c r="CV38979" s="7" t="n">
        <v>64044</v>
      </c>
      <c r="CW38979" s="7" t="s">
        <v>16</v>
      </c>
      <c r="CX38979" s="7" t="n">
        <f t="normal" ca="1">32-LENB(INDIRECT(ADDRESS(38979,101)))</f>
        <v>0</v>
      </c>
      <c r="CY38979" s="7" t="n">
        <v>7</v>
      </c>
      <c r="CZ38979" s="7" t="n">
        <v>65533</v>
      </c>
      <c r="DA38979" s="7" t="n">
        <v>64045</v>
      </c>
      <c r="DB38979" s="7" t="s">
        <v>16</v>
      </c>
      <c r="DC38979" s="7" t="n">
        <f t="normal" ca="1">32-LENB(INDIRECT(ADDRESS(38979,106)))</f>
        <v>0</v>
      </c>
      <c r="DD38979" s="7" t="n">
        <v>7</v>
      </c>
      <c r="DE38979" s="7" t="n">
        <v>65533</v>
      </c>
      <c r="DF38979" s="7" t="n">
        <v>11800</v>
      </c>
      <c r="DG38979" s="7" t="s">
        <v>16</v>
      </c>
      <c r="DH38979" s="7" t="n">
        <f t="normal" ca="1">32-LENB(INDIRECT(ADDRESS(38979,111)))</f>
        <v>0</v>
      </c>
      <c r="DI38979" s="7" t="n">
        <v>7</v>
      </c>
      <c r="DJ38979" s="7" t="n">
        <v>65533</v>
      </c>
      <c r="DK38979" s="7" t="n">
        <v>11801</v>
      </c>
      <c r="DL38979" s="7" t="s">
        <v>16</v>
      </c>
      <c r="DM38979" s="7" t="n">
        <f t="normal" ca="1">32-LENB(INDIRECT(ADDRESS(38979,116)))</f>
        <v>0</v>
      </c>
      <c r="DN38979" s="7" t="n">
        <v>7</v>
      </c>
      <c r="DO38979" s="7" t="n">
        <v>65533</v>
      </c>
      <c r="DP38979" s="7" t="n">
        <v>64046</v>
      </c>
      <c r="DQ38979" s="7" t="s">
        <v>16</v>
      </c>
      <c r="DR38979" s="7" t="n">
        <f t="normal" ca="1">32-LENB(INDIRECT(ADDRESS(38979,121)))</f>
        <v>0</v>
      </c>
      <c r="DS38979" s="7" t="n">
        <v>7</v>
      </c>
      <c r="DT38979" s="7" t="n">
        <v>65533</v>
      </c>
      <c r="DU38979" s="7" t="n">
        <v>64047</v>
      </c>
      <c r="DV38979" s="7" t="s">
        <v>16</v>
      </c>
      <c r="DW38979" s="7" t="n">
        <f t="normal" ca="1">32-LENB(INDIRECT(ADDRESS(38979,126)))</f>
        <v>0</v>
      </c>
      <c r="DX38979" s="7" t="n">
        <v>7</v>
      </c>
      <c r="DY38979" s="7" t="n">
        <v>65533</v>
      </c>
      <c r="DZ38979" s="7" t="n">
        <v>64048</v>
      </c>
      <c r="EA38979" s="7" t="s">
        <v>16</v>
      </c>
      <c r="EB38979" s="7" t="n">
        <f t="normal" ca="1">32-LENB(INDIRECT(ADDRESS(38979,131)))</f>
        <v>0</v>
      </c>
      <c r="EC38979" s="7" t="n">
        <v>7</v>
      </c>
      <c r="ED38979" s="7" t="n">
        <v>65533</v>
      </c>
      <c r="EE38979" s="7" t="n">
        <v>11802</v>
      </c>
      <c r="EF38979" s="7" t="s">
        <v>16</v>
      </c>
      <c r="EG38979" s="7" t="n">
        <f t="normal" ca="1">32-LENB(INDIRECT(ADDRESS(38979,136)))</f>
        <v>0</v>
      </c>
      <c r="EH38979" s="7" t="n">
        <v>7</v>
      </c>
      <c r="EI38979" s="7" t="n">
        <v>65533</v>
      </c>
      <c r="EJ38979" s="7" t="n">
        <v>11803</v>
      </c>
      <c r="EK38979" s="7" t="s">
        <v>16</v>
      </c>
      <c r="EL38979" s="7" t="n">
        <f t="normal" ca="1">32-LENB(INDIRECT(ADDRESS(38979,141)))</f>
        <v>0</v>
      </c>
      <c r="EM38979" s="7" t="n">
        <v>7</v>
      </c>
      <c r="EN38979" s="7" t="n">
        <v>65533</v>
      </c>
      <c r="EO38979" s="7" t="n">
        <v>64049</v>
      </c>
      <c r="EP38979" s="7" t="s">
        <v>16</v>
      </c>
      <c r="EQ38979" s="7" t="n">
        <f t="normal" ca="1">32-LENB(INDIRECT(ADDRESS(38979,146)))</f>
        <v>0</v>
      </c>
      <c r="ER38979" s="7" t="n">
        <v>7</v>
      </c>
      <c r="ES38979" s="7" t="n">
        <v>65533</v>
      </c>
      <c r="ET38979" s="7" t="n">
        <v>11804</v>
      </c>
      <c r="EU38979" s="7" t="s">
        <v>16</v>
      </c>
      <c r="EV38979" s="7" t="n">
        <f t="normal" ca="1">32-LENB(INDIRECT(ADDRESS(38979,151)))</f>
        <v>0</v>
      </c>
      <c r="EW38979" s="7" t="n">
        <v>7</v>
      </c>
      <c r="EX38979" s="7" t="n">
        <v>65533</v>
      </c>
      <c r="EY38979" s="7" t="n">
        <v>11805</v>
      </c>
      <c r="EZ38979" s="7" t="s">
        <v>16</v>
      </c>
      <c r="FA38979" s="7" t="n">
        <f t="normal" ca="1">32-LENB(INDIRECT(ADDRESS(38979,156)))</f>
        <v>0</v>
      </c>
      <c r="FB38979" s="7" t="n">
        <v>7</v>
      </c>
      <c r="FC38979" s="7" t="n">
        <v>65533</v>
      </c>
      <c r="FD38979" s="7" t="n">
        <v>11806</v>
      </c>
      <c r="FE38979" s="7" t="s">
        <v>16</v>
      </c>
      <c r="FF38979" s="7" t="n">
        <f t="normal" ca="1">32-LENB(INDIRECT(ADDRESS(38979,161)))</f>
        <v>0</v>
      </c>
      <c r="FG38979" s="7" t="n">
        <v>7</v>
      </c>
      <c r="FH38979" s="7" t="n">
        <v>65533</v>
      </c>
      <c r="FI38979" s="7" t="n">
        <v>11807</v>
      </c>
      <c r="FJ38979" s="7" t="s">
        <v>16</v>
      </c>
      <c r="FK38979" s="7" t="n">
        <f t="normal" ca="1">32-LENB(INDIRECT(ADDRESS(38979,166)))</f>
        <v>0</v>
      </c>
      <c r="FL38979" s="7" t="n">
        <v>7</v>
      </c>
      <c r="FM38979" s="7" t="n">
        <v>65533</v>
      </c>
      <c r="FN38979" s="7" t="n">
        <v>11808</v>
      </c>
      <c r="FO38979" s="7" t="s">
        <v>16</v>
      </c>
      <c r="FP38979" s="7" t="n">
        <f t="normal" ca="1">32-LENB(INDIRECT(ADDRESS(38979,171)))</f>
        <v>0</v>
      </c>
      <c r="FQ38979" s="7" t="n">
        <v>7</v>
      </c>
      <c r="FR38979" s="7" t="n">
        <v>65533</v>
      </c>
      <c r="FS38979" s="7" t="n">
        <v>65271</v>
      </c>
      <c r="FT38979" s="7" t="s">
        <v>16</v>
      </c>
      <c r="FU38979" s="7" t="n">
        <f t="normal" ca="1">32-LENB(INDIRECT(ADDRESS(38979,176)))</f>
        <v>0</v>
      </c>
      <c r="FV38979" s="7" t="n">
        <v>7</v>
      </c>
      <c r="FW38979" s="7" t="n">
        <v>65533</v>
      </c>
      <c r="FX38979" s="7" t="n">
        <v>11809</v>
      </c>
      <c r="FY38979" s="7" t="s">
        <v>16</v>
      </c>
      <c r="FZ38979" s="7" t="n">
        <f t="normal" ca="1">32-LENB(INDIRECT(ADDRESS(38979,181)))</f>
        <v>0</v>
      </c>
      <c r="GA38979" s="7" t="n">
        <v>7</v>
      </c>
      <c r="GB38979" s="7" t="n">
        <v>65533</v>
      </c>
      <c r="GC38979" s="7" t="n">
        <v>11810</v>
      </c>
      <c r="GD38979" s="7" t="s">
        <v>16</v>
      </c>
      <c r="GE38979" s="7" t="n">
        <f t="normal" ca="1">32-LENB(INDIRECT(ADDRESS(38979,186)))</f>
        <v>0</v>
      </c>
      <c r="GF38979" s="7" t="n">
        <v>7</v>
      </c>
      <c r="GG38979" s="7" t="n">
        <v>65533</v>
      </c>
      <c r="GH38979" s="7" t="n">
        <v>11811</v>
      </c>
      <c r="GI38979" s="7" t="s">
        <v>16</v>
      </c>
      <c r="GJ38979" s="7" t="n">
        <f t="normal" ca="1">32-LENB(INDIRECT(ADDRESS(38979,191)))</f>
        <v>0</v>
      </c>
      <c r="GK38979" s="7" t="n">
        <v>7</v>
      </c>
      <c r="GL38979" s="7" t="n">
        <v>65533</v>
      </c>
      <c r="GM38979" s="7" t="n">
        <v>64050</v>
      </c>
      <c r="GN38979" s="7" t="s">
        <v>16</v>
      </c>
      <c r="GO38979" s="7" t="n">
        <f t="normal" ca="1">32-LENB(INDIRECT(ADDRESS(38979,196)))</f>
        <v>0</v>
      </c>
      <c r="GP38979" s="7" t="n">
        <v>7</v>
      </c>
      <c r="GQ38979" s="7" t="n">
        <v>65533</v>
      </c>
      <c r="GR38979" s="7" t="n">
        <v>64051</v>
      </c>
      <c r="GS38979" s="7" t="s">
        <v>16</v>
      </c>
      <c r="GT38979" s="7" t="n">
        <f t="normal" ca="1">32-LENB(INDIRECT(ADDRESS(38979,201)))</f>
        <v>0</v>
      </c>
      <c r="GU38979" s="7" t="n">
        <v>7</v>
      </c>
      <c r="GV38979" s="7" t="n">
        <v>65533</v>
      </c>
      <c r="GW38979" s="7" t="n">
        <v>64052</v>
      </c>
      <c r="GX38979" s="7" t="s">
        <v>16</v>
      </c>
      <c r="GY38979" s="7" t="n">
        <f t="normal" ca="1">32-LENB(INDIRECT(ADDRESS(38979,206)))</f>
        <v>0</v>
      </c>
      <c r="GZ38979" s="7" t="n">
        <v>7</v>
      </c>
      <c r="HA38979" s="7" t="n">
        <v>65533</v>
      </c>
      <c r="HB38979" s="7" t="n">
        <v>64053</v>
      </c>
      <c r="HC38979" s="7" t="s">
        <v>16</v>
      </c>
      <c r="HD38979" s="7" t="n">
        <f t="normal" ca="1">32-LENB(INDIRECT(ADDRESS(38979,211)))</f>
        <v>0</v>
      </c>
      <c r="HE38979" s="7" t="n">
        <v>7</v>
      </c>
      <c r="HF38979" s="7" t="n">
        <v>65533</v>
      </c>
      <c r="HG38979" s="7" t="n">
        <v>11812</v>
      </c>
      <c r="HH38979" s="7" t="s">
        <v>16</v>
      </c>
      <c r="HI38979" s="7" t="n">
        <f t="normal" ca="1">32-LENB(INDIRECT(ADDRESS(38979,216)))</f>
        <v>0</v>
      </c>
      <c r="HJ38979" s="7" t="n">
        <v>7</v>
      </c>
      <c r="HK38979" s="7" t="n">
        <v>65533</v>
      </c>
      <c r="HL38979" s="7" t="n">
        <v>64054</v>
      </c>
      <c r="HM38979" s="7" t="s">
        <v>16</v>
      </c>
      <c r="HN38979" s="7" t="n">
        <f t="normal" ca="1">32-LENB(INDIRECT(ADDRESS(38979,221)))</f>
        <v>0</v>
      </c>
      <c r="HO38979" s="7" t="n">
        <v>7</v>
      </c>
      <c r="HP38979" s="7" t="n">
        <v>65533</v>
      </c>
      <c r="HQ38979" s="7" t="n">
        <v>64055</v>
      </c>
      <c r="HR38979" s="7" t="s">
        <v>16</v>
      </c>
      <c r="HS38979" s="7" t="n">
        <f t="normal" ca="1">32-LENB(INDIRECT(ADDRESS(38979,226)))</f>
        <v>0</v>
      </c>
      <c r="HT38979" s="7" t="n">
        <v>7</v>
      </c>
      <c r="HU38979" s="7" t="n">
        <v>65533</v>
      </c>
      <c r="HV38979" s="7" t="n">
        <v>64056</v>
      </c>
      <c r="HW38979" s="7" t="s">
        <v>16</v>
      </c>
      <c r="HX38979" s="7" t="n">
        <f t="normal" ca="1">32-LENB(INDIRECT(ADDRESS(38979,231)))</f>
        <v>0</v>
      </c>
      <c r="HY38979" s="7" t="n">
        <v>7</v>
      </c>
      <c r="HZ38979" s="7" t="n">
        <v>65533</v>
      </c>
      <c r="IA38979" s="7" t="n">
        <v>11813</v>
      </c>
      <c r="IB38979" s="7" t="s">
        <v>16</v>
      </c>
      <c r="IC38979" s="7" t="n">
        <f t="normal" ca="1">32-LENB(INDIRECT(ADDRESS(38979,236)))</f>
        <v>0</v>
      </c>
      <c r="ID38979" s="7" t="n">
        <v>7</v>
      </c>
      <c r="IE38979" s="7" t="n">
        <v>65533</v>
      </c>
      <c r="IF38979" s="7" t="n">
        <v>11814</v>
      </c>
      <c r="IG38979" s="7" t="s">
        <v>16</v>
      </c>
      <c r="IH38979" s="7" t="n">
        <f t="normal" ca="1">32-LENB(INDIRECT(ADDRESS(38979,241)))</f>
        <v>0</v>
      </c>
      <c r="II38979" s="7" t="n">
        <v>7</v>
      </c>
      <c r="IJ38979" s="7" t="n">
        <v>65533</v>
      </c>
      <c r="IK38979" s="7" t="n">
        <v>11815</v>
      </c>
      <c r="IL38979" s="7" t="s">
        <v>16</v>
      </c>
      <c r="IM38979" s="7" t="n">
        <f t="normal" ca="1">32-LENB(INDIRECT(ADDRESS(38979,246)))</f>
        <v>0</v>
      </c>
      <c r="IN38979" s="7" t="n">
        <v>7</v>
      </c>
      <c r="IO38979" s="7" t="n">
        <v>65533</v>
      </c>
      <c r="IP38979" s="7" t="n">
        <v>11816</v>
      </c>
      <c r="IQ38979" s="7" t="s">
        <v>16</v>
      </c>
      <c r="IR38979" s="7" t="n">
        <f t="normal" ca="1">32-LENB(INDIRECT(ADDRESS(38979,251)))</f>
        <v>0</v>
      </c>
      <c r="IS38979" s="7" t="n">
        <v>7</v>
      </c>
      <c r="IT38979" s="7" t="n">
        <v>65533</v>
      </c>
      <c r="IU38979" s="7" t="n">
        <v>64049</v>
      </c>
      <c r="IV38979" s="7" t="s">
        <v>16</v>
      </c>
      <c r="IW38979" s="7" t="n">
        <f t="normal" ca="1">32-LENB(INDIRECT(ADDRESS(38979,256)))</f>
        <v>0</v>
      </c>
      <c r="IX38979" s="7" t="n">
        <v>7</v>
      </c>
      <c r="IY38979" s="7" t="n">
        <v>65533</v>
      </c>
      <c r="IZ38979" s="7" t="n">
        <v>11817</v>
      </c>
      <c r="JA38979" s="7" t="s">
        <v>16</v>
      </c>
      <c r="JB38979" s="7" t="n">
        <f t="normal" ca="1">32-LENB(INDIRECT(ADDRESS(38979,261)))</f>
        <v>0</v>
      </c>
      <c r="JC38979" s="7" t="n">
        <v>7</v>
      </c>
      <c r="JD38979" s="7" t="n">
        <v>65533</v>
      </c>
      <c r="JE38979" s="7" t="n">
        <v>11818</v>
      </c>
      <c r="JF38979" s="7" t="s">
        <v>16</v>
      </c>
      <c r="JG38979" s="7" t="n">
        <f t="normal" ca="1">32-LENB(INDIRECT(ADDRESS(38979,266)))</f>
        <v>0</v>
      </c>
      <c r="JH38979" s="7" t="n">
        <v>7</v>
      </c>
      <c r="JI38979" s="7" t="n">
        <v>65533</v>
      </c>
      <c r="JJ38979" s="7" t="n">
        <v>64057</v>
      </c>
      <c r="JK38979" s="7" t="s">
        <v>16</v>
      </c>
      <c r="JL38979" s="7" t="n">
        <f t="normal" ca="1">32-LENB(INDIRECT(ADDRESS(38979,271)))</f>
        <v>0</v>
      </c>
      <c r="JM38979" s="7" t="n">
        <v>4</v>
      </c>
      <c r="JN38979" s="7" t="n">
        <v>65533</v>
      </c>
      <c r="JO38979" s="7" t="n">
        <v>2000</v>
      </c>
      <c r="JP38979" s="7" t="s">
        <v>16</v>
      </c>
      <c r="JQ38979" s="7" t="n">
        <f t="normal" ca="1">32-LENB(INDIRECT(ADDRESS(38979,276)))</f>
        <v>0</v>
      </c>
      <c r="JR38979" s="7" t="n">
        <v>7</v>
      </c>
      <c r="JS38979" s="7" t="n">
        <v>65533</v>
      </c>
      <c r="JT38979" s="7" t="n">
        <v>64058</v>
      </c>
      <c r="JU38979" s="7" t="s">
        <v>16</v>
      </c>
      <c r="JV38979" s="7" t="n">
        <f t="normal" ca="1">32-LENB(INDIRECT(ADDRESS(38979,281)))</f>
        <v>0</v>
      </c>
      <c r="JW38979" s="7" t="n">
        <v>4</v>
      </c>
      <c r="JX38979" s="7" t="n">
        <v>65533</v>
      </c>
      <c r="JY38979" s="7" t="n">
        <v>2004</v>
      </c>
      <c r="JZ38979" s="7" t="s">
        <v>16</v>
      </c>
      <c r="KA38979" s="7" t="n">
        <f t="normal" ca="1">32-LENB(INDIRECT(ADDRESS(38979,286)))</f>
        <v>0</v>
      </c>
      <c r="KB38979" s="7" t="n">
        <v>7</v>
      </c>
      <c r="KC38979" s="7" t="n">
        <v>65533</v>
      </c>
      <c r="KD38979" s="7" t="n">
        <v>65271</v>
      </c>
      <c r="KE38979" s="7" t="s">
        <v>16</v>
      </c>
      <c r="KF38979" s="7" t="n">
        <f t="normal" ca="1">32-LENB(INDIRECT(ADDRESS(38979,291)))</f>
        <v>0</v>
      </c>
      <c r="KG38979" s="7" t="n">
        <v>7</v>
      </c>
      <c r="KH38979" s="7" t="n">
        <v>65533</v>
      </c>
      <c r="KI38979" s="7" t="n">
        <v>11819</v>
      </c>
      <c r="KJ38979" s="7" t="s">
        <v>16</v>
      </c>
      <c r="KK38979" s="7" t="n">
        <f t="normal" ca="1">32-LENB(INDIRECT(ADDRESS(38979,296)))</f>
        <v>0</v>
      </c>
      <c r="KL38979" s="7" t="n">
        <v>7</v>
      </c>
      <c r="KM38979" s="7" t="n">
        <v>65533</v>
      </c>
      <c r="KN38979" s="7" t="n">
        <v>11820</v>
      </c>
      <c r="KO38979" s="7" t="s">
        <v>16</v>
      </c>
      <c r="KP38979" s="7" t="n">
        <f t="normal" ca="1">32-LENB(INDIRECT(ADDRESS(38979,301)))</f>
        <v>0</v>
      </c>
      <c r="KQ38979" s="7" t="n">
        <v>7</v>
      </c>
      <c r="KR38979" s="7" t="n">
        <v>65533</v>
      </c>
      <c r="KS38979" s="7" t="n">
        <v>11821</v>
      </c>
      <c r="KT38979" s="7" t="s">
        <v>16</v>
      </c>
      <c r="KU38979" s="7" t="n">
        <f t="normal" ca="1">32-LENB(INDIRECT(ADDRESS(38979,306)))</f>
        <v>0</v>
      </c>
      <c r="KV38979" s="7" t="n">
        <v>7</v>
      </c>
      <c r="KW38979" s="7" t="n">
        <v>65533</v>
      </c>
      <c r="KX38979" s="7" t="n">
        <v>64059</v>
      </c>
      <c r="KY38979" s="7" t="s">
        <v>16</v>
      </c>
      <c r="KZ38979" s="7" t="n">
        <f t="normal" ca="1">32-LENB(INDIRECT(ADDRESS(38979,311)))</f>
        <v>0</v>
      </c>
      <c r="LA38979" s="7" t="n">
        <v>0</v>
      </c>
      <c r="LB38979" s="7" t="n">
        <v>65533</v>
      </c>
      <c r="LC38979" s="7" t="n">
        <v>0</v>
      </c>
      <c r="LD38979" s="7" t="s">
        <v>16</v>
      </c>
      <c r="LE38979" s="7" t="n">
        <f t="normal" ca="1">32-LENB(INDIRECT(ADDRESS(38979,316)))</f>
        <v>0</v>
      </c>
    </row>
    <row r="38980" spans="1:367">
      <c r="A38980" t="s">
        <v>4</v>
      </c>
      <c r="B38980" s="4" t="s">
        <v>5</v>
      </c>
    </row>
    <row r="38981" spans="1:367">
      <c r="A38981" t="n">
        <v>473832</v>
      </c>
      <c r="B38981" s="5" t="n">
        <v>1</v>
      </c>
    </row>
    <row r="38982" spans="1:367" s="3" customFormat="1" customHeight="0">
      <c r="A38982" s="3" t="s">
        <v>2</v>
      </c>
      <c r="B38982" s="3" t="s">
        <v>1905</v>
      </c>
    </row>
    <row r="38983" spans="1:367">
      <c r="A38983" t="s">
        <v>4</v>
      </c>
      <c r="B38983" s="4" t="s">
        <v>5</v>
      </c>
      <c r="C38983" s="4" t="s">
        <v>11</v>
      </c>
      <c r="D38983" s="4" t="s">
        <v>11</v>
      </c>
      <c r="E38983" s="4" t="s">
        <v>15</v>
      </c>
      <c r="F38983" s="4" t="s">
        <v>8</v>
      </c>
      <c r="G38983" s="4" t="s">
        <v>1859</v>
      </c>
      <c r="H38983" s="4" t="s">
        <v>11</v>
      </c>
      <c r="I38983" s="4" t="s">
        <v>11</v>
      </c>
      <c r="J38983" s="4" t="s">
        <v>15</v>
      </c>
      <c r="K38983" s="4" t="s">
        <v>8</v>
      </c>
      <c r="L38983" s="4" t="s">
        <v>1859</v>
      </c>
      <c r="M38983" s="4" t="s">
        <v>11</v>
      </c>
      <c r="N38983" s="4" t="s">
        <v>11</v>
      </c>
      <c r="O38983" s="4" t="s">
        <v>15</v>
      </c>
      <c r="P38983" s="4" t="s">
        <v>8</v>
      </c>
      <c r="Q38983" s="4" t="s">
        <v>1859</v>
      </c>
      <c r="R38983" s="4" t="s">
        <v>11</v>
      </c>
      <c r="S38983" s="4" t="s">
        <v>11</v>
      </c>
      <c r="T38983" s="4" t="s">
        <v>15</v>
      </c>
      <c r="U38983" s="4" t="s">
        <v>8</v>
      </c>
      <c r="V38983" s="4" t="s">
        <v>1859</v>
      </c>
      <c r="W38983" s="4" t="s">
        <v>11</v>
      </c>
      <c r="X38983" s="4" t="s">
        <v>11</v>
      </c>
      <c r="Y38983" s="4" t="s">
        <v>15</v>
      </c>
      <c r="Z38983" s="4" t="s">
        <v>8</v>
      </c>
      <c r="AA38983" s="4" t="s">
        <v>1859</v>
      </c>
      <c r="AB38983" s="4" t="s">
        <v>11</v>
      </c>
      <c r="AC38983" s="4" t="s">
        <v>11</v>
      </c>
      <c r="AD38983" s="4" t="s">
        <v>15</v>
      </c>
      <c r="AE38983" s="4" t="s">
        <v>8</v>
      </c>
      <c r="AF38983" s="4" t="s">
        <v>1859</v>
      </c>
      <c r="AG38983" s="4" t="s">
        <v>11</v>
      </c>
      <c r="AH38983" s="4" t="s">
        <v>11</v>
      </c>
      <c r="AI38983" s="4" t="s">
        <v>15</v>
      </c>
      <c r="AJ38983" s="4" t="s">
        <v>8</v>
      </c>
      <c r="AK38983" s="4" t="s">
        <v>1859</v>
      </c>
      <c r="AL38983" s="4" t="s">
        <v>11</v>
      </c>
      <c r="AM38983" s="4" t="s">
        <v>11</v>
      </c>
      <c r="AN38983" s="4" t="s">
        <v>15</v>
      </c>
      <c r="AO38983" s="4" t="s">
        <v>8</v>
      </c>
      <c r="AP38983" s="4" t="s">
        <v>1859</v>
      </c>
      <c r="AQ38983" s="4" t="s">
        <v>11</v>
      </c>
      <c r="AR38983" s="4" t="s">
        <v>11</v>
      </c>
      <c r="AS38983" s="4" t="s">
        <v>15</v>
      </c>
      <c r="AT38983" s="4" t="s">
        <v>8</v>
      </c>
      <c r="AU38983" s="4" t="s">
        <v>1859</v>
      </c>
      <c r="AV38983" s="4" t="s">
        <v>11</v>
      </c>
      <c r="AW38983" s="4" t="s">
        <v>11</v>
      </c>
      <c r="AX38983" s="4" t="s">
        <v>15</v>
      </c>
      <c r="AY38983" s="4" t="s">
        <v>8</v>
      </c>
      <c r="AZ38983" s="4" t="s">
        <v>1859</v>
      </c>
      <c r="BA38983" s="4" t="s">
        <v>11</v>
      </c>
      <c r="BB38983" s="4" t="s">
        <v>11</v>
      </c>
      <c r="BC38983" s="4" t="s">
        <v>15</v>
      </c>
      <c r="BD38983" s="4" t="s">
        <v>8</v>
      </c>
      <c r="BE38983" s="4" t="s">
        <v>1859</v>
      </c>
      <c r="BF38983" s="4" t="s">
        <v>11</v>
      </c>
      <c r="BG38983" s="4" t="s">
        <v>11</v>
      </c>
      <c r="BH38983" s="4" t="s">
        <v>15</v>
      </c>
      <c r="BI38983" s="4" t="s">
        <v>8</v>
      </c>
      <c r="BJ38983" s="4" t="s">
        <v>1859</v>
      </c>
      <c r="BK38983" s="4" t="s">
        <v>11</v>
      </c>
      <c r="BL38983" s="4" t="s">
        <v>11</v>
      </c>
      <c r="BM38983" s="4" t="s">
        <v>15</v>
      </c>
      <c r="BN38983" s="4" t="s">
        <v>8</v>
      </c>
      <c r="BO38983" s="4" t="s">
        <v>1859</v>
      </c>
      <c r="BP38983" s="4" t="s">
        <v>11</v>
      </c>
      <c r="BQ38983" s="4" t="s">
        <v>11</v>
      </c>
      <c r="BR38983" s="4" t="s">
        <v>15</v>
      </c>
      <c r="BS38983" s="4" t="s">
        <v>8</v>
      </c>
      <c r="BT38983" s="4" t="s">
        <v>1859</v>
      </c>
      <c r="BU38983" s="4" t="s">
        <v>11</v>
      </c>
      <c r="BV38983" s="4" t="s">
        <v>11</v>
      </c>
      <c r="BW38983" s="4" t="s">
        <v>15</v>
      </c>
      <c r="BX38983" s="4" t="s">
        <v>8</v>
      </c>
      <c r="BY38983" s="4" t="s">
        <v>1859</v>
      </c>
      <c r="BZ38983" s="4" t="s">
        <v>11</v>
      </c>
      <c r="CA38983" s="4" t="s">
        <v>11</v>
      </c>
      <c r="CB38983" s="4" t="s">
        <v>15</v>
      </c>
      <c r="CC38983" s="4" t="s">
        <v>8</v>
      </c>
      <c r="CD38983" s="4" t="s">
        <v>1859</v>
      </c>
      <c r="CE38983" s="4" t="s">
        <v>11</v>
      </c>
      <c r="CF38983" s="4" t="s">
        <v>11</v>
      </c>
      <c r="CG38983" s="4" t="s">
        <v>15</v>
      </c>
      <c r="CH38983" s="4" t="s">
        <v>8</v>
      </c>
      <c r="CI38983" s="4" t="s">
        <v>1859</v>
      </c>
      <c r="CJ38983" s="4" t="s">
        <v>11</v>
      </c>
      <c r="CK38983" s="4" t="s">
        <v>11</v>
      </c>
      <c r="CL38983" s="4" t="s">
        <v>15</v>
      </c>
      <c r="CM38983" s="4" t="s">
        <v>8</v>
      </c>
      <c r="CN38983" s="4" t="s">
        <v>1859</v>
      </c>
      <c r="CO38983" s="4" t="s">
        <v>11</v>
      </c>
      <c r="CP38983" s="4" t="s">
        <v>11</v>
      </c>
      <c r="CQ38983" s="4" t="s">
        <v>15</v>
      </c>
      <c r="CR38983" s="4" t="s">
        <v>8</v>
      </c>
      <c r="CS38983" s="4" t="s">
        <v>1859</v>
      </c>
      <c r="CT38983" s="4" t="s">
        <v>11</v>
      </c>
      <c r="CU38983" s="4" t="s">
        <v>11</v>
      </c>
      <c r="CV38983" s="4" t="s">
        <v>15</v>
      </c>
      <c r="CW38983" s="4" t="s">
        <v>8</v>
      </c>
      <c r="CX38983" s="4" t="s">
        <v>1859</v>
      </c>
      <c r="CY38983" s="4" t="s">
        <v>11</v>
      </c>
      <c r="CZ38983" s="4" t="s">
        <v>11</v>
      </c>
      <c r="DA38983" s="4" t="s">
        <v>15</v>
      </c>
      <c r="DB38983" s="4" t="s">
        <v>8</v>
      </c>
      <c r="DC38983" s="4" t="s">
        <v>1859</v>
      </c>
      <c r="DD38983" s="4" t="s">
        <v>11</v>
      </c>
      <c r="DE38983" s="4" t="s">
        <v>11</v>
      </c>
      <c r="DF38983" s="4" t="s">
        <v>15</v>
      </c>
      <c r="DG38983" s="4" t="s">
        <v>8</v>
      </c>
      <c r="DH38983" s="4" t="s">
        <v>1859</v>
      </c>
      <c r="DI38983" s="4" t="s">
        <v>11</v>
      </c>
      <c r="DJ38983" s="4" t="s">
        <v>11</v>
      </c>
      <c r="DK38983" s="4" t="s">
        <v>15</v>
      </c>
      <c r="DL38983" s="4" t="s">
        <v>8</v>
      </c>
      <c r="DM38983" s="4" t="s">
        <v>1859</v>
      </c>
      <c r="DN38983" s="4" t="s">
        <v>11</v>
      </c>
      <c r="DO38983" s="4" t="s">
        <v>11</v>
      </c>
      <c r="DP38983" s="4" t="s">
        <v>15</v>
      </c>
      <c r="DQ38983" s="4" t="s">
        <v>8</v>
      </c>
      <c r="DR38983" s="4" t="s">
        <v>1859</v>
      </c>
      <c r="DS38983" s="4" t="s">
        <v>11</v>
      </c>
      <c r="DT38983" s="4" t="s">
        <v>11</v>
      </c>
      <c r="DU38983" s="4" t="s">
        <v>15</v>
      </c>
      <c r="DV38983" s="4" t="s">
        <v>8</v>
      </c>
      <c r="DW38983" s="4" t="s">
        <v>1859</v>
      </c>
      <c r="DX38983" s="4" t="s">
        <v>11</v>
      </c>
      <c r="DY38983" s="4" t="s">
        <v>11</v>
      </c>
      <c r="DZ38983" s="4" t="s">
        <v>15</v>
      </c>
      <c r="EA38983" s="4" t="s">
        <v>8</v>
      </c>
      <c r="EB38983" s="4" t="s">
        <v>1859</v>
      </c>
      <c r="EC38983" s="4" t="s">
        <v>11</v>
      </c>
      <c r="ED38983" s="4" t="s">
        <v>11</v>
      </c>
      <c r="EE38983" s="4" t="s">
        <v>15</v>
      </c>
      <c r="EF38983" s="4" t="s">
        <v>8</v>
      </c>
      <c r="EG38983" s="4" t="s">
        <v>1859</v>
      </c>
      <c r="EH38983" s="4" t="s">
        <v>11</v>
      </c>
      <c r="EI38983" s="4" t="s">
        <v>11</v>
      </c>
      <c r="EJ38983" s="4" t="s">
        <v>15</v>
      </c>
      <c r="EK38983" s="4" t="s">
        <v>8</v>
      </c>
      <c r="EL38983" s="4" t="s">
        <v>1859</v>
      </c>
      <c r="EM38983" s="4" t="s">
        <v>11</v>
      </c>
      <c r="EN38983" s="4" t="s">
        <v>11</v>
      </c>
      <c r="EO38983" s="4" t="s">
        <v>15</v>
      </c>
      <c r="EP38983" s="4" t="s">
        <v>8</v>
      </c>
      <c r="EQ38983" s="4" t="s">
        <v>1859</v>
      </c>
      <c r="ER38983" s="4" t="s">
        <v>11</v>
      </c>
      <c r="ES38983" s="4" t="s">
        <v>11</v>
      </c>
      <c r="ET38983" s="4" t="s">
        <v>15</v>
      </c>
      <c r="EU38983" s="4" t="s">
        <v>8</v>
      </c>
      <c r="EV38983" s="4" t="s">
        <v>1859</v>
      </c>
      <c r="EW38983" s="4" t="s">
        <v>11</v>
      </c>
      <c r="EX38983" s="4" t="s">
        <v>11</v>
      </c>
      <c r="EY38983" s="4" t="s">
        <v>15</v>
      </c>
      <c r="EZ38983" s="4" t="s">
        <v>8</v>
      </c>
      <c r="FA38983" s="4" t="s">
        <v>1859</v>
      </c>
      <c r="FB38983" s="4" t="s">
        <v>11</v>
      </c>
      <c r="FC38983" s="4" t="s">
        <v>11</v>
      </c>
      <c r="FD38983" s="4" t="s">
        <v>15</v>
      </c>
      <c r="FE38983" s="4" t="s">
        <v>8</v>
      </c>
      <c r="FF38983" s="4" t="s">
        <v>1859</v>
      </c>
      <c r="FG38983" s="4" t="s">
        <v>11</v>
      </c>
      <c r="FH38983" s="4" t="s">
        <v>11</v>
      </c>
      <c r="FI38983" s="4" t="s">
        <v>15</v>
      </c>
      <c r="FJ38983" s="4" t="s">
        <v>8</v>
      </c>
      <c r="FK38983" s="4" t="s">
        <v>1859</v>
      </c>
      <c r="FL38983" s="4" t="s">
        <v>11</v>
      </c>
      <c r="FM38983" s="4" t="s">
        <v>11</v>
      </c>
      <c r="FN38983" s="4" t="s">
        <v>15</v>
      </c>
      <c r="FO38983" s="4" t="s">
        <v>8</v>
      </c>
      <c r="FP38983" s="4" t="s">
        <v>1859</v>
      </c>
      <c r="FQ38983" s="4" t="s">
        <v>11</v>
      </c>
      <c r="FR38983" s="4" t="s">
        <v>11</v>
      </c>
      <c r="FS38983" s="4" t="s">
        <v>15</v>
      </c>
      <c r="FT38983" s="4" t="s">
        <v>8</v>
      </c>
      <c r="FU38983" s="4" t="s">
        <v>1859</v>
      </c>
      <c r="FV38983" s="4" t="s">
        <v>11</v>
      </c>
      <c r="FW38983" s="4" t="s">
        <v>11</v>
      </c>
      <c r="FX38983" s="4" t="s">
        <v>15</v>
      </c>
      <c r="FY38983" s="4" t="s">
        <v>8</v>
      </c>
      <c r="FZ38983" s="4" t="s">
        <v>1859</v>
      </c>
      <c r="GA38983" s="4" t="s">
        <v>11</v>
      </c>
      <c r="GB38983" s="4" t="s">
        <v>11</v>
      </c>
      <c r="GC38983" s="4" t="s">
        <v>15</v>
      </c>
      <c r="GD38983" s="4" t="s">
        <v>8</v>
      </c>
      <c r="GE38983" s="4" t="s">
        <v>1859</v>
      </c>
      <c r="GF38983" s="4" t="s">
        <v>11</v>
      </c>
      <c r="GG38983" s="4" t="s">
        <v>11</v>
      </c>
      <c r="GH38983" s="4" t="s">
        <v>15</v>
      </c>
      <c r="GI38983" s="4" t="s">
        <v>8</v>
      </c>
      <c r="GJ38983" s="4" t="s">
        <v>1859</v>
      </c>
      <c r="GK38983" s="4" t="s">
        <v>11</v>
      </c>
      <c r="GL38983" s="4" t="s">
        <v>11</v>
      </c>
      <c r="GM38983" s="4" t="s">
        <v>15</v>
      </c>
      <c r="GN38983" s="4" t="s">
        <v>8</v>
      </c>
      <c r="GO38983" s="4" t="s">
        <v>1859</v>
      </c>
      <c r="GP38983" s="4" t="s">
        <v>11</v>
      </c>
      <c r="GQ38983" s="4" t="s">
        <v>11</v>
      </c>
      <c r="GR38983" s="4" t="s">
        <v>15</v>
      </c>
      <c r="GS38983" s="4" t="s">
        <v>8</v>
      </c>
      <c r="GT38983" s="4" t="s">
        <v>1859</v>
      </c>
      <c r="GU38983" s="4" t="s">
        <v>11</v>
      </c>
      <c r="GV38983" s="4" t="s">
        <v>11</v>
      </c>
      <c r="GW38983" s="4" t="s">
        <v>15</v>
      </c>
      <c r="GX38983" s="4" t="s">
        <v>8</v>
      </c>
      <c r="GY38983" s="4" t="s">
        <v>1859</v>
      </c>
      <c r="GZ38983" s="4" t="s">
        <v>11</v>
      </c>
      <c r="HA38983" s="4" t="s">
        <v>11</v>
      </c>
      <c r="HB38983" s="4" t="s">
        <v>15</v>
      </c>
      <c r="HC38983" s="4" t="s">
        <v>8</v>
      </c>
      <c r="HD38983" s="4" t="s">
        <v>1859</v>
      </c>
      <c r="HE38983" s="4" t="s">
        <v>11</v>
      </c>
      <c r="HF38983" s="4" t="s">
        <v>11</v>
      </c>
      <c r="HG38983" s="4" t="s">
        <v>15</v>
      </c>
      <c r="HH38983" s="4" t="s">
        <v>8</v>
      </c>
      <c r="HI38983" s="4" t="s">
        <v>1859</v>
      </c>
      <c r="HJ38983" s="4" t="s">
        <v>11</v>
      </c>
      <c r="HK38983" s="4" t="s">
        <v>11</v>
      </c>
      <c r="HL38983" s="4" t="s">
        <v>15</v>
      </c>
      <c r="HM38983" s="4" t="s">
        <v>8</v>
      </c>
      <c r="HN38983" s="4" t="s">
        <v>1859</v>
      </c>
      <c r="HO38983" s="4" t="s">
        <v>11</v>
      </c>
      <c r="HP38983" s="4" t="s">
        <v>11</v>
      </c>
      <c r="HQ38983" s="4" t="s">
        <v>15</v>
      </c>
      <c r="HR38983" s="4" t="s">
        <v>8</v>
      </c>
      <c r="HS38983" s="4" t="s">
        <v>1859</v>
      </c>
      <c r="HT38983" s="4" t="s">
        <v>11</v>
      </c>
      <c r="HU38983" s="4" t="s">
        <v>11</v>
      </c>
      <c r="HV38983" s="4" t="s">
        <v>15</v>
      </c>
      <c r="HW38983" s="4" t="s">
        <v>8</v>
      </c>
      <c r="HX38983" s="4" t="s">
        <v>1859</v>
      </c>
      <c r="HY38983" s="4" t="s">
        <v>11</v>
      </c>
      <c r="HZ38983" s="4" t="s">
        <v>11</v>
      </c>
      <c r="IA38983" s="4" t="s">
        <v>15</v>
      </c>
      <c r="IB38983" s="4" t="s">
        <v>8</v>
      </c>
      <c r="IC38983" s="4" t="s">
        <v>1859</v>
      </c>
      <c r="ID38983" s="4" t="s">
        <v>11</v>
      </c>
      <c r="IE38983" s="4" t="s">
        <v>11</v>
      </c>
      <c r="IF38983" s="4" t="s">
        <v>15</v>
      </c>
      <c r="IG38983" s="4" t="s">
        <v>8</v>
      </c>
      <c r="IH38983" s="4" t="s">
        <v>1859</v>
      </c>
      <c r="II38983" s="4" t="s">
        <v>11</v>
      </c>
      <c r="IJ38983" s="4" t="s">
        <v>11</v>
      </c>
      <c r="IK38983" s="4" t="s">
        <v>15</v>
      </c>
      <c r="IL38983" s="4" t="s">
        <v>8</v>
      </c>
      <c r="IM38983" s="4" t="s">
        <v>1859</v>
      </c>
      <c r="IN38983" s="4" t="s">
        <v>11</v>
      </c>
      <c r="IO38983" s="4" t="s">
        <v>11</v>
      </c>
      <c r="IP38983" s="4" t="s">
        <v>15</v>
      </c>
      <c r="IQ38983" s="4" t="s">
        <v>8</v>
      </c>
      <c r="IR38983" s="4" t="s">
        <v>1859</v>
      </c>
      <c r="IS38983" s="4" t="s">
        <v>11</v>
      </c>
      <c r="IT38983" s="4" t="s">
        <v>11</v>
      </c>
      <c r="IU38983" s="4" t="s">
        <v>15</v>
      </c>
      <c r="IV38983" s="4" t="s">
        <v>8</v>
      </c>
      <c r="IW38983" s="4" t="s">
        <v>1859</v>
      </c>
      <c r="IX38983" s="4" t="s">
        <v>11</v>
      </c>
      <c r="IY38983" s="4" t="s">
        <v>11</v>
      </c>
      <c r="IZ38983" s="4" t="s">
        <v>15</v>
      </c>
      <c r="JA38983" s="4" t="s">
        <v>8</v>
      </c>
      <c r="JB38983" s="4" t="s">
        <v>1859</v>
      </c>
      <c r="JC38983" s="4" t="s">
        <v>11</v>
      </c>
      <c r="JD38983" s="4" t="s">
        <v>11</v>
      </c>
      <c r="JE38983" s="4" t="s">
        <v>15</v>
      </c>
      <c r="JF38983" s="4" t="s">
        <v>8</v>
      </c>
      <c r="JG38983" s="4" t="s">
        <v>1859</v>
      </c>
      <c r="JH38983" s="4" t="s">
        <v>11</v>
      </c>
      <c r="JI38983" s="4" t="s">
        <v>11</v>
      </c>
      <c r="JJ38983" s="4" t="s">
        <v>15</v>
      </c>
      <c r="JK38983" s="4" t="s">
        <v>8</v>
      </c>
      <c r="JL38983" s="4" t="s">
        <v>1859</v>
      </c>
      <c r="JM38983" s="4" t="s">
        <v>11</v>
      </c>
      <c r="JN38983" s="4" t="s">
        <v>11</v>
      </c>
      <c r="JO38983" s="4" t="s">
        <v>15</v>
      </c>
      <c r="JP38983" s="4" t="s">
        <v>8</v>
      </c>
      <c r="JQ38983" s="4" t="s">
        <v>1859</v>
      </c>
      <c r="JR38983" s="4" t="s">
        <v>11</v>
      </c>
      <c r="JS38983" s="4" t="s">
        <v>11</v>
      </c>
      <c r="JT38983" s="4" t="s">
        <v>15</v>
      </c>
      <c r="JU38983" s="4" t="s">
        <v>8</v>
      </c>
      <c r="JV38983" s="4" t="s">
        <v>1859</v>
      </c>
      <c r="JW38983" s="4" t="s">
        <v>11</v>
      </c>
      <c r="JX38983" s="4" t="s">
        <v>11</v>
      </c>
      <c r="JY38983" s="4" t="s">
        <v>15</v>
      </c>
      <c r="JZ38983" s="4" t="s">
        <v>8</v>
      </c>
      <c r="KA38983" s="4" t="s">
        <v>1859</v>
      </c>
    </row>
    <row r="38984" spans="1:367">
      <c r="A38984" t="n">
        <v>473840</v>
      </c>
      <c r="B38984" s="85" t="n">
        <v>257</v>
      </c>
      <c r="C38984" s="7" t="n">
        <v>3</v>
      </c>
      <c r="D38984" s="7" t="n">
        <v>65533</v>
      </c>
      <c r="E38984" s="7" t="n">
        <v>0</v>
      </c>
      <c r="F38984" s="7" t="s">
        <v>850</v>
      </c>
      <c r="G38984" s="7" t="n">
        <f t="normal" ca="1">32-LENB(INDIRECT(ADDRESS(38984,6)))</f>
        <v>0</v>
      </c>
      <c r="H38984" s="7" t="n">
        <v>7</v>
      </c>
      <c r="I38984" s="7" t="n">
        <v>65533</v>
      </c>
      <c r="J38984" s="7" t="n">
        <v>64060</v>
      </c>
      <c r="K38984" s="7" t="s">
        <v>16</v>
      </c>
      <c r="L38984" s="7" t="n">
        <f t="normal" ca="1">32-LENB(INDIRECT(ADDRESS(38984,11)))</f>
        <v>0</v>
      </c>
      <c r="M38984" s="7" t="n">
        <v>7</v>
      </c>
      <c r="N38984" s="7" t="n">
        <v>65533</v>
      </c>
      <c r="O38984" s="7" t="n">
        <v>64061</v>
      </c>
      <c r="P38984" s="7" t="s">
        <v>16</v>
      </c>
      <c r="Q38984" s="7" t="n">
        <f t="normal" ca="1">32-LENB(INDIRECT(ADDRESS(38984,16)))</f>
        <v>0</v>
      </c>
      <c r="R38984" s="7" t="n">
        <v>7</v>
      </c>
      <c r="S38984" s="7" t="n">
        <v>65533</v>
      </c>
      <c r="T38984" s="7" t="n">
        <v>64062</v>
      </c>
      <c r="U38984" s="7" t="s">
        <v>16</v>
      </c>
      <c r="V38984" s="7" t="n">
        <f t="normal" ca="1">32-LENB(INDIRECT(ADDRESS(38984,21)))</f>
        <v>0</v>
      </c>
      <c r="W38984" s="7" t="n">
        <v>7</v>
      </c>
      <c r="X38984" s="7" t="n">
        <v>65533</v>
      </c>
      <c r="Y38984" s="7" t="n">
        <v>64063</v>
      </c>
      <c r="Z38984" s="7" t="s">
        <v>16</v>
      </c>
      <c r="AA38984" s="7" t="n">
        <f t="normal" ca="1">32-LENB(INDIRECT(ADDRESS(38984,26)))</f>
        <v>0</v>
      </c>
      <c r="AB38984" s="7" t="n">
        <v>7</v>
      </c>
      <c r="AC38984" s="7" t="n">
        <v>65533</v>
      </c>
      <c r="AD38984" s="7" t="n">
        <v>64064</v>
      </c>
      <c r="AE38984" s="7" t="s">
        <v>16</v>
      </c>
      <c r="AF38984" s="7" t="n">
        <f t="normal" ca="1">32-LENB(INDIRECT(ADDRESS(38984,31)))</f>
        <v>0</v>
      </c>
      <c r="AG38984" s="7" t="n">
        <v>7</v>
      </c>
      <c r="AH38984" s="7" t="n">
        <v>65533</v>
      </c>
      <c r="AI38984" s="7" t="n">
        <v>64065</v>
      </c>
      <c r="AJ38984" s="7" t="s">
        <v>16</v>
      </c>
      <c r="AK38984" s="7" t="n">
        <f t="normal" ca="1">32-LENB(INDIRECT(ADDRESS(38984,36)))</f>
        <v>0</v>
      </c>
      <c r="AL38984" s="7" t="n">
        <v>7</v>
      </c>
      <c r="AM38984" s="7" t="n">
        <v>65533</v>
      </c>
      <c r="AN38984" s="7" t="n">
        <v>64066</v>
      </c>
      <c r="AO38984" s="7" t="s">
        <v>16</v>
      </c>
      <c r="AP38984" s="7" t="n">
        <f t="normal" ca="1">32-LENB(INDIRECT(ADDRESS(38984,41)))</f>
        <v>0</v>
      </c>
      <c r="AQ38984" s="7" t="n">
        <v>7</v>
      </c>
      <c r="AR38984" s="7" t="n">
        <v>65533</v>
      </c>
      <c r="AS38984" s="7" t="n">
        <v>64067</v>
      </c>
      <c r="AT38984" s="7" t="s">
        <v>16</v>
      </c>
      <c r="AU38984" s="7" t="n">
        <f t="normal" ca="1">32-LENB(INDIRECT(ADDRESS(38984,46)))</f>
        <v>0</v>
      </c>
      <c r="AV38984" s="7" t="n">
        <v>7</v>
      </c>
      <c r="AW38984" s="7" t="n">
        <v>65533</v>
      </c>
      <c r="AX38984" s="7" t="n">
        <v>64068</v>
      </c>
      <c r="AY38984" s="7" t="s">
        <v>16</v>
      </c>
      <c r="AZ38984" s="7" t="n">
        <f t="normal" ca="1">32-LENB(INDIRECT(ADDRESS(38984,51)))</f>
        <v>0</v>
      </c>
      <c r="BA38984" s="7" t="n">
        <v>7</v>
      </c>
      <c r="BB38984" s="7" t="n">
        <v>65533</v>
      </c>
      <c r="BC38984" s="7" t="n">
        <v>64069</v>
      </c>
      <c r="BD38984" s="7" t="s">
        <v>16</v>
      </c>
      <c r="BE38984" s="7" t="n">
        <f t="normal" ca="1">32-LENB(INDIRECT(ADDRESS(38984,56)))</f>
        <v>0</v>
      </c>
      <c r="BF38984" s="7" t="n">
        <v>7</v>
      </c>
      <c r="BG38984" s="7" t="n">
        <v>65533</v>
      </c>
      <c r="BH38984" s="7" t="n">
        <v>64070</v>
      </c>
      <c r="BI38984" s="7" t="s">
        <v>16</v>
      </c>
      <c r="BJ38984" s="7" t="n">
        <f t="normal" ca="1">32-LENB(INDIRECT(ADDRESS(38984,61)))</f>
        <v>0</v>
      </c>
      <c r="BK38984" s="7" t="n">
        <v>7</v>
      </c>
      <c r="BL38984" s="7" t="n">
        <v>65533</v>
      </c>
      <c r="BM38984" s="7" t="n">
        <v>64071</v>
      </c>
      <c r="BN38984" s="7" t="s">
        <v>16</v>
      </c>
      <c r="BO38984" s="7" t="n">
        <f t="normal" ca="1">32-LENB(INDIRECT(ADDRESS(38984,66)))</f>
        <v>0</v>
      </c>
      <c r="BP38984" s="7" t="n">
        <v>7</v>
      </c>
      <c r="BQ38984" s="7" t="n">
        <v>65533</v>
      </c>
      <c r="BR38984" s="7" t="n">
        <v>64072</v>
      </c>
      <c r="BS38984" s="7" t="s">
        <v>16</v>
      </c>
      <c r="BT38984" s="7" t="n">
        <f t="normal" ca="1">32-LENB(INDIRECT(ADDRESS(38984,71)))</f>
        <v>0</v>
      </c>
      <c r="BU38984" s="7" t="n">
        <v>7</v>
      </c>
      <c r="BV38984" s="7" t="n">
        <v>65533</v>
      </c>
      <c r="BW38984" s="7" t="n">
        <v>64073</v>
      </c>
      <c r="BX38984" s="7" t="s">
        <v>16</v>
      </c>
      <c r="BY38984" s="7" t="n">
        <f t="normal" ca="1">32-LENB(INDIRECT(ADDRESS(38984,76)))</f>
        <v>0</v>
      </c>
      <c r="BZ38984" s="7" t="n">
        <v>7</v>
      </c>
      <c r="CA38984" s="7" t="n">
        <v>65533</v>
      </c>
      <c r="CB38984" s="7" t="n">
        <v>64074</v>
      </c>
      <c r="CC38984" s="7" t="s">
        <v>16</v>
      </c>
      <c r="CD38984" s="7" t="n">
        <f t="normal" ca="1">32-LENB(INDIRECT(ADDRESS(38984,81)))</f>
        <v>0</v>
      </c>
      <c r="CE38984" s="7" t="n">
        <v>7</v>
      </c>
      <c r="CF38984" s="7" t="n">
        <v>65533</v>
      </c>
      <c r="CG38984" s="7" t="n">
        <v>64075</v>
      </c>
      <c r="CH38984" s="7" t="s">
        <v>16</v>
      </c>
      <c r="CI38984" s="7" t="n">
        <f t="normal" ca="1">32-LENB(INDIRECT(ADDRESS(38984,86)))</f>
        <v>0</v>
      </c>
      <c r="CJ38984" s="7" t="n">
        <v>7</v>
      </c>
      <c r="CK38984" s="7" t="n">
        <v>65533</v>
      </c>
      <c r="CL38984" s="7" t="n">
        <v>64076</v>
      </c>
      <c r="CM38984" s="7" t="s">
        <v>16</v>
      </c>
      <c r="CN38984" s="7" t="n">
        <f t="normal" ca="1">32-LENB(INDIRECT(ADDRESS(38984,91)))</f>
        <v>0</v>
      </c>
      <c r="CO38984" s="7" t="n">
        <v>7</v>
      </c>
      <c r="CP38984" s="7" t="n">
        <v>65533</v>
      </c>
      <c r="CQ38984" s="7" t="n">
        <v>64077</v>
      </c>
      <c r="CR38984" s="7" t="s">
        <v>16</v>
      </c>
      <c r="CS38984" s="7" t="n">
        <f t="normal" ca="1">32-LENB(INDIRECT(ADDRESS(38984,96)))</f>
        <v>0</v>
      </c>
      <c r="CT38984" s="7" t="n">
        <v>7</v>
      </c>
      <c r="CU38984" s="7" t="n">
        <v>65533</v>
      </c>
      <c r="CV38984" s="7" t="n">
        <v>64078</v>
      </c>
      <c r="CW38984" s="7" t="s">
        <v>16</v>
      </c>
      <c r="CX38984" s="7" t="n">
        <f t="normal" ca="1">32-LENB(INDIRECT(ADDRESS(38984,101)))</f>
        <v>0</v>
      </c>
      <c r="CY38984" s="7" t="n">
        <v>7</v>
      </c>
      <c r="CZ38984" s="7" t="n">
        <v>65533</v>
      </c>
      <c r="DA38984" s="7" t="n">
        <v>64079</v>
      </c>
      <c r="DB38984" s="7" t="s">
        <v>16</v>
      </c>
      <c r="DC38984" s="7" t="n">
        <f t="normal" ca="1">32-LENB(INDIRECT(ADDRESS(38984,106)))</f>
        <v>0</v>
      </c>
      <c r="DD38984" s="7" t="n">
        <v>7</v>
      </c>
      <c r="DE38984" s="7" t="n">
        <v>65533</v>
      </c>
      <c r="DF38984" s="7" t="n">
        <v>64080</v>
      </c>
      <c r="DG38984" s="7" t="s">
        <v>16</v>
      </c>
      <c r="DH38984" s="7" t="n">
        <f t="normal" ca="1">32-LENB(INDIRECT(ADDRESS(38984,111)))</f>
        <v>0</v>
      </c>
      <c r="DI38984" s="7" t="n">
        <v>7</v>
      </c>
      <c r="DJ38984" s="7" t="n">
        <v>65533</v>
      </c>
      <c r="DK38984" s="7" t="n">
        <v>64081</v>
      </c>
      <c r="DL38984" s="7" t="s">
        <v>16</v>
      </c>
      <c r="DM38984" s="7" t="n">
        <f t="normal" ca="1">32-LENB(INDIRECT(ADDRESS(38984,116)))</f>
        <v>0</v>
      </c>
      <c r="DN38984" s="7" t="n">
        <v>7</v>
      </c>
      <c r="DO38984" s="7" t="n">
        <v>65533</v>
      </c>
      <c r="DP38984" s="7" t="n">
        <v>64082</v>
      </c>
      <c r="DQ38984" s="7" t="s">
        <v>16</v>
      </c>
      <c r="DR38984" s="7" t="n">
        <f t="normal" ca="1">32-LENB(INDIRECT(ADDRESS(38984,121)))</f>
        <v>0</v>
      </c>
      <c r="DS38984" s="7" t="n">
        <v>7</v>
      </c>
      <c r="DT38984" s="7" t="n">
        <v>65533</v>
      </c>
      <c r="DU38984" s="7" t="n">
        <v>64083</v>
      </c>
      <c r="DV38984" s="7" t="s">
        <v>16</v>
      </c>
      <c r="DW38984" s="7" t="n">
        <f t="normal" ca="1">32-LENB(INDIRECT(ADDRESS(38984,126)))</f>
        <v>0</v>
      </c>
      <c r="DX38984" s="7" t="n">
        <v>7</v>
      </c>
      <c r="DY38984" s="7" t="n">
        <v>65533</v>
      </c>
      <c r="DZ38984" s="7" t="n">
        <v>64084</v>
      </c>
      <c r="EA38984" s="7" t="s">
        <v>16</v>
      </c>
      <c r="EB38984" s="7" t="n">
        <f t="normal" ca="1">32-LENB(INDIRECT(ADDRESS(38984,131)))</f>
        <v>0</v>
      </c>
      <c r="EC38984" s="7" t="n">
        <v>7</v>
      </c>
      <c r="ED38984" s="7" t="n">
        <v>65533</v>
      </c>
      <c r="EE38984" s="7" t="n">
        <v>17800</v>
      </c>
      <c r="EF38984" s="7" t="s">
        <v>16</v>
      </c>
      <c r="EG38984" s="7" t="n">
        <f t="normal" ca="1">32-LENB(INDIRECT(ADDRESS(38984,136)))</f>
        <v>0</v>
      </c>
      <c r="EH38984" s="7" t="n">
        <v>7</v>
      </c>
      <c r="EI38984" s="7" t="n">
        <v>65533</v>
      </c>
      <c r="EJ38984" s="7" t="n">
        <v>64085</v>
      </c>
      <c r="EK38984" s="7" t="s">
        <v>16</v>
      </c>
      <c r="EL38984" s="7" t="n">
        <f t="normal" ca="1">32-LENB(INDIRECT(ADDRESS(38984,141)))</f>
        <v>0</v>
      </c>
      <c r="EM38984" s="7" t="n">
        <v>7</v>
      </c>
      <c r="EN38984" s="7" t="n">
        <v>65533</v>
      </c>
      <c r="EO38984" s="7" t="n">
        <v>17801</v>
      </c>
      <c r="EP38984" s="7" t="s">
        <v>16</v>
      </c>
      <c r="EQ38984" s="7" t="n">
        <f t="normal" ca="1">32-LENB(INDIRECT(ADDRESS(38984,146)))</f>
        <v>0</v>
      </c>
      <c r="ER38984" s="7" t="n">
        <v>7</v>
      </c>
      <c r="ES38984" s="7" t="n">
        <v>65533</v>
      </c>
      <c r="ET38984" s="7" t="n">
        <v>17802</v>
      </c>
      <c r="EU38984" s="7" t="s">
        <v>16</v>
      </c>
      <c r="EV38984" s="7" t="n">
        <f t="normal" ca="1">32-LENB(INDIRECT(ADDRESS(38984,151)))</f>
        <v>0</v>
      </c>
      <c r="EW38984" s="7" t="n">
        <v>7</v>
      </c>
      <c r="EX38984" s="7" t="n">
        <v>65533</v>
      </c>
      <c r="EY38984" s="7" t="n">
        <v>17803</v>
      </c>
      <c r="EZ38984" s="7" t="s">
        <v>16</v>
      </c>
      <c r="FA38984" s="7" t="n">
        <f t="normal" ca="1">32-LENB(INDIRECT(ADDRESS(38984,156)))</f>
        <v>0</v>
      </c>
      <c r="FB38984" s="7" t="n">
        <v>7</v>
      </c>
      <c r="FC38984" s="7" t="n">
        <v>65533</v>
      </c>
      <c r="FD38984" s="7" t="n">
        <v>17804</v>
      </c>
      <c r="FE38984" s="7" t="s">
        <v>16</v>
      </c>
      <c r="FF38984" s="7" t="n">
        <f t="normal" ca="1">32-LENB(INDIRECT(ADDRESS(38984,161)))</f>
        <v>0</v>
      </c>
      <c r="FG38984" s="7" t="n">
        <v>7</v>
      </c>
      <c r="FH38984" s="7" t="n">
        <v>65533</v>
      </c>
      <c r="FI38984" s="7" t="n">
        <v>64086</v>
      </c>
      <c r="FJ38984" s="7" t="s">
        <v>16</v>
      </c>
      <c r="FK38984" s="7" t="n">
        <f t="normal" ca="1">32-LENB(INDIRECT(ADDRESS(38984,166)))</f>
        <v>0</v>
      </c>
      <c r="FL38984" s="7" t="n">
        <v>7</v>
      </c>
      <c r="FM38984" s="7" t="n">
        <v>65533</v>
      </c>
      <c r="FN38984" s="7" t="n">
        <v>17805</v>
      </c>
      <c r="FO38984" s="7" t="s">
        <v>16</v>
      </c>
      <c r="FP38984" s="7" t="n">
        <f t="normal" ca="1">32-LENB(INDIRECT(ADDRESS(38984,171)))</f>
        <v>0</v>
      </c>
      <c r="FQ38984" s="7" t="n">
        <v>7</v>
      </c>
      <c r="FR38984" s="7" t="n">
        <v>65533</v>
      </c>
      <c r="FS38984" s="7" t="n">
        <v>17806</v>
      </c>
      <c r="FT38984" s="7" t="s">
        <v>16</v>
      </c>
      <c r="FU38984" s="7" t="n">
        <f t="normal" ca="1">32-LENB(INDIRECT(ADDRESS(38984,176)))</f>
        <v>0</v>
      </c>
      <c r="FV38984" s="7" t="n">
        <v>7</v>
      </c>
      <c r="FW38984" s="7" t="n">
        <v>65533</v>
      </c>
      <c r="FX38984" s="7" t="n">
        <v>64268</v>
      </c>
      <c r="FY38984" s="7" t="s">
        <v>16</v>
      </c>
      <c r="FZ38984" s="7" t="n">
        <f t="normal" ca="1">32-LENB(INDIRECT(ADDRESS(38984,181)))</f>
        <v>0</v>
      </c>
      <c r="GA38984" s="7" t="n">
        <v>4</v>
      </c>
      <c r="GB38984" s="7" t="n">
        <v>65533</v>
      </c>
      <c r="GC38984" s="7" t="n">
        <v>2000</v>
      </c>
      <c r="GD38984" s="7" t="s">
        <v>16</v>
      </c>
      <c r="GE38984" s="7" t="n">
        <f t="normal" ca="1">32-LENB(INDIRECT(ADDRESS(38984,186)))</f>
        <v>0</v>
      </c>
      <c r="GF38984" s="7" t="n">
        <v>7</v>
      </c>
      <c r="GG38984" s="7" t="n">
        <v>65533</v>
      </c>
      <c r="GH38984" s="7" t="n">
        <v>17807</v>
      </c>
      <c r="GI38984" s="7" t="s">
        <v>16</v>
      </c>
      <c r="GJ38984" s="7" t="n">
        <f t="normal" ca="1">32-LENB(INDIRECT(ADDRESS(38984,191)))</f>
        <v>0</v>
      </c>
      <c r="GK38984" s="7" t="n">
        <v>7</v>
      </c>
      <c r="GL38984" s="7" t="n">
        <v>65533</v>
      </c>
      <c r="GM38984" s="7" t="n">
        <v>64087</v>
      </c>
      <c r="GN38984" s="7" t="s">
        <v>16</v>
      </c>
      <c r="GO38984" s="7" t="n">
        <f t="normal" ca="1">32-LENB(INDIRECT(ADDRESS(38984,196)))</f>
        <v>0</v>
      </c>
      <c r="GP38984" s="7" t="n">
        <v>7</v>
      </c>
      <c r="GQ38984" s="7" t="n">
        <v>65533</v>
      </c>
      <c r="GR38984" s="7" t="n">
        <v>64088</v>
      </c>
      <c r="GS38984" s="7" t="s">
        <v>16</v>
      </c>
      <c r="GT38984" s="7" t="n">
        <f t="normal" ca="1">32-LENB(INDIRECT(ADDRESS(38984,201)))</f>
        <v>0</v>
      </c>
      <c r="GU38984" s="7" t="n">
        <v>7</v>
      </c>
      <c r="GV38984" s="7" t="n">
        <v>65533</v>
      </c>
      <c r="GW38984" s="7" t="n">
        <v>17808</v>
      </c>
      <c r="GX38984" s="7" t="s">
        <v>16</v>
      </c>
      <c r="GY38984" s="7" t="n">
        <f t="normal" ca="1">32-LENB(INDIRECT(ADDRESS(38984,206)))</f>
        <v>0</v>
      </c>
      <c r="GZ38984" s="7" t="n">
        <v>7</v>
      </c>
      <c r="HA38984" s="7" t="n">
        <v>65533</v>
      </c>
      <c r="HB38984" s="7" t="n">
        <v>64089</v>
      </c>
      <c r="HC38984" s="7" t="s">
        <v>16</v>
      </c>
      <c r="HD38984" s="7" t="n">
        <f t="normal" ca="1">32-LENB(INDIRECT(ADDRESS(38984,211)))</f>
        <v>0</v>
      </c>
      <c r="HE38984" s="7" t="n">
        <v>7</v>
      </c>
      <c r="HF38984" s="7" t="n">
        <v>65533</v>
      </c>
      <c r="HG38984" s="7" t="n">
        <v>64090</v>
      </c>
      <c r="HH38984" s="7" t="s">
        <v>16</v>
      </c>
      <c r="HI38984" s="7" t="n">
        <f t="normal" ca="1">32-LENB(INDIRECT(ADDRESS(38984,216)))</f>
        <v>0</v>
      </c>
      <c r="HJ38984" s="7" t="n">
        <v>7</v>
      </c>
      <c r="HK38984" s="7" t="n">
        <v>65533</v>
      </c>
      <c r="HL38984" s="7" t="n">
        <v>64091</v>
      </c>
      <c r="HM38984" s="7" t="s">
        <v>16</v>
      </c>
      <c r="HN38984" s="7" t="n">
        <f t="normal" ca="1">32-LENB(INDIRECT(ADDRESS(38984,221)))</f>
        <v>0</v>
      </c>
      <c r="HO38984" s="7" t="n">
        <v>7</v>
      </c>
      <c r="HP38984" s="7" t="n">
        <v>65533</v>
      </c>
      <c r="HQ38984" s="7" t="n">
        <v>17809</v>
      </c>
      <c r="HR38984" s="7" t="s">
        <v>16</v>
      </c>
      <c r="HS38984" s="7" t="n">
        <f t="normal" ca="1">32-LENB(INDIRECT(ADDRESS(38984,226)))</f>
        <v>0</v>
      </c>
      <c r="HT38984" s="7" t="n">
        <v>7</v>
      </c>
      <c r="HU38984" s="7" t="n">
        <v>65533</v>
      </c>
      <c r="HV38984" s="7" t="n">
        <v>17810</v>
      </c>
      <c r="HW38984" s="7" t="s">
        <v>16</v>
      </c>
      <c r="HX38984" s="7" t="n">
        <f t="normal" ca="1">32-LENB(INDIRECT(ADDRESS(38984,231)))</f>
        <v>0</v>
      </c>
      <c r="HY38984" s="7" t="n">
        <v>7</v>
      </c>
      <c r="HZ38984" s="7" t="n">
        <v>65533</v>
      </c>
      <c r="IA38984" s="7" t="n">
        <v>17811</v>
      </c>
      <c r="IB38984" s="7" t="s">
        <v>16</v>
      </c>
      <c r="IC38984" s="7" t="n">
        <f t="normal" ca="1">32-LENB(INDIRECT(ADDRESS(38984,236)))</f>
        <v>0</v>
      </c>
      <c r="ID38984" s="7" t="n">
        <v>7</v>
      </c>
      <c r="IE38984" s="7" t="n">
        <v>65533</v>
      </c>
      <c r="IF38984" s="7" t="n">
        <v>17812</v>
      </c>
      <c r="IG38984" s="7" t="s">
        <v>16</v>
      </c>
      <c r="IH38984" s="7" t="n">
        <f t="normal" ca="1">32-LENB(INDIRECT(ADDRESS(38984,241)))</f>
        <v>0</v>
      </c>
      <c r="II38984" s="7" t="n">
        <v>7</v>
      </c>
      <c r="IJ38984" s="7" t="n">
        <v>65533</v>
      </c>
      <c r="IK38984" s="7" t="n">
        <v>17813</v>
      </c>
      <c r="IL38984" s="7" t="s">
        <v>16</v>
      </c>
      <c r="IM38984" s="7" t="n">
        <f t="normal" ca="1">32-LENB(INDIRECT(ADDRESS(38984,246)))</f>
        <v>0</v>
      </c>
      <c r="IN38984" s="7" t="n">
        <v>7</v>
      </c>
      <c r="IO38984" s="7" t="n">
        <v>65533</v>
      </c>
      <c r="IP38984" s="7" t="n">
        <v>64092</v>
      </c>
      <c r="IQ38984" s="7" t="s">
        <v>16</v>
      </c>
      <c r="IR38984" s="7" t="n">
        <f t="normal" ca="1">32-LENB(INDIRECT(ADDRESS(38984,251)))</f>
        <v>0</v>
      </c>
      <c r="IS38984" s="7" t="n">
        <v>7</v>
      </c>
      <c r="IT38984" s="7" t="n">
        <v>65533</v>
      </c>
      <c r="IU38984" s="7" t="n">
        <v>17814</v>
      </c>
      <c r="IV38984" s="7" t="s">
        <v>16</v>
      </c>
      <c r="IW38984" s="7" t="n">
        <f t="normal" ca="1">32-LENB(INDIRECT(ADDRESS(38984,256)))</f>
        <v>0</v>
      </c>
      <c r="IX38984" s="7" t="n">
        <v>7</v>
      </c>
      <c r="IY38984" s="7" t="n">
        <v>65533</v>
      </c>
      <c r="IZ38984" s="7" t="n">
        <v>17815</v>
      </c>
      <c r="JA38984" s="7" t="s">
        <v>16</v>
      </c>
      <c r="JB38984" s="7" t="n">
        <f t="normal" ca="1">32-LENB(INDIRECT(ADDRESS(38984,261)))</f>
        <v>0</v>
      </c>
      <c r="JC38984" s="7" t="n">
        <v>7</v>
      </c>
      <c r="JD38984" s="7" t="n">
        <v>65533</v>
      </c>
      <c r="JE38984" s="7" t="n">
        <v>17816</v>
      </c>
      <c r="JF38984" s="7" t="s">
        <v>16</v>
      </c>
      <c r="JG38984" s="7" t="n">
        <f t="normal" ca="1">32-LENB(INDIRECT(ADDRESS(38984,266)))</f>
        <v>0</v>
      </c>
      <c r="JH38984" s="7" t="n">
        <v>7</v>
      </c>
      <c r="JI38984" s="7" t="n">
        <v>65533</v>
      </c>
      <c r="JJ38984" s="7" t="n">
        <v>64093</v>
      </c>
      <c r="JK38984" s="7" t="s">
        <v>16</v>
      </c>
      <c r="JL38984" s="7" t="n">
        <f t="normal" ca="1">32-LENB(INDIRECT(ADDRESS(38984,271)))</f>
        <v>0</v>
      </c>
      <c r="JM38984" s="7" t="n">
        <v>7</v>
      </c>
      <c r="JN38984" s="7" t="n">
        <v>65533</v>
      </c>
      <c r="JO38984" s="7" t="n">
        <v>64094</v>
      </c>
      <c r="JP38984" s="7" t="s">
        <v>16</v>
      </c>
      <c r="JQ38984" s="7" t="n">
        <f t="normal" ca="1">32-LENB(INDIRECT(ADDRESS(38984,276)))</f>
        <v>0</v>
      </c>
      <c r="JR38984" s="7" t="n">
        <v>7</v>
      </c>
      <c r="JS38984" s="7" t="n">
        <v>65533</v>
      </c>
      <c r="JT38984" s="7" t="n">
        <v>17817</v>
      </c>
      <c r="JU38984" s="7" t="s">
        <v>16</v>
      </c>
      <c r="JV38984" s="7" t="n">
        <f t="normal" ca="1">32-LENB(INDIRECT(ADDRESS(38984,281)))</f>
        <v>0</v>
      </c>
      <c r="JW38984" s="7" t="n">
        <v>0</v>
      </c>
      <c r="JX38984" s="7" t="n">
        <v>65533</v>
      </c>
      <c r="JY38984" s="7" t="n">
        <v>0</v>
      </c>
      <c r="JZ38984" s="7" t="s">
        <v>16</v>
      </c>
      <c r="KA38984" s="7" t="n">
        <f t="normal" ca="1">32-LENB(INDIRECT(ADDRESS(38984,286)))</f>
        <v>0</v>
      </c>
    </row>
    <row r="38985" spans="1:367">
      <c r="A38985" t="s">
        <v>4</v>
      </c>
      <c r="B38985" s="4" t="s">
        <v>5</v>
      </c>
    </row>
    <row r="38986" spans="1:367">
      <c r="A38986" t="n">
        <v>476120</v>
      </c>
      <c r="B38986" s="5" t="n">
        <v>1</v>
      </c>
    </row>
    <row r="38987" spans="1:367" s="3" customFormat="1" customHeight="0">
      <c r="A38987" s="3" t="s">
        <v>2</v>
      </c>
      <c r="B38987" s="3" t="s">
        <v>1906</v>
      </c>
    </row>
    <row r="38988" spans="1:367">
      <c r="A38988" t="s">
        <v>4</v>
      </c>
      <c r="B38988" s="4" t="s">
        <v>5</v>
      </c>
      <c r="C38988" s="4" t="s">
        <v>11</v>
      </c>
      <c r="D38988" s="4" t="s">
        <v>11</v>
      </c>
      <c r="E38988" s="4" t="s">
        <v>15</v>
      </c>
      <c r="F38988" s="4" t="s">
        <v>8</v>
      </c>
      <c r="G38988" s="4" t="s">
        <v>1859</v>
      </c>
      <c r="H38988" s="4" t="s">
        <v>11</v>
      </c>
      <c r="I38988" s="4" t="s">
        <v>11</v>
      </c>
      <c r="J38988" s="4" t="s">
        <v>15</v>
      </c>
      <c r="K38988" s="4" t="s">
        <v>8</v>
      </c>
      <c r="L38988" s="4" t="s">
        <v>1859</v>
      </c>
      <c r="M38988" s="4" t="s">
        <v>11</v>
      </c>
      <c r="N38988" s="4" t="s">
        <v>11</v>
      </c>
      <c r="O38988" s="4" t="s">
        <v>15</v>
      </c>
      <c r="P38988" s="4" t="s">
        <v>8</v>
      </c>
      <c r="Q38988" s="4" t="s">
        <v>1859</v>
      </c>
      <c r="R38988" s="4" t="s">
        <v>11</v>
      </c>
      <c r="S38988" s="4" t="s">
        <v>11</v>
      </c>
      <c r="T38988" s="4" t="s">
        <v>15</v>
      </c>
      <c r="U38988" s="4" t="s">
        <v>8</v>
      </c>
      <c r="V38988" s="4" t="s">
        <v>1859</v>
      </c>
      <c r="W38988" s="4" t="s">
        <v>11</v>
      </c>
      <c r="X38988" s="4" t="s">
        <v>11</v>
      </c>
      <c r="Y38988" s="4" t="s">
        <v>15</v>
      </c>
      <c r="Z38988" s="4" t="s">
        <v>8</v>
      </c>
      <c r="AA38988" s="4" t="s">
        <v>1859</v>
      </c>
      <c r="AB38988" s="4" t="s">
        <v>11</v>
      </c>
      <c r="AC38988" s="4" t="s">
        <v>11</v>
      </c>
      <c r="AD38988" s="4" t="s">
        <v>15</v>
      </c>
      <c r="AE38988" s="4" t="s">
        <v>8</v>
      </c>
      <c r="AF38988" s="4" t="s">
        <v>1859</v>
      </c>
      <c r="AG38988" s="4" t="s">
        <v>11</v>
      </c>
      <c r="AH38988" s="4" t="s">
        <v>11</v>
      </c>
      <c r="AI38988" s="4" t="s">
        <v>15</v>
      </c>
      <c r="AJ38988" s="4" t="s">
        <v>8</v>
      </c>
      <c r="AK38988" s="4" t="s">
        <v>1859</v>
      </c>
      <c r="AL38988" s="4" t="s">
        <v>11</v>
      </c>
      <c r="AM38988" s="4" t="s">
        <v>11</v>
      </c>
      <c r="AN38988" s="4" t="s">
        <v>15</v>
      </c>
      <c r="AO38988" s="4" t="s">
        <v>8</v>
      </c>
      <c r="AP38988" s="4" t="s">
        <v>1859</v>
      </c>
      <c r="AQ38988" s="4" t="s">
        <v>11</v>
      </c>
      <c r="AR38988" s="4" t="s">
        <v>11</v>
      </c>
      <c r="AS38988" s="4" t="s">
        <v>15</v>
      </c>
      <c r="AT38988" s="4" t="s">
        <v>8</v>
      </c>
      <c r="AU38988" s="4" t="s">
        <v>1859</v>
      </c>
      <c r="AV38988" s="4" t="s">
        <v>11</v>
      </c>
      <c r="AW38988" s="4" t="s">
        <v>11</v>
      </c>
      <c r="AX38988" s="4" t="s">
        <v>15</v>
      </c>
      <c r="AY38988" s="4" t="s">
        <v>8</v>
      </c>
      <c r="AZ38988" s="4" t="s">
        <v>1859</v>
      </c>
      <c r="BA38988" s="4" t="s">
        <v>11</v>
      </c>
      <c r="BB38988" s="4" t="s">
        <v>11</v>
      </c>
      <c r="BC38988" s="4" t="s">
        <v>15</v>
      </c>
      <c r="BD38988" s="4" t="s">
        <v>8</v>
      </c>
      <c r="BE38988" s="4" t="s">
        <v>1859</v>
      </c>
      <c r="BF38988" s="4" t="s">
        <v>11</v>
      </c>
      <c r="BG38988" s="4" t="s">
        <v>11</v>
      </c>
      <c r="BH38988" s="4" t="s">
        <v>15</v>
      </c>
      <c r="BI38988" s="4" t="s">
        <v>8</v>
      </c>
      <c r="BJ38988" s="4" t="s">
        <v>1859</v>
      </c>
      <c r="BK38988" s="4" t="s">
        <v>11</v>
      </c>
      <c r="BL38988" s="4" t="s">
        <v>11</v>
      </c>
      <c r="BM38988" s="4" t="s">
        <v>15</v>
      </c>
      <c r="BN38988" s="4" t="s">
        <v>8</v>
      </c>
      <c r="BO38988" s="4" t="s">
        <v>1859</v>
      </c>
      <c r="BP38988" s="4" t="s">
        <v>11</v>
      </c>
      <c r="BQ38988" s="4" t="s">
        <v>11</v>
      </c>
      <c r="BR38988" s="4" t="s">
        <v>15</v>
      </c>
      <c r="BS38988" s="4" t="s">
        <v>8</v>
      </c>
      <c r="BT38988" s="4" t="s">
        <v>1859</v>
      </c>
      <c r="BU38988" s="4" t="s">
        <v>11</v>
      </c>
      <c r="BV38988" s="4" t="s">
        <v>11</v>
      </c>
      <c r="BW38988" s="4" t="s">
        <v>15</v>
      </c>
      <c r="BX38988" s="4" t="s">
        <v>8</v>
      </c>
      <c r="BY38988" s="4" t="s">
        <v>1859</v>
      </c>
      <c r="BZ38988" s="4" t="s">
        <v>11</v>
      </c>
      <c r="CA38988" s="4" t="s">
        <v>11</v>
      </c>
      <c r="CB38988" s="4" t="s">
        <v>15</v>
      </c>
      <c r="CC38988" s="4" t="s">
        <v>8</v>
      </c>
      <c r="CD38988" s="4" t="s">
        <v>1859</v>
      </c>
      <c r="CE38988" s="4" t="s">
        <v>11</v>
      </c>
      <c r="CF38988" s="4" t="s">
        <v>11</v>
      </c>
      <c r="CG38988" s="4" t="s">
        <v>15</v>
      </c>
      <c r="CH38988" s="4" t="s">
        <v>8</v>
      </c>
      <c r="CI38988" s="4" t="s">
        <v>1859</v>
      </c>
      <c r="CJ38988" s="4" t="s">
        <v>11</v>
      </c>
      <c r="CK38988" s="4" t="s">
        <v>11</v>
      </c>
      <c r="CL38988" s="4" t="s">
        <v>15</v>
      </c>
      <c r="CM38988" s="4" t="s">
        <v>8</v>
      </c>
      <c r="CN38988" s="4" t="s">
        <v>1859</v>
      </c>
      <c r="CO38988" s="4" t="s">
        <v>11</v>
      </c>
      <c r="CP38988" s="4" t="s">
        <v>11</v>
      </c>
      <c r="CQ38988" s="4" t="s">
        <v>15</v>
      </c>
      <c r="CR38988" s="4" t="s">
        <v>8</v>
      </c>
      <c r="CS38988" s="4" t="s">
        <v>1859</v>
      </c>
      <c r="CT38988" s="4" t="s">
        <v>11</v>
      </c>
      <c r="CU38988" s="4" t="s">
        <v>11</v>
      </c>
      <c r="CV38988" s="4" t="s">
        <v>15</v>
      </c>
      <c r="CW38988" s="4" t="s">
        <v>8</v>
      </c>
      <c r="CX38988" s="4" t="s">
        <v>1859</v>
      </c>
      <c r="CY38988" s="4" t="s">
        <v>11</v>
      </c>
      <c r="CZ38988" s="4" t="s">
        <v>11</v>
      </c>
      <c r="DA38988" s="4" t="s">
        <v>15</v>
      </c>
      <c r="DB38988" s="4" t="s">
        <v>8</v>
      </c>
      <c r="DC38988" s="4" t="s">
        <v>1859</v>
      </c>
      <c r="DD38988" s="4" t="s">
        <v>11</v>
      </c>
      <c r="DE38988" s="4" t="s">
        <v>11</v>
      </c>
      <c r="DF38988" s="4" t="s">
        <v>15</v>
      </c>
      <c r="DG38988" s="4" t="s">
        <v>8</v>
      </c>
      <c r="DH38988" s="4" t="s">
        <v>1859</v>
      </c>
      <c r="DI38988" s="4" t="s">
        <v>11</v>
      </c>
      <c r="DJ38988" s="4" t="s">
        <v>11</v>
      </c>
      <c r="DK38988" s="4" t="s">
        <v>15</v>
      </c>
      <c r="DL38988" s="4" t="s">
        <v>8</v>
      </c>
      <c r="DM38988" s="4" t="s">
        <v>1859</v>
      </c>
      <c r="DN38988" s="4" t="s">
        <v>11</v>
      </c>
      <c r="DO38988" s="4" t="s">
        <v>11</v>
      </c>
      <c r="DP38988" s="4" t="s">
        <v>15</v>
      </c>
      <c r="DQ38988" s="4" t="s">
        <v>8</v>
      </c>
      <c r="DR38988" s="4" t="s">
        <v>1859</v>
      </c>
      <c r="DS38988" s="4" t="s">
        <v>11</v>
      </c>
      <c r="DT38988" s="4" t="s">
        <v>11</v>
      </c>
      <c r="DU38988" s="4" t="s">
        <v>15</v>
      </c>
      <c r="DV38988" s="4" t="s">
        <v>8</v>
      </c>
      <c r="DW38988" s="4" t="s">
        <v>1859</v>
      </c>
      <c r="DX38988" s="4" t="s">
        <v>11</v>
      </c>
      <c r="DY38988" s="4" t="s">
        <v>11</v>
      </c>
      <c r="DZ38988" s="4" t="s">
        <v>15</v>
      </c>
      <c r="EA38988" s="4" t="s">
        <v>8</v>
      </c>
      <c r="EB38988" s="4" t="s">
        <v>1859</v>
      </c>
      <c r="EC38988" s="4" t="s">
        <v>11</v>
      </c>
      <c r="ED38988" s="4" t="s">
        <v>11</v>
      </c>
      <c r="EE38988" s="4" t="s">
        <v>15</v>
      </c>
      <c r="EF38988" s="4" t="s">
        <v>8</v>
      </c>
      <c r="EG38988" s="4" t="s">
        <v>1859</v>
      </c>
      <c r="EH38988" s="4" t="s">
        <v>11</v>
      </c>
      <c r="EI38988" s="4" t="s">
        <v>11</v>
      </c>
      <c r="EJ38988" s="4" t="s">
        <v>15</v>
      </c>
      <c r="EK38988" s="4" t="s">
        <v>8</v>
      </c>
      <c r="EL38988" s="4" t="s">
        <v>1859</v>
      </c>
      <c r="EM38988" s="4" t="s">
        <v>11</v>
      </c>
      <c r="EN38988" s="4" t="s">
        <v>11</v>
      </c>
      <c r="EO38988" s="4" t="s">
        <v>15</v>
      </c>
      <c r="EP38988" s="4" t="s">
        <v>8</v>
      </c>
      <c r="EQ38988" s="4" t="s">
        <v>1859</v>
      </c>
      <c r="ER38988" s="4" t="s">
        <v>11</v>
      </c>
      <c r="ES38988" s="4" t="s">
        <v>11</v>
      </c>
      <c r="ET38988" s="4" t="s">
        <v>15</v>
      </c>
      <c r="EU38988" s="4" t="s">
        <v>8</v>
      </c>
      <c r="EV38988" s="4" t="s">
        <v>1859</v>
      </c>
      <c r="EW38988" s="4" t="s">
        <v>11</v>
      </c>
      <c r="EX38988" s="4" t="s">
        <v>11</v>
      </c>
      <c r="EY38988" s="4" t="s">
        <v>15</v>
      </c>
      <c r="EZ38988" s="4" t="s">
        <v>8</v>
      </c>
      <c r="FA38988" s="4" t="s">
        <v>1859</v>
      </c>
      <c r="FB38988" s="4" t="s">
        <v>11</v>
      </c>
      <c r="FC38988" s="4" t="s">
        <v>11</v>
      </c>
      <c r="FD38988" s="4" t="s">
        <v>15</v>
      </c>
      <c r="FE38988" s="4" t="s">
        <v>8</v>
      </c>
      <c r="FF38988" s="4" t="s">
        <v>1859</v>
      </c>
      <c r="FG38988" s="4" t="s">
        <v>11</v>
      </c>
      <c r="FH38988" s="4" t="s">
        <v>11</v>
      </c>
      <c r="FI38988" s="4" t="s">
        <v>15</v>
      </c>
      <c r="FJ38988" s="4" t="s">
        <v>8</v>
      </c>
      <c r="FK38988" s="4" t="s">
        <v>1859</v>
      </c>
      <c r="FL38988" s="4" t="s">
        <v>11</v>
      </c>
      <c r="FM38988" s="4" t="s">
        <v>11</v>
      </c>
      <c r="FN38988" s="4" t="s">
        <v>15</v>
      </c>
      <c r="FO38988" s="4" t="s">
        <v>8</v>
      </c>
      <c r="FP38988" s="4" t="s">
        <v>1859</v>
      </c>
      <c r="FQ38988" s="4" t="s">
        <v>11</v>
      </c>
      <c r="FR38988" s="4" t="s">
        <v>11</v>
      </c>
      <c r="FS38988" s="4" t="s">
        <v>15</v>
      </c>
      <c r="FT38988" s="4" t="s">
        <v>8</v>
      </c>
      <c r="FU38988" s="4" t="s">
        <v>1859</v>
      </c>
      <c r="FV38988" s="4" t="s">
        <v>11</v>
      </c>
      <c r="FW38988" s="4" t="s">
        <v>11</v>
      </c>
      <c r="FX38988" s="4" t="s">
        <v>15</v>
      </c>
      <c r="FY38988" s="4" t="s">
        <v>8</v>
      </c>
      <c r="FZ38988" s="4" t="s">
        <v>1859</v>
      </c>
      <c r="GA38988" s="4" t="s">
        <v>11</v>
      </c>
      <c r="GB38988" s="4" t="s">
        <v>11</v>
      </c>
      <c r="GC38988" s="4" t="s">
        <v>15</v>
      </c>
      <c r="GD38988" s="4" t="s">
        <v>8</v>
      </c>
      <c r="GE38988" s="4" t="s">
        <v>1859</v>
      </c>
      <c r="GF38988" s="4" t="s">
        <v>11</v>
      </c>
      <c r="GG38988" s="4" t="s">
        <v>11</v>
      </c>
      <c r="GH38988" s="4" t="s">
        <v>15</v>
      </c>
      <c r="GI38988" s="4" t="s">
        <v>8</v>
      </c>
      <c r="GJ38988" s="4" t="s">
        <v>1859</v>
      </c>
      <c r="GK38988" s="4" t="s">
        <v>11</v>
      </c>
      <c r="GL38988" s="4" t="s">
        <v>11</v>
      </c>
      <c r="GM38988" s="4" t="s">
        <v>15</v>
      </c>
      <c r="GN38988" s="4" t="s">
        <v>8</v>
      </c>
      <c r="GO38988" s="4" t="s">
        <v>1859</v>
      </c>
      <c r="GP38988" s="4" t="s">
        <v>11</v>
      </c>
      <c r="GQ38988" s="4" t="s">
        <v>11</v>
      </c>
      <c r="GR38988" s="4" t="s">
        <v>15</v>
      </c>
      <c r="GS38988" s="4" t="s">
        <v>8</v>
      </c>
      <c r="GT38988" s="4" t="s">
        <v>1859</v>
      </c>
      <c r="GU38988" s="4" t="s">
        <v>11</v>
      </c>
      <c r="GV38988" s="4" t="s">
        <v>11</v>
      </c>
      <c r="GW38988" s="4" t="s">
        <v>15</v>
      </c>
      <c r="GX38988" s="4" t="s">
        <v>8</v>
      </c>
      <c r="GY38988" s="4" t="s">
        <v>1859</v>
      </c>
      <c r="GZ38988" s="4" t="s">
        <v>11</v>
      </c>
      <c r="HA38988" s="4" t="s">
        <v>11</v>
      </c>
      <c r="HB38988" s="4" t="s">
        <v>15</v>
      </c>
      <c r="HC38988" s="4" t="s">
        <v>8</v>
      </c>
      <c r="HD38988" s="4" t="s">
        <v>1859</v>
      </c>
      <c r="HE38988" s="4" t="s">
        <v>11</v>
      </c>
      <c r="HF38988" s="4" t="s">
        <v>11</v>
      </c>
      <c r="HG38988" s="4" t="s">
        <v>15</v>
      </c>
      <c r="HH38988" s="4" t="s">
        <v>8</v>
      </c>
      <c r="HI38988" s="4" t="s">
        <v>1859</v>
      </c>
      <c r="HJ38988" s="4" t="s">
        <v>11</v>
      </c>
      <c r="HK38988" s="4" t="s">
        <v>11</v>
      </c>
      <c r="HL38988" s="4" t="s">
        <v>15</v>
      </c>
      <c r="HM38988" s="4" t="s">
        <v>8</v>
      </c>
      <c r="HN38988" s="4" t="s">
        <v>1859</v>
      </c>
      <c r="HO38988" s="4" t="s">
        <v>11</v>
      </c>
      <c r="HP38988" s="4" t="s">
        <v>11</v>
      </c>
      <c r="HQ38988" s="4" t="s">
        <v>15</v>
      </c>
      <c r="HR38988" s="4" t="s">
        <v>8</v>
      </c>
      <c r="HS38988" s="4" t="s">
        <v>1859</v>
      </c>
      <c r="HT38988" s="4" t="s">
        <v>11</v>
      </c>
      <c r="HU38988" s="4" t="s">
        <v>11</v>
      </c>
      <c r="HV38988" s="4" t="s">
        <v>15</v>
      </c>
      <c r="HW38988" s="4" t="s">
        <v>8</v>
      </c>
      <c r="HX38988" s="4" t="s">
        <v>1859</v>
      </c>
      <c r="HY38988" s="4" t="s">
        <v>11</v>
      </c>
      <c r="HZ38988" s="4" t="s">
        <v>11</v>
      </c>
      <c r="IA38988" s="4" t="s">
        <v>15</v>
      </c>
      <c r="IB38988" s="4" t="s">
        <v>8</v>
      </c>
      <c r="IC38988" s="4" t="s">
        <v>1859</v>
      </c>
      <c r="ID38988" s="4" t="s">
        <v>11</v>
      </c>
      <c r="IE38988" s="4" t="s">
        <v>11</v>
      </c>
      <c r="IF38988" s="4" t="s">
        <v>15</v>
      </c>
      <c r="IG38988" s="4" t="s">
        <v>8</v>
      </c>
      <c r="IH38988" s="4" t="s">
        <v>1859</v>
      </c>
      <c r="II38988" s="4" t="s">
        <v>11</v>
      </c>
      <c r="IJ38988" s="4" t="s">
        <v>11</v>
      </c>
      <c r="IK38988" s="4" t="s">
        <v>15</v>
      </c>
      <c r="IL38988" s="4" t="s">
        <v>8</v>
      </c>
      <c r="IM38988" s="4" t="s">
        <v>1859</v>
      </c>
      <c r="IN38988" s="4" t="s">
        <v>11</v>
      </c>
      <c r="IO38988" s="4" t="s">
        <v>11</v>
      </c>
      <c r="IP38988" s="4" t="s">
        <v>15</v>
      </c>
      <c r="IQ38988" s="4" t="s">
        <v>8</v>
      </c>
      <c r="IR38988" s="4" t="s">
        <v>1859</v>
      </c>
      <c r="IS38988" s="4" t="s">
        <v>11</v>
      </c>
      <c r="IT38988" s="4" t="s">
        <v>11</v>
      </c>
      <c r="IU38988" s="4" t="s">
        <v>15</v>
      </c>
      <c r="IV38988" s="4" t="s">
        <v>8</v>
      </c>
      <c r="IW38988" s="4" t="s">
        <v>1859</v>
      </c>
      <c r="IX38988" s="4" t="s">
        <v>11</v>
      </c>
      <c r="IY38988" s="4" t="s">
        <v>11</v>
      </c>
      <c r="IZ38988" s="4" t="s">
        <v>15</v>
      </c>
      <c r="JA38988" s="4" t="s">
        <v>8</v>
      </c>
      <c r="JB38988" s="4" t="s">
        <v>1859</v>
      </c>
      <c r="JC38988" s="4" t="s">
        <v>11</v>
      </c>
      <c r="JD38988" s="4" t="s">
        <v>11</v>
      </c>
      <c r="JE38988" s="4" t="s">
        <v>15</v>
      </c>
      <c r="JF38988" s="4" t="s">
        <v>8</v>
      </c>
      <c r="JG38988" s="4" t="s">
        <v>1859</v>
      </c>
      <c r="JH38988" s="4" t="s">
        <v>11</v>
      </c>
      <c r="JI38988" s="4" t="s">
        <v>11</v>
      </c>
      <c r="JJ38988" s="4" t="s">
        <v>15</v>
      </c>
      <c r="JK38988" s="4" t="s">
        <v>8</v>
      </c>
      <c r="JL38988" s="4" t="s">
        <v>1859</v>
      </c>
      <c r="JM38988" s="4" t="s">
        <v>11</v>
      </c>
      <c r="JN38988" s="4" t="s">
        <v>11</v>
      </c>
      <c r="JO38988" s="4" t="s">
        <v>15</v>
      </c>
      <c r="JP38988" s="4" t="s">
        <v>8</v>
      </c>
      <c r="JQ38988" s="4" t="s">
        <v>1859</v>
      </c>
      <c r="JR38988" s="4" t="s">
        <v>11</v>
      </c>
      <c r="JS38988" s="4" t="s">
        <v>11</v>
      </c>
      <c r="JT38988" s="4" t="s">
        <v>15</v>
      </c>
      <c r="JU38988" s="4" t="s">
        <v>8</v>
      </c>
      <c r="JV38988" s="4" t="s">
        <v>1859</v>
      </c>
      <c r="JW38988" s="4" t="s">
        <v>11</v>
      </c>
      <c r="JX38988" s="4" t="s">
        <v>11</v>
      </c>
      <c r="JY38988" s="4" t="s">
        <v>15</v>
      </c>
      <c r="JZ38988" s="4" t="s">
        <v>8</v>
      </c>
      <c r="KA38988" s="4" t="s">
        <v>1859</v>
      </c>
      <c r="KB38988" s="4" t="s">
        <v>11</v>
      </c>
      <c r="KC38988" s="4" t="s">
        <v>11</v>
      </c>
      <c r="KD38988" s="4" t="s">
        <v>15</v>
      </c>
      <c r="KE38988" s="4" t="s">
        <v>8</v>
      </c>
      <c r="KF38988" s="4" t="s">
        <v>1859</v>
      </c>
      <c r="KG38988" s="4" t="s">
        <v>11</v>
      </c>
      <c r="KH38988" s="4" t="s">
        <v>11</v>
      </c>
      <c r="KI38988" s="4" t="s">
        <v>15</v>
      </c>
      <c r="KJ38988" s="4" t="s">
        <v>8</v>
      </c>
      <c r="KK38988" s="4" t="s">
        <v>1859</v>
      </c>
      <c r="KL38988" s="4" t="s">
        <v>11</v>
      </c>
      <c r="KM38988" s="4" t="s">
        <v>11</v>
      </c>
      <c r="KN38988" s="4" t="s">
        <v>15</v>
      </c>
      <c r="KO38988" s="4" t="s">
        <v>8</v>
      </c>
      <c r="KP38988" s="4" t="s">
        <v>1859</v>
      </c>
    </row>
    <row r="38989" spans="1:367">
      <c r="A38989" t="n">
        <v>476128</v>
      </c>
      <c r="B38989" s="85" t="n">
        <v>257</v>
      </c>
      <c r="C38989" s="7" t="n">
        <v>7</v>
      </c>
      <c r="D38989" s="7" t="n">
        <v>65533</v>
      </c>
      <c r="E38989" s="7" t="n">
        <v>64095</v>
      </c>
      <c r="F38989" s="7" t="s">
        <v>16</v>
      </c>
      <c r="G38989" s="7" t="n">
        <f t="normal" ca="1">32-LENB(INDIRECT(ADDRESS(38989,6)))</f>
        <v>0</v>
      </c>
      <c r="H38989" s="7" t="n">
        <v>7</v>
      </c>
      <c r="I38989" s="7" t="n">
        <v>65533</v>
      </c>
      <c r="J38989" s="7" t="n">
        <v>64096</v>
      </c>
      <c r="K38989" s="7" t="s">
        <v>16</v>
      </c>
      <c r="L38989" s="7" t="n">
        <f t="normal" ca="1">32-LENB(INDIRECT(ADDRESS(38989,11)))</f>
        <v>0</v>
      </c>
      <c r="M38989" s="7" t="n">
        <v>7</v>
      </c>
      <c r="N38989" s="7" t="n">
        <v>65533</v>
      </c>
      <c r="O38989" s="7" t="n">
        <v>64097</v>
      </c>
      <c r="P38989" s="7" t="s">
        <v>16</v>
      </c>
      <c r="Q38989" s="7" t="n">
        <f t="normal" ca="1">32-LENB(INDIRECT(ADDRESS(38989,16)))</f>
        <v>0</v>
      </c>
      <c r="R38989" s="7" t="n">
        <v>7</v>
      </c>
      <c r="S38989" s="7" t="n">
        <v>65533</v>
      </c>
      <c r="T38989" s="7" t="n">
        <v>64098</v>
      </c>
      <c r="U38989" s="7" t="s">
        <v>16</v>
      </c>
      <c r="V38989" s="7" t="n">
        <f t="normal" ca="1">32-LENB(INDIRECT(ADDRESS(38989,21)))</f>
        <v>0</v>
      </c>
      <c r="W38989" s="7" t="n">
        <v>7</v>
      </c>
      <c r="X38989" s="7" t="n">
        <v>65533</v>
      </c>
      <c r="Y38989" s="7" t="n">
        <v>64099</v>
      </c>
      <c r="Z38989" s="7" t="s">
        <v>16</v>
      </c>
      <c r="AA38989" s="7" t="n">
        <f t="normal" ca="1">32-LENB(INDIRECT(ADDRESS(38989,26)))</f>
        <v>0</v>
      </c>
      <c r="AB38989" s="7" t="n">
        <v>7</v>
      </c>
      <c r="AC38989" s="7" t="n">
        <v>65533</v>
      </c>
      <c r="AD38989" s="7" t="n">
        <v>64100</v>
      </c>
      <c r="AE38989" s="7" t="s">
        <v>16</v>
      </c>
      <c r="AF38989" s="7" t="n">
        <f t="normal" ca="1">32-LENB(INDIRECT(ADDRESS(38989,31)))</f>
        <v>0</v>
      </c>
      <c r="AG38989" s="7" t="n">
        <v>7</v>
      </c>
      <c r="AH38989" s="7" t="n">
        <v>65533</v>
      </c>
      <c r="AI38989" s="7" t="n">
        <v>64101</v>
      </c>
      <c r="AJ38989" s="7" t="s">
        <v>16</v>
      </c>
      <c r="AK38989" s="7" t="n">
        <f t="normal" ca="1">32-LENB(INDIRECT(ADDRESS(38989,36)))</f>
        <v>0</v>
      </c>
      <c r="AL38989" s="7" t="n">
        <v>7</v>
      </c>
      <c r="AM38989" s="7" t="n">
        <v>65533</v>
      </c>
      <c r="AN38989" s="7" t="n">
        <v>64102</v>
      </c>
      <c r="AO38989" s="7" t="s">
        <v>16</v>
      </c>
      <c r="AP38989" s="7" t="n">
        <f t="normal" ca="1">32-LENB(INDIRECT(ADDRESS(38989,41)))</f>
        <v>0</v>
      </c>
      <c r="AQ38989" s="7" t="n">
        <v>7</v>
      </c>
      <c r="AR38989" s="7" t="n">
        <v>65533</v>
      </c>
      <c r="AS38989" s="7" t="n">
        <v>64103</v>
      </c>
      <c r="AT38989" s="7" t="s">
        <v>16</v>
      </c>
      <c r="AU38989" s="7" t="n">
        <f t="normal" ca="1">32-LENB(INDIRECT(ADDRESS(38989,46)))</f>
        <v>0</v>
      </c>
      <c r="AV38989" s="7" t="n">
        <v>7</v>
      </c>
      <c r="AW38989" s="7" t="n">
        <v>65533</v>
      </c>
      <c r="AX38989" s="7" t="n">
        <v>64104</v>
      </c>
      <c r="AY38989" s="7" t="s">
        <v>16</v>
      </c>
      <c r="AZ38989" s="7" t="n">
        <f t="normal" ca="1">32-LENB(INDIRECT(ADDRESS(38989,51)))</f>
        <v>0</v>
      </c>
      <c r="BA38989" s="7" t="n">
        <v>7</v>
      </c>
      <c r="BB38989" s="7" t="n">
        <v>65533</v>
      </c>
      <c r="BC38989" s="7" t="n">
        <v>64105</v>
      </c>
      <c r="BD38989" s="7" t="s">
        <v>16</v>
      </c>
      <c r="BE38989" s="7" t="n">
        <f t="normal" ca="1">32-LENB(INDIRECT(ADDRESS(38989,56)))</f>
        <v>0</v>
      </c>
      <c r="BF38989" s="7" t="n">
        <v>7</v>
      </c>
      <c r="BG38989" s="7" t="n">
        <v>65533</v>
      </c>
      <c r="BH38989" s="7" t="n">
        <v>64106</v>
      </c>
      <c r="BI38989" s="7" t="s">
        <v>16</v>
      </c>
      <c r="BJ38989" s="7" t="n">
        <f t="normal" ca="1">32-LENB(INDIRECT(ADDRESS(38989,61)))</f>
        <v>0</v>
      </c>
      <c r="BK38989" s="7" t="n">
        <v>7</v>
      </c>
      <c r="BL38989" s="7" t="n">
        <v>65533</v>
      </c>
      <c r="BM38989" s="7" t="n">
        <v>64107</v>
      </c>
      <c r="BN38989" s="7" t="s">
        <v>16</v>
      </c>
      <c r="BO38989" s="7" t="n">
        <f t="normal" ca="1">32-LENB(INDIRECT(ADDRESS(38989,66)))</f>
        <v>0</v>
      </c>
      <c r="BP38989" s="7" t="n">
        <v>7</v>
      </c>
      <c r="BQ38989" s="7" t="n">
        <v>65533</v>
      </c>
      <c r="BR38989" s="7" t="n">
        <v>64108</v>
      </c>
      <c r="BS38989" s="7" t="s">
        <v>16</v>
      </c>
      <c r="BT38989" s="7" t="n">
        <f t="normal" ca="1">32-LENB(INDIRECT(ADDRESS(38989,71)))</f>
        <v>0</v>
      </c>
      <c r="BU38989" s="7" t="n">
        <v>7</v>
      </c>
      <c r="BV38989" s="7" t="n">
        <v>65533</v>
      </c>
      <c r="BW38989" s="7" t="n">
        <v>64109</v>
      </c>
      <c r="BX38989" s="7" t="s">
        <v>16</v>
      </c>
      <c r="BY38989" s="7" t="n">
        <f t="normal" ca="1">32-LENB(INDIRECT(ADDRESS(38989,76)))</f>
        <v>0</v>
      </c>
      <c r="BZ38989" s="7" t="n">
        <v>7</v>
      </c>
      <c r="CA38989" s="7" t="n">
        <v>65533</v>
      </c>
      <c r="CB38989" s="7" t="n">
        <v>64110</v>
      </c>
      <c r="CC38989" s="7" t="s">
        <v>16</v>
      </c>
      <c r="CD38989" s="7" t="n">
        <f t="normal" ca="1">32-LENB(INDIRECT(ADDRESS(38989,81)))</f>
        <v>0</v>
      </c>
      <c r="CE38989" s="7" t="n">
        <v>7</v>
      </c>
      <c r="CF38989" s="7" t="n">
        <v>65533</v>
      </c>
      <c r="CG38989" s="7" t="n">
        <v>64111</v>
      </c>
      <c r="CH38989" s="7" t="s">
        <v>16</v>
      </c>
      <c r="CI38989" s="7" t="n">
        <f t="normal" ca="1">32-LENB(INDIRECT(ADDRESS(38989,86)))</f>
        <v>0</v>
      </c>
      <c r="CJ38989" s="7" t="n">
        <v>7</v>
      </c>
      <c r="CK38989" s="7" t="n">
        <v>65533</v>
      </c>
      <c r="CL38989" s="7" t="n">
        <v>64112</v>
      </c>
      <c r="CM38989" s="7" t="s">
        <v>16</v>
      </c>
      <c r="CN38989" s="7" t="n">
        <f t="normal" ca="1">32-LENB(INDIRECT(ADDRESS(38989,91)))</f>
        <v>0</v>
      </c>
      <c r="CO38989" s="7" t="n">
        <v>7</v>
      </c>
      <c r="CP38989" s="7" t="n">
        <v>65533</v>
      </c>
      <c r="CQ38989" s="7" t="n">
        <v>64113</v>
      </c>
      <c r="CR38989" s="7" t="s">
        <v>16</v>
      </c>
      <c r="CS38989" s="7" t="n">
        <f t="normal" ca="1">32-LENB(INDIRECT(ADDRESS(38989,96)))</f>
        <v>0</v>
      </c>
      <c r="CT38989" s="7" t="n">
        <v>7</v>
      </c>
      <c r="CU38989" s="7" t="n">
        <v>65533</v>
      </c>
      <c r="CV38989" s="7" t="n">
        <v>64114</v>
      </c>
      <c r="CW38989" s="7" t="s">
        <v>16</v>
      </c>
      <c r="CX38989" s="7" t="n">
        <f t="normal" ca="1">32-LENB(INDIRECT(ADDRESS(38989,101)))</f>
        <v>0</v>
      </c>
      <c r="CY38989" s="7" t="n">
        <v>7</v>
      </c>
      <c r="CZ38989" s="7" t="n">
        <v>65533</v>
      </c>
      <c r="DA38989" s="7" t="n">
        <v>64115</v>
      </c>
      <c r="DB38989" s="7" t="s">
        <v>16</v>
      </c>
      <c r="DC38989" s="7" t="n">
        <f t="normal" ca="1">32-LENB(INDIRECT(ADDRESS(38989,106)))</f>
        <v>0</v>
      </c>
      <c r="DD38989" s="7" t="n">
        <v>7</v>
      </c>
      <c r="DE38989" s="7" t="n">
        <v>65533</v>
      </c>
      <c r="DF38989" s="7" t="n">
        <v>6800</v>
      </c>
      <c r="DG38989" s="7" t="s">
        <v>16</v>
      </c>
      <c r="DH38989" s="7" t="n">
        <f t="normal" ca="1">32-LENB(INDIRECT(ADDRESS(38989,111)))</f>
        <v>0</v>
      </c>
      <c r="DI38989" s="7" t="n">
        <v>7</v>
      </c>
      <c r="DJ38989" s="7" t="n">
        <v>65533</v>
      </c>
      <c r="DK38989" s="7" t="n">
        <v>6801</v>
      </c>
      <c r="DL38989" s="7" t="s">
        <v>16</v>
      </c>
      <c r="DM38989" s="7" t="n">
        <f t="normal" ca="1">32-LENB(INDIRECT(ADDRESS(38989,116)))</f>
        <v>0</v>
      </c>
      <c r="DN38989" s="7" t="n">
        <v>7</v>
      </c>
      <c r="DO38989" s="7" t="n">
        <v>65533</v>
      </c>
      <c r="DP38989" s="7" t="n">
        <v>64116</v>
      </c>
      <c r="DQ38989" s="7" t="s">
        <v>16</v>
      </c>
      <c r="DR38989" s="7" t="n">
        <f t="normal" ca="1">32-LENB(INDIRECT(ADDRESS(38989,121)))</f>
        <v>0</v>
      </c>
      <c r="DS38989" s="7" t="n">
        <v>7</v>
      </c>
      <c r="DT38989" s="7" t="n">
        <v>65533</v>
      </c>
      <c r="DU38989" s="7" t="n">
        <v>64117</v>
      </c>
      <c r="DV38989" s="7" t="s">
        <v>16</v>
      </c>
      <c r="DW38989" s="7" t="n">
        <f t="normal" ca="1">32-LENB(INDIRECT(ADDRESS(38989,126)))</f>
        <v>0</v>
      </c>
      <c r="DX38989" s="7" t="n">
        <v>7</v>
      </c>
      <c r="DY38989" s="7" t="n">
        <v>65533</v>
      </c>
      <c r="DZ38989" s="7" t="n">
        <v>64118</v>
      </c>
      <c r="EA38989" s="7" t="s">
        <v>16</v>
      </c>
      <c r="EB38989" s="7" t="n">
        <f t="normal" ca="1">32-LENB(INDIRECT(ADDRESS(38989,131)))</f>
        <v>0</v>
      </c>
      <c r="EC38989" s="7" t="n">
        <v>7</v>
      </c>
      <c r="ED38989" s="7" t="n">
        <v>65533</v>
      </c>
      <c r="EE38989" s="7" t="n">
        <v>6802</v>
      </c>
      <c r="EF38989" s="7" t="s">
        <v>16</v>
      </c>
      <c r="EG38989" s="7" t="n">
        <f t="normal" ca="1">32-LENB(INDIRECT(ADDRESS(38989,136)))</f>
        <v>0</v>
      </c>
      <c r="EH38989" s="7" t="n">
        <v>7</v>
      </c>
      <c r="EI38989" s="7" t="n">
        <v>65533</v>
      </c>
      <c r="EJ38989" s="7" t="n">
        <v>6803</v>
      </c>
      <c r="EK38989" s="7" t="s">
        <v>16</v>
      </c>
      <c r="EL38989" s="7" t="n">
        <f t="normal" ca="1">32-LENB(INDIRECT(ADDRESS(38989,141)))</f>
        <v>0</v>
      </c>
      <c r="EM38989" s="7" t="n">
        <v>7</v>
      </c>
      <c r="EN38989" s="7" t="n">
        <v>65533</v>
      </c>
      <c r="EO38989" s="7" t="n">
        <v>6804</v>
      </c>
      <c r="EP38989" s="7" t="s">
        <v>16</v>
      </c>
      <c r="EQ38989" s="7" t="n">
        <f t="normal" ca="1">32-LENB(INDIRECT(ADDRESS(38989,146)))</f>
        <v>0</v>
      </c>
      <c r="ER38989" s="7" t="n">
        <v>7</v>
      </c>
      <c r="ES38989" s="7" t="n">
        <v>65533</v>
      </c>
      <c r="ET38989" s="7" t="n">
        <v>6805</v>
      </c>
      <c r="EU38989" s="7" t="s">
        <v>16</v>
      </c>
      <c r="EV38989" s="7" t="n">
        <f t="normal" ca="1">32-LENB(INDIRECT(ADDRESS(38989,151)))</f>
        <v>0</v>
      </c>
      <c r="EW38989" s="7" t="n">
        <v>7</v>
      </c>
      <c r="EX38989" s="7" t="n">
        <v>65533</v>
      </c>
      <c r="EY38989" s="7" t="n">
        <v>6806</v>
      </c>
      <c r="EZ38989" s="7" t="s">
        <v>16</v>
      </c>
      <c r="FA38989" s="7" t="n">
        <f t="normal" ca="1">32-LENB(INDIRECT(ADDRESS(38989,156)))</f>
        <v>0</v>
      </c>
      <c r="FB38989" s="7" t="n">
        <v>7</v>
      </c>
      <c r="FC38989" s="7" t="n">
        <v>65533</v>
      </c>
      <c r="FD38989" s="7" t="n">
        <v>64119</v>
      </c>
      <c r="FE38989" s="7" t="s">
        <v>16</v>
      </c>
      <c r="FF38989" s="7" t="n">
        <f t="normal" ca="1">32-LENB(INDIRECT(ADDRESS(38989,161)))</f>
        <v>0</v>
      </c>
      <c r="FG38989" s="7" t="n">
        <v>7</v>
      </c>
      <c r="FH38989" s="7" t="n">
        <v>65533</v>
      </c>
      <c r="FI38989" s="7" t="n">
        <v>6807</v>
      </c>
      <c r="FJ38989" s="7" t="s">
        <v>16</v>
      </c>
      <c r="FK38989" s="7" t="n">
        <f t="normal" ca="1">32-LENB(INDIRECT(ADDRESS(38989,166)))</f>
        <v>0</v>
      </c>
      <c r="FL38989" s="7" t="n">
        <v>7</v>
      </c>
      <c r="FM38989" s="7" t="n">
        <v>65533</v>
      </c>
      <c r="FN38989" s="7" t="n">
        <v>6808</v>
      </c>
      <c r="FO38989" s="7" t="s">
        <v>16</v>
      </c>
      <c r="FP38989" s="7" t="n">
        <f t="normal" ca="1">32-LENB(INDIRECT(ADDRESS(38989,171)))</f>
        <v>0</v>
      </c>
      <c r="FQ38989" s="7" t="n">
        <v>7</v>
      </c>
      <c r="FR38989" s="7" t="n">
        <v>65533</v>
      </c>
      <c r="FS38989" s="7" t="n">
        <v>6809</v>
      </c>
      <c r="FT38989" s="7" t="s">
        <v>16</v>
      </c>
      <c r="FU38989" s="7" t="n">
        <f t="normal" ca="1">32-LENB(INDIRECT(ADDRESS(38989,176)))</f>
        <v>0</v>
      </c>
      <c r="FV38989" s="7" t="n">
        <v>7</v>
      </c>
      <c r="FW38989" s="7" t="n">
        <v>65533</v>
      </c>
      <c r="FX38989" s="7" t="n">
        <v>6810</v>
      </c>
      <c r="FY38989" s="7" t="s">
        <v>16</v>
      </c>
      <c r="FZ38989" s="7" t="n">
        <f t="normal" ca="1">32-LENB(INDIRECT(ADDRESS(38989,181)))</f>
        <v>0</v>
      </c>
      <c r="GA38989" s="7" t="n">
        <v>7</v>
      </c>
      <c r="GB38989" s="7" t="n">
        <v>65533</v>
      </c>
      <c r="GC38989" s="7" t="n">
        <v>64120</v>
      </c>
      <c r="GD38989" s="7" t="s">
        <v>16</v>
      </c>
      <c r="GE38989" s="7" t="n">
        <f t="normal" ca="1">32-LENB(INDIRECT(ADDRESS(38989,186)))</f>
        <v>0</v>
      </c>
      <c r="GF38989" s="7" t="n">
        <v>7</v>
      </c>
      <c r="GG38989" s="7" t="n">
        <v>65533</v>
      </c>
      <c r="GH38989" s="7" t="n">
        <v>64121</v>
      </c>
      <c r="GI38989" s="7" t="s">
        <v>16</v>
      </c>
      <c r="GJ38989" s="7" t="n">
        <f t="normal" ca="1">32-LENB(INDIRECT(ADDRESS(38989,191)))</f>
        <v>0</v>
      </c>
      <c r="GK38989" s="7" t="n">
        <v>7</v>
      </c>
      <c r="GL38989" s="7" t="n">
        <v>65533</v>
      </c>
      <c r="GM38989" s="7" t="n">
        <v>64122</v>
      </c>
      <c r="GN38989" s="7" t="s">
        <v>16</v>
      </c>
      <c r="GO38989" s="7" t="n">
        <f t="normal" ca="1">32-LENB(INDIRECT(ADDRESS(38989,196)))</f>
        <v>0</v>
      </c>
      <c r="GP38989" s="7" t="n">
        <v>7</v>
      </c>
      <c r="GQ38989" s="7" t="n">
        <v>65533</v>
      </c>
      <c r="GR38989" s="7" t="n">
        <v>6811</v>
      </c>
      <c r="GS38989" s="7" t="s">
        <v>16</v>
      </c>
      <c r="GT38989" s="7" t="n">
        <f t="normal" ca="1">32-LENB(INDIRECT(ADDRESS(38989,201)))</f>
        <v>0</v>
      </c>
      <c r="GU38989" s="7" t="n">
        <v>7</v>
      </c>
      <c r="GV38989" s="7" t="n">
        <v>65533</v>
      </c>
      <c r="GW38989" s="7" t="n">
        <v>6812</v>
      </c>
      <c r="GX38989" s="7" t="s">
        <v>16</v>
      </c>
      <c r="GY38989" s="7" t="n">
        <f t="normal" ca="1">32-LENB(INDIRECT(ADDRESS(38989,206)))</f>
        <v>0</v>
      </c>
      <c r="GZ38989" s="7" t="n">
        <v>7</v>
      </c>
      <c r="HA38989" s="7" t="n">
        <v>65533</v>
      </c>
      <c r="HB38989" s="7" t="n">
        <v>64123</v>
      </c>
      <c r="HC38989" s="7" t="s">
        <v>16</v>
      </c>
      <c r="HD38989" s="7" t="n">
        <f t="normal" ca="1">32-LENB(INDIRECT(ADDRESS(38989,211)))</f>
        <v>0</v>
      </c>
      <c r="HE38989" s="7" t="n">
        <v>7</v>
      </c>
      <c r="HF38989" s="7" t="n">
        <v>65533</v>
      </c>
      <c r="HG38989" s="7" t="n">
        <v>6813</v>
      </c>
      <c r="HH38989" s="7" t="s">
        <v>16</v>
      </c>
      <c r="HI38989" s="7" t="n">
        <f t="normal" ca="1">32-LENB(INDIRECT(ADDRESS(38989,216)))</f>
        <v>0</v>
      </c>
      <c r="HJ38989" s="7" t="n">
        <v>7</v>
      </c>
      <c r="HK38989" s="7" t="n">
        <v>65533</v>
      </c>
      <c r="HL38989" s="7" t="n">
        <v>6814</v>
      </c>
      <c r="HM38989" s="7" t="s">
        <v>16</v>
      </c>
      <c r="HN38989" s="7" t="n">
        <f t="normal" ca="1">32-LENB(INDIRECT(ADDRESS(38989,221)))</f>
        <v>0</v>
      </c>
      <c r="HO38989" s="7" t="n">
        <v>7</v>
      </c>
      <c r="HP38989" s="7" t="n">
        <v>65533</v>
      </c>
      <c r="HQ38989" s="7" t="n">
        <v>6815</v>
      </c>
      <c r="HR38989" s="7" t="s">
        <v>16</v>
      </c>
      <c r="HS38989" s="7" t="n">
        <f t="normal" ca="1">32-LENB(INDIRECT(ADDRESS(38989,226)))</f>
        <v>0</v>
      </c>
      <c r="HT38989" s="7" t="n">
        <v>7</v>
      </c>
      <c r="HU38989" s="7" t="n">
        <v>65533</v>
      </c>
      <c r="HV38989" s="7" t="n">
        <v>6816</v>
      </c>
      <c r="HW38989" s="7" t="s">
        <v>16</v>
      </c>
      <c r="HX38989" s="7" t="n">
        <f t="normal" ca="1">32-LENB(INDIRECT(ADDRESS(38989,231)))</f>
        <v>0</v>
      </c>
      <c r="HY38989" s="7" t="n">
        <v>7</v>
      </c>
      <c r="HZ38989" s="7" t="n">
        <v>65533</v>
      </c>
      <c r="IA38989" s="7" t="n">
        <v>64124</v>
      </c>
      <c r="IB38989" s="7" t="s">
        <v>16</v>
      </c>
      <c r="IC38989" s="7" t="n">
        <f t="normal" ca="1">32-LENB(INDIRECT(ADDRESS(38989,236)))</f>
        <v>0</v>
      </c>
      <c r="ID38989" s="7" t="n">
        <v>7</v>
      </c>
      <c r="IE38989" s="7" t="n">
        <v>65533</v>
      </c>
      <c r="IF38989" s="7" t="n">
        <v>64125</v>
      </c>
      <c r="IG38989" s="7" t="s">
        <v>16</v>
      </c>
      <c r="IH38989" s="7" t="n">
        <f t="normal" ca="1">32-LENB(INDIRECT(ADDRESS(38989,241)))</f>
        <v>0</v>
      </c>
      <c r="II38989" s="7" t="n">
        <v>7</v>
      </c>
      <c r="IJ38989" s="7" t="n">
        <v>65533</v>
      </c>
      <c r="IK38989" s="7" t="n">
        <v>64126</v>
      </c>
      <c r="IL38989" s="7" t="s">
        <v>16</v>
      </c>
      <c r="IM38989" s="7" t="n">
        <f t="normal" ca="1">32-LENB(INDIRECT(ADDRESS(38989,246)))</f>
        <v>0</v>
      </c>
      <c r="IN38989" s="7" t="n">
        <v>7</v>
      </c>
      <c r="IO38989" s="7" t="n">
        <v>65533</v>
      </c>
      <c r="IP38989" s="7" t="n">
        <v>64127</v>
      </c>
      <c r="IQ38989" s="7" t="s">
        <v>16</v>
      </c>
      <c r="IR38989" s="7" t="n">
        <f t="normal" ca="1">32-LENB(INDIRECT(ADDRESS(38989,251)))</f>
        <v>0</v>
      </c>
      <c r="IS38989" s="7" t="n">
        <v>7</v>
      </c>
      <c r="IT38989" s="7" t="n">
        <v>65533</v>
      </c>
      <c r="IU38989" s="7" t="n">
        <v>6817</v>
      </c>
      <c r="IV38989" s="7" t="s">
        <v>16</v>
      </c>
      <c r="IW38989" s="7" t="n">
        <f t="normal" ca="1">32-LENB(INDIRECT(ADDRESS(38989,256)))</f>
        <v>0</v>
      </c>
      <c r="IX38989" s="7" t="n">
        <v>7</v>
      </c>
      <c r="IY38989" s="7" t="n">
        <v>65533</v>
      </c>
      <c r="IZ38989" s="7" t="n">
        <v>6818</v>
      </c>
      <c r="JA38989" s="7" t="s">
        <v>16</v>
      </c>
      <c r="JB38989" s="7" t="n">
        <f t="normal" ca="1">32-LENB(INDIRECT(ADDRESS(38989,261)))</f>
        <v>0</v>
      </c>
      <c r="JC38989" s="7" t="n">
        <v>7</v>
      </c>
      <c r="JD38989" s="7" t="n">
        <v>65533</v>
      </c>
      <c r="JE38989" s="7" t="n">
        <v>6819</v>
      </c>
      <c r="JF38989" s="7" t="s">
        <v>16</v>
      </c>
      <c r="JG38989" s="7" t="n">
        <f t="normal" ca="1">32-LENB(INDIRECT(ADDRESS(38989,266)))</f>
        <v>0</v>
      </c>
      <c r="JH38989" s="7" t="n">
        <v>7</v>
      </c>
      <c r="JI38989" s="7" t="n">
        <v>65533</v>
      </c>
      <c r="JJ38989" s="7" t="n">
        <v>64128</v>
      </c>
      <c r="JK38989" s="7" t="s">
        <v>16</v>
      </c>
      <c r="JL38989" s="7" t="n">
        <f t="normal" ca="1">32-LENB(INDIRECT(ADDRESS(38989,271)))</f>
        <v>0</v>
      </c>
      <c r="JM38989" s="7" t="n">
        <v>4</v>
      </c>
      <c r="JN38989" s="7" t="n">
        <v>65533</v>
      </c>
      <c r="JO38989" s="7" t="n">
        <v>2000</v>
      </c>
      <c r="JP38989" s="7" t="s">
        <v>16</v>
      </c>
      <c r="JQ38989" s="7" t="n">
        <f t="normal" ca="1">32-LENB(INDIRECT(ADDRESS(38989,276)))</f>
        <v>0</v>
      </c>
      <c r="JR38989" s="7" t="n">
        <v>7</v>
      </c>
      <c r="JS38989" s="7" t="n">
        <v>65533</v>
      </c>
      <c r="JT38989" s="7" t="n">
        <v>6820</v>
      </c>
      <c r="JU38989" s="7" t="s">
        <v>16</v>
      </c>
      <c r="JV38989" s="7" t="n">
        <f t="normal" ca="1">32-LENB(INDIRECT(ADDRESS(38989,281)))</f>
        <v>0</v>
      </c>
      <c r="JW38989" s="7" t="n">
        <v>7</v>
      </c>
      <c r="JX38989" s="7" t="n">
        <v>65533</v>
      </c>
      <c r="JY38989" s="7" t="n">
        <v>6821</v>
      </c>
      <c r="JZ38989" s="7" t="s">
        <v>16</v>
      </c>
      <c r="KA38989" s="7" t="n">
        <f t="normal" ca="1">32-LENB(INDIRECT(ADDRESS(38989,286)))</f>
        <v>0</v>
      </c>
      <c r="KB38989" s="7" t="n">
        <v>7</v>
      </c>
      <c r="KC38989" s="7" t="n">
        <v>65533</v>
      </c>
      <c r="KD38989" s="7" t="n">
        <v>64129</v>
      </c>
      <c r="KE38989" s="7" t="s">
        <v>16</v>
      </c>
      <c r="KF38989" s="7" t="n">
        <f t="normal" ca="1">32-LENB(INDIRECT(ADDRESS(38989,291)))</f>
        <v>0</v>
      </c>
      <c r="KG38989" s="7" t="n">
        <v>7</v>
      </c>
      <c r="KH38989" s="7" t="n">
        <v>65533</v>
      </c>
      <c r="KI38989" s="7" t="n">
        <v>64130</v>
      </c>
      <c r="KJ38989" s="7" t="s">
        <v>16</v>
      </c>
      <c r="KK38989" s="7" t="n">
        <f t="normal" ca="1">32-LENB(INDIRECT(ADDRESS(38989,296)))</f>
        <v>0</v>
      </c>
      <c r="KL38989" s="7" t="n">
        <v>0</v>
      </c>
      <c r="KM38989" s="7" t="n">
        <v>65533</v>
      </c>
      <c r="KN38989" s="7" t="n">
        <v>0</v>
      </c>
      <c r="KO38989" s="7" t="s">
        <v>16</v>
      </c>
      <c r="KP38989" s="7" t="n">
        <f t="normal" ca="1">32-LENB(INDIRECT(ADDRESS(38989,301)))</f>
        <v>0</v>
      </c>
    </row>
    <row r="38990" spans="1:367">
      <c r="A38990" t="s">
        <v>4</v>
      </c>
      <c r="B38990" s="4" t="s">
        <v>5</v>
      </c>
    </row>
    <row r="38991" spans="1:367">
      <c r="A38991" t="n">
        <v>478528</v>
      </c>
      <c r="B38991" s="5" t="n">
        <v>1</v>
      </c>
    </row>
    <row r="38992" spans="1:367" s="3" customFormat="1" customHeight="0">
      <c r="A38992" s="3" t="s">
        <v>2</v>
      </c>
      <c r="B38992" s="3" t="s">
        <v>1907</v>
      </c>
    </row>
    <row r="38993" spans="1:317">
      <c r="A38993" t="s">
        <v>4</v>
      </c>
      <c r="B38993" s="4" t="s">
        <v>5</v>
      </c>
      <c r="C38993" s="4" t="s">
        <v>11</v>
      </c>
      <c r="D38993" s="4" t="s">
        <v>11</v>
      </c>
      <c r="E38993" s="4" t="s">
        <v>15</v>
      </c>
      <c r="F38993" s="4" t="s">
        <v>8</v>
      </c>
      <c r="G38993" s="4" t="s">
        <v>1859</v>
      </c>
      <c r="H38993" s="4" t="s">
        <v>11</v>
      </c>
      <c r="I38993" s="4" t="s">
        <v>11</v>
      </c>
      <c r="J38993" s="4" t="s">
        <v>15</v>
      </c>
      <c r="K38993" s="4" t="s">
        <v>8</v>
      </c>
      <c r="L38993" s="4" t="s">
        <v>1859</v>
      </c>
      <c r="M38993" s="4" t="s">
        <v>11</v>
      </c>
      <c r="N38993" s="4" t="s">
        <v>11</v>
      </c>
      <c r="O38993" s="4" t="s">
        <v>15</v>
      </c>
      <c r="P38993" s="4" t="s">
        <v>8</v>
      </c>
      <c r="Q38993" s="4" t="s">
        <v>1859</v>
      </c>
      <c r="R38993" s="4" t="s">
        <v>11</v>
      </c>
      <c r="S38993" s="4" t="s">
        <v>11</v>
      </c>
      <c r="T38993" s="4" t="s">
        <v>15</v>
      </c>
      <c r="U38993" s="4" t="s">
        <v>8</v>
      </c>
      <c r="V38993" s="4" t="s">
        <v>1859</v>
      </c>
      <c r="W38993" s="4" t="s">
        <v>11</v>
      </c>
      <c r="X38993" s="4" t="s">
        <v>11</v>
      </c>
      <c r="Y38993" s="4" t="s">
        <v>15</v>
      </c>
      <c r="Z38993" s="4" t="s">
        <v>8</v>
      </c>
      <c r="AA38993" s="4" t="s">
        <v>1859</v>
      </c>
      <c r="AB38993" s="4" t="s">
        <v>11</v>
      </c>
      <c r="AC38993" s="4" t="s">
        <v>11</v>
      </c>
      <c r="AD38993" s="4" t="s">
        <v>15</v>
      </c>
      <c r="AE38993" s="4" t="s">
        <v>8</v>
      </c>
      <c r="AF38993" s="4" t="s">
        <v>1859</v>
      </c>
      <c r="AG38993" s="4" t="s">
        <v>11</v>
      </c>
      <c r="AH38993" s="4" t="s">
        <v>11</v>
      </c>
      <c r="AI38993" s="4" t="s">
        <v>15</v>
      </c>
      <c r="AJ38993" s="4" t="s">
        <v>8</v>
      </c>
      <c r="AK38993" s="4" t="s">
        <v>1859</v>
      </c>
      <c r="AL38993" s="4" t="s">
        <v>11</v>
      </c>
      <c r="AM38993" s="4" t="s">
        <v>11</v>
      </c>
      <c r="AN38993" s="4" t="s">
        <v>15</v>
      </c>
      <c r="AO38993" s="4" t="s">
        <v>8</v>
      </c>
      <c r="AP38993" s="4" t="s">
        <v>1859</v>
      </c>
      <c r="AQ38993" s="4" t="s">
        <v>11</v>
      </c>
      <c r="AR38993" s="4" t="s">
        <v>11</v>
      </c>
      <c r="AS38993" s="4" t="s">
        <v>15</v>
      </c>
      <c r="AT38993" s="4" t="s">
        <v>8</v>
      </c>
      <c r="AU38993" s="4" t="s">
        <v>1859</v>
      </c>
      <c r="AV38993" s="4" t="s">
        <v>11</v>
      </c>
      <c r="AW38993" s="4" t="s">
        <v>11</v>
      </c>
      <c r="AX38993" s="4" t="s">
        <v>15</v>
      </c>
      <c r="AY38993" s="4" t="s">
        <v>8</v>
      </c>
      <c r="AZ38993" s="4" t="s">
        <v>1859</v>
      </c>
      <c r="BA38993" s="4" t="s">
        <v>11</v>
      </c>
      <c r="BB38993" s="4" t="s">
        <v>11</v>
      </c>
      <c r="BC38993" s="4" t="s">
        <v>15</v>
      </c>
      <c r="BD38993" s="4" t="s">
        <v>8</v>
      </c>
      <c r="BE38993" s="4" t="s">
        <v>1859</v>
      </c>
      <c r="BF38993" s="4" t="s">
        <v>11</v>
      </c>
      <c r="BG38993" s="4" t="s">
        <v>11</v>
      </c>
      <c r="BH38993" s="4" t="s">
        <v>15</v>
      </c>
      <c r="BI38993" s="4" t="s">
        <v>8</v>
      </c>
      <c r="BJ38993" s="4" t="s">
        <v>1859</v>
      </c>
      <c r="BK38993" s="4" t="s">
        <v>11</v>
      </c>
      <c r="BL38993" s="4" t="s">
        <v>11</v>
      </c>
      <c r="BM38993" s="4" t="s">
        <v>15</v>
      </c>
      <c r="BN38993" s="4" t="s">
        <v>8</v>
      </c>
      <c r="BO38993" s="4" t="s">
        <v>1859</v>
      </c>
      <c r="BP38993" s="4" t="s">
        <v>11</v>
      </c>
      <c r="BQ38993" s="4" t="s">
        <v>11</v>
      </c>
      <c r="BR38993" s="4" t="s">
        <v>15</v>
      </c>
      <c r="BS38993" s="4" t="s">
        <v>8</v>
      </c>
      <c r="BT38993" s="4" t="s">
        <v>1859</v>
      </c>
      <c r="BU38993" s="4" t="s">
        <v>11</v>
      </c>
      <c r="BV38993" s="4" t="s">
        <v>11</v>
      </c>
      <c r="BW38993" s="4" t="s">
        <v>15</v>
      </c>
      <c r="BX38993" s="4" t="s">
        <v>8</v>
      </c>
      <c r="BY38993" s="4" t="s">
        <v>1859</v>
      </c>
      <c r="BZ38993" s="4" t="s">
        <v>11</v>
      </c>
      <c r="CA38993" s="4" t="s">
        <v>11</v>
      </c>
      <c r="CB38993" s="4" t="s">
        <v>15</v>
      </c>
      <c r="CC38993" s="4" t="s">
        <v>8</v>
      </c>
      <c r="CD38993" s="4" t="s">
        <v>1859</v>
      </c>
      <c r="CE38993" s="4" t="s">
        <v>11</v>
      </c>
      <c r="CF38993" s="4" t="s">
        <v>11</v>
      </c>
      <c r="CG38993" s="4" t="s">
        <v>15</v>
      </c>
      <c r="CH38993" s="4" t="s">
        <v>8</v>
      </c>
      <c r="CI38993" s="4" t="s">
        <v>1859</v>
      </c>
      <c r="CJ38993" s="4" t="s">
        <v>11</v>
      </c>
      <c r="CK38993" s="4" t="s">
        <v>11</v>
      </c>
      <c r="CL38993" s="4" t="s">
        <v>15</v>
      </c>
      <c r="CM38993" s="4" t="s">
        <v>8</v>
      </c>
      <c r="CN38993" s="4" t="s">
        <v>1859</v>
      </c>
      <c r="CO38993" s="4" t="s">
        <v>11</v>
      </c>
      <c r="CP38993" s="4" t="s">
        <v>11</v>
      </c>
      <c r="CQ38993" s="4" t="s">
        <v>15</v>
      </c>
      <c r="CR38993" s="4" t="s">
        <v>8</v>
      </c>
      <c r="CS38993" s="4" t="s">
        <v>1859</v>
      </c>
      <c r="CT38993" s="4" t="s">
        <v>11</v>
      </c>
      <c r="CU38993" s="4" t="s">
        <v>11</v>
      </c>
      <c r="CV38993" s="4" t="s">
        <v>15</v>
      </c>
      <c r="CW38993" s="4" t="s">
        <v>8</v>
      </c>
      <c r="CX38993" s="4" t="s">
        <v>1859</v>
      </c>
      <c r="CY38993" s="4" t="s">
        <v>11</v>
      </c>
      <c r="CZ38993" s="4" t="s">
        <v>11</v>
      </c>
      <c r="DA38993" s="4" t="s">
        <v>15</v>
      </c>
      <c r="DB38993" s="4" t="s">
        <v>8</v>
      </c>
      <c r="DC38993" s="4" t="s">
        <v>1859</v>
      </c>
      <c r="DD38993" s="4" t="s">
        <v>11</v>
      </c>
      <c r="DE38993" s="4" t="s">
        <v>11</v>
      </c>
      <c r="DF38993" s="4" t="s">
        <v>15</v>
      </c>
      <c r="DG38993" s="4" t="s">
        <v>8</v>
      </c>
      <c r="DH38993" s="4" t="s">
        <v>1859</v>
      </c>
      <c r="DI38993" s="4" t="s">
        <v>11</v>
      </c>
      <c r="DJ38993" s="4" t="s">
        <v>11</v>
      </c>
      <c r="DK38993" s="4" t="s">
        <v>15</v>
      </c>
      <c r="DL38993" s="4" t="s">
        <v>8</v>
      </c>
      <c r="DM38993" s="4" t="s">
        <v>1859</v>
      </c>
      <c r="DN38993" s="4" t="s">
        <v>11</v>
      </c>
      <c r="DO38993" s="4" t="s">
        <v>11</v>
      </c>
      <c r="DP38993" s="4" t="s">
        <v>15</v>
      </c>
      <c r="DQ38993" s="4" t="s">
        <v>8</v>
      </c>
      <c r="DR38993" s="4" t="s">
        <v>1859</v>
      </c>
      <c r="DS38993" s="4" t="s">
        <v>11</v>
      </c>
      <c r="DT38993" s="4" t="s">
        <v>11</v>
      </c>
      <c r="DU38993" s="4" t="s">
        <v>15</v>
      </c>
      <c r="DV38993" s="4" t="s">
        <v>8</v>
      </c>
      <c r="DW38993" s="4" t="s">
        <v>1859</v>
      </c>
      <c r="DX38993" s="4" t="s">
        <v>11</v>
      </c>
      <c r="DY38993" s="4" t="s">
        <v>11</v>
      </c>
      <c r="DZ38993" s="4" t="s">
        <v>15</v>
      </c>
      <c r="EA38993" s="4" t="s">
        <v>8</v>
      </c>
      <c r="EB38993" s="4" t="s">
        <v>1859</v>
      </c>
      <c r="EC38993" s="4" t="s">
        <v>11</v>
      </c>
      <c r="ED38993" s="4" t="s">
        <v>11</v>
      </c>
      <c r="EE38993" s="4" t="s">
        <v>15</v>
      </c>
      <c r="EF38993" s="4" t="s">
        <v>8</v>
      </c>
      <c r="EG38993" s="4" t="s">
        <v>1859</v>
      </c>
      <c r="EH38993" s="4" t="s">
        <v>11</v>
      </c>
      <c r="EI38993" s="4" t="s">
        <v>11</v>
      </c>
      <c r="EJ38993" s="4" t="s">
        <v>15</v>
      </c>
      <c r="EK38993" s="4" t="s">
        <v>8</v>
      </c>
      <c r="EL38993" s="4" t="s">
        <v>1859</v>
      </c>
      <c r="EM38993" s="4" t="s">
        <v>11</v>
      </c>
      <c r="EN38993" s="4" t="s">
        <v>11</v>
      </c>
      <c r="EO38993" s="4" t="s">
        <v>15</v>
      </c>
      <c r="EP38993" s="4" t="s">
        <v>8</v>
      </c>
      <c r="EQ38993" s="4" t="s">
        <v>1859</v>
      </c>
      <c r="ER38993" s="4" t="s">
        <v>11</v>
      </c>
      <c r="ES38993" s="4" t="s">
        <v>11</v>
      </c>
      <c r="ET38993" s="4" t="s">
        <v>15</v>
      </c>
      <c r="EU38993" s="4" t="s">
        <v>8</v>
      </c>
      <c r="EV38993" s="4" t="s">
        <v>1859</v>
      </c>
      <c r="EW38993" s="4" t="s">
        <v>11</v>
      </c>
      <c r="EX38993" s="4" t="s">
        <v>11</v>
      </c>
      <c r="EY38993" s="4" t="s">
        <v>15</v>
      </c>
      <c r="EZ38993" s="4" t="s">
        <v>8</v>
      </c>
      <c r="FA38993" s="4" t="s">
        <v>1859</v>
      </c>
      <c r="FB38993" s="4" t="s">
        <v>11</v>
      </c>
      <c r="FC38993" s="4" t="s">
        <v>11</v>
      </c>
      <c r="FD38993" s="4" t="s">
        <v>15</v>
      </c>
      <c r="FE38993" s="4" t="s">
        <v>8</v>
      </c>
      <c r="FF38993" s="4" t="s">
        <v>1859</v>
      </c>
      <c r="FG38993" s="4" t="s">
        <v>11</v>
      </c>
      <c r="FH38993" s="4" t="s">
        <v>11</v>
      </c>
      <c r="FI38993" s="4" t="s">
        <v>15</v>
      </c>
      <c r="FJ38993" s="4" t="s">
        <v>8</v>
      </c>
      <c r="FK38993" s="4" t="s">
        <v>1859</v>
      </c>
      <c r="FL38993" s="4" t="s">
        <v>11</v>
      </c>
      <c r="FM38993" s="4" t="s">
        <v>11</v>
      </c>
      <c r="FN38993" s="4" t="s">
        <v>15</v>
      </c>
      <c r="FO38993" s="4" t="s">
        <v>8</v>
      </c>
      <c r="FP38993" s="4" t="s">
        <v>1859</v>
      </c>
      <c r="FQ38993" s="4" t="s">
        <v>11</v>
      </c>
      <c r="FR38993" s="4" t="s">
        <v>11</v>
      </c>
      <c r="FS38993" s="4" t="s">
        <v>15</v>
      </c>
      <c r="FT38993" s="4" t="s">
        <v>8</v>
      </c>
      <c r="FU38993" s="4" t="s">
        <v>1859</v>
      </c>
    </row>
    <row r="38994" spans="1:317">
      <c r="A38994" t="n">
        <v>478544</v>
      </c>
      <c r="B38994" s="85" t="n">
        <v>257</v>
      </c>
      <c r="C38994" s="7" t="n">
        <v>7</v>
      </c>
      <c r="D38994" s="7" t="n">
        <v>65533</v>
      </c>
      <c r="E38994" s="7" t="n">
        <v>64313</v>
      </c>
      <c r="F38994" s="7" t="s">
        <v>16</v>
      </c>
      <c r="G38994" s="7" t="n">
        <f t="normal" ca="1">32-LENB(INDIRECT(ADDRESS(38994,6)))</f>
        <v>0</v>
      </c>
      <c r="H38994" s="7" t="n">
        <v>7</v>
      </c>
      <c r="I38994" s="7" t="n">
        <v>65533</v>
      </c>
      <c r="J38994" s="7" t="n">
        <v>64314</v>
      </c>
      <c r="K38994" s="7" t="s">
        <v>16</v>
      </c>
      <c r="L38994" s="7" t="n">
        <f t="normal" ca="1">32-LENB(INDIRECT(ADDRESS(38994,11)))</f>
        <v>0</v>
      </c>
      <c r="M38994" s="7" t="n">
        <v>7</v>
      </c>
      <c r="N38994" s="7" t="n">
        <v>65533</v>
      </c>
      <c r="O38994" s="7" t="n">
        <v>64315</v>
      </c>
      <c r="P38994" s="7" t="s">
        <v>16</v>
      </c>
      <c r="Q38994" s="7" t="n">
        <f t="normal" ca="1">32-LENB(INDIRECT(ADDRESS(38994,16)))</f>
        <v>0</v>
      </c>
      <c r="R38994" s="7" t="n">
        <v>7</v>
      </c>
      <c r="S38994" s="7" t="n">
        <v>65533</v>
      </c>
      <c r="T38994" s="7" t="n">
        <v>64316</v>
      </c>
      <c r="U38994" s="7" t="s">
        <v>16</v>
      </c>
      <c r="V38994" s="7" t="n">
        <f t="normal" ca="1">32-LENB(INDIRECT(ADDRESS(38994,21)))</f>
        <v>0</v>
      </c>
      <c r="W38994" s="7" t="n">
        <v>7</v>
      </c>
      <c r="X38994" s="7" t="n">
        <v>65533</v>
      </c>
      <c r="Y38994" s="7" t="n">
        <v>64317</v>
      </c>
      <c r="Z38994" s="7" t="s">
        <v>16</v>
      </c>
      <c r="AA38994" s="7" t="n">
        <f t="normal" ca="1">32-LENB(INDIRECT(ADDRESS(38994,26)))</f>
        <v>0</v>
      </c>
      <c r="AB38994" s="7" t="n">
        <v>7</v>
      </c>
      <c r="AC38994" s="7" t="n">
        <v>65533</v>
      </c>
      <c r="AD38994" s="7" t="n">
        <v>64318</v>
      </c>
      <c r="AE38994" s="7" t="s">
        <v>16</v>
      </c>
      <c r="AF38994" s="7" t="n">
        <f t="normal" ca="1">32-LENB(INDIRECT(ADDRESS(38994,31)))</f>
        <v>0</v>
      </c>
      <c r="AG38994" s="7" t="n">
        <v>7</v>
      </c>
      <c r="AH38994" s="7" t="n">
        <v>65533</v>
      </c>
      <c r="AI38994" s="7" t="n">
        <v>64319</v>
      </c>
      <c r="AJ38994" s="7" t="s">
        <v>16</v>
      </c>
      <c r="AK38994" s="7" t="n">
        <f t="normal" ca="1">32-LENB(INDIRECT(ADDRESS(38994,36)))</f>
        <v>0</v>
      </c>
      <c r="AL38994" s="7" t="n">
        <v>7</v>
      </c>
      <c r="AM38994" s="7" t="n">
        <v>65533</v>
      </c>
      <c r="AN38994" s="7" t="n">
        <v>64320</v>
      </c>
      <c r="AO38994" s="7" t="s">
        <v>16</v>
      </c>
      <c r="AP38994" s="7" t="n">
        <f t="normal" ca="1">32-LENB(INDIRECT(ADDRESS(38994,41)))</f>
        <v>0</v>
      </c>
      <c r="AQ38994" s="7" t="n">
        <v>7</v>
      </c>
      <c r="AR38994" s="7" t="n">
        <v>65533</v>
      </c>
      <c r="AS38994" s="7" t="n">
        <v>64321</v>
      </c>
      <c r="AT38994" s="7" t="s">
        <v>16</v>
      </c>
      <c r="AU38994" s="7" t="n">
        <f t="normal" ca="1">32-LENB(INDIRECT(ADDRESS(38994,46)))</f>
        <v>0</v>
      </c>
      <c r="AV38994" s="7" t="n">
        <v>7</v>
      </c>
      <c r="AW38994" s="7" t="n">
        <v>65533</v>
      </c>
      <c r="AX38994" s="7" t="n">
        <v>64322</v>
      </c>
      <c r="AY38994" s="7" t="s">
        <v>16</v>
      </c>
      <c r="AZ38994" s="7" t="n">
        <f t="normal" ca="1">32-LENB(INDIRECT(ADDRESS(38994,51)))</f>
        <v>0</v>
      </c>
      <c r="BA38994" s="7" t="n">
        <v>7</v>
      </c>
      <c r="BB38994" s="7" t="n">
        <v>65533</v>
      </c>
      <c r="BC38994" s="7" t="n">
        <v>64323</v>
      </c>
      <c r="BD38994" s="7" t="s">
        <v>16</v>
      </c>
      <c r="BE38994" s="7" t="n">
        <f t="normal" ca="1">32-LENB(INDIRECT(ADDRESS(38994,56)))</f>
        <v>0</v>
      </c>
      <c r="BF38994" s="7" t="n">
        <v>7</v>
      </c>
      <c r="BG38994" s="7" t="n">
        <v>65533</v>
      </c>
      <c r="BH38994" s="7" t="n">
        <v>64324</v>
      </c>
      <c r="BI38994" s="7" t="s">
        <v>16</v>
      </c>
      <c r="BJ38994" s="7" t="n">
        <f t="normal" ca="1">32-LENB(INDIRECT(ADDRESS(38994,61)))</f>
        <v>0</v>
      </c>
      <c r="BK38994" s="7" t="n">
        <v>7</v>
      </c>
      <c r="BL38994" s="7" t="n">
        <v>65533</v>
      </c>
      <c r="BM38994" s="7" t="n">
        <v>64325</v>
      </c>
      <c r="BN38994" s="7" t="s">
        <v>16</v>
      </c>
      <c r="BO38994" s="7" t="n">
        <f t="normal" ca="1">32-LENB(INDIRECT(ADDRESS(38994,66)))</f>
        <v>0</v>
      </c>
      <c r="BP38994" s="7" t="n">
        <v>7</v>
      </c>
      <c r="BQ38994" s="7" t="n">
        <v>65533</v>
      </c>
      <c r="BR38994" s="7" t="n">
        <v>64326</v>
      </c>
      <c r="BS38994" s="7" t="s">
        <v>16</v>
      </c>
      <c r="BT38994" s="7" t="n">
        <f t="normal" ca="1">32-LENB(INDIRECT(ADDRESS(38994,71)))</f>
        <v>0</v>
      </c>
      <c r="BU38994" s="7" t="n">
        <v>7</v>
      </c>
      <c r="BV38994" s="7" t="n">
        <v>65533</v>
      </c>
      <c r="BW38994" s="7" t="n">
        <v>64327</v>
      </c>
      <c r="BX38994" s="7" t="s">
        <v>16</v>
      </c>
      <c r="BY38994" s="7" t="n">
        <f t="normal" ca="1">32-LENB(INDIRECT(ADDRESS(38994,76)))</f>
        <v>0</v>
      </c>
      <c r="BZ38994" s="7" t="n">
        <v>7</v>
      </c>
      <c r="CA38994" s="7" t="n">
        <v>65533</v>
      </c>
      <c r="CB38994" s="7" t="n">
        <v>64328</v>
      </c>
      <c r="CC38994" s="7" t="s">
        <v>16</v>
      </c>
      <c r="CD38994" s="7" t="n">
        <f t="normal" ca="1">32-LENB(INDIRECT(ADDRESS(38994,81)))</f>
        <v>0</v>
      </c>
      <c r="CE38994" s="7" t="n">
        <v>7</v>
      </c>
      <c r="CF38994" s="7" t="n">
        <v>65533</v>
      </c>
      <c r="CG38994" s="7" t="n">
        <v>64329</v>
      </c>
      <c r="CH38994" s="7" t="s">
        <v>16</v>
      </c>
      <c r="CI38994" s="7" t="n">
        <f t="normal" ca="1">32-LENB(INDIRECT(ADDRESS(38994,86)))</f>
        <v>0</v>
      </c>
      <c r="CJ38994" s="7" t="n">
        <v>7</v>
      </c>
      <c r="CK38994" s="7" t="n">
        <v>65533</v>
      </c>
      <c r="CL38994" s="7" t="n">
        <v>64330</v>
      </c>
      <c r="CM38994" s="7" t="s">
        <v>16</v>
      </c>
      <c r="CN38994" s="7" t="n">
        <f t="normal" ca="1">32-LENB(INDIRECT(ADDRESS(38994,91)))</f>
        <v>0</v>
      </c>
      <c r="CO38994" s="7" t="n">
        <v>7</v>
      </c>
      <c r="CP38994" s="7" t="n">
        <v>65533</v>
      </c>
      <c r="CQ38994" s="7" t="n">
        <v>64331</v>
      </c>
      <c r="CR38994" s="7" t="s">
        <v>16</v>
      </c>
      <c r="CS38994" s="7" t="n">
        <f t="normal" ca="1">32-LENB(INDIRECT(ADDRESS(38994,96)))</f>
        <v>0</v>
      </c>
      <c r="CT38994" s="7" t="n">
        <v>7</v>
      </c>
      <c r="CU38994" s="7" t="n">
        <v>65533</v>
      </c>
      <c r="CV38994" s="7" t="n">
        <v>64332</v>
      </c>
      <c r="CW38994" s="7" t="s">
        <v>16</v>
      </c>
      <c r="CX38994" s="7" t="n">
        <f t="normal" ca="1">32-LENB(INDIRECT(ADDRESS(38994,101)))</f>
        <v>0</v>
      </c>
      <c r="CY38994" s="7" t="n">
        <v>7</v>
      </c>
      <c r="CZ38994" s="7" t="n">
        <v>65533</v>
      </c>
      <c r="DA38994" s="7" t="n">
        <v>64333</v>
      </c>
      <c r="DB38994" s="7" t="s">
        <v>16</v>
      </c>
      <c r="DC38994" s="7" t="n">
        <f t="normal" ca="1">32-LENB(INDIRECT(ADDRESS(38994,106)))</f>
        <v>0</v>
      </c>
      <c r="DD38994" s="7" t="n">
        <v>7</v>
      </c>
      <c r="DE38994" s="7" t="n">
        <v>65533</v>
      </c>
      <c r="DF38994" s="7" t="n">
        <v>64334</v>
      </c>
      <c r="DG38994" s="7" t="s">
        <v>16</v>
      </c>
      <c r="DH38994" s="7" t="n">
        <f t="normal" ca="1">32-LENB(INDIRECT(ADDRESS(38994,111)))</f>
        <v>0</v>
      </c>
      <c r="DI38994" s="7" t="n">
        <v>7</v>
      </c>
      <c r="DJ38994" s="7" t="n">
        <v>65533</v>
      </c>
      <c r="DK38994" s="7" t="n">
        <v>64335</v>
      </c>
      <c r="DL38994" s="7" t="s">
        <v>16</v>
      </c>
      <c r="DM38994" s="7" t="n">
        <f t="normal" ca="1">32-LENB(INDIRECT(ADDRESS(38994,116)))</f>
        <v>0</v>
      </c>
      <c r="DN38994" s="7" t="n">
        <v>7</v>
      </c>
      <c r="DO38994" s="7" t="n">
        <v>65533</v>
      </c>
      <c r="DP38994" s="7" t="n">
        <v>64336</v>
      </c>
      <c r="DQ38994" s="7" t="s">
        <v>16</v>
      </c>
      <c r="DR38994" s="7" t="n">
        <f t="normal" ca="1">32-LENB(INDIRECT(ADDRESS(38994,121)))</f>
        <v>0</v>
      </c>
      <c r="DS38994" s="7" t="n">
        <v>7</v>
      </c>
      <c r="DT38994" s="7" t="n">
        <v>65533</v>
      </c>
      <c r="DU38994" s="7" t="n">
        <v>64337</v>
      </c>
      <c r="DV38994" s="7" t="s">
        <v>16</v>
      </c>
      <c r="DW38994" s="7" t="n">
        <f t="normal" ca="1">32-LENB(INDIRECT(ADDRESS(38994,126)))</f>
        <v>0</v>
      </c>
      <c r="DX38994" s="7" t="n">
        <v>7</v>
      </c>
      <c r="DY38994" s="7" t="n">
        <v>65533</v>
      </c>
      <c r="DZ38994" s="7" t="n">
        <v>64338</v>
      </c>
      <c r="EA38994" s="7" t="s">
        <v>16</v>
      </c>
      <c r="EB38994" s="7" t="n">
        <f t="normal" ca="1">32-LENB(INDIRECT(ADDRESS(38994,131)))</f>
        <v>0</v>
      </c>
      <c r="EC38994" s="7" t="n">
        <v>7</v>
      </c>
      <c r="ED38994" s="7" t="n">
        <v>65533</v>
      </c>
      <c r="EE38994" s="7" t="n">
        <v>64339</v>
      </c>
      <c r="EF38994" s="7" t="s">
        <v>16</v>
      </c>
      <c r="EG38994" s="7" t="n">
        <f t="normal" ca="1">32-LENB(INDIRECT(ADDRESS(38994,136)))</f>
        <v>0</v>
      </c>
      <c r="EH38994" s="7" t="n">
        <v>7</v>
      </c>
      <c r="EI38994" s="7" t="n">
        <v>65533</v>
      </c>
      <c r="EJ38994" s="7" t="n">
        <v>64340</v>
      </c>
      <c r="EK38994" s="7" t="s">
        <v>16</v>
      </c>
      <c r="EL38994" s="7" t="n">
        <f t="normal" ca="1">32-LENB(INDIRECT(ADDRESS(38994,141)))</f>
        <v>0</v>
      </c>
      <c r="EM38994" s="7" t="n">
        <v>7</v>
      </c>
      <c r="EN38994" s="7" t="n">
        <v>65533</v>
      </c>
      <c r="EO38994" s="7" t="n">
        <v>64341</v>
      </c>
      <c r="EP38994" s="7" t="s">
        <v>16</v>
      </c>
      <c r="EQ38994" s="7" t="n">
        <f t="normal" ca="1">32-LENB(INDIRECT(ADDRESS(38994,146)))</f>
        <v>0</v>
      </c>
      <c r="ER38994" s="7" t="n">
        <v>7</v>
      </c>
      <c r="ES38994" s="7" t="n">
        <v>65533</v>
      </c>
      <c r="ET38994" s="7" t="n">
        <v>64342</v>
      </c>
      <c r="EU38994" s="7" t="s">
        <v>16</v>
      </c>
      <c r="EV38994" s="7" t="n">
        <f t="normal" ca="1">32-LENB(INDIRECT(ADDRESS(38994,151)))</f>
        <v>0</v>
      </c>
      <c r="EW38994" s="7" t="n">
        <v>7</v>
      </c>
      <c r="EX38994" s="7" t="n">
        <v>65533</v>
      </c>
      <c r="EY38994" s="7" t="n">
        <v>64343</v>
      </c>
      <c r="EZ38994" s="7" t="s">
        <v>16</v>
      </c>
      <c r="FA38994" s="7" t="n">
        <f t="normal" ca="1">32-LENB(INDIRECT(ADDRESS(38994,156)))</f>
        <v>0</v>
      </c>
      <c r="FB38994" s="7" t="n">
        <v>7</v>
      </c>
      <c r="FC38994" s="7" t="n">
        <v>65533</v>
      </c>
      <c r="FD38994" s="7" t="n">
        <v>64344</v>
      </c>
      <c r="FE38994" s="7" t="s">
        <v>16</v>
      </c>
      <c r="FF38994" s="7" t="n">
        <f t="normal" ca="1">32-LENB(INDIRECT(ADDRESS(38994,161)))</f>
        <v>0</v>
      </c>
      <c r="FG38994" s="7" t="n">
        <v>7</v>
      </c>
      <c r="FH38994" s="7" t="n">
        <v>65533</v>
      </c>
      <c r="FI38994" s="7" t="n">
        <v>64345</v>
      </c>
      <c r="FJ38994" s="7" t="s">
        <v>16</v>
      </c>
      <c r="FK38994" s="7" t="n">
        <f t="normal" ca="1">32-LENB(INDIRECT(ADDRESS(38994,166)))</f>
        <v>0</v>
      </c>
      <c r="FL38994" s="7" t="n">
        <v>7</v>
      </c>
      <c r="FM38994" s="7" t="n">
        <v>65533</v>
      </c>
      <c r="FN38994" s="7" t="n">
        <v>64346</v>
      </c>
      <c r="FO38994" s="7" t="s">
        <v>16</v>
      </c>
      <c r="FP38994" s="7" t="n">
        <f t="normal" ca="1">32-LENB(INDIRECT(ADDRESS(38994,171)))</f>
        <v>0</v>
      </c>
      <c r="FQ38994" s="7" t="n">
        <v>0</v>
      </c>
      <c r="FR38994" s="7" t="n">
        <v>65533</v>
      </c>
      <c r="FS38994" s="7" t="n">
        <v>0</v>
      </c>
      <c r="FT38994" s="7" t="s">
        <v>16</v>
      </c>
      <c r="FU38994" s="7" t="n">
        <f t="normal" ca="1">32-LENB(INDIRECT(ADDRESS(38994,176)))</f>
        <v>0</v>
      </c>
    </row>
    <row r="38995" spans="1:317">
      <c r="A38995" t="s">
        <v>4</v>
      </c>
      <c r="B38995" s="4" t="s">
        <v>5</v>
      </c>
    </row>
    <row r="38996" spans="1:317">
      <c r="A38996" t="n">
        <v>479944</v>
      </c>
      <c r="B38996" s="5" t="n">
        <v>1</v>
      </c>
    </row>
    <row r="38997" spans="1:317" s="3" customFormat="1" customHeight="0">
      <c r="A38997" s="3" t="s">
        <v>2</v>
      </c>
      <c r="B38997" s="3" t="s">
        <v>1908</v>
      </c>
    </row>
    <row r="38998" spans="1:317">
      <c r="A38998" t="s">
        <v>4</v>
      </c>
      <c r="B38998" s="4" t="s">
        <v>5</v>
      </c>
      <c r="C38998" s="4" t="s">
        <v>11</v>
      </c>
      <c r="D38998" s="4" t="s">
        <v>11</v>
      </c>
      <c r="E38998" s="4" t="s">
        <v>15</v>
      </c>
      <c r="F38998" s="4" t="s">
        <v>8</v>
      </c>
      <c r="G38998" s="4" t="s">
        <v>1859</v>
      </c>
      <c r="H38998" s="4" t="s">
        <v>11</v>
      </c>
      <c r="I38998" s="4" t="s">
        <v>11</v>
      </c>
      <c r="J38998" s="4" t="s">
        <v>15</v>
      </c>
      <c r="K38998" s="4" t="s">
        <v>8</v>
      </c>
      <c r="L38998" s="4" t="s">
        <v>1859</v>
      </c>
      <c r="M38998" s="4" t="s">
        <v>11</v>
      </c>
      <c r="N38998" s="4" t="s">
        <v>11</v>
      </c>
      <c r="O38998" s="4" t="s">
        <v>15</v>
      </c>
      <c r="P38998" s="4" t="s">
        <v>8</v>
      </c>
      <c r="Q38998" s="4" t="s">
        <v>1859</v>
      </c>
      <c r="R38998" s="4" t="s">
        <v>11</v>
      </c>
      <c r="S38998" s="4" t="s">
        <v>11</v>
      </c>
      <c r="T38998" s="4" t="s">
        <v>15</v>
      </c>
      <c r="U38998" s="4" t="s">
        <v>8</v>
      </c>
      <c r="V38998" s="4" t="s">
        <v>1859</v>
      </c>
      <c r="W38998" s="4" t="s">
        <v>11</v>
      </c>
      <c r="X38998" s="4" t="s">
        <v>11</v>
      </c>
      <c r="Y38998" s="4" t="s">
        <v>15</v>
      </c>
      <c r="Z38998" s="4" t="s">
        <v>8</v>
      </c>
      <c r="AA38998" s="4" t="s">
        <v>1859</v>
      </c>
      <c r="AB38998" s="4" t="s">
        <v>11</v>
      </c>
      <c r="AC38998" s="4" t="s">
        <v>11</v>
      </c>
      <c r="AD38998" s="4" t="s">
        <v>15</v>
      </c>
      <c r="AE38998" s="4" t="s">
        <v>8</v>
      </c>
      <c r="AF38998" s="4" t="s">
        <v>1859</v>
      </c>
      <c r="AG38998" s="4" t="s">
        <v>11</v>
      </c>
      <c r="AH38998" s="4" t="s">
        <v>11</v>
      </c>
      <c r="AI38998" s="4" t="s">
        <v>15</v>
      </c>
      <c r="AJ38998" s="4" t="s">
        <v>8</v>
      </c>
      <c r="AK38998" s="4" t="s">
        <v>1859</v>
      </c>
      <c r="AL38998" s="4" t="s">
        <v>11</v>
      </c>
      <c r="AM38998" s="4" t="s">
        <v>11</v>
      </c>
      <c r="AN38998" s="4" t="s">
        <v>15</v>
      </c>
      <c r="AO38998" s="4" t="s">
        <v>8</v>
      </c>
      <c r="AP38998" s="4" t="s">
        <v>1859</v>
      </c>
      <c r="AQ38998" s="4" t="s">
        <v>11</v>
      </c>
      <c r="AR38998" s="4" t="s">
        <v>11</v>
      </c>
      <c r="AS38998" s="4" t="s">
        <v>15</v>
      </c>
      <c r="AT38998" s="4" t="s">
        <v>8</v>
      </c>
      <c r="AU38998" s="4" t="s">
        <v>1859</v>
      </c>
      <c r="AV38998" s="4" t="s">
        <v>11</v>
      </c>
      <c r="AW38998" s="4" t="s">
        <v>11</v>
      </c>
      <c r="AX38998" s="4" t="s">
        <v>15</v>
      </c>
      <c r="AY38998" s="4" t="s">
        <v>8</v>
      </c>
      <c r="AZ38998" s="4" t="s">
        <v>1859</v>
      </c>
      <c r="BA38998" s="4" t="s">
        <v>11</v>
      </c>
      <c r="BB38998" s="4" t="s">
        <v>11</v>
      </c>
      <c r="BC38998" s="4" t="s">
        <v>15</v>
      </c>
      <c r="BD38998" s="4" t="s">
        <v>8</v>
      </c>
      <c r="BE38998" s="4" t="s">
        <v>1859</v>
      </c>
      <c r="BF38998" s="4" t="s">
        <v>11</v>
      </c>
      <c r="BG38998" s="4" t="s">
        <v>11</v>
      </c>
      <c r="BH38998" s="4" t="s">
        <v>15</v>
      </c>
      <c r="BI38998" s="4" t="s">
        <v>8</v>
      </c>
      <c r="BJ38998" s="4" t="s">
        <v>1859</v>
      </c>
      <c r="BK38998" s="4" t="s">
        <v>11</v>
      </c>
      <c r="BL38998" s="4" t="s">
        <v>11</v>
      </c>
      <c r="BM38998" s="4" t="s">
        <v>15</v>
      </c>
      <c r="BN38998" s="4" t="s">
        <v>8</v>
      </c>
      <c r="BO38998" s="4" t="s">
        <v>1859</v>
      </c>
      <c r="BP38998" s="4" t="s">
        <v>11</v>
      </c>
      <c r="BQ38998" s="4" t="s">
        <v>11</v>
      </c>
      <c r="BR38998" s="4" t="s">
        <v>15</v>
      </c>
      <c r="BS38998" s="4" t="s">
        <v>8</v>
      </c>
      <c r="BT38998" s="4" t="s">
        <v>1859</v>
      </c>
      <c r="BU38998" s="4" t="s">
        <v>11</v>
      </c>
      <c r="BV38998" s="4" t="s">
        <v>11</v>
      </c>
      <c r="BW38998" s="4" t="s">
        <v>15</v>
      </c>
      <c r="BX38998" s="4" t="s">
        <v>8</v>
      </c>
      <c r="BY38998" s="4" t="s">
        <v>1859</v>
      </c>
      <c r="BZ38998" s="4" t="s">
        <v>11</v>
      </c>
      <c r="CA38998" s="4" t="s">
        <v>11</v>
      </c>
      <c r="CB38998" s="4" t="s">
        <v>15</v>
      </c>
      <c r="CC38998" s="4" t="s">
        <v>8</v>
      </c>
      <c r="CD38998" s="4" t="s">
        <v>1859</v>
      </c>
      <c r="CE38998" s="4" t="s">
        <v>11</v>
      </c>
      <c r="CF38998" s="4" t="s">
        <v>11</v>
      </c>
      <c r="CG38998" s="4" t="s">
        <v>15</v>
      </c>
      <c r="CH38998" s="4" t="s">
        <v>8</v>
      </c>
      <c r="CI38998" s="4" t="s">
        <v>1859</v>
      </c>
      <c r="CJ38998" s="4" t="s">
        <v>11</v>
      </c>
      <c r="CK38998" s="4" t="s">
        <v>11</v>
      </c>
      <c r="CL38998" s="4" t="s">
        <v>15</v>
      </c>
      <c r="CM38998" s="4" t="s">
        <v>8</v>
      </c>
      <c r="CN38998" s="4" t="s">
        <v>1859</v>
      </c>
      <c r="CO38998" s="4" t="s">
        <v>11</v>
      </c>
      <c r="CP38998" s="4" t="s">
        <v>11</v>
      </c>
      <c r="CQ38998" s="4" t="s">
        <v>15</v>
      </c>
      <c r="CR38998" s="4" t="s">
        <v>8</v>
      </c>
      <c r="CS38998" s="4" t="s">
        <v>1859</v>
      </c>
      <c r="CT38998" s="4" t="s">
        <v>11</v>
      </c>
      <c r="CU38998" s="4" t="s">
        <v>11</v>
      </c>
      <c r="CV38998" s="4" t="s">
        <v>15</v>
      </c>
      <c r="CW38998" s="4" t="s">
        <v>8</v>
      </c>
      <c r="CX38998" s="4" t="s">
        <v>1859</v>
      </c>
      <c r="CY38998" s="4" t="s">
        <v>11</v>
      </c>
      <c r="CZ38998" s="4" t="s">
        <v>11</v>
      </c>
      <c r="DA38998" s="4" t="s">
        <v>15</v>
      </c>
      <c r="DB38998" s="4" t="s">
        <v>8</v>
      </c>
      <c r="DC38998" s="4" t="s">
        <v>1859</v>
      </c>
      <c r="DD38998" s="4" t="s">
        <v>11</v>
      </c>
      <c r="DE38998" s="4" t="s">
        <v>11</v>
      </c>
      <c r="DF38998" s="4" t="s">
        <v>15</v>
      </c>
      <c r="DG38998" s="4" t="s">
        <v>8</v>
      </c>
      <c r="DH38998" s="4" t="s">
        <v>1859</v>
      </c>
      <c r="DI38998" s="4" t="s">
        <v>11</v>
      </c>
      <c r="DJ38998" s="4" t="s">
        <v>11</v>
      </c>
      <c r="DK38998" s="4" t="s">
        <v>15</v>
      </c>
      <c r="DL38998" s="4" t="s">
        <v>8</v>
      </c>
      <c r="DM38998" s="4" t="s">
        <v>1859</v>
      </c>
      <c r="DN38998" s="4" t="s">
        <v>11</v>
      </c>
      <c r="DO38998" s="4" t="s">
        <v>11</v>
      </c>
      <c r="DP38998" s="4" t="s">
        <v>15</v>
      </c>
      <c r="DQ38998" s="4" t="s">
        <v>8</v>
      </c>
      <c r="DR38998" s="4" t="s">
        <v>1859</v>
      </c>
      <c r="DS38998" s="4" t="s">
        <v>11</v>
      </c>
      <c r="DT38998" s="4" t="s">
        <v>11</v>
      </c>
      <c r="DU38998" s="4" t="s">
        <v>15</v>
      </c>
      <c r="DV38998" s="4" t="s">
        <v>8</v>
      </c>
      <c r="DW38998" s="4" t="s">
        <v>1859</v>
      </c>
      <c r="DX38998" s="4" t="s">
        <v>11</v>
      </c>
      <c r="DY38998" s="4" t="s">
        <v>11</v>
      </c>
      <c r="DZ38998" s="4" t="s">
        <v>15</v>
      </c>
      <c r="EA38998" s="4" t="s">
        <v>8</v>
      </c>
      <c r="EB38998" s="4" t="s">
        <v>1859</v>
      </c>
      <c r="EC38998" s="4" t="s">
        <v>11</v>
      </c>
      <c r="ED38998" s="4" t="s">
        <v>11</v>
      </c>
      <c r="EE38998" s="4" t="s">
        <v>15</v>
      </c>
      <c r="EF38998" s="4" t="s">
        <v>8</v>
      </c>
      <c r="EG38998" s="4" t="s">
        <v>1859</v>
      </c>
      <c r="EH38998" s="4" t="s">
        <v>11</v>
      </c>
      <c r="EI38998" s="4" t="s">
        <v>11</v>
      </c>
      <c r="EJ38998" s="4" t="s">
        <v>15</v>
      </c>
      <c r="EK38998" s="4" t="s">
        <v>8</v>
      </c>
      <c r="EL38998" s="4" t="s">
        <v>1859</v>
      </c>
      <c r="EM38998" s="4" t="s">
        <v>11</v>
      </c>
      <c r="EN38998" s="4" t="s">
        <v>11</v>
      </c>
      <c r="EO38998" s="4" t="s">
        <v>15</v>
      </c>
      <c r="EP38998" s="4" t="s">
        <v>8</v>
      </c>
      <c r="EQ38998" s="4" t="s">
        <v>1859</v>
      </c>
      <c r="ER38998" s="4" t="s">
        <v>11</v>
      </c>
      <c r="ES38998" s="4" t="s">
        <v>11</v>
      </c>
      <c r="ET38998" s="4" t="s">
        <v>15</v>
      </c>
      <c r="EU38998" s="4" t="s">
        <v>8</v>
      </c>
      <c r="EV38998" s="4" t="s">
        <v>1859</v>
      </c>
      <c r="EW38998" s="4" t="s">
        <v>11</v>
      </c>
      <c r="EX38998" s="4" t="s">
        <v>11</v>
      </c>
      <c r="EY38998" s="4" t="s">
        <v>15</v>
      </c>
      <c r="EZ38998" s="4" t="s">
        <v>8</v>
      </c>
      <c r="FA38998" s="4" t="s">
        <v>1859</v>
      </c>
      <c r="FB38998" s="4" t="s">
        <v>11</v>
      </c>
      <c r="FC38998" s="4" t="s">
        <v>11</v>
      </c>
      <c r="FD38998" s="4" t="s">
        <v>15</v>
      </c>
      <c r="FE38998" s="4" t="s">
        <v>8</v>
      </c>
      <c r="FF38998" s="4" t="s">
        <v>1859</v>
      </c>
      <c r="FG38998" s="4" t="s">
        <v>11</v>
      </c>
      <c r="FH38998" s="4" t="s">
        <v>11</v>
      </c>
      <c r="FI38998" s="4" t="s">
        <v>15</v>
      </c>
      <c r="FJ38998" s="4" t="s">
        <v>8</v>
      </c>
      <c r="FK38998" s="4" t="s">
        <v>1859</v>
      </c>
      <c r="FL38998" s="4" t="s">
        <v>11</v>
      </c>
      <c r="FM38998" s="4" t="s">
        <v>11</v>
      </c>
      <c r="FN38998" s="4" t="s">
        <v>15</v>
      </c>
      <c r="FO38998" s="4" t="s">
        <v>8</v>
      </c>
      <c r="FP38998" s="4" t="s">
        <v>1859</v>
      </c>
      <c r="FQ38998" s="4" t="s">
        <v>11</v>
      </c>
      <c r="FR38998" s="4" t="s">
        <v>11</v>
      </c>
      <c r="FS38998" s="4" t="s">
        <v>15</v>
      </c>
      <c r="FT38998" s="4" t="s">
        <v>8</v>
      </c>
      <c r="FU38998" s="4" t="s">
        <v>1859</v>
      </c>
      <c r="FV38998" s="4" t="s">
        <v>11</v>
      </c>
      <c r="FW38998" s="4" t="s">
        <v>11</v>
      </c>
      <c r="FX38998" s="4" t="s">
        <v>15</v>
      </c>
      <c r="FY38998" s="4" t="s">
        <v>8</v>
      </c>
      <c r="FZ38998" s="4" t="s">
        <v>1859</v>
      </c>
      <c r="GA38998" s="4" t="s">
        <v>11</v>
      </c>
      <c r="GB38998" s="4" t="s">
        <v>11</v>
      </c>
      <c r="GC38998" s="4" t="s">
        <v>15</v>
      </c>
      <c r="GD38998" s="4" t="s">
        <v>8</v>
      </c>
      <c r="GE38998" s="4" t="s">
        <v>1859</v>
      </c>
      <c r="GF38998" s="4" t="s">
        <v>11</v>
      </c>
      <c r="GG38998" s="4" t="s">
        <v>11</v>
      </c>
      <c r="GH38998" s="4" t="s">
        <v>15</v>
      </c>
      <c r="GI38998" s="4" t="s">
        <v>8</v>
      </c>
      <c r="GJ38998" s="4" t="s">
        <v>1859</v>
      </c>
      <c r="GK38998" s="4" t="s">
        <v>11</v>
      </c>
      <c r="GL38998" s="4" t="s">
        <v>11</v>
      </c>
      <c r="GM38998" s="4" t="s">
        <v>15</v>
      </c>
      <c r="GN38998" s="4" t="s">
        <v>8</v>
      </c>
      <c r="GO38998" s="4" t="s">
        <v>1859</v>
      </c>
      <c r="GP38998" s="4" t="s">
        <v>11</v>
      </c>
      <c r="GQ38998" s="4" t="s">
        <v>11</v>
      </c>
      <c r="GR38998" s="4" t="s">
        <v>15</v>
      </c>
      <c r="GS38998" s="4" t="s">
        <v>8</v>
      </c>
      <c r="GT38998" s="4" t="s">
        <v>1859</v>
      </c>
      <c r="GU38998" s="4" t="s">
        <v>11</v>
      </c>
      <c r="GV38998" s="4" t="s">
        <v>11</v>
      </c>
      <c r="GW38998" s="4" t="s">
        <v>15</v>
      </c>
      <c r="GX38998" s="4" t="s">
        <v>8</v>
      </c>
      <c r="GY38998" s="4" t="s">
        <v>1859</v>
      </c>
      <c r="GZ38998" s="4" t="s">
        <v>11</v>
      </c>
      <c r="HA38998" s="4" t="s">
        <v>11</v>
      </c>
      <c r="HB38998" s="4" t="s">
        <v>15</v>
      </c>
      <c r="HC38998" s="4" t="s">
        <v>8</v>
      </c>
      <c r="HD38998" s="4" t="s">
        <v>1859</v>
      </c>
      <c r="HE38998" s="4" t="s">
        <v>11</v>
      </c>
      <c r="HF38998" s="4" t="s">
        <v>11</v>
      </c>
      <c r="HG38998" s="4" t="s">
        <v>15</v>
      </c>
      <c r="HH38998" s="4" t="s">
        <v>8</v>
      </c>
      <c r="HI38998" s="4" t="s">
        <v>1859</v>
      </c>
      <c r="HJ38998" s="4" t="s">
        <v>11</v>
      </c>
      <c r="HK38998" s="4" t="s">
        <v>11</v>
      </c>
      <c r="HL38998" s="4" t="s">
        <v>15</v>
      </c>
      <c r="HM38998" s="4" t="s">
        <v>8</v>
      </c>
      <c r="HN38998" s="4" t="s">
        <v>1859</v>
      </c>
      <c r="HO38998" s="4" t="s">
        <v>11</v>
      </c>
      <c r="HP38998" s="4" t="s">
        <v>11</v>
      </c>
      <c r="HQ38998" s="4" t="s">
        <v>15</v>
      </c>
      <c r="HR38998" s="4" t="s">
        <v>8</v>
      </c>
      <c r="HS38998" s="4" t="s">
        <v>1859</v>
      </c>
      <c r="HT38998" s="4" t="s">
        <v>11</v>
      </c>
      <c r="HU38998" s="4" t="s">
        <v>11</v>
      </c>
      <c r="HV38998" s="4" t="s">
        <v>15</v>
      </c>
      <c r="HW38998" s="4" t="s">
        <v>8</v>
      </c>
      <c r="HX38998" s="4" t="s">
        <v>1859</v>
      </c>
      <c r="HY38998" s="4" t="s">
        <v>11</v>
      </c>
      <c r="HZ38998" s="4" t="s">
        <v>11</v>
      </c>
      <c r="IA38998" s="4" t="s">
        <v>15</v>
      </c>
      <c r="IB38998" s="4" t="s">
        <v>8</v>
      </c>
      <c r="IC38998" s="4" t="s">
        <v>1859</v>
      </c>
      <c r="ID38998" s="4" t="s">
        <v>11</v>
      </c>
      <c r="IE38998" s="4" t="s">
        <v>11</v>
      </c>
      <c r="IF38998" s="4" t="s">
        <v>15</v>
      </c>
      <c r="IG38998" s="4" t="s">
        <v>8</v>
      </c>
      <c r="IH38998" s="4" t="s">
        <v>1859</v>
      </c>
      <c r="II38998" s="4" t="s">
        <v>11</v>
      </c>
      <c r="IJ38998" s="4" t="s">
        <v>11</v>
      </c>
      <c r="IK38998" s="4" t="s">
        <v>15</v>
      </c>
      <c r="IL38998" s="4" t="s">
        <v>8</v>
      </c>
      <c r="IM38998" s="4" t="s">
        <v>1859</v>
      </c>
      <c r="IN38998" s="4" t="s">
        <v>11</v>
      </c>
      <c r="IO38998" s="4" t="s">
        <v>11</v>
      </c>
      <c r="IP38998" s="4" t="s">
        <v>15</v>
      </c>
      <c r="IQ38998" s="4" t="s">
        <v>8</v>
      </c>
      <c r="IR38998" s="4" t="s">
        <v>1859</v>
      </c>
      <c r="IS38998" s="4" t="s">
        <v>11</v>
      </c>
      <c r="IT38998" s="4" t="s">
        <v>11</v>
      </c>
      <c r="IU38998" s="4" t="s">
        <v>15</v>
      </c>
      <c r="IV38998" s="4" t="s">
        <v>8</v>
      </c>
      <c r="IW38998" s="4" t="s">
        <v>1859</v>
      </c>
      <c r="IX38998" s="4" t="s">
        <v>11</v>
      </c>
      <c r="IY38998" s="4" t="s">
        <v>11</v>
      </c>
      <c r="IZ38998" s="4" t="s">
        <v>15</v>
      </c>
      <c r="JA38998" s="4" t="s">
        <v>8</v>
      </c>
      <c r="JB38998" s="4" t="s">
        <v>1859</v>
      </c>
      <c r="JC38998" s="4" t="s">
        <v>11</v>
      </c>
      <c r="JD38998" s="4" t="s">
        <v>11</v>
      </c>
      <c r="JE38998" s="4" t="s">
        <v>15</v>
      </c>
      <c r="JF38998" s="4" t="s">
        <v>8</v>
      </c>
      <c r="JG38998" s="4" t="s">
        <v>1859</v>
      </c>
      <c r="JH38998" s="4" t="s">
        <v>11</v>
      </c>
      <c r="JI38998" s="4" t="s">
        <v>11</v>
      </c>
      <c r="JJ38998" s="4" t="s">
        <v>15</v>
      </c>
      <c r="JK38998" s="4" t="s">
        <v>8</v>
      </c>
      <c r="JL38998" s="4" t="s">
        <v>1859</v>
      </c>
      <c r="JM38998" s="4" t="s">
        <v>11</v>
      </c>
      <c r="JN38998" s="4" t="s">
        <v>11</v>
      </c>
      <c r="JO38998" s="4" t="s">
        <v>15</v>
      </c>
      <c r="JP38998" s="4" t="s">
        <v>8</v>
      </c>
      <c r="JQ38998" s="4" t="s">
        <v>1859</v>
      </c>
      <c r="JR38998" s="4" t="s">
        <v>11</v>
      </c>
      <c r="JS38998" s="4" t="s">
        <v>11</v>
      </c>
      <c r="JT38998" s="4" t="s">
        <v>15</v>
      </c>
      <c r="JU38998" s="4" t="s">
        <v>8</v>
      </c>
      <c r="JV38998" s="4" t="s">
        <v>1859</v>
      </c>
      <c r="JW38998" s="4" t="s">
        <v>11</v>
      </c>
      <c r="JX38998" s="4" t="s">
        <v>11</v>
      </c>
      <c r="JY38998" s="4" t="s">
        <v>15</v>
      </c>
      <c r="JZ38998" s="4" t="s">
        <v>8</v>
      </c>
      <c r="KA38998" s="4" t="s">
        <v>1859</v>
      </c>
      <c r="KB38998" s="4" t="s">
        <v>11</v>
      </c>
      <c r="KC38998" s="4" t="s">
        <v>11</v>
      </c>
      <c r="KD38998" s="4" t="s">
        <v>15</v>
      </c>
      <c r="KE38998" s="4" t="s">
        <v>8</v>
      </c>
      <c r="KF38998" s="4" t="s">
        <v>1859</v>
      </c>
      <c r="KG38998" s="4" t="s">
        <v>11</v>
      </c>
      <c r="KH38998" s="4" t="s">
        <v>11</v>
      </c>
      <c r="KI38998" s="4" t="s">
        <v>15</v>
      </c>
      <c r="KJ38998" s="4" t="s">
        <v>8</v>
      </c>
      <c r="KK38998" s="4" t="s">
        <v>1859</v>
      </c>
      <c r="KL38998" s="4" t="s">
        <v>11</v>
      </c>
      <c r="KM38998" s="4" t="s">
        <v>11</v>
      </c>
      <c r="KN38998" s="4" t="s">
        <v>15</v>
      </c>
      <c r="KO38998" s="4" t="s">
        <v>8</v>
      </c>
      <c r="KP38998" s="4" t="s">
        <v>1859</v>
      </c>
      <c r="KQ38998" s="4" t="s">
        <v>11</v>
      </c>
      <c r="KR38998" s="4" t="s">
        <v>11</v>
      </c>
      <c r="KS38998" s="4" t="s">
        <v>15</v>
      </c>
      <c r="KT38998" s="4" t="s">
        <v>8</v>
      </c>
      <c r="KU38998" s="4" t="s">
        <v>1859</v>
      </c>
      <c r="KV38998" s="4" t="s">
        <v>11</v>
      </c>
      <c r="KW38998" s="4" t="s">
        <v>11</v>
      </c>
      <c r="KX38998" s="4" t="s">
        <v>15</v>
      </c>
      <c r="KY38998" s="4" t="s">
        <v>8</v>
      </c>
      <c r="KZ38998" s="4" t="s">
        <v>1859</v>
      </c>
      <c r="LA38998" s="4" t="s">
        <v>11</v>
      </c>
      <c r="LB38998" s="4" t="s">
        <v>11</v>
      </c>
      <c r="LC38998" s="4" t="s">
        <v>15</v>
      </c>
      <c r="LD38998" s="4" t="s">
        <v>8</v>
      </c>
      <c r="LE38998" s="4" t="s">
        <v>1859</v>
      </c>
      <c r="LF38998" s="4" t="s">
        <v>11</v>
      </c>
      <c r="LG38998" s="4" t="s">
        <v>11</v>
      </c>
      <c r="LH38998" s="4" t="s">
        <v>15</v>
      </c>
      <c r="LI38998" s="4" t="s">
        <v>8</v>
      </c>
      <c r="LJ38998" s="4" t="s">
        <v>1859</v>
      </c>
      <c r="LK38998" s="4" t="s">
        <v>11</v>
      </c>
      <c r="LL38998" s="4" t="s">
        <v>11</v>
      </c>
      <c r="LM38998" s="4" t="s">
        <v>15</v>
      </c>
      <c r="LN38998" s="4" t="s">
        <v>8</v>
      </c>
      <c r="LO38998" s="4" t="s">
        <v>1859</v>
      </c>
      <c r="LP38998" s="4" t="s">
        <v>11</v>
      </c>
      <c r="LQ38998" s="4" t="s">
        <v>11</v>
      </c>
      <c r="LR38998" s="4" t="s">
        <v>15</v>
      </c>
      <c r="LS38998" s="4" t="s">
        <v>8</v>
      </c>
      <c r="LT38998" s="4" t="s">
        <v>1859</v>
      </c>
      <c r="LU38998" s="4" t="s">
        <v>11</v>
      </c>
      <c r="LV38998" s="4" t="s">
        <v>11</v>
      </c>
      <c r="LW38998" s="4" t="s">
        <v>15</v>
      </c>
      <c r="LX38998" s="4" t="s">
        <v>8</v>
      </c>
      <c r="LY38998" s="4" t="s">
        <v>1859</v>
      </c>
      <c r="LZ38998" s="4" t="s">
        <v>11</v>
      </c>
      <c r="MA38998" s="4" t="s">
        <v>11</v>
      </c>
      <c r="MB38998" s="4" t="s">
        <v>15</v>
      </c>
      <c r="MC38998" s="4" t="s">
        <v>8</v>
      </c>
      <c r="MD38998" s="4" t="s">
        <v>1859</v>
      </c>
      <c r="ME38998" s="4" t="s">
        <v>11</v>
      </c>
      <c r="MF38998" s="4" t="s">
        <v>11</v>
      </c>
      <c r="MG38998" s="4" t="s">
        <v>15</v>
      </c>
      <c r="MH38998" s="4" t="s">
        <v>8</v>
      </c>
      <c r="MI38998" s="4" t="s">
        <v>1859</v>
      </c>
      <c r="MJ38998" s="4" t="s">
        <v>11</v>
      </c>
      <c r="MK38998" s="4" t="s">
        <v>11</v>
      </c>
      <c r="ML38998" s="4" t="s">
        <v>15</v>
      </c>
      <c r="MM38998" s="4" t="s">
        <v>8</v>
      </c>
      <c r="MN38998" s="4" t="s">
        <v>1859</v>
      </c>
      <c r="MO38998" s="4" t="s">
        <v>11</v>
      </c>
      <c r="MP38998" s="4" t="s">
        <v>11</v>
      </c>
      <c r="MQ38998" s="4" t="s">
        <v>15</v>
      </c>
      <c r="MR38998" s="4" t="s">
        <v>8</v>
      </c>
      <c r="MS38998" s="4" t="s">
        <v>1859</v>
      </c>
      <c r="MT38998" s="4" t="s">
        <v>11</v>
      </c>
      <c r="MU38998" s="4" t="s">
        <v>11</v>
      </c>
      <c r="MV38998" s="4" t="s">
        <v>15</v>
      </c>
      <c r="MW38998" s="4" t="s">
        <v>8</v>
      </c>
      <c r="MX38998" s="4" t="s">
        <v>1859</v>
      </c>
      <c r="MY38998" s="4" t="s">
        <v>11</v>
      </c>
      <c r="MZ38998" s="4" t="s">
        <v>11</v>
      </c>
      <c r="NA38998" s="4" t="s">
        <v>15</v>
      </c>
      <c r="NB38998" s="4" t="s">
        <v>8</v>
      </c>
      <c r="NC38998" s="4" t="s">
        <v>1859</v>
      </c>
    </row>
    <row r="38999" spans="1:317">
      <c r="A38999" t="n">
        <v>479952</v>
      </c>
      <c r="B38999" s="85" t="n">
        <v>257</v>
      </c>
      <c r="C38999" s="7" t="n">
        <v>7</v>
      </c>
      <c r="D38999" s="7" t="n">
        <v>65533</v>
      </c>
      <c r="E38999" s="7" t="n">
        <v>64131</v>
      </c>
      <c r="F38999" s="7" t="s">
        <v>16</v>
      </c>
      <c r="G38999" s="7" t="n">
        <f t="normal" ca="1">32-LENB(INDIRECT(ADDRESS(38999,6)))</f>
        <v>0</v>
      </c>
      <c r="H38999" s="7" t="n">
        <v>7</v>
      </c>
      <c r="I38999" s="7" t="n">
        <v>65533</v>
      </c>
      <c r="J38999" s="7" t="n">
        <v>64132</v>
      </c>
      <c r="K38999" s="7" t="s">
        <v>16</v>
      </c>
      <c r="L38999" s="7" t="n">
        <f t="normal" ca="1">32-LENB(INDIRECT(ADDRESS(38999,11)))</f>
        <v>0</v>
      </c>
      <c r="M38999" s="7" t="n">
        <v>7</v>
      </c>
      <c r="N38999" s="7" t="n">
        <v>65533</v>
      </c>
      <c r="O38999" s="7" t="n">
        <v>64133</v>
      </c>
      <c r="P38999" s="7" t="s">
        <v>16</v>
      </c>
      <c r="Q38999" s="7" t="n">
        <f t="normal" ca="1">32-LENB(INDIRECT(ADDRESS(38999,16)))</f>
        <v>0</v>
      </c>
      <c r="R38999" s="7" t="n">
        <v>7</v>
      </c>
      <c r="S38999" s="7" t="n">
        <v>65533</v>
      </c>
      <c r="T38999" s="7" t="n">
        <v>64134</v>
      </c>
      <c r="U38999" s="7" t="s">
        <v>16</v>
      </c>
      <c r="V38999" s="7" t="n">
        <f t="normal" ca="1">32-LENB(INDIRECT(ADDRESS(38999,21)))</f>
        <v>0</v>
      </c>
      <c r="W38999" s="7" t="n">
        <v>7</v>
      </c>
      <c r="X38999" s="7" t="n">
        <v>65533</v>
      </c>
      <c r="Y38999" s="7" t="n">
        <v>64135</v>
      </c>
      <c r="Z38999" s="7" t="s">
        <v>16</v>
      </c>
      <c r="AA38999" s="7" t="n">
        <f t="normal" ca="1">32-LENB(INDIRECT(ADDRESS(38999,26)))</f>
        <v>0</v>
      </c>
      <c r="AB38999" s="7" t="n">
        <v>7</v>
      </c>
      <c r="AC38999" s="7" t="n">
        <v>65533</v>
      </c>
      <c r="AD38999" s="7" t="n">
        <v>64136</v>
      </c>
      <c r="AE38999" s="7" t="s">
        <v>16</v>
      </c>
      <c r="AF38999" s="7" t="n">
        <f t="normal" ca="1">32-LENB(INDIRECT(ADDRESS(38999,31)))</f>
        <v>0</v>
      </c>
      <c r="AG38999" s="7" t="n">
        <v>7</v>
      </c>
      <c r="AH38999" s="7" t="n">
        <v>65533</v>
      </c>
      <c r="AI38999" s="7" t="n">
        <v>64137</v>
      </c>
      <c r="AJ38999" s="7" t="s">
        <v>16</v>
      </c>
      <c r="AK38999" s="7" t="n">
        <f t="normal" ca="1">32-LENB(INDIRECT(ADDRESS(38999,36)))</f>
        <v>0</v>
      </c>
      <c r="AL38999" s="7" t="n">
        <v>7</v>
      </c>
      <c r="AM38999" s="7" t="n">
        <v>65533</v>
      </c>
      <c r="AN38999" s="7" t="n">
        <v>64138</v>
      </c>
      <c r="AO38999" s="7" t="s">
        <v>16</v>
      </c>
      <c r="AP38999" s="7" t="n">
        <f t="normal" ca="1">32-LENB(INDIRECT(ADDRESS(38999,41)))</f>
        <v>0</v>
      </c>
      <c r="AQ38999" s="7" t="n">
        <v>7</v>
      </c>
      <c r="AR38999" s="7" t="n">
        <v>65533</v>
      </c>
      <c r="AS38999" s="7" t="n">
        <v>64139</v>
      </c>
      <c r="AT38999" s="7" t="s">
        <v>16</v>
      </c>
      <c r="AU38999" s="7" t="n">
        <f t="normal" ca="1">32-LENB(INDIRECT(ADDRESS(38999,46)))</f>
        <v>0</v>
      </c>
      <c r="AV38999" s="7" t="n">
        <v>7</v>
      </c>
      <c r="AW38999" s="7" t="n">
        <v>65533</v>
      </c>
      <c r="AX38999" s="7" t="n">
        <v>64140</v>
      </c>
      <c r="AY38999" s="7" t="s">
        <v>16</v>
      </c>
      <c r="AZ38999" s="7" t="n">
        <f t="normal" ca="1">32-LENB(INDIRECT(ADDRESS(38999,51)))</f>
        <v>0</v>
      </c>
      <c r="BA38999" s="7" t="n">
        <v>7</v>
      </c>
      <c r="BB38999" s="7" t="n">
        <v>65533</v>
      </c>
      <c r="BC38999" s="7" t="n">
        <v>64141</v>
      </c>
      <c r="BD38999" s="7" t="s">
        <v>16</v>
      </c>
      <c r="BE38999" s="7" t="n">
        <f t="normal" ca="1">32-LENB(INDIRECT(ADDRESS(38999,56)))</f>
        <v>0</v>
      </c>
      <c r="BF38999" s="7" t="n">
        <v>7</v>
      </c>
      <c r="BG38999" s="7" t="n">
        <v>65533</v>
      </c>
      <c r="BH38999" s="7" t="n">
        <v>64142</v>
      </c>
      <c r="BI38999" s="7" t="s">
        <v>16</v>
      </c>
      <c r="BJ38999" s="7" t="n">
        <f t="normal" ca="1">32-LENB(INDIRECT(ADDRESS(38999,61)))</f>
        <v>0</v>
      </c>
      <c r="BK38999" s="7" t="n">
        <v>7</v>
      </c>
      <c r="BL38999" s="7" t="n">
        <v>65533</v>
      </c>
      <c r="BM38999" s="7" t="n">
        <v>64143</v>
      </c>
      <c r="BN38999" s="7" t="s">
        <v>16</v>
      </c>
      <c r="BO38999" s="7" t="n">
        <f t="normal" ca="1">32-LENB(INDIRECT(ADDRESS(38999,66)))</f>
        <v>0</v>
      </c>
      <c r="BP38999" s="7" t="n">
        <v>7</v>
      </c>
      <c r="BQ38999" s="7" t="n">
        <v>65533</v>
      </c>
      <c r="BR38999" s="7" t="n">
        <v>64144</v>
      </c>
      <c r="BS38999" s="7" t="s">
        <v>16</v>
      </c>
      <c r="BT38999" s="7" t="n">
        <f t="normal" ca="1">32-LENB(INDIRECT(ADDRESS(38999,71)))</f>
        <v>0</v>
      </c>
      <c r="BU38999" s="7" t="n">
        <v>7</v>
      </c>
      <c r="BV38999" s="7" t="n">
        <v>65533</v>
      </c>
      <c r="BW38999" s="7" t="n">
        <v>64145</v>
      </c>
      <c r="BX38999" s="7" t="s">
        <v>16</v>
      </c>
      <c r="BY38999" s="7" t="n">
        <f t="normal" ca="1">32-LENB(INDIRECT(ADDRESS(38999,76)))</f>
        <v>0</v>
      </c>
      <c r="BZ38999" s="7" t="n">
        <v>7</v>
      </c>
      <c r="CA38999" s="7" t="n">
        <v>65533</v>
      </c>
      <c r="CB38999" s="7" t="n">
        <v>64146</v>
      </c>
      <c r="CC38999" s="7" t="s">
        <v>16</v>
      </c>
      <c r="CD38999" s="7" t="n">
        <f t="normal" ca="1">32-LENB(INDIRECT(ADDRESS(38999,81)))</f>
        <v>0</v>
      </c>
      <c r="CE38999" s="7" t="n">
        <v>7</v>
      </c>
      <c r="CF38999" s="7" t="n">
        <v>65533</v>
      </c>
      <c r="CG38999" s="7" t="n">
        <v>64147</v>
      </c>
      <c r="CH38999" s="7" t="s">
        <v>16</v>
      </c>
      <c r="CI38999" s="7" t="n">
        <f t="normal" ca="1">32-LENB(INDIRECT(ADDRESS(38999,86)))</f>
        <v>0</v>
      </c>
      <c r="CJ38999" s="7" t="n">
        <v>7</v>
      </c>
      <c r="CK38999" s="7" t="n">
        <v>65533</v>
      </c>
      <c r="CL38999" s="7" t="n">
        <v>64148</v>
      </c>
      <c r="CM38999" s="7" t="s">
        <v>16</v>
      </c>
      <c r="CN38999" s="7" t="n">
        <f t="normal" ca="1">32-LENB(INDIRECT(ADDRESS(38999,91)))</f>
        <v>0</v>
      </c>
      <c r="CO38999" s="7" t="n">
        <v>7</v>
      </c>
      <c r="CP38999" s="7" t="n">
        <v>65533</v>
      </c>
      <c r="CQ38999" s="7" t="n">
        <v>64149</v>
      </c>
      <c r="CR38999" s="7" t="s">
        <v>16</v>
      </c>
      <c r="CS38999" s="7" t="n">
        <f t="normal" ca="1">32-LENB(INDIRECT(ADDRESS(38999,96)))</f>
        <v>0</v>
      </c>
      <c r="CT38999" s="7" t="n">
        <v>7</v>
      </c>
      <c r="CU38999" s="7" t="n">
        <v>65533</v>
      </c>
      <c r="CV38999" s="7" t="n">
        <v>64150</v>
      </c>
      <c r="CW38999" s="7" t="s">
        <v>16</v>
      </c>
      <c r="CX38999" s="7" t="n">
        <f t="normal" ca="1">32-LENB(INDIRECT(ADDRESS(38999,101)))</f>
        <v>0</v>
      </c>
      <c r="CY38999" s="7" t="n">
        <v>7</v>
      </c>
      <c r="CZ38999" s="7" t="n">
        <v>65533</v>
      </c>
      <c r="DA38999" s="7" t="n">
        <v>64151</v>
      </c>
      <c r="DB38999" s="7" t="s">
        <v>16</v>
      </c>
      <c r="DC38999" s="7" t="n">
        <f t="normal" ca="1">32-LENB(INDIRECT(ADDRESS(38999,106)))</f>
        <v>0</v>
      </c>
      <c r="DD38999" s="7" t="n">
        <v>7</v>
      </c>
      <c r="DE38999" s="7" t="n">
        <v>65533</v>
      </c>
      <c r="DF38999" s="7" t="n">
        <v>7800</v>
      </c>
      <c r="DG38999" s="7" t="s">
        <v>16</v>
      </c>
      <c r="DH38999" s="7" t="n">
        <f t="normal" ca="1">32-LENB(INDIRECT(ADDRESS(38999,111)))</f>
        <v>0</v>
      </c>
      <c r="DI38999" s="7" t="n">
        <v>7</v>
      </c>
      <c r="DJ38999" s="7" t="n">
        <v>65533</v>
      </c>
      <c r="DK38999" s="7" t="n">
        <v>7801</v>
      </c>
      <c r="DL38999" s="7" t="s">
        <v>16</v>
      </c>
      <c r="DM38999" s="7" t="n">
        <f t="normal" ca="1">32-LENB(INDIRECT(ADDRESS(38999,116)))</f>
        <v>0</v>
      </c>
      <c r="DN38999" s="7" t="n">
        <v>7</v>
      </c>
      <c r="DO38999" s="7" t="n">
        <v>65533</v>
      </c>
      <c r="DP38999" s="7" t="n">
        <v>7802</v>
      </c>
      <c r="DQ38999" s="7" t="s">
        <v>16</v>
      </c>
      <c r="DR38999" s="7" t="n">
        <f t="normal" ca="1">32-LENB(INDIRECT(ADDRESS(38999,121)))</f>
        <v>0</v>
      </c>
      <c r="DS38999" s="7" t="n">
        <v>7</v>
      </c>
      <c r="DT38999" s="7" t="n">
        <v>65533</v>
      </c>
      <c r="DU38999" s="7" t="n">
        <v>64152</v>
      </c>
      <c r="DV38999" s="7" t="s">
        <v>16</v>
      </c>
      <c r="DW38999" s="7" t="n">
        <f t="normal" ca="1">32-LENB(INDIRECT(ADDRESS(38999,126)))</f>
        <v>0</v>
      </c>
      <c r="DX38999" s="7" t="n">
        <v>7</v>
      </c>
      <c r="DY38999" s="7" t="n">
        <v>65533</v>
      </c>
      <c r="DZ38999" s="7" t="n">
        <v>64153</v>
      </c>
      <c r="EA38999" s="7" t="s">
        <v>16</v>
      </c>
      <c r="EB38999" s="7" t="n">
        <f t="normal" ca="1">32-LENB(INDIRECT(ADDRESS(38999,131)))</f>
        <v>0</v>
      </c>
      <c r="EC38999" s="7" t="n">
        <v>7</v>
      </c>
      <c r="ED38999" s="7" t="n">
        <v>65533</v>
      </c>
      <c r="EE38999" s="7" t="n">
        <v>64154</v>
      </c>
      <c r="EF38999" s="7" t="s">
        <v>16</v>
      </c>
      <c r="EG38999" s="7" t="n">
        <f t="normal" ca="1">32-LENB(INDIRECT(ADDRESS(38999,136)))</f>
        <v>0</v>
      </c>
      <c r="EH38999" s="7" t="n">
        <v>7</v>
      </c>
      <c r="EI38999" s="7" t="n">
        <v>65533</v>
      </c>
      <c r="EJ38999" s="7" t="n">
        <v>7803</v>
      </c>
      <c r="EK38999" s="7" t="s">
        <v>16</v>
      </c>
      <c r="EL38999" s="7" t="n">
        <f t="normal" ca="1">32-LENB(INDIRECT(ADDRESS(38999,141)))</f>
        <v>0</v>
      </c>
      <c r="EM38999" s="7" t="n">
        <v>7</v>
      </c>
      <c r="EN38999" s="7" t="n">
        <v>65533</v>
      </c>
      <c r="EO38999" s="7" t="n">
        <v>7804</v>
      </c>
      <c r="EP38999" s="7" t="s">
        <v>16</v>
      </c>
      <c r="EQ38999" s="7" t="n">
        <f t="normal" ca="1">32-LENB(INDIRECT(ADDRESS(38999,146)))</f>
        <v>0</v>
      </c>
      <c r="ER38999" s="7" t="n">
        <v>7</v>
      </c>
      <c r="ES38999" s="7" t="n">
        <v>65533</v>
      </c>
      <c r="ET38999" s="7" t="n">
        <v>7805</v>
      </c>
      <c r="EU38999" s="7" t="s">
        <v>16</v>
      </c>
      <c r="EV38999" s="7" t="n">
        <f t="normal" ca="1">32-LENB(INDIRECT(ADDRESS(38999,151)))</f>
        <v>0</v>
      </c>
      <c r="EW38999" s="7" t="n">
        <v>7</v>
      </c>
      <c r="EX38999" s="7" t="n">
        <v>65533</v>
      </c>
      <c r="EY38999" s="7" t="n">
        <v>7806</v>
      </c>
      <c r="EZ38999" s="7" t="s">
        <v>16</v>
      </c>
      <c r="FA38999" s="7" t="n">
        <f t="normal" ca="1">32-LENB(INDIRECT(ADDRESS(38999,156)))</f>
        <v>0</v>
      </c>
      <c r="FB38999" s="7" t="n">
        <v>7</v>
      </c>
      <c r="FC38999" s="7" t="n">
        <v>65533</v>
      </c>
      <c r="FD38999" s="7" t="n">
        <v>7807</v>
      </c>
      <c r="FE38999" s="7" t="s">
        <v>16</v>
      </c>
      <c r="FF38999" s="7" t="n">
        <f t="normal" ca="1">32-LENB(INDIRECT(ADDRESS(38999,161)))</f>
        <v>0</v>
      </c>
      <c r="FG38999" s="7" t="n">
        <v>7</v>
      </c>
      <c r="FH38999" s="7" t="n">
        <v>65533</v>
      </c>
      <c r="FI38999" s="7" t="n">
        <v>64155</v>
      </c>
      <c r="FJ38999" s="7" t="s">
        <v>16</v>
      </c>
      <c r="FK38999" s="7" t="n">
        <f t="normal" ca="1">32-LENB(INDIRECT(ADDRESS(38999,166)))</f>
        <v>0</v>
      </c>
      <c r="FL38999" s="7" t="n">
        <v>7</v>
      </c>
      <c r="FM38999" s="7" t="n">
        <v>65533</v>
      </c>
      <c r="FN38999" s="7" t="n">
        <v>7808</v>
      </c>
      <c r="FO38999" s="7" t="s">
        <v>16</v>
      </c>
      <c r="FP38999" s="7" t="n">
        <f t="normal" ca="1">32-LENB(INDIRECT(ADDRESS(38999,171)))</f>
        <v>0</v>
      </c>
      <c r="FQ38999" s="7" t="n">
        <v>7</v>
      </c>
      <c r="FR38999" s="7" t="n">
        <v>65533</v>
      </c>
      <c r="FS38999" s="7" t="n">
        <v>7809</v>
      </c>
      <c r="FT38999" s="7" t="s">
        <v>16</v>
      </c>
      <c r="FU38999" s="7" t="n">
        <f t="normal" ca="1">32-LENB(INDIRECT(ADDRESS(38999,176)))</f>
        <v>0</v>
      </c>
      <c r="FV38999" s="7" t="n">
        <v>7</v>
      </c>
      <c r="FW38999" s="7" t="n">
        <v>65533</v>
      </c>
      <c r="FX38999" s="7" t="n">
        <v>7810</v>
      </c>
      <c r="FY38999" s="7" t="s">
        <v>16</v>
      </c>
      <c r="FZ38999" s="7" t="n">
        <f t="normal" ca="1">32-LENB(INDIRECT(ADDRESS(38999,181)))</f>
        <v>0</v>
      </c>
      <c r="GA38999" s="7" t="n">
        <v>7</v>
      </c>
      <c r="GB38999" s="7" t="n">
        <v>65533</v>
      </c>
      <c r="GC38999" s="7" t="n">
        <v>7811</v>
      </c>
      <c r="GD38999" s="7" t="s">
        <v>16</v>
      </c>
      <c r="GE38999" s="7" t="n">
        <f t="normal" ca="1">32-LENB(INDIRECT(ADDRESS(38999,186)))</f>
        <v>0</v>
      </c>
      <c r="GF38999" s="7" t="n">
        <v>7</v>
      </c>
      <c r="GG38999" s="7" t="n">
        <v>65533</v>
      </c>
      <c r="GH38999" s="7" t="n">
        <v>64268</v>
      </c>
      <c r="GI38999" s="7" t="s">
        <v>16</v>
      </c>
      <c r="GJ38999" s="7" t="n">
        <f t="normal" ca="1">32-LENB(INDIRECT(ADDRESS(38999,191)))</f>
        <v>0</v>
      </c>
      <c r="GK38999" s="7" t="n">
        <v>7</v>
      </c>
      <c r="GL38999" s="7" t="n">
        <v>65533</v>
      </c>
      <c r="GM38999" s="7" t="n">
        <v>7812</v>
      </c>
      <c r="GN38999" s="7" t="s">
        <v>16</v>
      </c>
      <c r="GO38999" s="7" t="n">
        <f t="normal" ca="1">32-LENB(INDIRECT(ADDRESS(38999,196)))</f>
        <v>0</v>
      </c>
      <c r="GP38999" s="7" t="n">
        <v>7</v>
      </c>
      <c r="GQ38999" s="7" t="n">
        <v>65533</v>
      </c>
      <c r="GR38999" s="7" t="n">
        <v>7813</v>
      </c>
      <c r="GS38999" s="7" t="s">
        <v>16</v>
      </c>
      <c r="GT38999" s="7" t="n">
        <f t="normal" ca="1">32-LENB(INDIRECT(ADDRESS(38999,201)))</f>
        <v>0</v>
      </c>
      <c r="GU38999" s="7" t="n">
        <v>7</v>
      </c>
      <c r="GV38999" s="7" t="n">
        <v>65533</v>
      </c>
      <c r="GW38999" s="7" t="n">
        <v>64156</v>
      </c>
      <c r="GX38999" s="7" t="s">
        <v>16</v>
      </c>
      <c r="GY38999" s="7" t="n">
        <f t="normal" ca="1">32-LENB(INDIRECT(ADDRESS(38999,206)))</f>
        <v>0</v>
      </c>
      <c r="GZ38999" s="7" t="n">
        <v>7</v>
      </c>
      <c r="HA38999" s="7" t="n">
        <v>65533</v>
      </c>
      <c r="HB38999" s="7" t="n">
        <v>7814</v>
      </c>
      <c r="HC38999" s="7" t="s">
        <v>16</v>
      </c>
      <c r="HD38999" s="7" t="n">
        <f t="normal" ca="1">32-LENB(INDIRECT(ADDRESS(38999,211)))</f>
        <v>0</v>
      </c>
      <c r="HE38999" s="7" t="n">
        <v>7</v>
      </c>
      <c r="HF38999" s="7" t="n">
        <v>65533</v>
      </c>
      <c r="HG38999" s="7" t="n">
        <v>7815</v>
      </c>
      <c r="HH38999" s="7" t="s">
        <v>16</v>
      </c>
      <c r="HI38999" s="7" t="n">
        <f t="normal" ca="1">32-LENB(INDIRECT(ADDRESS(38999,216)))</f>
        <v>0</v>
      </c>
      <c r="HJ38999" s="7" t="n">
        <v>7</v>
      </c>
      <c r="HK38999" s="7" t="n">
        <v>65533</v>
      </c>
      <c r="HL38999" s="7" t="n">
        <v>7816</v>
      </c>
      <c r="HM38999" s="7" t="s">
        <v>16</v>
      </c>
      <c r="HN38999" s="7" t="n">
        <f t="normal" ca="1">32-LENB(INDIRECT(ADDRESS(38999,221)))</f>
        <v>0</v>
      </c>
      <c r="HO38999" s="7" t="n">
        <v>7</v>
      </c>
      <c r="HP38999" s="7" t="n">
        <v>65533</v>
      </c>
      <c r="HQ38999" s="7" t="n">
        <v>65271</v>
      </c>
      <c r="HR38999" s="7" t="s">
        <v>16</v>
      </c>
      <c r="HS38999" s="7" t="n">
        <f t="normal" ca="1">32-LENB(INDIRECT(ADDRESS(38999,226)))</f>
        <v>0</v>
      </c>
      <c r="HT38999" s="7" t="n">
        <v>7</v>
      </c>
      <c r="HU38999" s="7" t="n">
        <v>65533</v>
      </c>
      <c r="HV38999" s="7" t="n">
        <v>7817</v>
      </c>
      <c r="HW38999" s="7" t="s">
        <v>16</v>
      </c>
      <c r="HX38999" s="7" t="n">
        <f t="normal" ca="1">32-LENB(INDIRECT(ADDRESS(38999,231)))</f>
        <v>0</v>
      </c>
      <c r="HY38999" s="7" t="n">
        <v>7</v>
      </c>
      <c r="HZ38999" s="7" t="n">
        <v>65533</v>
      </c>
      <c r="IA38999" s="7" t="n">
        <v>7818</v>
      </c>
      <c r="IB38999" s="7" t="s">
        <v>16</v>
      </c>
      <c r="IC38999" s="7" t="n">
        <f t="normal" ca="1">32-LENB(INDIRECT(ADDRESS(38999,236)))</f>
        <v>0</v>
      </c>
      <c r="ID38999" s="7" t="n">
        <v>7</v>
      </c>
      <c r="IE38999" s="7" t="n">
        <v>65533</v>
      </c>
      <c r="IF38999" s="7" t="n">
        <v>64157</v>
      </c>
      <c r="IG38999" s="7" t="s">
        <v>16</v>
      </c>
      <c r="IH38999" s="7" t="n">
        <f t="normal" ca="1">32-LENB(INDIRECT(ADDRESS(38999,241)))</f>
        <v>0</v>
      </c>
      <c r="II38999" s="7" t="n">
        <v>7</v>
      </c>
      <c r="IJ38999" s="7" t="n">
        <v>65533</v>
      </c>
      <c r="IK38999" s="7" t="n">
        <v>64158</v>
      </c>
      <c r="IL38999" s="7" t="s">
        <v>16</v>
      </c>
      <c r="IM38999" s="7" t="n">
        <f t="normal" ca="1">32-LENB(INDIRECT(ADDRESS(38999,246)))</f>
        <v>0</v>
      </c>
      <c r="IN38999" s="7" t="n">
        <v>7</v>
      </c>
      <c r="IO38999" s="7" t="n">
        <v>65533</v>
      </c>
      <c r="IP38999" s="7" t="n">
        <v>7819</v>
      </c>
      <c r="IQ38999" s="7" t="s">
        <v>16</v>
      </c>
      <c r="IR38999" s="7" t="n">
        <f t="normal" ca="1">32-LENB(INDIRECT(ADDRESS(38999,251)))</f>
        <v>0</v>
      </c>
      <c r="IS38999" s="7" t="n">
        <v>7</v>
      </c>
      <c r="IT38999" s="7" t="n">
        <v>65533</v>
      </c>
      <c r="IU38999" s="7" t="n">
        <v>64159</v>
      </c>
      <c r="IV38999" s="7" t="s">
        <v>16</v>
      </c>
      <c r="IW38999" s="7" t="n">
        <f t="normal" ca="1">32-LENB(INDIRECT(ADDRESS(38999,256)))</f>
        <v>0</v>
      </c>
      <c r="IX38999" s="7" t="n">
        <v>7</v>
      </c>
      <c r="IY38999" s="7" t="n">
        <v>65533</v>
      </c>
      <c r="IZ38999" s="7" t="n">
        <v>64160</v>
      </c>
      <c r="JA38999" s="7" t="s">
        <v>16</v>
      </c>
      <c r="JB38999" s="7" t="n">
        <f t="normal" ca="1">32-LENB(INDIRECT(ADDRESS(38999,261)))</f>
        <v>0</v>
      </c>
      <c r="JC38999" s="7" t="n">
        <v>7</v>
      </c>
      <c r="JD38999" s="7" t="n">
        <v>65533</v>
      </c>
      <c r="JE38999" s="7" t="n">
        <v>7820</v>
      </c>
      <c r="JF38999" s="7" t="s">
        <v>16</v>
      </c>
      <c r="JG38999" s="7" t="n">
        <f t="normal" ca="1">32-LENB(INDIRECT(ADDRESS(38999,266)))</f>
        <v>0</v>
      </c>
      <c r="JH38999" s="7" t="n">
        <v>7</v>
      </c>
      <c r="JI38999" s="7" t="n">
        <v>65533</v>
      </c>
      <c r="JJ38999" s="7" t="n">
        <v>64161</v>
      </c>
      <c r="JK38999" s="7" t="s">
        <v>16</v>
      </c>
      <c r="JL38999" s="7" t="n">
        <f t="normal" ca="1">32-LENB(INDIRECT(ADDRESS(38999,271)))</f>
        <v>0</v>
      </c>
      <c r="JM38999" s="7" t="n">
        <v>7</v>
      </c>
      <c r="JN38999" s="7" t="n">
        <v>65533</v>
      </c>
      <c r="JO38999" s="7" t="n">
        <v>64162</v>
      </c>
      <c r="JP38999" s="7" t="s">
        <v>16</v>
      </c>
      <c r="JQ38999" s="7" t="n">
        <f t="normal" ca="1">32-LENB(INDIRECT(ADDRESS(38999,276)))</f>
        <v>0</v>
      </c>
      <c r="JR38999" s="7" t="n">
        <v>7</v>
      </c>
      <c r="JS38999" s="7" t="n">
        <v>65533</v>
      </c>
      <c r="JT38999" s="7" t="n">
        <v>64163</v>
      </c>
      <c r="JU38999" s="7" t="s">
        <v>16</v>
      </c>
      <c r="JV38999" s="7" t="n">
        <f t="normal" ca="1">32-LENB(INDIRECT(ADDRESS(38999,281)))</f>
        <v>0</v>
      </c>
      <c r="JW38999" s="7" t="n">
        <v>7</v>
      </c>
      <c r="JX38999" s="7" t="n">
        <v>65533</v>
      </c>
      <c r="JY38999" s="7" t="n">
        <v>7821</v>
      </c>
      <c r="JZ38999" s="7" t="s">
        <v>16</v>
      </c>
      <c r="KA38999" s="7" t="n">
        <f t="normal" ca="1">32-LENB(INDIRECT(ADDRESS(38999,286)))</f>
        <v>0</v>
      </c>
      <c r="KB38999" s="7" t="n">
        <v>7</v>
      </c>
      <c r="KC38999" s="7" t="n">
        <v>65533</v>
      </c>
      <c r="KD38999" s="7" t="n">
        <v>64164</v>
      </c>
      <c r="KE38999" s="7" t="s">
        <v>16</v>
      </c>
      <c r="KF38999" s="7" t="n">
        <f t="normal" ca="1">32-LENB(INDIRECT(ADDRESS(38999,291)))</f>
        <v>0</v>
      </c>
      <c r="KG38999" s="7" t="n">
        <v>7</v>
      </c>
      <c r="KH38999" s="7" t="n">
        <v>65533</v>
      </c>
      <c r="KI38999" s="7" t="n">
        <v>64165</v>
      </c>
      <c r="KJ38999" s="7" t="s">
        <v>16</v>
      </c>
      <c r="KK38999" s="7" t="n">
        <f t="normal" ca="1">32-LENB(INDIRECT(ADDRESS(38999,296)))</f>
        <v>0</v>
      </c>
      <c r="KL38999" s="7" t="n">
        <v>7</v>
      </c>
      <c r="KM38999" s="7" t="n">
        <v>65533</v>
      </c>
      <c r="KN38999" s="7" t="n">
        <v>64166</v>
      </c>
      <c r="KO38999" s="7" t="s">
        <v>16</v>
      </c>
      <c r="KP38999" s="7" t="n">
        <f t="normal" ca="1">32-LENB(INDIRECT(ADDRESS(38999,301)))</f>
        <v>0</v>
      </c>
      <c r="KQ38999" s="7" t="n">
        <v>7</v>
      </c>
      <c r="KR38999" s="7" t="n">
        <v>65533</v>
      </c>
      <c r="KS38999" s="7" t="n">
        <v>7822</v>
      </c>
      <c r="KT38999" s="7" t="s">
        <v>16</v>
      </c>
      <c r="KU38999" s="7" t="n">
        <f t="normal" ca="1">32-LENB(INDIRECT(ADDRESS(38999,306)))</f>
        <v>0</v>
      </c>
      <c r="KV38999" s="7" t="n">
        <v>7</v>
      </c>
      <c r="KW38999" s="7" t="n">
        <v>65533</v>
      </c>
      <c r="KX38999" s="7" t="n">
        <v>7823</v>
      </c>
      <c r="KY38999" s="7" t="s">
        <v>16</v>
      </c>
      <c r="KZ38999" s="7" t="n">
        <f t="normal" ca="1">32-LENB(INDIRECT(ADDRESS(38999,311)))</f>
        <v>0</v>
      </c>
      <c r="LA38999" s="7" t="n">
        <v>7</v>
      </c>
      <c r="LB38999" s="7" t="n">
        <v>65533</v>
      </c>
      <c r="LC38999" s="7" t="n">
        <v>64167</v>
      </c>
      <c r="LD38999" s="7" t="s">
        <v>16</v>
      </c>
      <c r="LE38999" s="7" t="n">
        <f t="normal" ca="1">32-LENB(INDIRECT(ADDRESS(38999,316)))</f>
        <v>0</v>
      </c>
      <c r="LF38999" s="7" t="n">
        <v>7</v>
      </c>
      <c r="LG38999" s="7" t="n">
        <v>65533</v>
      </c>
      <c r="LH38999" s="7" t="n">
        <v>64168</v>
      </c>
      <c r="LI38999" s="7" t="s">
        <v>16</v>
      </c>
      <c r="LJ38999" s="7" t="n">
        <f t="normal" ca="1">32-LENB(INDIRECT(ADDRESS(38999,321)))</f>
        <v>0</v>
      </c>
      <c r="LK38999" s="7" t="n">
        <v>7</v>
      </c>
      <c r="LL38999" s="7" t="n">
        <v>65533</v>
      </c>
      <c r="LM38999" s="7" t="n">
        <v>64169</v>
      </c>
      <c r="LN38999" s="7" t="s">
        <v>16</v>
      </c>
      <c r="LO38999" s="7" t="n">
        <f t="normal" ca="1">32-LENB(INDIRECT(ADDRESS(38999,326)))</f>
        <v>0</v>
      </c>
      <c r="LP38999" s="7" t="n">
        <v>7</v>
      </c>
      <c r="LQ38999" s="7" t="n">
        <v>65533</v>
      </c>
      <c r="LR38999" s="7" t="n">
        <v>64170</v>
      </c>
      <c r="LS38999" s="7" t="s">
        <v>16</v>
      </c>
      <c r="LT38999" s="7" t="n">
        <f t="normal" ca="1">32-LENB(INDIRECT(ADDRESS(38999,331)))</f>
        <v>0</v>
      </c>
      <c r="LU38999" s="7" t="n">
        <v>7</v>
      </c>
      <c r="LV38999" s="7" t="n">
        <v>65533</v>
      </c>
      <c r="LW38999" s="7" t="n">
        <v>7824</v>
      </c>
      <c r="LX38999" s="7" t="s">
        <v>16</v>
      </c>
      <c r="LY38999" s="7" t="n">
        <f t="normal" ca="1">32-LENB(INDIRECT(ADDRESS(38999,336)))</f>
        <v>0</v>
      </c>
      <c r="LZ38999" s="7" t="n">
        <v>7</v>
      </c>
      <c r="MA38999" s="7" t="n">
        <v>65533</v>
      </c>
      <c r="MB38999" s="7" t="n">
        <v>7825</v>
      </c>
      <c r="MC38999" s="7" t="s">
        <v>16</v>
      </c>
      <c r="MD38999" s="7" t="n">
        <f t="normal" ca="1">32-LENB(INDIRECT(ADDRESS(38999,341)))</f>
        <v>0</v>
      </c>
      <c r="ME38999" s="7" t="n">
        <v>4</v>
      </c>
      <c r="MF38999" s="7" t="n">
        <v>65533</v>
      </c>
      <c r="MG38999" s="7" t="n">
        <v>2258</v>
      </c>
      <c r="MH38999" s="7" t="s">
        <v>16</v>
      </c>
      <c r="MI38999" s="7" t="n">
        <f t="normal" ca="1">32-LENB(INDIRECT(ADDRESS(38999,346)))</f>
        <v>0</v>
      </c>
      <c r="MJ38999" s="7" t="n">
        <v>7</v>
      </c>
      <c r="MK38999" s="7" t="n">
        <v>65533</v>
      </c>
      <c r="ML38999" s="7" t="n">
        <v>7826</v>
      </c>
      <c r="MM38999" s="7" t="s">
        <v>16</v>
      </c>
      <c r="MN38999" s="7" t="n">
        <f t="normal" ca="1">32-LENB(INDIRECT(ADDRESS(38999,351)))</f>
        <v>0</v>
      </c>
      <c r="MO38999" s="7" t="n">
        <v>7</v>
      </c>
      <c r="MP38999" s="7" t="n">
        <v>65533</v>
      </c>
      <c r="MQ38999" s="7" t="n">
        <v>7827</v>
      </c>
      <c r="MR38999" s="7" t="s">
        <v>16</v>
      </c>
      <c r="MS38999" s="7" t="n">
        <f t="normal" ca="1">32-LENB(INDIRECT(ADDRESS(38999,356)))</f>
        <v>0</v>
      </c>
      <c r="MT38999" s="7" t="n">
        <v>7</v>
      </c>
      <c r="MU38999" s="7" t="n">
        <v>65533</v>
      </c>
      <c r="MV38999" s="7" t="n">
        <v>64171</v>
      </c>
      <c r="MW38999" s="7" t="s">
        <v>16</v>
      </c>
      <c r="MX38999" s="7" t="n">
        <f t="normal" ca="1">32-LENB(INDIRECT(ADDRESS(38999,361)))</f>
        <v>0</v>
      </c>
      <c r="MY38999" s="7" t="n">
        <v>0</v>
      </c>
      <c r="MZ38999" s="7" t="n">
        <v>65533</v>
      </c>
      <c r="NA38999" s="7" t="n">
        <v>0</v>
      </c>
      <c r="NB38999" s="7" t="s">
        <v>16</v>
      </c>
      <c r="NC38999" s="7" t="n">
        <f t="normal" ca="1">32-LENB(INDIRECT(ADDRESS(38999,366)))</f>
        <v>0</v>
      </c>
    </row>
    <row r="39000" spans="1:317">
      <c r="A39000" t="s">
        <v>4</v>
      </c>
      <c r="B39000" s="4" t="s">
        <v>5</v>
      </c>
    </row>
    <row r="39001" spans="1:317">
      <c r="A39001" t="n">
        <v>482872</v>
      </c>
      <c r="B39001" s="5" t="n">
        <v>1</v>
      </c>
    </row>
    <row r="39002" spans="1:317" s="3" customFormat="1" customHeight="0">
      <c r="A39002" s="3" t="s">
        <v>2</v>
      </c>
      <c r="B39002" s="3" t="s">
        <v>1909</v>
      </c>
    </row>
    <row r="39003" spans="1:317">
      <c r="A39003" t="s">
        <v>4</v>
      </c>
      <c r="B39003" s="4" t="s">
        <v>5</v>
      </c>
      <c r="C39003" s="4" t="s">
        <v>11</v>
      </c>
      <c r="D39003" s="4" t="s">
        <v>11</v>
      </c>
      <c r="E39003" s="4" t="s">
        <v>15</v>
      </c>
      <c r="F39003" s="4" t="s">
        <v>8</v>
      </c>
      <c r="G39003" s="4" t="s">
        <v>1859</v>
      </c>
      <c r="H39003" s="4" t="s">
        <v>11</v>
      </c>
      <c r="I39003" s="4" t="s">
        <v>11</v>
      </c>
      <c r="J39003" s="4" t="s">
        <v>15</v>
      </c>
      <c r="K39003" s="4" t="s">
        <v>8</v>
      </c>
      <c r="L39003" s="4" t="s">
        <v>1859</v>
      </c>
      <c r="M39003" s="4" t="s">
        <v>11</v>
      </c>
      <c r="N39003" s="4" t="s">
        <v>11</v>
      </c>
      <c r="O39003" s="4" t="s">
        <v>15</v>
      </c>
      <c r="P39003" s="4" t="s">
        <v>8</v>
      </c>
      <c r="Q39003" s="4" t="s">
        <v>1859</v>
      </c>
      <c r="R39003" s="4" t="s">
        <v>11</v>
      </c>
      <c r="S39003" s="4" t="s">
        <v>11</v>
      </c>
      <c r="T39003" s="4" t="s">
        <v>15</v>
      </c>
      <c r="U39003" s="4" t="s">
        <v>8</v>
      </c>
      <c r="V39003" s="4" t="s">
        <v>1859</v>
      </c>
      <c r="W39003" s="4" t="s">
        <v>11</v>
      </c>
      <c r="X39003" s="4" t="s">
        <v>11</v>
      </c>
      <c r="Y39003" s="4" t="s">
        <v>15</v>
      </c>
      <c r="Z39003" s="4" t="s">
        <v>8</v>
      </c>
      <c r="AA39003" s="4" t="s">
        <v>1859</v>
      </c>
      <c r="AB39003" s="4" t="s">
        <v>11</v>
      </c>
      <c r="AC39003" s="4" t="s">
        <v>11</v>
      </c>
      <c r="AD39003" s="4" t="s">
        <v>15</v>
      </c>
      <c r="AE39003" s="4" t="s">
        <v>8</v>
      </c>
      <c r="AF39003" s="4" t="s">
        <v>1859</v>
      </c>
      <c r="AG39003" s="4" t="s">
        <v>11</v>
      </c>
      <c r="AH39003" s="4" t="s">
        <v>11</v>
      </c>
      <c r="AI39003" s="4" t="s">
        <v>15</v>
      </c>
      <c r="AJ39003" s="4" t="s">
        <v>8</v>
      </c>
      <c r="AK39003" s="4" t="s">
        <v>1859</v>
      </c>
      <c r="AL39003" s="4" t="s">
        <v>11</v>
      </c>
      <c r="AM39003" s="4" t="s">
        <v>11</v>
      </c>
      <c r="AN39003" s="4" t="s">
        <v>15</v>
      </c>
      <c r="AO39003" s="4" t="s">
        <v>8</v>
      </c>
      <c r="AP39003" s="4" t="s">
        <v>1859</v>
      </c>
      <c r="AQ39003" s="4" t="s">
        <v>11</v>
      </c>
      <c r="AR39003" s="4" t="s">
        <v>11</v>
      </c>
      <c r="AS39003" s="4" t="s">
        <v>15</v>
      </c>
      <c r="AT39003" s="4" t="s">
        <v>8</v>
      </c>
      <c r="AU39003" s="4" t="s">
        <v>1859</v>
      </c>
      <c r="AV39003" s="4" t="s">
        <v>11</v>
      </c>
      <c r="AW39003" s="4" t="s">
        <v>11</v>
      </c>
      <c r="AX39003" s="4" t="s">
        <v>15</v>
      </c>
      <c r="AY39003" s="4" t="s">
        <v>8</v>
      </c>
      <c r="AZ39003" s="4" t="s">
        <v>1859</v>
      </c>
      <c r="BA39003" s="4" t="s">
        <v>11</v>
      </c>
      <c r="BB39003" s="4" t="s">
        <v>11</v>
      </c>
      <c r="BC39003" s="4" t="s">
        <v>15</v>
      </c>
      <c r="BD39003" s="4" t="s">
        <v>8</v>
      </c>
      <c r="BE39003" s="4" t="s">
        <v>1859</v>
      </c>
      <c r="BF39003" s="4" t="s">
        <v>11</v>
      </c>
      <c r="BG39003" s="4" t="s">
        <v>11</v>
      </c>
      <c r="BH39003" s="4" t="s">
        <v>15</v>
      </c>
      <c r="BI39003" s="4" t="s">
        <v>8</v>
      </c>
      <c r="BJ39003" s="4" t="s">
        <v>1859</v>
      </c>
      <c r="BK39003" s="4" t="s">
        <v>11</v>
      </c>
      <c r="BL39003" s="4" t="s">
        <v>11</v>
      </c>
      <c r="BM39003" s="4" t="s">
        <v>15</v>
      </c>
      <c r="BN39003" s="4" t="s">
        <v>8</v>
      </c>
      <c r="BO39003" s="4" t="s">
        <v>1859</v>
      </c>
      <c r="BP39003" s="4" t="s">
        <v>11</v>
      </c>
      <c r="BQ39003" s="4" t="s">
        <v>11</v>
      </c>
      <c r="BR39003" s="4" t="s">
        <v>15</v>
      </c>
      <c r="BS39003" s="4" t="s">
        <v>8</v>
      </c>
      <c r="BT39003" s="4" t="s">
        <v>1859</v>
      </c>
      <c r="BU39003" s="4" t="s">
        <v>11</v>
      </c>
      <c r="BV39003" s="4" t="s">
        <v>11</v>
      </c>
      <c r="BW39003" s="4" t="s">
        <v>15</v>
      </c>
      <c r="BX39003" s="4" t="s">
        <v>8</v>
      </c>
      <c r="BY39003" s="4" t="s">
        <v>1859</v>
      </c>
      <c r="BZ39003" s="4" t="s">
        <v>11</v>
      </c>
      <c r="CA39003" s="4" t="s">
        <v>11</v>
      </c>
      <c r="CB39003" s="4" t="s">
        <v>15</v>
      </c>
      <c r="CC39003" s="4" t="s">
        <v>8</v>
      </c>
      <c r="CD39003" s="4" t="s">
        <v>1859</v>
      </c>
      <c r="CE39003" s="4" t="s">
        <v>11</v>
      </c>
      <c r="CF39003" s="4" t="s">
        <v>11</v>
      </c>
      <c r="CG39003" s="4" t="s">
        <v>15</v>
      </c>
      <c r="CH39003" s="4" t="s">
        <v>8</v>
      </c>
      <c r="CI39003" s="4" t="s">
        <v>1859</v>
      </c>
      <c r="CJ39003" s="4" t="s">
        <v>11</v>
      </c>
      <c r="CK39003" s="4" t="s">
        <v>11</v>
      </c>
      <c r="CL39003" s="4" t="s">
        <v>15</v>
      </c>
      <c r="CM39003" s="4" t="s">
        <v>8</v>
      </c>
      <c r="CN39003" s="4" t="s">
        <v>1859</v>
      </c>
      <c r="CO39003" s="4" t="s">
        <v>11</v>
      </c>
      <c r="CP39003" s="4" t="s">
        <v>11</v>
      </c>
      <c r="CQ39003" s="4" t="s">
        <v>15</v>
      </c>
      <c r="CR39003" s="4" t="s">
        <v>8</v>
      </c>
      <c r="CS39003" s="4" t="s">
        <v>1859</v>
      </c>
      <c r="CT39003" s="4" t="s">
        <v>11</v>
      </c>
      <c r="CU39003" s="4" t="s">
        <v>11</v>
      </c>
      <c r="CV39003" s="4" t="s">
        <v>15</v>
      </c>
      <c r="CW39003" s="4" t="s">
        <v>8</v>
      </c>
      <c r="CX39003" s="4" t="s">
        <v>1859</v>
      </c>
      <c r="CY39003" s="4" t="s">
        <v>11</v>
      </c>
      <c r="CZ39003" s="4" t="s">
        <v>11</v>
      </c>
      <c r="DA39003" s="4" t="s">
        <v>15</v>
      </c>
      <c r="DB39003" s="4" t="s">
        <v>8</v>
      </c>
      <c r="DC39003" s="4" t="s">
        <v>1859</v>
      </c>
      <c r="DD39003" s="4" t="s">
        <v>11</v>
      </c>
      <c r="DE39003" s="4" t="s">
        <v>11</v>
      </c>
      <c r="DF39003" s="4" t="s">
        <v>15</v>
      </c>
      <c r="DG39003" s="4" t="s">
        <v>8</v>
      </c>
      <c r="DH39003" s="4" t="s">
        <v>1859</v>
      </c>
      <c r="DI39003" s="4" t="s">
        <v>11</v>
      </c>
      <c r="DJ39003" s="4" t="s">
        <v>11</v>
      </c>
      <c r="DK39003" s="4" t="s">
        <v>15</v>
      </c>
      <c r="DL39003" s="4" t="s">
        <v>8</v>
      </c>
      <c r="DM39003" s="4" t="s">
        <v>1859</v>
      </c>
      <c r="DN39003" s="4" t="s">
        <v>11</v>
      </c>
      <c r="DO39003" s="4" t="s">
        <v>11</v>
      </c>
      <c r="DP39003" s="4" t="s">
        <v>15</v>
      </c>
      <c r="DQ39003" s="4" t="s">
        <v>8</v>
      </c>
      <c r="DR39003" s="4" t="s">
        <v>1859</v>
      </c>
      <c r="DS39003" s="4" t="s">
        <v>11</v>
      </c>
      <c r="DT39003" s="4" t="s">
        <v>11</v>
      </c>
      <c r="DU39003" s="4" t="s">
        <v>15</v>
      </c>
      <c r="DV39003" s="4" t="s">
        <v>8</v>
      </c>
      <c r="DW39003" s="4" t="s">
        <v>1859</v>
      </c>
      <c r="DX39003" s="4" t="s">
        <v>11</v>
      </c>
      <c r="DY39003" s="4" t="s">
        <v>11</v>
      </c>
      <c r="DZ39003" s="4" t="s">
        <v>15</v>
      </c>
      <c r="EA39003" s="4" t="s">
        <v>8</v>
      </c>
      <c r="EB39003" s="4" t="s">
        <v>1859</v>
      </c>
      <c r="EC39003" s="4" t="s">
        <v>11</v>
      </c>
      <c r="ED39003" s="4" t="s">
        <v>11</v>
      </c>
      <c r="EE39003" s="4" t="s">
        <v>15</v>
      </c>
      <c r="EF39003" s="4" t="s">
        <v>8</v>
      </c>
      <c r="EG39003" s="4" t="s">
        <v>1859</v>
      </c>
      <c r="EH39003" s="4" t="s">
        <v>11</v>
      </c>
      <c r="EI39003" s="4" t="s">
        <v>11</v>
      </c>
      <c r="EJ39003" s="4" t="s">
        <v>15</v>
      </c>
      <c r="EK39003" s="4" t="s">
        <v>8</v>
      </c>
      <c r="EL39003" s="4" t="s">
        <v>1859</v>
      </c>
      <c r="EM39003" s="4" t="s">
        <v>11</v>
      </c>
      <c r="EN39003" s="4" t="s">
        <v>11</v>
      </c>
      <c r="EO39003" s="4" t="s">
        <v>15</v>
      </c>
      <c r="EP39003" s="4" t="s">
        <v>8</v>
      </c>
      <c r="EQ39003" s="4" t="s">
        <v>1859</v>
      </c>
      <c r="ER39003" s="4" t="s">
        <v>11</v>
      </c>
      <c r="ES39003" s="4" t="s">
        <v>11</v>
      </c>
      <c r="ET39003" s="4" t="s">
        <v>15</v>
      </c>
      <c r="EU39003" s="4" t="s">
        <v>8</v>
      </c>
      <c r="EV39003" s="4" t="s">
        <v>1859</v>
      </c>
      <c r="EW39003" s="4" t="s">
        <v>11</v>
      </c>
      <c r="EX39003" s="4" t="s">
        <v>11</v>
      </c>
      <c r="EY39003" s="4" t="s">
        <v>15</v>
      </c>
      <c r="EZ39003" s="4" t="s">
        <v>8</v>
      </c>
      <c r="FA39003" s="4" t="s">
        <v>1859</v>
      </c>
      <c r="FB39003" s="4" t="s">
        <v>11</v>
      </c>
      <c r="FC39003" s="4" t="s">
        <v>11</v>
      </c>
      <c r="FD39003" s="4" t="s">
        <v>15</v>
      </c>
      <c r="FE39003" s="4" t="s">
        <v>8</v>
      </c>
      <c r="FF39003" s="4" t="s">
        <v>1859</v>
      </c>
      <c r="FG39003" s="4" t="s">
        <v>11</v>
      </c>
      <c r="FH39003" s="4" t="s">
        <v>11</v>
      </c>
      <c r="FI39003" s="4" t="s">
        <v>15</v>
      </c>
      <c r="FJ39003" s="4" t="s">
        <v>8</v>
      </c>
      <c r="FK39003" s="4" t="s">
        <v>1859</v>
      </c>
      <c r="FL39003" s="4" t="s">
        <v>11</v>
      </c>
      <c r="FM39003" s="4" t="s">
        <v>11</v>
      </c>
      <c r="FN39003" s="4" t="s">
        <v>15</v>
      </c>
      <c r="FO39003" s="4" t="s">
        <v>8</v>
      </c>
      <c r="FP39003" s="4" t="s">
        <v>1859</v>
      </c>
      <c r="FQ39003" s="4" t="s">
        <v>11</v>
      </c>
      <c r="FR39003" s="4" t="s">
        <v>11</v>
      </c>
      <c r="FS39003" s="4" t="s">
        <v>15</v>
      </c>
      <c r="FT39003" s="4" t="s">
        <v>8</v>
      </c>
      <c r="FU39003" s="4" t="s">
        <v>1859</v>
      </c>
      <c r="FV39003" s="4" t="s">
        <v>11</v>
      </c>
      <c r="FW39003" s="4" t="s">
        <v>11</v>
      </c>
      <c r="FX39003" s="4" t="s">
        <v>15</v>
      </c>
      <c r="FY39003" s="4" t="s">
        <v>8</v>
      </c>
      <c r="FZ39003" s="4" t="s">
        <v>1859</v>
      </c>
    </row>
    <row r="39004" spans="1:317">
      <c r="A39004" t="n">
        <v>482880</v>
      </c>
      <c r="B39004" s="85" t="n">
        <v>257</v>
      </c>
      <c r="C39004" s="7" t="n">
        <v>7</v>
      </c>
      <c r="D39004" s="7" t="n">
        <v>65533</v>
      </c>
      <c r="E39004" s="7" t="n">
        <v>64433</v>
      </c>
      <c r="F39004" s="7" t="s">
        <v>16</v>
      </c>
      <c r="G39004" s="7" t="n">
        <f t="normal" ca="1">32-LENB(INDIRECT(ADDRESS(39004,6)))</f>
        <v>0</v>
      </c>
      <c r="H39004" s="7" t="n">
        <v>7</v>
      </c>
      <c r="I39004" s="7" t="n">
        <v>65533</v>
      </c>
      <c r="J39004" s="7" t="n">
        <v>64434</v>
      </c>
      <c r="K39004" s="7" t="s">
        <v>16</v>
      </c>
      <c r="L39004" s="7" t="n">
        <f t="normal" ca="1">32-LENB(INDIRECT(ADDRESS(39004,11)))</f>
        <v>0</v>
      </c>
      <c r="M39004" s="7" t="n">
        <v>7</v>
      </c>
      <c r="N39004" s="7" t="n">
        <v>65533</v>
      </c>
      <c r="O39004" s="7" t="n">
        <v>64435</v>
      </c>
      <c r="P39004" s="7" t="s">
        <v>16</v>
      </c>
      <c r="Q39004" s="7" t="n">
        <f t="normal" ca="1">32-LENB(INDIRECT(ADDRESS(39004,16)))</f>
        <v>0</v>
      </c>
      <c r="R39004" s="7" t="n">
        <v>7</v>
      </c>
      <c r="S39004" s="7" t="n">
        <v>65533</v>
      </c>
      <c r="T39004" s="7" t="n">
        <v>64436</v>
      </c>
      <c r="U39004" s="7" t="s">
        <v>16</v>
      </c>
      <c r="V39004" s="7" t="n">
        <f t="normal" ca="1">32-LENB(INDIRECT(ADDRESS(39004,21)))</f>
        <v>0</v>
      </c>
      <c r="W39004" s="7" t="n">
        <v>7</v>
      </c>
      <c r="X39004" s="7" t="n">
        <v>65533</v>
      </c>
      <c r="Y39004" s="7" t="n">
        <v>64437</v>
      </c>
      <c r="Z39004" s="7" t="s">
        <v>16</v>
      </c>
      <c r="AA39004" s="7" t="n">
        <f t="normal" ca="1">32-LENB(INDIRECT(ADDRESS(39004,26)))</f>
        <v>0</v>
      </c>
      <c r="AB39004" s="7" t="n">
        <v>7</v>
      </c>
      <c r="AC39004" s="7" t="n">
        <v>65533</v>
      </c>
      <c r="AD39004" s="7" t="n">
        <v>64438</v>
      </c>
      <c r="AE39004" s="7" t="s">
        <v>16</v>
      </c>
      <c r="AF39004" s="7" t="n">
        <f t="normal" ca="1">32-LENB(INDIRECT(ADDRESS(39004,31)))</f>
        <v>0</v>
      </c>
      <c r="AG39004" s="7" t="n">
        <v>7</v>
      </c>
      <c r="AH39004" s="7" t="n">
        <v>65533</v>
      </c>
      <c r="AI39004" s="7" t="n">
        <v>64439</v>
      </c>
      <c r="AJ39004" s="7" t="s">
        <v>16</v>
      </c>
      <c r="AK39004" s="7" t="n">
        <f t="normal" ca="1">32-LENB(INDIRECT(ADDRESS(39004,36)))</f>
        <v>0</v>
      </c>
      <c r="AL39004" s="7" t="n">
        <v>7</v>
      </c>
      <c r="AM39004" s="7" t="n">
        <v>65533</v>
      </c>
      <c r="AN39004" s="7" t="n">
        <v>64440</v>
      </c>
      <c r="AO39004" s="7" t="s">
        <v>16</v>
      </c>
      <c r="AP39004" s="7" t="n">
        <f t="normal" ca="1">32-LENB(INDIRECT(ADDRESS(39004,41)))</f>
        <v>0</v>
      </c>
      <c r="AQ39004" s="7" t="n">
        <v>7</v>
      </c>
      <c r="AR39004" s="7" t="n">
        <v>65533</v>
      </c>
      <c r="AS39004" s="7" t="n">
        <v>64441</v>
      </c>
      <c r="AT39004" s="7" t="s">
        <v>16</v>
      </c>
      <c r="AU39004" s="7" t="n">
        <f t="normal" ca="1">32-LENB(INDIRECT(ADDRESS(39004,46)))</f>
        <v>0</v>
      </c>
      <c r="AV39004" s="7" t="n">
        <v>7</v>
      </c>
      <c r="AW39004" s="7" t="n">
        <v>65533</v>
      </c>
      <c r="AX39004" s="7" t="n">
        <v>64442</v>
      </c>
      <c r="AY39004" s="7" t="s">
        <v>16</v>
      </c>
      <c r="AZ39004" s="7" t="n">
        <f t="normal" ca="1">32-LENB(INDIRECT(ADDRESS(39004,51)))</f>
        <v>0</v>
      </c>
      <c r="BA39004" s="7" t="n">
        <v>7</v>
      </c>
      <c r="BB39004" s="7" t="n">
        <v>65533</v>
      </c>
      <c r="BC39004" s="7" t="n">
        <v>64443</v>
      </c>
      <c r="BD39004" s="7" t="s">
        <v>16</v>
      </c>
      <c r="BE39004" s="7" t="n">
        <f t="normal" ca="1">32-LENB(INDIRECT(ADDRESS(39004,56)))</f>
        <v>0</v>
      </c>
      <c r="BF39004" s="7" t="n">
        <v>7</v>
      </c>
      <c r="BG39004" s="7" t="n">
        <v>65533</v>
      </c>
      <c r="BH39004" s="7" t="n">
        <v>64444</v>
      </c>
      <c r="BI39004" s="7" t="s">
        <v>16</v>
      </c>
      <c r="BJ39004" s="7" t="n">
        <f t="normal" ca="1">32-LENB(INDIRECT(ADDRESS(39004,61)))</f>
        <v>0</v>
      </c>
      <c r="BK39004" s="7" t="n">
        <v>7</v>
      </c>
      <c r="BL39004" s="7" t="n">
        <v>65533</v>
      </c>
      <c r="BM39004" s="7" t="n">
        <v>64445</v>
      </c>
      <c r="BN39004" s="7" t="s">
        <v>16</v>
      </c>
      <c r="BO39004" s="7" t="n">
        <f t="normal" ca="1">32-LENB(INDIRECT(ADDRESS(39004,66)))</f>
        <v>0</v>
      </c>
      <c r="BP39004" s="7" t="n">
        <v>7</v>
      </c>
      <c r="BQ39004" s="7" t="n">
        <v>65533</v>
      </c>
      <c r="BR39004" s="7" t="n">
        <v>64446</v>
      </c>
      <c r="BS39004" s="7" t="s">
        <v>16</v>
      </c>
      <c r="BT39004" s="7" t="n">
        <f t="normal" ca="1">32-LENB(INDIRECT(ADDRESS(39004,71)))</f>
        <v>0</v>
      </c>
      <c r="BU39004" s="7" t="n">
        <v>7</v>
      </c>
      <c r="BV39004" s="7" t="n">
        <v>65533</v>
      </c>
      <c r="BW39004" s="7" t="n">
        <v>64447</v>
      </c>
      <c r="BX39004" s="7" t="s">
        <v>16</v>
      </c>
      <c r="BY39004" s="7" t="n">
        <f t="normal" ca="1">32-LENB(INDIRECT(ADDRESS(39004,76)))</f>
        <v>0</v>
      </c>
      <c r="BZ39004" s="7" t="n">
        <v>7</v>
      </c>
      <c r="CA39004" s="7" t="n">
        <v>65533</v>
      </c>
      <c r="CB39004" s="7" t="n">
        <v>64456</v>
      </c>
      <c r="CC39004" s="7" t="s">
        <v>16</v>
      </c>
      <c r="CD39004" s="7" t="n">
        <f t="normal" ca="1">32-LENB(INDIRECT(ADDRESS(39004,81)))</f>
        <v>0</v>
      </c>
      <c r="CE39004" s="7" t="n">
        <v>7</v>
      </c>
      <c r="CF39004" s="7" t="n">
        <v>65533</v>
      </c>
      <c r="CG39004" s="7" t="n">
        <v>64457</v>
      </c>
      <c r="CH39004" s="7" t="s">
        <v>16</v>
      </c>
      <c r="CI39004" s="7" t="n">
        <f t="normal" ca="1">32-LENB(INDIRECT(ADDRESS(39004,86)))</f>
        <v>0</v>
      </c>
      <c r="CJ39004" s="7" t="n">
        <v>7</v>
      </c>
      <c r="CK39004" s="7" t="n">
        <v>65533</v>
      </c>
      <c r="CL39004" s="7" t="n">
        <v>64458</v>
      </c>
      <c r="CM39004" s="7" t="s">
        <v>16</v>
      </c>
      <c r="CN39004" s="7" t="n">
        <f t="normal" ca="1">32-LENB(INDIRECT(ADDRESS(39004,91)))</f>
        <v>0</v>
      </c>
      <c r="CO39004" s="7" t="n">
        <v>7</v>
      </c>
      <c r="CP39004" s="7" t="n">
        <v>65533</v>
      </c>
      <c r="CQ39004" s="7" t="n">
        <v>64459</v>
      </c>
      <c r="CR39004" s="7" t="s">
        <v>16</v>
      </c>
      <c r="CS39004" s="7" t="n">
        <f t="normal" ca="1">32-LENB(INDIRECT(ADDRESS(39004,96)))</f>
        <v>0</v>
      </c>
      <c r="CT39004" s="7" t="n">
        <v>7</v>
      </c>
      <c r="CU39004" s="7" t="n">
        <v>65533</v>
      </c>
      <c r="CV39004" s="7" t="n">
        <v>64460</v>
      </c>
      <c r="CW39004" s="7" t="s">
        <v>16</v>
      </c>
      <c r="CX39004" s="7" t="n">
        <f t="normal" ca="1">32-LENB(INDIRECT(ADDRESS(39004,101)))</f>
        <v>0</v>
      </c>
      <c r="CY39004" s="7" t="n">
        <v>7</v>
      </c>
      <c r="CZ39004" s="7" t="n">
        <v>65533</v>
      </c>
      <c r="DA39004" s="7" t="n">
        <v>64461</v>
      </c>
      <c r="DB39004" s="7" t="s">
        <v>16</v>
      </c>
      <c r="DC39004" s="7" t="n">
        <f t="normal" ca="1">32-LENB(INDIRECT(ADDRESS(39004,106)))</f>
        <v>0</v>
      </c>
      <c r="DD39004" s="7" t="n">
        <v>7</v>
      </c>
      <c r="DE39004" s="7" t="n">
        <v>65533</v>
      </c>
      <c r="DF39004" s="7" t="n">
        <v>64462</v>
      </c>
      <c r="DG39004" s="7" t="s">
        <v>16</v>
      </c>
      <c r="DH39004" s="7" t="n">
        <f t="normal" ca="1">32-LENB(INDIRECT(ADDRESS(39004,111)))</f>
        <v>0</v>
      </c>
      <c r="DI39004" s="7" t="n">
        <v>7</v>
      </c>
      <c r="DJ39004" s="7" t="n">
        <v>65533</v>
      </c>
      <c r="DK39004" s="7" t="n">
        <v>64463</v>
      </c>
      <c r="DL39004" s="7" t="s">
        <v>16</v>
      </c>
      <c r="DM39004" s="7" t="n">
        <f t="normal" ca="1">32-LENB(INDIRECT(ADDRESS(39004,116)))</f>
        <v>0</v>
      </c>
      <c r="DN39004" s="7" t="n">
        <v>7</v>
      </c>
      <c r="DO39004" s="7" t="n">
        <v>65533</v>
      </c>
      <c r="DP39004" s="7" t="n">
        <v>64464</v>
      </c>
      <c r="DQ39004" s="7" t="s">
        <v>16</v>
      </c>
      <c r="DR39004" s="7" t="n">
        <f t="normal" ca="1">32-LENB(INDIRECT(ADDRESS(39004,121)))</f>
        <v>0</v>
      </c>
      <c r="DS39004" s="7" t="n">
        <v>7</v>
      </c>
      <c r="DT39004" s="7" t="n">
        <v>65533</v>
      </c>
      <c r="DU39004" s="7" t="n">
        <v>64465</v>
      </c>
      <c r="DV39004" s="7" t="s">
        <v>16</v>
      </c>
      <c r="DW39004" s="7" t="n">
        <f t="normal" ca="1">32-LENB(INDIRECT(ADDRESS(39004,126)))</f>
        <v>0</v>
      </c>
      <c r="DX39004" s="7" t="n">
        <v>7</v>
      </c>
      <c r="DY39004" s="7" t="n">
        <v>65533</v>
      </c>
      <c r="DZ39004" s="7" t="n">
        <v>64466</v>
      </c>
      <c r="EA39004" s="7" t="s">
        <v>16</v>
      </c>
      <c r="EB39004" s="7" t="n">
        <f t="normal" ca="1">32-LENB(INDIRECT(ADDRESS(39004,131)))</f>
        <v>0</v>
      </c>
      <c r="EC39004" s="7" t="n">
        <v>7</v>
      </c>
      <c r="ED39004" s="7" t="n">
        <v>65533</v>
      </c>
      <c r="EE39004" s="7" t="n">
        <v>64467</v>
      </c>
      <c r="EF39004" s="7" t="s">
        <v>16</v>
      </c>
      <c r="EG39004" s="7" t="n">
        <f t="normal" ca="1">32-LENB(INDIRECT(ADDRESS(39004,136)))</f>
        <v>0</v>
      </c>
      <c r="EH39004" s="7" t="n">
        <v>7</v>
      </c>
      <c r="EI39004" s="7" t="n">
        <v>65533</v>
      </c>
      <c r="EJ39004" s="7" t="n">
        <v>64468</v>
      </c>
      <c r="EK39004" s="7" t="s">
        <v>16</v>
      </c>
      <c r="EL39004" s="7" t="n">
        <f t="normal" ca="1">32-LENB(INDIRECT(ADDRESS(39004,141)))</f>
        <v>0</v>
      </c>
      <c r="EM39004" s="7" t="n">
        <v>7</v>
      </c>
      <c r="EN39004" s="7" t="n">
        <v>65533</v>
      </c>
      <c r="EO39004" s="7" t="n">
        <v>64469</v>
      </c>
      <c r="EP39004" s="7" t="s">
        <v>16</v>
      </c>
      <c r="EQ39004" s="7" t="n">
        <f t="normal" ca="1">32-LENB(INDIRECT(ADDRESS(39004,146)))</f>
        <v>0</v>
      </c>
      <c r="ER39004" s="7" t="n">
        <v>7</v>
      </c>
      <c r="ES39004" s="7" t="n">
        <v>65533</v>
      </c>
      <c r="ET39004" s="7" t="n">
        <v>64470</v>
      </c>
      <c r="EU39004" s="7" t="s">
        <v>16</v>
      </c>
      <c r="EV39004" s="7" t="n">
        <f t="normal" ca="1">32-LENB(INDIRECT(ADDRESS(39004,151)))</f>
        <v>0</v>
      </c>
      <c r="EW39004" s="7" t="n">
        <v>7</v>
      </c>
      <c r="EX39004" s="7" t="n">
        <v>65533</v>
      </c>
      <c r="EY39004" s="7" t="n">
        <v>64471</v>
      </c>
      <c r="EZ39004" s="7" t="s">
        <v>16</v>
      </c>
      <c r="FA39004" s="7" t="n">
        <f t="normal" ca="1">32-LENB(INDIRECT(ADDRESS(39004,156)))</f>
        <v>0</v>
      </c>
      <c r="FB39004" s="7" t="n">
        <v>7</v>
      </c>
      <c r="FC39004" s="7" t="n">
        <v>65533</v>
      </c>
      <c r="FD39004" s="7" t="n">
        <v>64472</v>
      </c>
      <c r="FE39004" s="7" t="s">
        <v>16</v>
      </c>
      <c r="FF39004" s="7" t="n">
        <f t="normal" ca="1">32-LENB(INDIRECT(ADDRESS(39004,161)))</f>
        <v>0</v>
      </c>
      <c r="FG39004" s="7" t="n">
        <v>7</v>
      </c>
      <c r="FH39004" s="7" t="n">
        <v>65533</v>
      </c>
      <c r="FI39004" s="7" t="n">
        <v>64473</v>
      </c>
      <c r="FJ39004" s="7" t="s">
        <v>16</v>
      </c>
      <c r="FK39004" s="7" t="n">
        <f t="normal" ca="1">32-LENB(INDIRECT(ADDRESS(39004,166)))</f>
        <v>0</v>
      </c>
      <c r="FL39004" s="7" t="n">
        <v>7</v>
      </c>
      <c r="FM39004" s="7" t="n">
        <v>65533</v>
      </c>
      <c r="FN39004" s="7" t="n">
        <v>64474</v>
      </c>
      <c r="FO39004" s="7" t="s">
        <v>16</v>
      </c>
      <c r="FP39004" s="7" t="n">
        <f t="normal" ca="1">32-LENB(INDIRECT(ADDRESS(39004,171)))</f>
        <v>0</v>
      </c>
      <c r="FQ39004" s="7" t="n">
        <v>7</v>
      </c>
      <c r="FR39004" s="7" t="n">
        <v>65533</v>
      </c>
      <c r="FS39004" s="7" t="n">
        <v>64475</v>
      </c>
      <c r="FT39004" s="7" t="s">
        <v>16</v>
      </c>
      <c r="FU39004" s="7" t="n">
        <f t="normal" ca="1">32-LENB(INDIRECT(ADDRESS(39004,176)))</f>
        <v>0</v>
      </c>
      <c r="FV39004" s="7" t="n">
        <v>0</v>
      </c>
      <c r="FW39004" s="7" t="n">
        <v>65533</v>
      </c>
      <c r="FX39004" s="7" t="n">
        <v>0</v>
      </c>
      <c r="FY39004" s="7" t="s">
        <v>16</v>
      </c>
      <c r="FZ39004" s="7" t="n">
        <f t="normal" ca="1">32-LENB(INDIRECT(ADDRESS(39004,181)))</f>
        <v>0</v>
      </c>
    </row>
    <row r="39005" spans="1:317">
      <c r="A39005" t="s">
        <v>4</v>
      </c>
      <c r="B39005" s="4" t="s">
        <v>5</v>
      </c>
    </row>
    <row r="39006" spans="1:317">
      <c r="A39006" t="n">
        <v>484320</v>
      </c>
      <c r="B39006" s="5" t="n">
        <v>1</v>
      </c>
    </row>
    <row r="39007" spans="1:317" s="3" customFormat="1" customHeight="0">
      <c r="A39007" s="3" t="s">
        <v>2</v>
      </c>
      <c r="B39007" s="3" t="s">
        <v>1910</v>
      </c>
    </row>
    <row r="39008" spans="1:317">
      <c r="A39008" t="s">
        <v>4</v>
      </c>
      <c r="B39008" s="4" t="s">
        <v>5</v>
      </c>
      <c r="C39008" s="4" t="s">
        <v>11</v>
      </c>
      <c r="D39008" s="4" t="s">
        <v>11</v>
      </c>
      <c r="E39008" s="4" t="s">
        <v>15</v>
      </c>
      <c r="F39008" s="4" t="s">
        <v>8</v>
      </c>
      <c r="G39008" s="4" t="s">
        <v>1859</v>
      </c>
      <c r="H39008" s="4" t="s">
        <v>11</v>
      </c>
      <c r="I39008" s="4" t="s">
        <v>11</v>
      </c>
      <c r="J39008" s="4" t="s">
        <v>15</v>
      </c>
      <c r="K39008" s="4" t="s">
        <v>8</v>
      </c>
      <c r="L39008" s="4" t="s">
        <v>1859</v>
      </c>
      <c r="M39008" s="4" t="s">
        <v>11</v>
      </c>
      <c r="N39008" s="4" t="s">
        <v>11</v>
      </c>
      <c r="O39008" s="4" t="s">
        <v>15</v>
      </c>
      <c r="P39008" s="4" t="s">
        <v>8</v>
      </c>
      <c r="Q39008" s="4" t="s">
        <v>1859</v>
      </c>
      <c r="R39008" s="4" t="s">
        <v>11</v>
      </c>
      <c r="S39008" s="4" t="s">
        <v>11</v>
      </c>
      <c r="T39008" s="4" t="s">
        <v>15</v>
      </c>
      <c r="U39008" s="4" t="s">
        <v>8</v>
      </c>
      <c r="V39008" s="4" t="s">
        <v>1859</v>
      </c>
      <c r="W39008" s="4" t="s">
        <v>11</v>
      </c>
      <c r="X39008" s="4" t="s">
        <v>11</v>
      </c>
      <c r="Y39008" s="4" t="s">
        <v>15</v>
      </c>
      <c r="Z39008" s="4" t="s">
        <v>8</v>
      </c>
      <c r="AA39008" s="4" t="s">
        <v>1859</v>
      </c>
      <c r="AB39008" s="4" t="s">
        <v>11</v>
      </c>
      <c r="AC39008" s="4" t="s">
        <v>11</v>
      </c>
      <c r="AD39008" s="4" t="s">
        <v>15</v>
      </c>
      <c r="AE39008" s="4" t="s">
        <v>8</v>
      </c>
      <c r="AF39008" s="4" t="s">
        <v>1859</v>
      </c>
      <c r="AG39008" s="4" t="s">
        <v>11</v>
      </c>
      <c r="AH39008" s="4" t="s">
        <v>11</v>
      </c>
      <c r="AI39008" s="4" t="s">
        <v>15</v>
      </c>
      <c r="AJ39008" s="4" t="s">
        <v>8</v>
      </c>
      <c r="AK39008" s="4" t="s">
        <v>1859</v>
      </c>
      <c r="AL39008" s="4" t="s">
        <v>11</v>
      </c>
      <c r="AM39008" s="4" t="s">
        <v>11</v>
      </c>
      <c r="AN39008" s="4" t="s">
        <v>15</v>
      </c>
      <c r="AO39008" s="4" t="s">
        <v>8</v>
      </c>
      <c r="AP39008" s="4" t="s">
        <v>1859</v>
      </c>
      <c r="AQ39008" s="4" t="s">
        <v>11</v>
      </c>
      <c r="AR39008" s="4" t="s">
        <v>11</v>
      </c>
      <c r="AS39008" s="4" t="s">
        <v>15</v>
      </c>
      <c r="AT39008" s="4" t="s">
        <v>8</v>
      </c>
      <c r="AU39008" s="4" t="s">
        <v>1859</v>
      </c>
      <c r="AV39008" s="4" t="s">
        <v>11</v>
      </c>
      <c r="AW39008" s="4" t="s">
        <v>11</v>
      </c>
      <c r="AX39008" s="4" t="s">
        <v>15</v>
      </c>
      <c r="AY39008" s="4" t="s">
        <v>8</v>
      </c>
      <c r="AZ39008" s="4" t="s">
        <v>1859</v>
      </c>
      <c r="BA39008" s="4" t="s">
        <v>11</v>
      </c>
      <c r="BB39008" s="4" t="s">
        <v>11</v>
      </c>
      <c r="BC39008" s="4" t="s">
        <v>15</v>
      </c>
      <c r="BD39008" s="4" t="s">
        <v>8</v>
      </c>
      <c r="BE39008" s="4" t="s">
        <v>1859</v>
      </c>
      <c r="BF39008" s="4" t="s">
        <v>11</v>
      </c>
      <c r="BG39008" s="4" t="s">
        <v>11</v>
      </c>
      <c r="BH39008" s="4" t="s">
        <v>15</v>
      </c>
      <c r="BI39008" s="4" t="s">
        <v>8</v>
      </c>
      <c r="BJ39008" s="4" t="s">
        <v>1859</v>
      </c>
      <c r="BK39008" s="4" t="s">
        <v>11</v>
      </c>
      <c r="BL39008" s="4" t="s">
        <v>11</v>
      </c>
      <c r="BM39008" s="4" t="s">
        <v>15</v>
      </c>
      <c r="BN39008" s="4" t="s">
        <v>8</v>
      </c>
      <c r="BO39008" s="4" t="s">
        <v>1859</v>
      </c>
      <c r="BP39008" s="4" t="s">
        <v>11</v>
      </c>
      <c r="BQ39008" s="4" t="s">
        <v>11</v>
      </c>
      <c r="BR39008" s="4" t="s">
        <v>15</v>
      </c>
      <c r="BS39008" s="4" t="s">
        <v>8</v>
      </c>
      <c r="BT39008" s="4" t="s">
        <v>1859</v>
      </c>
      <c r="BU39008" s="4" t="s">
        <v>11</v>
      </c>
      <c r="BV39008" s="4" t="s">
        <v>11</v>
      </c>
      <c r="BW39008" s="4" t="s">
        <v>15</v>
      </c>
      <c r="BX39008" s="4" t="s">
        <v>8</v>
      </c>
      <c r="BY39008" s="4" t="s">
        <v>1859</v>
      </c>
      <c r="BZ39008" s="4" t="s">
        <v>11</v>
      </c>
      <c r="CA39008" s="4" t="s">
        <v>11</v>
      </c>
      <c r="CB39008" s="4" t="s">
        <v>15</v>
      </c>
      <c r="CC39008" s="4" t="s">
        <v>8</v>
      </c>
      <c r="CD39008" s="4" t="s">
        <v>1859</v>
      </c>
      <c r="CE39008" s="4" t="s">
        <v>11</v>
      </c>
      <c r="CF39008" s="4" t="s">
        <v>11</v>
      </c>
      <c r="CG39008" s="4" t="s">
        <v>15</v>
      </c>
      <c r="CH39008" s="4" t="s">
        <v>8</v>
      </c>
      <c r="CI39008" s="4" t="s">
        <v>1859</v>
      </c>
      <c r="CJ39008" s="4" t="s">
        <v>11</v>
      </c>
      <c r="CK39008" s="4" t="s">
        <v>11</v>
      </c>
      <c r="CL39008" s="4" t="s">
        <v>15</v>
      </c>
      <c r="CM39008" s="4" t="s">
        <v>8</v>
      </c>
      <c r="CN39008" s="4" t="s">
        <v>1859</v>
      </c>
      <c r="CO39008" s="4" t="s">
        <v>11</v>
      </c>
      <c r="CP39008" s="4" t="s">
        <v>11</v>
      </c>
      <c r="CQ39008" s="4" t="s">
        <v>15</v>
      </c>
      <c r="CR39008" s="4" t="s">
        <v>8</v>
      </c>
      <c r="CS39008" s="4" t="s">
        <v>1859</v>
      </c>
      <c r="CT39008" s="4" t="s">
        <v>11</v>
      </c>
      <c r="CU39008" s="4" t="s">
        <v>11</v>
      </c>
      <c r="CV39008" s="4" t="s">
        <v>15</v>
      </c>
      <c r="CW39008" s="4" t="s">
        <v>8</v>
      </c>
      <c r="CX39008" s="4" t="s">
        <v>1859</v>
      </c>
      <c r="CY39008" s="4" t="s">
        <v>11</v>
      </c>
      <c r="CZ39008" s="4" t="s">
        <v>11</v>
      </c>
      <c r="DA39008" s="4" t="s">
        <v>15</v>
      </c>
      <c r="DB39008" s="4" t="s">
        <v>8</v>
      </c>
      <c r="DC39008" s="4" t="s">
        <v>1859</v>
      </c>
      <c r="DD39008" s="4" t="s">
        <v>11</v>
      </c>
      <c r="DE39008" s="4" t="s">
        <v>11</v>
      </c>
      <c r="DF39008" s="4" t="s">
        <v>15</v>
      </c>
      <c r="DG39008" s="4" t="s">
        <v>8</v>
      </c>
      <c r="DH39008" s="4" t="s">
        <v>1859</v>
      </c>
      <c r="DI39008" s="4" t="s">
        <v>11</v>
      </c>
      <c r="DJ39008" s="4" t="s">
        <v>11</v>
      </c>
      <c r="DK39008" s="4" t="s">
        <v>15</v>
      </c>
      <c r="DL39008" s="4" t="s">
        <v>8</v>
      </c>
      <c r="DM39008" s="4" t="s">
        <v>1859</v>
      </c>
      <c r="DN39008" s="4" t="s">
        <v>11</v>
      </c>
      <c r="DO39008" s="4" t="s">
        <v>11</v>
      </c>
      <c r="DP39008" s="4" t="s">
        <v>15</v>
      </c>
      <c r="DQ39008" s="4" t="s">
        <v>8</v>
      </c>
      <c r="DR39008" s="4" t="s">
        <v>1859</v>
      </c>
      <c r="DS39008" s="4" t="s">
        <v>11</v>
      </c>
      <c r="DT39008" s="4" t="s">
        <v>11</v>
      </c>
      <c r="DU39008" s="4" t="s">
        <v>15</v>
      </c>
      <c r="DV39008" s="4" t="s">
        <v>8</v>
      </c>
      <c r="DW39008" s="4" t="s">
        <v>1859</v>
      </c>
      <c r="DX39008" s="4" t="s">
        <v>11</v>
      </c>
      <c r="DY39008" s="4" t="s">
        <v>11</v>
      </c>
      <c r="DZ39008" s="4" t="s">
        <v>15</v>
      </c>
      <c r="EA39008" s="4" t="s">
        <v>8</v>
      </c>
      <c r="EB39008" s="4" t="s">
        <v>1859</v>
      </c>
      <c r="EC39008" s="4" t="s">
        <v>11</v>
      </c>
      <c r="ED39008" s="4" t="s">
        <v>11</v>
      </c>
      <c r="EE39008" s="4" t="s">
        <v>15</v>
      </c>
      <c r="EF39008" s="4" t="s">
        <v>8</v>
      </c>
      <c r="EG39008" s="4" t="s">
        <v>1859</v>
      </c>
      <c r="EH39008" s="4" t="s">
        <v>11</v>
      </c>
      <c r="EI39008" s="4" t="s">
        <v>11</v>
      </c>
      <c r="EJ39008" s="4" t="s">
        <v>15</v>
      </c>
      <c r="EK39008" s="4" t="s">
        <v>8</v>
      </c>
      <c r="EL39008" s="4" t="s">
        <v>1859</v>
      </c>
      <c r="EM39008" s="4" t="s">
        <v>11</v>
      </c>
      <c r="EN39008" s="4" t="s">
        <v>11</v>
      </c>
      <c r="EO39008" s="4" t="s">
        <v>15</v>
      </c>
      <c r="EP39008" s="4" t="s">
        <v>8</v>
      </c>
      <c r="EQ39008" s="4" t="s">
        <v>1859</v>
      </c>
      <c r="ER39008" s="4" t="s">
        <v>11</v>
      </c>
      <c r="ES39008" s="4" t="s">
        <v>11</v>
      </c>
      <c r="ET39008" s="4" t="s">
        <v>15</v>
      </c>
      <c r="EU39008" s="4" t="s">
        <v>8</v>
      </c>
      <c r="EV39008" s="4" t="s">
        <v>1859</v>
      </c>
      <c r="EW39008" s="4" t="s">
        <v>11</v>
      </c>
      <c r="EX39008" s="4" t="s">
        <v>11</v>
      </c>
      <c r="EY39008" s="4" t="s">
        <v>15</v>
      </c>
      <c r="EZ39008" s="4" t="s">
        <v>8</v>
      </c>
      <c r="FA39008" s="4" t="s">
        <v>1859</v>
      </c>
      <c r="FB39008" s="4" t="s">
        <v>11</v>
      </c>
      <c r="FC39008" s="4" t="s">
        <v>11</v>
      </c>
      <c r="FD39008" s="4" t="s">
        <v>15</v>
      </c>
      <c r="FE39008" s="4" t="s">
        <v>8</v>
      </c>
      <c r="FF39008" s="4" t="s">
        <v>1859</v>
      </c>
      <c r="FG39008" s="4" t="s">
        <v>11</v>
      </c>
      <c r="FH39008" s="4" t="s">
        <v>11</v>
      </c>
      <c r="FI39008" s="4" t="s">
        <v>15</v>
      </c>
      <c r="FJ39008" s="4" t="s">
        <v>8</v>
      </c>
      <c r="FK39008" s="4" t="s">
        <v>1859</v>
      </c>
      <c r="FL39008" s="4" t="s">
        <v>11</v>
      </c>
      <c r="FM39008" s="4" t="s">
        <v>11</v>
      </c>
      <c r="FN39008" s="4" t="s">
        <v>15</v>
      </c>
      <c r="FO39008" s="4" t="s">
        <v>8</v>
      </c>
      <c r="FP39008" s="4" t="s">
        <v>1859</v>
      </c>
      <c r="FQ39008" s="4" t="s">
        <v>11</v>
      </c>
      <c r="FR39008" s="4" t="s">
        <v>11</v>
      </c>
      <c r="FS39008" s="4" t="s">
        <v>15</v>
      </c>
      <c r="FT39008" s="4" t="s">
        <v>8</v>
      </c>
      <c r="FU39008" s="4" t="s">
        <v>1859</v>
      </c>
      <c r="FV39008" s="4" t="s">
        <v>11</v>
      </c>
      <c r="FW39008" s="4" t="s">
        <v>11</v>
      </c>
      <c r="FX39008" s="4" t="s">
        <v>15</v>
      </c>
      <c r="FY39008" s="4" t="s">
        <v>8</v>
      </c>
      <c r="FZ39008" s="4" t="s">
        <v>1859</v>
      </c>
      <c r="GA39008" s="4" t="s">
        <v>11</v>
      </c>
      <c r="GB39008" s="4" t="s">
        <v>11</v>
      </c>
      <c r="GC39008" s="4" t="s">
        <v>15</v>
      </c>
      <c r="GD39008" s="4" t="s">
        <v>8</v>
      </c>
      <c r="GE39008" s="4" t="s">
        <v>1859</v>
      </c>
      <c r="GF39008" s="4" t="s">
        <v>11</v>
      </c>
      <c r="GG39008" s="4" t="s">
        <v>11</v>
      </c>
      <c r="GH39008" s="4" t="s">
        <v>15</v>
      </c>
      <c r="GI39008" s="4" t="s">
        <v>8</v>
      </c>
      <c r="GJ39008" s="4" t="s">
        <v>1859</v>
      </c>
      <c r="GK39008" s="4" t="s">
        <v>11</v>
      </c>
      <c r="GL39008" s="4" t="s">
        <v>11</v>
      </c>
      <c r="GM39008" s="4" t="s">
        <v>15</v>
      </c>
      <c r="GN39008" s="4" t="s">
        <v>8</v>
      </c>
      <c r="GO39008" s="4" t="s">
        <v>1859</v>
      </c>
      <c r="GP39008" s="4" t="s">
        <v>11</v>
      </c>
      <c r="GQ39008" s="4" t="s">
        <v>11</v>
      </c>
      <c r="GR39008" s="4" t="s">
        <v>15</v>
      </c>
      <c r="GS39008" s="4" t="s">
        <v>8</v>
      </c>
      <c r="GT39008" s="4" t="s">
        <v>1859</v>
      </c>
      <c r="GU39008" s="4" t="s">
        <v>11</v>
      </c>
      <c r="GV39008" s="4" t="s">
        <v>11</v>
      </c>
      <c r="GW39008" s="4" t="s">
        <v>15</v>
      </c>
      <c r="GX39008" s="4" t="s">
        <v>8</v>
      </c>
      <c r="GY39008" s="4" t="s">
        <v>1859</v>
      </c>
      <c r="GZ39008" s="4" t="s">
        <v>11</v>
      </c>
      <c r="HA39008" s="4" t="s">
        <v>11</v>
      </c>
      <c r="HB39008" s="4" t="s">
        <v>15</v>
      </c>
      <c r="HC39008" s="4" t="s">
        <v>8</v>
      </c>
      <c r="HD39008" s="4" t="s">
        <v>1859</v>
      </c>
      <c r="HE39008" s="4" t="s">
        <v>11</v>
      </c>
      <c r="HF39008" s="4" t="s">
        <v>11</v>
      </c>
      <c r="HG39008" s="4" t="s">
        <v>15</v>
      </c>
      <c r="HH39008" s="4" t="s">
        <v>8</v>
      </c>
      <c r="HI39008" s="4" t="s">
        <v>1859</v>
      </c>
      <c r="HJ39008" s="4" t="s">
        <v>11</v>
      </c>
      <c r="HK39008" s="4" t="s">
        <v>11</v>
      </c>
      <c r="HL39008" s="4" t="s">
        <v>15</v>
      </c>
      <c r="HM39008" s="4" t="s">
        <v>8</v>
      </c>
      <c r="HN39008" s="4" t="s">
        <v>1859</v>
      </c>
      <c r="HO39008" s="4" t="s">
        <v>11</v>
      </c>
      <c r="HP39008" s="4" t="s">
        <v>11</v>
      </c>
      <c r="HQ39008" s="4" t="s">
        <v>15</v>
      </c>
      <c r="HR39008" s="4" t="s">
        <v>8</v>
      </c>
      <c r="HS39008" s="4" t="s">
        <v>1859</v>
      </c>
      <c r="HT39008" s="4" t="s">
        <v>11</v>
      </c>
      <c r="HU39008" s="4" t="s">
        <v>11</v>
      </c>
      <c r="HV39008" s="4" t="s">
        <v>15</v>
      </c>
      <c r="HW39008" s="4" t="s">
        <v>8</v>
      </c>
      <c r="HX39008" s="4" t="s">
        <v>1859</v>
      </c>
      <c r="HY39008" s="4" t="s">
        <v>11</v>
      </c>
      <c r="HZ39008" s="4" t="s">
        <v>11</v>
      </c>
      <c r="IA39008" s="4" t="s">
        <v>15</v>
      </c>
      <c r="IB39008" s="4" t="s">
        <v>8</v>
      </c>
      <c r="IC39008" s="4" t="s">
        <v>1859</v>
      </c>
      <c r="ID39008" s="4" t="s">
        <v>11</v>
      </c>
      <c r="IE39008" s="4" t="s">
        <v>11</v>
      </c>
      <c r="IF39008" s="4" t="s">
        <v>15</v>
      </c>
      <c r="IG39008" s="4" t="s">
        <v>8</v>
      </c>
      <c r="IH39008" s="4" t="s">
        <v>1859</v>
      </c>
      <c r="II39008" s="4" t="s">
        <v>11</v>
      </c>
      <c r="IJ39008" s="4" t="s">
        <v>11</v>
      </c>
      <c r="IK39008" s="4" t="s">
        <v>15</v>
      </c>
      <c r="IL39008" s="4" t="s">
        <v>8</v>
      </c>
      <c r="IM39008" s="4" t="s">
        <v>1859</v>
      </c>
      <c r="IN39008" s="4" t="s">
        <v>11</v>
      </c>
      <c r="IO39008" s="4" t="s">
        <v>11</v>
      </c>
      <c r="IP39008" s="4" t="s">
        <v>15</v>
      </c>
      <c r="IQ39008" s="4" t="s">
        <v>8</v>
      </c>
      <c r="IR39008" s="4" t="s">
        <v>1859</v>
      </c>
      <c r="IS39008" s="4" t="s">
        <v>11</v>
      </c>
      <c r="IT39008" s="4" t="s">
        <v>11</v>
      </c>
      <c r="IU39008" s="4" t="s">
        <v>15</v>
      </c>
      <c r="IV39008" s="4" t="s">
        <v>8</v>
      </c>
      <c r="IW39008" s="4" t="s">
        <v>1859</v>
      </c>
      <c r="IX39008" s="4" t="s">
        <v>11</v>
      </c>
      <c r="IY39008" s="4" t="s">
        <v>11</v>
      </c>
      <c r="IZ39008" s="4" t="s">
        <v>15</v>
      </c>
      <c r="JA39008" s="4" t="s">
        <v>8</v>
      </c>
      <c r="JB39008" s="4" t="s">
        <v>1859</v>
      </c>
      <c r="JC39008" s="4" t="s">
        <v>11</v>
      </c>
      <c r="JD39008" s="4" t="s">
        <v>11</v>
      </c>
      <c r="JE39008" s="4" t="s">
        <v>15</v>
      </c>
      <c r="JF39008" s="4" t="s">
        <v>8</v>
      </c>
      <c r="JG39008" s="4" t="s">
        <v>1859</v>
      </c>
      <c r="JH39008" s="4" t="s">
        <v>11</v>
      </c>
      <c r="JI39008" s="4" t="s">
        <v>11</v>
      </c>
      <c r="JJ39008" s="4" t="s">
        <v>15</v>
      </c>
      <c r="JK39008" s="4" t="s">
        <v>8</v>
      </c>
      <c r="JL39008" s="4" t="s">
        <v>1859</v>
      </c>
      <c r="JM39008" s="4" t="s">
        <v>11</v>
      </c>
      <c r="JN39008" s="4" t="s">
        <v>11</v>
      </c>
      <c r="JO39008" s="4" t="s">
        <v>15</v>
      </c>
      <c r="JP39008" s="4" t="s">
        <v>8</v>
      </c>
      <c r="JQ39008" s="4" t="s">
        <v>1859</v>
      </c>
      <c r="JR39008" s="4" t="s">
        <v>11</v>
      </c>
      <c r="JS39008" s="4" t="s">
        <v>11</v>
      </c>
      <c r="JT39008" s="4" t="s">
        <v>15</v>
      </c>
      <c r="JU39008" s="4" t="s">
        <v>8</v>
      </c>
      <c r="JV39008" s="4" t="s">
        <v>1859</v>
      </c>
      <c r="JW39008" s="4" t="s">
        <v>11</v>
      </c>
      <c r="JX39008" s="4" t="s">
        <v>11</v>
      </c>
      <c r="JY39008" s="4" t="s">
        <v>15</v>
      </c>
      <c r="JZ39008" s="4" t="s">
        <v>8</v>
      </c>
      <c r="KA39008" s="4" t="s">
        <v>1859</v>
      </c>
      <c r="KB39008" s="4" t="s">
        <v>11</v>
      </c>
      <c r="KC39008" s="4" t="s">
        <v>11</v>
      </c>
      <c r="KD39008" s="4" t="s">
        <v>15</v>
      </c>
      <c r="KE39008" s="4" t="s">
        <v>8</v>
      </c>
      <c r="KF39008" s="4" t="s">
        <v>1859</v>
      </c>
      <c r="KG39008" s="4" t="s">
        <v>11</v>
      </c>
      <c r="KH39008" s="4" t="s">
        <v>11</v>
      </c>
      <c r="KI39008" s="4" t="s">
        <v>15</v>
      </c>
      <c r="KJ39008" s="4" t="s">
        <v>8</v>
      </c>
      <c r="KK39008" s="4" t="s">
        <v>1859</v>
      </c>
      <c r="KL39008" s="4" t="s">
        <v>11</v>
      </c>
      <c r="KM39008" s="4" t="s">
        <v>11</v>
      </c>
      <c r="KN39008" s="4" t="s">
        <v>15</v>
      </c>
      <c r="KO39008" s="4" t="s">
        <v>8</v>
      </c>
      <c r="KP39008" s="4" t="s">
        <v>1859</v>
      </c>
      <c r="KQ39008" s="4" t="s">
        <v>11</v>
      </c>
      <c r="KR39008" s="4" t="s">
        <v>11</v>
      </c>
      <c r="KS39008" s="4" t="s">
        <v>15</v>
      </c>
      <c r="KT39008" s="4" t="s">
        <v>8</v>
      </c>
      <c r="KU39008" s="4" t="s">
        <v>1859</v>
      </c>
      <c r="KV39008" s="4" t="s">
        <v>11</v>
      </c>
      <c r="KW39008" s="4" t="s">
        <v>11</v>
      </c>
      <c r="KX39008" s="4" t="s">
        <v>15</v>
      </c>
      <c r="KY39008" s="4" t="s">
        <v>8</v>
      </c>
      <c r="KZ39008" s="4" t="s">
        <v>1859</v>
      </c>
    </row>
    <row r="39009" spans="1:367">
      <c r="A39009" t="n">
        <v>484336</v>
      </c>
      <c r="B39009" s="85" t="n">
        <v>257</v>
      </c>
      <c r="C39009" s="7" t="n">
        <v>7</v>
      </c>
      <c r="D39009" s="7" t="n">
        <v>65533</v>
      </c>
      <c r="E39009" s="7" t="n">
        <v>64172</v>
      </c>
      <c r="F39009" s="7" t="s">
        <v>16</v>
      </c>
      <c r="G39009" s="7" t="n">
        <f t="normal" ca="1">32-LENB(INDIRECT(ADDRESS(39009,6)))</f>
        <v>0</v>
      </c>
      <c r="H39009" s="7" t="n">
        <v>7</v>
      </c>
      <c r="I39009" s="7" t="n">
        <v>65533</v>
      </c>
      <c r="J39009" s="7" t="n">
        <v>64173</v>
      </c>
      <c r="K39009" s="7" t="s">
        <v>16</v>
      </c>
      <c r="L39009" s="7" t="n">
        <f t="normal" ca="1">32-LENB(INDIRECT(ADDRESS(39009,11)))</f>
        <v>0</v>
      </c>
      <c r="M39009" s="7" t="n">
        <v>7</v>
      </c>
      <c r="N39009" s="7" t="n">
        <v>65533</v>
      </c>
      <c r="O39009" s="7" t="n">
        <v>64174</v>
      </c>
      <c r="P39009" s="7" t="s">
        <v>16</v>
      </c>
      <c r="Q39009" s="7" t="n">
        <f t="normal" ca="1">32-LENB(INDIRECT(ADDRESS(39009,16)))</f>
        <v>0</v>
      </c>
      <c r="R39009" s="7" t="n">
        <v>7</v>
      </c>
      <c r="S39009" s="7" t="n">
        <v>65533</v>
      </c>
      <c r="T39009" s="7" t="n">
        <v>64175</v>
      </c>
      <c r="U39009" s="7" t="s">
        <v>16</v>
      </c>
      <c r="V39009" s="7" t="n">
        <f t="normal" ca="1">32-LENB(INDIRECT(ADDRESS(39009,21)))</f>
        <v>0</v>
      </c>
      <c r="W39009" s="7" t="n">
        <v>7</v>
      </c>
      <c r="X39009" s="7" t="n">
        <v>65533</v>
      </c>
      <c r="Y39009" s="7" t="n">
        <v>64176</v>
      </c>
      <c r="Z39009" s="7" t="s">
        <v>16</v>
      </c>
      <c r="AA39009" s="7" t="n">
        <f t="normal" ca="1">32-LENB(INDIRECT(ADDRESS(39009,26)))</f>
        <v>0</v>
      </c>
      <c r="AB39009" s="7" t="n">
        <v>7</v>
      </c>
      <c r="AC39009" s="7" t="n">
        <v>65533</v>
      </c>
      <c r="AD39009" s="7" t="n">
        <v>64177</v>
      </c>
      <c r="AE39009" s="7" t="s">
        <v>16</v>
      </c>
      <c r="AF39009" s="7" t="n">
        <f t="normal" ca="1">32-LENB(INDIRECT(ADDRESS(39009,31)))</f>
        <v>0</v>
      </c>
      <c r="AG39009" s="7" t="n">
        <v>7</v>
      </c>
      <c r="AH39009" s="7" t="n">
        <v>65533</v>
      </c>
      <c r="AI39009" s="7" t="n">
        <v>64178</v>
      </c>
      <c r="AJ39009" s="7" t="s">
        <v>16</v>
      </c>
      <c r="AK39009" s="7" t="n">
        <f t="normal" ca="1">32-LENB(INDIRECT(ADDRESS(39009,36)))</f>
        <v>0</v>
      </c>
      <c r="AL39009" s="7" t="n">
        <v>7</v>
      </c>
      <c r="AM39009" s="7" t="n">
        <v>65533</v>
      </c>
      <c r="AN39009" s="7" t="n">
        <v>64179</v>
      </c>
      <c r="AO39009" s="7" t="s">
        <v>16</v>
      </c>
      <c r="AP39009" s="7" t="n">
        <f t="normal" ca="1">32-LENB(INDIRECT(ADDRESS(39009,41)))</f>
        <v>0</v>
      </c>
      <c r="AQ39009" s="7" t="n">
        <v>7</v>
      </c>
      <c r="AR39009" s="7" t="n">
        <v>65533</v>
      </c>
      <c r="AS39009" s="7" t="n">
        <v>64180</v>
      </c>
      <c r="AT39009" s="7" t="s">
        <v>16</v>
      </c>
      <c r="AU39009" s="7" t="n">
        <f t="normal" ca="1">32-LENB(INDIRECT(ADDRESS(39009,46)))</f>
        <v>0</v>
      </c>
      <c r="AV39009" s="7" t="n">
        <v>7</v>
      </c>
      <c r="AW39009" s="7" t="n">
        <v>65533</v>
      </c>
      <c r="AX39009" s="7" t="n">
        <v>64181</v>
      </c>
      <c r="AY39009" s="7" t="s">
        <v>16</v>
      </c>
      <c r="AZ39009" s="7" t="n">
        <f t="normal" ca="1">32-LENB(INDIRECT(ADDRESS(39009,51)))</f>
        <v>0</v>
      </c>
      <c r="BA39009" s="7" t="n">
        <v>7</v>
      </c>
      <c r="BB39009" s="7" t="n">
        <v>65533</v>
      </c>
      <c r="BC39009" s="7" t="n">
        <v>64182</v>
      </c>
      <c r="BD39009" s="7" t="s">
        <v>16</v>
      </c>
      <c r="BE39009" s="7" t="n">
        <f t="normal" ca="1">32-LENB(INDIRECT(ADDRESS(39009,56)))</f>
        <v>0</v>
      </c>
      <c r="BF39009" s="7" t="n">
        <v>7</v>
      </c>
      <c r="BG39009" s="7" t="n">
        <v>65533</v>
      </c>
      <c r="BH39009" s="7" t="n">
        <v>64183</v>
      </c>
      <c r="BI39009" s="7" t="s">
        <v>16</v>
      </c>
      <c r="BJ39009" s="7" t="n">
        <f t="normal" ca="1">32-LENB(INDIRECT(ADDRESS(39009,61)))</f>
        <v>0</v>
      </c>
      <c r="BK39009" s="7" t="n">
        <v>7</v>
      </c>
      <c r="BL39009" s="7" t="n">
        <v>65533</v>
      </c>
      <c r="BM39009" s="7" t="n">
        <v>64184</v>
      </c>
      <c r="BN39009" s="7" t="s">
        <v>16</v>
      </c>
      <c r="BO39009" s="7" t="n">
        <f t="normal" ca="1">32-LENB(INDIRECT(ADDRESS(39009,66)))</f>
        <v>0</v>
      </c>
      <c r="BP39009" s="7" t="n">
        <v>7</v>
      </c>
      <c r="BQ39009" s="7" t="n">
        <v>65533</v>
      </c>
      <c r="BR39009" s="7" t="n">
        <v>64185</v>
      </c>
      <c r="BS39009" s="7" t="s">
        <v>16</v>
      </c>
      <c r="BT39009" s="7" t="n">
        <f t="normal" ca="1">32-LENB(INDIRECT(ADDRESS(39009,71)))</f>
        <v>0</v>
      </c>
      <c r="BU39009" s="7" t="n">
        <v>7</v>
      </c>
      <c r="BV39009" s="7" t="n">
        <v>65533</v>
      </c>
      <c r="BW39009" s="7" t="n">
        <v>64186</v>
      </c>
      <c r="BX39009" s="7" t="s">
        <v>16</v>
      </c>
      <c r="BY39009" s="7" t="n">
        <f t="normal" ca="1">32-LENB(INDIRECT(ADDRESS(39009,76)))</f>
        <v>0</v>
      </c>
      <c r="BZ39009" s="7" t="n">
        <v>7</v>
      </c>
      <c r="CA39009" s="7" t="n">
        <v>65533</v>
      </c>
      <c r="CB39009" s="7" t="n">
        <v>64187</v>
      </c>
      <c r="CC39009" s="7" t="s">
        <v>16</v>
      </c>
      <c r="CD39009" s="7" t="n">
        <f t="normal" ca="1">32-LENB(INDIRECT(ADDRESS(39009,81)))</f>
        <v>0</v>
      </c>
      <c r="CE39009" s="7" t="n">
        <v>7</v>
      </c>
      <c r="CF39009" s="7" t="n">
        <v>65533</v>
      </c>
      <c r="CG39009" s="7" t="n">
        <v>64188</v>
      </c>
      <c r="CH39009" s="7" t="s">
        <v>16</v>
      </c>
      <c r="CI39009" s="7" t="n">
        <f t="normal" ca="1">32-LENB(INDIRECT(ADDRESS(39009,86)))</f>
        <v>0</v>
      </c>
      <c r="CJ39009" s="7" t="n">
        <v>7</v>
      </c>
      <c r="CK39009" s="7" t="n">
        <v>65533</v>
      </c>
      <c r="CL39009" s="7" t="n">
        <v>64189</v>
      </c>
      <c r="CM39009" s="7" t="s">
        <v>16</v>
      </c>
      <c r="CN39009" s="7" t="n">
        <f t="normal" ca="1">32-LENB(INDIRECT(ADDRESS(39009,91)))</f>
        <v>0</v>
      </c>
      <c r="CO39009" s="7" t="n">
        <v>7</v>
      </c>
      <c r="CP39009" s="7" t="n">
        <v>65533</v>
      </c>
      <c r="CQ39009" s="7" t="n">
        <v>64190</v>
      </c>
      <c r="CR39009" s="7" t="s">
        <v>16</v>
      </c>
      <c r="CS39009" s="7" t="n">
        <f t="normal" ca="1">32-LENB(INDIRECT(ADDRESS(39009,96)))</f>
        <v>0</v>
      </c>
      <c r="CT39009" s="7" t="n">
        <v>7</v>
      </c>
      <c r="CU39009" s="7" t="n">
        <v>65533</v>
      </c>
      <c r="CV39009" s="7" t="n">
        <v>64191</v>
      </c>
      <c r="CW39009" s="7" t="s">
        <v>16</v>
      </c>
      <c r="CX39009" s="7" t="n">
        <f t="normal" ca="1">32-LENB(INDIRECT(ADDRESS(39009,101)))</f>
        <v>0</v>
      </c>
      <c r="CY39009" s="7" t="n">
        <v>7</v>
      </c>
      <c r="CZ39009" s="7" t="n">
        <v>65533</v>
      </c>
      <c r="DA39009" s="7" t="n">
        <v>64192</v>
      </c>
      <c r="DB39009" s="7" t="s">
        <v>16</v>
      </c>
      <c r="DC39009" s="7" t="n">
        <f t="normal" ca="1">32-LENB(INDIRECT(ADDRESS(39009,106)))</f>
        <v>0</v>
      </c>
      <c r="DD39009" s="7" t="n">
        <v>7</v>
      </c>
      <c r="DE39009" s="7" t="n">
        <v>65533</v>
      </c>
      <c r="DF39009" s="7" t="n">
        <v>64193</v>
      </c>
      <c r="DG39009" s="7" t="s">
        <v>16</v>
      </c>
      <c r="DH39009" s="7" t="n">
        <f t="normal" ca="1">32-LENB(INDIRECT(ADDRESS(39009,111)))</f>
        <v>0</v>
      </c>
      <c r="DI39009" s="7" t="n">
        <v>7</v>
      </c>
      <c r="DJ39009" s="7" t="n">
        <v>65533</v>
      </c>
      <c r="DK39009" s="7" t="n">
        <v>64194</v>
      </c>
      <c r="DL39009" s="7" t="s">
        <v>16</v>
      </c>
      <c r="DM39009" s="7" t="n">
        <f t="normal" ca="1">32-LENB(INDIRECT(ADDRESS(39009,116)))</f>
        <v>0</v>
      </c>
      <c r="DN39009" s="7" t="n">
        <v>7</v>
      </c>
      <c r="DO39009" s="7" t="n">
        <v>65533</v>
      </c>
      <c r="DP39009" s="7" t="n">
        <v>64195</v>
      </c>
      <c r="DQ39009" s="7" t="s">
        <v>16</v>
      </c>
      <c r="DR39009" s="7" t="n">
        <f t="normal" ca="1">32-LENB(INDIRECT(ADDRESS(39009,121)))</f>
        <v>0</v>
      </c>
      <c r="DS39009" s="7" t="n">
        <v>7</v>
      </c>
      <c r="DT39009" s="7" t="n">
        <v>65533</v>
      </c>
      <c r="DU39009" s="7" t="n">
        <v>64196</v>
      </c>
      <c r="DV39009" s="7" t="s">
        <v>16</v>
      </c>
      <c r="DW39009" s="7" t="n">
        <f t="normal" ca="1">32-LENB(INDIRECT(ADDRESS(39009,126)))</f>
        <v>0</v>
      </c>
      <c r="DX39009" s="7" t="n">
        <v>7</v>
      </c>
      <c r="DY39009" s="7" t="n">
        <v>65533</v>
      </c>
      <c r="DZ39009" s="7" t="n">
        <v>64197</v>
      </c>
      <c r="EA39009" s="7" t="s">
        <v>16</v>
      </c>
      <c r="EB39009" s="7" t="n">
        <f t="normal" ca="1">32-LENB(INDIRECT(ADDRESS(39009,131)))</f>
        <v>0</v>
      </c>
      <c r="EC39009" s="7" t="n">
        <v>7</v>
      </c>
      <c r="ED39009" s="7" t="n">
        <v>65533</v>
      </c>
      <c r="EE39009" s="7" t="n">
        <v>64198</v>
      </c>
      <c r="EF39009" s="7" t="s">
        <v>16</v>
      </c>
      <c r="EG39009" s="7" t="n">
        <f t="normal" ca="1">32-LENB(INDIRECT(ADDRESS(39009,136)))</f>
        <v>0</v>
      </c>
      <c r="EH39009" s="7" t="n">
        <v>7</v>
      </c>
      <c r="EI39009" s="7" t="n">
        <v>65533</v>
      </c>
      <c r="EJ39009" s="7" t="n">
        <v>64199</v>
      </c>
      <c r="EK39009" s="7" t="s">
        <v>16</v>
      </c>
      <c r="EL39009" s="7" t="n">
        <f t="normal" ca="1">32-LENB(INDIRECT(ADDRESS(39009,141)))</f>
        <v>0</v>
      </c>
      <c r="EM39009" s="7" t="n">
        <v>7</v>
      </c>
      <c r="EN39009" s="7" t="n">
        <v>65533</v>
      </c>
      <c r="EO39009" s="7" t="n">
        <v>64200</v>
      </c>
      <c r="EP39009" s="7" t="s">
        <v>16</v>
      </c>
      <c r="EQ39009" s="7" t="n">
        <f t="normal" ca="1">32-LENB(INDIRECT(ADDRESS(39009,146)))</f>
        <v>0</v>
      </c>
      <c r="ER39009" s="7" t="n">
        <v>7</v>
      </c>
      <c r="ES39009" s="7" t="n">
        <v>65533</v>
      </c>
      <c r="ET39009" s="7" t="n">
        <v>64201</v>
      </c>
      <c r="EU39009" s="7" t="s">
        <v>16</v>
      </c>
      <c r="EV39009" s="7" t="n">
        <f t="normal" ca="1">32-LENB(INDIRECT(ADDRESS(39009,151)))</f>
        <v>0</v>
      </c>
      <c r="EW39009" s="7" t="n">
        <v>7</v>
      </c>
      <c r="EX39009" s="7" t="n">
        <v>65533</v>
      </c>
      <c r="EY39009" s="7" t="n">
        <v>64202</v>
      </c>
      <c r="EZ39009" s="7" t="s">
        <v>16</v>
      </c>
      <c r="FA39009" s="7" t="n">
        <f t="normal" ca="1">32-LENB(INDIRECT(ADDRESS(39009,156)))</f>
        <v>0</v>
      </c>
      <c r="FB39009" s="7" t="n">
        <v>7</v>
      </c>
      <c r="FC39009" s="7" t="n">
        <v>65533</v>
      </c>
      <c r="FD39009" s="7" t="n">
        <v>8800</v>
      </c>
      <c r="FE39009" s="7" t="s">
        <v>16</v>
      </c>
      <c r="FF39009" s="7" t="n">
        <f t="normal" ca="1">32-LENB(INDIRECT(ADDRESS(39009,161)))</f>
        <v>0</v>
      </c>
      <c r="FG39009" s="7" t="n">
        <v>7</v>
      </c>
      <c r="FH39009" s="7" t="n">
        <v>65533</v>
      </c>
      <c r="FI39009" s="7" t="n">
        <v>8801</v>
      </c>
      <c r="FJ39009" s="7" t="s">
        <v>16</v>
      </c>
      <c r="FK39009" s="7" t="n">
        <f t="normal" ca="1">32-LENB(INDIRECT(ADDRESS(39009,166)))</f>
        <v>0</v>
      </c>
      <c r="FL39009" s="7" t="n">
        <v>7</v>
      </c>
      <c r="FM39009" s="7" t="n">
        <v>65533</v>
      </c>
      <c r="FN39009" s="7" t="n">
        <v>8802</v>
      </c>
      <c r="FO39009" s="7" t="s">
        <v>16</v>
      </c>
      <c r="FP39009" s="7" t="n">
        <f t="normal" ca="1">32-LENB(INDIRECT(ADDRESS(39009,171)))</f>
        <v>0</v>
      </c>
      <c r="FQ39009" s="7" t="n">
        <v>7</v>
      </c>
      <c r="FR39009" s="7" t="n">
        <v>65533</v>
      </c>
      <c r="FS39009" s="7" t="n">
        <v>8803</v>
      </c>
      <c r="FT39009" s="7" t="s">
        <v>16</v>
      </c>
      <c r="FU39009" s="7" t="n">
        <f t="normal" ca="1">32-LENB(INDIRECT(ADDRESS(39009,176)))</f>
        <v>0</v>
      </c>
      <c r="FV39009" s="7" t="n">
        <v>7</v>
      </c>
      <c r="FW39009" s="7" t="n">
        <v>65533</v>
      </c>
      <c r="FX39009" s="7" t="n">
        <v>8804</v>
      </c>
      <c r="FY39009" s="7" t="s">
        <v>16</v>
      </c>
      <c r="FZ39009" s="7" t="n">
        <f t="normal" ca="1">32-LENB(INDIRECT(ADDRESS(39009,181)))</f>
        <v>0</v>
      </c>
      <c r="GA39009" s="7" t="n">
        <v>7</v>
      </c>
      <c r="GB39009" s="7" t="n">
        <v>65533</v>
      </c>
      <c r="GC39009" s="7" t="n">
        <v>8805</v>
      </c>
      <c r="GD39009" s="7" t="s">
        <v>16</v>
      </c>
      <c r="GE39009" s="7" t="n">
        <f t="normal" ca="1">32-LENB(INDIRECT(ADDRESS(39009,186)))</f>
        <v>0</v>
      </c>
      <c r="GF39009" s="7" t="n">
        <v>7</v>
      </c>
      <c r="GG39009" s="7" t="n">
        <v>65533</v>
      </c>
      <c r="GH39009" s="7" t="n">
        <v>64268</v>
      </c>
      <c r="GI39009" s="7" t="s">
        <v>16</v>
      </c>
      <c r="GJ39009" s="7" t="n">
        <f t="normal" ca="1">32-LENB(INDIRECT(ADDRESS(39009,191)))</f>
        <v>0</v>
      </c>
      <c r="GK39009" s="7" t="n">
        <v>7</v>
      </c>
      <c r="GL39009" s="7" t="n">
        <v>65533</v>
      </c>
      <c r="GM39009" s="7" t="n">
        <v>8806</v>
      </c>
      <c r="GN39009" s="7" t="s">
        <v>16</v>
      </c>
      <c r="GO39009" s="7" t="n">
        <f t="normal" ca="1">32-LENB(INDIRECT(ADDRESS(39009,196)))</f>
        <v>0</v>
      </c>
      <c r="GP39009" s="7" t="n">
        <v>7</v>
      </c>
      <c r="GQ39009" s="7" t="n">
        <v>65533</v>
      </c>
      <c r="GR39009" s="7" t="n">
        <v>8807</v>
      </c>
      <c r="GS39009" s="7" t="s">
        <v>16</v>
      </c>
      <c r="GT39009" s="7" t="n">
        <f t="normal" ca="1">32-LENB(INDIRECT(ADDRESS(39009,201)))</f>
        <v>0</v>
      </c>
      <c r="GU39009" s="7" t="n">
        <v>7</v>
      </c>
      <c r="GV39009" s="7" t="n">
        <v>65533</v>
      </c>
      <c r="GW39009" s="7" t="n">
        <v>8808</v>
      </c>
      <c r="GX39009" s="7" t="s">
        <v>16</v>
      </c>
      <c r="GY39009" s="7" t="n">
        <f t="normal" ca="1">32-LENB(INDIRECT(ADDRESS(39009,206)))</f>
        <v>0</v>
      </c>
      <c r="GZ39009" s="7" t="n">
        <v>7</v>
      </c>
      <c r="HA39009" s="7" t="n">
        <v>65533</v>
      </c>
      <c r="HB39009" s="7" t="n">
        <v>8809</v>
      </c>
      <c r="HC39009" s="7" t="s">
        <v>16</v>
      </c>
      <c r="HD39009" s="7" t="n">
        <f t="normal" ca="1">32-LENB(INDIRECT(ADDRESS(39009,211)))</f>
        <v>0</v>
      </c>
      <c r="HE39009" s="7" t="n">
        <v>7</v>
      </c>
      <c r="HF39009" s="7" t="n">
        <v>65533</v>
      </c>
      <c r="HG39009" s="7" t="n">
        <v>64203</v>
      </c>
      <c r="HH39009" s="7" t="s">
        <v>16</v>
      </c>
      <c r="HI39009" s="7" t="n">
        <f t="normal" ca="1">32-LENB(INDIRECT(ADDRESS(39009,216)))</f>
        <v>0</v>
      </c>
      <c r="HJ39009" s="7" t="n">
        <v>7</v>
      </c>
      <c r="HK39009" s="7" t="n">
        <v>65533</v>
      </c>
      <c r="HL39009" s="7" t="n">
        <v>8810</v>
      </c>
      <c r="HM39009" s="7" t="s">
        <v>16</v>
      </c>
      <c r="HN39009" s="7" t="n">
        <f t="normal" ca="1">32-LENB(INDIRECT(ADDRESS(39009,221)))</f>
        <v>0</v>
      </c>
      <c r="HO39009" s="7" t="n">
        <v>7</v>
      </c>
      <c r="HP39009" s="7" t="n">
        <v>65533</v>
      </c>
      <c r="HQ39009" s="7" t="n">
        <v>8811</v>
      </c>
      <c r="HR39009" s="7" t="s">
        <v>16</v>
      </c>
      <c r="HS39009" s="7" t="n">
        <f t="normal" ca="1">32-LENB(INDIRECT(ADDRESS(39009,226)))</f>
        <v>0</v>
      </c>
      <c r="HT39009" s="7" t="n">
        <v>7</v>
      </c>
      <c r="HU39009" s="7" t="n">
        <v>65533</v>
      </c>
      <c r="HV39009" s="7" t="n">
        <v>8812</v>
      </c>
      <c r="HW39009" s="7" t="s">
        <v>16</v>
      </c>
      <c r="HX39009" s="7" t="n">
        <f t="normal" ca="1">32-LENB(INDIRECT(ADDRESS(39009,231)))</f>
        <v>0</v>
      </c>
      <c r="HY39009" s="7" t="n">
        <v>7</v>
      </c>
      <c r="HZ39009" s="7" t="n">
        <v>65533</v>
      </c>
      <c r="IA39009" s="7" t="n">
        <v>8813</v>
      </c>
      <c r="IB39009" s="7" t="s">
        <v>16</v>
      </c>
      <c r="IC39009" s="7" t="n">
        <f t="normal" ca="1">32-LENB(INDIRECT(ADDRESS(39009,236)))</f>
        <v>0</v>
      </c>
      <c r="ID39009" s="7" t="n">
        <v>7</v>
      </c>
      <c r="IE39009" s="7" t="n">
        <v>65533</v>
      </c>
      <c r="IF39009" s="7" t="n">
        <v>64204</v>
      </c>
      <c r="IG39009" s="7" t="s">
        <v>16</v>
      </c>
      <c r="IH39009" s="7" t="n">
        <f t="normal" ca="1">32-LENB(INDIRECT(ADDRESS(39009,241)))</f>
        <v>0</v>
      </c>
      <c r="II39009" s="7" t="n">
        <v>7</v>
      </c>
      <c r="IJ39009" s="7" t="n">
        <v>65533</v>
      </c>
      <c r="IK39009" s="7" t="n">
        <v>64205</v>
      </c>
      <c r="IL39009" s="7" t="s">
        <v>16</v>
      </c>
      <c r="IM39009" s="7" t="n">
        <f t="normal" ca="1">32-LENB(INDIRECT(ADDRESS(39009,246)))</f>
        <v>0</v>
      </c>
      <c r="IN39009" s="7" t="n">
        <v>7</v>
      </c>
      <c r="IO39009" s="7" t="n">
        <v>65533</v>
      </c>
      <c r="IP39009" s="7" t="n">
        <v>64206</v>
      </c>
      <c r="IQ39009" s="7" t="s">
        <v>16</v>
      </c>
      <c r="IR39009" s="7" t="n">
        <f t="normal" ca="1">32-LENB(INDIRECT(ADDRESS(39009,251)))</f>
        <v>0</v>
      </c>
      <c r="IS39009" s="7" t="n">
        <v>7</v>
      </c>
      <c r="IT39009" s="7" t="n">
        <v>65533</v>
      </c>
      <c r="IU39009" s="7" t="n">
        <v>64207</v>
      </c>
      <c r="IV39009" s="7" t="s">
        <v>16</v>
      </c>
      <c r="IW39009" s="7" t="n">
        <f t="normal" ca="1">32-LENB(INDIRECT(ADDRESS(39009,256)))</f>
        <v>0</v>
      </c>
      <c r="IX39009" s="7" t="n">
        <v>7</v>
      </c>
      <c r="IY39009" s="7" t="n">
        <v>65533</v>
      </c>
      <c r="IZ39009" s="7" t="n">
        <v>8814</v>
      </c>
      <c r="JA39009" s="7" t="s">
        <v>16</v>
      </c>
      <c r="JB39009" s="7" t="n">
        <f t="normal" ca="1">32-LENB(INDIRECT(ADDRESS(39009,261)))</f>
        <v>0</v>
      </c>
      <c r="JC39009" s="7" t="n">
        <v>7</v>
      </c>
      <c r="JD39009" s="7" t="n">
        <v>65533</v>
      </c>
      <c r="JE39009" s="7" t="n">
        <v>8815</v>
      </c>
      <c r="JF39009" s="7" t="s">
        <v>16</v>
      </c>
      <c r="JG39009" s="7" t="n">
        <f t="normal" ca="1">32-LENB(INDIRECT(ADDRESS(39009,266)))</f>
        <v>0</v>
      </c>
      <c r="JH39009" s="7" t="n">
        <v>7</v>
      </c>
      <c r="JI39009" s="7" t="n">
        <v>65533</v>
      </c>
      <c r="JJ39009" s="7" t="n">
        <v>8816</v>
      </c>
      <c r="JK39009" s="7" t="s">
        <v>16</v>
      </c>
      <c r="JL39009" s="7" t="n">
        <f t="normal" ca="1">32-LENB(INDIRECT(ADDRESS(39009,271)))</f>
        <v>0</v>
      </c>
      <c r="JM39009" s="7" t="n">
        <v>7</v>
      </c>
      <c r="JN39009" s="7" t="n">
        <v>65533</v>
      </c>
      <c r="JO39009" s="7" t="n">
        <v>64208</v>
      </c>
      <c r="JP39009" s="7" t="s">
        <v>16</v>
      </c>
      <c r="JQ39009" s="7" t="n">
        <f t="normal" ca="1">32-LENB(INDIRECT(ADDRESS(39009,276)))</f>
        <v>0</v>
      </c>
      <c r="JR39009" s="7" t="n">
        <v>4</v>
      </c>
      <c r="JS39009" s="7" t="n">
        <v>65533</v>
      </c>
      <c r="JT39009" s="7" t="n">
        <v>2003</v>
      </c>
      <c r="JU39009" s="7" t="s">
        <v>16</v>
      </c>
      <c r="JV39009" s="7" t="n">
        <f t="normal" ca="1">32-LENB(INDIRECT(ADDRESS(39009,281)))</f>
        <v>0</v>
      </c>
      <c r="JW39009" s="7" t="n">
        <v>4</v>
      </c>
      <c r="JX39009" s="7" t="n">
        <v>65533</v>
      </c>
      <c r="JY39009" s="7" t="n">
        <v>4272</v>
      </c>
      <c r="JZ39009" s="7" t="s">
        <v>16</v>
      </c>
      <c r="KA39009" s="7" t="n">
        <f t="normal" ca="1">32-LENB(INDIRECT(ADDRESS(39009,286)))</f>
        <v>0</v>
      </c>
      <c r="KB39009" s="7" t="n">
        <v>7</v>
      </c>
      <c r="KC39009" s="7" t="n">
        <v>65533</v>
      </c>
      <c r="KD39009" s="7" t="n">
        <v>64209</v>
      </c>
      <c r="KE39009" s="7" t="s">
        <v>16</v>
      </c>
      <c r="KF39009" s="7" t="n">
        <f t="normal" ca="1">32-LENB(INDIRECT(ADDRESS(39009,291)))</f>
        <v>0</v>
      </c>
      <c r="KG39009" s="7" t="n">
        <v>7</v>
      </c>
      <c r="KH39009" s="7" t="n">
        <v>65533</v>
      </c>
      <c r="KI39009" s="7" t="n">
        <v>64210</v>
      </c>
      <c r="KJ39009" s="7" t="s">
        <v>16</v>
      </c>
      <c r="KK39009" s="7" t="n">
        <f t="normal" ca="1">32-LENB(INDIRECT(ADDRESS(39009,296)))</f>
        <v>0</v>
      </c>
      <c r="KL39009" s="7" t="n">
        <v>7</v>
      </c>
      <c r="KM39009" s="7" t="n">
        <v>65533</v>
      </c>
      <c r="KN39009" s="7" t="n">
        <v>8817</v>
      </c>
      <c r="KO39009" s="7" t="s">
        <v>16</v>
      </c>
      <c r="KP39009" s="7" t="n">
        <f t="normal" ca="1">32-LENB(INDIRECT(ADDRESS(39009,301)))</f>
        <v>0</v>
      </c>
      <c r="KQ39009" s="7" t="n">
        <v>7</v>
      </c>
      <c r="KR39009" s="7" t="n">
        <v>65533</v>
      </c>
      <c r="KS39009" s="7" t="n">
        <v>8818</v>
      </c>
      <c r="KT39009" s="7" t="s">
        <v>16</v>
      </c>
      <c r="KU39009" s="7" t="n">
        <f t="normal" ca="1">32-LENB(INDIRECT(ADDRESS(39009,306)))</f>
        <v>0</v>
      </c>
      <c r="KV39009" s="7" t="n">
        <v>0</v>
      </c>
      <c r="KW39009" s="7" t="n">
        <v>65533</v>
      </c>
      <c r="KX39009" s="7" t="n">
        <v>0</v>
      </c>
      <c r="KY39009" s="7" t="s">
        <v>16</v>
      </c>
      <c r="KZ39009" s="7" t="n">
        <f t="normal" ca="1">32-LENB(INDIRECT(ADDRESS(39009,311)))</f>
        <v>0</v>
      </c>
    </row>
    <row r="39010" spans="1:367">
      <c r="A39010" t="s">
        <v>4</v>
      </c>
      <c r="B39010" s="4" t="s">
        <v>5</v>
      </c>
    </row>
    <row r="39011" spans="1:367">
      <c r="A39011" t="n">
        <v>486816</v>
      </c>
      <c r="B39011" s="5" t="n">
        <v>1</v>
      </c>
    </row>
    <row r="39012" spans="1:367" s="3" customFormat="1" customHeight="0">
      <c r="A39012" s="3" t="s">
        <v>2</v>
      </c>
      <c r="B39012" s="3" t="s">
        <v>1911</v>
      </c>
    </row>
    <row r="39013" spans="1:367">
      <c r="A39013" t="s">
        <v>4</v>
      </c>
      <c r="B39013" s="4" t="s">
        <v>5</v>
      </c>
      <c r="C39013" s="4" t="s">
        <v>11</v>
      </c>
      <c r="D39013" s="4" t="s">
        <v>11</v>
      </c>
      <c r="E39013" s="4" t="s">
        <v>15</v>
      </c>
      <c r="F39013" s="4" t="s">
        <v>8</v>
      </c>
      <c r="G39013" s="4" t="s">
        <v>1859</v>
      </c>
      <c r="H39013" s="4" t="s">
        <v>11</v>
      </c>
      <c r="I39013" s="4" t="s">
        <v>11</v>
      </c>
      <c r="J39013" s="4" t="s">
        <v>15</v>
      </c>
      <c r="K39013" s="4" t="s">
        <v>8</v>
      </c>
      <c r="L39013" s="4" t="s">
        <v>1859</v>
      </c>
      <c r="M39013" s="4" t="s">
        <v>11</v>
      </c>
      <c r="N39013" s="4" t="s">
        <v>11</v>
      </c>
      <c r="O39013" s="4" t="s">
        <v>15</v>
      </c>
      <c r="P39013" s="4" t="s">
        <v>8</v>
      </c>
      <c r="Q39013" s="4" t="s">
        <v>1859</v>
      </c>
      <c r="R39013" s="4" t="s">
        <v>11</v>
      </c>
      <c r="S39013" s="4" t="s">
        <v>11</v>
      </c>
      <c r="T39013" s="4" t="s">
        <v>15</v>
      </c>
      <c r="U39013" s="4" t="s">
        <v>8</v>
      </c>
      <c r="V39013" s="4" t="s">
        <v>1859</v>
      </c>
      <c r="W39013" s="4" t="s">
        <v>11</v>
      </c>
      <c r="X39013" s="4" t="s">
        <v>11</v>
      </c>
      <c r="Y39013" s="4" t="s">
        <v>15</v>
      </c>
      <c r="Z39013" s="4" t="s">
        <v>8</v>
      </c>
      <c r="AA39013" s="4" t="s">
        <v>1859</v>
      </c>
      <c r="AB39013" s="4" t="s">
        <v>11</v>
      </c>
      <c r="AC39013" s="4" t="s">
        <v>11</v>
      </c>
      <c r="AD39013" s="4" t="s">
        <v>15</v>
      </c>
      <c r="AE39013" s="4" t="s">
        <v>8</v>
      </c>
      <c r="AF39013" s="4" t="s">
        <v>1859</v>
      </c>
      <c r="AG39013" s="4" t="s">
        <v>11</v>
      </c>
      <c r="AH39013" s="4" t="s">
        <v>11</v>
      </c>
      <c r="AI39013" s="4" t="s">
        <v>15</v>
      </c>
      <c r="AJ39013" s="4" t="s">
        <v>8</v>
      </c>
      <c r="AK39013" s="4" t="s">
        <v>1859</v>
      </c>
      <c r="AL39013" s="4" t="s">
        <v>11</v>
      </c>
      <c r="AM39013" s="4" t="s">
        <v>11</v>
      </c>
      <c r="AN39013" s="4" t="s">
        <v>15</v>
      </c>
      <c r="AO39013" s="4" t="s">
        <v>8</v>
      </c>
      <c r="AP39013" s="4" t="s">
        <v>1859</v>
      </c>
      <c r="AQ39013" s="4" t="s">
        <v>11</v>
      </c>
      <c r="AR39013" s="4" t="s">
        <v>11</v>
      </c>
      <c r="AS39013" s="4" t="s">
        <v>15</v>
      </c>
      <c r="AT39013" s="4" t="s">
        <v>8</v>
      </c>
      <c r="AU39013" s="4" t="s">
        <v>1859</v>
      </c>
      <c r="AV39013" s="4" t="s">
        <v>11</v>
      </c>
      <c r="AW39013" s="4" t="s">
        <v>11</v>
      </c>
      <c r="AX39013" s="4" t="s">
        <v>15</v>
      </c>
      <c r="AY39013" s="4" t="s">
        <v>8</v>
      </c>
      <c r="AZ39013" s="4" t="s">
        <v>1859</v>
      </c>
      <c r="BA39013" s="4" t="s">
        <v>11</v>
      </c>
      <c r="BB39013" s="4" t="s">
        <v>11</v>
      </c>
      <c r="BC39013" s="4" t="s">
        <v>15</v>
      </c>
      <c r="BD39013" s="4" t="s">
        <v>8</v>
      </c>
      <c r="BE39013" s="4" t="s">
        <v>1859</v>
      </c>
      <c r="BF39013" s="4" t="s">
        <v>11</v>
      </c>
      <c r="BG39013" s="4" t="s">
        <v>11</v>
      </c>
      <c r="BH39013" s="4" t="s">
        <v>15</v>
      </c>
      <c r="BI39013" s="4" t="s">
        <v>8</v>
      </c>
      <c r="BJ39013" s="4" t="s">
        <v>1859</v>
      </c>
      <c r="BK39013" s="4" t="s">
        <v>11</v>
      </c>
      <c r="BL39013" s="4" t="s">
        <v>11</v>
      </c>
      <c r="BM39013" s="4" t="s">
        <v>15</v>
      </c>
      <c r="BN39013" s="4" t="s">
        <v>8</v>
      </c>
      <c r="BO39013" s="4" t="s">
        <v>1859</v>
      </c>
      <c r="BP39013" s="4" t="s">
        <v>11</v>
      </c>
      <c r="BQ39013" s="4" t="s">
        <v>11</v>
      </c>
      <c r="BR39013" s="4" t="s">
        <v>15</v>
      </c>
      <c r="BS39013" s="4" t="s">
        <v>8</v>
      </c>
      <c r="BT39013" s="4" t="s">
        <v>1859</v>
      </c>
      <c r="BU39013" s="4" t="s">
        <v>11</v>
      </c>
      <c r="BV39013" s="4" t="s">
        <v>11</v>
      </c>
      <c r="BW39013" s="4" t="s">
        <v>15</v>
      </c>
      <c r="BX39013" s="4" t="s">
        <v>8</v>
      </c>
      <c r="BY39013" s="4" t="s">
        <v>1859</v>
      </c>
      <c r="BZ39013" s="4" t="s">
        <v>11</v>
      </c>
      <c r="CA39013" s="4" t="s">
        <v>11</v>
      </c>
      <c r="CB39013" s="4" t="s">
        <v>15</v>
      </c>
      <c r="CC39013" s="4" t="s">
        <v>8</v>
      </c>
      <c r="CD39013" s="4" t="s">
        <v>1859</v>
      </c>
      <c r="CE39013" s="4" t="s">
        <v>11</v>
      </c>
      <c r="CF39013" s="4" t="s">
        <v>11</v>
      </c>
      <c r="CG39013" s="4" t="s">
        <v>15</v>
      </c>
      <c r="CH39013" s="4" t="s">
        <v>8</v>
      </c>
      <c r="CI39013" s="4" t="s">
        <v>1859</v>
      </c>
      <c r="CJ39013" s="4" t="s">
        <v>11</v>
      </c>
      <c r="CK39013" s="4" t="s">
        <v>11</v>
      </c>
      <c r="CL39013" s="4" t="s">
        <v>15</v>
      </c>
      <c r="CM39013" s="4" t="s">
        <v>8</v>
      </c>
      <c r="CN39013" s="4" t="s">
        <v>1859</v>
      </c>
      <c r="CO39013" s="4" t="s">
        <v>11</v>
      </c>
      <c r="CP39013" s="4" t="s">
        <v>11</v>
      </c>
      <c r="CQ39013" s="4" t="s">
        <v>15</v>
      </c>
      <c r="CR39013" s="4" t="s">
        <v>8</v>
      </c>
      <c r="CS39013" s="4" t="s">
        <v>1859</v>
      </c>
      <c r="CT39013" s="4" t="s">
        <v>11</v>
      </c>
      <c r="CU39013" s="4" t="s">
        <v>11</v>
      </c>
      <c r="CV39013" s="4" t="s">
        <v>15</v>
      </c>
      <c r="CW39013" s="4" t="s">
        <v>8</v>
      </c>
      <c r="CX39013" s="4" t="s">
        <v>1859</v>
      </c>
      <c r="CY39013" s="4" t="s">
        <v>11</v>
      </c>
      <c r="CZ39013" s="4" t="s">
        <v>11</v>
      </c>
      <c r="DA39013" s="4" t="s">
        <v>15</v>
      </c>
      <c r="DB39013" s="4" t="s">
        <v>8</v>
      </c>
      <c r="DC39013" s="4" t="s">
        <v>1859</v>
      </c>
      <c r="DD39013" s="4" t="s">
        <v>11</v>
      </c>
      <c r="DE39013" s="4" t="s">
        <v>11</v>
      </c>
      <c r="DF39013" s="4" t="s">
        <v>15</v>
      </c>
      <c r="DG39013" s="4" t="s">
        <v>8</v>
      </c>
      <c r="DH39013" s="4" t="s">
        <v>1859</v>
      </c>
      <c r="DI39013" s="4" t="s">
        <v>11</v>
      </c>
      <c r="DJ39013" s="4" t="s">
        <v>11</v>
      </c>
      <c r="DK39013" s="4" t="s">
        <v>15</v>
      </c>
      <c r="DL39013" s="4" t="s">
        <v>8</v>
      </c>
      <c r="DM39013" s="4" t="s">
        <v>1859</v>
      </c>
      <c r="DN39013" s="4" t="s">
        <v>11</v>
      </c>
      <c r="DO39013" s="4" t="s">
        <v>11</v>
      </c>
      <c r="DP39013" s="4" t="s">
        <v>15</v>
      </c>
      <c r="DQ39013" s="4" t="s">
        <v>8</v>
      </c>
      <c r="DR39013" s="4" t="s">
        <v>1859</v>
      </c>
      <c r="DS39013" s="4" t="s">
        <v>11</v>
      </c>
      <c r="DT39013" s="4" t="s">
        <v>11</v>
      </c>
      <c r="DU39013" s="4" t="s">
        <v>15</v>
      </c>
      <c r="DV39013" s="4" t="s">
        <v>8</v>
      </c>
      <c r="DW39013" s="4" t="s">
        <v>1859</v>
      </c>
      <c r="DX39013" s="4" t="s">
        <v>11</v>
      </c>
      <c r="DY39013" s="4" t="s">
        <v>11</v>
      </c>
      <c r="DZ39013" s="4" t="s">
        <v>15</v>
      </c>
      <c r="EA39013" s="4" t="s">
        <v>8</v>
      </c>
      <c r="EB39013" s="4" t="s">
        <v>1859</v>
      </c>
      <c r="EC39013" s="4" t="s">
        <v>11</v>
      </c>
      <c r="ED39013" s="4" t="s">
        <v>11</v>
      </c>
      <c r="EE39013" s="4" t="s">
        <v>15</v>
      </c>
      <c r="EF39013" s="4" t="s">
        <v>8</v>
      </c>
      <c r="EG39013" s="4" t="s">
        <v>1859</v>
      </c>
      <c r="EH39013" s="4" t="s">
        <v>11</v>
      </c>
      <c r="EI39013" s="4" t="s">
        <v>11</v>
      </c>
      <c r="EJ39013" s="4" t="s">
        <v>15</v>
      </c>
      <c r="EK39013" s="4" t="s">
        <v>8</v>
      </c>
      <c r="EL39013" s="4" t="s">
        <v>1859</v>
      </c>
      <c r="EM39013" s="4" t="s">
        <v>11</v>
      </c>
      <c r="EN39013" s="4" t="s">
        <v>11</v>
      </c>
      <c r="EO39013" s="4" t="s">
        <v>15</v>
      </c>
      <c r="EP39013" s="4" t="s">
        <v>8</v>
      </c>
      <c r="EQ39013" s="4" t="s">
        <v>1859</v>
      </c>
      <c r="ER39013" s="4" t="s">
        <v>11</v>
      </c>
      <c r="ES39013" s="4" t="s">
        <v>11</v>
      </c>
      <c r="ET39013" s="4" t="s">
        <v>15</v>
      </c>
      <c r="EU39013" s="4" t="s">
        <v>8</v>
      </c>
      <c r="EV39013" s="4" t="s">
        <v>1859</v>
      </c>
      <c r="EW39013" s="4" t="s">
        <v>11</v>
      </c>
      <c r="EX39013" s="4" t="s">
        <v>11</v>
      </c>
      <c r="EY39013" s="4" t="s">
        <v>15</v>
      </c>
      <c r="EZ39013" s="4" t="s">
        <v>8</v>
      </c>
      <c r="FA39013" s="4" t="s">
        <v>1859</v>
      </c>
      <c r="FB39013" s="4" t="s">
        <v>11</v>
      </c>
      <c r="FC39013" s="4" t="s">
        <v>11</v>
      </c>
      <c r="FD39013" s="4" t="s">
        <v>15</v>
      </c>
      <c r="FE39013" s="4" t="s">
        <v>8</v>
      </c>
      <c r="FF39013" s="4" t="s">
        <v>1859</v>
      </c>
      <c r="FG39013" s="4" t="s">
        <v>11</v>
      </c>
      <c r="FH39013" s="4" t="s">
        <v>11</v>
      </c>
      <c r="FI39013" s="4" t="s">
        <v>15</v>
      </c>
      <c r="FJ39013" s="4" t="s">
        <v>8</v>
      </c>
      <c r="FK39013" s="4" t="s">
        <v>1859</v>
      </c>
      <c r="FL39013" s="4" t="s">
        <v>11</v>
      </c>
      <c r="FM39013" s="4" t="s">
        <v>11</v>
      </c>
      <c r="FN39013" s="4" t="s">
        <v>15</v>
      </c>
      <c r="FO39013" s="4" t="s">
        <v>8</v>
      </c>
      <c r="FP39013" s="4" t="s">
        <v>1859</v>
      </c>
      <c r="FQ39013" s="4" t="s">
        <v>11</v>
      </c>
      <c r="FR39013" s="4" t="s">
        <v>11</v>
      </c>
      <c r="FS39013" s="4" t="s">
        <v>15</v>
      </c>
      <c r="FT39013" s="4" t="s">
        <v>8</v>
      </c>
      <c r="FU39013" s="4" t="s">
        <v>1859</v>
      </c>
    </row>
    <row r="39014" spans="1:367">
      <c r="A39014" t="n">
        <v>486832</v>
      </c>
      <c r="B39014" s="85" t="n">
        <v>257</v>
      </c>
      <c r="C39014" s="7" t="n">
        <v>7</v>
      </c>
      <c r="D39014" s="7" t="n">
        <v>65533</v>
      </c>
      <c r="E39014" s="7" t="n">
        <v>64354</v>
      </c>
      <c r="F39014" s="7" t="s">
        <v>16</v>
      </c>
      <c r="G39014" s="7" t="n">
        <f t="normal" ca="1">32-LENB(INDIRECT(ADDRESS(39014,6)))</f>
        <v>0</v>
      </c>
      <c r="H39014" s="7" t="n">
        <v>7</v>
      </c>
      <c r="I39014" s="7" t="n">
        <v>65533</v>
      </c>
      <c r="J39014" s="7" t="n">
        <v>64355</v>
      </c>
      <c r="K39014" s="7" t="s">
        <v>16</v>
      </c>
      <c r="L39014" s="7" t="n">
        <f t="normal" ca="1">32-LENB(INDIRECT(ADDRESS(39014,11)))</f>
        <v>0</v>
      </c>
      <c r="M39014" s="7" t="n">
        <v>7</v>
      </c>
      <c r="N39014" s="7" t="n">
        <v>65533</v>
      </c>
      <c r="O39014" s="7" t="n">
        <v>64356</v>
      </c>
      <c r="P39014" s="7" t="s">
        <v>16</v>
      </c>
      <c r="Q39014" s="7" t="n">
        <f t="normal" ca="1">32-LENB(INDIRECT(ADDRESS(39014,16)))</f>
        <v>0</v>
      </c>
      <c r="R39014" s="7" t="n">
        <v>7</v>
      </c>
      <c r="S39014" s="7" t="n">
        <v>65533</v>
      </c>
      <c r="T39014" s="7" t="n">
        <v>64357</v>
      </c>
      <c r="U39014" s="7" t="s">
        <v>16</v>
      </c>
      <c r="V39014" s="7" t="n">
        <f t="normal" ca="1">32-LENB(INDIRECT(ADDRESS(39014,21)))</f>
        <v>0</v>
      </c>
      <c r="W39014" s="7" t="n">
        <v>7</v>
      </c>
      <c r="X39014" s="7" t="n">
        <v>65533</v>
      </c>
      <c r="Y39014" s="7" t="n">
        <v>64358</v>
      </c>
      <c r="Z39014" s="7" t="s">
        <v>16</v>
      </c>
      <c r="AA39014" s="7" t="n">
        <f t="normal" ca="1">32-LENB(INDIRECT(ADDRESS(39014,26)))</f>
        <v>0</v>
      </c>
      <c r="AB39014" s="7" t="n">
        <v>7</v>
      </c>
      <c r="AC39014" s="7" t="n">
        <v>65533</v>
      </c>
      <c r="AD39014" s="7" t="n">
        <v>64359</v>
      </c>
      <c r="AE39014" s="7" t="s">
        <v>16</v>
      </c>
      <c r="AF39014" s="7" t="n">
        <f t="normal" ca="1">32-LENB(INDIRECT(ADDRESS(39014,31)))</f>
        <v>0</v>
      </c>
      <c r="AG39014" s="7" t="n">
        <v>7</v>
      </c>
      <c r="AH39014" s="7" t="n">
        <v>65533</v>
      </c>
      <c r="AI39014" s="7" t="n">
        <v>64360</v>
      </c>
      <c r="AJ39014" s="7" t="s">
        <v>16</v>
      </c>
      <c r="AK39014" s="7" t="n">
        <f t="normal" ca="1">32-LENB(INDIRECT(ADDRESS(39014,36)))</f>
        <v>0</v>
      </c>
      <c r="AL39014" s="7" t="n">
        <v>7</v>
      </c>
      <c r="AM39014" s="7" t="n">
        <v>65533</v>
      </c>
      <c r="AN39014" s="7" t="n">
        <v>64361</v>
      </c>
      <c r="AO39014" s="7" t="s">
        <v>16</v>
      </c>
      <c r="AP39014" s="7" t="n">
        <f t="normal" ca="1">32-LENB(INDIRECT(ADDRESS(39014,41)))</f>
        <v>0</v>
      </c>
      <c r="AQ39014" s="7" t="n">
        <v>7</v>
      </c>
      <c r="AR39014" s="7" t="n">
        <v>65533</v>
      </c>
      <c r="AS39014" s="7" t="n">
        <v>64362</v>
      </c>
      <c r="AT39014" s="7" t="s">
        <v>16</v>
      </c>
      <c r="AU39014" s="7" t="n">
        <f t="normal" ca="1">32-LENB(INDIRECT(ADDRESS(39014,46)))</f>
        <v>0</v>
      </c>
      <c r="AV39014" s="7" t="n">
        <v>7</v>
      </c>
      <c r="AW39014" s="7" t="n">
        <v>65533</v>
      </c>
      <c r="AX39014" s="7" t="n">
        <v>64363</v>
      </c>
      <c r="AY39014" s="7" t="s">
        <v>16</v>
      </c>
      <c r="AZ39014" s="7" t="n">
        <f t="normal" ca="1">32-LENB(INDIRECT(ADDRESS(39014,51)))</f>
        <v>0</v>
      </c>
      <c r="BA39014" s="7" t="n">
        <v>7</v>
      </c>
      <c r="BB39014" s="7" t="n">
        <v>65533</v>
      </c>
      <c r="BC39014" s="7" t="n">
        <v>64364</v>
      </c>
      <c r="BD39014" s="7" t="s">
        <v>16</v>
      </c>
      <c r="BE39014" s="7" t="n">
        <f t="normal" ca="1">32-LENB(INDIRECT(ADDRESS(39014,56)))</f>
        <v>0</v>
      </c>
      <c r="BF39014" s="7" t="n">
        <v>7</v>
      </c>
      <c r="BG39014" s="7" t="n">
        <v>65533</v>
      </c>
      <c r="BH39014" s="7" t="n">
        <v>64365</v>
      </c>
      <c r="BI39014" s="7" t="s">
        <v>16</v>
      </c>
      <c r="BJ39014" s="7" t="n">
        <f t="normal" ca="1">32-LENB(INDIRECT(ADDRESS(39014,61)))</f>
        <v>0</v>
      </c>
      <c r="BK39014" s="7" t="n">
        <v>7</v>
      </c>
      <c r="BL39014" s="7" t="n">
        <v>65533</v>
      </c>
      <c r="BM39014" s="7" t="n">
        <v>64366</v>
      </c>
      <c r="BN39014" s="7" t="s">
        <v>16</v>
      </c>
      <c r="BO39014" s="7" t="n">
        <f t="normal" ca="1">32-LENB(INDIRECT(ADDRESS(39014,66)))</f>
        <v>0</v>
      </c>
      <c r="BP39014" s="7" t="n">
        <v>7</v>
      </c>
      <c r="BQ39014" s="7" t="n">
        <v>65533</v>
      </c>
      <c r="BR39014" s="7" t="n">
        <v>64367</v>
      </c>
      <c r="BS39014" s="7" t="s">
        <v>16</v>
      </c>
      <c r="BT39014" s="7" t="n">
        <f t="normal" ca="1">32-LENB(INDIRECT(ADDRESS(39014,71)))</f>
        <v>0</v>
      </c>
      <c r="BU39014" s="7" t="n">
        <v>7</v>
      </c>
      <c r="BV39014" s="7" t="n">
        <v>65533</v>
      </c>
      <c r="BW39014" s="7" t="n">
        <v>64368</v>
      </c>
      <c r="BX39014" s="7" t="s">
        <v>16</v>
      </c>
      <c r="BY39014" s="7" t="n">
        <f t="normal" ca="1">32-LENB(INDIRECT(ADDRESS(39014,76)))</f>
        <v>0</v>
      </c>
      <c r="BZ39014" s="7" t="n">
        <v>7</v>
      </c>
      <c r="CA39014" s="7" t="n">
        <v>65533</v>
      </c>
      <c r="CB39014" s="7" t="n">
        <v>64369</v>
      </c>
      <c r="CC39014" s="7" t="s">
        <v>16</v>
      </c>
      <c r="CD39014" s="7" t="n">
        <f t="normal" ca="1">32-LENB(INDIRECT(ADDRESS(39014,81)))</f>
        <v>0</v>
      </c>
      <c r="CE39014" s="7" t="n">
        <v>7</v>
      </c>
      <c r="CF39014" s="7" t="n">
        <v>65533</v>
      </c>
      <c r="CG39014" s="7" t="n">
        <v>64378</v>
      </c>
      <c r="CH39014" s="7" t="s">
        <v>16</v>
      </c>
      <c r="CI39014" s="7" t="n">
        <f t="normal" ca="1">32-LENB(INDIRECT(ADDRESS(39014,86)))</f>
        <v>0</v>
      </c>
      <c r="CJ39014" s="7" t="n">
        <v>7</v>
      </c>
      <c r="CK39014" s="7" t="n">
        <v>65533</v>
      </c>
      <c r="CL39014" s="7" t="n">
        <v>64379</v>
      </c>
      <c r="CM39014" s="7" t="s">
        <v>16</v>
      </c>
      <c r="CN39014" s="7" t="n">
        <f t="normal" ca="1">32-LENB(INDIRECT(ADDRESS(39014,91)))</f>
        <v>0</v>
      </c>
      <c r="CO39014" s="7" t="n">
        <v>7</v>
      </c>
      <c r="CP39014" s="7" t="n">
        <v>65533</v>
      </c>
      <c r="CQ39014" s="7" t="n">
        <v>64380</v>
      </c>
      <c r="CR39014" s="7" t="s">
        <v>16</v>
      </c>
      <c r="CS39014" s="7" t="n">
        <f t="normal" ca="1">32-LENB(INDIRECT(ADDRESS(39014,96)))</f>
        <v>0</v>
      </c>
      <c r="CT39014" s="7" t="n">
        <v>7</v>
      </c>
      <c r="CU39014" s="7" t="n">
        <v>65533</v>
      </c>
      <c r="CV39014" s="7" t="n">
        <v>64381</v>
      </c>
      <c r="CW39014" s="7" t="s">
        <v>16</v>
      </c>
      <c r="CX39014" s="7" t="n">
        <f t="normal" ca="1">32-LENB(INDIRECT(ADDRESS(39014,101)))</f>
        <v>0</v>
      </c>
      <c r="CY39014" s="7" t="n">
        <v>7</v>
      </c>
      <c r="CZ39014" s="7" t="n">
        <v>65533</v>
      </c>
      <c r="DA39014" s="7" t="n">
        <v>65313</v>
      </c>
      <c r="DB39014" s="7" t="s">
        <v>16</v>
      </c>
      <c r="DC39014" s="7" t="n">
        <f t="normal" ca="1">32-LENB(INDIRECT(ADDRESS(39014,106)))</f>
        <v>0</v>
      </c>
      <c r="DD39014" s="7" t="n">
        <v>7</v>
      </c>
      <c r="DE39014" s="7" t="n">
        <v>65533</v>
      </c>
      <c r="DF39014" s="7" t="n">
        <v>64382</v>
      </c>
      <c r="DG39014" s="7" t="s">
        <v>16</v>
      </c>
      <c r="DH39014" s="7" t="n">
        <f t="normal" ca="1">32-LENB(INDIRECT(ADDRESS(39014,111)))</f>
        <v>0</v>
      </c>
      <c r="DI39014" s="7" t="n">
        <v>7</v>
      </c>
      <c r="DJ39014" s="7" t="n">
        <v>65533</v>
      </c>
      <c r="DK39014" s="7" t="n">
        <v>64383</v>
      </c>
      <c r="DL39014" s="7" t="s">
        <v>16</v>
      </c>
      <c r="DM39014" s="7" t="n">
        <f t="normal" ca="1">32-LENB(INDIRECT(ADDRESS(39014,116)))</f>
        <v>0</v>
      </c>
      <c r="DN39014" s="7" t="n">
        <v>7</v>
      </c>
      <c r="DO39014" s="7" t="n">
        <v>65533</v>
      </c>
      <c r="DP39014" s="7" t="n">
        <v>64336</v>
      </c>
      <c r="DQ39014" s="7" t="s">
        <v>16</v>
      </c>
      <c r="DR39014" s="7" t="n">
        <f t="normal" ca="1">32-LENB(INDIRECT(ADDRESS(39014,121)))</f>
        <v>0</v>
      </c>
      <c r="DS39014" s="7" t="n">
        <v>7</v>
      </c>
      <c r="DT39014" s="7" t="n">
        <v>65533</v>
      </c>
      <c r="DU39014" s="7" t="n">
        <v>64384</v>
      </c>
      <c r="DV39014" s="7" t="s">
        <v>16</v>
      </c>
      <c r="DW39014" s="7" t="n">
        <f t="normal" ca="1">32-LENB(INDIRECT(ADDRESS(39014,126)))</f>
        <v>0</v>
      </c>
      <c r="DX39014" s="7" t="n">
        <v>7</v>
      </c>
      <c r="DY39014" s="7" t="n">
        <v>65533</v>
      </c>
      <c r="DZ39014" s="7" t="n">
        <v>64385</v>
      </c>
      <c r="EA39014" s="7" t="s">
        <v>16</v>
      </c>
      <c r="EB39014" s="7" t="n">
        <f t="normal" ca="1">32-LENB(INDIRECT(ADDRESS(39014,131)))</f>
        <v>0</v>
      </c>
      <c r="EC39014" s="7" t="n">
        <v>7</v>
      </c>
      <c r="ED39014" s="7" t="n">
        <v>65533</v>
      </c>
      <c r="EE39014" s="7" t="n">
        <v>64386</v>
      </c>
      <c r="EF39014" s="7" t="s">
        <v>16</v>
      </c>
      <c r="EG39014" s="7" t="n">
        <f t="normal" ca="1">32-LENB(INDIRECT(ADDRESS(39014,136)))</f>
        <v>0</v>
      </c>
      <c r="EH39014" s="7" t="n">
        <v>7</v>
      </c>
      <c r="EI39014" s="7" t="n">
        <v>65533</v>
      </c>
      <c r="EJ39014" s="7" t="n">
        <v>64387</v>
      </c>
      <c r="EK39014" s="7" t="s">
        <v>16</v>
      </c>
      <c r="EL39014" s="7" t="n">
        <f t="normal" ca="1">32-LENB(INDIRECT(ADDRESS(39014,141)))</f>
        <v>0</v>
      </c>
      <c r="EM39014" s="7" t="n">
        <v>7</v>
      </c>
      <c r="EN39014" s="7" t="n">
        <v>65533</v>
      </c>
      <c r="EO39014" s="7" t="n">
        <v>64388</v>
      </c>
      <c r="EP39014" s="7" t="s">
        <v>16</v>
      </c>
      <c r="EQ39014" s="7" t="n">
        <f t="normal" ca="1">32-LENB(INDIRECT(ADDRESS(39014,146)))</f>
        <v>0</v>
      </c>
      <c r="ER39014" s="7" t="n">
        <v>7</v>
      </c>
      <c r="ES39014" s="7" t="n">
        <v>65533</v>
      </c>
      <c r="ET39014" s="7" t="n">
        <v>64389</v>
      </c>
      <c r="EU39014" s="7" t="s">
        <v>16</v>
      </c>
      <c r="EV39014" s="7" t="n">
        <f t="normal" ca="1">32-LENB(INDIRECT(ADDRESS(39014,151)))</f>
        <v>0</v>
      </c>
      <c r="EW39014" s="7" t="n">
        <v>7</v>
      </c>
      <c r="EX39014" s="7" t="n">
        <v>65533</v>
      </c>
      <c r="EY39014" s="7" t="n">
        <v>64390</v>
      </c>
      <c r="EZ39014" s="7" t="s">
        <v>16</v>
      </c>
      <c r="FA39014" s="7" t="n">
        <f t="normal" ca="1">32-LENB(INDIRECT(ADDRESS(39014,156)))</f>
        <v>0</v>
      </c>
      <c r="FB39014" s="7" t="n">
        <v>7</v>
      </c>
      <c r="FC39014" s="7" t="n">
        <v>65533</v>
      </c>
      <c r="FD39014" s="7" t="n">
        <v>64391</v>
      </c>
      <c r="FE39014" s="7" t="s">
        <v>16</v>
      </c>
      <c r="FF39014" s="7" t="n">
        <f t="normal" ca="1">32-LENB(INDIRECT(ADDRESS(39014,161)))</f>
        <v>0</v>
      </c>
      <c r="FG39014" s="7" t="n">
        <v>7</v>
      </c>
      <c r="FH39014" s="7" t="n">
        <v>65533</v>
      </c>
      <c r="FI39014" s="7" t="n">
        <v>64392</v>
      </c>
      <c r="FJ39014" s="7" t="s">
        <v>16</v>
      </c>
      <c r="FK39014" s="7" t="n">
        <f t="normal" ca="1">32-LENB(INDIRECT(ADDRESS(39014,166)))</f>
        <v>0</v>
      </c>
      <c r="FL39014" s="7" t="n">
        <v>7</v>
      </c>
      <c r="FM39014" s="7" t="n">
        <v>65533</v>
      </c>
      <c r="FN39014" s="7" t="n">
        <v>64393</v>
      </c>
      <c r="FO39014" s="7" t="s">
        <v>16</v>
      </c>
      <c r="FP39014" s="7" t="n">
        <f t="normal" ca="1">32-LENB(INDIRECT(ADDRESS(39014,171)))</f>
        <v>0</v>
      </c>
      <c r="FQ39014" s="7" t="n">
        <v>0</v>
      </c>
      <c r="FR39014" s="7" t="n">
        <v>65533</v>
      </c>
      <c r="FS39014" s="7" t="n">
        <v>0</v>
      </c>
      <c r="FT39014" s="7" t="s">
        <v>16</v>
      </c>
      <c r="FU39014" s="7" t="n">
        <f t="normal" ca="1">32-LENB(INDIRECT(ADDRESS(39014,176)))</f>
        <v>0</v>
      </c>
    </row>
    <row r="39015" spans="1:367">
      <c r="A39015" t="s">
        <v>4</v>
      </c>
      <c r="B39015" s="4" t="s">
        <v>5</v>
      </c>
    </row>
    <row r="39016" spans="1:367">
      <c r="A39016" t="n">
        <v>488232</v>
      </c>
      <c r="B39016" s="5" t="n">
        <v>1</v>
      </c>
    </row>
    <row r="39017" spans="1:367" s="3" customFormat="1" customHeight="0">
      <c r="A39017" s="3" t="s">
        <v>2</v>
      </c>
      <c r="B39017" s="3" t="s">
        <v>1912</v>
      </c>
    </row>
    <row r="39018" spans="1:367">
      <c r="A39018" t="s">
        <v>4</v>
      </c>
      <c r="B39018" s="4" t="s">
        <v>5</v>
      </c>
      <c r="C39018" s="4" t="s">
        <v>11</v>
      </c>
      <c r="D39018" s="4" t="s">
        <v>11</v>
      </c>
      <c r="E39018" s="4" t="s">
        <v>15</v>
      </c>
      <c r="F39018" s="4" t="s">
        <v>8</v>
      </c>
      <c r="G39018" s="4" t="s">
        <v>1859</v>
      </c>
      <c r="H39018" s="4" t="s">
        <v>11</v>
      </c>
      <c r="I39018" s="4" t="s">
        <v>11</v>
      </c>
      <c r="J39018" s="4" t="s">
        <v>15</v>
      </c>
      <c r="K39018" s="4" t="s">
        <v>8</v>
      </c>
      <c r="L39018" s="4" t="s">
        <v>1859</v>
      </c>
      <c r="M39018" s="4" t="s">
        <v>11</v>
      </c>
      <c r="N39018" s="4" t="s">
        <v>11</v>
      </c>
      <c r="O39018" s="4" t="s">
        <v>15</v>
      </c>
      <c r="P39018" s="4" t="s">
        <v>8</v>
      </c>
      <c r="Q39018" s="4" t="s">
        <v>1859</v>
      </c>
      <c r="R39018" s="4" t="s">
        <v>11</v>
      </c>
      <c r="S39018" s="4" t="s">
        <v>11</v>
      </c>
      <c r="T39018" s="4" t="s">
        <v>15</v>
      </c>
      <c r="U39018" s="4" t="s">
        <v>8</v>
      </c>
      <c r="V39018" s="4" t="s">
        <v>1859</v>
      </c>
      <c r="W39018" s="4" t="s">
        <v>11</v>
      </c>
      <c r="X39018" s="4" t="s">
        <v>11</v>
      </c>
      <c r="Y39018" s="4" t="s">
        <v>15</v>
      </c>
      <c r="Z39018" s="4" t="s">
        <v>8</v>
      </c>
      <c r="AA39018" s="4" t="s">
        <v>1859</v>
      </c>
      <c r="AB39018" s="4" t="s">
        <v>11</v>
      </c>
      <c r="AC39018" s="4" t="s">
        <v>11</v>
      </c>
      <c r="AD39018" s="4" t="s">
        <v>15</v>
      </c>
      <c r="AE39018" s="4" t="s">
        <v>8</v>
      </c>
      <c r="AF39018" s="4" t="s">
        <v>1859</v>
      </c>
      <c r="AG39018" s="4" t="s">
        <v>11</v>
      </c>
      <c r="AH39018" s="4" t="s">
        <v>11</v>
      </c>
      <c r="AI39018" s="4" t="s">
        <v>15</v>
      </c>
      <c r="AJ39018" s="4" t="s">
        <v>8</v>
      </c>
      <c r="AK39018" s="4" t="s">
        <v>1859</v>
      </c>
      <c r="AL39018" s="4" t="s">
        <v>11</v>
      </c>
      <c r="AM39018" s="4" t="s">
        <v>11</v>
      </c>
      <c r="AN39018" s="4" t="s">
        <v>15</v>
      </c>
      <c r="AO39018" s="4" t="s">
        <v>8</v>
      </c>
      <c r="AP39018" s="4" t="s">
        <v>1859</v>
      </c>
      <c r="AQ39018" s="4" t="s">
        <v>11</v>
      </c>
      <c r="AR39018" s="4" t="s">
        <v>11</v>
      </c>
      <c r="AS39018" s="4" t="s">
        <v>15</v>
      </c>
      <c r="AT39018" s="4" t="s">
        <v>8</v>
      </c>
      <c r="AU39018" s="4" t="s">
        <v>1859</v>
      </c>
      <c r="AV39018" s="4" t="s">
        <v>11</v>
      </c>
      <c r="AW39018" s="4" t="s">
        <v>11</v>
      </c>
      <c r="AX39018" s="4" t="s">
        <v>15</v>
      </c>
      <c r="AY39018" s="4" t="s">
        <v>8</v>
      </c>
      <c r="AZ39018" s="4" t="s">
        <v>1859</v>
      </c>
      <c r="BA39018" s="4" t="s">
        <v>11</v>
      </c>
      <c r="BB39018" s="4" t="s">
        <v>11</v>
      </c>
      <c r="BC39018" s="4" t="s">
        <v>15</v>
      </c>
      <c r="BD39018" s="4" t="s">
        <v>8</v>
      </c>
      <c r="BE39018" s="4" t="s">
        <v>1859</v>
      </c>
      <c r="BF39018" s="4" t="s">
        <v>11</v>
      </c>
      <c r="BG39018" s="4" t="s">
        <v>11</v>
      </c>
      <c r="BH39018" s="4" t="s">
        <v>15</v>
      </c>
      <c r="BI39018" s="4" t="s">
        <v>8</v>
      </c>
      <c r="BJ39018" s="4" t="s">
        <v>1859</v>
      </c>
      <c r="BK39018" s="4" t="s">
        <v>11</v>
      </c>
      <c r="BL39018" s="4" t="s">
        <v>11</v>
      </c>
      <c r="BM39018" s="4" t="s">
        <v>15</v>
      </c>
      <c r="BN39018" s="4" t="s">
        <v>8</v>
      </c>
      <c r="BO39018" s="4" t="s">
        <v>1859</v>
      </c>
      <c r="BP39018" s="4" t="s">
        <v>11</v>
      </c>
      <c r="BQ39018" s="4" t="s">
        <v>11</v>
      </c>
      <c r="BR39018" s="4" t="s">
        <v>15</v>
      </c>
      <c r="BS39018" s="4" t="s">
        <v>8</v>
      </c>
      <c r="BT39018" s="4" t="s">
        <v>1859</v>
      </c>
      <c r="BU39018" s="4" t="s">
        <v>11</v>
      </c>
      <c r="BV39018" s="4" t="s">
        <v>11</v>
      </c>
      <c r="BW39018" s="4" t="s">
        <v>15</v>
      </c>
      <c r="BX39018" s="4" t="s">
        <v>8</v>
      </c>
      <c r="BY39018" s="4" t="s">
        <v>1859</v>
      </c>
      <c r="BZ39018" s="4" t="s">
        <v>11</v>
      </c>
      <c r="CA39018" s="4" t="s">
        <v>11</v>
      </c>
      <c r="CB39018" s="4" t="s">
        <v>15</v>
      </c>
      <c r="CC39018" s="4" t="s">
        <v>8</v>
      </c>
      <c r="CD39018" s="4" t="s">
        <v>1859</v>
      </c>
      <c r="CE39018" s="4" t="s">
        <v>11</v>
      </c>
      <c r="CF39018" s="4" t="s">
        <v>11</v>
      </c>
      <c r="CG39018" s="4" t="s">
        <v>15</v>
      </c>
      <c r="CH39018" s="4" t="s">
        <v>8</v>
      </c>
      <c r="CI39018" s="4" t="s">
        <v>1859</v>
      </c>
      <c r="CJ39018" s="4" t="s">
        <v>11</v>
      </c>
      <c r="CK39018" s="4" t="s">
        <v>11</v>
      </c>
      <c r="CL39018" s="4" t="s">
        <v>15</v>
      </c>
      <c r="CM39018" s="4" t="s">
        <v>8</v>
      </c>
      <c r="CN39018" s="4" t="s">
        <v>1859</v>
      </c>
      <c r="CO39018" s="4" t="s">
        <v>11</v>
      </c>
      <c r="CP39018" s="4" t="s">
        <v>11</v>
      </c>
      <c r="CQ39018" s="4" t="s">
        <v>15</v>
      </c>
      <c r="CR39018" s="4" t="s">
        <v>8</v>
      </c>
      <c r="CS39018" s="4" t="s">
        <v>1859</v>
      </c>
      <c r="CT39018" s="4" t="s">
        <v>11</v>
      </c>
      <c r="CU39018" s="4" t="s">
        <v>11</v>
      </c>
      <c r="CV39018" s="4" t="s">
        <v>15</v>
      </c>
      <c r="CW39018" s="4" t="s">
        <v>8</v>
      </c>
      <c r="CX39018" s="4" t="s">
        <v>1859</v>
      </c>
      <c r="CY39018" s="4" t="s">
        <v>11</v>
      </c>
      <c r="CZ39018" s="4" t="s">
        <v>11</v>
      </c>
      <c r="DA39018" s="4" t="s">
        <v>15</v>
      </c>
      <c r="DB39018" s="4" t="s">
        <v>8</v>
      </c>
      <c r="DC39018" s="4" t="s">
        <v>1859</v>
      </c>
      <c r="DD39018" s="4" t="s">
        <v>11</v>
      </c>
      <c r="DE39018" s="4" t="s">
        <v>11</v>
      </c>
      <c r="DF39018" s="4" t="s">
        <v>15</v>
      </c>
      <c r="DG39018" s="4" t="s">
        <v>8</v>
      </c>
      <c r="DH39018" s="4" t="s">
        <v>1859</v>
      </c>
      <c r="DI39018" s="4" t="s">
        <v>11</v>
      </c>
      <c r="DJ39018" s="4" t="s">
        <v>11</v>
      </c>
      <c r="DK39018" s="4" t="s">
        <v>15</v>
      </c>
      <c r="DL39018" s="4" t="s">
        <v>8</v>
      </c>
      <c r="DM39018" s="4" t="s">
        <v>1859</v>
      </c>
      <c r="DN39018" s="4" t="s">
        <v>11</v>
      </c>
      <c r="DO39018" s="4" t="s">
        <v>11</v>
      </c>
      <c r="DP39018" s="4" t="s">
        <v>15</v>
      </c>
      <c r="DQ39018" s="4" t="s">
        <v>8</v>
      </c>
      <c r="DR39018" s="4" t="s">
        <v>1859</v>
      </c>
      <c r="DS39018" s="4" t="s">
        <v>11</v>
      </c>
      <c r="DT39018" s="4" t="s">
        <v>11</v>
      </c>
      <c r="DU39018" s="4" t="s">
        <v>15</v>
      </c>
      <c r="DV39018" s="4" t="s">
        <v>8</v>
      </c>
      <c r="DW39018" s="4" t="s">
        <v>1859</v>
      </c>
      <c r="DX39018" s="4" t="s">
        <v>11</v>
      </c>
      <c r="DY39018" s="4" t="s">
        <v>11</v>
      </c>
      <c r="DZ39018" s="4" t="s">
        <v>15</v>
      </c>
      <c r="EA39018" s="4" t="s">
        <v>8</v>
      </c>
      <c r="EB39018" s="4" t="s">
        <v>1859</v>
      </c>
      <c r="EC39018" s="4" t="s">
        <v>11</v>
      </c>
      <c r="ED39018" s="4" t="s">
        <v>11</v>
      </c>
      <c r="EE39018" s="4" t="s">
        <v>15</v>
      </c>
      <c r="EF39018" s="4" t="s">
        <v>8</v>
      </c>
      <c r="EG39018" s="4" t="s">
        <v>1859</v>
      </c>
      <c r="EH39018" s="4" t="s">
        <v>11</v>
      </c>
      <c r="EI39018" s="4" t="s">
        <v>11</v>
      </c>
      <c r="EJ39018" s="4" t="s">
        <v>15</v>
      </c>
      <c r="EK39018" s="4" t="s">
        <v>8</v>
      </c>
      <c r="EL39018" s="4" t="s">
        <v>1859</v>
      </c>
      <c r="EM39018" s="4" t="s">
        <v>11</v>
      </c>
      <c r="EN39018" s="4" t="s">
        <v>11</v>
      </c>
      <c r="EO39018" s="4" t="s">
        <v>15</v>
      </c>
      <c r="EP39018" s="4" t="s">
        <v>8</v>
      </c>
      <c r="EQ39018" s="4" t="s">
        <v>1859</v>
      </c>
      <c r="ER39018" s="4" t="s">
        <v>11</v>
      </c>
      <c r="ES39018" s="4" t="s">
        <v>11</v>
      </c>
      <c r="ET39018" s="4" t="s">
        <v>15</v>
      </c>
      <c r="EU39018" s="4" t="s">
        <v>8</v>
      </c>
      <c r="EV39018" s="4" t="s">
        <v>1859</v>
      </c>
      <c r="EW39018" s="4" t="s">
        <v>11</v>
      </c>
      <c r="EX39018" s="4" t="s">
        <v>11</v>
      </c>
      <c r="EY39018" s="4" t="s">
        <v>15</v>
      </c>
      <c r="EZ39018" s="4" t="s">
        <v>8</v>
      </c>
      <c r="FA39018" s="4" t="s">
        <v>1859</v>
      </c>
      <c r="FB39018" s="4" t="s">
        <v>11</v>
      </c>
      <c r="FC39018" s="4" t="s">
        <v>11</v>
      </c>
      <c r="FD39018" s="4" t="s">
        <v>15</v>
      </c>
      <c r="FE39018" s="4" t="s">
        <v>8</v>
      </c>
      <c r="FF39018" s="4" t="s">
        <v>1859</v>
      </c>
      <c r="FG39018" s="4" t="s">
        <v>11</v>
      </c>
      <c r="FH39018" s="4" t="s">
        <v>11</v>
      </c>
      <c r="FI39018" s="4" t="s">
        <v>15</v>
      </c>
      <c r="FJ39018" s="4" t="s">
        <v>8</v>
      </c>
      <c r="FK39018" s="4" t="s">
        <v>1859</v>
      </c>
      <c r="FL39018" s="4" t="s">
        <v>11</v>
      </c>
      <c r="FM39018" s="4" t="s">
        <v>11</v>
      </c>
      <c r="FN39018" s="4" t="s">
        <v>15</v>
      </c>
      <c r="FO39018" s="4" t="s">
        <v>8</v>
      </c>
      <c r="FP39018" s="4" t="s">
        <v>1859</v>
      </c>
      <c r="FQ39018" s="4" t="s">
        <v>11</v>
      </c>
      <c r="FR39018" s="4" t="s">
        <v>11</v>
      </c>
      <c r="FS39018" s="4" t="s">
        <v>15</v>
      </c>
      <c r="FT39018" s="4" t="s">
        <v>8</v>
      </c>
      <c r="FU39018" s="4" t="s">
        <v>1859</v>
      </c>
      <c r="FV39018" s="4" t="s">
        <v>11</v>
      </c>
      <c r="FW39018" s="4" t="s">
        <v>11</v>
      </c>
      <c r="FX39018" s="4" t="s">
        <v>15</v>
      </c>
      <c r="FY39018" s="4" t="s">
        <v>8</v>
      </c>
      <c r="FZ39018" s="4" t="s">
        <v>1859</v>
      </c>
      <c r="GA39018" s="4" t="s">
        <v>11</v>
      </c>
      <c r="GB39018" s="4" t="s">
        <v>11</v>
      </c>
      <c r="GC39018" s="4" t="s">
        <v>15</v>
      </c>
      <c r="GD39018" s="4" t="s">
        <v>8</v>
      </c>
      <c r="GE39018" s="4" t="s">
        <v>1859</v>
      </c>
      <c r="GF39018" s="4" t="s">
        <v>11</v>
      </c>
      <c r="GG39018" s="4" t="s">
        <v>11</v>
      </c>
      <c r="GH39018" s="4" t="s">
        <v>15</v>
      </c>
      <c r="GI39018" s="4" t="s">
        <v>8</v>
      </c>
      <c r="GJ39018" s="4" t="s">
        <v>1859</v>
      </c>
      <c r="GK39018" s="4" t="s">
        <v>11</v>
      </c>
      <c r="GL39018" s="4" t="s">
        <v>11</v>
      </c>
      <c r="GM39018" s="4" t="s">
        <v>15</v>
      </c>
      <c r="GN39018" s="4" t="s">
        <v>8</v>
      </c>
      <c r="GO39018" s="4" t="s">
        <v>1859</v>
      </c>
      <c r="GP39018" s="4" t="s">
        <v>11</v>
      </c>
      <c r="GQ39018" s="4" t="s">
        <v>11</v>
      </c>
      <c r="GR39018" s="4" t="s">
        <v>15</v>
      </c>
      <c r="GS39018" s="4" t="s">
        <v>8</v>
      </c>
      <c r="GT39018" s="4" t="s">
        <v>1859</v>
      </c>
      <c r="GU39018" s="4" t="s">
        <v>11</v>
      </c>
      <c r="GV39018" s="4" t="s">
        <v>11</v>
      </c>
      <c r="GW39018" s="4" t="s">
        <v>15</v>
      </c>
      <c r="GX39018" s="4" t="s">
        <v>8</v>
      </c>
      <c r="GY39018" s="4" t="s">
        <v>1859</v>
      </c>
      <c r="GZ39018" s="4" t="s">
        <v>11</v>
      </c>
      <c r="HA39018" s="4" t="s">
        <v>11</v>
      </c>
      <c r="HB39018" s="4" t="s">
        <v>15</v>
      </c>
      <c r="HC39018" s="4" t="s">
        <v>8</v>
      </c>
      <c r="HD39018" s="4" t="s">
        <v>1859</v>
      </c>
      <c r="HE39018" s="4" t="s">
        <v>11</v>
      </c>
      <c r="HF39018" s="4" t="s">
        <v>11</v>
      </c>
      <c r="HG39018" s="4" t="s">
        <v>15</v>
      </c>
      <c r="HH39018" s="4" t="s">
        <v>8</v>
      </c>
      <c r="HI39018" s="4" t="s">
        <v>1859</v>
      </c>
      <c r="HJ39018" s="4" t="s">
        <v>11</v>
      </c>
      <c r="HK39018" s="4" t="s">
        <v>11</v>
      </c>
      <c r="HL39018" s="4" t="s">
        <v>15</v>
      </c>
      <c r="HM39018" s="4" t="s">
        <v>8</v>
      </c>
      <c r="HN39018" s="4" t="s">
        <v>1859</v>
      </c>
      <c r="HO39018" s="4" t="s">
        <v>11</v>
      </c>
      <c r="HP39018" s="4" t="s">
        <v>11</v>
      </c>
      <c r="HQ39018" s="4" t="s">
        <v>15</v>
      </c>
      <c r="HR39018" s="4" t="s">
        <v>8</v>
      </c>
      <c r="HS39018" s="4" t="s">
        <v>1859</v>
      </c>
      <c r="HT39018" s="4" t="s">
        <v>11</v>
      </c>
      <c r="HU39018" s="4" t="s">
        <v>11</v>
      </c>
      <c r="HV39018" s="4" t="s">
        <v>15</v>
      </c>
      <c r="HW39018" s="4" t="s">
        <v>8</v>
      </c>
      <c r="HX39018" s="4" t="s">
        <v>1859</v>
      </c>
      <c r="HY39018" s="4" t="s">
        <v>11</v>
      </c>
      <c r="HZ39018" s="4" t="s">
        <v>11</v>
      </c>
      <c r="IA39018" s="4" t="s">
        <v>15</v>
      </c>
      <c r="IB39018" s="4" t="s">
        <v>8</v>
      </c>
      <c r="IC39018" s="4" t="s">
        <v>1859</v>
      </c>
      <c r="ID39018" s="4" t="s">
        <v>11</v>
      </c>
      <c r="IE39018" s="4" t="s">
        <v>11</v>
      </c>
      <c r="IF39018" s="4" t="s">
        <v>15</v>
      </c>
      <c r="IG39018" s="4" t="s">
        <v>8</v>
      </c>
      <c r="IH39018" s="4" t="s">
        <v>1859</v>
      </c>
      <c r="II39018" s="4" t="s">
        <v>11</v>
      </c>
      <c r="IJ39018" s="4" t="s">
        <v>11</v>
      </c>
      <c r="IK39018" s="4" t="s">
        <v>15</v>
      </c>
      <c r="IL39018" s="4" t="s">
        <v>8</v>
      </c>
      <c r="IM39018" s="4" t="s">
        <v>1859</v>
      </c>
    </row>
    <row r="39019" spans="1:367">
      <c r="A39019" t="n">
        <v>488240</v>
      </c>
      <c r="B39019" s="85" t="n">
        <v>257</v>
      </c>
      <c r="C39019" s="7" t="n">
        <v>7</v>
      </c>
      <c r="D39019" s="7" t="n">
        <v>65533</v>
      </c>
      <c r="E39019" s="7" t="n">
        <v>64211</v>
      </c>
      <c r="F39019" s="7" t="s">
        <v>16</v>
      </c>
      <c r="G39019" s="7" t="n">
        <f t="normal" ca="1">32-LENB(INDIRECT(ADDRESS(39019,6)))</f>
        <v>0</v>
      </c>
      <c r="H39019" s="7" t="n">
        <v>7</v>
      </c>
      <c r="I39019" s="7" t="n">
        <v>65533</v>
      </c>
      <c r="J39019" s="7" t="n">
        <v>64212</v>
      </c>
      <c r="K39019" s="7" t="s">
        <v>16</v>
      </c>
      <c r="L39019" s="7" t="n">
        <f t="normal" ca="1">32-LENB(INDIRECT(ADDRESS(39019,11)))</f>
        <v>0</v>
      </c>
      <c r="M39019" s="7" t="n">
        <v>7</v>
      </c>
      <c r="N39019" s="7" t="n">
        <v>65533</v>
      </c>
      <c r="O39019" s="7" t="n">
        <v>64213</v>
      </c>
      <c r="P39019" s="7" t="s">
        <v>16</v>
      </c>
      <c r="Q39019" s="7" t="n">
        <f t="normal" ca="1">32-LENB(INDIRECT(ADDRESS(39019,16)))</f>
        <v>0</v>
      </c>
      <c r="R39019" s="7" t="n">
        <v>7</v>
      </c>
      <c r="S39019" s="7" t="n">
        <v>65533</v>
      </c>
      <c r="T39019" s="7" t="n">
        <v>64214</v>
      </c>
      <c r="U39019" s="7" t="s">
        <v>16</v>
      </c>
      <c r="V39019" s="7" t="n">
        <f t="normal" ca="1">32-LENB(INDIRECT(ADDRESS(39019,21)))</f>
        <v>0</v>
      </c>
      <c r="W39019" s="7" t="n">
        <v>7</v>
      </c>
      <c r="X39019" s="7" t="n">
        <v>65533</v>
      </c>
      <c r="Y39019" s="7" t="n">
        <v>64215</v>
      </c>
      <c r="Z39019" s="7" t="s">
        <v>16</v>
      </c>
      <c r="AA39019" s="7" t="n">
        <f t="normal" ca="1">32-LENB(INDIRECT(ADDRESS(39019,26)))</f>
        <v>0</v>
      </c>
      <c r="AB39019" s="7" t="n">
        <v>7</v>
      </c>
      <c r="AC39019" s="7" t="n">
        <v>65533</v>
      </c>
      <c r="AD39019" s="7" t="n">
        <v>64216</v>
      </c>
      <c r="AE39019" s="7" t="s">
        <v>16</v>
      </c>
      <c r="AF39019" s="7" t="n">
        <f t="normal" ca="1">32-LENB(INDIRECT(ADDRESS(39019,31)))</f>
        <v>0</v>
      </c>
      <c r="AG39019" s="7" t="n">
        <v>7</v>
      </c>
      <c r="AH39019" s="7" t="n">
        <v>65533</v>
      </c>
      <c r="AI39019" s="7" t="n">
        <v>64217</v>
      </c>
      <c r="AJ39019" s="7" t="s">
        <v>16</v>
      </c>
      <c r="AK39019" s="7" t="n">
        <f t="normal" ca="1">32-LENB(INDIRECT(ADDRESS(39019,36)))</f>
        <v>0</v>
      </c>
      <c r="AL39019" s="7" t="n">
        <v>7</v>
      </c>
      <c r="AM39019" s="7" t="n">
        <v>65533</v>
      </c>
      <c r="AN39019" s="7" t="n">
        <v>63780</v>
      </c>
      <c r="AO39019" s="7" t="s">
        <v>16</v>
      </c>
      <c r="AP39019" s="7" t="n">
        <f t="normal" ca="1">32-LENB(INDIRECT(ADDRESS(39019,41)))</f>
        <v>0</v>
      </c>
      <c r="AQ39019" s="7" t="n">
        <v>7</v>
      </c>
      <c r="AR39019" s="7" t="n">
        <v>65533</v>
      </c>
      <c r="AS39019" s="7" t="n">
        <v>64218</v>
      </c>
      <c r="AT39019" s="7" t="s">
        <v>16</v>
      </c>
      <c r="AU39019" s="7" t="n">
        <f t="normal" ca="1">32-LENB(INDIRECT(ADDRESS(39019,46)))</f>
        <v>0</v>
      </c>
      <c r="AV39019" s="7" t="n">
        <v>7</v>
      </c>
      <c r="AW39019" s="7" t="n">
        <v>65533</v>
      </c>
      <c r="AX39019" s="7" t="n">
        <v>64219</v>
      </c>
      <c r="AY39019" s="7" t="s">
        <v>16</v>
      </c>
      <c r="AZ39019" s="7" t="n">
        <f t="normal" ca="1">32-LENB(INDIRECT(ADDRESS(39019,51)))</f>
        <v>0</v>
      </c>
      <c r="BA39019" s="7" t="n">
        <v>7</v>
      </c>
      <c r="BB39019" s="7" t="n">
        <v>65533</v>
      </c>
      <c r="BC39019" s="7" t="n">
        <v>64220</v>
      </c>
      <c r="BD39019" s="7" t="s">
        <v>16</v>
      </c>
      <c r="BE39019" s="7" t="n">
        <f t="normal" ca="1">32-LENB(INDIRECT(ADDRESS(39019,56)))</f>
        <v>0</v>
      </c>
      <c r="BF39019" s="7" t="n">
        <v>7</v>
      </c>
      <c r="BG39019" s="7" t="n">
        <v>65533</v>
      </c>
      <c r="BH39019" s="7" t="n">
        <v>64221</v>
      </c>
      <c r="BI39019" s="7" t="s">
        <v>16</v>
      </c>
      <c r="BJ39019" s="7" t="n">
        <f t="normal" ca="1">32-LENB(INDIRECT(ADDRESS(39019,61)))</f>
        <v>0</v>
      </c>
      <c r="BK39019" s="7" t="n">
        <v>7</v>
      </c>
      <c r="BL39019" s="7" t="n">
        <v>65533</v>
      </c>
      <c r="BM39019" s="7" t="n">
        <v>64222</v>
      </c>
      <c r="BN39019" s="7" t="s">
        <v>16</v>
      </c>
      <c r="BO39019" s="7" t="n">
        <f t="normal" ca="1">32-LENB(INDIRECT(ADDRESS(39019,66)))</f>
        <v>0</v>
      </c>
      <c r="BP39019" s="7" t="n">
        <v>7</v>
      </c>
      <c r="BQ39019" s="7" t="n">
        <v>65533</v>
      </c>
      <c r="BR39019" s="7" t="n">
        <v>64223</v>
      </c>
      <c r="BS39019" s="7" t="s">
        <v>16</v>
      </c>
      <c r="BT39019" s="7" t="n">
        <f t="normal" ca="1">32-LENB(INDIRECT(ADDRESS(39019,71)))</f>
        <v>0</v>
      </c>
      <c r="BU39019" s="7" t="n">
        <v>7</v>
      </c>
      <c r="BV39019" s="7" t="n">
        <v>65533</v>
      </c>
      <c r="BW39019" s="7" t="n">
        <v>64224</v>
      </c>
      <c r="BX39019" s="7" t="s">
        <v>16</v>
      </c>
      <c r="BY39019" s="7" t="n">
        <f t="normal" ca="1">32-LENB(INDIRECT(ADDRESS(39019,76)))</f>
        <v>0</v>
      </c>
      <c r="BZ39019" s="7" t="n">
        <v>7</v>
      </c>
      <c r="CA39019" s="7" t="n">
        <v>65533</v>
      </c>
      <c r="CB39019" s="7" t="n">
        <v>64225</v>
      </c>
      <c r="CC39019" s="7" t="s">
        <v>16</v>
      </c>
      <c r="CD39019" s="7" t="n">
        <f t="normal" ca="1">32-LENB(INDIRECT(ADDRESS(39019,81)))</f>
        <v>0</v>
      </c>
      <c r="CE39019" s="7" t="n">
        <v>7</v>
      </c>
      <c r="CF39019" s="7" t="n">
        <v>65533</v>
      </c>
      <c r="CG39019" s="7" t="n">
        <v>64226</v>
      </c>
      <c r="CH39019" s="7" t="s">
        <v>16</v>
      </c>
      <c r="CI39019" s="7" t="n">
        <f t="normal" ca="1">32-LENB(INDIRECT(ADDRESS(39019,86)))</f>
        <v>0</v>
      </c>
      <c r="CJ39019" s="7" t="n">
        <v>7</v>
      </c>
      <c r="CK39019" s="7" t="n">
        <v>65533</v>
      </c>
      <c r="CL39019" s="7" t="n">
        <v>64227</v>
      </c>
      <c r="CM39019" s="7" t="s">
        <v>16</v>
      </c>
      <c r="CN39019" s="7" t="n">
        <f t="normal" ca="1">32-LENB(INDIRECT(ADDRESS(39019,91)))</f>
        <v>0</v>
      </c>
      <c r="CO39019" s="7" t="n">
        <v>7</v>
      </c>
      <c r="CP39019" s="7" t="n">
        <v>65533</v>
      </c>
      <c r="CQ39019" s="7" t="n">
        <v>64228</v>
      </c>
      <c r="CR39019" s="7" t="s">
        <v>16</v>
      </c>
      <c r="CS39019" s="7" t="n">
        <f t="normal" ca="1">32-LENB(INDIRECT(ADDRESS(39019,96)))</f>
        <v>0</v>
      </c>
      <c r="CT39019" s="7" t="n">
        <v>7</v>
      </c>
      <c r="CU39019" s="7" t="n">
        <v>65533</v>
      </c>
      <c r="CV39019" s="7" t="n">
        <v>64229</v>
      </c>
      <c r="CW39019" s="7" t="s">
        <v>16</v>
      </c>
      <c r="CX39019" s="7" t="n">
        <f t="normal" ca="1">32-LENB(INDIRECT(ADDRESS(39019,101)))</f>
        <v>0</v>
      </c>
      <c r="CY39019" s="7" t="n">
        <v>7</v>
      </c>
      <c r="CZ39019" s="7" t="n">
        <v>65533</v>
      </c>
      <c r="DA39019" s="7" t="n">
        <v>9800</v>
      </c>
      <c r="DB39019" s="7" t="s">
        <v>16</v>
      </c>
      <c r="DC39019" s="7" t="n">
        <f t="normal" ca="1">32-LENB(INDIRECT(ADDRESS(39019,106)))</f>
        <v>0</v>
      </c>
      <c r="DD39019" s="7" t="n">
        <v>7</v>
      </c>
      <c r="DE39019" s="7" t="n">
        <v>65533</v>
      </c>
      <c r="DF39019" s="7" t="n">
        <v>9801</v>
      </c>
      <c r="DG39019" s="7" t="s">
        <v>16</v>
      </c>
      <c r="DH39019" s="7" t="n">
        <f t="normal" ca="1">32-LENB(INDIRECT(ADDRESS(39019,111)))</f>
        <v>0</v>
      </c>
      <c r="DI39019" s="7" t="n">
        <v>7</v>
      </c>
      <c r="DJ39019" s="7" t="n">
        <v>65533</v>
      </c>
      <c r="DK39019" s="7" t="n">
        <v>9802</v>
      </c>
      <c r="DL39019" s="7" t="s">
        <v>16</v>
      </c>
      <c r="DM39019" s="7" t="n">
        <f t="normal" ca="1">32-LENB(INDIRECT(ADDRESS(39019,116)))</f>
        <v>0</v>
      </c>
      <c r="DN39019" s="7" t="n">
        <v>7</v>
      </c>
      <c r="DO39019" s="7" t="n">
        <v>65533</v>
      </c>
      <c r="DP39019" s="7" t="n">
        <v>64230</v>
      </c>
      <c r="DQ39019" s="7" t="s">
        <v>16</v>
      </c>
      <c r="DR39019" s="7" t="n">
        <f t="normal" ca="1">32-LENB(INDIRECT(ADDRESS(39019,121)))</f>
        <v>0</v>
      </c>
      <c r="DS39019" s="7" t="n">
        <v>7</v>
      </c>
      <c r="DT39019" s="7" t="n">
        <v>65533</v>
      </c>
      <c r="DU39019" s="7" t="n">
        <v>9803</v>
      </c>
      <c r="DV39019" s="7" t="s">
        <v>16</v>
      </c>
      <c r="DW39019" s="7" t="n">
        <f t="normal" ca="1">32-LENB(INDIRECT(ADDRESS(39019,126)))</f>
        <v>0</v>
      </c>
      <c r="DX39019" s="7" t="n">
        <v>7</v>
      </c>
      <c r="DY39019" s="7" t="n">
        <v>65533</v>
      </c>
      <c r="DZ39019" s="7" t="n">
        <v>9804</v>
      </c>
      <c r="EA39019" s="7" t="s">
        <v>16</v>
      </c>
      <c r="EB39019" s="7" t="n">
        <f t="normal" ca="1">32-LENB(INDIRECT(ADDRESS(39019,131)))</f>
        <v>0</v>
      </c>
      <c r="EC39019" s="7" t="n">
        <v>7</v>
      </c>
      <c r="ED39019" s="7" t="n">
        <v>65533</v>
      </c>
      <c r="EE39019" s="7" t="n">
        <v>9805</v>
      </c>
      <c r="EF39019" s="7" t="s">
        <v>16</v>
      </c>
      <c r="EG39019" s="7" t="n">
        <f t="normal" ca="1">32-LENB(INDIRECT(ADDRESS(39019,136)))</f>
        <v>0</v>
      </c>
      <c r="EH39019" s="7" t="n">
        <v>7</v>
      </c>
      <c r="EI39019" s="7" t="n">
        <v>65533</v>
      </c>
      <c r="EJ39019" s="7" t="n">
        <v>9806</v>
      </c>
      <c r="EK39019" s="7" t="s">
        <v>16</v>
      </c>
      <c r="EL39019" s="7" t="n">
        <f t="normal" ca="1">32-LENB(INDIRECT(ADDRESS(39019,141)))</f>
        <v>0</v>
      </c>
      <c r="EM39019" s="7" t="n">
        <v>7</v>
      </c>
      <c r="EN39019" s="7" t="n">
        <v>65533</v>
      </c>
      <c r="EO39019" s="7" t="n">
        <v>64231</v>
      </c>
      <c r="EP39019" s="7" t="s">
        <v>16</v>
      </c>
      <c r="EQ39019" s="7" t="n">
        <f t="normal" ca="1">32-LENB(INDIRECT(ADDRESS(39019,146)))</f>
        <v>0</v>
      </c>
      <c r="ER39019" s="7" t="n">
        <v>7</v>
      </c>
      <c r="ES39019" s="7" t="n">
        <v>65533</v>
      </c>
      <c r="ET39019" s="7" t="n">
        <v>64232</v>
      </c>
      <c r="EU39019" s="7" t="s">
        <v>16</v>
      </c>
      <c r="EV39019" s="7" t="n">
        <f t="normal" ca="1">32-LENB(INDIRECT(ADDRESS(39019,151)))</f>
        <v>0</v>
      </c>
      <c r="EW39019" s="7" t="n">
        <v>7</v>
      </c>
      <c r="EX39019" s="7" t="n">
        <v>65533</v>
      </c>
      <c r="EY39019" s="7" t="n">
        <v>9807</v>
      </c>
      <c r="EZ39019" s="7" t="s">
        <v>16</v>
      </c>
      <c r="FA39019" s="7" t="n">
        <f t="normal" ca="1">32-LENB(INDIRECT(ADDRESS(39019,156)))</f>
        <v>0</v>
      </c>
      <c r="FB39019" s="7" t="n">
        <v>7</v>
      </c>
      <c r="FC39019" s="7" t="n">
        <v>65533</v>
      </c>
      <c r="FD39019" s="7" t="n">
        <v>64233</v>
      </c>
      <c r="FE39019" s="7" t="s">
        <v>16</v>
      </c>
      <c r="FF39019" s="7" t="n">
        <f t="normal" ca="1">32-LENB(INDIRECT(ADDRESS(39019,161)))</f>
        <v>0</v>
      </c>
      <c r="FG39019" s="7" t="n">
        <v>7</v>
      </c>
      <c r="FH39019" s="7" t="n">
        <v>65533</v>
      </c>
      <c r="FI39019" s="7" t="n">
        <v>64234</v>
      </c>
      <c r="FJ39019" s="7" t="s">
        <v>16</v>
      </c>
      <c r="FK39019" s="7" t="n">
        <f t="normal" ca="1">32-LENB(INDIRECT(ADDRESS(39019,166)))</f>
        <v>0</v>
      </c>
      <c r="FL39019" s="7" t="n">
        <v>7</v>
      </c>
      <c r="FM39019" s="7" t="n">
        <v>65533</v>
      </c>
      <c r="FN39019" s="7" t="n">
        <v>64235</v>
      </c>
      <c r="FO39019" s="7" t="s">
        <v>16</v>
      </c>
      <c r="FP39019" s="7" t="n">
        <f t="normal" ca="1">32-LENB(INDIRECT(ADDRESS(39019,171)))</f>
        <v>0</v>
      </c>
      <c r="FQ39019" s="7" t="n">
        <v>7</v>
      </c>
      <c r="FR39019" s="7" t="n">
        <v>65533</v>
      </c>
      <c r="FS39019" s="7" t="n">
        <v>9808</v>
      </c>
      <c r="FT39019" s="7" t="s">
        <v>16</v>
      </c>
      <c r="FU39019" s="7" t="n">
        <f t="normal" ca="1">32-LENB(INDIRECT(ADDRESS(39019,176)))</f>
        <v>0</v>
      </c>
      <c r="FV39019" s="7" t="n">
        <v>7</v>
      </c>
      <c r="FW39019" s="7" t="n">
        <v>65533</v>
      </c>
      <c r="FX39019" s="7" t="n">
        <v>9809</v>
      </c>
      <c r="FY39019" s="7" t="s">
        <v>16</v>
      </c>
      <c r="FZ39019" s="7" t="n">
        <f t="normal" ca="1">32-LENB(INDIRECT(ADDRESS(39019,181)))</f>
        <v>0</v>
      </c>
      <c r="GA39019" s="7" t="n">
        <v>7</v>
      </c>
      <c r="GB39019" s="7" t="n">
        <v>65533</v>
      </c>
      <c r="GC39019" s="7" t="n">
        <v>9810</v>
      </c>
      <c r="GD39019" s="7" t="s">
        <v>16</v>
      </c>
      <c r="GE39019" s="7" t="n">
        <f t="normal" ca="1">32-LENB(INDIRECT(ADDRESS(39019,186)))</f>
        <v>0</v>
      </c>
      <c r="GF39019" s="7" t="n">
        <v>7</v>
      </c>
      <c r="GG39019" s="7" t="n">
        <v>65533</v>
      </c>
      <c r="GH39019" s="7" t="n">
        <v>9811</v>
      </c>
      <c r="GI39019" s="7" t="s">
        <v>16</v>
      </c>
      <c r="GJ39019" s="7" t="n">
        <f t="normal" ca="1">32-LENB(INDIRECT(ADDRESS(39019,191)))</f>
        <v>0</v>
      </c>
      <c r="GK39019" s="7" t="n">
        <v>7</v>
      </c>
      <c r="GL39019" s="7" t="n">
        <v>65533</v>
      </c>
      <c r="GM39019" s="7" t="n">
        <v>9812</v>
      </c>
      <c r="GN39019" s="7" t="s">
        <v>16</v>
      </c>
      <c r="GO39019" s="7" t="n">
        <f t="normal" ca="1">32-LENB(INDIRECT(ADDRESS(39019,196)))</f>
        <v>0</v>
      </c>
      <c r="GP39019" s="7" t="n">
        <v>7</v>
      </c>
      <c r="GQ39019" s="7" t="n">
        <v>65533</v>
      </c>
      <c r="GR39019" s="7" t="n">
        <v>9813</v>
      </c>
      <c r="GS39019" s="7" t="s">
        <v>16</v>
      </c>
      <c r="GT39019" s="7" t="n">
        <f t="normal" ca="1">32-LENB(INDIRECT(ADDRESS(39019,201)))</f>
        <v>0</v>
      </c>
      <c r="GU39019" s="7" t="n">
        <v>7</v>
      </c>
      <c r="GV39019" s="7" t="n">
        <v>65533</v>
      </c>
      <c r="GW39019" s="7" t="n">
        <v>64236</v>
      </c>
      <c r="GX39019" s="7" t="s">
        <v>16</v>
      </c>
      <c r="GY39019" s="7" t="n">
        <f t="normal" ca="1">32-LENB(INDIRECT(ADDRESS(39019,206)))</f>
        <v>0</v>
      </c>
      <c r="GZ39019" s="7" t="n">
        <v>7</v>
      </c>
      <c r="HA39019" s="7" t="n">
        <v>65533</v>
      </c>
      <c r="HB39019" s="7" t="n">
        <v>64237</v>
      </c>
      <c r="HC39019" s="7" t="s">
        <v>16</v>
      </c>
      <c r="HD39019" s="7" t="n">
        <f t="normal" ca="1">32-LENB(INDIRECT(ADDRESS(39019,211)))</f>
        <v>0</v>
      </c>
      <c r="HE39019" s="7" t="n">
        <v>4</v>
      </c>
      <c r="HF39019" s="7" t="n">
        <v>65533</v>
      </c>
      <c r="HG39019" s="7" t="n">
        <v>2003</v>
      </c>
      <c r="HH39019" s="7" t="s">
        <v>16</v>
      </c>
      <c r="HI39019" s="7" t="n">
        <f t="normal" ca="1">32-LENB(INDIRECT(ADDRESS(39019,216)))</f>
        <v>0</v>
      </c>
      <c r="HJ39019" s="7" t="n">
        <v>4</v>
      </c>
      <c r="HK39019" s="7" t="n">
        <v>65533</v>
      </c>
      <c r="HL39019" s="7" t="n">
        <v>4272</v>
      </c>
      <c r="HM39019" s="7" t="s">
        <v>16</v>
      </c>
      <c r="HN39019" s="7" t="n">
        <f t="normal" ca="1">32-LENB(INDIRECT(ADDRESS(39019,221)))</f>
        <v>0</v>
      </c>
      <c r="HO39019" s="7" t="n">
        <v>7</v>
      </c>
      <c r="HP39019" s="7" t="n">
        <v>65533</v>
      </c>
      <c r="HQ39019" s="7" t="n">
        <v>64238</v>
      </c>
      <c r="HR39019" s="7" t="s">
        <v>16</v>
      </c>
      <c r="HS39019" s="7" t="n">
        <f t="normal" ca="1">32-LENB(INDIRECT(ADDRESS(39019,226)))</f>
        <v>0</v>
      </c>
      <c r="HT39019" s="7" t="n">
        <v>7</v>
      </c>
      <c r="HU39019" s="7" t="n">
        <v>65533</v>
      </c>
      <c r="HV39019" s="7" t="n">
        <v>64239</v>
      </c>
      <c r="HW39019" s="7" t="s">
        <v>16</v>
      </c>
      <c r="HX39019" s="7" t="n">
        <f t="normal" ca="1">32-LENB(INDIRECT(ADDRESS(39019,231)))</f>
        <v>0</v>
      </c>
      <c r="HY39019" s="7" t="n">
        <v>7</v>
      </c>
      <c r="HZ39019" s="7" t="n">
        <v>65533</v>
      </c>
      <c r="IA39019" s="7" t="n">
        <v>9814</v>
      </c>
      <c r="IB39019" s="7" t="s">
        <v>16</v>
      </c>
      <c r="IC39019" s="7" t="n">
        <f t="normal" ca="1">32-LENB(INDIRECT(ADDRESS(39019,236)))</f>
        <v>0</v>
      </c>
      <c r="ID39019" s="7" t="n">
        <v>7</v>
      </c>
      <c r="IE39019" s="7" t="n">
        <v>65533</v>
      </c>
      <c r="IF39019" s="7" t="n">
        <v>9815</v>
      </c>
      <c r="IG39019" s="7" t="s">
        <v>16</v>
      </c>
      <c r="IH39019" s="7" t="n">
        <f t="normal" ca="1">32-LENB(INDIRECT(ADDRESS(39019,241)))</f>
        <v>0</v>
      </c>
      <c r="II39019" s="7" t="n">
        <v>0</v>
      </c>
      <c r="IJ39019" s="7" t="n">
        <v>65533</v>
      </c>
      <c r="IK39019" s="7" t="n">
        <v>0</v>
      </c>
      <c r="IL39019" s="7" t="s">
        <v>16</v>
      </c>
      <c r="IM39019" s="7" t="n">
        <f t="normal" ca="1">32-LENB(INDIRECT(ADDRESS(39019,246)))</f>
        <v>0</v>
      </c>
    </row>
    <row r="39020" spans="1:367">
      <c r="A39020" t="s">
        <v>4</v>
      </c>
      <c r="B39020" s="4" t="s">
        <v>5</v>
      </c>
    </row>
    <row r="39021" spans="1:367">
      <c r="A39021" t="n">
        <v>490200</v>
      </c>
      <c r="B39021" s="5" t="n">
        <v>1</v>
      </c>
    </row>
    <row r="39022" spans="1:367" s="3" customFormat="1" customHeight="0">
      <c r="A39022" s="3" t="s">
        <v>2</v>
      </c>
      <c r="B39022" s="3" t="s">
        <v>1913</v>
      </c>
    </row>
    <row r="39023" spans="1:367">
      <c r="A39023" t="s">
        <v>4</v>
      </c>
      <c r="B39023" s="4" t="s">
        <v>5</v>
      </c>
      <c r="C39023" s="4" t="s">
        <v>11</v>
      </c>
      <c r="D39023" s="4" t="s">
        <v>11</v>
      </c>
      <c r="E39023" s="4" t="s">
        <v>15</v>
      </c>
      <c r="F39023" s="4" t="s">
        <v>8</v>
      </c>
      <c r="G39023" s="4" t="s">
        <v>1859</v>
      </c>
      <c r="H39023" s="4" t="s">
        <v>11</v>
      </c>
      <c r="I39023" s="4" t="s">
        <v>11</v>
      </c>
      <c r="J39023" s="4" t="s">
        <v>15</v>
      </c>
      <c r="K39023" s="4" t="s">
        <v>8</v>
      </c>
      <c r="L39023" s="4" t="s">
        <v>1859</v>
      </c>
      <c r="M39023" s="4" t="s">
        <v>11</v>
      </c>
      <c r="N39023" s="4" t="s">
        <v>11</v>
      </c>
      <c r="O39023" s="4" t="s">
        <v>15</v>
      </c>
      <c r="P39023" s="4" t="s">
        <v>8</v>
      </c>
      <c r="Q39023" s="4" t="s">
        <v>1859</v>
      </c>
      <c r="R39023" s="4" t="s">
        <v>11</v>
      </c>
      <c r="S39023" s="4" t="s">
        <v>11</v>
      </c>
      <c r="T39023" s="4" t="s">
        <v>15</v>
      </c>
      <c r="U39023" s="4" t="s">
        <v>8</v>
      </c>
      <c r="V39023" s="4" t="s">
        <v>1859</v>
      </c>
      <c r="W39023" s="4" t="s">
        <v>11</v>
      </c>
      <c r="X39023" s="4" t="s">
        <v>11</v>
      </c>
      <c r="Y39023" s="4" t="s">
        <v>15</v>
      </c>
      <c r="Z39023" s="4" t="s">
        <v>8</v>
      </c>
      <c r="AA39023" s="4" t="s">
        <v>1859</v>
      </c>
      <c r="AB39023" s="4" t="s">
        <v>11</v>
      </c>
      <c r="AC39023" s="4" t="s">
        <v>11</v>
      </c>
      <c r="AD39023" s="4" t="s">
        <v>15</v>
      </c>
      <c r="AE39023" s="4" t="s">
        <v>8</v>
      </c>
      <c r="AF39023" s="4" t="s">
        <v>1859</v>
      </c>
      <c r="AG39023" s="4" t="s">
        <v>11</v>
      </c>
      <c r="AH39023" s="4" t="s">
        <v>11</v>
      </c>
      <c r="AI39023" s="4" t="s">
        <v>15</v>
      </c>
      <c r="AJ39023" s="4" t="s">
        <v>8</v>
      </c>
      <c r="AK39023" s="4" t="s">
        <v>1859</v>
      </c>
      <c r="AL39023" s="4" t="s">
        <v>11</v>
      </c>
      <c r="AM39023" s="4" t="s">
        <v>11</v>
      </c>
      <c r="AN39023" s="4" t="s">
        <v>15</v>
      </c>
      <c r="AO39023" s="4" t="s">
        <v>8</v>
      </c>
      <c r="AP39023" s="4" t="s">
        <v>1859</v>
      </c>
      <c r="AQ39023" s="4" t="s">
        <v>11</v>
      </c>
      <c r="AR39023" s="4" t="s">
        <v>11</v>
      </c>
      <c r="AS39023" s="4" t="s">
        <v>15</v>
      </c>
      <c r="AT39023" s="4" t="s">
        <v>8</v>
      </c>
      <c r="AU39023" s="4" t="s">
        <v>1859</v>
      </c>
      <c r="AV39023" s="4" t="s">
        <v>11</v>
      </c>
      <c r="AW39023" s="4" t="s">
        <v>11</v>
      </c>
      <c r="AX39023" s="4" t="s">
        <v>15</v>
      </c>
      <c r="AY39023" s="4" t="s">
        <v>8</v>
      </c>
      <c r="AZ39023" s="4" t="s">
        <v>1859</v>
      </c>
      <c r="BA39023" s="4" t="s">
        <v>11</v>
      </c>
      <c r="BB39023" s="4" t="s">
        <v>11</v>
      </c>
      <c r="BC39023" s="4" t="s">
        <v>15</v>
      </c>
      <c r="BD39023" s="4" t="s">
        <v>8</v>
      </c>
      <c r="BE39023" s="4" t="s">
        <v>1859</v>
      </c>
      <c r="BF39023" s="4" t="s">
        <v>11</v>
      </c>
      <c r="BG39023" s="4" t="s">
        <v>11</v>
      </c>
      <c r="BH39023" s="4" t="s">
        <v>15</v>
      </c>
      <c r="BI39023" s="4" t="s">
        <v>8</v>
      </c>
      <c r="BJ39023" s="4" t="s">
        <v>1859</v>
      </c>
      <c r="BK39023" s="4" t="s">
        <v>11</v>
      </c>
      <c r="BL39023" s="4" t="s">
        <v>11</v>
      </c>
      <c r="BM39023" s="4" t="s">
        <v>15</v>
      </c>
      <c r="BN39023" s="4" t="s">
        <v>8</v>
      </c>
      <c r="BO39023" s="4" t="s">
        <v>1859</v>
      </c>
      <c r="BP39023" s="4" t="s">
        <v>11</v>
      </c>
      <c r="BQ39023" s="4" t="s">
        <v>11</v>
      </c>
      <c r="BR39023" s="4" t="s">
        <v>15</v>
      </c>
      <c r="BS39023" s="4" t="s">
        <v>8</v>
      </c>
      <c r="BT39023" s="4" t="s">
        <v>1859</v>
      </c>
      <c r="BU39023" s="4" t="s">
        <v>11</v>
      </c>
      <c r="BV39023" s="4" t="s">
        <v>11</v>
      </c>
      <c r="BW39023" s="4" t="s">
        <v>15</v>
      </c>
      <c r="BX39023" s="4" t="s">
        <v>8</v>
      </c>
      <c r="BY39023" s="4" t="s">
        <v>1859</v>
      </c>
      <c r="BZ39023" s="4" t="s">
        <v>11</v>
      </c>
      <c r="CA39023" s="4" t="s">
        <v>11</v>
      </c>
      <c r="CB39023" s="4" t="s">
        <v>15</v>
      </c>
      <c r="CC39023" s="4" t="s">
        <v>8</v>
      </c>
      <c r="CD39023" s="4" t="s">
        <v>1859</v>
      </c>
      <c r="CE39023" s="4" t="s">
        <v>11</v>
      </c>
      <c r="CF39023" s="4" t="s">
        <v>11</v>
      </c>
      <c r="CG39023" s="4" t="s">
        <v>15</v>
      </c>
      <c r="CH39023" s="4" t="s">
        <v>8</v>
      </c>
      <c r="CI39023" s="4" t="s">
        <v>1859</v>
      </c>
      <c r="CJ39023" s="4" t="s">
        <v>11</v>
      </c>
      <c r="CK39023" s="4" t="s">
        <v>11</v>
      </c>
      <c r="CL39023" s="4" t="s">
        <v>15</v>
      </c>
      <c r="CM39023" s="4" t="s">
        <v>8</v>
      </c>
      <c r="CN39023" s="4" t="s">
        <v>1859</v>
      </c>
      <c r="CO39023" s="4" t="s">
        <v>11</v>
      </c>
      <c r="CP39023" s="4" t="s">
        <v>11</v>
      </c>
      <c r="CQ39023" s="4" t="s">
        <v>15</v>
      </c>
      <c r="CR39023" s="4" t="s">
        <v>8</v>
      </c>
      <c r="CS39023" s="4" t="s">
        <v>1859</v>
      </c>
      <c r="CT39023" s="4" t="s">
        <v>11</v>
      </c>
      <c r="CU39023" s="4" t="s">
        <v>11</v>
      </c>
      <c r="CV39023" s="4" t="s">
        <v>15</v>
      </c>
      <c r="CW39023" s="4" t="s">
        <v>8</v>
      </c>
      <c r="CX39023" s="4" t="s">
        <v>1859</v>
      </c>
      <c r="CY39023" s="4" t="s">
        <v>11</v>
      </c>
      <c r="CZ39023" s="4" t="s">
        <v>11</v>
      </c>
      <c r="DA39023" s="4" t="s">
        <v>15</v>
      </c>
      <c r="DB39023" s="4" t="s">
        <v>8</v>
      </c>
      <c r="DC39023" s="4" t="s">
        <v>1859</v>
      </c>
      <c r="DD39023" s="4" t="s">
        <v>11</v>
      </c>
      <c r="DE39023" s="4" t="s">
        <v>11</v>
      </c>
      <c r="DF39023" s="4" t="s">
        <v>15</v>
      </c>
      <c r="DG39023" s="4" t="s">
        <v>8</v>
      </c>
      <c r="DH39023" s="4" t="s">
        <v>1859</v>
      </c>
      <c r="DI39023" s="4" t="s">
        <v>11</v>
      </c>
      <c r="DJ39023" s="4" t="s">
        <v>11</v>
      </c>
      <c r="DK39023" s="4" t="s">
        <v>15</v>
      </c>
      <c r="DL39023" s="4" t="s">
        <v>8</v>
      </c>
      <c r="DM39023" s="4" t="s">
        <v>1859</v>
      </c>
      <c r="DN39023" s="4" t="s">
        <v>11</v>
      </c>
      <c r="DO39023" s="4" t="s">
        <v>11</v>
      </c>
      <c r="DP39023" s="4" t="s">
        <v>15</v>
      </c>
      <c r="DQ39023" s="4" t="s">
        <v>8</v>
      </c>
      <c r="DR39023" s="4" t="s">
        <v>1859</v>
      </c>
      <c r="DS39023" s="4" t="s">
        <v>11</v>
      </c>
      <c r="DT39023" s="4" t="s">
        <v>11</v>
      </c>
      <c r="DU39023" s="4" t="s">
        <v>15</v>
      </c>
      <c r="DV39023" s="4" t="s">
        <v>8</v>
      </c>
      <c r="DW39023" s="4" t="s">
        <v>1859</v>
      </c>
      <c r="DX39023" s="4" t="s">
        <v>11</v>
      </c>
      <c r="DY39023" s="4" t="s">
        <v>11</v>
      </c>
      <c r="DZ39023" s="4" t="s">
        <v>15</v>
      </c>
      <c r="EA39023" s="4" t="s">
        <v>8</v>
      </c>
      <c r="EB39023" s="4" t="s">
        <v>1859</v>
      </c>
      <c r="EC39023" s="4" t="s">
        <v>11</v>
      </c>
      <c r="ED39023" s="4" t="s">
        <v>11</v>
      </c>
      <c r="EE39023" s="4" t="s">
        <v>15</v>
      </c>
      <c r="EF39023" s="4" t="s">
        <v>8</v>
      </c>
      <c r="EG39023" s="4" t="s">
        <v>1859</v>
      </c>
      <c r="EH39023" s="4" t="s">
        <v>11</v>
      </c>
      <c r="EI39023" s="4" t="s">
        <v>11</v>
      </c>
      <c r="EJ39023" s="4" t="s">
        <v>15</v>
      </c>
      <c r="EK39023" s="4" t="s">
        <v>8</v>
      </c>
      <c r="EL39023" s="4" t="s">
        <v>1859</v>
      </c>
      <c r="EM39023" s="4" t="s">
        <v>11</v>
      </c>
      <c r="EN39023" s="4" t="s">
        <v>11</v>
      </c>
      <c r="EO39023" s="4" t="s">
        <v>15</v>
      </c>
      <c r="EP39023" s="4" t="s">
        <v>8</v>
      </c>
      <c r="EQ39023" s="4" t="s">
        <v>1859</v>
      </c>
      <c r="ER39023" s="4" t="s">
        <v>11</v>
      </c>
      <c r="ES39023" s="4" t="s">
        <v>11</v>
      </c>
      <c r="ET39023" s="4" t="s">
        <v>15</v>
      </c>
      <c r="EU39023" s="4" t="s">
        <v>8</v>
      </c>
      <c r="EV39023" s="4" t="s">
        <v>1859</v>
      </c>
      <c r="EW39023" s="4" t="s">
        <v>11</v>
      </c>
      <c r="EX39023" s="4" t="s">
        <v>11</v>
      </c>
      <c r="EY39023" s="4" t="s">
        <v>15</v>
      </c>
      <c r="EZ39023" s="4" t="s">
        <v>8</v>
      </c>
      <c r="FA39023" s="4" t="s">
        <v>1859</v>
      </c>
      <c r="FB39023" s="4" t="s">
        <v>11</v>
      </c>
      <c r="FC39023" s="4" t="s">
        <v>11</v>
      </c>
      <c r="FD39023" s="4" t="s">
        <v>15</v>
      </c>
      <c r="FE39023" s="4" t="s">
        <v>8</v>
      </c>
      <c r="FF39023" s="4" t="s">
        <v>1859</v>
      </c>
      <c r="FG39023" s="4" t="s">
        <v>11</v>
      </c>
      <c r="FH39023" s="4" t="s">
        <v>11</v>
      </c>
      <c r="FI39023" s="4" t="s">
        <v>15</v>
      </c>
      <c r="FJ39023" s="4" t="s">
        <v>8</v>
      </c>
      <c r="FK39023" s="4" t="s">
        <v>1859</v>
      </c>
      <c r="FL39023" s="4" t="s">
        <v>11</v>
      </c>
      <c r="FM39023" s="4" t="s">
        <v>11</v>
      </c>
      <c r="FN39023" s="4" t="s">
        <v>15</v>
      </c>
      <c r="FO39023" s="4" t="s">
        <v>8</v>
      </c>
      <c r="FP39023" s="4" t="s">
        <v>1859</v>
      </c>
      <c r="FQ39023" s="4" t="s">
        <v>11</v>
      </c>
      <c r="FR39023" s="4" t="s">
        <v>11</v>
      </c>
      <c r="FS39023" s="4" t="s">
        <v>15</v>
      </c>
      <c r="FT39023" s="4" t="s">
        <v>8</v>
      </c>
      <c r="FU39023" s="4" t="s">
        <v>1859</v>
      </c>
      <c r="FV39023" s="4" t="s">
        <v>11</v>
      </c>
      <c r="FW39023" s="4" t="s">
        <v>11</v>
      </c>
      <c r="FX39023" s="4" t="s">
        <v>15</v>
      </c>
      <c r="FY39023" s="4" t="s">
        <v>8</v>
      </c>
      <c r="FZ39023" s="4" t="s">
        <v>1859</v>
      </c>
      <c r="GA39023" s="4" t="s">
        <v>11</v>
      </c>
      <c r="GB39023" s="4" t="s">
        <v>11</v>
      </c>
      <c r="GC39023" s="4" t="s">
        <v>15</v>
      </c>
      <c r="GD39023" s="4" t="s">
        <v>8</v>
      </c>
      <c r="GE39023" s="4" t="s">
        <v>1859</v>
      </c>
      <c r="GF39023" s="4" t="s">
        <v>11</v>
      </c>
      <c r="GG39023" s="4" t="s">
        <v>11</v>
      </c>
      <c r="GH39023" s="4" t="s">
        <v>15</v>
      </c>
      <c r="GI39023" s="4" t="s">
        <v>8</v>
      </c>
      <c r="GJ39023" s="4" t="s">
        <v>1859</v>
      </c>
    </row>
    <row r="39024" spans="1:367">
      <c r="A39024" t="n">
        <v>490208</v>
      </c>
      <c r="B39024" s="85" t="n">
        <v>257</v>
      </c>
      <c r="C39024" s="7" t="n">
        <v>9</v>
      </c>
      <c r="D39024" s="7" t="n">
        <v>8</v>
      </c>
      <c r="E39024" s="7" t="n">
        <v>0</v>
      </c>
      <c r="F39024" s="7" t="s">
        <v>1349</v>
      </c>
      <c r="G39024" s="7" t="n">
        <f t="normal" ca="1">32-LENB(INDIRECT(ADDRESS(39024,6)))</f>
        <v>0</v>
      </c>
      <c r="H39024" s="7" t="n">
        <v>9</v>
      </c>
      <c r="I39024" s="7" t="n">
        <v>8</v>
      </c>
      <c r="J39024" s="7" t="n">
        <v>0</v>
      </c>
      <c r="K39024" s="7" t="s">
        <v>1350</v>
      </c>
      <c r="L39024" s="7" t="n">
        <f t="normal" ca="1">32-LENB(INDIRECT(ADDRESS(39024,11)))</f>
        <v>0</v>
      </c>
      <c r="M39024" s="7" t="n">
        <v>7</v>
      </c>
      <c r="N39024" s="7" t="n">
        <v>65533</v>
      </c>
      <c r="O39024" s="7" t="n">
        <v>64394</v>
      </c>
      <c r="P39024" s="7" t="s">
        <v>16</v>
      </c>
      <c r="Q39024" s="7" t="n">
        <f t="normal" ca="1">32-LENB(INDIRECT(ADDRESS(39024,16)))</f>
        <v>0</v>
      </c>
      <c r="R39024" s="7" t="n">
        <v>7</v>
      </c>
      <c r="S39024" s="7" t="n">
        <v>65533</v>
      </c>
      <c r="T39024" s="7" t="n">
        <v>64395</v>
      </c>
      <c r="U39024" s="7" t="s">
        <v>16</v>
      </c>
      <c r="V39024" s="7" t="n">
        <f t="normal" ca="1">32-LENB(INDIRECT(ADDRESS(39024,21)))</f>
        <v>0</v>
      </c>
      <c r="W39024" s="7" t="n">
        <v>7</v>
      </c>
      <c r="X39024" s="7" t="n">
        <v>65533</v>
      </c>
      <c r="Y39024" s="7" t="n">
        <v>64396</v>
      </c>
      <c r="Z39024" s="7" t="s">
        <v>16</v>
      </c>
      <c r="AA39024" s="7" t="n">
        <f t="normal" ca="1">32-LENB(INDIRECT(ADDRESS(39024,26)))</f>
        <v>0</v>
      </c>
      <c r="AB39024" s="7" t="n">
        <v>7</v>
      </c>
      <c r="AC39024" s="7" t="n">
        <v>65533</v>
      </c>
      <c r="AD39024" s="7" t="n">
        <v>64397</v>
      </c>
      <c r="AE39024" s="7" t="s">
        <v>16</v>
      </c>
      <c r="AF39024" s="7" t="n">
        <f t="normal" ca="1">32-LENB(INDIRECT(ADDRESS(39024,31)))</f>
        <v>0</v>
      </c>
      <c r="AG39024" s="7" t="n">
        <v>7</v>
      </c>
      <c r="AH39024" s="7" t="n">
        <v>65533</v>
      </c>
      <c r="AI39024" s="7" t="n">
        <v>64398</v>
      </c>
      <c r="AJ39024" s="7" t="s">
        <v>16</v>
      </c>
      <c r="AK39024" s="7" t="n">
        <f t="normal" ca="1">32-LENB(INDIRECT(ADDRESS(39024,36)))</f>
        <v>0</v>
      </c>
      <c r="AL39024" s="7" t="n">
        <v>7</v>
      </c>
      <c r="AM39024" s="7" t="n">
        <v>65533</v>
      </c>
      <c r="AN39024" s="7" t="n">
        <v>64399</v>
      </c>
      <c r="AO39024" s="7" t="s">
        <v>16</v>
      </c>
      <c r="AP39024" s="7" t="n">
        <f t="normal" ca="1">32-LENB(INDIRECT(ADDRESS(39024,41)))</f>
        <v>0</v>
      </c>
      <c r="AQ39024" s="7" t="n">
        <v>7</v>
      </c>
      <c r="AR39024" s="7" t="n">
        <v>65533</v>
      </c>
      <c r="AS39024" s="7" t="n">
        <v>64400</v>
      </c>
      <c r="AT39024" s="7" t="s">
        <v>16</v>
      </c>
      <c r="AU39024" s="7" t="n">
        <f t="normal" ca="1">32-LENB(INDIRECT(ADDRESS(39024,46)))</f>
        <v>0</v>
      </c>
      <c r="AV39024" s="7" t="n">
        <v>7</v>
      </c>
      <c r="AW39024" s="7" t="n">
        <v>65533</v>
      </c>
      <c r="AX39024" s="7" t="n">
        <v>64401</v>
      </c>
      <c r="AY39024" s="7" t="s">
        <v>16</v>
      </c>
      <c r="AZ39024" s="7" t="n">
        <f t="normal" ca="1">32-LENB(INDIRECT(ADDRESS(39024,51)))</f>
        <v>0</v>
      </c>
      <c r="BA39024" s="7" t="n">
        <v>7</v>
      </c>
      <c r="BB39024" s="7" t="n">
        <v>65533</v>
      </c>
      <c r="BC39024" s="7" t="n">
        <v>64402</v>
      </c>
      <c r="BD39024" s="7" t="s">
        <v>16</v>
      </c>
      <c r="BE39024" s="7" t="n">
        <f t="normal" ca="1">32-LENB(INDIRECT(ADDRESS(39024,56)))</f>
        <v>0</v>
      </c>
      <c r="BF39024" s="7" t="n">
        <v>7</v>
      </c>
      <c r="BG39024" s="7" t="n">
        <v>65533</v>
      </c>
      <c r="BH39024" s="7" t="n">
        <v>64403</v>
      </c>
      <c r="BI39024" s="7" t="s">
        <v>16</v>
      </c>
      <c r="BJ39024" s="7" t="n">
        <f t="normal" ca="1">32-LENB(INDIRECT(ADDRESS(39024,61)))</f>
        <v>0</v>
      </c>
      <c r="BK39024" s="7" t="n">
        <v>7</v>
      </c>
      <c r="BL39024" s="7" t="n">
        <v>65533</v>
      </c>
      <c r="BM39024" s="7" t="n">
        <v>64404</v>
      </c>
      <c r="BN39024" s="7" t="s">
        <v>16</v>
      </c>
      <c r="BO39024" s="7" t="n">
        <f t="normal" ca="1">32-LENB(INDIRECT(ADDRESS(39024,66)))</f>
        <v>0</v>
      </c>
      <c r="BP39024" s="7" t="n">
        <v>7</v>
      </c>
      <c r="BQ39024" s="7" t="n">
        <v>65533</v>
      </c>
      <c r="BR39024" s="7" t="n">
        <v>64405</v>
      </c>
      <c r="BS39024" s="7" t="s">
        <v>16</v>
      </c>
      <c r="BT39024" s="7" t="n">
        <f t="normal" ca="1">32-LENB(INDIRECT(ADDRESS(39024,71)))</f>
        <v>0</v>
      </c>
      <c r="BU39024" s="7" t="n">
        <v>7</v>
      </c>
      <c r="BV39024" s="7" t="n">
        <v>65533</v>
      </c>
      <c r="BW39024" s="7" t="n">
        <v>64406</v>
      </c>
      <c r="BX39024" s="7" t="s">
        <v>16</v>
      </c>
      <c r="BY39024" s="7" t="n">
        <f t="normal" ca="1">32-LENB(INDIRECT(ADDRESS(39024,76)))</f>
        <v>0</v>
      </c>
      <c r="BZ39024" s="7" t="n">
        <v>7</v>
      </c>
      <c r="CA39024" s="7" t="n">
        <v>65533</v>
      </c>
      <c r="CB39024" s="7" t="n">
        <v>64407</v>
      </c>
      <c r="CC39024" s="7" t="s">
        <v>16</v>
      </c>
      <c r="CD39024" s="7" t="n">
        <f t="normal" ca="1">32-LENB(INDIRECT(ADDRESS(39024,81)))</f>
        <v>0</v>
      </c>
      <c r="CE39024" s="7" t="n">
        <v>7</v>
      </c>
      <c r="CF39024" s="7" t="n">
        <v>65533</v>
      </c>
      <c r="CG39024" s="7" t="n">
        <v>64408</v>
      </c>
      <c r="CH39024" s="7" t="s">
        <v>16</v>
      </c>
      <c r="CI39024" s="7" t="n">
        <f t="normal" ca="1">32-LENB(INDIRECT(ADDRESS(39024,86)))</f>
        <v>0</v>
      </c>
      <c r="CJ39024" s="7" t="n">
        <v>7</v>
      </c>
      <c r="CK39024" s="7" t="n">
        <v>65533</v>
      </c>
      <c r="CL39024" s="7" t="n">
        <v>64409</v>
      </c>
      <c r="CM39024" s="7" t="s">
        <v>16</v>
      </c>
      <c r="CN39024" s="7" t="n">
        <f t="normal" ca="1">32-LENB(INDIRECT(ADDRESS(39024,91)))</f>
        <v>0</v>
      </c>
      <c r="CO39024" s="7" t="n">
        <v>7</v>
      </c>
      <c r="CP39024" s="7" t="n">
        <v>65533</v>
      </c>
      <c r="CQ39024" s="7" t="n">
        <v>64414</v>
      </c>
      <c r="CR39024" s="7" t="s">
        <v>16</v>
      </c>
      <c r="CS39024" s="7" t="n">
        <f t="normal" ca="1">32-LENB(INDIRECT(ADDRESS(39024,96)))</f>
        <v>0</v>
      </c>
      <c r="CT39024" s="7" t="n">
        <v>7</v>
      </c>
      <c r="CU39024" s="7" t="n">
        <v>65533</v>
      </c>
      <c r="CV39024" s="7" t="n">
        <v>64415</v>
      </c>
      <c r="CW39024" s="7" t="s">
        <v>16</v>
      </c>
      <c r="CX39024" s="7" t="n">
        <f t="normal" ca="1">32-LENB(INDIRECT(ADDRESS(39024,101)))</f>
        <v>0</v>
      </c>
      <c r="CY39024" s="7" t="n">
        <v>7</v>
      </c>
      <c r="CZ39024" s="7" t="n">
        <v>65533</v>
      </c>
      <c r="DA39024" s="7" t="n">
        <v>64416</v>
      </c>
      <c r="DB39024" s="7" t="s">
        <v>16</v>
      </c>
      <c r="DC39024" s="7" t="n">
        <f t="normal" ca="1">32-LENB(INDIRECT(ADDRESS(39024,106)))</f>
        <v>0</v>
      </c>
      <c r="DD39024" s="7" t="n">
        <v>7</v>
      </c>
      <c r="DE39024" s="7" t="n">
        <v>65533</v>
      </c>
      <c r="DF39024" s="7" t="n">
        <v>64417</v>
      </c>
      <c r="DG39024" s="7" t="s">
        <v>16</v>
      </c>
      <c r="DH39024" s="7" t="n">
        <f t="normal" ca="1">32-LENB(INDIRECT(ADDRESS(39024,111)))</f>
        <v>0</v>
      </c>
      <c r="DI39024" s="7" t="n">
        <v>7</v>
      </c>
      <c r="DJ39024" s="7" t="n">
        <v>65533</v>
      </c>
      <c r="DK39024" s="7" t="n">
        <v>64418</v>
      </c>
      <c r="DL39024" s="7" t="s">
        <v>16</v>
      </c>
      <c r="DM39024" s="7" t="n">
        <f t="normal" ca="1">32-LENB(INDIRECT(ADDRESS(39024,116)))</f>
        <v>0</v>
      </c>
      <c r="DN39024" s="7" t="n">
        <v>7</v>
      </c>
      <c r="DO39024" s="7" t="n">
        <v>65533</v>
      </c>
      <c r="DP39024" s="7" t="n">
        <v>64419</v>
      </c>
      <c r="DQ39024" s="7" t="s">
        <v>16</v>
      </c>
      <c r="DR39024" s="7" t="n">
        <f t="normal" ca="1">32-LENB(INDIRECT(ADDRESS(39024,121)))</f>
        <v>0</v>
      </c>
      <c r="DS39024" s="7" t="n">
        <v>7</v>
      </c>
      <c r="DT39024" s="7" t="n">
        <v>65533</v>
      </c>
      <c r="DU39024" s="7" t="n">
        <v>64420</v>
      </c>
      <c r="DV39024" s="7" t="s">
        <v>16</v>
      </c>
      <c r="DW39024" s="7" t="n">
        <f t="normal" ca="1">32-LENB(INDIRECT(ADDRESS(39024,126)))</f>
        <v>0</v>
      </c>
      <c r="DX39024" s="7" t="n">
        <v>7</v>
      </c>
      <c r="DY39024" s="7" t="n">
        <v>65533</v>
      </c>
      <c r="DZ39024" s="7" t="n">
        <v>64421</v>
      </c>
      <c r="EA39024" s="7" t="s">
        <v>16</v>
      </c>
      <c r="EB39024" s="7" t="n">
        <f t="normal" ca="1">32-LENB(INDIRECT(ADDRESS(39024,131)))</f>
        <v>0</v>
      </c>
      <c r="EC39024" s="7" t="n">
        <v>7</v>
      </c>
      <c r="ED39024" s="7" t="n">
        <v>65533</v>
      </c>
      <c r="EE39024" s="7" t="n">
        <v>64422</v>
      </c>
      <c r="EF39024" s="7" t="s">
        <v>16</v>
      </c>
      <c r="EG39024" s="7" t="n">
        <f t="normal" ca="1">32-LENB(INDIRECT(ADDRESS(39024,136)))</f>
        <v>0</v>
      </c>
      <c r="EH39024" s="7" t="n">
        <v>7</v>
      </c>
      <c r="EI39024" s="7" t="n">
        <v>65533</v>
      </c>
      <c r="EJ39024" s="7" t="n">
        <v>64423</v>
      </c>
      <c r="EK39024" s="7" t="s">
        <v>16</v>
      </c>
      <c r="EL39024" s="7" t="n">
        <f t="normal" ca="1">32-LENB(INDIRECT(ADDRESS(39024,141)))</f>
        <v>0</v>
      </c>
      <c r="EM39024" s="7" t="n">
        <v>7</v>
      </c>
      <c r="EN39024" s="7" t="n">
        <v>65533</v>
      </c>
      <c r="EO39024" s="7" t="n">
        <v>64424</v>
      </c>
      <c r="EP39024" s="7" t="s">
        <v>16</v>
      </c>
      <c r="EQ39024" s="7" t="n">
        <f t="normal" ca="1">32-LENB(INDIRECT(ADDRESS(39024,146)))</f>
        <v>0</v>
      </c>
      <c r="ER39024" s="7" t="n">
        <v>7</v>
      </c>
      <c r="ES39024" s="7" t="n">
        <v>65533</v>
      </c>
      <c r="ET39024" s="7" t="n">
        <v>64425</v>
      </c>
      <c r="EU39024" s="7" t="s">
        <v>16</v>
      </c>
      <c r="EV39024" s="7" t="n">
        <f t="normal" ca="1">32-LENB(INDIRECT(ADDRESS(39024,151)))</f>
        <v>0</v>
      </c>
      <c r="EW39024" s="7" t="n">
        <v>7</v>
      </c>
      <c r="EX39024" s="7" t="n">
        <v>65533</v>
      </c>
      <c r="EY39024" s="7" t="n">
        <v>64426</v>
      </c>
      <c r="EZ39024" s="7" t="s">
        <v>16</v>
      </c>
      <c r="FA39024" s="7" t="n">
        <f t="normal" ca="1">32-LENB(INDIRECT(ADDRESS(39024,156)))</f>
        <v>0</v>
      </c>
      <c r="FB39024" s="7" t="n">
        <v>7</v>
      </c>
      <c r="FC39024" s="7" t="n">
        <v>65533</v>
      </c>
      <c r="FD39024" s="7" t="n">
        <v>64427</v>
      </c>
      <c r="FE39024" s="7" t="s">
        <v>16</v>
      </c>
      <c r="FF39024" s="7" t="n">
        <f t="normal" ca="1">32-LENB(INDIRECT(ADDRESS(39024,161)))</f>
        <v>0</v>
      </c>
      <c r="FG39024" s="7" t="n">
        <v>7</v>
      </c>
      <c r="FH39024" s="7" t="n">
        <v>65533</v>
      </c>
      <c r="FI39024" s="7" t="n">
        <v>64428</v>
      </c>
      <c r="FJ39024" s="7" t="s">
        <v>16</v>
      </c>
      <c r="FK39024" s="7" t="n">
        <f t="normal" ca="1">32-LENB(INDIRECT(ADDRESS(39024,166)))</f>
        <v>0</v>
      </c>
      <c r="FL39024" s="7" t="n">
        <v>7</v>
      </c>
      <c r="FM39024" s="7" t="n">
        <v>65533</v>
      </c>
      <c r="FN39024" s="7" t="n">
        <v>64429</v>
      </c>
      <c r="FO39024" s="7" t="s">
        <v>16</v>
      </c>
      <c r="FP39024" s="7" t="n">
        <f t="normal" ca="1">32-LENB(INDIRECT(ADDRESS(39024,171)))</f>
        <v>0</v>
      </c>
      <c r="FQ39024" s="7" t="n">
        <v>7</v>
      </c>
      <c r="FR39024" s="7" t="n">
        <v>65533</v>
      </c>
      <c r="FS39024" s="7" t="n">
        <v>64430</v>
      </c>
      <c r="FT39024" s="7" t="s">
        <v>16</v>
      </c>
      <c r="FU39024" s="7" t="n">
        <f t="normal" ca="1">32-LENB(INDIRECT(ADDRESS(39024,176)))</f>
        <v>0</v>
      </c>
      <c r="FV39024" s="7" t="n">
        <v>7</v>
      </c>
      <c r="FW39024" s="7" t="n">
        <v>65533</v>
      </c>
      <c r="FX39024" s="7" t="n">
        <v>64431</v>
      </c>
      <c r="FY39024" s="7" t="s">
        <v>16</v>
      </c>
      <c r="FZ39024" s="7" t="n">
        <f t="normal" ca="1">32-LENB(INDIRECT(ADDRESS(39024,181)))</f>
        <v>0</v>
      </c>
      <c r="GA39024" s="7" t="n">
        <v>7</v>
      </c>
      <c r="GB39024" s="7" t="n">
        <v>65533</v>
      </c>
      <c r="GC39024" s="7" t="n">
        <v>64432</v>
      </c>
      <c r="GD39024" s="7" t="s">
        <v>16</v>
      </c>
      <c r="GE39024" s="7" t="n">
        <f t="normal" ca="1">32-LENB(INDIRECT(ADDRESS(39024,186)))</f>
        <v>0</v>
      </c>
      <c r="GF39024" s="7" t="n">
        <v>0</v>
      </c>
      <c r="GG39024" s="7" t="n">
        <v>65533</v>
      </c>
      <c r="GH39024" s="7" t="n">
        <v>0</v>
      </c>
      <c r="GI39024" s="7" t="s">
        <v>16</v>
      </c>
      <c r="GJ39024" s="7" t="n">
        <f t="normal" ca="1">32-LENB(INDIRECT(ADDRESS(39024,191)))</f>
        <v>0</v>
      </c>
    </row>
    <row r="39025" spans="1:2">
      <c r="A39025" t="s">
        <v>4</v>
      </c>
      <c r="B39025" s="4" t="s">
        <v>5</v>
      </c>
    </row>
    <row r="39026" spans="1:2">
      <c r="A39026" t="n">
        <v>491728</v>
      </c>
      <c r="B39026" s="5" t="n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2025-09-06T21:47:12</dcterms:created>
  <dcterms:modified xsi:type="dcterms:W3CDTF">2025-09-06T21:47:12</dcterms:modified>
</cp:coreProperties>
</file>